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9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0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1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pivotTables/pivotTable1.xml" ContentType="application/vnd.openxmlformats-officedocument.spreadsheetml.pivotTable+xml"/>
  <Override PartName="/xl/drawings/drawing1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larcade\Downloads\"/>
    </mc:Choice>
  </mc:AlternateContent>
  <xr:revisionPtr revIDLastSave="0" documentId="13_ncr:1_{1113ED8F-DD74-4344-AF8D-B44B8319860F}" xr6:coauthVersionLast="47" xr6:coauthVersionMax="47" xr10:uidLastSave="{00000000-0000-0000-0000-000000000000}"/>
  <bookViews>
    <workbookView xWindow="-120" yWindow="-16320" windowWidth="29040" windowHeight="16440" tabRatio="832" activeTab="11" xr2:uid="{F0C8F186-AA88-4DD3-9C53-633EC3A48274}"/>
  </bookViews>
  <sheets>
    <sheet name="Graphique1" sheetId="17" r:id="rId1"/>
    <sheet name="Graphique6" sheetId="10" r:id="rId2"/>
    <sheet name="Graphique7" sheetId="12" r:id="rId3"/>
    <sheet name="Graphique5" sheetId="9" r:id="rId4"/>
    <sheet name="Graphique2" sheetId="14" r:id="rId5"/>
    <sheet name="Graphique3" sheetId="15" r:id="rId6"/>
    <sheet name="Revenu" sheetId="22" r:id="rId7"/>
    <sheet name="PL" sheetId="16" r:id="rId8"/>
    <sheet name="ENT" sheetId="24" r:id="rId9"/>
    <sheet name="CR" sheetId="11" r:id="rId10"/>
    <sheet name="EC" sheetId="21" r:id="rId11"/>
    <sheet name="regle" sheetId="3" r:id="rId12"/>
    <sheet name="modif2" sheetId="23" r:id="rId13"/>
    <sheet name="modif1" sheetId="19" r:id="rId14"/>
    <sheet name="modif0" sheetId="18" r:id="rId15"/>
    <sheet name="inter_graph" sheetId="4" r:id="rId16"/>
    <sheet name="objet" sheetId="1" r:id="rId17"/>
  </sheets>
  <functionGroups builtInGroupCount="19"/>
  <definedNames>
    <definedName name="_xlnm.Print_Area" localSheetId="7">PL!$A$2:$L$73</definedName>
  </definedNames>
  <calcPr calcId="191028"/>
  <pivotCaches>
    <pivotCache cacheId="0" r:id="rId18"/>
  </pivotCaches>
</workbook>
</file>

<file path=xl/calcChain.xml><?xml version="1.0" encoding="utf-8"?>
<calcChain xmlns="http://schemas.openxmlformats.org/spreadsheetml/2006/main">
  <c r="F20" i="3" l="1"/>
  <c r="AA3" i="23"/>
  <c r="AC3" i="23"/>
  <c r="AD3" i="23"/>
  <c r="AE3" i="23"/>
  <c r="AF3" i="23"/>
  <c r="AG3" i="23"/>
  <c r="AH3" i="23"/>
  <c r="AI3" i="23"/>
  <c r="AJ3" i="23"/>
  <c r="AA4" i="23"/>
  <c r="AC4" i="23"/>
  <c r="AD4" i="23"/>
  <c r="AE4" i="23"/>
  <c r="AF4" i="23"/>
  <c r="AG4" i="23"/>
  <c r="AH4" i="23"/>
  <c r="AI4" i="23"/>
  <c r="AJ4" i="23"/>
  <c r="AA5" i="23"/>
  <c r="AC5" i="23"/>
  <c r="AD5" i="23"/>
  <c r="AE5" i="23"/>
  <c r="AF5" i="23"/>
  <c r="AG5" i="23"/>
  <c r="AH5" i="23"/>
  <c r="AI5" i="23"/>
  <c r="AJ5" i="23"/>
  <c r="AA6" i="23"/>
  <c r="AC6" i="23"/>
  <c r="AD6" i="23"/>
  <c r="AE6" i="23"/>
  <c r="AF6" i="23"/>
  <c r="AG6" i="23"/>
  <c r="AH6" i="23"/>
  <c r="AI6" i="23"/>
  <c r="AJ6" i="23"/>
  <c r="AA7" i="23"/>
  <c r="AC7" i="23"/>
  <c r="AD7" i="23"/>
  <c r="AE7" i="23"/>
  <c r="AF7" i="23"/>
  <c r="AG7" i="23"/>
  <c r="AH7" i="23"/>
  <c r="AI7" i="23"/>
  <c r="AJ7" i="23"/>
  <c r="AA8" i="23"/>
  <c r="AC8" i="23"/>
  <c r="AD8" i="23"/>
  <c r="AE8" i="23"/>
  <c r="AF8" i="23"/>
  <c r="AG8" i="23"/>
  <c r="AH8" i="23"/>
  <c r="AI8" i="23"/>
  <c r="AJ8" i="23"/>
  <c r="AA9" i="23"/>
  <c r="AC9" i="23"/>
  <c r="AD9" i="23"/>
  <c r="AE9" i="23"/>
  <c r="AF9" i="23"/>
  <c r="AG9" i="23"/>
  <c r="AH9" i="23"/>
  <c r="AI9" i="23"/>
  <c r="AJ9" i="23"/>
  <c r="AA10" i="23"/>
  <c r="AC10" i="23"/>
  <c r="AD10" i="23"/>
  <c r="AE10" i="23"/>
  <c r="AF10" i="23"/>
  <c r="AG10" i="23"/>
  <c r="AH10" i="23"/>
  <c r="AI10" i="23"/>
  <c r="AJ10" i="23"/>
  <c r="AA11" i="23"/>
  <c r="AC11" i="23"/>
  <c r="AD11" i="23"/>
  <c r="AE11" i="23"/>
  <c r="AF11" i="23"/>
  <c r="AG11" i="23"/>
  <c r="AH11" i="23"/>
  <c r="AI11" i="23"/>
  <c r="AJ11" i="23"/>
  <c r="AA12" i="23"/>
  <c r="AC12" i="23"/>
  <c r="AD12" i="23"/>
  <c r="AE12" i="23"/>
  <c r="AF12" i="23"/>
  <c r="AG12" i="23"/>
  <c r="AH12" i="23"/>
  <c r="AI12" i="23"/>
  <c r="AJ12" i="23"/>
  <c r="AA13" i="23"/>
  <c r="AC13" i="23"/>
  <c r="AD13" i="23"/>
  <c r="AE13" i="23"/>
  <c r="AF13" i="23"/>
  <c r="AG13" i="23"/>
  <c r="AH13" i="23"/>
  <c r="AI13" i="23"/>
  <c r="AJ13" i="23"/>
  <c r="AA14" i="23"/>
  <c r="AC14" i="23"/>
  <c r="AD14" i="23"/>
  <c r="AE14" i="23"/>
  <c r="AF14" i="23"/>
  <c r="AG14" i="23"/>
  <c r="AH14" i="23"/>
  <c r="AI14" i="23"/>
  <c r="AJ14" i="23"/>
  <c r="AA15" i="23"/>
  <c r="AC15" i="23"/>
  <c r="AD15" i="23"/>
  <c r="AE15" i="23"/>
  <c r="AF15" i="23"/>
  <c r="AG15" i="23"/>
  <c r="AH15" i="23"/>
  <c r="AI15" i="23"/>
  <c r="AJ15" i="23"/>
  <c r="AA16" i="23"/>
  <c r="AC16" i="23"/>
  <c r="AD16" i="23"/>
  <c r="AE16" i="23"/>
  <c r="AF16" i="23"/>
  <c r="AG16" i="23"/>
  <c r="AH16" i="23"/>
  <c r="AI16" i="23"/>
  <c r="AJ16" i="23"/>
  <c r="AA17" i="23"/>
  <c r="AC17" i="23"/>
  <c r="AD17" i="23"/>
  <c r="AE17" i="23"/>
  <c r="AF17" i="23"/>
  <c r="AG17" i="23"/>
  <c r="AH17" i="23"/>
  <c r="AI17" i="23"/>
  <c r="AJ17" i="23"/>
  <c r="AA18" i="23"/>
  <c r="AC18" i="23"/>
  <c r="AD18" i="23"/>
  <c r="AE18" i="23"/>
  <c r="AF18" i="23"/>
  <c r="AG18" i="23"/>
  <c r="AH18" i="23"/>
  <c r="AI18" i="23"/>
  <c r="AJ18" i="23"/>
  <c r="AA19" i="23"/>
  <c r="AC19" i="23"/>
  <c r="AD19" i="23"/>
  <c r="AE19" i="23"/>
  <c r="AF19" i="23"/>
  <c r="AG19" i="23"/>
  <c r="AH19" i="23"/>
  <c r="AI19" i="23"/>
  <c r="AJ19" i="23"/>
  <c r="AA20" i="23"/>
  <c r="AC20" i="23"/>
  <c r="AD20" i="23"/>
  <c r="AE20" i="23"/>
  <c r="AF20" i="23"/>
  <c r="AG20" i="23"/>
  <c r="AH20" i="23"/>
  <c r="AI20" i="23"/>
  <c r="AJ20" i="23"/>
  <c r="AA21" i="23"/>
  <c r="AC21" i="23"/>
  <c r="AD21" i="23"/>
  <c r="AE21" i="23"/>
  <c r="AF21" i="23"/>
  <c r="AG21" i="23"/>
  <c r="AH21" i="23"/>
  <c r="AI21" i="23"/>
  <c r="AJ21" i="23"/>
  <c r="AA22" i="23"/>
  <c r="AC22" i="23"/>
  <c r="AD22" i="23"/>
  <c r="AE22" i="23"/>
  <c r="AF22" i="23"/>
  <c r="AG22" i="23"/>
  <c r="AH22" i="23"/>
  <c r="AI22" i="23"/>
  <c r="AJ22" i="23"/>
  <c r="AA23" i="23"/>
  <c r="AC23" i="23"/>
  <c r="AD23" i="23"/>
  <c r="AE23" i="23"/>
  <c r="AF23" i="23"/>
  <c r="AG23" i="23"/>
  <c r="AH23" i="23"/>
  <c r="AI23" i="23"/>
  <c r="AJ23" i="23"/>
  <c r="AA24" i="23"/>
  <c r="AC24" i="23"/>
  <c r="AD24" i="23"/>
  <c r="AE24" i="23"/>
  <c r="AF24" i="23"/>
  <c r="AG24" i="23"/>
  <c r="AH24" i="23"/>
  <c r="AI24" i="23"/>
  <c r="AJ24" i="23"/>
  <c r="AA25" i="23"/>
  <c r="AC25" i="23"/>
  <c r="AD25" i="23"/>
  <c r="AE25" i="23"/>
  <c r="AF25" i="23"/>
  <c r="AG25" i="23"/>
  <c r="AH25" i="23"/>
  <c r="AI25" i="23"/>
  <c r="AJ25" i="23"/>
  <c r="AA26" i="23"/>
  <c r="AC26" i="23"/>
  <c r="AD26" i="23"/>
  <c r="AE26" i="23"/>
  <c r="AF26" i="23"/>
  <c r="AG26" i="23"/>
  <c r="AH26" i="23"/>
  <c r="AI26" i="23"/>
  <c r="AJ26" i="23"/>
  <c r="AA27" i="23"/>
  <c r="AC27" i="23"/>
  <c r="AD27" i="23"/>
  <c r="AE27" i="23"/>
  <c r="AF27" i="23"/>
  <c r="AG27" i="23"/>
  <c r="AH27" i="23"/>
  <c r="AI27" i="23"/>
  <c r="AJ27" i="23"/>
  <c r="AA28" i="23"/>
  <c r="AC28" i="23"/>
  <c r="AD28" i="23"/>
  <c r="AE28" i="23"/>
  <c r="AF28" i="23"/>
  <c r="AG28" i="23"/>
  <c r="AH28" i="23"/>
  <c r="AI28" i="23"/>
  <c r="AJ28" i="23"/>
  <c r="AA29" i="23"/>
  <c r="AC29" i="23"/>
  <c r="AD29" i="23"/>
  <c r="AE29" i="23"/>
  <c r="AF29" i="23"/>
  <c r="AG29" i="23"/>
  <c r="AH29" i="23"/>
  <c r="AI29" i="23"/>
  <c r="AJ29" i="23"/>
  <c r="AA30" i="23"/>
  <c r="AC30" i="23"/>
  <c r="AD30" i="23"/>
  <c r="AE30" i="23"/>
  <c r="AF30" i="23"/>
  <c r="AG30" i="23"/>
  <c r="AH30" i="23"/>
  <c r="AI30" i="23"/>
  <c r="AJ30" i="23"/>
  <c r="AA31" i="23"/>
  <c r="AC31" i="23"/>
  <c r="AD31" i="23"/>
  <c r="AE31" i="23"/>
  <c r="AF31" i="23"/>
  <c r="AG31" i="23"/>
  <c r="AH31" i="23"/>
  <c r="AI31" i="23"/>
  <c r="AJ31" i="23"/>
  <c r="AA32" i="23"/>
  <c r="AC32" i="23"/>
  <c r="AD32" i="23"/>
  <c r="AE32" i="23"/>
  <c r="AF32" i="23"/>
  <c r="AG32" i="23"/>
  <c r="AH32" i="23"/>
  <c r="AI32" i="23"/>
  <c r="AJ32" i="23"/>
  <c r="AA33" i="23"/>
  <c r="AC33" i="23"/>
  <c r="AD33" i="23"/>
  <c r="AE33" i="23"/>
  <c r="AF33" i="23"/>
  <c r="AG33" i="23"/>
  <c r="AH33" i="23"/>
  <c r="AI33" i="23"/>
  <c r="AJ33" i="23"/>
  <c r="AA34" i="23"/>
  <c r="AC34" i="23"/>
  <c r="AD34" i="23"/>
  <c r="AE34" i="23"/>
  <c r="AF34" i="23"/>
  <c r="AG34" i="23"/>
  <c r="AH34" i="23"/>
  <c r="AI34" i="23"/>
  <c r="AJ34" i="23"/>
  <c r="AA35" i="23"/>
  <c r="AC35" i="23"/>
  <c r="AD35" i="23"/>
  <c r="AE35" i="23"/>
  <c r="AF35" i="23"/>
  <c r="AG35" i="23"/>
  <c r="AH35" i="23"/>
  <c r="AI35" i="23"/>
  <c r="AJ35" i="23"/>
  <c r="AA36" i="23"/>
  <c r="AC36" i="23"/>
  <c r="AD36" i="23"/>
  <c r="AE36" i="23"/>
  <c r="AF36" i="23"/>
  <c r="AG36" i="23"/>
  <c r="AH36" i="23"/>
  <c r="AI36" i="23"/>
  <c r="AJ36" i="23"/>
  <c r="AA37" i="23"/>
  <c r="AC37" i="23"/>
  <c r="AD37" i="23"/>
  <c r="AE37" i="23"/>
  <c r="AF37" i="23"/>
  <c r="AG37" i="23"/>
  <c r="AH37" i="23"/>
  <c r="AI37" i="23"/>
  <c r="AJ37" i="23"/>
  <c r="AA38" i="23"/>
  <c r="AC38" i="23"/>
  <c r="AD38" i="23"/>
  <c r="AE38" i="23"/>
  <c r="AF38" i="23"/>
  <c r="AG38" i="23"/>
  <c r="AH38" i="23"/>
  <c r="AI38" i="23"/>
  <c r="AJ38" i="23"/>
  <c r="AA39" i="23"/>
  <c r="AC39" i="23"/>
  <c r="AD39" i="23"/>
  <c r="AE39" i="23"/>
  <c r="AF39" i="23"/>
  <c r="AG39" i="23"/>
  <c r="AH39" i="23"/>
  <c r="AI39" i="23"/>
  <c r="AJ39" i="23"/>
  <c r="AA40" i="23"/>
  <c r="AC40" i="23"/>
  <c r="AD40" i="23"/>
  <c r="AE40" i="23"/>
  <c r="AF40" i="23"/>
  <c r="AG40" i="23"/>
  <c r="AH40" i="23"/>
  <c r="AI40" i="23"/>
  <c r="AJ40" i="23"/>
  <c r="AA41" i="23"/>
  <c r="AC41" i="23"/>
  <c r="AD41" i="23"/>
  <c r="AE41" i="23"/>
  <c r="AF41" i="23"/>
  <c r="AG41" i="23"/>
  <c r="AH41" i="23"/>
  <c r="AI41" i="23"/>
  <c r="AJ41" i="23"/>
  <c r="AB42" i="23"/>
  <c r="AC42" i="23"/>
  <c r="AD42" i="23"/>
  <c r="AE42" i="23"/>
  <c r="AF42" i="23"/>
  <c r="AG42" i="23"/>
  <c r="AH42" i="23"/>
  <c r="AI42" i="23"/>
  <c r="AJ42" i="23"/>
  <c r="AA42" i="23" s="1"/>
  <c r="AB43" i="23"/>
  <c r="AC43" i="23"/>
  <c r="AD43" i="23"/>
  <c r="AE43" i="23"/>
  <c r="AF43" i="23"/>
  <c r="AG43" i="23"/>
  <c r="AH43" i="23"/>
  <c r="AI43" i="23"/>
  <c r="AJ43" i="23"/>
  <c r="AA43" i="23" s="1"/>
  <c r="AB44" i="23"/>
  <c r="AC44" i="23"/>
  <c r="AD44" i="23"/>
  <c r="AE44" i="23"/>
  <c r="AF44" i="23"/>
  <c r="AG44" i="23"/>
  <c r="AH44" i="23"/>
  <c r="AI44" i="23"/>
  <c r="AJ44" i="23"/>
  <c r="AA44" i="23" s="1"/>
  <c r="AA45" i="23"/>
  <c r="AB45" i="23"/>
  <c r="AC45" i="23"/>
  <c r="AD45" i="23"/>
  <c r="AE45" i="23"/>
  <c r="AF45" i="23"/>
  <c r="AG45" i="23"/>
  <c r="AH45" i="23"/>
  <c r="AI45" i="23"/>
  <c r="AJ45" i="23"/>
  <c r="AB46" i="23"/>
  <c r="AC46" i="23"/>
  <c r="AD46" i="23"/>
  <c r="AE46" i="23"/>
  <c r="AF46" i="23"/>
  <c r="AG46" i="23"/>
  <c r="AH46" i="23"/>
  <c r="AI46" i="23"/>
  <c r="AJ46" i="23"/>
  <c r="AA46" i="23" s="1"/>
  <c r="AB47" i="23"/>
  <c r="AC47" i="23"/>
  <c r="AD47" i="23"/>
  <c r="AE47" i="23"/>
  <c r="AF47" i="23"/>
  <c r="AG47" i="23"/>
  <c r="AH47" i="23"/>
  <c r="AI47" i="23"/>
  <c r="AJ47" i="23"/>
  <c r="AA47" i="23" s="1"/>
  <c r="AB48" i="23"/>
  <c r="AC48" i="23"/>
  <c r="AD48" i="23"/>
  <c r="AE48" i="23"/>
  <c r="AF48" i="23"/>
  <c r="AG48" i="23"/>
  <c r="AH48" i="23"/>
  <c r="AI48" i="23"/>
  <c r="AJ48" i="23"/>
  <c r="AA48" i="23" s="1"/>
  <c r="AB49" i="23"/>
  <c r="AC49" i="23"/>
  <c r="AD49" i="23"/>
  <c r="AE49" i="23"/>
  <c r="AF49" i="23"/>
  <c r="AG49" i="23"/>
  <c r="AH49" i="23"/>
  <c r="AI49" i="23"/>
  <c r="AJ49" i="23"/>
  <c r="AA49" i="23" s="1"/>
  <c r="AB50" i="23"/>
  <c r="AC50" i="23"/>
  <c r="AD50" i="23"/>
  <c r="AE50" i="23"/>
  <c r="AF50" i="23"/>
  <c r="AG50" i="23"/>
  <c r="AH50" i="23"/>
  <c r="AI50" i="23"/>
  <c r="AJ50" i="23"/>
  <c r="AA50" i="23" s="1"/>
  <c r="AB51" i="23"/>
  <c r="AC51" i="23"/>
  <c r="AD51" i="23"/>
  <c r="AE51" i="23"/>
  <c r="AF51" i="23"/>
  <c r="AG51" i="23"/>
  <c r="AH51" i="23"/>
  <c r="AI51" i="23"/>
  <c r="AJ51" i="23"/>
  <c r="AA51" i="23" s="1"/>
  <c r="AB52" i="23"/>
  <c r="AC52" i="23"/>
  <c r="AD52" i="23"/>
  <c r="AE52" i="23"/>
  <c r="AF52" i="23"/>
  <c r="AG52" i="23"/>
  <c r="AH52" i="23"/>
  <c r="AI52" i="23"/>
  <c r="AJ52" i="23"/>
  <c r="AA52" i="23" s="1"/>
  <c r="AB53" i="23"/>
  <c r="AC53" i="23"/>
  <c r="AD53" i="23"/>
  <c r="AE53" i="23"/>
  <c r="AF53" i="23"/>
  <c r="AG53" i="23"/>
  <c r="AH53" i="23"/>
  <c r="AI53" i="23"/>
  <c r="AJ53" i="23"/>
  <c r="AA53" i="23" s="1"/>
  <c r="AB54" i="23"/>
  <c r="AC54" i="23"/>
  <c r="AD54" i="23"/>
  <c r="AE54" i="23"/>
  <c r="AF54" i="23"/>
  <c r="AG54" i="23"/>
  <c r="AH54" i="23"/>
  <c r="AI54" i="23"/>
  <c r="AJ54" i="23"/>
  <c r="AA54" i="23" s="1"/>
  <c r="AA55" i="23"/>
  <c r="AB55" i="23"/>
  <c r="AC55" i="23"/>
  <c r="AD55" i="23"/>
  <c r="AE55" i="23"/>
  <c r="AF55" i="23"/>
  <c r="AG55" i="23"/>
  <c r="AH55" i="23"/>
  <c r="AI55" i="23"/>
  <c r="AJ55" i="23"/>
  <c r="AB56" i="23"/>
  <c r="AC56" i="23"/>
  <c r="AD56" i="23"/>
  <c r="AE56" i="23"/>
  <c r="AF56" i="23"/>
  <c r="AG56" i="23"/>
  <c r="AH56" i="23"/>
  <c r="AI56" i="23"/>
  <c r="AJ56" i="23"/>
  <c r="AA56" i="23" s="1"/>
  <c r="AB57" i="23"/>
  <c r="AC57" i="23"/>
  <c r="AD57" i="23"/>
  <c r="AE57" i="23"/>
  <c r="AF57" i="23"/>
  <c r="AG57" i="23"/>
  <c r="AH57" i="23"/>
  <c r="AI57" i="23"/>
  <c r="AJ57" i="23"/>
  <c r="AA57" i="23" s="1"/>
  <c r="AA58" i="23"/>
  <c r="AC58" i="23"/>
  <c r="AD58" i="23"/>
  <c r="AE58" i="23"/>
  <c r="AF58" i="23"/>
  <c r="AG58" i="23"/>
  <c r="AH58" i="23"/>
  <c r="AI58" i="23"/>
  <c r="AJ58" i="23"/>
  <c r="AB59" i="23"/>
  <c r="AC59" i="23"/>
  <c r="AD59" i="23"/>
  <c r="AE59" i="23"/>
  <c r="AF59" i="23"/>
  <c r="AG59" i="23"/>
  <c r="AH59" i="23"/>
  <c r="AI59" i="23"/>
  <c r="AJ59" i="23"/>
  <c r="AA59" i="23" s="1"/>
  <c r="AB60" i="23"/>
  <c r="AC60" i="23"/>
  <c r="AD60" i="23"/>
  <c r="AE60" i="23"/>
  <c r="AF60" i="23"/>
  <c r="AG60" i="23"/>
  <c r="AH60" i="23"/>
  <c r="AI60" i="23"/>
  <c r="AJ60" i="23"/>
  <c r="AA60" i="23" s="1"/>
  <c r="AA61" i="23"/>
  <c r="AB61" i="23"/>
  <c r="AC61" i="23"/>
  <c r="AD61" i="23"/>
  <c r="AE61" i="23"/>
  <c r="AF61" i="23"/>
  <c r="AG61" i="23"/>
  <c r="AH61" i="23"/>
  <c r="AI61" i="23"/>
  <c r="AJ61" i="23"/>
  <c r="AB62" i="23"/>
  <c r="AC62" i="23"/>
  <c r="AD62" i="23"/>
  <c r="AE62" i="23"/>
  <c r="AF62" i="23"/>
  <c r="AG62" i="23"/>
  <c r="AH62" i="23"/>
  <c r="AI62" i="23"/>
  <c r="AJ62" i="23"/>
  <c r="AA62" i="23" s="1"/>
  <c r="AB63" i="23"/>
  <c r="AC63" i="23"/>
  <c r="AD63" i="23"/>
  <c r="AE63" i="23"/>
  <c r="AF63" i="23"/>
  <c r="AG63" i="23"/>
  <c r="AH63" i="23"/>
  <c r="AI63" i="23"/>
  <c r="AJ63" i="23"/>
  <c r="AA63" i="23" s="1"/>
  <c r="AB64" i="23"/>
  <c r="AC64" i="23"/>
  <c r="AD64" i="23"/>
  <c r="AE64" i="23"/>
  <c r="AF64" i="23"/>
  <c r="AG64" i="23"/>
  <c r="AH64" i="23"/>
  <c r="AI64" i="23"/>
  <c r="AJ64" i="23"/>
  <c r="AA64" i="23" s="1"/>
  <c r="AB65" i="23"/>
  <c r="AC65" i="23"/>
  <c r="AD65" i="23"/>
  <c r="AE65" i="23"/>
  <c r="AF65" i="23"/>
  <c r="AG65" i="23"/>
  <c r="AH65" i="23"/>
  <c r="AI65" i="23"/>
  <c r="AJ65" i="23"/>
  <c r="AA65" i="23" s="1"/>
  <c r="AB66" i="23"/>
  <c r="AC66" i="23"/>
  <c r="AD66" i="23"/>
  <c r="AE66" i="23"/>
  <c r="AF66" i="23"/>
  <c r="AG66" i="23"/>
  <c r="AH66" i="23"/>
  <c r="AI66" i="23"/>
  <c r="AJ66" i="23"/>
  <c r="AA66" i="23" s="1"/>
  <c r="AA67" i="23"/>
  <c r="AB67" i="23"/>
  <c r="AC67" i="23"/>
  <c r="AD67" i="23"/>
  <c r="AE67" i="23"/>
  <c r="AF67" i="23"/>
  <c r="AG67" i="23"/>
  <c r="AH67" i="23"/>
  <c r="AI67" i="23"/>
  <c r="AJ67" i="23"/>
  <c r="AB68" i="23"/>
  <c r="AC68" i="23"/>
  <c r="AD68" i="23"/>
  <c r="AE68" i="23"/>
  <c r="AF68" i="23"/>
  <c r="AG68" i="23"/>
  <c r="AH68" i="23"/>
  <c r="AI68" i="23"/>
  <c r="AJ68" i="23"/>
  <c r="AA68" i="23" s="1"/>
  <c r="AB69" i="23"/>
  <c r="AC69" i="23"/>
  <c r="AD69" i="23"/>
  <c r="AE69" i="23"/>
  <c r="AF69" i="23"/>
  <c r="AG69" i="23"/>
  <c r="AH69" i="23"/>
  <c r="AI69" i="23"/>
  <c r="AJ69" i="23"/>
  <c r="AA69" i="23" s="1"/>
  <c r="AB70" i="23"/>
  <c r="AC70" i="23"/>
  <c r="AD70" i="23"/>
  <c r="AE70" i="23"/>
  <c r="AF70" i="23"/>
  <c r="AG70" i="23"/>
  <c r="AH70" i="23"/>
  <c r="AI70" i="23"/>
  <c r="AJ70" i="23"/>
  <c r="AA70" i="23" s="1"/>
  <c r="AB71" i="23"/>
  <c r="AC71" i="23"/>
  <c r="AD71" i="23"/>
  <c r="AE71" i="23"/>
  <c r="AF71" i="23"/>
  <c r="AG71" i="23"/>
  <c r="AH71" i="23"/>
  <c r="AI71" i="23"/>
  <c r="AJ71" i="23"/>
  <c r="AA71" i="23" s="1"/>
  <c r="AB72" i="23"/>
  <c r="AC72" i="23"/>
  <c r="AD72" i="23"/>
  <c r="AE72" i="23"/>
  <c r="AF72" i="23"/>
  <c r="AG72" i="23"/>
  <c r="AH72" i="23"/>
  <c r="AI72" i="23"/>
  <c r="AJ72" i="23"/>
  <c r="AA72" i="23" s="1"/>
  <c r="AB73" i="23"/>
  <c r="AC73" i="23"/>
  <c r="AD73" i="23"/>
  <c r="AE73" i="23"/>
  <c r="AF73" i="23"/>
  <c r="AG73" i="23"/>
  <c r="AH73" i="23"/>
  <c r="AI73" i="23"/>
  <c r="AJ73" i="23"/>
  <c r="AA73" i="23" s="1"/>
  <c r="AB74" i="23"/>
  <c r="AC74" i="23"/>
  <c r="AD74" i="23"/>
  <c r="AE74" i="23"/>
  <c r="AF74" i="23"/>
  <c r="AG74" i="23"/>
  <c r="AH74" i="23"/>
  <c r="AI74" i="23"/>
  <c r="AJ74" i="23"/>
  <c r="AA74" i="23" s="1"/>
  <c r="AB75" i="23"/>
  <c r="AC75" i="23"/>
  <c r="AD75" i="23"/>
  <c r="AE75" i="23"/>
  <c r="AF75" i="23"/>
  <c r="AG75" i="23"/>
  <c r="AH75" i="23"/>
  <c r="AI75" i="23"/>
  <c r="AJ75" i="23"/>
  <c r="AA75" i="23" s="1"/>
  <c r="AB76" i="23"/>
  <c r="AC76" i="23"/>
  <c r="AD76" i="23"/>
  <c r="AE76" i="23"/>
  <c r="AF76" i="23"/>
  <c r="AG76" i="23"/>
  <c r="AH76" i="23"/>
  <c r="AI76" i="23"/>
  <c r="AJ76" i="23"/>
  <c r="AA76" i="23" s="1"/>
  <c r="AB77" i="23"/>
  <c r="AC77" i="23"/>
  <c r="AD77" i="23"/>
  <c r="AE77" i="23"/>
  <c r="AF77" i="23"/>
  <c r="AG77" i="23"/>
  <c r="AH77" i="23"/>
  <c r="AI77" i="23"/>
  <c r="AJ77" i="23"/>
  <c r="AA77" i="23" s="1"/>
  <c r="AB78" i="23"/>
  <c r="AC78" i="23"/>
  <c r="AD78" i="23"/>
  <c r="AE78" i="23"/>
  <c r="AF78" i="23"/>
  <c r="AG78" i="23"/>
  <c r="AH78" i="23"/>
  <c r="AI78" i="23"/>
  <c r="AJ78" i="23"/>
  <c r="AA78" i="23" s="1"/>
  <c r="AB79" i="23"/>
  <c r="AC79" i="23"/>
  <c r="AD79" i="23"/>
  <c r="AE79" i="23"/>
  <c r="AF79" i="23"/>
  <c r="AG79" i="23"/>
  <c r="AH79" i="23"/>
  <c r="AI79" i="23"/>
  <c r="AJ79" i="23"/>
  <c r="AA79" i="23" s="1"/>
  <c r="AB80" i="23"/>
  <c r="AC80" i="23"/>
  <c r="AD80" i="23"/>
  <c r="AE80" i="23"/>
  <c r="AF80" i="23"/>
  <c r="AG80" i="23"/>
  <c r="AH80" i="23"/>
  <c r="AI80" i="23"/>
  <c r="AJ80" i="23"/>
  <c r="AA80" i="23" s="1"/>
  <c r="AB81" i="23"/>
  <c r="AC81" i="23"/>
  <c r="AD81" i="23"/>
  <c r="AE81" i="23"/>
  <c r="AF81" i="23"/>
  <c r="AG81" i="23"/>
  <c r="AH81" i="23"/>
  <c r="AI81" i="23"/>
  <c r="AJ81" i="23"/>
  <c r="AA81" i="23" s="1"/>
  <c r="AB82" i="23"/>
  <c r="AC82" i="23"/>
  <c r="AD82" i="23"/>
  <c r="AE82" i="23"/>
  <c r="AF82" i="23"/>
  <c r="AG82" i="23"/>
  <c r="AH82" i="23"/>
  <c r="AI82" i="23"/>
  <c r="AJ82" i="23"/>
  <c r="AA82" i="23" s="1"/>
  <c r="AB83" i="23"/>
  <c r="AC83" i="23"/>
  <c r="AD83" i="23"/>
  <c r="AE83" i="23"/>
  <c r="AF83" i="23"/>
  <c r="AG83" i="23"/>
  <c r="AH83" i="23"/>
  <c r="AI83" i="23"/>
  <c r="AJ83" i="23"/>
  <c r="AA83" i="23" s="1"/>
  <c r="AB84" i="23"/>
  <c r="AC84" i="23"/>
  <c r="AD84" i="23"/>
  <c r="AE84" i="23"/>
  <c r="AF84" i="23"/>
  <c r="AG84" i="23"/>
  <c r="AH84" i="23"/>
  <c r="AI84" i="23"/>
  <c r="AJ84" i="23"/>
  <c r="AA84" i="23" s="1"/>
  <c r="AB85" i="23"/>
  <c r="AC85" i="23"/>
  <c r="AD85" i="23"/>
  <c r="AE85" i="23"/>
  <c r="AF85" i="23"/>
  <c r="AG85" i="23"/>
  <c r="AH85" i="23"/>
  <c r="AI85" i="23"/>
  <c r="AJ85" i="23"/>
  <c r="AA85" i="23" s="1"/>
  <c r="AB86" i="23"/>
  <c r="AC86" i="23"/>
  <c r="AD86" i="23"/>
  <c r="AE86" i="23"/>
  <c r="AF86" i="23"/>
  <c r="AG86" i="23"/>
  <c r="AH86" i="23"/>
  <c r="AI86" i="23"/>
  <c r="AJ86" i="23"/>
  <c r="AA86" i="23" s="1"/>
  <c r="AB87" i="23"/>
  <c r="AC87" i="23"/>
  <c r="AD87" i="23"/>
  <c r="AE87" i="23"/>
  <c r="AF87" i="23"/>
  <c r="AG87" i="23"/>
  <c r="AH87" i="23"/>
  <c r="AI87" i="23"/>
  <c r="AJ87" i="23"/>
  <c r="AA87" i="23" s="1"/>
  <c r="AB88" i="23"/>
  <c r="AC88" i="23"/>
  <c r="AD88" i="23"/>
  <c r="AE88" i="23"/>
  <c r="AF88" i="23"/>
  <c r="AG88" i="23"/>
  <c r="AH88" i="23"/>
  <c r="AI88" i="23"/>
  <c r="AJ88" i="23"/>
  <c r="AA88" i="23" s="1"/>
  <c r="AB89" i="23"/>
  <c r="AC89" i="23"/>
  <c r="AD89" i="23"/>
  <c r="AE89" i="23"/>
  <c r="AF89" i="23"/>
  <c r="AG89" i="23"/>
  <c r="AH89" i="23"/>
  <c r="AI89" i="23"/>
  <c r="AJ89" i="23"/>
  <c r="AA89" i="23" s="1"/>
  <c r="AB90" i="23"/>
  <c r="AC90" i="23"/>
  <c r="AD90" i="23"/>
  <c r="AE90" i="23"/>
  <c r="AF90" i="23"/>
  <c r="AG90" i="23"/>
  <c r="AH90" i="23"/>
  <c r="AI90" i="23"/>
  <c r="AJ90" i="23"/>
  <c r="AA90" i="23" s="1"/>
  <c r="AB91" i="23"/>
  <c r="AC91" i="23"/>
  <c r="AD91" i="23"/>
  <c r="AE91" i="23"/>
  <c r="AF91" i="23"/>
  <c r="AG91" i="23"/>
  <c r="AH91" i="23"/>
  <c r="AI91" i="23"/>
  <c r="AJ91" i="23"/>
  <c r="AA91" i="23" s="1"/>
  <c r="AB92" i="23"/>
  <c r="AC92" i="23"/>
  <c r="AD92" i="23"/>
  <c r="AE92" i="23"/>
  <c r="AF92" i="23"/>
  <c r="AG92" i="23"/>
  <c r="AH92" i="23"/>
  <c r="AI92" i="23"/>
  <c r="AJ92" i="23"/>
  <c r="AA92" i="23" s="1"/>
  <c r="AB93" i="23"/>
  <c r="AC93" i="23"/>
  <c r="AD93" i="23"/>
  <c r="AE93" i="23"/>
  <c r="AF93" i="23"/>
  <c r="AG93" i="23"/>
  <c r="AH93" i="23"/>
  <c r="AI93" i="23"/>
  <c r="AJ93" i="23"/>
  <c r="AA93" i="23" s="1"/>
  <c r="AB94" i="23"/>
  <c r="AC94" i="23"/>
  <c r="AD94" i="23"/>
  <c r="AE94" i="23"/>
  <c r="AF94" i="23"/>
  <c r="AG94" i="23"/>
  <c r="AH94" i="23"/>
  <c r="AI94" i="23"/>
  <c r="AJ94" i="23"/>
  <c r="AA94" i="23" s="1"/>
  <c r="AB95" i="23"/>
  <c r="AC95" i="23"/>
  <c r="AD95" i="23"/>
  <c r="AE95" i="23"/>
  <c r="AF95" i="23"/>
  <c r="AG95" i="23"/>
  <c r="AH95" i="23"/>
  <c r="AI95" i="23"/>
  <c r="AJ95" i="23"/>
  <c r="AA95" i="23" s="1"/>
  <c r="AA96" i="23"/>
  <c r="AB96" i="23"/>
  <c r="AC96" i="23"/>
  <c r="AD96" i="23"/>
  <c r="AE96" i="23"/>
  <c r="AF96" i="23"/>
  <c r="AG96" i="23"/>
  <c r="AH96" i="23"/>
  <c r="AI96" i="23"/>
  <c r="AJ96" i="23"/>
  <c r="AA97" i="23"/>
  <c r="AB97" i="23"/>
  <c r="AC97" i="23"/>
  <c r="AD97" i="23"/>
  <c r="AE97" i="23"/>
  <c r="AF97" i="23"/>
  <c r="AG97" i="23"/>
  <c r="AH97" i="23"/>
  <c r="AI97" i="23"/>
  <c r="AA98" i="23"/>
  <c r="AB98" i="23"/>
  <c r="AC98" i="23"/>
  <c r="AD98" i="23"/>
  <c r="AE98" i="23"/>
  <c r="AF98" i="23"/>
  <c r="AG98" i="23"/>
  <c r="AH98" i="23"/>
  <c r="AI98" i="23"/>
  <c r="AA99" i="23"/>
  <c r="AB99" i="23"/>
  <c r="AC99" i="23"/>
  <c r="AD99" i="23"/>
  <c r="AE99" i="23"/>
  <c r="AF99" i="23"/>
  <c r="AG99" i="23"/>
  <c r="AH99" i="23"/>
  <c r="AI99" i="23"/>
  <c r="AA100" i="23"/>
  <c r="AB100" i="23"/>
  <c r="AC100" i="23"/>
  <c r="AD100" i="23"/>
  <c r="AE100" i="23"/>
  <c r="AF100" i="23"/>
  <c r="AG100" i="23"/>
  <c r="AH100" i="23"/>
  <c r="AI100" i="23"/>
  <c r="AA101" i="23"/>
  <c r="AB101" i="23"/>
  <c r="AC101" i="23"/>
  <c r="AD101" i="23"/>
  <c r="AE101" i="23"/>
  <c r="AF101" i="23"/>
  <c r="AG101" i="23"/>
  <c r="AH101" i="23"/>
  <c r="AI101" i="23"/>
  <c r="AA102" i="23"/>
  <c r="AB102" i="23"/>
  <c r="AC102" i="23"/>
  <c r="AD102" i="23"/>
  <c r="AE102" i="23"/>
  <c r="AF102" i="23"/>
  <c r="AG102" i="23"/>
  <c r="AH102" i="23"/>
  <c r="AI102" i="23"/>
  <c r="AA103" i="23"/>
  <c r="AB103" i="23"/>
  <c r="AC103" i="23"/>
  <c r="AD103" i="23"/>
  <c r="AE103" i="23"/>
  <c r="AF103" i="23"/>
  <c r="AG103" i="23"/>
  <c r="AH103" i="23"/>
  <c r="AJ103" i="23"/>
  <c r="AA104" i="23"/>
  <c r="AB104" i="23"/>
  <c r="AC104" i="23"/>
  <c r="AD104" i="23"/>
  <c r="AE104" i="23"/>
  <c r="AF104" i="23"/>
  <c r="AG104" i="23"/>
  <c r="AI104" i="23"/>
  <c r="AJ104" i="23"/>
  <c r="AA105" i="23"/>
  <c r="AB105" i="23"/>
  <c r="AC105" i="23"/>
  <c r="AD105" i="23"/>
  <c r="AE105" i="23"/>
  <c r="AF105" i="23"/>
  <c r="AG105" i="23"/>
  <c r="AI105" i="23"/>
  <c r="AJ105" i="23"/>
  <c r="AA106" i="23"/>
  <c r="AB106" i="23"/>
  <c r="AC106" i="23"/>
  <c r="AD106" i="23"/>
  <c r="AE106" i="23"/>
  <c r="AF106" i="23"/>
  <c r="AG106" i="23"/>
  <c r="AI106" i="23"/>
  <c r="AJ106" i="23"/>
  <c r="AA107" i="23"/>
  <c r="AB107" i="23"/>
  <c r="AC107" i="23"/>
  <c r="AD107" i="23"/>
  <c r="AE107" i="23"/>
  <c r="AF107" i="23"/>
  <c r="AG107" i="23"/>
  <c r="AI107" i="23"/>
  <c r="AJ107" i="23"/>
  <c r="AA108" i="23"/>
  <c r="AB108" i="23"/>
  <c r="AC108" i="23"/>
  <c r="AD108" i="23"/>
  <c r="AE108" i="23"/>
  <c r="AF108" i="23"/>
  <c r="AG108" i="23"/>
  <c r="AI108" i="23"/>
  <c r="AJ108" i="23"/>
  <c r="AA109" i="23"/>
  <c r="AB109" i="23"/>
  <c r="AC109" i="23"/>
  <c r="AD109" i="23"/>
  <c r="AE109" i="23"/>
  <c r="AF109" i="23"/>
  <c r="AG109" i="23"/>
  <c r="AI109" i="23"/>
  <c r="AJ109" i="23"/>
  <c r="AA110" i="23"/>
  <c r="AB110" i="23"/>
  <c r="AC110" i="23"/>
  <c r="AD110" i="23"/>
  <c r="AE110" i="23"/>
  <c r="AF110" i="23"/>
  <c r="AG110" i="23"/>
  <c r="AI110" i="23"/>
  <c r="AJ110" i="23"/>
  <c r="AA111" i="23"/>
  <c r="AB111" i="23"/>
  <c r="AC111" i="23"/>
  <c r="AD111" i="23"/>
  <c r="AE111" i="23"/>
  <c r="AF111" i="23"/>
  <c r="AG111" i="23"/>
  <c r="AI111" i="23"/>
  <c r="AJ111" i="23"/>
  <c r="AA112" i="23"/>
  <c r="AB112" i="23"/>
  <c r="AC112" i="23"/>
  <c r="AD112" i="23"/>
  <c r="AE112" i="23"/>
  <c r="AF112" i="23"/>
  <c r="AG112" i="23"/>
  <c r="AI112" i="23"/>
  <c r="AJ112" i="23"/>
  <c r="AA113" i="23"/>
  <c r="AB113" i="23"/>
  <c r="AC113" i="23"/>
  <c r="AD113" i="23"/>
  <c r="AE113" i="23"/>
  <c r="AF113" i="23"/>
  <c r="AG113" i="23"/>
  <c r="AI113" i="23"/>
  <c r="AJ113" i="23"/>
  <c r="AA114" i="23"/>
  <c r="AB114" i="23"/>
  <c r="AC114" i="23"/>
  <c r="AD114" i="23"/>
  <c r="AE114" i="23"/>
  <c r="AF114" i="23"/>
  <c r="AG114" i="23"/>
  <c r="AI114" i="23"/>
  <c r="AJ114" i="23"/>
  <c r="AA115" i="23"/>
  <c r="AB115" i="23"/>
  <c r="AC115" i="23"/>
  <c r="AD115" i="23"/>
  <c r="AE115" i="23"/>
  <c r="AF115" i="23"/>
  <c r="AG115" i="23"/>
  <c r="AI115" i="23"/>
  <c r="AJ115" i="23"/>
  <c r="AA116" i="23"/>
  <c r="AB116" i="23"/>
  <c r="AC116" i="23"/>
  <c r="AD116" i="23"/>
  <c r="AE116" i="23"/>
  <c r="AF116" i="23"/>
  <c r="AG116" i="23"/>
  <c r="AI116" i="23"/>
  <c r="AJ116" i="23"/>
  <c r="AA117" i="23"/>
  <c r="AB117" i="23"/>
  <c r="AC117" i="23"/>
  <c r="AD117" i="23"/>
  <c r="AE117" i="23"/>
  <c r="AF117" i="23"/>
  <c r="AG117" i="23"/>
  <c r="AI117" i="23"/>
  <c r="AJ117" i="23"/>
  <c r="AA118" i="23"/>
  <c r="AB118" i="23"/>
  <c r="AC118" i="23"/>
  <c r="AD118" i="23"/>
  <c r="AE118" i="23"/>
  <c r="AF118" i="23"/>
  <c r="AG118" i="23"/>
  <c r="AI118" i="23"/>
  <c r="AJ118" i="23"/>
  <c r="AA119" i="23"/>
  <c r="AB119" i="23"/>
  <c r="AC119" i="23"/>
  <c r="AD119" i="23"/>
  <c r="AE119" i="23"/>
  <c r="AF119" i="23"/>
  <c r="AG119" i="23"/>
  <c r="AI119" i="23"/>
  <c r="AJ119" i="23"/>
  <c r="AA120" i="23"/>
  <c r="AB120" i="23"/>
  <c r="AC120" i="23"/>
  <c r="AD120" i="23"/>
  <c r="AE120" i="23"/>
  <c r="AF120" i="23"/>
  <c r="AG120" i="23"/>
  <c r="AI120" i="23"/>
  <c r="AJ120" i="23"/>
  <c r="AA121" i="23"/>
  <c r="AB121" i="23"/>
  <c r="AC121" i="23"/>
  <c r="AD121" i="23"/>
  <c r="AE121" i="23"/>
  <c r="AF121" i="23"/>
  <c r="AG121" i="23"/>
  <c r="AI121" i="23"/>
  <c r="AJ121" i="23"/>
  <c r="AA122" i="23"/>
  <c r="AB122" i="23"/>
  <c r="AC122" i="23"/>
  <c r="AD122" i="23"/>
  <c r="AE122" i="23"/>
  <c r="AF122" i="23"/>
  <c r="AG122" i="23"/>
  <c r="AI122" i="23"/>
  <c r="AJ122" i="23"/>
  <c r="AA123" i="23"/>
  <c r="AB123" i="23"/>
  <c r="AC123" i="23"/>
  <c r="AD123" i="23"/>
  <c r="AE123" i="23"/>
  <c r="AF123" i="23"/>
  <c r="AG123" i="23"/>
  <c r="AI123" i="23"/>
  <c r="AJ123" i="23"/>
  <c r="AA124" i="23"/>
  <c r="AB124" i="23"/>
  <c r="AC124" i="23"/>
  <c r="AD124" i="23"/>
  <c r="AE124" i="23"/>
  <c r="AF124" i="23"/>
  <c r="AH124" i="23"/>
  <c r="AI124" i="23"/>
  <c r="AJ124" i="23"/>
  <c r="AA125" i="23"/>
  <c r="AB125" i="23"/>
  <c r="AC125" i="23"/>
  <c r="AD125" i="23"/>
  <c r="AE125" i="23"/>
  <c r="AF125" i="23"/>
  <c r="AH125" i="23"/>
  <c r="AI125" i="23"/>
  <c r="AJ125" i="23"/>
  <c r="AA126" i="23"/>
  <c r="AB126" i="23"/>
  <c r="AC126" i="23"/>
  <c r="AD126" i="23"/>
  <c r="AE126" i="23"/>
  <c r="AF126" i="23"/>
  <c r="AH126" i="23"/>
  <c r="AI126" i="23"/>
  <c r="AJ126" i="23"/>
  <c r="AA127" i="23"/>
  <c r="AB127" i="23"/>
  <c r="AC127" i="23"/>
  <c r="AD127" i="23"/>
  <c r="AE127" i="23"/>
  <c r="AF127" i="23"/>
  <c r="AH127" i="23"/>
  <c r="AI127" i="23"/>
  <c r="AJ127" i="23"/>
  <c r="AA128" i="23"/>
  <c r="AB128" i="23"/>
  <c r="AC128" i="23"/>
  <c r="AD128" i="23"/>
  <c r="AE128" i="23"/>
  <c r="AF128" i="23"/>
  <c r="AH128" i="23"/>
  <c r="AI128" i="23"/>
  <c r="AJ128" i="23"/>
  <c r="AA129" i="23"/>
  <c r="AB129" i="23"/>
  <c r="AC129" i="23"/>
  <c r="AD129" i="23"/>
  <c r="AE129" i="23"/>
  <c r="AF129" i="23"/>
  <c r="AH129" i="23"/>
  <c r="AI129" i="23"/>
  <c r="AJ129" i="23"/>
  <c r="AA130" i="23"/>
  <c r="AB130" i="23"/>
  <c r="AC130" i="23"/>
  <c r="AD130" i="23"/>
  <c r="AE130" i="23"/>
  <c r="AF130" i="23"/>
  <c r="AH130" i="23"/>
  <c r="AI130" i="23"/>
  <c r="AJ130" i="23"/>
  <c r="AA131" i="23"/>
  <c r="AB131" i="23"/>
  <c r="AC131" i="23"/>
  <c r="AD131" i="23"/>
  <c r="AE131" i="23"/>
  <c r="AF131" i="23"/>
  <c r="AH131" i="23"/>
  <c r="AI131" i="23"/>
  <c r="AJ131" i="23"/>
  <c r="AA132" i="23"/>
  <c r="AB132" i="23"/>
  <c r="AC132" i="23"/>
  <c r="AD132" i="23"/>
  <c r="AE132" i="23"/>
  <c r="AF132" i="23"/>
  <c r="AH132" i="23"/>
  <c r="AI132" i="23"/>
  <c r="AJ132" i="23"/>
  <c r="AA133" i="23"/>
  <c r="AB133" i="23"/>
  <c r="AC133" i="23"/>
  <c r="AD133" i="23"/>
  <c r="AE133" i="23"/>
  <c r="AF133" i="23"/>
  <c r="AH133" i="23"/>
  <c r="AI133" i="23"/>
  <c r="AJ133" i="23"/>
  <c r="AA134" i="23"/>
  <c r="AB134" i="23"/>
  <c r="AC134" i="23"/>
  <c r="AD134" i="23"/>
  <c r="AE134" i="23"/>
  <c r="AF134" i="23"/>
  <c r="AH134" i="23"/>
  <c r="AI134" i="23"/>
  <c r="AJ134" i="23"/>
  <c r="AA135" i="23"/>
  <c r="AB135" i="23"/>
  <c r="AC135" i="23"/>
  <c r="AD135" i="23"/>
  <c r="AE135" i="23"/>
  <c r="AF135" i="23"/>
  <c r="AH135" i="23"/>
  <c r="AI135" i="23"/>
  <c r="AJ135" i="23"/>
  <c r="AA136" i="23"/>
  <c r="AB136" i="23"/>
  <c r="AC136" i="23"/>
  <c r="AD136" i="23"/>
  <c r="AE136" i="23"/>
  <c r="AF136" i="23"/>
  <c r="AH136" i="23"/>
  <c r="AI136" i="23"/>
  <c r="AJ136" i="23"/>
  <c r="AA137" i="23"/>
  <c r="AB137" i="23"/>
  <c r="AC137" i="23"/>
  <c r="AD137" i="23"/>
  <c r="AE137" i="23"/>
  <c r="AF137" i="23"/>
  <c r="AH137" i="23"/>
  <c r="AI137" i="23"/>
  <c r="AJ137" i="23"/>
  <c r="AA138" i="23"/>
  <c r="AB138" i="23"/>
  <c r="AC138" i="23"/>
  <c r="AD138" i="23"/>
  <c r="AE138" i="23"/>
  <c r="AF138" i="23"/>
  <c r="AH138" i="23"/>
  <c r="AI138" i="23"/>
  <c r="AJ138" i="23"/>
  <c r="AA139" i="23"/>
  <c r="AB139" i="23"/>
  <c r="AC139" i="23"/>
  <c r="AD139" i="23"/>
  <c r="AE139" i="23"/>
  <c r="AF139" i="23"/>
  <c r="AH139" i="23"/>
  <c r="AI139" i="23"/>
  <c r="AJ139" i="23"/>
  <c r="AA140" i="23"/>
  <c r="AB140" i="23"/>
  <c r="AC140" i="23"/>
  <c r="AD140" i="23"/>
  <c r="AE140" i="23"/>
  <c r="AG140" i="23"/>
  <c r="AH140" i="23"/>
  <c r="AI140" i="23"/>
  <c r="AJ140" i="23"/>
  <c r="AA141" i="23"/>
  <c r="AB141" i="23"/>
  <c r="AC141" i="23"/>
  <c r="AD141" i="23"/>
  <c r="AE141" i="23"/>
  <c r="AG141" i="23"/>
  <c r="AH141" i="23"/>
  <c r="AI141" i="23"/>
  <c r="AJ141" i="23"/>
  <c r="AA142" i="23"/>
  <c r="AB142" i="23"/>
  <c r="AC142" i="23"/>
  <c r="AD142" i="23"/>
  <c r="AE142" i="23"/>
  <c r="AG142" i="23"/>
  <c r="AH142" i="23"/>
  <c r="AI142" i="23"/>
  <c r="AJ142" i="23"/>
  <c r="AA143" i="23"/>
  <c r="AB143" i="23"/>
  <c r="AC143" i="23"/>
  <c r="AD143" i="23"/>
  <c r="AE143" i="23"/>
  <c r="AG143" i="23"/>
  <c r="AH143" i="23"/>
  <c r="AI143" i="23"/>
  <c r="AJ143" i="23"/>
  <c r="AA144" i="23"/>
  <c r="AB144" i="23"/>
  <c r="AC144" i="23"/>
  <c r="AD144" i="23"/>
  <c r="AE144" i="23"/>
  <c r="AG144" i="23"/>
  <c r="AH144" i="23"/>
  <c r="AI144" i="23"/>
  <c r="AJ144" i="23"/>
  <c r="AA145" i="23"/>
  <c r="AB145" i="23"/>
  <c r="AC145" i="23"/>
  <c r="AD145" i="23"/>
  <c r="AE145" i="23"/>
  <c r="AG145" i="23"/>
  <c r="AH145" i="23"/>
  <c r="AI145" i="23"/>
  <c r="AJ145" i="23"/>
  <c r="AA146" i="23"/>
  <c r="AB146" i="23"/>
  <c r="AC146" i="23"/>
  <c r="AD146" i="23"/>
  <c r="AE146" i="23"/>
  <c r="AG146" i="23"/>
  <c r="AH146" i="23"/>
  <c r="AI146" i="23"/>
  <c r="AJ146" i="23"/>
  <c r="AA147" i="23"/>
  <c r="AB147" i="23"/>
  <c r="AC147" i="23"/>
  <c r="AD147" i="23"/>
  <c r="AE147" i="23"/>
  <c r="AG147" i="23"/>
  <c r="AH147" i="23"/>
  <c r="AI147" i="23"/>
  <c r="AJ147" i="23"/>
  <c r="AA148" i="23"/>
  <c r="AB148" i="23"/>
  <c r="AC148" i="23"/>
  <c r="AD148" i="23"/>
  <c r="AE148" i="23"/>
  <c r="AG148" i="23"/>
  <c r="AH148" i="23"/>
  <c r="AI148" i="23"/>
  <c r="AJ148" i="23"/>
  <c r="AA149" i="23"/>
  <c r="AB149" i="23"/>
  <c r="AC149" i="23"/>
  <c r="AD149" i="23"/>
  <c r="AE149" i="23"/>
  <c r="AG149" i="23"/>
  <c r="AH149" i="23"/>
  <c r="AI149" i="23"/>
  <c r="AJ149" i="23"/>
  <c r="AA150" i="23"/>
  <c r="AB150" i="23"/>
  <c r="AC150" i="23"/>
  <c r="AD150" i="23"/>
  <c r="AE150" i="23"/>
  <c r="AG150" i="23"/>
  <c r="AH150" i="23"/>
  <c r="AI150" i="23"/>
  <c r="AJ150" i="23"/>
  <c r="AA151" i="23"/>
  <c r="AB151" i="23"/>
  <c r="AC151" i="23"/>
  <c r="AD151" i="23"/>
  <c r="AE151" i="23"/>
  <c r="AG151" i="23"/>
  <c r="AH151" i="23"/>
  <c r="AI151" i="23"/>
  <c r="AJ151" i="23"/>
  <c r="AA152" i="23"/>
  <c r="AB152" i="23"/>
  <c r="AC152" i="23"/>
  <c r="AD152" i="23"/>
  <c r="AE152" i="23"/>
  <c r="AG152" i="23"/>
  <c r="AH152" i="23"/>
  <c r="AI152" i="23"/>
  <c r="AJ152" i="23"/>
  <c r="AA153" i="23"/>
  <c r="AB153" i="23"/>
  <c r="AC153" i="23"/>
  <c r="AD153" i="23"/>
  <c r="AE153" i="23"/>
  <c r="AG153" i="23"/>
  <c r="AH153" i="23"/>
  <c r="AI153" i="23"/>
  <c r="AJ153" i="23"/>
  <c r="AA154" i="23"/>
  <c r="AB154" i="23"/>
  <c r="AC154" i="23"/>
  <c r="AD154" i="23"/>
  <c r="AE154" i="23"/>
  <c r="AG154" i="23"/>
  <c r="AH154" i="23"/>
  <c r="AI154" i="23"/>
  <c r="AJ154" i="23"/>
  <c r="AA155" i="23"/>
  <c r="AB155" i="23"/>
  <c r="AC155" i="23"/>
  <c r="AD155" i="23"/>
  <c r="AF155" i="23"/>
  <c r="AG155" i="23"/>
  <c r="AH155" i="23"/>
  <c r="AI155" i="23"/>
  <c r="AA156" i="23"/>
  <c r="AB156" i="23"/>
  <c r="AC156" i="23"/>
  <c r="AD156" i="23"/>
  <c r="AF156" i="23"/>
  <c r="AG156" i="23"/>
  <c r="AH156" i="23"/>
  <c r="AI156" i="23"/>
  <c r="AA157" i="23"/>
  <c r="AB157" i="23"/>
  <c r="AC157" i="23"/>
  <c r="AE157" i="23"/>
  <c r="AF157" i="23"/>
  <c r="AG157" i="23"/>
  <c r="AH157" i="23"/>
  <c r="AI157" i="23"/>
  <c r="AA158" i="23"/>
  <c r="AB158" i="23"/>
  <c r="AC158" i="23"/>
  <c r="AE158" i="23"/>
  <c r="AF158" i="23"/>
  <c r="AG158" i="23"/>
  <c r="AH158" i="23"/>
  <c r="AI158" i="23"/>
  <c r="AA159" i="23"/>
  <c r="AB159" i="23"/>
  <c r="AC159" i="23"/>
  <c r="AE159" i="23"/>
  <c r="AF159" i="23"/>
  <c r="AG159" i="23"/>
  <c r="AH159" i="23"/>
  <c r="AI159" i="23"/>
  <c r="AA160" i="23"/>
  <c r="AB160" i="23"/>
  <c r="AC160" i="23"/>
  <c r="AE160" i="23"/>
  <c r="AF160" i="23"/>
  <c r="AG160" i="23"/>
  <c r="AH160" i="23"/>
  <c r="AI160" i="23"/>
  <c r="AA161" i="23"/>
  <c r="AB161" i="23"/>
  <c r="AC161" i="23"/>
  <c r="AE161" i="23"/>
  <c r="AF161" i="23"/>
  <c r="AG161" i="23"/>
  <c r="AH161" i="23"/>
  <c r="AI161" i="23"/>
  <c r="AA162" i="23"/>
  <c r="AB162" i="23"/>
  <c r="AC162" i="23"/>
  <c r="AE162" i="23"/>
  <c r="AF162" i="23"/>
  <c r="AG162" i="23"/>
  <c r="AH162" i="23"/>
  <c r="AI162" i="23"/>
  <c r="AA163" i="23"/>
  <c r="AB163" i="23"/>
  <c r="AC163" i="23"/>
  <c r="AE163" i="23"/>
  <c r="AF163" i="23"/>
  <c r="AG163" i="23"/>
  <c r="AH163" i="23"/>
  <c r="AI163" i="23"/>
  <c r="AA164" i="23"/>
  <c r="AB164" i="23"/>
  <c r="AC164" i="23"/>
  <c r="AE164" i="23"/>
  <c r="AF164" i="23"/>
  <c r="AG164" i="23"/>
  <c r="AH164" i="23"/>
  <c r="AI164" i="23"/>
  <c r="AA165" i="23"/>
  <c r="AB165" i="23"/>
  <c r="AC165" i="23"/>
  <c r="AE165" i="23"/>
  <c r="AF165" i="23"/>
  <c r="AG165" i="23"/>
  <c r="AH165" i="23"/>
  <c r="AI165" i="23"/>
  <c r="AA166" i="23"/>
  <c r="AB166" i="23"/>
  <c r="AC166" i="23"/>
  <c r="AE166" i="23"/>
  <c r="AF166" i="23"/>
  <c r="AG166" i="23"/>
  <c r="AH166" i="23"/>
  <c r="AI166" i="23"/>
  <c r="AA167" i="23"/>
  <c r="AB167" i="23"/>
  <c r="AC167" i="23"/>
  <c r="AE167" i="23"/>
  <c r="AF167" i="23"/>
  <c r="AG167" i="23"/>
  <c r="AH167" i="23"/>
  <c r="AI167" i="23"/>
  <c r="AA168" i="23"/>
  <c r="AB168" i="23"/>
  <c r="AC168" i="23"/>
  <c r="AE168" i="23"/>
  <c r="AF168" i="23"/>
  <c r="AG168" i="23"/>
  <c r="AH168" i="23"/>
  <c r="AI168" i="23"/>
  <c r="AA169" i="23"/>
  <c r="AB169" i="23"/>
  <c r="AC169" i="23"/>
  <c r="AE169" i="23"/>
  <c r="AF169" i="23"/>
  <c r="AG169" i="23"/>
  <c r="AH169" i="23"/>
  <c r="AI169" i="23"/>
  <c r="AA170" i="23"/>
  <c r="AB170" i="23"/>
  <c r="AC170" i="23"/>
  <c r="AE170" i="23"/>
  <c r="AF170" i="23"/>
  <c r="AG170" i="23"/>
  <c r="AH170" i="23"/>
  <c r="AI170" i="23"/>
  <c r="AA171" i="23"/>
  <c r="AB171" i="23"/>
  <c r="AC171" i="23"/>
  <c r="AE171" i="23"/>
  <c r="AF171" i="23"/>
  <c r="AG171" i="23"/>
  <c r="AH171" i="23"/>
  <c r="AI171" i="23"/>
  <c r="AA172" i="23"/>
  <c r="AB172" i="23"/>
  <c r="AC172" i="23"/>
  <c r="AE172" i="23"/>
  <c r="AF172" i="23"/>
  <c r="AG172" i="23"/>
  <c r="AH172" i="23"/>
  <c r="AI172" i="23"/>
  <c r="AA173" i="23"/>
  <c r="AB173" i="23"/>
  <c r="AC173" i="23"/>
  <c r="AE173" i="23"/>
  <c r="AF173" i="23"/>
  <c r="AG173" i="23"/>
  <c r="AH173" i="23"/>
  <c r="AI173" i="23"/>
  <c r="AA174" i="23"/>
  <c r="AB174" i="23"/>
  <c r="AC174" i="23"/>
  <c r="AE174" i="23"/>
  <c r="AF174" i="23"/>
  <c r="AG174" i="23"/>
  <c r="AH174" i="23"/>
  <c r="AI174" i="23"/>
  <c r="AA175" i="23"/>
  <c r="AB175" i="23"/>
  <c r="AC175" i="23"/>
  <c r="AE175" i="23"/>
  <c r="AF175" i="23"/>
  <c r="AG175" i="23"/>
  <c r="AH175" i="23"/>
  <c r="AI175" i="23"/>
  <c r="AA176" i="23"/>
  <c r="AB176" i="23"/>
  <c r="AC176" i="23"/>
  <c r="AE176" i="23"/>
  <c r="AF176" i="23"/>
  <c r="AG176" i="23"/>
  <c r="AH176" i="23"/>
  <c r="AI176" i="23"/>
  <c r="AA177" i="23"/>
  <c r="AB177" i="23"/>
  <c r="AC177" i="23"/>
  <c r="AE177" i="23"/>
  <c r="AF177" i="23"/>
  <c r="AG177" i="23"/>
  <c r="AH177" i="23"/>
  <c r="AI177" i="23"/>
  <c r="AA178" i="23"/>
  <c r="AB178" i="23"/>
  <c r="AC178" i="23"/>
  <c r="AE178" i="23"/>
  <c r="AF178" i="23"/>
  <c r="AG178" i="23"/>
  <c r="AH178" i="23"/>
  <c r="AI178" i="23"/>
  <c r="AA179" i="23"/>
  <c r="AB179" i="23"/>
  <c r="AC179" i="23"/>
  <c r="AE179" i="23"/>
  <c r="AF179" i="23"/>
  <c r="AG179" i="23"/>
  <c r="AH179" i="23"/>
  <c r="AI179" i="23"/>
  <c r="AA180" i="23"/>
  <c r="AB180" i="23"/>
  <c r="AC180" i="23"/>
  <c r="AE180" i="23"/>
  <c r="AF180" i="23"/>
  <c r="AG180" i="23"/>
  <c r="AH180" i="23"/>
  <c r="AI180" i="23"/>
  <c r="AA181" i="23"/>
  <c r="AB181" i="23"/>
  <c r="AC181" i="23"/>
  <c r="AE181" i="23"/>
  <c r="AF181" i="23"/>
  <c r="AG181" i="23"/>
  <c r="AH181" i="23"/>
  <c r="AI181" i="23"/>
  <c r="AA182" i="23"/>
  <c r="AB182" i="23"/>
  <c r="AC182" i="23"/>
  <c r="AE182" i="23"/>
  <c r="AF182" i="23"/>
  <c r="AG182" i="23"/>
  <c r="AH182" i="23"/>
  <c r="AI182" i="23"/>
  <c r="AA183" i="23"/>
  <c r="AB183" i="23"/>
  <c r="AC183" i="23"/>
  <c r="AE183" i="23"/>
  <c r="AF183" i="23"/>
  <c r="AG183" i="23"/>
  <c r="AH183" i="23"/>
  <c r="AI183" i="23"/>
  <c r="AA184" i="23"/>
  <c r="AB184" i="23"/>
  <c r="AC184" i="23"/>
  <c r="AE184" i="23"/>
  <c r="AF184" i="23"/>
  <c r="AG184" i="23"/>
  <c r="AH184" i="23"/>
  <c r="AI184" i="23"/>
  <c r="AA185" i="23"/>
  <c r="AB185" i="23"/>
  <c r="AC185" i="23"/>
  <c r="AE185" i="23"/>
  <c r="AF185" i="23"/>
  <c r="AG185" i="23"/>
  <c r="AH185" i="23"/>
  <c r="AI185" i="23"/>
  <c r="AA186" i="23"/>
  <c r="AB186" i="23"/>
  <c r="AC186" i="23"/>
  <c r="AE186" i="23"/>
  <c r="AF186" i="23"/>
  <c r="AG186" i="23"/>
  <c r="AH186" i="23"/>
  <c r="AI186" i="23"/>
  <c r="AA187" i="23"/>
  <c r="AB187" i="23"/>
  <c r="AC187" i="23"/>
  <c r="AE187" i="23"/>
  <c r="AF187" i="23"/>
  <c r="AG187" i="23"/>
  <c r="AH187" i="23"/>
  <c r="AI187" i="23"/>
  <c r="AA188" i="23"/>
  <c r="AB188" i="23"/>
  <c r="AC188" i="23"/>
  <c r="AE188" i="23"/>
  <c r="AF188" i="23"/>
  <c r="AG188" i="23"/>
  <c r="AH188" i="23"/>
  <c r="AI188" i="23"/>
  <c r="AA189" i="23"/>
  <c r="AB189" i="23"/>
  <c r="AC189" i="23"/>
  <c r="AE189" i="23"/>
  <c r="AF189" i="23"/>
  <c r="AG189" i="23"/>
  <c r="AH189" i="23"/>
  <c r="AI189" i="23"/>
  <c r="AA190" i="23"/>
  <c r="AB190" i="23"/>
  <c r="AC190" i="23"/>
  <c r="AE190" i="23"/>
  <c r="AF190" i="23"/>
  <c r="AG190" i="23"/>
  <c r="AH190" i="23"/>
  <c r="AI190" i="23"/>
  <c r="AA191" i="23"/>
  <c r="AB191" i="23"/>
  <c r="AC191" i="23"/>
  <c r="AE191" i="23"/>
  <c r="AF191" i="23"/>
  <c r="AG191" i="23"/>
  <c r="AH191" i="23"/>
  <c r="AI191" i="23"/>
  <c r="AA192" i="23"/>
  <c r="AB192" i="23"/>
  <c r="AC192" i="23"/>
  <c r="AE192" i="23"/>
  <c r="AF192" i="23"/>
  <c r="AG192" i="23"/>
  <c r="AH192" i="23"/>
  <c r="AI192" i="23"/>
  <c r="AA193" i="23"/>
  <c r="AB193" i="23"/>
  <c r="AC193" i="23"/>
  <c r="AE193" i="23"/>
  <c r="AF193" i="23"/>
  <c r="AG193" i="23"/>
  <c r="AH193" i="23"/>
  <c r="AI193" i="23"/>
  <c r="AA194" i="23"/>
  <c r="AB194" i="23"/>
  <c r="AC194" i="23"/>
  <c r="AE194" i="23"/>
  <c r="AF194" i="23"/>
  <c r="AG194" i="23"/>
  <c r="AH194" i="23"/>
  <c r="AI194" i="23"/>
  <c r="AA195" i="23"/>
  <c r="AB195" i="23"/>
  <c r="AC195" i="23"/>
  <c r="AE195" i="23"/>
  <c r="AF195" i="23"/>
  <c r="AG195" i="23"/>
  <c r="AH195" i="23"/>
  <c r="AI195" i="23"/>
  <c r="AA196" i="23"/>
  <c r="AB196" i="23"/>
  <c r="AC196" i="23"/>
  <c r="AE196" i="23"/>
  <c r="AF196" i="23"/>
  <c r="AG196" i="23"/>
  <c r="AH196" i="23"/>
  <c r="AI196" i="23"/>
  <c r="AA197" i="23"/>
  <c r="AB197" i="23"/>
  <c r="AC197" i="23"/>
  <c r="AE197" i="23"/>
  <c r="AF197" i="23"/>
  <c r="AG197" i="23"/>
  <c r="AH197" i="23"/>
  <c r="AI197" i="23"/>
  <c r="AA198" i="23"/>
  <c r="AB198" i="23"/>
  <c r="AC198" i="23"/>
  <c r="AE198" i="23"/>
  <c r="AF198" i="23"/>
  <c r="AG198" i="23"/>
  <c r="AH198" i="23"/>
  <c r="AI198" i="23"/>
  <c r="AA199" i="23"/>
  <c r="AB199" i="23"/>
  <c r="AC199" i="23"/>
  <c r="AE199" i="23"/>
  <c r="AF199" i="23"/>
  <c r="AG199" i="23"/>
  <c r="AH199" i="23"/>
  <c r="AI199" i="23"/>
  <c r="AA200" i="23"/>
  <c r="AB200" i="23"/>
  <c r="AC200" i="23"/>
  <c r="AE200" i="23"/>
  <c r="AF200" i="23"/>
  <c r="AG200" i="23"/>
  <c r="AH200" i="23"/>
  <c r="AI200" i="23"/>
  <c r="AA201" i="23"/>
  <c r="AB201" i="23"/>
  <c r="AC201" i="23"/>
  <c r="AE201" i="23"/>
  <c r="AF201" i="23"/>
  <c r="AG201" i="23"/>
  <c r="AH201" i="23"/>
  <c r="AI201" i="23"/>
  <c r="AA202" i="23"/>
  <c r="AB202" i="23"/>
  <c r="AC202" i="23"/>
  <c r="AE202" i="23"/>
  <c r="AF202" i="23"/>
  <c r="AG202" i="23"/>
  <c r="AH202" i="23"/>
  <c r="AI202" i="23"/>
  <c r="AA203" i="23"/>
  <c r="AB203" i="23"/>
  <c r="AC203" i="23"/>
  <c r="AE203" i="23"/>
  <c r="AF203" i="23"/>
  <c r="AG203" i="23"/>
  <c r="AH203" i="23"/>
  <c r="AI203" i="23"/>
  <c r="AA204" i="23"/>
  <c r="AB204" i="23"/>
  <c r="AC204" i="23"/>
  <c r="AE204" i="23"/>
  <c r="AF204" i="23"/>
  <c r="AG204" i="23"/>
  <c r="AH204" i="23"/>
  <c r="AI204" i="23"/>
  <c r="AA205" i="23"/>
  <c r="AB205" i="23"/>
  <c r="AC205" i="23"/>
  <c r="AE205" i="23"/>
  <c r="AF205" i="23"/>
  <c r="AG205" i="23"/>
  <c r="AH205" i="23"/>
  <c r="AI205" i="23"/>
  <c r="AA206" i="23"/>
  <c r="AB206" i="23"/>
  <c r="AC206" i="23"/>
  <c r="AE206" i="23"/>
  <c r="AF206" i="23"/>
  <c r="AG206" i="23"/>
  <c r="AH206" i="23"/>
  <c r="AI206" i="23"/>
  <c r="AA207" i="23"/>
  <c r="AB207" i="23"/>
  <c r="AC207" i="23"/>
  <c r="AE207" i="23"/>
  <c r="AF207" i="23"/>
  <c r="AG207" i="23"/>
  <c r="AH207" i="23"/>
  <c r="AI207" i="23"/>
  <c r="AA208" i="23"/>
  <c r="AB208" i="23"/>
  <c r="AC208" i="23"/>
  <c r="AE208" i="23"/>
  <c r="AF208" i="23"/>
  <c r="AG208" i="23"/>
  <c r="AH208" i="23"/>
  <c r="AI208" i="23"/>
  <c r="AA209" i="23"/>
  <c r="AB209" i="23"/>
  <c r="AC209" i="23"/>
  <c r="AE209" i="23"/>
  <c r="AF209" i="23"/>
  <c r="AG209" i="23"/>
  <c r="AH209" i="23"/>
  <c r="AI209" i="23"/>
  <c r="AA210" i="23"/>
  <c r="AB210" i="23"/>
  <c r="AD210" i="23"/>
  <c r="AE210" i="23"/>
  <c r="AF210" i="23"/>
  <c r="AG210" i="23"/>
  <c r="AI210" i="23"/>
  <c r="AJ210" i="23"/>
  <c r="AA211" i="23"/>
  <c r="AB211" i="23"/>
  <c r="AD211" i="23"/>
  <c r="AE211" i="23"/>
  <c r="AF211" i="23"/>
  <c r="AG211" i="23"/>
  <c r="AI211" i="23"/>
  <c r="AJ211" i="23"/>
  <c r="AA212" i="23"/>
  <c r="AB212" i="23"/>
  <c r="AD212" i="23"/>
  <c r="AE212" i="23"/>
  <c r="AF212" i="23"/>
  <c r="AG212" i="23"/>
  <c r="AI212" i="23"/>
  <c r="AJ212" i="23"/>
  <c r="AA213" i="23"/>
  <c r="AB213" i="23"/>
  <c r="AD213" i="23"/>
  <c r="AE213" i="23"/>
  <c r="AF213" i="23"/>
  <c r="AG213" i="23"/>
  <c r="AI213" i="23"/>
  <c r="AJ213" i="23"/>
  <c r="AA214" i="23"/>
  <c r="AB214" i="23"/>
  <c r="AD214" i="23"/>
  <c r="AE214" i="23"/>
  <c r="AF214" i="23"/>
  <c r="AG214" i="23"/>
  <c r="AI214" i="23"/>
  <c r="AJ214" i="23"/>
  <c r="AA215" i="23"/>
  <c r="AB215" i="23"/>
  <c r="AD215" i="23"/>
  <c r="AE215" i="23"/>
  <c r="AF215" i="23"/>
  <c r="AG215" i="23"/>
  <c r="AI215" i="23"/>
  <c r="AJ215" i="23"/>
  <c r="AA216" i="23"/>
  <c r="AB216" i="23"/>
  <c r="AD216" i="23"/>
  <c r="AE216" i="23"/>
  <c r="AF216" i="23"/>
  <c r="AG216" i="23"/>
  <c r="AI216" i="23"/>
  <c r="AJ216" i="23"/>
  <c r="AA217" i="23"/>
  <c r="AB217" i="23"/>
  <c r="AC217" i="23"/>
  <c r="AE217" i="23"/>
  <c r="AF217" i="23"/>
  <c r="AG217" i="23"/>
  <c r="AI217" i="23"/>
  <c r="AJ217" i="23"/>
  <c r="AA218" i="23"/>
  <c r="AB218" i="23"/>
  <c r="AD218" i="23"/>
  <c r="AE218" i="23"/>
  <c r="AF218" i="23"/>
  <c r="AG218" i="23"/>
  <c r="AI218" i="23"/>
  <c r="AJ218" i="23"/>
  <c r="AA219" i="23"/>
  <c r="AB219" i="23"/>
  <c r="AD219" i="23"/>
  <c r="AE219" i="23"/>
  <c r="AF219" i="23"/>
  <c r="AG219" i="23"/>
  <c r="AI219" i="23"/>
  <c r="AJ219" i="23"/>
  <c r="AA220" i="23"/>
  <c r="AB220" i="23"/>
  <c r="AD220" i="23"/>
  <c r="AE220" i="23"/>
  <c r="AF220" i="23"/>
  <c r="AH220" i="23"/>
  <c r="AI220" i="23"/>
  <c r="AJ220" i="23"/>
  <c r="AA221" i="23"/>
  <c r="AB221" i="23"/>
  <c r="AD221" i="23"/>
  <c r="AE221" i="23"/>
  <c r="AF221" i="23"/>
  <c r="AH221" i="23"/>
  <c r="AI221" i="23"/>
  <c r="AJ221" i="23"/>
  <c r="AA222" i="23"/>
  <c r="AB222" i="23"/>
  <c r="AD222" i="23"/>
  <c r="AE222" i="23"/>
  <c r="AF222" i="23"/>
  <c r="AH222" i="23"/>
  <c r="AI222" i="23"/>
  <c r="AJ222" i="23"/>
  <c r="AA223" i="23"/>
  <c r="AB223" i="23"/>
  <c r="AD223" i="23"/>
  <c r="AE223" i="23"/>
  <c r="AF223" i="23"/>
  <c r="AH223" i="23"/>
  <c r="AI223" i="23"/>
  <c r="AJ223" i="23"/>
  <c r="AA224" i="23"/>
  <c r="AB224" i="23"/>
  <c r="AD224" i="23"/>
  <c r="AE224" i="23"/>
  <c r="AF224" i="23"/>
  <c r="AH224" i="23"/>
  <c r="AI224" i="23"/>
  <c r="AJ224" i="23"/>
  <c r="AA225" i="23"/>
  <c r="AB225" i="23"/>
  <c r="AD225" i="23"/>
  <c r="AE225" i="23"/>
  <c r="AF225" i="23"/>
  <c r="AH225" i="23"/>
  <c r="AI225" i="23"/>
  <c r="AJ225" i="23"/>
  <c r="AA226" i="23"/>
  <c r="AC226" i="23"/>
  <c r="AD226" i="23"/>
  <c r="AE226" i="23"/>
  <c r="AF226" i="23"/>
  <c r="AH226" i="23"/>
  <c r="AI226" i="23"/>
  <c r="AJ226" i="23"/>
  <c r="AA227" i="23"/>
  <c r="AC227" i="23"/>
  <c r="AD227" i="23"/>
  <c r="AE227" i="23"/>
  <c r="AG227" i="23"/>
  <c r="AH227" i="23"/>
  <c r="AI227" i="23"/>
  <c r="AJ227" i="23"/>
  <c r="AA228" i="23"/>
  <c r="AC228" i="23"/>
  <c r="AD228" i="23"/>
  <c r="AE228" i="23"/>
  <c r="AG228" i="23"/>
  <c r="AH228" i="23"/>
  <c r="AI228" i="23"/>
  <c r="AJ228" i="23"/>
  <c r="AA229" i="23"/>
  <c r="AC229" i="23"/>
  <c r="AD229" i="23"/>
  <c r="AE229" i="23"/>
  <c r="AG229" i="23"/>
  <c r="AH229" i="23"/>
  <c r="AI229" i="23"/>
  <c r="AJ229" i="23"/>
  <c r="AA230" i="23"/>
  <c r="AC230" i="23"/>
  <c r="AD230" i="23"/>
  <c r="AE230" i="23"/>
  <c r="AG230" i="23"/>
  <c r="AH230" i="23"/>
  <c r="AI230" i="23"/>
  <c r="AJ230" i="23"/>
  <c r="AA231" i="23"/>
  <c r="AC231" i="23"/>
  <c r="AD231" i="23"/>
  <c r="AE231" i="23"/>
  <c r="AG231" i="23"/>
  <c r="AH231" i="23"/>
  <c r="AI231" i="23"/>
  <c r="AJ231" i="23"/>
  <c r="AA232" i="23"/>
  <c r="AC232" i="23"/>
  <c r="AD232" i="23"/>
  <c r="AE232" i="23"/>
  <c r="AG232" i="23"/>
  <c r="AH232" i="23"/>
  <c r="AI232" i="23"/>
  <c r="AJ232" i="23"/>
  <c r="AA233" i="23"/>
  <c r="AC233" i="23"/>
  <c r="AD233" i="23"/>
  <c r="AE233" i="23"/>
  <c r="AG233" i="23"/>
  <c r="AH233" i="23"/>
  <c r="AI233" i="23"/>
  <c r="AJ233" i="23"/>
  <c r="AA234" i="23"/>
  <c r="AC234" i="23"/>
  <c r="AD234" i="23"/>
  <c r="AE234" i="23"/>
  <c r="AG234" i="23"/>
  <c r="AH234" i="23"/>
  <c r="AI234" i="23"/>
  <c r="AJ234" i="23"/>
  <c r="AA235" i="23"/>
  <c r="AC235" i="23"/>
  <c r="AD235" i="23"/>
  <c r="AE235" i="23"/>
  <c r="AG235" i="23"/>
  <c r="AH235" i="23"/>
  <c r="AI235" i="23"/>
  <c r="AJ235" i="23"/>
  <c r="AA236" i="23"/>
  <c r="AC236" i="23"/>
  <c r="AD236" i="23"/>
  <c r="AE236" i="23"/>
  <c r="AG236" i="23"/>
  <c r="AH236" i="23"/>
  <c r="AI236" i="23"/>
  <c r="AJ236" i="23"/>
  <c r="AA237" i="23"/>
  <c r="AB237" i="23"/>
  <c r="AC237" i="23"/>
  <c r="AE237" i="23"/>
  <c r="AF237" i="23"/>
  <c r="AG237" i="23"/>
  <c r="AH237" i="23"/>
  <c r="AI237" i="23"/>
  <c r="AA238" i="23"/>
  <c r="AB238" i="23"/>
  <c r="AC238" i="23"/>
  <c r="AE238" i="23"/>
  <c r="AF238" i="23"/>
  <c r="AG238" i="23"/>
  <c r="AH238" i="23"/>
  <c r="AJ238" i="23"/>
  <c r="AA239" i="23"/>
  <c r="AB239" i="23"/>
  <c r="AC239" i="23"/>
  <c r="AE239" i="23"/>
  <c r="AF239" i="23"/>
  <c r="AG239" i="23"/>
  <c r="AH239" i="23"/>
  <c r="AJ239" i="23"/>
  <c r="AA240" i="23"/>
  <c r="AB240" i="23"/>
  <c r="AC240" i="23"/>
  <c r="AE240" i="23"/>
  <c r="AF240" i="23"/>
  <c r="AG240" i="23"/>
  <c r="AH240" i="23"/>
  <c r="AJ240" i="23"/>
  <c r="AA241" i="23"/>
  <c r="AB241" i="23"/>
  <c r="AC241" i="23"/>
  <c r="AE241" i="23"/>
  <c r="AF241" i="23"/>
  <c r="AG241" i="23"/>
  <c r="AH241" i="23"/>
  <c r="AJ241" i="23"/>
  <c r="AA242" i="23"/>
  <c r="AB242" i="23"/>
  <c r="AC242" i="23"/>
  <c r="AE242" i="23"/>
  <c r="AF242" i="23"/>
  <c r="AG242" i="23"/>
  <c r="AH242" i="23"/>
  <c r="AJ242" i="23"/>
  <c r="AA243" i="23"/>
  <c r="AB243" i="23"/>
  <c r="AD243" i="23"/>
  <c r="AE243" i="23"/>
  <c r="AF243" i="23"/>
  <c r="AG243" i="23"/>
  <c r="AI243" i="23"/>
  <c r="AJ243" i="23"/>
  <c r="AA244" i="23"/>
  <c r="AB244" i="23"/>
  <c r="AD244" i="23"/>
  <c r="AE244" i="23"/>
  <c r="AF244" i="23"/>
  <c r="AG244" i="23"/>
  <c r="AI244" i="23"/>
  <c r="AJ244" i="23"/>
  <c r="AA245" i="23"/>
  <c r="AB245" i="23"/>
  <c r="AD245" i="23"/>
  <c r="AE245" i="23"/>
  <c r="AF245" i="23"/>
  <c r="AG245" i="23"/>
  <c r="AI245" i="23"/>
  <c r="AJ245" i="23"/>
  <c r="AA246" i="23"/>
  <c r="AB246" i="23"/>
  <c r="AD246" i="23"/>
  <c r="AE246" i="23"/>
  <c r="AF246" i="23"/>
  <c r="AG246" i="23"/>
  <c r="AI246" i="23"/>
  <c r="AJ246" i="23"/>
  <c r="AA247" i="23"/>
  <c r="AB247" i="23"/>
  <c r="AC247" i="23"/>
  <c r="AD247" i="23"/>
  <c r="AE247" i="23"/>
  <c r="AF247" i="23"/>
  <c r="AG247" i="23"/>
  <c r="AH247" i="23"/>
  <c r="AI247" i="23"/>
  <c r="AA248" i="23"/>
  <c r="AB248" i="23"/>
  <c r="AC248" i="23"/>
  <c r="AD248" i="23"/>
  <c r="AE248" i="23"/>
  <c r="AF248" i="23"/>
  <c r="AG248" i="23"/>
  <c r="AH248" i="23"/>
  <c r="AI248" i="23"/>
  <c r="AA249" i="23"/>
  <c r="AB249" i="23"/>
  <c r="AC249" i="23"/>
  <c r="AD249" i="23"/>
  <c r="AE249" i="23"/>
  <c r="AF249" i="23"/>
  <c r="AG249" i="23"/>
  <c r="AH249" i="23"/>
  <c r="AI249" i="23"/>
  <c r="AA250" i="23"/>
  <c r="AC250" i="23"/>
  <c r="AD250" i="23"/>
  <c r="AE250" i="23"/>
  <c r="AF250" i="23"/>
  <c r="AH250" i="23"/>
  <c r="AI250" i="23"/>
  <c r="AJ250" i="23"/>
  <c r="AA251" i="23"/>
  <c r="AC251" i="23"/>
  <c r="AD251" i="23"/>
  <c r="AE251" i="23"/>
  <c r="AF251" i="23"/>
  <c r="AH251" i="23"/>
  <c r="AI251" i="23"/>
  <c r="AJ251" i="23"/>
  <c r="AA252" i="23"/>
  <c r="AC252" i="23"/>
  <c r="AD252" i="23"/>
  <c r="AE252" i="23"/>
  <c r="AF252" i="23"/>
  <c r="AH252" i="23"/>
  <c r="AI252" i="23"/>
  <c r="AJ252" i="23"/>
  <c r="AA253" i="23"/>
  <c r="AB253" i="23"/>
  <c r="AC253" i="23"/>
  <c r="AD253" i="23"/>
  <c r="AE253" i="23"/>
  <c r="AF253" i="23"/>
  <c r="AG253" i="23"/>
  <c r="AJ253" i="23"/>
  <c r="AA254" i="23"/>
  <c r="AB254" i="23"/>
  <c r="AC254" i="23"/>
  <c r="AD254" i="23"/>
  <c r="AE254" i="23"/>
  <c r="AF254" i="23"/>
  <c r="AG254" i="23"/>
  <c r="AI254" i="23"/>
  <c r="AA255" i="23"/>
  <c r="AB255" i="23"/>
  <c r="AC255" i="23"/>
  <c r="AD255" i="23"/>
  <c r="AE255" i="23"/>
  <c r="AF255" i="23"/>
  <c r="AG255" i="23"/>
  <c r="AH255" i="23"/>
  <c r="AA256" i="23"/>
  <c r="AB256" i="23"/>
  <c r="AC256" i="23"/>
  <c r="AD256" i="23"/>
  <c r="AE256" i="23"/>
  <c r="AF256" i="23"/>
  <c r="AG256" i="23"/>
  <c r="AH256" i="23"/>
  <c r="AA257" i="23"/>
  <c r="AB257" i="23"/>
  <c r="AC257" i="23"/>
  <c r="AD257" i="23"/>
  <c r="AE257" i="23"/>
  <c r="AF257" i="23"/>
  <c r="AG257" i="23"/>
  <c r="AH257" i="23"/>
  <c r="AA258" i="23"/>
  <c r="AB258" i="23"/>
  <c r="AC258" i="23"/>
  <c r="AD258" i="23"/>
  <c r="AE258" i="23"/>
  <c r="AF258" i="23"/>
  <c r="AG258" i="23"/>
  <c r="AH258" i="23"/>
  <c r="AA259" i="23"/>
  <c r="AB259" i="23"/>
  <c r="AC259" i="23"/>
  <c r="AD259" i="23"/>
  <c r="AE259" i="23"/>
  <c r="AF259" i="23"/>
  <c r="AG259" i="23"/>
  <c r="AH259" i="23"/>
  <c r="AA260" i="23"/>
  <c r="AB260" i="23"/>
  <c r="AC260" i="23"/>
  <c r="AD260" i="23"/>
  <c r="AE260" i="23"/>
  <c r="AF260" i="23"/>
  <c r="AG260" i="23"/>
  <c r="AH260" i="23"/>
  <c r="AA261" i="23"/>
  <c r="AB261" i="23"/>
  <c r="AC261" i="23"/>
  <c r="AD261" i="23"/>
  <c r="AE261" i="23"/>
  <c r="AF261" i="23"/>
  <c r="AG261" i="23"/>
  <c r="AH261" i="23"/>
  <c r="AI261" i="23"/>
  <c r="AA262" i="23"/>
  <c r="AB262" i="23"/>
  <c r="AC262" i="23"/>
  <c r="AD262" i="23"/>
  <c r="AE262" i="23"/>
  <c r="AF262" i="23"/>
  <c r="AG262" i="23"/>
  <c r="AH262" i="23"/>
  <c r="AA263" i="23"/>
  <c r="AB263" i="23"/>
  <c r="AC263" i="23"/>
  <c r="AD263" i="23"/>
  <c r="AE263" i="23"/>
  <c r="AF263" i="23"/>
  <c r="AG263" i="23"/>
  <c r="AH263" i="23"/>
  <c r="AA264" i="23"/>
  <c r="AC264" i="23"/>
  <c r="AD264" i="23"/>
  <c r="AE264" i="23"/>
  <c r="AG264" i="23"/>
  <c r="AH264" i="23"/>
  <c r="AI264" i="23"/>
  <c r="AA265" i="23"/>
  <c r="AC265" i="23"/>
  <c r="AD265" i="23"/>
  <c r="AE265" i="23"/>
  <c r="AG265" i="23"/>
  <c r="AH265" i="23"/>
  <c r="AI265" i="23"/>
  <c r="AA266" i="23"/>
  <c r="AC266" i="23"/>
  <c r="AD266" i="23"/>
  <c r="AE266" i="23"/>
  <c r="AG266" i="23"/>
  <c r="AH266" i="23"/>
  <c r="AI266" i="23"/>
  <c r="AA267" i="23"/>
  <c r="AC267" i="23"/>
  <c r="AD267" i="23"/>
  <c r="AE267" i="23"/>
  <c r="AG267" i="23"/>
  <c r="AH267" i="23"/>
  <c r="AI267" i="23"/>
  <c r="AA268" i="23"/>
  <c r="AC268" i="23"/>
  <c r="AD268" i="23"/>
  <c r="AE268" i="23"/>
  <c r="AG268" i="23"/>
  <c r="AH268" i="23"/>
  <c r="AI268" i="23"/>
  <c r="AA269" i="23"/>
  <c r="AC269" i="23"/>
  <c r="AD269" i="23"/>
  <c r="AE269" i="23"/>
  <c r="AG269" i="23"/>
  <c r="AH269" i="23"/>
  <c r="AI269" i="23"/>
  <c r="AA270" i="23"/>
  <c r="AC270" i="23"/>
  <c r="AD270" i="23"/>
  <c r="AE270" i="23"/>
  <c r="AG270" i="23"/>
  <c r="AH270" i="23"/>
  <c r="AI270" i="23"/>
  <c r="AA271" i="23"/>
  <c r="AC271" i="23"/>
  <c r="AD271" i="23"/>
  <c r="AE271" i="23"/>
  <c r="AG271" i="23"/>
  <c r="AH271" i="23"/>
  <c r="AI271" i="23"/>
  <c r="AA272" i="23"/>
  <c r="AC272" i="23"/>
  <c r="AD272" i="23"/>
  <c r="AE272" i="23"/>
  <c r="AG272" i="23"/>
  <c r="AH272" i="23"/>
  <c r="AI272" i="23"/>
  <c r="AA273" i="23"/>
  <c r="AC273" i="23"/>
  <c r="AD273" i="23"/>
  <c r="AE273" i="23"/>
  <c r="AG273" i="23"/>
  <c r="AH273" i="23"/>
  <c r="AI273" i="23"/>
  <c r="AA274" i="23"/>
  <c r="AC274" i="23"/>
  <c r="AD274" i="23"/>
  <c r="AE274" i="23"/>
  <c r="AG274" i="23"/>
  <c r="AH274" i="23"/>
  <c r="AI274" i="23"/>
  <c r="AA275" i="23"/>
  <c r="AC275" i="23"/>
  <c r="AD275" i="23"/>
  <c r="AE275" i="23"/>
  <c r="AG275" i="23"/>
  <c r="AH275" i="23"/>
  <c r="AI275" i="23"/>
  <c r="AA276" i="23"/>
  <c r="AC276" i="23"/>
  <c r="AD276" i="23"/>
  <c r="AE276" i="23"/>
  <c r="AG276" i="23"/>
  <c r="AH276" i="23"/>
  <c r="AI276" i="23"/>
  <c r="AA277" i="23"/>
  <c r="AC277" i="23"/>
  <c r="AD277" i="23"/>
  <c r="AE277" i="23"/>
  <c r="AG277" i="23"/>
  <c r="AH277" i="23"/>
  <c r="AI277" i="23"/>
  <c r="AA278" i="23"/>
  <c r="AC278" i="23"/>
  <c r="AD278" i="23"/>
  <c r="AE278" i="23"/>
  <c r="AG278" i="23"/>
  <c r="AH278" i="23"/>
  <c r="AI278" i="23"/>
  <c r="AA279" i="23"/>
  <c r="AC279" i="23"/>
  <c r="AD279" i="23"/>
  <c r="AE279" i="23"/>
  <c r="AG279" i="23"/>
  <c r="AH279" i="23"/>
  <c r="AI279" i="23"/>
  <c r="AA280" i="23"/>
  <c r="AC280" i="23"/>
  <c r="AD280" i="23"/>
  <c r="AE280" i="23"/>
  <c r="AG280" i="23"/>
  <c r="AH280" i="23"/>
  <c r="AI280" i="23"/>
  <c r="AA281" i="23"/>
  <c r="AC281" i="23"/>
  <c r="AD281" i="23"/>
  <c r="AE281" i="23"/>
  <c r="AG281" i="23"/>
  <c r="AH281" i="23"/>
  <c r="AI281" i="23"/>
  <c r="AA282" i="23"/>
  <c r="AC282" i="23"/>
  <c r="AD282" i="23"/>
  <c r="AE282" i="23"/>
  <c r="AG282" i="23"/>
  <c r="AH282" i="23"/>
  <c r="AI282" i="23"/>
  <c r="AA283" i="23"/>
  <c r="AC283" i="23"/>
  <c r="AD283" i="23"/>
  <c r="AE283" i="23"/>
  <c r="AG283" i="23"/>
  <c r="AH283" i="23"/>
  <c r="AI283" i="23"/>
  <c r="AA284" i="23"/>
  <c r="AB284" i="23"/>
  <c r="AC284" i="23"/>
  <c r="AD284" i="23"/>
  <c r="AE284" i="23"/>
  <c r="AF284" i="23"/>
  <c r="AG284" i="23"/>
  <c r="AH284" i="23"/>
  <c r="AI284" i="23"/>
  <c r="AA285" i="23"/>
  <c r="AB285" i="23"/>
  <c r="AC285" i="23"/>
  <c r="AE285" i="23"/>
  <c r="AF285" i="23"/>
  <c r="AG285" i="23"/>
  <c r="AH285" i="23"/>
  <c r="AJ285" i="23"/>
  <c r="AA286" i="23"/>
  <c r="AB286" i="23"/>
  <c r="AC286" i="23"/>
  <c r="AE286" i="23"/>
  <c r="AF286" i="23"/>
  <c r="AG286" i="23"/>
  <c r="AH286" i="23"/>
  <c r="AJ286" i="23"/>
  <c r="AA287" i="23"/>
  <c r="AB287" i="23"/>
  <c r="AC287" i="23"/>
  <c r="AE287" i="23"/>
  <c r="AF287" i="23"/>
  <c r="AG287" i="23"/>
  <c r="AH287" i="23"/>
  <c r="AJ287" i="23"/>
  <c r="AA288" i="23"/>
  <c r="AB288" i="23"/>
  <c r="AC288" i="23"/>
  <c r="AD288" i="23"/>
  <c r="AE288" i="23"/>
  <c r="AF288" i="23"/>
  <c r="AI288" i="23"/>
  <c r="AJ288" i="23"/>
  <c r="AA289" i="23"/>
  <c r="AB289" i="23"/>
  <c r="AC289" i="23"/>
  <c r="AE289" i="23"/>
  <c r="AF289" i="23"/>
  <c r="AG289" i="23"/>
  <c r="AH289" i="23"/>
  <c r="AJ289" i="23"/>
  <c r="AA290" i="23"/>
  <c r="AB290" i="23"/>
  <c r="AC290" i="23"/>
  <c r="AE290" i="23"/>
  <c r="AF290" i="23"/>
  <c r="AG290" i="23"/>
  <c r="AH290" i="23"/>
  <c r="AJ290" i="23"/>
  <c r="AA291" i="23"/>
  <c r="AB291" i="23"/>
  <c r="AC291" i="23"/>
  <c r="AE291" i="23"/>
  <c r="AF291" i="23"/>
  <c r="AG291" i="23"/>
  <c r="AH291" i="23"/>
  <c r="AJ291" i="23"/>
  <c r="AA292" i="23"/>
  <c r="AB292" i="23"/>
  <c r="AC292" i="23"/>
  <c r="AE292" i="23"/>
  <c r="AF292" i="23"/>
  <c r="AG292" i="23"/>
  <c r="AH292" i="23"/>
  <c r="AJ292" i="23"/>
  <c r="AA293" i="23"/>
  <c r="AB293" i="23"/>
  <c r="AC293" i="23"/>
  <c r="AE293" i="23"/>
  <c r="AF293" i="23"/>
  <c r="AG293" i="23"/>
  <c r="AH293" i="23"/>
  <c r="AJ293" i="23"/>
  <c r="AA294" i="23"/>
  <c r="AB294" i="23"/>
  <c r="AC294" i="23"/>
  <c r="AE294" i="23"/>
  <c r="AF294" i="23"/>
  <c r="AG294" i="23"/>
  <c r="AH294" i="23"/>
  <c r="AJ294" i="23"/>
  <c r="AA295" i="23"/>
  <c r="AB295" i="23"/>
  <c r="AC295" i="23"/>
  <c r="AE295" i="23"/>
  <c r="AF295" i="23"/>
  <c r="AG295" i="23"/>
  <c r="AH295" i="23"/>
  <c r="AJ295" i="23"/>
  <c r="AA296" i="23"/>
  <c r="AB296" i="23"/>
  <c r="AC296" i="23"/>
  <c r="AE296" i="23"/>
  <c r="AF296" i="23"/>
  <c r="AG296" i="23"/>
  <c r="AH296" i="23"/>
  <c r="AJ296" i="23"/>
  <c r="AA297" i="23"/>
  <c r="AB297" i="23"/>
  <c r="AC297" i="23"/>
  <c r="AE297" i="23"/>
  <c r="AF297" i="23"/>
  <c r="AG297" i="23"/>
  <c r="AH297" i="23"/>
  <c r="AJ297" i="23"/>
  <c r="AA298" i="23"/>
  <c r="AB298" i="23"/>
  <c r="AC298" i="23"/>
  <c r="AE298" i="23"/>
  <c r="AF298" i="23"/>
  <c r="AG298" i="23"/>
  <c r="AH298" i="23"/>
  <c r="AJ298" i="23"/>
  <c r="AA299" i="23"/>
  <c r="AB299" i="23"/>
  <c r="AC299" i="23"/>
  <c r="AE299" i="23"/>
  <c r="AF299" i="23"/>
  <c r="AG299" i="23"/>
  <c r="AH299" i="23"/>
  <c r="AJ299" i="23"/>
  <c r="AA300" i="23"/>
  <c r="AB300" i="23"/>
  <c r="AC300" i="23"/>
  <c r="AE300" i="23"/>
  <c r="AF300" i="23"/>
  <c r="AG300" i="23"/>
  <c r="AH300" i="23"/>
  <c r="AJ300" i="23"/>
  <c r="AA301" i="23"/>
  <c r="AB301" i="23"/>
  <c r="AC301" i="23"/>
  <c r="AD301" i="23"/>
  <c r="AE301" i="23"/>
  <c r="AF301" i="23"/>
  <c r="AI301" i="23"/>
  <c r="AJ301" i="23"/>
  <c r="AA302" i="23"/>
  <c r="AB302" i="23"/>
  <c r="AC302" i="23"/>
  <c r="AD302" i="23"/>
  <c r="AE302" i="23"/>
  <c r="AF302" i="23"/>
  <c r="AG302" i="23"/>
  <c r="AH302" i="23"/>
  <c r="AA303" i="23"/>
  <c r="AB303" i="23"/>
  <c r="AC303" i="23"/>
  <c r="AD303" i="23"/>
  <c r="AE303" i="23"/>
  <c r="AF303" i="23"/>
  <c r="AG303" i="23"/>
  <c r="AH303" i="23"/>
  <c r="AI303" i="23"/>
  <c r="AA304" i="23"/>
  <c r="AB304" i="23"/>
  <c r="AC304" i="23"/>
  <c r="AE304" i="23"/>
  <c r="AF304" i="23"/>
  <c r="AG304" i="23"/>
  <c r="AH304" i="23"/>
  <c r="AJ304" i="23"/>
  <c r="AA305" i="23"/>
  <c r="AB305" i="23"/>
  <c r="AC305" i="23"/>
  <c r="AE305" i="23"/>
  <c r="AF305" i="23"/>
  <c r="AG305" i="23"/>
  <c r="AH305" i="23"/>
  <c r="AI305" i="23"/>
  <c r="AA306" i="23"/>
  <c r="AB306" i="23"/>
  <c r="AC306" i="23"/>
  <c r="AE306" i="23"/>
  <c r="AF306" i="23"/>
  <c r="AG306" i="23"/>
  <c r="AH306" i="23"/>
  <c r="AJ306" i="23"/>
  <c r="AA307" i="23"/>
  <c r="AB307" i="23"/>
  <c r="AC307" i="23"/>
  <c r="AE307" i="23"/>
  <c r="AF307" i="23"/>
  <c r="AG307" i="23"/>
  <c r="AH307" i="23"/>
  <c r="AJ307" i="23"/>
  <c r="AA308" i="23"/>
  <c r="AB308" i="23"/>
  <c r="AC308" i="23"/>
  <c r="AE308" i="23"/>
  <c r="AF308" i="23"/>
  <c r="AG308" i="23"/>
  <c r="AH308" i="23"/>
  <c r="AJ308" i="23"/>
  <c r="AA309" i="23"/>
  <c r="AB309" i="23"/>
  <c r="AC309" i="23"/>
  <c r="AE309" i="23"/>
  <c r="AF309" i="23"/>
  <c r="AG309" i="23"/>
  <c r="AH309" i="23"/>
  <c r="AJ309" i="23"/>
  <c r="AA310" i="23"/>
  <c r="AB310" i="23"/>
  <c r="AC310" i="23"/>
  <c r="AE310" i="23"/>
  <c r="AF310" i="23"/>
  <c r="AG310" i="23"/>
  <c r="AH310" i="23"/>
  <c r="AJ310" i="23"/>
  <c r="AA311" i="23"/>
  <c r="AB311" i="23"/>
  <c r="AC311" i="23"/>
  <c r="AE311" i="23"/>
  <c r="AF311" i="23"/>
  <c r="AG311" i="23"/>
  <c r="AH311" i="23"/>
  <c r="AJ311" i="23"/>
  <c r="AA312" i="23"/>
  <c r="AB312" i="23"/>
  <c r="AC312" i="23"/>
  <c r="AE312" i="23"/>
  <c r="AF312" i="23"/>
  <c r="AG312" i="23"/>
  <c r="AH312" i="23"/>
  <c r="AJ312" i="23"/>
  <c r="AA313" i="23"/>
  <c r="AB313" i="23"/>
  <c r="AC313" i="23"/>
  <c r="AE313" i="23"/>
  <c r="AF313" i="23"/>
  <c r="AG313" i="23"/>
  <c r="AH313" i="23"/>
  <c r="AJ313" i="23"/>
  <c r="AA314" i="23"/>
  <c r="AB314" i="23"/>
  <c r="AC314" i="23"/>
  <c r="AE314" i="23"/>
  <c r="AF314" i="23"/>
  <c r="AG314" i="23"/>
  <c r="AH314" i="23"/>
  <c r="AJ314" i="23"/>
  <c r="AA315" i="23"/>
  <c r="AB315" i="23"/>
  <c r="AC315" i="23"/>
  <c r="AE315" i="23"/>
  <c r="AF315" i="23"/>
  <c r="AG315" i="23"/>
  <c r="AH315" i="23"/>
  <c r="AJ315" i="23"/>
  <c r="AA316" i="23"/>
  <c r="AB316" i="23"/>
  <c r="AC316" i="23"/>
  <c r="AE316" i="23"/>
  <c r="AF316" i="23"/>
  <c r="AG316" i="23"/>
  <c r="AH316" i="23"/>
  <c r="AJ316" i="23"/>
  <c r="AA317" i="23"/>
  <c r="AB317" i="23"/>
  <c r="AC317" i="23"/>
  <c r="AE317" i="23"/>
  <c r="AF317" i="23"/>
  <c r="AG317" i="23"/>
  <c r="AH317" i="23"/>
  <c r="AJ317" i="23"/>
  <c r="AA318" i="23"/>
  <c r="AB318" i="23"/>
  <c r="AC318" i="23"/>
  <c r="AE318" i="23"/>
  <c r="AF318" i="23"/>
  <c r="AG318" i="23"/>
  <c r="AH318" i="23"/>
  <c r="AJ318" i="23"/>
  <c r="AA319" i="23"/>
  <c r="AB319" i="23"/>
  <c r="AC319" i="23"/>
  <c r="AE319" i="23"/>
  <c r="AF319" i="23"/>
  <c r="AG319" i="23"/>
  <c r="AH319" i="23"/>
  <c r="AJ319" i="23"/>
  <c r="AA320" i="23"/>
  <c r="AB320" i="23"/>
  <c r="AC320" i="23"/>
  <c r="AE320" i="23"/>
  <c r="AF320" i="23"/>
  <c r="AG320" i="23"/>
  <c r="AH320" i="23"/>
  <c r="AJ320" i="23"/>
  <c r="AA321" i="23"/>
  <c r="AB321" i="23"/>
  <c r="AC321" i="23"/>
  <c r="AE321" i="23"/>
  <c r="AF321" i="23"/>
  <c r="AG321" i="23"/>
  <c r="AH321" i="23"/>
  <c r="AJ321" i="23"/>
  <c r="AA322" i="23"/>
  <c r="AB322" i="23"/>
  <c r="AC322" i="23"/>
  <c r="AE322" i="23"/>
  <c r="AF322" i="23"/>
  <c r="AG322" i="23"/>
  <c r="AH322" i="23"/>
  <c r="AJ322" i="23"/>
  <c r="AA323" i="23"/>
  <c r="AB323" i="23"/>
  <c r="AC323" i="23"/>
  <c r="AE323" i="23"/>
  <c r="AF323" i="23"/>
  <c r="AG323" i="23"/>
  <c r="AH323" i="23"/>
  <c r="AJ323" i="23"/>
  <c r="AA324" i="23"/>
  <c r="AB324" i="23"/>
  <c r="AC324" i="23"/>
  <c r="AE324" i="23"/>
  <c r="AF324" i="23"/>
  <c r="AG324" i="23"/>
  <c r="AH324" i="23"/>
  <c r="AJ324" i="23"/>
  <c r="AA325" i="23"/>
  <c r="AB325" i="23"/>
  <c r="AC325" i="23"/>
  <c r="AE325" i="23"/>
  <c r="AF325" i="23"/>
  <c r="AG325" i="23"/>
  <c r="AH325" i="23"/>
  <c r="AJ325" i="23"/>
  <c r="AA326" i="23"/>
  <c r="AB326" i="23"/>
  <c r="AC326" i="23"/>
  <c r="AE326" i="23"/>
  <c r="AF326" i="23"/>
  <c r="AG326" i="23"/>
  <c r="AH326" i="23"/>
  <c r="AJ326" i="23"/>
  <c r="AA327" i="23"/>
  <c r="AB327" i="23"/>
  <c r="AC327" i="23"/>
  <c r="AD327" i="23"/>
  <c r="AE327" i="23"/>
  <c r="AG327" i="23"/>
  <c r="AI327" i="23"/>
  <c r="AJ327" i="23"/>
  <c r="AA328" i="23"/>
  <c r="AB328" i="23"/>
  <c r="AC328" i="23"/>
  <c r="AD328" i="23"/>
  <c r="AE328" i="23"/>
  <c r="AG328" i="23"/>
  <c r="AI328" i="23"/>
  <c r="AJ328" i="23"/>
  <c r="AA329" i="23"/>
  <c r="AB329" i="23"/>
  <c r="AC329" i="23"/>
  <c r="AD329" i="23"/>
  <c r="AE329" i="23"/>
  <c r="AG329" i="23"/>
  <c r="AI329" i="23"/>
  <c r="AJ329" i="23"/>
  <c r="AA330" i="23"/>
  <c r="AB330" i="23"/>
  <c r="AC330" i="23"/>
  <c r="AD330" i="23"/>
  <c r="AE330" i="23"/>
  <c r="AH330" i="23"/>
  <c r="AI330" i="23"/>
  <c r="AJ330" i="23"/>
  <c r="AA331" i="23"/>
  <c r="AB331" i="23"/>
  <c r="AC331" i="23"/>
  <c r="AD331" i="23"/>
  <c r="AE331" i="23"/>
  <c r="AH331" i="23"/>
  <c r="AI331" i="23"/>
  <c r="AJ331" i="23"/>
  <c r="AA332" i="23"/>
  <c r="AB332" i="23"/>
  <c r="AC332" i="23"/>
  <c r="AD332" i="23"/>
  <c r="AE332" i="23"/>
  <c r="AH332" i="23"/>
  <c r="AI332" i="23"/>
  <c r="AJ332" i="23"/>
  <c r="AA333" i="23"/>
  <c r="AB333" i="23"/>
  <c r="AC333" i="23"/>
  <c r="AD333" i="23"/>
  <c r="AE333" i="23"/>
  <c r="AH333" i="23"/>
  <c r="AI333" i="23"/>
  <c r="AJ333" i="23"/>
  <c r="AA334" i="23"/>
  <c r="AB334" i="23"/>
  <c r="AC334" i="23"/>
  <c r="AD334" i="23"/>
  <c r="AE334" i="23"/>
  <c r="AH334" i="23"/>
  <c r="AI334" i="23"/>
  <c r="AJ334" i="23"/>
  <c r="AA335" i="23"/>
  <c r="AB335" i="23"/>
  <c r="AC335" i="23"/>
  <c r="AD335" i="23"/>
  <c r="AE335" i="23"/>
  <c r="AH335" i="23"/>
  <c r="AI335" i="23"/>
  <c r="AJ335" i="23"/>
  <c r="AA336" i="23"/>
  <c r="AB336" i="23"/>
  <c r="AC336" i="23"/>
  <c r="AD336" i="23"/>
  <c r="AE336" i="23"/>
  <c r="AH336" i="23"/>
  <c r="AI336" i="23"/>
  <c r="AJ336" i="23"/>
  <c r="AA337" i="23"/>
  <c r="AB337" i="23"/>
  <c r="AD337" i="23"/>
  <c r="AE337" i="23"/>
  <c r="AF337" i="23"/>
  <c r="AG337" i="23"/>
  <c r="AI337" i="23"/>
  <c r="AJ337" i="23"/>
  <c r="AA338" i="23"/>
  <c r="AB338" i="23"/>
  <c r="AD338" i="23"/>
  <c r="AE338" i="23"/>
  <c r="AF338" i="23"/>
  <c r="AG338" i="23"/>
  <c r="AI338" i="23"/>
  <c r="AJ338" i="23"/>
  <c r="AA339" i="23"/>
  <c r="AB339" i="23"/>
  <c r="AD339" i="23"/>
  <c r="AE339" i="23"/>
  <c r="AF339" i="23"/>
  <c r="AG339" i="23"/>
  <c r="AI339" i="23"/>
  <c r="AJ339" i="23"/>
  <c r="AA340" i="23"/>
  <c r="AB340" i="23"/>
  <c r="AD340" i="23"/>
  <c r="AE340" i="23"/>
  <c r="AF340" i="23"/>
  <c r="AG340" i="23"/>
  <c r="AI340" i="23"/>
  <c r="AJ340" i="23"/>
  <c r="AA341" i="23"/>
  <c r="AB341" i="23"/>
  <c r="AD341" i="23"/>
  <c r="AE341" i="23"/>
  <c r="AF341" i="23"/>
  <c r="AG341" i="23"/>
  <c r="AI341" i="23"/>
  <c r="AJ341" i="23"/>
  <c r="AA342" i="23"/>
  <c r="AB342" i="23"/>
  <c r="AD342" i="23"/>
  <c r="AE342" i="23"/>
  <c r="AF342" i="23"/>
  <c r="AG342" i="23"/>
  <c r="AI342" i="23"/>
  <c r="AJ342" i="23"/>
  <c r="AA343" i="23"/>
  <c r="AB343" i="23"/>
  <c r="AD343" i="23"/>
  <c r="AE343" i="23"/>
  <c r="AF343" i="23"/>
  <c r="AG343" i="23"/>
  <c r="AI343" i="23"/>
  <c r="AJ343" i="23"/>
  <c r="AA344" i="23"/>
  <c r="AB344" i="23"/>
  <c r="AC344" i="23"/>
  <c r="AD344" i="23"/>
  <c r="AG344" i="23"/>
  <c r="AH344" i="23"/>
  <c r="AI344" i="23"/>
  <c r="AJ344" i="23"/>
  <c r="AA345" i="23"/>
  <c r="AB345" i="23"/>
  <c r="AC345" i="23"/>
  <c r="AD345" i="23"/>
  <c r="AG345" i="23"/>
  <c r="AH345" i="23"/>
  <c r="AI345" i="23"/>
  <c r="AJ345" i="23"/>
  <c r="AA346" i="23"/>
  <c r="AB346" i="23"/>
  <c r="AC346" i="23"/>
  <c r="AD346" i="23"/>
  <c r="AG346" i="23"/>
  <c r="AH346" i="23"/>
  <c r="AI346" i="23"/>
  <c r="AJ346" i="23"/>
  <c r="AA347" i="23"/>
  <c r="AC347" i="23"/>
  <c r="AD347" i="23"/>
  <c r="AE347" i="23"/>
  <c r="AF347" i="23"/>
  <c r="AH347" i="23"/>
  <c r="AI347" i="23"/>
  <c r="AJ347" i="23"/>
  <c r="AA348" i="23"/>
  <c r="AC348" i="23"/>
  <c r="AD348" i="23"/>
  <c r="AE348" i="23"/>
  <c r="AF348" i="23"/>
  <c r="AH348" i="23"/>
  <c r="AI348" i="23"/>
  <c r="AJ348" i="23"/>
  <c r="AA349" i="23"/>
  <c r="AC349" i="23"/>
  <c r="AD349" i="23"/>
  <c r="AE349" i="23"/>
  <c r="AF349" i="23"/>
  <c r="AH349" i="23"/>
  <c r="AI349" i="23"/>
  <c r="AJ349" i="23"/>
  <c r="AA350" i="23"/>
  <c r="AC350" i="23"/>
  <c r="AD350" i="23"/>
  <c r="AE350" i="23"/>
  <c r="AF350" i="23"/>
  <c r="AH350" i="23"/>
  <c r="AI350" i="23"/>
  <c r="AJ350" i="23"/>
  <c r="AA351" i="23"/>
  <c r="AC351" i="23"/>
  <c r="AD351" i="23"/>
  <c r="AE351" i="23"/>
  <c r="AF351" i="23"/>
  <c r="AH351" i="23"/>
  <c r="AI351" i="23"/>
  <c r="AJ351" i="23"/>
  <c r="AA352" i="23"/>
  <c r="AC352" i="23"/>
  <c r="AD352" i="23"/>
  <c r="AE352" i="23"/>
  <c r="AF352" i="23"/>
  <c r="AH352" i="23"/>
  <c r="AI352" i="23"/>
  <c r="AJ352" i="23"/>
  <c r="AA353" i="23"/>
  <c r="AC353" i="23"/>
  <c r="AD353" i="23"/>
  <c r="AE353" i="23"/>
  <c r="AF353" i="23"/>
  <c r="AH353" i="23"/>
  <c r="AI353" i="23"/>
  <c r="AJ353" i="23"/>
  <c r="AA354" i="23"/>
  <c r="AC354" i="23"/>
  <c r="AD354" i="23"/>
  <c r="AE354" i="23"/>
  <c r="AF354" i="23"/>
  <c r="AH354" i="23"/>
  <c r="AI354" i="23"/>
  <c r="AJ354" i="23"/>
  <c r="AA355" i="23"/>
  <c r="AC355" i="23"/>
  <c r="AD355" i="23"/>
  <c r="AE355" i="23"/>
  <c r="AF355" i="23"/>
  <c r="AH355" i="23"/>
  <c r="AI355" i="23"/>
  <c r="AJ355" i="23"/>
  <c r="AA356" i="23"/>
  <c r="AC356" i="23"/>
  <c r="AD356" i="23"/>
  <c r="AE356" i="23"/>
  <c r="AF356" i="23"/>
  <c r="AH356" i="23"/>
  <c r="AI356" i="23"/>
  <c r="AJ356" i="23"/>
  <c r="AA357" i="23"/>
  <c r="AC357" i="23"/>
  <c r="AD357" i="23"/>
  <c r="AE357" i="23"/>
  <c r="AF357" i="23"/>
  <c r="AG357" i="23"/>
  <c r="AH357" i="23"/>
  <c r="AA358" i="23"/>
  <c r="AC358" i="23"/>
  <c r="AD358" i="23"/>
  <c r="AE358" i="23"/>
  <c r="AF358" i="23"/>
  <c r="AG358" i="23"/>
  <c r="AH358" i="23"/>
  <c r="AA359" i="23"/>
  <c r="AB359" i="23"/>
  <c r="AC359" i="23"/>
  <c r="AD359" i="23"/>
  <c r="AE359" i="23"/>
  <c r="AF359" i="23"/>
  <c r="AI359" i="23"/>
  <c r="AJ359" i="23"/>
  <c r="AA360" i="23"/>
  <c r="AB360" i="23"/>
  <c r="AC360" i="23"/>
  <c r="AD360" i="23"/>
  <c r="AE360" i="23"/>
  <c r="AF360" i="23"/>
  <c r="AI360" i="23"/>
  <c r="AJ360" i="23"/>
  <c r="AA361" i="23"/>
  <c r="AB361" i="23"/>
  <c r="AC361" i="23"/>
  <c r="AD361" i="23"/>
  <c r="AE361" i="23"/>
  <c r="AF361" i="23"/>
  <c r="AH361" i="23"/>
  <c r="AI361" i="23"/>
  <c r="AA362" i="23"/>
  <c r="AB362" i="23"/>
  <c r="AC362" i="23"/>
  <c r="AD362" i="23"/>
  <c r="AE362" i="23"/>
  <c r="AF362" i="23"/>
  <c r="AI362" i="23"/>
  <c r="AJ362" i="23"/>
  <c r="AA363" i="23"/>
  <c r="AC363" i="23"/>
  <c r="AD363" i="23"/>
  <c r="AF363" i="23"/>
  <c r="AG363" i="23"/>
  <c r="AH363" i="23"/>
  <c r="AI363" i="23"/>
  <c r="AJ363" i="23"/>
  <c r="AA364" i="23"/>
  <c r="AD364" i="23"/>
  <c r="AE364" i="23"/>
  <c r="AF364" i="23"/>
  <c r="AG364" i="23"/>
  <c r="AH364" i="23"/>
  <c r="AI364" i="23"/>
  <c r="AJ364" i="23"/>
  <c r="AA365" i="23"/>
  <c r="AD365" i="23"/>
  <c r="AE365" i="23"/>
  <c r="AF365" i="23"/>
  <c r="AG365" i="23"/>
  <c r="AH365" i="23"/>
  <c r="AI365" i="23"/>
  <c r="AJ365" i="23"/>
  <c r="AA366" i="23"/>
  <c r="AD366" i="23"/>
  <c r="AE366" i="23"/>
  <c r="AF366" i="23"/>
  <c r="AG366" i="23"/>
  <c r="AH366" i="23"/>
  <c r="AI366" i="23"/>
  <c r="AJ366" i="23"/>
  <c r="AB367" i="23"/>
  <c r="AD367" i="23"/>
  <c r="AE367" i="23"/>
  <c r="AF367" i="23"/>
  <c r="AG367" i="23"/>
  <c r="AH367" i="23"/>
  <c r="AI367" i="23"/>
  <c r="AJ367" i="23"/>
  <c r="AB368" i="23"/>
  <c r="AD368" i="23"/>
  <c r="AE368" i="23"/>
  <c r="AF368" i="23"/>
  <c r="AG368" i="23"/>
  <c r="AH368" i="23"/>
  <c r="AI368" i="23"/>
  <c r="AJ368" i="23"/>
  <c r="AB369" i="23"/>
  <c r="AD369" i="23"/>
  <c r="AE369" i="23"/>
  <c r="AF369" i="23"/>
  <c r="AG369" i="23"/>
  <c r="AH369" i="23"/>
  <c r="AI369" i="23"/>
  <c r="AJ369" i="23"/>
  <c r="AB370" i="23"/>
  <c r="AD370" i="23"/>
  <c r="AE370" i="23"/>
  <c r="AF370" i="23"/>
  <c r="AG370" i="23"/>
  <c r="AH370" i="23"/>
  <c r="AI370" i="23"/>
  <c r="AJ370" i="23"/>
  <c r="AB371" i="23"/>
  <c r="AD371" i="23"/>
  <c r="AE371" i="23"/>
  <c r="AF371" i="23"/>
  <c r="AG371" i="23"/>
  <c r="AH371" i="23"/>
  <c r="AI371" i="23"/>
  <c r="AJ371" i="23"/>
  <c r="AB372" i="23"/>
  <c r="AD372" i="23"/>
  <c r="AE372" i="23"/>
  <c r="AF372" i="23"/>
  <c r="AG372" i="23"/>
  <c r="AH372" i="23"/>
  <c r="AI372" i="23"/>
  <c r="AJ372" i="23"/>
  <c r="AB373" i="23"/>
  <c r="AD373" i="23"/>
  <c r="AE373" i="23"/>
  <c r="AF373" i="23"/>
  <c r="AG373" i="23"/>
  <c r="AH373" i="23"/>
  <c r="AI373" i="23"/>
  <c r="AJ373" i="23"/>
  <c r="AB374" i="23"/>
  <c r="AD374" i="23"/>
  <c r="AE374" i="23"/>
  <c r="AF374" i="23"/>
  <c r="AG374" i="23"/>
  <c r="AH374" i="23"/>
  <c r="AI374" i="23"/>
  <c r="AJ374" i="23"/>
  <c r="AB375" i="23"/>
  <c r="AD375" i="23"/>
  <c r="AE375" i="23"/>
  <c r="AF375" i="23"/>
  <c r="AG375" i="23"/>
  <c r="AH375" i="23"/>
  <c r="AI375" i="23"/>
  <c r="AJ375" i="23"/>
  <c r="AB376" i="23"/>
  <c r="AD376" i="23"/>
  <c r="AE376" i="23"/>
  <c r="AF376" i="23"/>
  <c r="AG376" i="23"/>
  <c r="AH376" i="23"/>
  <c r="AI376" i="23"/>
  <c r="AJ376" i="23"/>
  <c r="AA377" i="23"/>
  <c r="AB377" i="23"/>
  <c r="AC377" i="23"/>
  <c r="AD377" i="23"/>
  <c r="AE377" i="23"/>
  <c r="AF377" i="23"/>
  <c r="AG377" i="23"/>
  <c r="AH377" i="23"/>
  <c r="AI377" i="23"/>
  <c r="AJ377" i="23"/>
  <c r="AA378" i="23"/>
  <c r="AB378" i="23"/>
  <c r="AC378" i="23"/>
  <c r="AD378" i="23"/>
  <c r="AE378" i="23"/>
  <c r="AF378" i="23"/>
  <c r="AG378" i="23"/>
  <c r="AH378" i="23"/>
  <c r="AI378" i="23"/>
  <c r="AJ378" i="23"/>
  <c r="AA379" i="23"/>
  <c r="AB379" i="23"/>
  <c r="AC379" i="23"/>
  <c r="AD379" i="23"/>
  <c r="AE379" i="23"/>
  <c r="AF379" i="23"/>
  <c r="AG379" i="23"/>
  <c r="AH379" i="23"/>
  <c r="AI379" i="23"/>
  <c r="AJ379" i="23"/>
  <c r="AA380" i="23"/>
  <c r="AB380" i="23"/>
  <c r="AC380" i="23"/>
  <c r="AD380" i="23"/>
  <c r="AE380" i="23"/>
  <c r="AF380" i="23"/>
  <c r="AG380" i="23"/>
  <c r="AH380" i="23"/>
  <c r="AI380" i="23"/>
  <c r="AJ380" i="23"/>
  <c r="AA381" i="23"/>
  <c r="AB381" i="23"/>
  <c r="AC381" i="23"/>
  <c r="AD381" i="23"/>
  <c r="AE381" i="23"/>
  <c r="AF381" i="23"/>
  <c r="AG381" i="23"/>
  <c r="AH381" i="23"/>
  <c r="AI381" i="23"/>
  <c r="AJ381" i="23"/>
  <c r="AA382" i="23"/>
  <c r="AB382" i="23"/>
  <c r="AC382" i="23"/>
  <c r="AD382" i="23"/>
  <c r="AE382" i="23"/>
  <c r="AF382" i="23"/>
  <c r="AG382" i="23"/>
  <c r="AH382" i="23"/>
  <c r="AI382" i="23"/>
  <c r="AJ382" i="23"/>
  <c r="AA383" i="23"/>
  <c r="AB383" i="23"/>
  <c r="AC383" i="23"/>
  <c r="AD383" i="23"/>
  <c r="AE383" i="23"/>
  <c r="AF383" i="23"/>
  <c r="AG383" i="23"/>
  <c r="AH383" i="23"/>
  <c r="AI383" i="23"/>
  <c r="AJ383" i="23"/>
  <c r="AA384" i="23"/>
  <c r="AB384" i="23"/>
  <c r="AC384" i="23"/>
  <c r="AD384" i="23"/>
  <c r="AE384" i="23"/>
  <c r="AF384" i="23"/>
  <c r="AG384" i="23"/>
  <c r="AH384" i="23"/>
  <c r="AI384" i="23"/>
  <c r="AJ384" i="23"/>
  <c r="AA385" i="23"/>
  <c r="AB385" i="23"/>
  <c r="AC385" i="23"/>
  <c r="AD385" i="23"/>
  <c r="AE385" i="23"/>
  <c r="AF385" i="23"/>
  <c r="AG385" i="23"/>
  <c r="AH385" i="23"/>
  <c r="AI385" i="23"/>
  <c r="AJ385" i="23"/>
  <c r="AA386" i="23"/>
  <c r="AB386" i="23"/>
  <c r="AC386" i="23"/>
  <c r="AD386" i="23"/>
  <c r="AE386" i="23"/>
  <c r="AF386" i="23"/>
  <c r="AG386" i="23"/>
  <c r="AH386" i="23"/>
  <c r="AI386" i="23"/>
  <c r="AJ386" i="23"/>
  <c r="AA387" i="23"/>
  <c r="AB387" i="23"/>
  <c r="AC387" i="23"/>
  <c r="AD387" i="23"/>
  <c r="AE387" i="23"/>
  <c r="AF387" i="23"/>
  <c r="AG387" i="23"/>
  <c r="AH387" i="23"/>
  <c r="AI387" i="23"/>
  <c r="AJ387" i="23"/>
  <c r="AA388" i="23"/>
  <c r="AB388" i="23"/>
  <c r="AC388" i="23"/>
  <c r="AD388" i="23"/>
  <c r="AE388" i="23"/>
  <c r="AF388" i="23"/>
  <c r="AG388" i="23"/>
  <c r="AH388" i="23"/>
  <c r="AI388" i="23"/>
  <c r="AJ388" i="23"/>
  <c r="AA389" i="23"/>
  <c r="AB389" i="23"/>
  <c r="AC389" i="23"/>
  <c r="AD389" i="23"/>
  <c r="AE389" i="23"/>
  <c r="AF389" i="23"/>
  <c r="AG389" i="23"/>
  <c r="AH389" i="23"/>
  <c r="AI389" i="23"/>
  <c r="AJ389" i="23"/>
  <c r="AA390" i="23"/>
  <c r="AB390" i="23"/>
  <c r="AC390" i="23"/>
  <c r="AD390" i="23"/>
  <c r="AE390" i="23"/>
  <c r="AF390" i="23"/>
  <c r="AG390" i="23"/>
  <c r="AH390" i="23"/>
  <c r="AI390" i="23"/>
  <c r="AJ390" i="23"/>
  <c r="AA391" i="23"/>
  <c r="AB391" i="23"/>
  <c r="AC391" i="23"/>
  <c r="AD391" i="23"/>
  <c r="AE391" i="23"/>
  <c r="AF391" i="23"/>
  <c r="AG391" i="23"/>
  <c r="AH391" i="23"/>
  <c r="AI391" i="23"/>
  <c r="AJ391" i="23"/>
  <c r="AA392" i="23"/>
  <c r="AB392" i="23"/>
  <c r="AC392" i="23"/>
  <c r="AD392" i="23"/>
  <c r="AE392" i="23"/>
  <c r="AF392" i="23"/>
  <c r="AG392" i="23"/>
  <c r="AH392" i="23"/>
  <c r="AI392" i="23"/>
  <c r="AJ392" i="23"/>
  <c r="AA393" i="23"/>
  <c r="AB393" i="23"/>
  <c r="AC393" i="23"/>
  <c r="AD393" i="23"/>
  <c r="AE393" i="23"/>
  <c r="AF393" i="23"/>
  <c r="AG393" i="23"/>
  <c r="AH393" i="23"/>
  <c r="AI393" i="23"/>
  <c r="AJ393" i="23"/>
  <c r="AA394" i="23"/>
  <c r="AB394" i="23"/>
  <c r="AC394" i="23"/>
  <c r="AD394" i="23"/>
  <c r="AE394" i="23"/>
  <c r="AF394" i="23"/>
  <c r="AG394" i="23"/>
  <c r="AH394" i="23"/>
  <c r="AI394" i="23"/>
  <c r="AJ394" i="23"/>
  <c r="AA395" i="23"/>
  <c r="AB395" i="23"/>
  <c r="AC395" i="23"/>
  <c r="AD395" i="23"/>
  <c r="AE395" i="23"/>
  <c r="AF395" i="23"/>
  <c r="AG395" i="23"/>
  <c r="AH395" i="23"/>
  <c r="AI395" i="23"/>
  <c r="AJ395" i="23"/>
  <c r="AA396" i="23"/>
  <c r="AB396" i="23"/>
  <c r="AC396" i="23"/>
  <c r="AD396" i="23"/>
  <c r="AE396" i="23"/>
  <c r="AF396" i="23"/>
  <c r="AG396" i="23"/>
  <c r="AH396" i="23"/>
  <c r="AI396" i="23"/>
  <c r="AJ396" i="23"/>
  <c r="AA397" i="23"/>
  <c r="AB397" i="23"/>
  <c r="AC397" i="23"/>
  <c r="AD397" i="23"/>
  <c r="AE397" i="23"/>
  <c r="AF397" i="23"/>
  <c r="AG397" i="23"/>
  <c r="AH397" i="23"/>
  <c r="AI397" i="23"/>
  <c r="AJ397" i="23"/>
  <c r="AA398" i="23"/>
  <c r="AB398" i="23"/>
  <c r="AC398" i="23"/>
  <c r="AD398" i="23"/>
  <c r="AE398" i="23"/>
  <c r="AF398" i="23"/>
  <c r="AG398" i="23"/>
  <c r="AH398" i="23"/>
  <c r="AI398" i="23"/>
  <c r="AJ398" i="23"/>
  <c r="AA399" i="23"/>
  <c r="AB399" i="23"/>
  <c r="AC399" i="23"/>
  <c r="AD399" i="23"/>
  <c r="AE399" i="23"/>
  <c r="AF399" i="23"/>
  <c r="AG399" i="23"/>
  <c r="AH399" i="23"/>
  <c r="AI399" i="23"/>
  <c r="AJ399" i="23"/>
  <c r="AA400" i="23"/>
  <c r="AB400" i="23"/>
  <c r="AC400" i="23"/>
  <c r="AD400" i="23"/>
  <c r="AE400" i="23"/>
  <c r="AF400" i="23"/>
  <c r="AG400" i="23"/>
  <c r="AH400" i="23"/>
  <c r="AI400" i="23"/>
  <c r="AJ400" i="23"/>
  <c r="AA401" i="23"/>
  <c r="AB401" i="23"/>
  <c r="AC401" i="23"/>
  <c r="AD401" i="23"/>
  <c r="AE401" i="23"/>
  <c r="AF401" i="23"/>
  <c r="AG401" i="23"/>
  <c r="AH401" i="23"/>
  <c r="AI401" i="23"/>
  <c r="AJ401" i="23"/>
  <c r="AA402" i="23"/>
  <c r="AB402" i="23"/>
  <c r="AC402" i="23"/>
  <c r="AD402" i="23"/>
  <c r="AE402" i="23"/>
  <c r="AF402" i="23"/>
  <c r="AG402" i="23"/>
  <c r="AH402" i="23"/>
  <c r="AI402" i="23"/>
  <c r="AJ402" i="23"/>
  <c r="AA403" i="23"/>
  <c r="AB403" i="23"/>
  <c r="AC403" i="23"/>
  <c r="AD403" i="23"/>
  <c r="AE403" i="23"/>
  <c r="AF403" i="23"/>
  <c r="AG403" i="23"/>
  <c r="AH403" i="23"/>
  <c r="AI403" i="23"/>
  <c r="AJ403" i="23"/>
  <c r="AA404" i="23"/>
  <c r="AB404" i="23"/>
  <c r="AC404" i="23"/>
  <c r="AD404" i="23"/>
  <c r="AE404" i="23"/>
  <c r="AF404" i="23"/>
  <c r="AG404" i="23"/>
  <c r="AH404" i="23"/>
  <c r="AI404" i="23"/>
  <c r="AJ404" i="23"/>
  <c r="AA405" i="23"/>
  <c r="AB405" i="23"/>
  <c r="AC405" i="23"/>
  <c r="AD405" i="23"/>
  <c r="AE405" i="23"/>
  <c r="AF405" i="23"/>
  <c r="AG405" i="23"/>
  <c r="AH405" i="23"/>
  <c r="AI405" i="23"/>
  <c r="AJ405" i="23"/>
  <c r="AA406" i="23"/>
  <c r="AB406" i="23"/>
  <c r="AC406" i="23"/>
  <c r="AD406" i="23"/>
  <c r="AE406" i="23"/>
  <c r="AF406" i="23"/>
  <c r="AG406" i="23"/>
  <c r="AH406" i="23"/>
  <c r="AI406" i="23"/>
  <c r="AJ406" i="23"/>
  <c r="AA407" i="23"/>
  <c r="AB407" i="23"/>
  <c r="AC407" i="23"/>
  <c r="AD407" i="23"/>
  <c r="AE407" i="23"/>
  <c r="AF407" i="23"/>
  <c r="AG407" i="23"/>
  <c r="AH407" i="23"/>
  <c r="AI407" i="23"/>
  <c r="AJ407" i="23"/>
  <c r="AA408" i="23"/>
  <c r="AB408" i="23"/>
  <c r="AC408" i="23"/>
  <c r="AD408" i="23"/>
  <c r="AE408" i="23"/>
  <c r="AF408" i="23"/>
  <c r="AG408" i="23"/>
  <c r="AH408" i="23"/>
  <c r="AI408" i="23"/>
  <c r="AJ408" i="23"/>
  <c r="AA409" i="23"/>
  <c r="AB409" i="23"/>
  <c r="AC409" i="23"/>
  <c r="AD409" i="23"/>
  <c r="AE409" i="23"/>
  <c r="AF409" i="23"/>
  <c r="AG409" i="23"/>
  <c r="AH409" i="23"/>
  <c r="AI409" i="23"/>
  <c r="AJ409" i="23"/>
  <c r="AA410" i="23"/>
  <c r="AB410" i="23"/>
  <c r="AC410" i="23"/>
  <c r="AD410" i="23"/>
  <c r="AE410" i="23"/>
  <c r="AF410" i="23"/>
  <c r="AG410" i="23"/>
  <c r="AH410" i="23"/>
  <c r="AI410" i="23"/>
  <c r="AJ410" i="23"/>
  <c r="AA411" i="23"/>
  <c r="AB411" i="23"/>
  <c r="AC411" i="23"/>
  <c r="AD411" i="23"/>
  <c r="AE411" i="23"/>
  <c r="AF411" i="23"/>
  <c r="AG411" i="23"/>
  <c r="AH411" i="23"/>
  <c r="AI411" i="23"/>
  <c r="AJ411" i="23"/>
  <c r="AA412" i="23"/>
  <c r="AB412" i="23"/>
  <c r="AC412" i="23"/>
  <c r="AD412" i="23"/>
  <c r="AE412" i="23"/>
  <c r="AF412" i="23"/>
  <c r="AG412" i="23"/>
  <c r="AH412" i="23"/>
  <c r="AI412" i="23"/>
  <c r="AJ412" i="23"/>
  <c r="AA413" i="23"/>
  <c r="AB413" i="23"/>
  <c r="AC413" i="23"/>
  <c r="AD413" i="23"/>
  <c r="AE413" i="23"/>
  <c r="AF413" i="23"/>
  <c r="AG413" i="23"/>
  <c r="AH413" i="23"/>
  <c r="AI413" i="23"/>
  <c r="AJ413" i="23"/>
  <c r="AA414" i="23"/>
  <c r="AB414" i="23"/>
  <c r="AC414" i="23"/>
  <c r="AD414" i="23"/>
  <c r="AE414" i="23"/>
  <c r="AF414" i="23"/>
  <c r="AG414" i="23"/>
  <c r="AH414" i="23"/>
  <c r="AI414" i="23"/>
  <c r="AJ414" i="23"/>
  <c r="AA415" i="23"/>
  <c r="AB415" i="23"/>
  <c r="AC415" i="23"/>
  <c r="AD415" i="23"/>
  <c r="AE415" i="23"/>
  <c r="AF415" i="23"/>
  <c r="AG415" i="23"/>
  <c r="AH415" i="23"/>
  <c r="AI415" i="23"/>
  <c r="AJ415" i="23"/>
  <c r="AA416" i="23"/>
  <c r="AB416" i="23"/>
  <c r="AC416" i="23"/>
  <c r="AD416" i="23"/>
  <c r="AE416" i="23"/>
  <c r="AF416" i="23"/>
  <c r="AG416" i="23"/>
  <c r="AH416" i="23"/>
  <c r="AI416" i="23"/>
  <c r="AJ416" i="23"/>
  <c r="AA417" i="23"/>
  <c r="AB417" i="23"/>
  <c r="AC417" i="23"/>
  <c r="AD417" i="23"/>
  <c r="AE417" i="23"/>
  <c r="AF417" i="23"/>
  <c r="AG417" i="23"/>
  <c r="AH417" i="23"/>
  <c r="AI417" i="23"/>
  <c r="AJ417" i="23"/>
  <c r="AA418" i="23"/>
  <c r="AB418" i="23"/>
  <c r="AC418" i="23"/>
  <c r="AD418" i="23"/>
  <c r="AE418" i="23"/>
  <c r="AF418" i="23"/>
  <c r="AG418" i="23"/>
  <c r="AH418" i="23"/>
  <c r="AI418" i="23"/>
  <c r="AJ418" i="23"/>
  <c r="AA419" i="23"/>
  <c r="AB419" i="23"/>
  <c r="AC419" i="23"/>
  <c r="AD419" i="23"/>
  <c r="AE419" i="23"/>
  <c r="AF419" i="23"/>
  <c r="AG419" i="23"/>
  <c r="AH419" i="23"/>
  <c r="AI419" i="23"/>
  <c r="AJ419" i="23"/>
  <c r="AA420" i="23"/>
  <c r="AB420" i="23"/>
  <c r="AC420" i="23"/>
  <c r="AD420" i="23"/>
  <c r="AE420" i="23"/>
  <c r="AF420" i="23"/>
  <c r="AG420" i="23"/>
  <c r="AH420" i="23"/>
  <c r="AI420" i="23"/>
  <c r="AJ420" i="23"/>
  <c r="AA421" i="23"/>
  <c r="AB421" i="23"/>
  <c r="AC421" i="23"/>
  <c r="AD421" i="23"/>
  <c r="AE421" i="23"/>
  <c r="AF421" i="23"/>
  <c r="AG421" i="23"/>
  <c r="AH421" i="23"/>
  <c r="AI421" i="23"/>
  <c r="AJ421" i="23"/>
  <c r="AA422" i="23"/>
  <c r="AB422" i="23"/>
  <c r="AC422" i="23"/>
  <c r="AD422" i="23"/>
  <c r="AE422" i="23"/>
  <c r="AF422" i="23"/>
  <c r="AG422" i="23"/>
  <c r="AH422" i="23"/>
  <c r="AI422" i="23"/>
  <c r="AJ422" i="23"/>
  <c r="AA423" i="23"/>
  <c r="AB423" i="23"/>
  <c r="AC423" i="23"/>
  <c r="AD423" i="23"/>
  <c r="AE423" i="23"/>
  <c r="AF423" i="23"/>
  <c r="AG423" i="23"/>
  <c r="AH423" i="23"/>
  <c r="AI423" i="23"/>
  <c r="AJ423" i="23"/>
  <c r="AA424" i="23"/>
  <c r="AB424" i="23"/>
  <c r="AC424" i="23"/>
  <c r="AD424" i="23"/>
  <c r="AE424" i="23"/>
  <c r="AF424" i="23"/>
  <c r="AG424" i="23"/>
  <c r="AH424" i="23"/>
  <c r="AI424" i="23"/>
  <c r="AJ424" i="23"/>
  <c r="AA425" i="23"/>
  <c r="AB425" i="23"/>
  <c r="AC425" i="23"/>
  <c r="AD425" i="23"/>
  <c r="AE425" i="23"/>
  <c r="AF425" i="23"/>
  <c r="AG425" i="23"/>
  <c r="AH425" i="23"/>
  <c r="AI425" i="23"/>
  <c r="AJ425" i="23"/>
  <c r="AA426" i="23"/>
  <c r="AB426" i="23"/>
  <c r="AC426" i="23"/>
  <c r="AD426" i="23"/>
  <c r="AE426" i="23"/>
  <c r="AF426" i="23"/>
  <c r="AG426" i="23"/>
  <c r="AH426" i="23"/>
  <c r="AI426" i="23"/>
  <c r="AJ426" i="23"/>
  <c r="AA427" i="23"/>
  <c r="AB427" i="23"/>
  <c r="AC427" i="23"/>
  <c r="AD427" i="23"/>
  <c r="AE427" i="23"/>
  <c r="AF427" i="23"/>
  <c r="AG427" i="23"/>
  <c r="AH427" i="23"/>
  <c r="AI427" i="23"/>
  <c r="AJ427" i="23"/>
  <c r="AA428" i="23"/>
  <c r="AB428" i="23"/>
  <c r="AC428" i="23"/>
  <c r="AD428" i="23"/>
  <c r="AE428" i="23"/>
  <c r="AF428" i="23"/>
  <c r="AG428" i="23"/>
  <c r="AH428" i="23"/>
  <c r="AI428" i="23"/>
  <c r="AJ428" i="23"/>
  <c r="AA429" i="23"/>
  <c r="AB429" i="23"/>
  <c r="AC429" i="23"/>
  <c r="AD429" i="23"/>
  <c r="AE429" i="23"/>
  <c r="AF429" i="23"/>
  <c r="AG429" i="23"/>
  <c r="AH429" i="23"/>
  <c r="AI429" i="23"/>
  <c r="AJ429" i="23"/>
  <c r="AA430" i="23"/>
  <c r="AB430" i="23"/>
  <c r="AC430" i="23"/>
  <c r="AD430" i="23"/>
  <c r="AE430" i="23"/>
  <c r="AF430" i="23"/>
  <c r="AG430" i="23"/>
  <c r="AH430" i="23"/>
  <c r="AI430" i="23"/>
  <c r="AJ430" i="23"/>
  <c r="AA431" i="23"/>
  <c r="AB431" i="23"/>
  <c r="AC431" i="23"/>
  <c r="AD431" i="23"/>
  <c r="AE431" i="23"/>
  <c r="AF431" i="23"/>
  <c r="AG431" i="23"/>
  <c r="AH431" i="23"/>
  <c r="AI431" i="23"/>
  <c r="AJ431" i="23"/>
  <c r="AA432" i="23"/>
  <c r="AB432" i="23"/>
  <c r="AC432" i="23"/>
  <c r="AD432" i="23"/>
  <c r="AE432" i="23"/>
  <c r="AF432" i="23"/>
  <c r="AG432" i="23"/>
  <c r="AH432" i="23"/>
  <c r="AI432" i="23"/>
  <c r="AJ432" i="23"/>
  <c r="AA433" i="23"/>
  <c r="AB433" i="23"/>
  <c r="AC433" i="23"/>
  <c r="AD433" i="23"/>
  <c r="AE433" i="23"/>
  <c r="AF433" i="23"/>
  <c r="AG433" i="23"/>
  <c r="AH433" i="23"/>
  <c r="AI433" i="23"/>
  <c r="AJ433" i="23"/>
  <c r="AA434" i="23"/>
  <c r="AB434" i="23"/>
  <c r="AC434" i="23"/>
  <c r="AD434" i="23"/>
  <c r="AE434" i="23"/>
  <c r="AF434" i="23"/>
  <c r="AG434" i="23"/>
  <c r="AH434" i="23"/>
  <c r="AI434" i="23"/>
  <c r="AJ434" i="23"/>
  <c r="AA435" i="23"/>
  <c r="AB435" i="23"/>
  <c r="AC435" i="23"/>
  <c r="AD435" i="23"/>
  <c r="AE435" i="23"/>
  <c r="AF435" i="23"/>
  <c r="AG435" i="23"/>
  <c r="AH435" i="23"/>
  <c r="AI435" i="23"/>
  <c r="AJ435" i="23"/>
  <c r="AA436" i="23"/>
  <c r="AB436" i="23"/>
  <c r="AC436" i="23"/>
  <c r="AD436" i="23"/>
  <c r="AE436" i="23"/>
  <c r="AF436" i="23"/>
  <c r="AG436" i="23"/>
  <c r="AH436" i="23"/>
  <c r="AI436" i="23"/>
  <c r="AJ436" i="23"/>
  <c r="AA437" i="23"/>
  <c r="AB437" i="23"/>
  <c r="AC437" i="23"/>
  <c r="AD437" i="23"/>
  <c r="AE437" i="23"/>
  <c r="AF437" i="23"/>
  <c r="AG437" i="23"/>
  <c r="AH437" i="23"/>
  <c r="AI437" i="23"/>
  <c r="AJ437" i="23"/>
  <c r="AA438" i="23"/>
  <c r="AB438" i="23"/>
  <c r="AC438" i="23"/>
  <c r="AD438" i="23"/>
  <c r="AE438" i="23"/>
  <c r="AF438" i="23"/>
  <c r="AG438" i="23"/>
  <c r="AH438" i="23"/>
  <c r="AI438" i="23"/>
  <c r="AJ438" i="23"/>
  <c r="AA439" i="23"/>
  <c r="AB439" i="23"/>
  <c r="AC439" i="23"/>
  <c r="AD439" i="23"/>
  <c r="AE439" i="23"/>
  <c r="AF439" i="23"/>
  <c r="AG439" i="23"/>
  <c r="AH439" i="23"/>
  <c r="AI439" i="23"/>
  <c r="AJ439" i="23"/>
  <c r="AA440" i="23"/>
  <c r="AB440" i="23"/>
  <c r="AC440" i="23"/>
  <c r="AD440" i="23"/>
  <c r="AE440" i="23"/>
  <c r="AF440" i="23"/>
  <c r="AG440" i="23"/>
  <c r="AH440" i="23"/>
  <c r="AI440" i="23"/>
  <c r="AJ440" i="23"/>
  <c r="AA441" i="23"/>
  <c r="AB441" i="23"/>
  <c r="AC441" i="23"/>
  <c r="AD441" i="23"/>
  <c r="AE441" i="23"/>
  <c r="AF441" i="23"/>
  <c r="AG441" i="23"/>
  <c r="AH441" i="23"/>
  <c r="AI441" i="23"/>
  <c r="AJ441" i="23"/>
  <c r="AA442" i="23"/>
  <c r="AB442" i="23"/>
  <c r="AC442" i="23"/>
  <c r="AD442" i="23"/>
  <c r="AE442" i="23"/>
  <c r="AF442" i="23"/>
  <c r="AG442" i="23"/>
  <c r="AH442" i="23"/>
  <c r="AI442" i="23"/>
  <c r="AJ442" i="23"/>
  <c r="AA443" i="23"/>
  <c r="AB443" i="23"/>
  <c r="AC443" i="23"/>
  <c r="AD443" i="23"/>
  <c r="AE443" i="23"/>
  <c r="AF443" i="23"/>
  <c r="AG443" i="23"/>
  <c r="AH443" i="23"/>
  <c r="AI443" i="23"/>
  <c r="AJ443" i="23"/>
  <c r="AC2" i="23"/>
  <c r="AD2" i="23"/>
  <c r="AE2" i="23"/>
  <c r="AF2" i="23"/>
  <c r="AG2" i="23"/>
  <c r="AH2" i="23"/>
  <c r="AI2" i="23"/>
  <c r="AJ2" i="23"/>
  <c r="AA2" i="23"/>
  <c r="AB3" i="19"/>
  <c r="AC3" i="19"/>
  <c r="AD3" i="19"/>
  <c r="AE3" i="19"/>
  <c r="AF3" i="19"/>
  <c r="AG3" i="19"/>
  <c r="AH3" i="19"/>
  <c r="AI3" i="19"/>
  <c r="AJ3" i="19"/>
  <c r="AA3" i="19" s="1"/>
  <c r="AB4" i="19"/>
  <c r="AC4" i="19"/>
  <c r="AD4" i="19"/>
  <c r="AE4" i="19"/>
  <c r="AF4" i="19"/>
  <c r="AG4" i="19"/>
  <c r="AH4" i="19"/>
  <c r="AI4" i="19"/>
  <c r="AJ4" i="19"/>
  <c r="AA4" i="19" s="1"/>
  <c r="AB5" i="19"/>
  <c r="AC5" i="19"/>
  <c r="AD5" i="19"/>
  <c r="AE5" i="19"/>
  <c r="AF5" i="19"/>
  <c r="AG5" i="19"/>
  <c r="AH5" i="19"/>
  <c r="AI5" i="19"/>
  <c r="AJ5" i="19"/>
  <c r="AA5" i="19" s="1"/>
  <c r="AB6" i="19"/>
  <c r="AC6" i="19"/>
  <c r="AD6" i="19"/>
  <c r="AE6" i="19"/>
  <c r="AF6" i="19"/>
  <c r="AG6" i="19"/>
  <c r="AH6" i="19"/>
  <c r="AI6" i="19"/>
  <c r="AJ6" i="19"/>
  <c r="AA6" i="19" s="1"/>
  <c r="AB7" i="19"/>
  <c r="AC7" i="19"/>
  <c r="AD7" i="19"/>
  <c r="AE7" i="19"/>
  <c r="AF7" i="19"/>
  <c r="AG7" i="19"/>
  <c r="AH7" i="19"/>
  <c r="AI7" i="19"/>
  <c r="AJ7" i="19"/>
  <c r="AA7" i="19" s="1"/>
  <c r="AB8" i="19"/>
  <c r="AC8" i="19"/>
  <c r="AD8" i="19"/>
  <c r="AE8" i="19"/>
  <c r="AF8" i="19"/>
  <c r="AG8" i="19"/>
  <c r="AH8" i="19"/>
  <c r="AI8" i="19"/>
  <c r="AJ8" i="19"/>
  <c r="AA8" i="19" s="1"/>
  <c r="AB9" i="19"/>
  <c r="AC9" i="19"/>
  <c r="AD9" i="19"/>
  <c r="AE9" i="19"/>
  <c r="AF9" i="19"/>
  <c r="AG9" i="19"/>
  <c r="AH9" i="19"/>
  <c r="AI9" i="19"/>
  <c r="AJ9" i="19"/>
  <c r="AA9" i="19" s="1"/>
  <c r="AB10" i="19"/>
  <c r="AC10" i="19"/>
  <c r="AD10" i="19"/>
  <c r="AE10" i="19"/>
  <c r="AF10" i="19"/>
  <c r="AG10" i="19"/>
  <c r="AH10" i="19"/>
  <c r="AI10" i="19"/>
  <c r="AJ10" i="19"/>
  <c r="AA10" i="19" s="1"/>
  <c r="AB11" i="19"/>
  <c r="AC11" i="19"/>
  <c r="AD11" i="19"/>
  <c r="AE11" i="19"/>
  <c r="AF11" i="19"/>
  <c r="AG11" i="19"/>
  <c r="AH11" i="19"/>
  <c r="AI11" i="19"/>
  <c r="AJ11" i="19"/>
  <c r="AA11" i="19" s="1"/>
  <c r="AB12" i="19"/>
  <c r="AC12" i="19"/>
  <c r="AD12" i="19"/>
  <c r="AE12" i="19"/>
  <c r="AF12" i="19"/>
  <c r="AG12" i="19"/>
  <c r="AH12" i="19"/>
  <c r="AI12" i="19"/>
  <c r="AJ12" i="19"/>
  <c r="AA12" i="19" s="1"/>
  <c r="AB13" i="19"/>
  <c r="AC13" i="19"/>
  <c r="AD13" i="19"/>
  <c r="AE13" i="19"/>
  <c r="AF13" i="19"/>
  <c r="AG13" i="19"/>
  <c r="AH13" i="19"/>
  <c r="AI13" i="19"/>
  <c r="AJ13" i="19"/>
  <c r="AA13" i="19" s="1"/>
  <c r="AB14" i="19"/>
  <c r="AC14" i="19"/>
  <c r="AD14" i="19"/>
  <c r="AE14" i="19"/>
  <c r="AF14" i="19"/>
  <c r="AG14" i="19"/>
  <c r="AH14" i="19"/>
  <c r="AI14" i="19"/>
  <c r="AJ14" i="19"/>
  <c r="AA14" i="19" s="1"/>
  <c r="AB15" i="19"/>
  <c r="AC15" i="19"/>
  <c r="AD15" i="19"/>
  <c r="AE15" i="19"/>
  <c r="AF15" i="19"/>
  <c r="AG15" i="19"/>
  <c r="AH15" i="19"/>
  <c r="AI15" i="19"/>
  <c r="AJ15" i="19"/>
  <c r="AA15" i="19" s="1"/>
  <c r="AB16" i="19"/>
  <c r="AC16" i="19"/>
  <c r="AD16" i="19"/>
  <c r="AE16" i="19"/>
  <c r="AF16" i="19"/>
  <c r="AG16" i="19"/>
  <c r="AH16" i="19"/>
  <c r="AI16" i="19"/>
  <c r="AJ16" i="19"/>
  <c r="AA16" i="19" s="1"/>
  <c r="AB17" i="19"/>
  <c r="AC17" i="19"/>
  <c r="AD17" i="19"/>
  <c r="AE17" i="19"/>
  <c r="AF17" i="19"/>
  <c r="AG17" i="19"/>
  <c r="AH17" i="19"/>
  <c r="AI17" i="19"/>
  <c r="AJ17" i="19"/>
  <c r="AA17" i="19" s="1"/>
  <c r="AB18" i="19"/>
  <c r="AC18" i="19"/>
  <c r="AD18" i="19"/>
  <c r="AE18" i="19"/>
  <c r="AF18" i="19"/>
  <c r="AG18" i="19"/>
  <c r="AH18" i="19"/>
  <c r="AI18" i="19"/>
  <c r="AJ18" i="19"/>
  <c r="AA18" i="19" s="1"/>
  <c r="AB19" i="19"/>
  <c r="AC19" i="19"/>
  <c r="AD19" i="19"/>
  <c r="AE19" i="19"/>
  <c r="AF19" i="19"/>
  <c r="AG19" i="19"/>
  <c r="AH19" i="19"/>
  <c r="AI19" i="19"/>
  <c r="AJ19" i="19"/>
  <c r="AA19" i="19" s="1"/>
  <c r="AB20" i="19"/>
  <c r="AC20" i="19"/>
  <c r="AD20" i="19"/>
  <c r="AE20" i="19"/>
  <c r="AF20" i="19"/>
  <c r="AG20" i="19"/>
  <c r="AH20" i="19"/>
  <c r="AI20" i="19"/>
  <c r="AJ20" i="19"/>
  <c r="AA20" i="19" s="1"/>
  <c r="AB21" i="19"/>
  <c r="AC21" i="19"/>
  <c r="AD21" i="19"/>
  <c r="AE21" i="19"/>
  <c r="AF21" i="19"/>
  <c r="AG21" i="19"/>
  <c r="AH21" i="19"/>
  <c r="AI21" i="19"/>
  <c r="AJ21" i="19"/>
  <c r="AA21" i="19" s="1"/>
  <c r="AB22" i="19"/>
  <c r="AC22" i="19"/>
  <c r="AD22" i="19"/>
  <c r="AE22" i="19"/>
  <c r="AF22" i="19"/>
  <c r="AG22" i="19"/>
  <c r="AH22" i="19"/>
  <c r="AI22" i="19"/>
  <c r="AJ22" i="19"/>
  <c r="AA22" i="19" s="1"/>
  <c r="AB23" i="19"/>
  <c r="AC23" i="19"/>
  <c r="AD23" i="19"/>
  <c r="AE23" i="19"/>
  <c r="AF23" i="19"/>
  <c r="AG23" i="19"/>
  <c r="AH23" i="19"/>
  <c r="AI23" i="19"/>
  <c r="AJ23" i="19"/>
  <c r="AA23" i="19" s="1"/>
  <c r="AB24" i="19"/>
  <c r="AC24" i="19"/>
  <c r="AD24" i="19"/>
  <c r="AE24" i="19"/>
  <c r="AF24" i="19"/>
  <c r="AG24" i="19"/>
  <c r="AH24" i="19"/>
  <c r="AI24" i="19"/>
  <c r="AJ24" i="19"/>
  <c r="AA24" i="19" s="1"/>
  <c r="AB25" i="19"/>
  <c r="AC25" i="19"/>
  <c r="AD25" i="19"/>
  <c r="AE25" i="19"/>
  <c r="AF25" i="19"/>
  <c r="AG25" i="19"/>
  <c r="AH25" i="19"/>
  <c r="AI25" i="19"/>
  <c r="AJ25" i="19"/>
  <c r="AA25" i="19" s="1"/>
  <c r="AB26" i="19"/>
  <c r="AC26" i="19"/>
  <c r="AD26" i="19"/>
  <c r="AE26" i="19"/>
  <c r="AF26" i="19"/>
  <c r="AG26" i="19"/>
  <c r="AH26" i="19"/>
  <c r="AI26" i="19"/>
  <c r="AJ26" i="19"/>
  <c r="AA26" i="19" s="1"/>
  <c r="AB27" i="19"/>
  <c r="AC27" i="19"/>
  <c r="AD27" i="19"/>
  <c r="AE27" i="19"/>
  <c r="AF27" i="19"/>
  <c r="AG27" i="19"/>
  <c r="AH27" i="19"/>
  <c r="AI27" i="19"/>
  <c r="AJ27" i="19"/>
  <c r="AA27" i="19" s="1"/>
  <c r="AB28" i="19"/>
  <c r="AC28" i="19"/>
  <c r="AD28" i="19"/>
  <c r="AE28" i="19"/>
  <c r="AF28" i="19"/>
  <c r="AG28" i="19"/>
  <c r="AH28" i="19"/>
  <c r="AI28" i="19"/>
  <c r="AJ28" i="19"/>
  <c r="AA28" i="19" s="1"/>
  <c r="AB29" i="19"/>
  <c r="AC29" i="19"/>
  <c r="AD29" i="19"/>
  <c r="AE29" i="19"/>
  <c r="AF29" i="19"/>
  <c r="AG29" i="19"/>
  <c r="AH29" i="19"/>
  <c r="AI29" i="19"/>
  <c r="AJ29" i="19"/>
  <c r="AA29" i="19" s="1"/>
  <c r="AB30" i="19"/>
  <c r="AC30" i="19"/>
  <c r="AD30" i="19"/>
  <c r="AE30" i="19"/>
  <c r="AF30" i="19"/>
  <c r="AG30" i="19"/>
  <c r="AH30" i="19"/>
  <c r="AI30" i="19"/>
  <c r="AJ30" i="19"/>
  <c r="AA30" i="19" s="1"/>
  <c r="AB31" i="19"/>
  <c r="AC31" i="19"/>
  <c r="AD31" i="19"/>
  <c r="AE31" i="19"/>
  <c r="AF31" i="19"/>
  <c r="AG31" i="19"/>
  <c r="AH31" i="19"/>
  <c r="AI31" i="19"/>
  <c r="AJ31" i="19"/>
  <c r="AA31" i="19" s="1"/>
  <c r="AB32" i="19"/>
  <c r="AC32" i="19"/>
  <c r="AD32" i="19"/>
  <c r="AE32" i="19"/>
  <c r="AF32" i="19"/>
  <c r="AG32" i="19"/>
  <c r="AH32" i="19"/>
  <c r="AI32" i="19"/>
  <c r="AJ32" i="19"/>
  <c r="AA32" i="19" s="1"/>
  <c r="AB33" i="19"/>
  <c r="AC33" i="19"/>
  <c r="AD33" i="19"/>
  <c r="AE33" i="19"/>
  <c r="AF33" i="19"/>
  <c r="AG33" i="19"/>
  <c r="AH33" i="19"/>
  <c r="AI33" i="19"/>
  <c r="AJ33" i="19"/>
  <c r="AA33" i="19" s="1"/>
  <c r="AB34" i="19"/>
  <c r="AC34" i="19"/>
  <c r="AD34" i="19"/>
  <c r="AE34" i="19"/>
  <c r="AF34" i="19"/>
  <c r="AG34" i="19"/>
  <c r="AH34" i="19"/>
  <c r="AI34" i="19"/>
  <c r="AJ34" i="19"/>
  <c r="AA34" i="19" s="1"/>
  <c r="AB35" i="19"/>
  <c r="AC35" i="19"/>
  <c r="AD35" i="19"/>
  <c r="AE35" i="19"/>
  <c r="AF35" i="19"/>
  <c r="AG35" i="19"/>
  <c r="AH35" i="19"/>
  <c r="AI35" i="19"/>
  <c r="AJ35" i="19"/>
  <c r="AA35" i="19" s="1"/>
  <c r="AB36" i="19"/>
  <c r="AC36" i="19"/>
  <c r="AD36" i="19"/>
  <c r="AE36" i="19"/>
  <c r="AF36" i="19"/>
  <c r="AG36" i="19"/>
  <c r="AH36" i="19"/>
  <c r="AI36" i="19"/>
  <c r="AJ36" i="19"/>
  <c r="AA36" i="19" s="1"/>
  <c r="AB37" i="19"/>
  <c r="AC37" i="19"/>
  <c r="AD37" i="19"/>
  <c r="AE37" i="19"/>
  <c r="AF37" i="19"/>
  <c r="AG37" i="19"/>
  <c r="AH37" i="19"/>
  <c r="AI37" i="19"/>
  <c r="AJ37" i="19"/>
  <c r="AA37" i="19" s="1"/>
  <c r="AB38" i="19"/>
  <c r="AC38" i="19"/>
  <c r="AD38" i="19"/>
  <c r="AE38" i="19"/>
  <c r="AF38" i="19"/>
  <c r="AG38" i="19"/>
  <c r="AH38" i="19"/>
  <c r="AI38" i="19"/>
  <c r="AJ38" i="19"/>
  <c r="AA38" i="19" s="1"/>
  <c r="AB39" i="19"/>
  <c r="AC39" i="19"/>
  <c r="AD39" i="19"/>
  <c r="AE39" i="19"/>
  <c r="AF39" i="19"/>
  <c r="AG39" i="19"/>
  <c r="AH39" i="19"/>
  <c r="AI39" i="19"/>
  <c r="AJ39" i="19"/>
  <c r="AA39" i="19" s="1"/>
  <c r="AB40" i="19"/>
  <c r="AC40" i="19"/>
  <c r="AD40" i="19"/>
  <c r="AE40" i="19"/>
  <c r="AF40" i="19"/>
  <c r="AG40" i="19"/>
  <c r="AH40" i="19"/>
  <c r="AI40" i="19"/>
  <c r="AJ40" i="19"/>
  <c r="AA40" i="19" s="1"/>
  <c r="AB41" i="19"/>
  <c r="AC41" i="19"/>
  <c r="AD41" i="19"/>
  <c r="AE41" i="19"/>
  <c r="AF41" i="19"/>
  <c r="AG41" i="19"/>
  <c r="AH41" i="19"/>
  <c r="AI41" i="19"/>
  <c r="AJ41" i="19"/>
  <c r="AA41" i="19" s="1"/>
  <c r="AB42" i="19"/>
  <c r="AC42" i="19"/>
  <c r="AD42" i="19"/>
  <c r="AE42" i="19"/>
  <c r="AF42" i="19"/>
  <c r="AG42" i="19"/>
  <c r="AH42" i="19"/>
  <c r="AI42" i="19"/>
  <c r="AJ42" i="19"/>
  <c r="AA42" i="19" s="1"/>
  <c r="AB43" i="19"/>
  <c r="AC43" i="19"/>
  <c r="AD43" i="19"/>
  <c r="AE43" i="19"/>
  <c r="AF43" i="19"/>
  <c r="AG43" i="19"/>
  <c r="AH43" i="19"/>
  <c r="AI43" i="19"/>
  <c r="AJ43" i="19"/>
  <c r="AA43" i="19" s="1"/>
  <c r="AB44" i="19"/>
  <c r="AC44" i="19"/>
  <c r="AD44" i="19"/>
  <c r="AE44" i="19"/>
  <c r="AF44" i="19"/>
  <c r="AG44" i="19"/>
  <c r="AH44" i="19"/>
  <c r="AI44" i="19"/>
  <c r="AJ44" i="19"/>
  <c r="AA44" i="19" s="1"/>
  <c r="AB45" i="19"/>
  <c r="AC45" i="19"/>
  <c r="AD45" i="19"/>
  <c r="AE45" i="19"/>
  <c r="AF45" i="19"/>
  <c r="AG45" i="19"/>
  <c r="AH45" i="19"/>
  <c r="AI45" i="19"/>
  <c r="AJ45" i="19"/>
  <c r="AA45" i="19" s="1"/>
  <c r="AB46" i="19"/>
  <c r="AC46" i="19"/>
  <c r="AD46" i="19"/>
  <c r="AE46" i="19"/>
  <c r="AF46" i="19"/>
  <c r="AG46" i="19"/>
  <c r="AH46" i="19"/>
  <c r="AI46" i="19"/>
  <c r="AJ46" i="19"/>
  <c r="AA46" i="19" s="1"/>
  <c r="AB47" i="19"/>
  <c r="AC47" i="19"/>
  <c r="AD47" i="19"/>
  <c r="AE47" i="19"/>
  <c r="AF47" i="19"/>
  <c r="AG47" i="19"/>
  <c r="AH47" i="19"/>
  <c r="AI47" i="19"/>
  <c r="AJ47" i="19"/>
  <c r="AA47" i="19" s="1"/>
  <c r="AB48" i="19"/>
  <c r="AC48" i="19"/>
  <c r="AD48" i="19"/>
  <c r="AE48" i="19"/>
  <c r="AF48" i="19"/>
  <c r="AG48" i="19"/>
  <c r="AH48" i="19"/>
  <c r="AI48" i="19"/>
  <c r="AJ48" i="19"/>
  <c r="AA48" i="19" s="1"/>
  <c r="AB49" i="19"/>
  <c r="AC49" i="19"/>
  <c r="AD49" i="19"/>
  <c r="AE49" i="19"/>
  <c r="AF49" i="19"/>
  <c r="AG49" i="19"/>
  <c r="AH49" i="19"/>
  <c r="AI49" i="19"/>
  <c r="AJ49" i="19"/>
  <c r="AA49" i="19" s="1"/>
  <c r="AB50" i="19"/>
  <c r="AC50" i="19"/>
  <c r="AD50" i="19"/>
  <c r="AE50" i="19"/>
  <c r="AF50" i="19"/>
  <c r="AG50" i="19"/>
  <c r="AH50" i="19"/>
  <c r="AI50" i="19"/>
  <c r="AJ50" i="19"/>
  <c r="AA50" i="19" s="1"/>
  <c r="AB51" i="19"/>
  <c r="AC51" i="19"/>
  <c r="AD51" i="19"/>
  <c r="AE51" i="19"/>
  <c r="AF51" i="19"/>
  <c r="AG51" i="19"/>
  <c r="AH51" i="19"/>
  <c r="AI51" i="19"/>
  <c r="AJ51" i="19"/>
  <c r="AA51" i="19" s="1"/>
  <c r="AB52" i="19"/>
  <c r="AC52" i="19"/>
  <c r="AD52" i="19"/>
  <c r="AE52" i="19"/>
  <c r="AF52" i="19"/>
  <c r="AG52" i="19"/>
  <c r="AH52" i="19"/>
  <c r="AI52" i="19"/>
  <c r="AJ52" i="19"/>
  <c r="AA52" i="19" s="1"/>
  <c r="AB53" i="19"/>
  <c r="AC53" i="19"/>
  <c r="AD53" i="19"/>
  <c r="AE53" i="19"/>
  <c r="AF53" i="19"/>
  <c r="AG53" i="19"/>
  <c r="AH53" i="19"/>
  <c r="AI53" i="19"/>
  <c r="AJ53" i="19"/>
  <c r="AA53" i="19" s="1"/>
  <c r="AB54" i="19"/>
  <c r="AC54" i="19"/>
  <c r="AD54" i="19"/>
  <c r="AE54" i="19"/>
  <c r="AF54" i="19"/>
  <c r="AG54" i="19"/>
  <c r="AH54" i="19"/>
  <c r="AI54" i="19"/>
  <c r="AJ54" i="19"/>
  <c r="AA54" i="19" s="1"/>
  <c r="AB55" i="19"/>
  <c r="AC55" i="19"/>
  <c r="AD55" i="19"/>
  <c r="AE55" i="19"/>
  <c r="AF55" i="19"/>
  <c r="AG55" i="19"/>
  <c r="AH55" i="19"/>
  <c r="AI55" i="19"/>
  <c r="AJ55" i="19"/>
  <c r="AA55" i="19" s="1"/>
  <c r="AB56" i="19"/>
  <c r="AC56" i="19"/>
  <c r="AD56" i="19"/>
  <c r="AE56" i="19"/>
  <c r="AF56" i="19"/>
  <c r="AG56" i="19"/>
  <c r="AH56" i="19"/>
  <c r="AI56" i="19"/>
  <c r="AJ56" i="19"/>
  <c r="AA56" i="19" s="1"/>
  <c r="AB57" i="19"/>
  <c r="AC57" i="19"/>
  <c r="AD57" i="19"/>
  <c r="AE57" i="19"/>
  <c r="AF57" i="19"/>
  <c r="AG57" i="19"/>
  <c r="AH57" i="19"/>
  <c r="AI57" i="19"/>
  <c r="AJ57" i="19"/>
  <c r="AA57" i="19" s="1"/>
  <c r="AB58" i="19"/>
  <c r="AC58" i="19"/>
  <c r="AD58" i="19"/>
  <c r="AE58" i="19"/>
  <c r="AF58" i="19"/>
  <c r="AG58" i="19"/>
  <c r="AH58" i="19"/>
  <c r="AI58" i="19"/>
  <c r="AJ58" i="19"/>
  <c r="AA58" i="19" s="1"/>
  <c r="AB59" i="19"/>
  <c r="AC59" i="19"/>
  <c r="AD59" i="19"/>
  <c r="AE59" i="19"/>
  <c r="AF59" i="19"/>
  <c r="AG59" i="19"/>
  <c r="AH59" i="19"/>
  <c r="AI59" i="19"/>
  <c r="AJ59" i="19"/>
  <c r="AA59" i="19" s="1"/>
  <c r="AB60" i="19"/>
  <c r="AC60" i="19"/>
  <c r="AD60" i="19"/>
  <c r="AE60" i="19"/>
  <c r="AF60" i="19"/>
  <c r="AG60" i="19"/>
  <c r="AH60" i="19"/>
  <c r="AI60" i="19"/>
  <c r="AJ60" i="19"/>
  <c r="AA60" i="19" s="1"/>
  <c r="AB61" i="19"/>
  <c r="AC61" i="19"/>
  <c r="AD61" i="19"/>
  <c r="AE61" i="19"/>
  <c r="AF61" i="19"/>
  <c r="AG61" i="19"/>
  <c r="AH61" i="19"/>
  <c r="AI61" i="19"/>
  <c r="AJ61" i="19"/>
  <c r="AA61" i="19" s="1"/>
  <c r="AB62" i="19"/>
  <c r="AC62" i="19"/>
  <c r="AD62" i="19"/>
  <c r="AE62" i="19"/>
  <c r="AF62" i="19"/>
  <c r="AG62" i="19"/>
  <c r="AH62" i="19"/>
  <c r="AI62" i="19"/>
  <c r="AJ62" i="19"/>
  <c r="AA62" i="19" s="1"/>
  <c r="AB63" i="19"/>
  <c r="AC63" i="19"/>
  <c r="AD63" i="19"/>
  <c r="AE63" i="19"/>
  <c r="AF63" i="19"/>
  <c r="AG63" i="19"/>
  <c r="AH63" i="19"/>
  <c r="AI63" i="19"/>
  <c r="AJ63" i="19"/>
  <c r="AA63" i="19" s="1"/>
  <c r="AB64" i="19"/>
  <c r="AC64" i="19"/>
  <c r="AD64" i="19"/>
  <c r="AE64" i="19"/>
  <c r="AF64" i="19"/>
  <c r="AG64" i="19"/>
  <c r="AH64" i="19"/>
  <c r="AI64" i="19"/>
  <c r="AJ64" i="19"/>
  <c r="AA64" i="19" s="1"/>
  <c r="AB65" i="19"/>
  <c r="AC65" i="19"/>
  <c r="AD65" i="19"/>
  <c r="AE65" i="19"/>
  <c r="AF65" i="19"/>
  <c r="AG65" i="19"/>
  <c r="AH65" i="19"/>
  <c r="AI65" i="19"/>
  <c r="AJ65" i="19"/>
  <c r="AA65" i="19" s="1"/>
  <c r="AB66" i="19"/>
  <c r="AC66" i="19"/>
  <c r="AD66" i="19"/>
  <c r="AE66" i="19"/>
  <c r="AF66" i="19"/>
  <c r="AG66" i="19"/>
  <c r="AH66" i="19"/>
  <c r="AI66" i="19"/>
  <c r="AJ66" i="19"/>
  <c r="AA66" i="19" s="1"/>
  <c r="AB67" i="19"/>
  <c r="AC67" i="19"/>
  <c r="AD67" i="19"/>
  <c r="AE67" i="19"/>
  <c r="AF67" i="19"/>
  <c r="AG67" i="19"/>
  <c r="AH67" i="19"/>
  <c r="AI67" i="19"/>
  <c r="AJ67" i="19"/>
  <c r="AA67" i="19" s="1"/>
  <c r="AB68" i="19"/>
  <c r="AC68" i="19"/>
  <c r="AD68" i="19"/>
  <c r="AE68" i="19"/>
  <c r="AF68" i="19"/>
  <c r="AG68" i="19"/>
  <c r="AH68" i="19"/>
  <c r="AI68" i="19"/>
  <c r="AJ68" i="19"/>
  <c r="AA68" i="19" s="1"/>
  <c r="AB69" i="19"/>
  <c r="AC69" i="19"/>
  <c r="AD69" i="19"/>
  <c r="AE69" i="19"/>
  <c r="AF69" i="19"/>
  <c r="AG69" i="19"/>
  <c r="AH69" i="19"/>
  <c r="AI69" i="19"/>
  <c r="AJ69" i="19"/>
  <c r="AA69" i="19" s="1"/>
  <c r="AB70" i="19"/>
  <c r="AC70" i="19"/>
  <c r="AD70" i="19"/>
  <c r="AE70" i="19"/>
  <c r="AF70" i="19"/>
  <c r="AG70" i="19"/>
  <c r="AH70" i="19"/>
  <c r="AI70" i="19"/>
  <c r="AJ70" i="19"/>
  <c r="AA70" i="19" s="1"/>
  <c r="AB71" i="19"/>
  <c r="AC71" i="19"/>
  <c r="AD71" i="19"/>
  <c r="AE71" i="19"/>
  <c r="AF71" i="19"/>
  <c r="AG71" i="19"/>
  <c r="AH71" i="19"/>
  <c r="AI71" i="19"/>
  <c r="AJ71" i="19"/>
  <c r="AA71" i="19" s="1"/>
  <c r="AB72" i="19"/>
  <c r="AC72" i="19"/>
  <c r="AD72" i="19"/>
  <c r="AE72" i="19"/>
  <c r="AF72" i="19"/>
  <c r="AG72" i="19"/>
  <c r="AH72" i="19"/>
  <c r="AI72" i="19"/>
  <c r="AJ72" i="19"/>
  <c r="AA72" i="19" s="1"/>
  <c r="AB73" i="19"/>
  <c r="AC73" i="19"/>
  <c r="AD73" i="19"/>
  <c r="AE73" i="19"/>
  <c r="AF73" i="19"/>
  <c r="AG73" i="19"/>
  <c r="AH73" i="19"/>
  <c r="AI73" i="19"/>
  <c r="AJ73" i="19"/>
  <c r="AA73" i="19" s="1"/>
  <c r="AB74" i="19"/>
  <c r="AC74" i="19"/>
  <c r="AD74" i="19"/>
  <c r="AE74" i="19"/>
  <c r="AF74" i="19"/>
  <c r="AG74" i="19"/>
  <c r="AH74" i="19"/>
  <c r="AI74" i="19"/>
  <c r="AJ74" i="19"/>
  <c r="AA74" i="19" s="1"/>
  <c r="AB75" i="19"/>
  <c r="AC75" i="19"/>
  <c r="AD75" i="19"/>
  <c r="AE75" i="19"/>
  <c r="AF75" i="19"/>
  <c r="AG75" i="19"/>
  <c r="AH75" i="19"/>
  <c r="AI75" i="19"/>
  <c r="AJ75" i="19"/>
  <c r="AA75" i="19" s="1"/>
  <c r="AB76" i="19"/>
  <c r="AC76" i="19"/>
  <c r="AD76" i="19"/>
  <c r="AE76" i="19"/>
  <c r="AF76" i="19"/>
  <c r="AG76" i="19"/>
  <c r="AH76" i="19"/>
  <c r="AI76" i="19"/>
  <c r="AJ76" i="19"/>
  <c r="AA76" i="19" s="1"/>
  <c r="AB77" i="19"/>
  <c r="AC77" i="19"/>
  <c r="AD77" i="19"/>
  <c r="AE77" i="19"/>
  <c r="AF77" i="19"/>
  <c r="AG77" i="19"/>
  <c r="AH77" i="19"/>
  <c r="AI77" i="19"/>
  <c r="AJ77" i="19"/>
  <c r="AA77" i="19" s="1"/>
  <c r="AB78" i="19"/>
  <c r="AC78" i="19"/>
  <c r="AD78" i="19"/>
  <c r="AE78" i="19"/>
  <c r="AF78" i="19"/>
  <c r="AG78" i="19"/>
  <c r="AH78" i="19"/>
  <c r="AI78" i="19"/>
  <c r="AJ78" i="19"/>
  <c r="AA78" i="19" s="1"/>
  <c r="AB79" i="19"/>
  <c r="AC79" i="19"/>
  <c r="AD79" i="19"/>
  <c r="AE79" i="19"/>
  <c r="AF79" i="19"/>
  <c r="AG79" i="19"/>
  <c r="AH79" i="19"/>
  <c r="AI79" i="19"/>
  <c r="AJ79" i="19"/>
  <c r="AA79" i="19" s="1"/>
  <c r="AB80" i="19"/>
  <c r="AC80" i="19"/>
  <c r="AD80" i="19"/>
  <c r="AE80" i="19"/>
  <c r="AF80" i="19"/>
  <c r="AG80" i="19"/>
  <c r="AH80" i="19"/>
  <c r="AI80" i="19"/>
  <c r="AJ80" i="19"/>
  <c r="AA80" i="19" s="1"/>
  <c r="AB81" i="19"/>
  <c r="AC81" i="19"/>
  <c r="AD81" i="19"/>
  <c r="AE81" i="19"/>
  <c r="AF81" i="19"/>
  <c r="AG81" i="19"/>
  <c r="AH81" i="19"/>
  <c r="AI81" i="19"/>
  <c r="AJ81" i="19"/>
  <c r="AA81" i="19" s="1"/>
  <c r="AB82" i="19"/>
  <c r="AC82" i="19"/>
  <c r="AD82" i="19"/>
  <c r="AE82" i="19"/>
  <c r="AF82" i="19"/>
  <c r="AG82" i="19"/>
  <c r="AH82" i="19"/>
  <c r="AI82" i="19"/>
  <c r="AJ82" i="19"/>
  <c r="AA82" i="19" s="1"/>
  <c r="AB83" i="19"/>
  <c r="AC83" i="19"/>
  <c r="AD83" i="19"/>
  <c r="AE83" i="19"/>
  <c r="AF83" i="19"/>
  <c r="AG83" i="19"/>
  <c r="AH83" i="19"/>
  <c r="AI83" i="19"/>
  <c r="AJ83" i="19"/>
  <c r="AA83" i="19" s="1"/>
  <c r="AB84" i="19"/>
  <c r="AC84" i="19"/>
  <c r="AD84" i="19"/>
  <c r="AE84" i="19"/>
  <c r="AF84" i="19"/>
  <c r="AG84" i="19"/>
  <c r="AH84" i="19"/>
  <c r="AI84" i="19"/>
  <c r="AJ84" i="19"/>
  <c r="AA84" i="19" s="1"/>
  <c r="AB85" i="19"/>
  <c r="AC85" i="19"/>
  <c r="AD85" i="19"/>
  <c r="AE85" i="19"/>
  <c r="AF85" i="19"/>
  <c r="AG85" i="19"/>
  <c r="AH85" i="19"/>
  <c r="AI85" i="19"/>
  <c r="AJ85" i="19"/>
  <c r="AA85" i="19" s="1"/>
  <c r="AB86" i="19"/>
  <c r="AC86" i="19"/>
  <c r="AD86" i="19"/>
  <c r="AE86" i="19"/>
  <c r="AF86" i="19"/>
  <c r="AG86" i="19"/>
  <c r="AH86" i="19"/>
  <c r="AI86" i="19"/>
  <c r="AJ86" i="19"/>
  <c r="AA86" i="19" s="1"/>
  <c r="AB87" i="19"/>
  <c r="AC87" i="19"/>
  <c r="AD87" i="19"/>
  <c r="AE87" i="19"/>
  <c r="AF87" i="19"/>
  <c r="AG87" i="19"/>
  <c r="AH87" i="19"/>
  <c r="AI87" i="19"/>
  <c r="AJ87" i="19"/>
  <c r="AA87" i="19" s="1"/>
  <c r="AB88" i="19"/>
  <c r="AC88" i="19"/>
  <c r="AD88" i="19"/>
  <c r="AE88" i="19"/>
  <c r="AF88" i="19"/>
  <c r="AG88" i="19"/>
  <c r="AH88" i="19"/>
  <c r="AI88" i="19"/>
  <c r="AJ88" i="19"/>
  <c r="AA88" i="19" s="1"/>
  <c r="AB89" i="19"/>
  <c r="AC89" i="19"/>
  <c r="AD89" i="19"/>
  <c r="AE89" i="19"/>
  <c r="AF89" i="19"/>
  <c r="AG89" i="19"/>
  <c r="AH89" i="19"/>
  <c r="AI89" i="19"/>
  <c r="AJ89" i="19"/>
  <c r="AA89" i="19" s="1"/>
  <c r="AB90" i="19"/>
  <c r="AC90" i="19"/>
  <c r="AD90" i="19"/>
  <c r="AE90" i="19"/>
  <c r="AF90" i="19"/>
  <c r="AG90" i="19"/>
  <c r="AH90" i="19"/>
  <c r="AI90" i="19"/>
  <c r="AJ90" i="19"/>
  <c r="AA90" i="19" s="1"/>
  <c r="AA91" i="19"/>
  <c r="AB91" i="19"/>
  <c r="AC91" i="19"/>
  <c r="AD91" i="19"/>
  <c r="AE91" i="19"/>
  <c r="AF91" i="19"/>
  <c r="AG91" i="19"/>
  <c r="AH91" i="19"/>
  <c r="AI91" i="19"/>
  <c r="AJ91" i="19"/>
  <c r="AB92" i="19"/>
  <c r="AC92" i="19"/>
  <c r="AD92" i="19"/>
  <c r="AE92" i="19"/>
  <c r="AF92" i="19"/>
  <c r="AG92" i="19"/>
  <c r="AH92" i="19"/>
  <c r="AI92" i="19"/>
  <c r="AJ92" i="19"/>
  <c r="AA92" i="19" s="1"/>
  <c r="AA93" i="19"/>
  <c r="AB93" i="19"/>
  <c r="AC93" i="19"/>
  <c r="AD93" i="19"/>
  <c r="AE93" i="19"/>
  <c r="AF93" i="19"/>
  <c r="AG93" i="19"/>
  <c r="AH93" i="19"/>
  <c r="AI93" i="19"/>
  <c r="AJ93" i="19"/>
  <c r="AB94" i="19"/>
  <c r="AC94" i="19"/>
  <c r="AD94" i="19"/>
  <c r="AE94" i="19"/>
  <c r="AF94" i="19"/>
  <c r="AG94" i="19"/>
  <c r="AH94" i="19"/>
  <c r="AI94" i="19"/>
  <c r="AJ94" i="19"/>
  <c r="AA94" i="19" s="1"/>
  <c r="AB95" i="19"/>
  <c r="AC95" i="19"/>
  <c r="AD95" i="19"/>
  <c r="AE95" i="19"/>
  <c r="AF95" i="19"/>
  <c r="AG95" i="19"/>
  <c r="AH95" i="19"/>
  <c r="AI95" i="19"/>
  <c r="AJ95" i="19"/>
  <c r="AA95" i="19" s="1"/>
  <c r="AA96" i="19"/>
  <c r="AB96" i="19"/>
  <c r="AC96" i="19"/>
  <c r="AD96" i="19"/>
  <c r="AE96" i="19"/>
  <c r="AF96" i="19"/>
  <c r="AG96" i="19"/>
  <c r="AH96" i="19"/>
  <c r="AI96" i="19"/>
  <c r="AJ96" i="19"/>
  <c r="AA97" i="19"/>
  <c r="AB97" i="19"/>
  <c r="AC97" i="19"/>
  <c r="AD97" i="19"/>
  <c r="AE97" i="19"/>
  <c r="AF97" i="19"/>
  <c r="AG97" i="19"/>
  <c r="AH97" i="19"/>
  <c r="AJ97" i="19"/>
  <c r="AA98" i="19"/>
  <c r="AB98" i="19"/>
  <c r="AC98" i="19"/>
  <c r="AD98" i="19"/>
  <c r="AE98" i="19"/>
  <c r="AF98" i="19"/>
  <c r="AG98" i="19"/>
  <c r="AH98" i="19"/>
  <c r="AJ98" i="19"/>
  <c r="AA99" i="19"/>
  <c r="AB99" i="19"/>
  <c r="AC99" i="19"/>
  <c r="AD99" i="19"/>
  <c r="AE99" i="19"/>
  <c r="AF99" i="19"/>
  <c r="AG99" i="19"/>
  <c r="AH99" i="19"/>
  <c r="AJ99" i="19"/>
  <c r="AA100" i="19"/>
  <c r="AB100" i="19"/>
  <c r="AC100" i="19"/>
  <c r="AD100" i="19"/>
  <c r="AE100" i="19"/>
  <c r="AF100" i="19"/>
  <c r="AG100" i="19"/>
  <c r="AH100" i="19"/>
  <c r="AJ100" i="19"/>
  <c r="AA101" i="19"/>
  <c r="AB101" i="19"/>
  <c r="AC101" i="19"/>
  <c r="AD101" i="19"/>
  <c r="AE101" i="19"/>
  <c r="AF101" i="19"/>
  <c r="AG101" i="19"/>
  <c r="AH101" i="19"/>
  <c r="AJ101" i="19"/>
  <c r="AA102" i="19"/>
  <c r="AB102" i="19"/>
  <c r="AC102" i="19"/>
  <c r="AD102" i="19"/>
  <c r="AE102" i="19"/>
  <c r="AF102" i="19"/>
  <c r="AG102" i="19"/>
  <c r="AI102" i="19"/>
  <c r="AJ102" i="19"/>
  <c r="AA103" i="19"/>
  <c r="AB103" i="19"/>
  <c r="AC103" i="19"/>
  <c r="AD103" i="19"/>
  <c r="AE103" i="19"/>
  <c r="AF103" i="19"/>
  <c r="AG103" i="19"/>
  <c r="AI103" i="19"/>
  <c r="AJ103" i="19"/>
  <c r="AA104" i="19"/>
  <c r="AB104" i="19"/>
  <c r="AC104" i="19"/>
  <c r="AD104" i="19"/>
  <c r="AE104" i="19"/>
  <c r="AF104" i="19"/>
  <c r="AG104" i="19"/>
  <c r="AI104" i="19"/>
  <c r="AJ104" i="19"/>
  <c r="AA105" i="19"/>
  <c r="AB105" i="19"/>
  <c r="AC105" i="19"/>
  <c r="AD105" i="19"/>
  <c r="AE105" i="19"/>
  <c r="AF105" i="19"/>
  <c r="AG105" i="19"/>
  <c r="AI105" i="19"/>
  <c r="AJ105" i="19"/>
  <c r="AA106" i="19"/>
  <c r="AB106" i="19"/>
  <c r="AC106" i="19"/>
  <c r="AD106" i="19"/>
  <c r="AE106" i="19"/>
  <c r="AF106" i="19"/>
  <c r="AG106" i="19"/>
  <c r="AI106" i="19"/>
  <c r="AJ106" i="19"/>
  <c r="AA107" i="19"/>
  <c r="AB107" i="19"/>
  <c r="AC107" i="19"/>
  <c r="AD107" i="19"/>
  <c r="AE107" i="19"/>
  <c r="AF107" i="19"/>
  <c r="AG107" i="19"/>
  <c r="AI107" i="19"/>
  <c r="AJ107" i="19"/>
  <c r="AA108" i="19"/>
  <c r="AB108" i="19"/>
  <c r="AC108" i="19"/>
  <c r="AD108" i="19"/>
  <c r="AE108" i="19"/>
  <c r="AF108" i="19"/>
  <c r="AG108" i="19"/>
  <c r="AI108" i="19"/>
  <c r="AJ108" i="19"/>
  <c r="AA109" i="19"/>
  <c r="AB109" i="19"/>
  <c r="AC109" i="19"/>
  <c r="AD109" i="19"/>
  <c r="AE109" i="19"/>
  <c r="AF109" i="19"/>
  <c r="AG109" i="19"/>
  <c r="AI109" i="19"/>
  <c r="AJ109" i="19"/>
  <c r="AA110" i="19"/>
  <c r="AB110" i="19"/>
  <c r="AC110" i="19"/>
  <c r="AD110" i="19"/>
  <c r="AE110" i="19"/>
  <c r="AF110" i="19"/>
  <c r="AG110" i="19"/>
  <c r="AI110" i="19"/>
  <c r="AJ110" i="19"/>
  <c r="AA111" i="19"/>
  <c r="AB111" i="19"/>
  <c r="AC111" i="19"/>
  <c r="AD111" i="19"/>
  <c r="AE111" i="19"/>
  <c r="AF111" i="19"/>
  <c r="AG111" i="19"/>
  <c r="AI111" i="19"/>
  <c r="AJ111" i="19"/>
  <c r="AA112" i="19"/>
  <c r="AB112" i="19"/>
  <c r="AC112" i="19"/>
  <c r="AD112" i="19"/>
  <c r="AE112" i="19"/>
  <c r="AF112" i="19"/>
  <c r="AG112" i="19"/>
  <c r="AI112" i="19"/>
  <c r="AJ112" i="19"/>
  <c r="AA113" i="19"/>
  <c r="AB113" i="19"/>
  <c r="AC113" i="19"/>
  <c r="AD113" i="19"/>
  <c r="AE113" i="19"/>
  <c r="AF113" i="19"/>
  <c r="AG113" i="19"/>
  <c r="AI113" i="19"/>
  <c r="AJ113" i="19"/>
  <c r="AA114" i="19"/>
  <c r="AB114" i="19"/>
  <c r="AC114" i="19"/>
  <c r="AD114" i="19"/>
  <c r="AE114" i="19"/>
  <c r="AF114" i="19"/>
  <c r="AG114" i="19"/>
  <c r="AI114" i="19"/>
  <c r="AJ114" i="19"/>
  <c r="AA115" i="19"/>
  <c r="AB115" i="19"/>
  <c r="AC115" i="19"/>
  <c r="AD115" i="19"/>
  <c r="AE115" i="19"/>
  <c r="AF115" i="19"/>
  <c r="AG115" i="19"/>
  <c r="AI115" i="19"/>
  <c r="AJ115" i="19"/>
  <c r="AA116" i="19"/>
  <c r="AB116" i="19"/>
  <c r="AC116" i="19"/>
  <c r="AD116" i="19"/>
  <c r="AE116" i="19"/>
  <c r="AF116" i="19"/>
  <c r="AG116" i="19"/>
  <c r="AI116" i="19"/>
  <c r="AJ116" i="19"/>
  <c r="AA117" i="19"/>
  <c r="AB117" i="19"/>
  <c r="AC117" i="19"/>
  <c r="AD117" i="19"/>
  <c r="AE117" i="19"/>
  <c r="AF117" i="19"/>
  <c r="AG117" i="19"/>
  <c r="AI117" i="19"/>
  <c r="AJ117" i="19"/>
  <c r="AA118" i="19"/>
  <c r="AB118" i="19"/>
  <c r="AC118" i="19"/>
  <c r="AD118" i="19"/>
  <c r="AE118" i="19"/>
  <c r="AF118" i="19"/>
  <c r="AG118" i="19"/>
  <c r="AI118" i="19"/>
  <c r="AJ118" i="19"/>
  <c r="AA119" i="19"/>
  <c r="AB119" i="19"/>
  <c r="AC119" i="19"/>
  <c r="AD119" i="19"/>
  <c r="AE119" i="19"/>
  <c r="AF119" i="19"/>
  <c r="AG119" i="19"/>
  <c r="AI119" i="19"/>
  <c r="AJ119" i="19"/>
  <c r="AA120" i="19"/>
  <c r="AB120" i="19"/>
  <c r="AC120" i="19"/>
  <c r="AD120" i="19"/>
  <c r="AE120" i="19"/>
  <c r="AF120" i="19"/>
  <c r="AG120" i="19"/>
  <c r="AI120" i="19"/>
  <c r="AJ120" i="19"/>
  <c r="AA121" i="19"/>
  <c r="AB121" i="19"/>
  <c r="AC121" i="19"/>
  <c r="AD121" i="19"/>
  <c r="AE121" i="19"/>
  <c r="AF121" i="19"/>
  <c r="AG121" i="19"/>
  <c r="AI121" i="19"/>
  <c r="AJ121" i="19"/>
  <c r="AA122" i="19"/>
  <c r="AB122" i="19"/>
  <c r="AC122" i="19"/>
  <c r="AD122" i="19"/>
  <c r="AE122" i="19"/>
  <c r="AF122" i="19"/>
  <c r="AH122" i="19"/>
  <c r="AI122" i="19"/>
  <c r="AJ122" i="19"/>
  <c r="AA123" i="19"/>
  <c r="AB123" i="19"/>
  <c r="AC123" i="19"/>
  <c r="AD123" i="19"/>
  <c r="AE123" i="19"/>
  <c r="AF123" i="19"/>
  <c r="AH123" i="19"/>
  <c r="AI123" i="19"/>
  <c r="AJ123" i="19"/>
  <c r="AA124" i="19"/>
  <c r="AB124" i="19"/>
  <c r="AC124" i="19"/>
  <c r="AD124" i="19"/>
  <c r="AE124" i="19"/>
  <c r="AF124" i="19"/>
  <c r="AH124" i="19"/>
  <c r="AI124" i="19"/>
  <c r="AJ124" i="19"/>
  <c r="AA125" i="19"/>
  <c r="AB125" i="19"/>
  <c r="AC125" i="19"/>
  <c r="AD125" i="19"/>
  <c r="AE125" i="19"/>
  <c r="AF125" i="19"/>
  <c r="AH125" i="19"/>
  <c r="AI125" i="19"/>
  <c r="AJ125" i="19"/>
  <c r="AA126" i="19"/>
  <c r="AB126" i="19"/>
  <c r="AC126" i="19"/>
  <c r="AD126" i="19"/>
  <c r="AE126" i="19"/>
  <c r="AF126" i="19"/>
  <c r="AH126" i="19"/>
  <c r="AI126" i="19"/>
  <c r="AJ126" i="19"/>
  <c r="AA127" i="19"/>
  <c r="AB127" i="19"/>
  <c r="AC127" i="19"/>
  <c r="AD127" i="19"/>
  <c r="AE127" i="19"/>
  <c r="AF127" i="19"/>
  <c r="AH127" i="19"/>
  <c r="AI127" i="19"/>
  <c r="AJ127" i="19"/>
  <c r="AA128" i="19"/>
  <c r="AB128" i="19"/>
  <c r="AC128" i="19"/>
  <c r="AD128" i="19"/>
  <c r="AE128" i="19"/>
  <c r="AF128" i="19"/>
  <c r="AH128" i="19"/>
  <c r="AI128" i="19"/>
  <c r="AJ128" i="19"/>
  <c r="AA129" i="19"/>
  <c r="AB129" i="19"/>
  <c r="AC129" i="19"/>
  <c r="AD129" i="19"/>
  <c r="AE129" i="19"/>
  <c r="AF129" i="19"/>
  <c r="AH129" i="19"/>
  <c r="AI129" i="19"/>
  <c r="AJ129" i="19"/>
  <c r="AA130" i="19"/>
  <c r="AB130" i="19"/>
  <c r="AC130" i="19"/>
  <c r="AD130" i="19"/>
  <c r="AE130" i="19"/>
  <c r="AF130" i="19"/>
  <c r="AH130" i="19"/>
  <c r="AI130" i="19"/>
  <c r="AJ130" i="19"/>
  <c r="AA131" i="19"/>
  <c r="AB131" i="19"/>
  <c r="AC131" i="19"/>
  <c r="AD131" i="19"/>
  <c r="AE131" i="19"/>
  <c r="AF131" i="19"/>
  <c r="AH131" i="19"/>
  <c r="AI131" i="19"/>
  <c r="AJ131" i="19"/>
  <c r="AA132" i="19"/>
  <c r="AB132" i="19"/>
  <c r="AC132" i="19"/>
  <c r="AD132" i="19"/>
  <c r="AE132" i="19"/>
  <c r="AF132" i="19"/>
  <c r="AH132" i="19"/>
  <c r="AI132" i="19"/>
  <c r="AJ132" i="19"/>
  <c r="AA133" i="19"/>
  <c r="AB133" i="19"/>
  <c r="AC133" i="19"/>
  <c r="AD133" i="19"/>
  <c r="AE133" i="19"/>
  <c r="AF133" i="19"/>
  <c r="AH133" i="19"/>
  <c r="AI133" i="19"/>
  <c r="AJ133" i="19"/>
  <c r="AA134" i="19"/>
  <c r="AB134" i="19"/>
  <c r="AC134" i="19"/>
  <c r="AD134" i="19"/>
  <c r="AE134" i="19"/>
  <c r="AF134" i="19"/>
  <c r="AH134" i="19"/>
  <c r="AI134" i="19"/>
  <c r="AJ134" i="19"/>
  <c r="AA135" i="19"/>
  <c r="AB135" i="19"/>
  <c r="AC135" i="19"/>
  <c r="AD135" i="19"/>
  <c r="AE135" i="19"/>
  <c r="AF135" i="19"/>
  <c r="AH135" i="19"/>
  <c r="AI135" i="19"/>
  <c r="AJ135" i="19"/>
  <c r="AA136" i="19"/>
  <c r="AB136" i="19"/>
  <c r="AC136" i="19"/>
  <c r="AD136" i="19"/>
  <c r="AE136" i="19"/>
  <c r="AF136" i="19"/>
  <c r="AH136" i="19"/>
  <c r="AI136" i="19"/>
  <c r="AJ136" i="19"/>
  <c r="AA137" i="19"/>
  <c r="AB137" i="19"/>
  <c r="AC137" i="19"/>
  <c r="AD137" i="19"/>
  <c r="AE137" i="19"/>
  <c r="AF137" i="19"/>
  <c r="AH137" i="19"/>
  <c r="AI137" i="19"/>
  <c r="AJ137" i="19"/>
  <c r="AA138" i="19"/>
  <c r="AB138" i="19"/>
  <c r="AC138" i="19"/>
  <c r="AD138" i="19"/>
  <c r="AE138" i="19"/>
  <c r="AG138" i="19"/>
  <c r="AH138" i="19"/>
  <c r="AI138" i="19"/>
  <c r="AJ138" i="19"/>
  <c r="AA139" i="19"/>
  <c r="AB139" i="19"/>
  <c r="AC139" i="19"/>
  <c r="AD139" i="19"/>
  <c r="AE139" i="19"/>
  <c r="AG139" i="19"/>
  <c r="AH139" i="19"/>
  <c r="AI139" i="19"/>
  <c r="AJ139" i="19"/>
  <c r="AA140" i="19"/>
  <c r="AB140" i="19"/>
  <c r="AC140" i="19"/>
  <c r="AD140" i="19"/>
  <c r="AE140" i="19"/>
  <c r="AG140" i="19"/>
  <c r="AH140" i="19"/>
  <c r="AI140" i="19"/>
  <c r="AJ140" i="19"/>
  <c r="AA141" i="19"/>
  <c r="AB141" i="19"/>
  <c r="AC141" i="19"/>
  <c r="AD141" i="19"/>
  <c r="AE141" i="19"/>
  <c r="AG141" i="19"/>
  <c r="AH141" i="19"/>
  <c r="AI141" i="19"/>
  <c r="AJ141" i="19"/>
  <c r="AA142" i="19"/>
  <c r="AB142" i="19"/>
  <c r="AC142" i="19"/>
  <c r="AD142" i="19"/>
  <c r="AE142" i="19"/>
  <c r="AG142" i="19"/>
  <c r="AH142" i="19"/>
  <c r="AI142" i="19"/>
  <c r="AJ142" i="19"/>
  <c r="AA143" i="19"/>
  <c r="AB143" i="19"/>
  <c r="AC143" i="19"/>
  <c r="AD143" i="19"/>
  <c r="AE143" i="19"/>
  <c r="AG143" i="19"/>
  <c r="AH143" i="19"/>
  <c r="AI143" i="19"/>
  <c r="AJ143" i="19"/>
  <c r="AA144" i="19"/>
  <c r="AB144" i="19"/>
  <c r="AC144" i="19"/>
  <c r="AD144" i="19"/>
  <c r="AE144" i="19"/>
  <c r="AG144" i="19"/>
  <c r="AH144" i="19"/>
  <c r="AI144" i="19"/>
  <c r="AJ144" i="19"/>
  <c r="AA145" i="19"/>
  <c r="AB145" i="19"/>
  <c r="AC145" i="19"/>
  <c r="AD145" i="19"/>
  <c r="AE145" i="19"/>
  <c r="AG145" i="19"/>
  <c r="AH145" i="19"/>
  <c r="AI145" i="19"/>
  <c r="AJ145" i="19"/>
  <c r="AA146" i="19"/>
  <c r="AB146" i="19"/>
  <c r="AC146" i="19"/>
  <c r="AD146" i="19"/>
  <c r="AE146" i="19"/>
  <c r="AG146" i="19"/>
  <c r="AH146" i="19"/>
  <c r="AI146" i="19"/>
  <c r="AJ146" i="19"/>
  <c r="AA147" i="19"/>
  <c r="AB147" i="19"/>
  <c r="AC147" i="19"/>
  <c r="AD147" i="19"/>
  <c r="AE147" i="19"/>
  <c r="AG147" i="19"/>
  <c r="AH147" i="19"/>
  <c r="AI147" i="19"/>
  <c r="AJ147" i="19"/>
  <c r="AA148" i="19"/>
  <c r="AB148" i="19"/>
  <c r="AC148" i="19"/>
  <c r="AD148" i="19"/>
  <c r="AE148" i="19"/>
  <c r="AG148" i="19"/>
  <c r="AH148" i="19"/>
  <c r="AI148" i="19"/>
  <c r="AJ148" i="19"/>
  <c r="AA149" i="19"/>
  <c r="AB149" i="19"/>
  <c r="AC149" i="19"/>
  <c r="AD149" i="19"/>
  <c r="AE149" i="19"/>
  <c r="AG149" i="19"/>
  <c r="AH149" i="19"/>
  <c r="AI149" i="19"/>
  <c r="AJ149" i="19"/>
  <c r="AA150" i="19"/>
  <c r="AB150" i="19"/>
  <c r="AC150" i="19"/>
  <c r="AD150" i="19"/>
  <c r="AE150" i="19"/>
  <c r="AG150" i="19"/>
  <c r="AH150" i="19"/>
  <c r="AI150" i="19"/>
  <c r="AJ150" i="19"/>
  <c r="AA151" i="19"/>
  <c r="AB151" i="19"/>
  <c r="AC151" i="19"/>
  <c r="AD151" i="19"/>
  <c r="AE151" i="19"/>
  <c r="AG151" i="19"/>
  <c r="AH151" i="19"/>
  <c r="AI151" i="19"/>
  <c r="AJ151" i="19"/>
  <c r="AA152" i="19"/>
  <c r="AB152" i="19"/>
  <c r="AC152" i="19"/>
  <c r="AD152" i="19"/>
  <c r="AE152" i="19"/>
  <c r="AG152" i="19"/>
  <c r="AH152" i="19"/>
  <c r="AI152" i="19"/>
  <c r="AJ152" i="19"/>
  <c r="AA153" i="19"/>
  <c r="AB153" i="19"/>
  <c r="AC153" i="19"/>
  <c r="AD153" i="19"/>
  <c r="AE153" i="19"/>
  <c r="AG153" i="19"/>
  <c r="AH153" i="19"/>
  <c r="AI153" i="19"/>
  <c r="AJ153" i="19"/>
  <c r="AA154" i="19"/>
  <c r="AB154" i="19"/>
  <c r="AC154" i="19"/>
  <c r="AD154" i="19"/>
  <c r="AE154" i="19"/>
  <c r="AG154" i="19"/>
  <c r="AH154" i="19"/>
  <c r="AI154" i="19"/>
  <c r="AJ154" i="19"/>
  <c r="AA155" i="19"/>
  <c r="AB155" i="19"/>
  <c r="AC155" i="19"/>
  <c r="AE155" i="19"/>
  <c r="AF155" i="19"/>
  <c r="AG155" i="19"/>
  <c r="AH155" i="19"/>
  <c r="AJ155" i="19"/>
  <c r="AA156" i="19"/>
  <c r="AB156" i="19"/>
  <c r="AC156" i="19"/>
  <c r="AE156" i="19"/>
  <c r="AF156" i="19"/>
  <c r="AG156" i="19"/>
  <c r="AH156" i="19"/>
  <c r="AJ156" i="19"/>
  <c r="AA157" i="19"/>
  <c r="AB157" i="19"/>
  <c r="AC157" i="19"/>
  <c r="AE157" i="19"/>
  <c r="AF157" i="19"/>
  <c r="AG157" i="19"/>
  <c r="AH157" i="19"/>
  <c r="AJ157" i="19"/>
  <c r="AA158" i="19"/>
  <c r="AB158" i="19"/>
  <c r="AC158" i="19"/>
  <c r="AE158" i="19"/>
  <c r="AF158" i="19"/>
  <c r="AG158" i="19"/>
  <c r="AH158" i="19"/>
  <c r="AJ158" i="19"/>
  <c r="AA159" i="19"/>
  <c r="AB159" i="19"/>
  <c r="AC159" i="19"/>
  <c r="AE159" i="19"/>
  <c r="AF159" i="19"/>
  <c r="AG159" i="19"/>
  <c r="AH159" i="19"/>
  <c r="AJ159" i="19"/>
  <c r="AA160" i="19"/>
  <c r="AB160" i="19"/>
  <c r="AC160" i="19"/>
  <c r="AE160" i="19"/>
  <c r="AF160" i="19"/>
  <c r="AG160" i="19"/>
  <c r="AH160" i="19"/>
  <c r="AJ160" i="19"/>
  <c r="AA161" i="19"/>
  <c r="AB161" i="19"/>
  <c r="AC161" i="19"/>
  <c r="AE161" i="19"/>
  <c r="AF161" i="19"/>
  <c r="AG161" i="19"/>
  <c r="AH161" i="19"/>
  <c r="AJ161" i="19"/>
  <c r="AA162" i="19"/>
  <c r="AB162" i="19"/>
  <c r="AC162" i="19"/>
  <c r="AE162" i="19"/>
  <c r="AF162" i="19"/>
  <c r="AG162" i="19"/>
  <c r="AH162" i="19"/>
  <c r="AJ162" i="19"/>
  <c r="AA163" i="19"/>
  <c r="AB163" i="19"/>
  <c r="AC163" i="19"/>
  <c r="AE163" i="19"/>
  <c r="AF163" i="19"/>
  <c r="AG163" i="19"/>
  <c r="AH163" i="19"/>
  <c r="AJ163" i="19"/>
  <c r="AA164" i="19"/>
  <c r="AB164" i="19"/>
  <c r="AC164" i="19"/>
  <c r="AE164" i="19"/>
  <c r="AF164" i="19"/>
  <c r="AG164" i="19"/>
  <c r="AH164" i="19"/>
  <c r="AJ164" i="19"/>
  <c r="AA165" i="19"/>
  <c r="AB165" i="19"/>
  <c r="AC165" i="19"/>
  <c r="AE165" i="19"/>
  <c r="AF165" i="19"/>
  <c r="AG165" i="19"/>
  <c r="AH165" i="19"/>
  <c r="AJ165" i="19"/>
  <c r="AA166" i="19"/>
  <c r="AB166" i="19"/>
  <c r="AC166" i="19"/>
  <c r="AE166" i="19"/>
  <c r="AF166" i="19"/>
  <c r="AG166" i="19"/>
  <c r="AH166" i="19"/>
  <c r="AJ166" i="19"/>
  <c r="AA167" i="19"/>
  <c r="AB167" i="19"/>
  <c r="AC167" i="19"/>
  <c r="AE167" i="19"/>
  <c r="AF167" i="19"/>
  <c r="AG167" i="19"/>
  <c r="AH167" i="19"/>
  <c r="AJ167" i="19"/>
  <c r="AA168" i="19"/>
  <c r="AB168" i="19"/>
  <c r="AC168" i="19"/>
  <c r="AE168" i="19"/>
  <c r="AF168" i="19"/>
  <c r="AG168" i="19"/>
  <c r="AH168" i="19"/>
  <c r="AJ168" i="19"/>
  <c r="AA169" i="19"/>
  <c r="AB169" i="19"/>
  <c r="AC169" i="19"/>
  <c r="AE169" i="19"/>
  <c r="AF169" i="19"/>
  <c r="AG169" i="19"/>
  <c r="AH169" i="19"/>
  <c r="AJ169" i="19"/>
  <c r="AA170" i="19"/>
  <c r="AB170" i="19"/>
  <c r="AC170" i="19"/>
  <c r="AE170" i="19"/>
  <c r="AF170" i="19"/>
  <c r="AG170" i="19"/>
  <c r="AH170" i="19"/>
  <c r="AJ170" i="19"/>
  <c r="AA171" i="19"/>
  <c r="AB171" i="19"/>
  <c r="AC171" i="19"/>
  <c r="AE171" i="19"/>
  <c r="AF171" i="19"/>
  <c r="AG171" i="19"/>
  <c r="AH171" i="19"/>
  <c r="AJ171" i="19"/>
  <c r="AA172" i="19"/>
  <c r="AB172" i="19"/>
  <c r="AC172" i="19"/>
  <c r="AE172" i="19"/>
  <c r="AF172" i="19"/>
  <c r="AG172" i="19"/>
  <c r="AH172" i="19"/>
  <c r="AJ172" i="19"/>
  <c r="AA173" i="19"/>
  <c r="AB173" i="19"/>
  <c r="AC173" i="19"/>
  <c r="AE173" i="19"/>
  <c r="AF173" i="19"/>
  <c r="AG173" i="19"/>
  <c r="AH173" i="19"/>
  <c r="AJ173" i="19"/>
  <c r="AA174" i="19"/>
  <c r="AB174" i="19"/>
  <c r="AC174" i="19"/>
  <c r="AE174" i="19"/>
  <c r="AF174" i="19"/>
  <c r="AG174" i="19"/>
  <c r="AH174" i="19"/>
  <c r="AJ174" i="19"/>
  <c r="AA175" i="19"/>
  <c r="AB175" i="19"/>
  <c r="AC175" i="19"/>
  <c r="AE175" i="19"/>
  <c r="AF175" i="19"/>
  <c r="AG175" i="19"/>
  <c r="AH175" i="19"/>
  <c r="AJ175" i="19"/>
  <c r="AA176" i="19"/>
  <c r="AB176" i="19"/>
  <c r="AC176" i="19"/>
  <c r="AE176" i="19"/>
  <c r="AF176" i="19"/>
  <c r="AG176" i="19"/>
  <c r="AH176" i="19"/>
  <c r="AJ176" i="19"/>
  <c r="AA177" i="19"/>
  <c r="AB177" i="19"/>
  <c r="AC177" i="19"/>
  <c r="AE177" i="19"/>
  <c r="AF177" i="19"/>
  <c r="AG177" i="19"/>
  <c r="AH177" i="19"/>
  <c r="AJ177" i="19"/>
  <c r="AA178" i="19"/>
  <c r="AB178" i="19"/>
  <c r="AC178" i="19"/>
  <c r="AE178" i="19"/>
  <c r="AF178" i="19"/>
  <c r="AG178" i="19"/>
  <c r="AH178" i="19"/>
  <c r="AJ178" i="19"/>
  <c r="AA179" i="19"/>
  <c r="AB179" i="19"/>
  <c r="AC179" i="19"/>
  <c r="AE179" i="19"/>
  <c r="AF179" i="19"/>
  <c r="AG179" i="19"/>
  <c r="AH179" i="19"/>
  <c r="AJ179" i="19"/>
  <c r="AA180" i="19"/>
  <c r="AB180" i="19"/>
  <c r="AC180" i="19"/>
  <c r="AE180" i="19"/>
  <c r="AF180" i="19"/>
  <c r="AG180" i="19"/>
  <c r="AH180" i="19"/>
  <c r="AJ180" i="19"/>
  <c r="AA181" i="19"/>
  <c r="AB181" i="19"/>
  <c r="AC181" i="19"/>
  <c r="AE181" i="19"/>
  <c r="AF181" i="19"/>
  <c r="AG181" i="19"/>
  <c r="AH181" i="19"/>
  <c r="AJ181" i="19"/>
  <c r="AA182" i="19"/>
  <c r="AB182" i="19"/>
  <c r="AC182" i="19"/>
  <c r="AE182" i="19"/>
  <c r="AF182" i="19"/>
  <c r="AG182" i="19"/>
  <c r="AH182" i="19"/>
  <c r="AJ182" i="19"/>
  <c r="AA183" i="19"/>
  <c r="AB183" i="19"/>
  <c r="AC183" i="19"/>
  <c r="AE183" i="19"/>
  <c r="AF183" i="19"/>
  <c r="AG183" i="19"/>
  <c r="AH183" i="19"/>
  <c r="AJ183" i="19"/>
  <c r="AA184" i="19"/>
  <c r="AB184" i="19"/>
  <c r="AC184" i="19"/>
  <c r="AE184" i="19"/>
  <c r="AF184" i="19"/>
  <c r="AG184" i="19"/>
  <c r="AH184" i="19"/>
  <c r="AJ184" i="19"/>
  <c r="AA185" i="19"/>
  <c r="AB185" i="19"/>
  <c r="AC185" i="19"/>
  <c r="AE185" i="19"/>
  <c r="AF185" i="19"/>
  <c r="AG185" i="19"/>
  <c r="AH185" i="19"/>
  <c r="AJ185" i="19"/>
  <c r="AA186" i="19"/>
  <c r="AB186" i="19"/>
  <c r="AC186" i="19"/>
  <c r="AE186" i="19"/>
  <c r="AF186" i="19"/>
  <c r="AG186" i="19"/>
  <c r="AH186" i="19"/>
  <c r="AJ186" i="19"/>
  <c r="AA187" i="19"/>
  <c r="AB187" i="19"/>
  <c r="AC187" i="19"/>
  <c r="AE187" i="19"/>
  <c r="AF187" i="19"/>
  <c r="AG187" i="19"/>
  <c r="AH187" i="19"/>
  <c r="AJ187" i="19"/>
  <c r="AA188" i="19"/>
  <c r="AB188" i="19"/>
  <c r="AC188" i="19"/>
  <c r="AE188" i="19"/>
  <c r="AF188" i="19"/>
  <c r="AG188" i="19"/>
  <c r="AH188" i="19"/>
  <c r="AJ188" i="19"/>
  <c r="AA189" i="19"/>
  <c r="AB189" i="19"/>
  <c r="AC189" i="19"/>
  <c r="AE189" i="19"/>
  <c r="AF189" i="19"/>
  <c r="AG189" i="19"/>
  <c r="AH189" i="19"/>
  <c r="AJ189" i="19"/>
  <c r="AA190" i="19"/>
  <c r="AB190" i="19"/>
  <c r="AC190" i="19"/>
  <c r="AE190" i="19"/>
  <c r="AF190" i="19"/>
  <c r="AG190" i="19"/>
  <c r="AH190" i="19"/>
  <c r="AJ190" i="19"/>
  <c r="AA191" i="19"/>
  <c r="AB191" i="19"/>
  <c r="AC191" i="19"/>
  <c r="AE191" i="19"/>
  <c r="AF191" i="19"/>
  <c r="AG191" i="19"/>
  <c r="AH191" i="19"/>
  <c r="AJ191" i="19"/>
  <c r="AA192" i="19"/>
  <c r="AB192" i="19"/>
  <c r="AC192" i="19"/>
  <c r="AE192" i="19"/>
  <c r="AF192" i="19"/>
  <c r="AG192" i="19"/>
  <c r="AH192" i="19"/>
  <c r="AJ192" i="19"/>
  <c r="AA193" i="19"/>
  <c r="AB193" i="19"/>
  <c r="AC193" i="19"/>
  <c r="AE193" i="19"/>
  <c r="AF193" i="19"/>
  <c r="AG193" i="19"/>
  <c r="AH193" i="19"/>
  <c r="AJ193" i="19"/>
  <c r="AA194" i="19"/>
  <c r="AB194" i="19"/>
  <c r="AC194" i="19"/>
  <c r="AE194" i="19"/>
  <c r="AF194" i="19"/>
  <c r="AG194" i="19"/>
  <c r="AH194" i="19"/>
  <c r="AJ194" i="19"/>
  <c r="AA195" i="19"/>
  <c r="AB195" i="19"/>
  <c r="AC195" i="19"/>
  <c r="AE195" i="19"/>
  <c r="AF195" i="19"/>
  <c r="AG195" i="19"/>
  <c r="AH195" i="19"/>
  <c r="AJ195" i="19"/>
  <c r="AA196" i="19"/>
  <c r="AB196" i="19"/>
  <c r="AC196" i="19"/>
  <c r="AE196" i="19"/>
  <c r="AF196" i="19"/>
  <c r="AG196" i="19"/>
  <c r="AH196" i="19"/>
  <c r="AJ196" i="19"/>
  <c r="AA197" i="19"/>
  <c r="AB197" i="19"/>
  <c r="AC197" i="19"/>
  <c r="AE197" i="19"/>
  <c r="AF197" i="19"/>
  <c r="AG197" i="19"/>
  <c r="AH197" i="19"/>
  <c r="AJ197" i="19"/>
  <c r="AA198" i="19"/>
  <c r="AB198" i="19"/>
  <c r="AC198" i="19"/>
  <c r="AE198" i="19"/>
  <c r="AF198" i="19"/>
  <c r="AG198" i="19"/>
  <c r="AH198" i="19"/>
  <c r="AJ198" i="19"/>
  <c r="AA199" i="19"/>
  <c r="AB199" i="19"/>
  <c r="AC199" i="19"/>
  <c r="AE199" i="19"/>
  <c r="AF199" i="19"/>
  <c r="AG199" i="19"/>
  <c r="AH199" i="19"/>
  <c r="AJ199" i="19"/>
  <c r="AA200" i="19"/>
  <c r="AB200" i="19"/>
  <c r="AC200" i="19"/>
  <c r="AE200" i="19"/>
  <c r="AF200" i="19"/>
  <c r="AG200" i="19"/>
  <c r="AH200" i="19"/>
  <c r="AJ200" i="19"/>
  <c r="AA201" i="19"/>
  <c r="AB201" i="19"/>
  <c r="AC201" i="19"/>
  <c r="AE201" i="19"/>
  <c r="AF201" i="19"/>
  <c r="AG201" i="19"/>
  <c r="AH201" i="19"/>
  <c r="AJ201" i="19"/>
  <c r="AA202" i="19"/>
  <c r="AB202" i="19"/>
  <c r="AC202" i="19"/>
  <c r="AE202" i="19"/>
  <c r="AF202" i="19"/>
  <c r="AG202" i="19"/>
  <c r="AH202" i="19"/>
  <c r="AJ202" i="19"/>
  <c r="AA203" i="19"/>
  <c r="AB203" i="19"/>
  <c r="AC203" i="19"/>
  <c r="AE203" i="19"/>
  <c r="AF203" i="19"/>
  <c r="AG203" i="19"/>
  <c r="AH203" i="19"/>
  <c r="AJ203" i="19"/>
  <c r="AA204" i="19"/>
  <c r="AB204" i="19"/>
  <c r="AC204" i="19"/>
  <c r="AE204" i="19"/>
  <c r="AF204" i="19"/>
  <c r="AG204" i="19"/>
  <c r="AH204" i="19"/>
  <c r="AJ204" i="19"/>
  <c r="AA205" i="19"/>
  <c r="AB205" i="19"/>
  <c r="AC205" i="19"/>
  <c r="AE205" i="19"/>
  <c r="AF205" i="19"/>
  <c r="AG205" i="19"/>
  <c r="AH205" i="19"/>
  <c r="AJ205" i="19"/>
  <c r="AA206" i="19"/>
  <c r="AB206" i="19"/>
  <c r="AC206" i="19"/>
  <c r="AE206" i="19"/>
  <c r="AF206" i="19"/>
  <c r="AG206" i="19"/>
  <c r="AH206" i="19"/>
  <c r="AJ206" i="19"/>
  <c r="AA207" i="19"/>
  <c r="AB207" i="19"/>
  <c r="AC207" i="19"/>
  <c r="AE207" i="19"/>
  <c r="AF207" i="19"/>
  <c r="AG207" i="19"/>
  <c r="AH207" i="19"/>
  <c r="AJ207" i="19"/>
  <c r="AA208" i="19"/>
  <c r="AB208" i="19"/>
  <c r="AC208" i="19"/>
  <c r="AE208" i="19"/>
  <c r="AF208" i="19"/>
  <c r="AG208" i="19"/>
  <c r="AH208" i="19"/>
  <c r="AJ208" i="19"/>
  <c r="AA209" i="19"/>
  <c r="AB209" i="19"/>
  <c r="AC209" i="19"/>
  <c r="AE209" i="19"/>
  <c r="AF209" i="19"/>
  <c r="AG209" i="19"/>
  <c r="AH209" i="19"/>
  <c r="AJ209" i="19"/>
  <c r="AA210" i="19"/>
  <c r="AB210" i="19"/>
  <c r="AD210" i="19"/>
  <c r="AE210" i="19"/>
  <c r="AF210" i="19"/>
  <c r="AG210" i="19"/>
  <c r="AI210" i="19"/>
  <c r="AJ210" i="19"/>
  <c r="AA211" i="19"/>
  <c r="AB211" i="19"/>
  <c r="AD211" i="19"/>
  <c r="AE211" i="19"/>
  <c r="AF211" i="19"/>
  <c r="AG211" i="19"/>
  <c r="AI211" i="19"/>
  <c r="AJ211" i="19"/>
  <c r="AA212" i="19"/>
  <c r="AB212" i="19"/>
  <c r="AD212" i="19"/>
  <c r="AE212" i="19"/>
  <c r="AF212" i="19"/>
  <c r="AG212" i="19"/>
  <c r="AI212" i="19"/>
  <c r="AJ212" i="19"/>
  <c r="AA213" i="19"/>
  <c r="AB213" i="19"/>
  <c r="AD213" i="19"/>
  <c r="AE213" i="19"/>
  <c r="AF213" i="19"/>
  <c r="AG213" i="19"/>
  <c r="AI213" i="19"/>
  <c r="AJ213" i="19"/>
  <c r="AA214" i="19"/>
  <c r="AB214" i="19"/>
  <c r="AD214" i="19"/>
  <c r="AE214" i="19"/>
  <c r="AF214" i="19"/>
  <c r="AG214" i="19"/>
  <c r="AI214" i="19"/>
  <c r="AJ214" i="19"/>
  <c r="AA215" i="19"/>
  <c r="AB215" i="19"/>
  <c r="AD215" i="19"/>
  <c r="AE215" i="19"/>
  <c r="AF215" i="19"/>
  <c r="AG215" i="19"/>
  <c r="AI215" i="19"/>
  <c r="AJ215" i="19"/>
  <c r="AA216" i="19"/>
  <c r="AB216" i="19"/>
  <c r="AD216" i="19"/>
  <c r="AE216" i="19"/>
  <c r="AF216" i="19"/>
  <c r="AG216" i="19"/>
  <c r="AI216" i="19"/>
  <c r="AJ216" i="19"/>
  <c r="AA217" i="19"/>
  <c r="AB217" i="19"/>
  <c r="AD217" i="19"/>
  <c r="AE217" i="19"/>
  <c r="AF217" i="19"/>
  <c r="AG217" i="19"/>
  <c r="AI217" i="19"/>
  <c r="AJ217" i="19"/>
  <c r="AA218" i="19"/>
  <c r="AB218" i="19"/>
  <c r="AD218" i="19"/>
  <c r="AE218" i="19"/>
  <c r="AF218" i="19"/>
  <c r="AG218" i="19"/>
  <c r="AI218" i="19"/>
  <c r="AJ218" i="19"/>
  <c r="AA219" i="19"/>
  <c r="AB219" i="19"/>
  <c r="AD219" i="19"/>
  <c r="AE219" i="19"/>
  <c r="AF219" i="19"/>
  <c r="AG219" i="19"/>
  <c r="AI219" i="19"/>
  <c r="AJ219" i="19"/>
  <c r="AA220" i="19"/>
  <c r="AC220" i="19"/>
  <c r="AD220" i="19"/>
  <c r="AE220" i="19"/>
  <c r="AF220" i="19"/>
  <c r="AH220" i="19"/>
  <c r="AI220" i="19"/>
  <c r="AJ220" i="19"/>
  <c r="AA221" i="19"/>
  <c r="AC221" i="19"/>
  <c r="AD221" i="19"/>
  <c r="AE221" i="19"/>
  <c r="AF221" i="19"/>
  <c r="AH221" i="19"/>
  <c r="AI221" i="19"/>
  <c r="AJ221" i="19"/>
  <c r="AA222" i="19"/>
  <c r="AC222" i="19"/>
  <c r="AD222" i="19"/>
  <c r="AE222" i="19"/>
  <c r="AF222" i="19"/>
  <c r="AH222" i="19"/>
  <c r="AI222" i="19"/>
  <c r="AJ222" i="19"/>
  <c r="AA223" i="19"/>
  <c r="AC223" i="19"/>
  <c r="AD223" i="19"/>
  <c r="AE223" i="19"/>
  <c r="AF223" i="19"/>
  <c r="AH223" i="19"/>
  <c r="AI223" i="19"/>
  <c r="AJ223" i="19"/>
  <c r="AA224" i="19"/>
  <c r="AC224" i="19"/>
  <c r="AD224" i="19"/>
  <c r="AE224" i="19"/>
  <c r="AF224" i="19"/>
  <c r="AH224" i="19"/>
  <c r="AI224" i="19"/>
  <c r="AJ224" i="19"/>
  <c r="AA225" i="19"/>
  <c r="AC225" i="19"/>
  <c r="AD225" i="19"/>
  <c r="AE225" i="19"/>
  <c r="AF225" i="19"/>
  <c r="AH225" i="19"/>
  <c r="AI225" i="19"/>
  <c r="AJ225" i="19"/>
  <c r="AA226" i="19"/>
  <c r="AC226" i="19"/>
  <c r="AD226" i="19"/>
  <c r="AE226" i="19"/>
  <c r="AF226" i="19"/>
  <c r="AH226" i="19"/>
  <c r="AI226" i="19"/>
  <c r="AJ226" i="19"/>
  <c r="AB227" i="19"/>
  <c r="AC227" i="19"/>
  <c r="AD227" i="19"/>
  <c r="AE227" i="19"/>
  <c r="AG227" i="19"/>
  <c r="AH227" i="19"/>
  <c r="AI227" i="19"/>
  <c r="AJ227" i="19"/>
  <c r="AB228" i="19"/>
  <c r="AC228" i="19"/>
  <c r="AD228" i="19"/>
  <c r="AE228" i="19"/>
  <c r="AG228" i="19"/>
  <c r="AH228" i="19"/>
  <c r="AI228" i="19"/>
  <c r="AJ228" i="19"/>
  <c r="AB229" i="19"/>
  <c r="AC229" i="19"/>
  <c r="AD229" i="19"/>
  <c r="AE229" i="19"/>
  <c r="AG229" i="19"/>
  <c r="AH229" i="19"/>
  <c r="AI229" i="19"/>
  <c r="AJ229" i="19"/>
  <c r="AB230" i="19"/>
  <c r="AC230" i="19"/>
  <c r="AD230" i="19"/>
  <c r="AE230" i="19"/>
  <c r="AG230" i="19"/>
  <c r="AH230" i="19"/>
  <c r="AI230" i="19"/>
  <c r="AJ230" i="19"/>
  <c r="AB231" i="19"/>
  <c r="AC231" i="19"/>
  <c r="AD231" i="19"/>
  <c r="AE231" i="19"/>
  <c r="AG231" i="19"/>
  <c r="AH231" i="19"/>
  <c r="AI231" i="19"/>
  <c r="AJ231" i="19"/>
  <c r="AB232" i="19"/>
  <c r="AC232" i="19"/>
  <c r="AD232" i="19"/>
  <c r="AE232" i="19"/>
  <c r="AG232" i="19"/>
  <c r="AH232" i="19"/>
  <c r="AI232" i="19"/>
  <c r="AJ232" i="19"/>
  <c r="AB233" i="19"/>
  <c r="AC233" i="19"/>
  <c r="AD233" i="19"/>
  <c r="AE233" i="19"/>
  <c r="AG233" i="19"/>
  <c r="AH233" i="19"/>
  <c r="AI233" i="19"/>
  <c r="AJ233" i="19"/>
  <c r="AB234" i="19"/>
  <c r="AC234" i="19"/>
  <c r="AD234" i="19"/>
  <c r="AE234" i="19"/>
  <c r="AG234" i="19"/>
  <c r="AH234" i="19"/>
  <c r="AI234" i="19"/>
  <c r="AJ234" i="19"/>
  <c r="AB235" i="19"/>
  <c r="AC235" i="19"/>
  <c r="AD235" i="19"/>
  <c r="AE235" i="19"/>
  <c r="AG235" i="19"/>
  <c r="AH235" i="19"/>
  <c r="AI235" i="19"/>
  <c r="AJ235" i="19"/>
  <c r="AB236" i="19"/>
  <c r="AC236" i="19"/>
  <c r="AD236" i="19"/>
  <c r="AE236" i="19"/>
  <c r="AG236" i="19"/>
  <c r="AH236" i="19"/>
  <c r="AI236" i="19"/>
  <c r="AJ236" i="19"/>
  <c r="AA237" i="19"/>
  <c r="AB237" i="19"/>
  <c r="AC237" i="19"/>
  <c r="AE237" i="19"/>
  <c r="AF237" i="19"/>
  <c r="AG237" i="19"/>
  <c r="AH237" i="19"/>
  <c r="AJ237" i="19"/>
  <c r="AA238" i="19"/>
  <c r="AB238" i="19"/>
  <c r="AC238" i="19"/>
  <c r="AE238" i="19"/>
  <c r="AF238" i="19"/>
  <c r="AG238" i="19"/>
  <c r="AH238" i="19"/>
  <c r="AJ238" i="19"/>
  <c r="AA239" i="19"/>
  <c r="AB239" i="19"/>
  <c r="AC239" i="19"/>
  <c r="AE239" i="19"/>
  <c r="AF239" i="19"/>
  <c r="AG239" i="19"/>
  <c r="AH239" i="19"/>
  <c r="AJ239" i="19"/>
  <c r="AA240" i="19"/>
  <c r="AB240" i="19"/>
  <c r="AC240" i="19"/>
  <c r="AE240" i="19"/>
  <c r="AF240" i="19"/>
  <c r="AG240" i="19"/>
  <c r="AH240" i="19"/>
  <c r="AJ240" i="19"/>
  <c r="AA241" i="19"/>
  <c r="AB241" i="19"/>
  <c r="AC241" i="19"/>
  <c r="AE241" i="19"/>
  <c r="AF241" i="19"/>
  <c r="AG241" i="19"/>
  <c r="AH241" i="19"/>
  <c r="AJ241" i="19"/>
  <c r="AA242" i="19"/>
  <c r="AB242" i="19"/>
  <c r="AC242" i="19"/>
  <c r="AE242" i="19"/>
  <c r="AF242" i="19"/>
  <c r="AG242" i="19"/>
  <c r="AH242" i="19"/>
  <c r="AJ242" i="19"/>
  <c r="AA243" i="19"/>
  <c r="AB243" i="19"/>
  <c r="AD243" i="19"/>
  <c r="AE243" i="19"/>
  <c r="AF243" i="19"/>
  <c r="AG243" i="19"/>
  <c r="AI243" i="19"/>
  <c r="AJ243" i="19"/>
  <c r="AA244" i="19"/>
  <c r="AB244" i="19"/>
  <c r="AD244" i="19"/>
  <c r="AE244" i="19"/>
  <c r="AF244" i="19"/>
  <c r="AG244" i="19"/>
  <c r="AI244" i="19"/>
  <c r="AJ244" i="19"/>
  <c r="AA245" i="19"/>
  <c r="AB245" i="19"/>
  <c r="AD245" i="19"/>
  <c r="AE245" i="19"/>
  <c r="AF245" i="19"/>
  <c r="AG245" i="19"/>
  <c r="AI245" i="19"/>
  <c r="AJ245" i="19"/>
  <c r="AA246" i="19"/>
  <c r="AB246" i="19"/>
  <c r="AD246" i="19"/>
  <c r="AE246" i="19"/>
  <c r="AF246" i="19"/>
  <c r="AG246" i="19"/>
  <c r="AI246" i="19"/>
  <c r="AJ246" i="19"/>
  <c r="AA247" i="19"/>
  <c r="AB247" i="19"/>
  <c r="AC247" i="19"/>
  <c r="AD247" i="19"/>
  <c r="AE247" i="19"/>
  <c r="AF247" i="19"/>
  <c r="AG247" i="19"/>
  <c r="AH247" i="19"/>
  <c r="AI247" i="19"/>
  <c r="AA248" i="19"/>
  <c r="AB248" i="19"/>
  <c r="AC248" i="19"/>
  <c r="AD248" i="19"/>
  <c r="AE248" i="19"/>
  <c r="AF248" i="19"/>
  <c r="AG248" i="19"/>
  <c r="AH248" i="19"/>
  <c r="AI248" i="19"/>
  <c r="AA249" i="19"/>
  <c r="AB249" i="19"/>
  <c r="AC249" i="19"/>
  <c r="AD249" i="19"/>
  <c r="AE249" i="19"/>
  <c r="AF249" i="19"/>
  <c r="AG249" i="19"/>
  <c r="AH249" i="19"/>
  <c r="AI249" i="19"/>
  <c r="AA250" i="19"/>
  <c r="AC250" i="19"/>
  <c r="AD250" i="19"/>
  <c r="AE250" i="19"/>
  <c r="AF250" i="19"/>
  <c r="AH250" i="19"/>
  <c r="AI250" i="19"/>
  <c r="AJ250" i="19"/>
  <c r="AA251" i="19"/>
  <c r="AC251" i="19"/>
  <c r="AD251" i="19"/>
  <c r="AE251" i="19"/>
  <c r="AF251" i="19"/>
  <c r="AH251" i="19"/>
  <c r="AI251" i="19"/>
  <c r="AJ251" i="19"/>
  <c r="AA252" i="19"/>
  <c r="AC252" i="19"/>
  <c r="AD252" i="19"/>
  <c r="AE252" i="19"/>
  <c r="AF252" i="19"/>
  <c r="AH252" i="19"/>
  <c r="AI252" i="19"/>
  <c r="AJ252" i="19"/>
  <c r="AA253" i="19"/>
  <c r="AB253" i="19"/>
  <c r="AC253" i="19"/>
  <c r="AD253" i="19"/>
  <c r="AE253" i="19"/>
  <c r="AF253" i="19"/>
  <c r="AG253" i="19"/>
  <c r="AJ253" i="19"/>
  <c r="AA254" i="19"/>
  <c r="AB254" i="19"/>
  <c r="AC254" i="19"/>
  <c r="AD254" i="19"/>
  <c r="AE254" i="19"/>
  <c r="AF254" i="19"/>
  <c r="AG254" i="19"/>
  <c r="AJ254" i="19"/>
  <c r="AA255" i="19"/>
  <c r="AB255" i="19"/>
  <c r="AC255" i="19"/>
  <c r="AD255" i="19"/>
  <c r="AE255" i="19"/>
  <c r="AF255" i="19"/>
  <c r="AG255" i="19"/>
  <c r="AH255" i="19"/>
  <c r="AA256" i="19"/>
  <c r="AB256" i="19"/>
  <c r="AC256" i="19"/>
  <c r="AD256" i="19"/>
  <c r="AE256" i="19"/>
  <c r="AF256" i="19"/>
  <c r="AG256" i="19"/>
  <c r="AH256" i="19"/>
  <c r="AA257" i="19"/>
  <c r="AB257" i="19"/>
  <c r="AC257" i="19"/>
  <c r="AD257" i="19"/>
  <c r="AE257" i="19"/>
  <c r="AF257" i="19"/>
  <c r="AG257" i="19"/>
  <c r="AH257" i="19"/>
  <c r="AA258" i="19"/>
  <c r="AB258" i="19"/>
  <c r="AC258" i="19"/>
  <c r="AD258" i="19"/>
  <c r="AE258" i="19"/>
  <c r="AF258" i="19"/>
  <c r="AG258" i="19"/>
  <c r="AH258" i="19"/>
  <c r="AA259" i="19"/>
  <c r="AB259" i="19"/>
  <c r="AC259" i="19"/>
  <c r="AD259" i="19"/>
  <c r="AE259" i="19"/>
  <c r="AF259" i="19"/>
  <c r="AG259" i="19"/>
  <c r="AH259" i="19"/>
  <c r="AA260" i="19"/>
  <c r="AB260" i="19"/>
  <c r="AC260" i="19"/>
  <c r="AD260" i="19"/>
  <c r="AE260" i="19"/>
  <c r="AF260" i="19"/>
  <c r="AG260" i="19"/>
  <c r="AH260" i="19"/>
  <c r="AA261" i="19"/>
  <c r="AB261" i="19"/>
  <c r="AC261" i="19"/>
  <c r="AD261" i="19"/>
  <c r="AE261" i="19"/>
  <c r="AF261" i="19"/>
  <c r="AG261" i="19"/>
  <c r="AH261" i="19"/>
  <c r="AA262" i="19"/>
  <c r="AB262" i="19"/>
  <c r="AC262" i="19"/>
  <c r="AD262" i="19"/>
  <c r="AE262" i="19"/>
  <c r="AF262" i="19"/>
  <c r="AG262" i="19"/>
  <c r="AH262" i="19"/>
  <c r="AA263" i="19"/>
  <c r="AB263" i="19"/>
  <c r="AC263" i="19"/>
  <c r="AD263" i="19"/>
  <c r="AE263" i="19"/>
  <c r="AF263" i="19"/>
  <c r="AG263" i="19"/>
  <c r="AH263" i="19"/>
  <c r="AB264" i="19"/>
  <c r="AC264" i="19"/>
  <c r="AD264" i="19"/>
  <c r="AF264" i="19"/>
  <c r="AG264" i="19"/>
  <c r="AH264" i="19"/>
  <c r="AI264" i="19"/>
  <c r="AB265" i="19"/>
  <c r="AC265" i="19"/>
  <c r="AD265" i="19"/>
  <c r="AF265" i="19"/>
  <c r="AG265" i="19"/>
  <c r="AH265" i="19"/>
  <c r="AI265" i="19"/>
  <c r="AB266" i="19"/>
  <c r="AC266" i="19"/>
  <c r="AD266" i="19"/>
  <c r="AF266" i="19"/>
  <c r="AG266" i="19"/>
  <c r="AH266" i="19"/>
  <c r="AI266" i="19"/>
  <c r="AB267" i="19"/>
  <c r="AC267" i="19"/>
  <c r="AD267" i="19"/>
  <c r="AF267" i="19"/>
  <c r="AG267" i="19"/>
  <c r="AH267" i="19"/>
  <c r="AI267" i="19"/>
  <c r="AB268" i="19"/>
  <c r="AC268" i="19"/>
  <c r="AD268" i="19"/>
  <c r="AF268" i="19"/>
  <c r="AG268" i="19"/>
  <c r="AH268" i="19"/>
  <c r="AI268" i="19"/>
  <c r="AB269" i="19"/>
  <c r="AC269" i="19"/>
  <c r="AD269" i="19"/>
  <c r="AF269" i="19"/>
  <c r="AG269" i="19"/>
  <c r="AH269" i="19"/>
  <c r="AI269" i="19"/>
  <c r="AB270" i="19"/>
  <c r="AC270" i="19"/>
  <c r="AD270" i="19"/>
  <c r="AF270" i="19"/>
  <c r="AG270" i="19"/>
  <c r="AH270" i="19"/>
  <c r="AI270" i="19"/>
  <c r="AB271" i="19"/>
  <c r="AC271" i="19"/>
  <c r="AD271" i="19"/>
  <c r="AF271" i="19"/>
  <c r="AG271" i="19"/>
  <c r="AH271" i="19"/>
  <c r="AI271" i="19"/>
  <c r="AB272" i="19"/>
  <c r="AC272" i="19"/>
  <c r="AD272" i="19"/>
  <c r="AF272" i="19"/>
  <c r="AG272" i="19"/>
  <c r="AH272" i="19"/>
  <c r="AI272" i="19"/>
  <c r="AB273" i="19"/>
  <c r="AC273" i="19"/>
  <c r="AD273" i="19"/>
  <c r="AF273" i="19"/>
  <c r="AG273" i="19"/>
  <c r="AH273" i="19"/>
  <c r="AI273" i="19"/>
  <c r="AB274" i="19"/>
  <c r="AC274" i="19"/>
  <c r="AD274" i="19"/>
  <c r="AF274" i="19"/>
  <c r="AG274" i="19"/>
  <c r="AH274" i="19"/>
  <c r="AI274" i="19"/>
  <c r="AB275" i="19"/>
  <c r="AC275" i="19"/>
  <c r="AD275" i="19"/>
  <c r="AF275" i="19"/>
  <c r="AG275" i="19"/>
  <c r="AH275" i="19"/>
  <c r="AI275" i="19"/>
  <c r="AB276" i="19"/>
  <c r="AC276" i="19"/>
  <c r="AD276" i="19"/>
  <c r="AF276" i="19"/>
  <c r="AG276" i="19"/>
  <c r="AH276" i="19"/>
  <c r="AI276" i="19"/>
  <c r="AB277" i="19"/>
  <c r="AC277" i="19"/>
  <c r="AD277" i="19"/>
  <c r="AF277" i="19"/>
  <c r="AG277" i="19"/>
  <c r="AH277" i="19"/>
  <c r="AI277" i="19"/>
  <c r="AB278" i="19"/>
  <c r="AC278" i="19"/>
  <c r="AD278" i="19"/>
  <c r="AF278" i="19"/>
  <c r="AG278" i="19"/>
  <c r="AH278" i="19"/>
  <c r="AI278" i="19"/>
  <c r="AB279" i="19"/>
  <c r="AC279" i="19"/>
  <c r="AD279" i="19"/>
  <c r="AF279" i="19"/>
  <c r="AG279" i="19"/>
  <c r="AH279" i="19"/>
  <c r="AI279" i="19"/>
  <c r="AB280" i="19"/>
  <c r="AC280" i="19"/>
  <c r="AD280" i="19"/>
  <c r="AF280" i="19"/>
  <c r="AG280" i="19"/>
  <c r="AH280" i="19"/>
  <c r="AI280" i="19"/>
  <c r="AB281" i="19"/>
  <c r="AC281" i="19"/>
  <c r="AD281" i="19"/>
  <c r="AF281" i="19"/>
  <c r="AG281" i="19"/>
  <c r="AH281" i="19"/>
  <c r="AI281" i="19"/>
  <c r="AB282" i="19"/>
  <c r="AC282" i="19"/>
  <c r="AD282" i="19"/>
  <c r="AF282" i="19"/>
  <c r="AG282" i="19"/>
  <c r="AH282" i="19"/>
  <c r="AI282" i="19"/>
  <c r="AB283" i="19"/>
  <c r="AC283" i="19"/>
  <c r="AD283" i="19"/>
  <c r="AF283" i="19"/>
  <c r="AG283" i="19"/>
  <c r="AH283" i="19"/>
  <c r="AI283" i="19"/>
  <c r="AA284" i="19"/>
  <c r="AB284" i="19"/>
  <c r="AC284" i="19"/>
  <c r="AD284" i="19"/>
  <c r="AE284" i="19"/>
  <c r="AF284" i="19"/>
  <c r="AG284" i="19"/>
  <c r="AH284" i="19"/>
  <c r="AI284" i="19"/>
  <c r="AA285" i="19"/>
  <c r="AB285" i="19"/>
  <c r="AC285" i="19"/>
  <c r="AE285" i="19"/>
  <c r="AF285" i="19"/>
  <c r="AG285" i="19"/>
  <c r="AH285" i="19"/>
  <c r="AJ285" i="19"/>
  <c r="AA286" i="19"/>
  <c r="AB286" i="19"/>
  <c r="AC286" i="19"/>
  <c r="AE286" i="19"/>
  <c r="AF286" i="19"/>
  <c r="AG286" i="19"/>
  <c r="AH286" i="19"/>
  <c r="AJ286" i="19"/>
  <c r="AA287" i="19"/>
  <c r="AB287" i="19"/>
  <c r="AC287" i="19"/>
  <c r="AE287" i="19"/>
  <c r="AF287" i="19"/>
  <c r="AG287" i="19"/>
  <c r="AH287" i="19"/>
  <c r="AJ287" i="19"/>
  <c r="AA288" i="19"/>
  <c r="AB288" i="19"/>
  <c r="AC288" i="19"/>
  <c r="AD288" i="19"/>
  <c r="AE288" i="19"/>
  <c r="AF288" i="19"/>
  <c r="AI288" i="19"/>
  <c r="AJ288" i="19"/>
  <c r="AA289" i="19"/>
  <c r="AB289" i="19"/>
  <c r="AC289" i="19"/>
  <c r="AE289" i="19"/>
  <c r="AF289" i="19"/>
  <c r="AG289" i="19"/>
  <c r="AH289" i="19"/>
  <c r="AJ289" i="19"/>
  <c r="AA290" i="19"/>
  <c r="AB290" i="19"/>
  <c r="AC290" i="19"/>
  <c r="AE290" i="19"/>
  <c r="AF290" i="19"/>
  <c r="AG290" i="19"/>
  <c r="AH290" i="19"/>
  <c r="AJ290" i="19"/>
  <c r="AA291" i="19"/>
  <c r="AB291" i="19"/>
  <c r="AC291" i="19"/>
  <c r="AE291" i="19"/>
  <c r="AF291" i="19"/>
  <c r="AG291" i="19"/>
  <c r="AH291" i="19"/>
  <c r="AJ291" i="19"/>
  <c r="AA292" i="19"/>
  <c r="AB292" i="19"/>
  <c r="AC292" i="19"/>
  <c r="AE292" i="19"/>
  <c r="AF292" i="19"/>
  <c r="AG292" i="19"/>
  <c r="AH292" i="19"/>
  <c r="AJ292" i="19"/>
  <c r="AA293" i="19"/>
  <c r="AB293" i="19"/>
  <c r="AC293" i="19"/>
  <c r="AE293" i="19"/>
  <c r="AF293" i="19"/>
  <c r="AG293" i="19"/>
  <c r="AH293" i="19"/>
  <c r="AJ293" i="19"/>
  <c r="AA294" i="19"/>
  <c r="AB294" i="19"/>
  <c r="AC294" i="19"/>
  <c r="AE294" i="19"/>
  <c r="AF294" i="19"/>
  <c r="AG294" i="19"/>
  <c r="AH294" i="19"/>
  <c r="AJ294" i="19"/>
  <c r="AA295" i="19"/>
  <c r="AB295" i="19"/>
  <c r="AC295" i="19"/>
  <c r="AE295" i="19"/>
  <c r="AF295" i="19"/>
  <c r="AG295" i="19"/>
  <c r="AH295" i="19"/>
  <c r="AJ295" i="19"/>
  <c r="AA296" i="19"/>
  <c r="AB296" i="19"/>
  <c r="AC296" i="19"/>
  <c r="AE296" i="19"/>
  <c r="AF296" i="19"/>
  <c r="AG296" i="19"/>
  <c r="AH296" i="19"/>
  <c r="AJ296" i="19"/>
  <c r="AA297" i="19"/>
  <c r="AB297" i="19"/>
  <c r="AC297" i="19"/>
  <c r="AE297" i="19"/>
  <c r="AF297" i="19"/>
  <c r="AG297" i="19"/>
  <c r="AH297" i="19"/>
  <c r="AJ297" i="19"/>
  <c r="AA298" i="19"/>
  <c r="AB298" i="19"/>
  <c r="AC298" i="19"/>
  <c r="AE298" i="19"/>
  <c r="AF298" i="19"/>
  <c r="AG298" i="19"/>
  <c r="AH298" i="19"/>
  <c r="AJ298" i="19"/>
  <c r="AA299" i="19"/>
  <c r="AB299" i="19"/>
  <c r="AC299" i="19"/>
  <c r="AE299" i="19"/>
  <c r="AF299" i="19"/>
  <c r="AG299" i="19"/>
  <c r="AH299" i="19"/>
  <c r="AJ299" i="19"/>
  <c r="AA300" i="19"/>
  <c r="AB300" i="19"/>
  <c r="AC300" i="19"/>
  <c r="AE300" i="19"/>
  <c r="AF300" i="19"/>
  <c r="AG300" i="19"/>
  <c r="AH300" i="19"/>
  <c r="AJ300" i="19"/>
  <c r="AA301" i="19"/>
  <c r="AB301" i="19"/>
  <c r="AC301" i="19"/>
  <c r="AD301" i="19"/>
  <c r="AE301" i="19"/>
  <c r="AF301" i="19"/>
  <c r="AI301" i="19"/>
  <c r="AJ301" i="19"/>
  <c r="AA302" i="19"/>
  <c r="AB302" i="19"/>
  <c r="AC302" i="19"/>
  <c r="AD302" i="19"/>
  <c r="AE302" i="19"/>
  <c r="AF302" i="19"/>
  <c r="AG302" i="19"/>
  <c r="AH302" i="19"/>
  <c r="AA303" i="19"/>
  <c r="AB303" i="19"/>
  <c r="AC303" i="19"/>
  <c r="AD303" i="19"/>
  <c r="AE303" i="19"/>
  <c r="AF303" i="19"/>
  <c r="AG303" i="19"/>
  <c r="AH303" i="19"/>
  <c r="AI303" i="19"/>
  <c r="AA304" i="19"/>
  <c r="AB304" i="19"/>
  <c r="AC304" i="19"/>
  <c r="AE304" i="19"/>
  <c r="AF304" i="19"/>
  <c r="AG304" i="19"/>
  <c r="AH304" i="19"/>
  <c r="AJ304" i="19"/>
  <c r="AA305" i="19"/>
  <c r="AB305" i="19"/>
  <c r="AC305" i="19"/>
  <c r="AE305" i="19"/>
  <c r="AF305" i="19"/>
  <c r="AG305" i="19"/>
  <c r="AH305" i="19"/>
  <c r="AJ305" i="19"/>
  <c r="AA306" i="19"/>
  <c r="AB306" i="19"/>
  <c r="AC306" i="19"/>
  <c r="AE306" i="19"/>
  <c r="AF306" i="19"/>
  <c r="AG306" i="19"/>
  <c r="AH306" i="19"/>
  <c r="AJ306" i="19"/>
  <c r="AA307" i="19"/>
  <c r="AB307" i="19"/>
  <c r="AC307" i="19"/>
  <c r="AE307" i="19"/>
  <c r="AF307" i="19"/>
  <c r="AG307" i="19"/>
  <c r="AH307" i="19"/>
  <c r="AJ307" i="19"/>
  <c r="AA308" i="19"/>
  <c r="AB308" i="19"/>
  <c r="AC308" i="19"/>
  <c r="AE308" i="19"/>
  <c r="AF308" i="19"/>
  <c r="AG308" i="19"/>
  <c r="AH308" i="19"/>
  <c r="AJ308" i="19"/>
  <c r="AA309" i="19"/>
  <c r="AB309" i="19"/>
  <c r="AC309" i="19"/>
  <c r="AE309" i="19"/>
  <c r="AF309" i="19"/>
  <c r="AG309" i="19"/>
  <c r="AH309" i="19"/>
  <c r="AJ309" i="19"/>
  <c r="AA310" i="19"/>
  <c r="AB310" i="19"/>
  <c r="AC310" i="19"/>
  <c r="AE310" i="19"/>
  <c r="AF310" i="19"/>
  <c r="AG310" i="19"/>
  <c r="AH310" i="19"/>
  <c r="AJ310" i="19"/>
  <c r="AA311" i="19"/>
  <c r="AB311" i="19"/>
  <c r="AC311" i="19"/>
  <c r="AE311" i="19"/>
  <c r="AF311" i="19"/>
  <c r="AG311" i="19"/>
  <c r="AH311" i="19"/>
  <c r="AJ311" i="19"/>
  <c r="AA312" i="19"/>
  <c r="AB312" i="19"/>
  <c r="AC312" i="19"/>
  <c r="AE312" i="19"/>
  <c r="AF312" i="19"/>
  <c r="AG312" i="19"/>
  <c r="AH312" i="19"/>
  <c r="AJ312" i="19"/>
  <c r="AA313" i="19"/>
  <c r="AB313" i="19"/>
  <c r="AC313" i="19"/>
  <c r="AE313" i="19"/>
  <c r="AF313" i="19"/>
  <c r="AG313" i="19"/>
  <c r="AH313" i="19"/>
  <c r="AJ313" i="19"/>
  <c r="AA314" i="19"/>
  <c r="AB314" i="19"/>
  <c r="AC314" i="19"/>
  <c r="AE314" i="19"/>
  <c r="AF314" i="19"/>
  <c r="AG314" i="19"/>
  <c r="AH314" i="19"/>
  <c r="AJ314" i="19"/>
  <c r="AA315" i="19"/>
  <c r="AB315" i="19"/>
  <c r="AC315" i="19"/>
  <c r="AE315" i="19"/>
  <c r="AF315" i="19"/>
  <c r="AG315" i="19"/>
  <c r="AH315" i="19"/>
  <c r="AJ315" i="19"/>
  <c r="AA316" i="19"/>
  <c r="AB316" i="19"/>
  <c r="AC316" i="19"/>
  <c r="AE316" i="19"/>
  <c r="AF316" i="19"/>
  <c r="AG316" i="19"/>
  <c r="AH316" i="19"/>
  <c r="AJ316" i="19"/>
  <c r="AA317" i="19"/>
  <c r="AB317" i="19"/>
  <c r="AC317" i="19"/>
  <c r="AE317" i="19"/>
  <c r="AF317" i="19"/>
  <c r="AG317" i="19"/>
  <c r="AH317" i="19"/>
  <c r="AJ317" i="19"/>
  <c r="AA318" i="19"/>
  <c r="AB318" i="19"/>
  <c r="AC318" i="19"/>
  <c r="AE318" i="19"/>
  <c r="AF318" i="19"/>
  <c r="AG318" i="19"/>
  <c r="AH318" i="19"/>
  <c r="AJ318" i="19"/>
  <c r="AA319" i="19"/>
  <c r="AB319" i="19"/>
  <c r="AC319" i="19"/>
  <c r="AE319" i="19"/>
  <c r="AF319" i="19"/>
  <c r="AG319" i="19"/>
  <c r="AH319" i="19"/>
  <c r="AJ319" i="19"/>
  <c r="AA320" i="19"/>
  <c r="AB320" i="19"/>
  <c r="AC320" i="19"/>
  <c r="AE320" i="19"/>
  <c r="AF320" i="19"/>
  <c r="AG320" i="19"/>
  <c r="AH320" i="19"/>
  <c r="AJ320" i="19"/>
  <c r="AA321" i="19"/>
  <c r="AB321" i="19"/>
  <c r="AC321" i="19"/>
  <c r="AE321" i="19"/>
  <c r="AF321" i="19"/>
  <c r="AG321" i="19"/>
  <c r="AH321" i="19"/>
  <c r="AJ321" i="19"/>
  <c r="AA322" i="19"/>
  <c r="AB322" i="19"/>
  <c r="AC322" i="19"/>
  <c r="AE322" i="19"/>
  <c r="AF322" i="19"/>
  <c r="AG322" i="19"/>
  <c r="AH322" i="19"/>
  <c r="AJ322" i="19"/>
  <c r="AA323" i="19"/>
  <c r="AB323" i="19"/>
  <c r="AC323" i="19"/>
  <c r="AE323" i="19"/>
  <c r="AF323" i="19"/>
  <c r="AG323" i="19"/>
  <c r="AH323" i="19"/>
  <c r="AJ323" i="19"/>
  <c r="AA324" i="19"/>
  <c r="AB324" i="19"/>
  <c r="AC324" i="19"/>
  <c r="AE324" i="19"/>
  <c r="AF324" i="19"/>
  <c r="AG324" i="19"/>
  <c r="AH324" i="19"/>
  <c r="AJ324" i="19"/>
  <c r="AA325" i="19"/>
  <c r="AB325" i="19"/>
  <c r="AC325" i="19"/>
  <c r="AE325" i="19"/>
  <c r="AF325" i="19"/>
  <c r="AG325" i="19"/>
  <c r="AH325" i="19"/>
  <c r="AJ325" i="19"/>
  <c r="AA326" i="19"/>
  <c r="AB326" i="19"/>
  <c r="AC326" i="19"/>
  <c r="AE326" i="19"/>
  <c r="AF326" i="19"/>
  <c r="AG326" i="19"/>
  <c r="AH326" i="19"/>
  <c r="AJ326" i="19"/>
  <c r="AA327" i="19"/>
  <c r="AB327" i="19"/>
  <c r="AC327" i="19"/>
  <c r="AD327" i="19"/>
  <c r="AE327" i="19"/>
  <c r="AH327" i="19"/>
  <c r="AI327" i="19"/>
  <c r="AJ327" i="19"/>
  <c r="AA328" i="19"/>
  <c r="AB328" i="19"/>
  <c r="AC328" i="19"/>
  <c r="AD328" i="19"/>
  <c r="AE328" i="19"/>
  <c r="AH328" i="19"/>
  <c r="AI328" i="19"/>
  <c r="AJ328" i="19"/>
  <c r="AA329" i="19"/>
  <c r="AB329" i="19"/>
  <c r="AC329" i="19"/>
  <c r="AD329" i="19"/>
  <c r="AE329" i="19"/>
  <c r="AH329" i="19"/>
  <c r="AI329" i="19"/>
  <c r="AJ329" i="19"/>
  <c r="AA330" i="19"/>
  <c r="AB330" i="19"/>
  <c r="AC330" i="19"/>
  <c r="AD330" i="19"/>
  <c r="AE330" i="19"/>
  <c r="AH330" i="19"/>
  <c r="AI330" i="19"/>
  <c r="AJ330" i="19"/>
  <c r="AA331" i="19"/>
  <c r="AB331" i="19"/>
  <c r="AC331" i="19"/>
  <c r="AD331" i="19"/>
  <c r="AE331" i="19"/>
  <c r="AH331" i="19"/>
  <c r="AI331" i="19"/>
  <c r="AJ331" i="19"/>
  <c r="AA332" i="19"/>
  <c r="AB332" i="19"/>
  <c r="AC332" i="19"/>
  <c r="AD332" i="19"/>
  <c r="AE332" i="19"/>
  <c r="AH332" i="19"/>
  <c r="AI332" i="19"/>
  <c r="AJ332" i="19"/>
  <c r="AA333" i="19"/>
  <c r="AB333" i="19"/>
  <c r="AC333" i="19"/>
  <c r="AD333" i="19"/>
  <c r="AE333" i="19"/>
  <c r="AH333" i="19"/>
  <c r="AI333" i="19"/>
  <c r="AJ333" i="19"/>
  <c r="AA334" i="19"/>
  <c r="AB334" i="19"/>
  <c r="AC334" i="19"/>
  <c r="AD334" i="19"/>
  <c r="AE334" i="19"/>
  <c r="AH334" i="19"/>
  <c r="AI334" i="19"/>
  <c r="AJ334" i="19"/>
  <c r="AA335" i="19"/>
  <c r="AB335" i="19"/>
  <c r="AC335" i="19"/>
  <c r="AD335" i="19"/>
  <c r="AE335" i="19"/>
  <c r="AH335" i="19"/>
  <c r="AI335" i="19"/>
  <c r="AJ335" i="19"/>
  <c r="AA336" i="19"/>
  <c r="AB336" i="19"/>
  <c r="AC336" i="19"/>
  <c r="AD336" i="19"/>
  <c r="AE336" i="19"/>
  <c r="AH336" i="19"/>
  <c r="AI336" i="19"/>
  <c r="AJ336" i="19"/>
  <c r="AA337" i="19"/>
  <c r="AB337" i="19"/>
  <c r="AD337" i="19"/>
  <c r="AE337" i="19"/>
  <c r="AF337" i="19"/>
  <c r="AG337" i="19"/>
  <c r="AI337" i="19"/>
  <c r="AJ337" i="19"/>
  <c r="AA338" i="19"/>
  <c r="AB338" i="19"/>
  <c r="AD338" i="19"/>
  <c r="AE338" i="19"/>
  <c r="AF338" i="19"/>
  <c r="AG338" i="19"/>
  <c r="AI338" i="19"/>
  <c r="AJ338" i="19"/>
  <c r="AA339" i="19"/>
  <c r="AB339" i="19"/>
  <c r="AD339" i="19"/>
  <c r="AE339" i="19"/>
  <c r="AF339" i="19"/>
  <c r="AG339" i="19"/>
  <c r="AI339" i="19"/>
  <c r="AJ339" i="19"/>
  <c r="AA340" i="19"/>
  <c r="AB340" i="19"/>
  <c r="AD340" i="19"/>
  <c r="AE340" i="19"/>
  <c r="AF340" i="19"/>
  <c r="AG340" i="19"/>
  <c r="AI340" i="19"/>
  <c r="AJ340" i="19"/>
  <c r="AA341" i="19"/>
  <c r="AB341" i="19"/>
  <c r="AD341" i="19"/>
  <c r="AE341" i="19"/>
  <c r="AF341" i="19"/>
  <c r="AG341" i="19"/>
  <c r="AI341" i="19"/>
  <c r="AJ341" i="19"/>
  <c r="AA342" i="19"/>
  <c r="AB342" i="19"/>
  <c r="AD342" i="19"/>
  <c r="AE342" i="19"/>
  <c r="AF342" i="19"/>
  <c r="AG342" i="19"/>
  <c r="AI342" i="19"/>
  <c r="AJ342" i="19"/>
  <c r="AA343" i="19"/>
  <c r="AB343" i="19"/>
  <c r="AD343" i="19"/>
  <c r="AE343" i="19"/>
  <c r="AF343" i="19"/>
  <c r="AG343" i="19"/>
  <c r="AI343" i="19"/>
  <c r="AJ343" i="19"/>
  <c r="AA344" i="19"/>
  <c r="AB344" i="19"/>
  <c r="AC344" i="19"/>
  <c r="AD344" i="19"/>
  <c r="AG344" i="19"/>
  <c r="AH344" i="19"/>
  <c r="AI344" i="19"/>
  <c r="AJ344" i="19"/>
  <c r="AA345" i="19"/>
  <c r="AB345" i="19"/>
  <c r="AC345" i="19"/>
  <c r="AD345" i="19"/>
  <c r="AG345" i="19"/>
  <c r="AH345" i="19"/>
  <c r="AI345" i="19"/>
  <c r="AJ345" i="19"/>
  <c r="AA346" i="19"/>
  <c r="AB346" i="19"/>
  <c r="AC346" i="19"/>
  <c r="AD346" i="19"/>
  <c r="AG346" i="19"/>
  <c r="AH346" i="19"/>
  <c r="AI346" i="19"/>
  <c r="AJ346" i="19"/>
  <c r="AA347" i="19"/>
  <c r="AC347" i="19"/>
  <c r="AD347" i="19"/>
  <c r="AE347" i="19"/>
  <c r="AF347" i="19"/>
  <c r="AH347" i="19"/>
  <c r="AI347" i="19"/>
  <c r="AJ347" i="19"/>
  <c r="AA348" i="19"/>
  <c r="AC348" i="19"/>
  <c r="AD348" i="19"/>
  <c r="AE348" i="19"/>
  <c r="AF348" i="19"/>
  <c r="AH348" i="19"/>
  <c r="AI348" i="19"/>
  <c r="AJ348" i="19"/>
  <c r="AA349" i="19"/>
  <c r="AC349" i="19"/>
  <c r="AD349" i="19"/>
  <c r="AE349" i="19"/>
  <c r="AF349" i="19"/>
  <c r="AH349" i="19"/>
  <c r="AI349" i="19"/>
  <c r="AJ349" i="19"/>
  <c r="AA350" i="19"/>
  <c r="AC350" i="19"/>
  <c r="AD350" i="19"/>
  <c r="AE350" i="19"/>
  <c r="AF350" i="19"/>
  <c r="AH350" i="19"/>
  <c r="AI350" i="19"/>
  <c r="AJ350" i="19"/>
  <c r="AA351" i="19"/>
  <c r="AC351" i="19"/>
  <c r="AD351" i="19"/>
  <c r="AE351" i="19"/>
  <c r="AF351" i="19"/>
  <c r="AH351" i="19"/>
  <c r="AI351" i="19"/>
  <c r="AJ351" i="19"/>
  <c r="AA352" i="19"/>
  <c r="AC352" i="19"/>
  <c r="AD352" i="19"/>
  <c r="AE352" i="19"/>
  <c r="AF352" i="19"/>
  <c r="AH352" i="19"/>
  <c r="AI352" i="19"/>
  <c r="AJ352" i="19"/>
  <c r="AA353" i="19"/>
  <c r="AC353" i="19"/>
  <c r="AD353" i="19"/>
  <c r="AE353" i="19"/>
  <c r="AF353" i="19"/>
  <c r="AH353" i="19"/>
  <c r="AI353" i="19"/>
  <c r="AJ353" i="19"/>
  <c r="AA354" i="19"/>
  <c r="AC354" i="19"/>
  <c r="AD354" i="19"/>
  <c r="AE354" i="19"/>
  <c r="AF354" i="19"/>
  <c r="AH354" i="19"/>
  <c r="AI354" i="19"/>
  <c r="AJ354" i="19"/>
  <c r="AA355" i="19"/>
  <c r="AC355" i="19"/>
  <c r="AD355" i="19"/>
  <c r="AE355" i="19"/>
  <c r="AF355" i="19"/>
  <c r="AH355" i="19"/>
  <c r="AI355" i="19"/>
  <c r="AJ355" i="19"/>
  <c r="AA356" i="19"/>
  <c r="AC356" i="19"/>
  <c r="AD356" i="19"/>
  <c r="AE356" i="19"/>
  <c r="AF356" i="19"/>
  <c r="AH356" i="19"/>
  <c r="AI356" i="19"/>
  <c r="AJ356" i="19"/>
  <c r="AB357" i="19"/>
  <c r="AC357" i="19"/>
  <c r="AD357" i="19"/>
  <c r="AE357" i="19"/>
  <c r="AF357" i="19"/>
  <c r="AG357" i="19"/>
  <c r="AH357" i="19"/>
  <c r="AB358" i="19"/>
  <c r="AC358" i="19"/>
  <c r="AD358" i="19"/>
  <c r="AE358" i="19"/>
  <c r="AF358" i="19"/>
  <c r="AG358" i="19"/>
  <c r="AH358" i="19"/>
  <c r="AA359" i="19"/>
  <c r="AB359" i="19"/>
  <c r="AC359" i="19"/>
  <c r="AD359" i="19"/>
  <c r="AE359" i="19"/>
  <c r="AF359" i="19"/>
  <c r="AI359" i="19"/>
  <c r="AJ359" i="19"/>
  <c r="AA360" i="19"/>
  <c r="AB360" i="19"/>
  <c r="AC360" i="19"/>
  <c r="AD360" i="19"/>
  <c r="AE360" i="19"/>
  <c r="AF360" i="19"/>
  <c r="AI360" i="19"/>
  <c r="AJ360" i="19"/>
  <c r="AA361" i="19"/>
  <c r="AB361" i="19"/>
  <c r="AC361" i="19"/>
  <c r="AD361" i="19"/>
  <c r="AE361" i="19"/>
  <c r="AF361" i="19"/>
  <c r="AI361" i="19"/>
  <c r="AJ361" i="19"/>
  <c r="AA362" i="19"/>
  <c r="AB362" i="19"/>
  <c r="AC362" i="19"/>
  <c r="AD362" i="19"/>
  <c r="AE362" i="19"/>
  <c r="AF362" i="19"/>
  <c r="AI362" i="19"/>
  <c r="AJ362" i="19"/>
  <c r="AA363" i="19"/>
  <c r="AD363" i="19"/>
  <c r="AE363" i="19"/>
  <c r="AF363" i="19"/>
  <c r="AG363" i="19"/>
  <c r="AH363" i="19"/>
  <c r="AI363" i="19"/>
  <c r="AJ363" i="19"/>
  <c r="AA364" i="19"/>
  <c r="AD364" i="19"/>
  <c r="AE364" i="19"/>
  <c r="AF364" i="19"/>
  <c r="AG364" i="19"/>
  <c r="AH364" i="19"/>
  <c r="AI364" i="19"/>
  <c r="AJ364" i="19"/>
  <c r="AA365" i="19"/>
  <c r="AD365" i="19"/>
  <c r="AE365" i="19"/>
  <c r="AF365" i="19"/>
  <c r="AG365" i="19"/>
  <c r="AH365" i="19"/>
  <c r="AI365" i="19"/>
  <c r="AJ365" i="19"/>
  <c r="AC366" i="19"/>
  <c r="AD366" i="19"/>
  <c r="AE366" i="19"/>
  <c r="AF366" i="19"/>
  <c r="AG366" i="19"/>
  <c r="AH366" i="19"/>
  <c r="AI366" i="19"/>
  <c r="AJ366" i="19"/>
  <c r="AC367" i="19"/>
  <c r="AD367" i="19"/>
  <c r="AE367" i="19"/>
  <c r="AF367" i="19"/>
  <c r="AG367" i="19"/>
  <c r="AH367" i="19"/>
  <c r="AI367" i="19"/>
  <c r="AJ367" i="19"/>
  <c r="AC368" i="19"/>
  <c r="AD368" i="19"/>
  <c r="AE368" i="19"/>
  <c r="AF368" i="19"/>
  <c r="AG368" i="19"/>
  <c r="AH368" i="19"/>
  <c r="AI368" i="19"/>
  <c r="AJ368" i="19"/>
  <c r="AC369" i="19"/>
  <c r="AD369" i="19"/>
  <c r="AE369" i="19"/>
  <c r="AF369" i="19"/>
  <c r="AG369" i="19"/>
  <c r="AH369" i="19"/>
  <c r="AI369" i="19"/>
  <c r="AJ369" i="19"/>
  <c r="AC370" i="19"/>
  <c r="AD370" i="19"/>
  <c r="AE370" i="19"/>
  <c r="AF370" i="19"/>
  <c r="AG370" i="19"/>
  <c r="AH370" i="19"/>
  <c r="AI370" i="19"/>
  <c r="AJ370" i="19"/>
  <c r="AC371" i="19"/>
  <c r="AD371" i="19"/>
  <c r="AE371" i="19"/>
  <c r="AF371" i="19"/>
  <c r="AG371" i="19"/>
  <c r="AH371" i="19"/>
  <c r="AI371" i="19"/>
  <c r="AJ371" i="19"/>
  <c r="AC372" i="19"/>
  <c r="AD372" i="19"/>
  <c r="AE372" i="19"/>
  <c r="AF372" i="19"/>
  <c r="AG372" i="19"/>
  <c r="AH372" i="19"/>
  <c r="AI372" i="19"/>
  <c r="AJ372" i="19"/>
  <c r="AC373" i="19"/>
  <c r="AD373" i="19"/>
  <c r="AE373" i="19"/>
  <c r="AF373" i="19"/>
  <c r="AG373" i="19"/>
  <c r="AH373" i="19"/>
  <c r="AI373" i="19"/>
  <c r="AJ373" i="19"/>
  <c r="AC374" i="19"/>
  <c r="AD374" i="19"/>
  <c r="AE374" i="19"/>
  <c r="AF374" i="19"/>
  <c r="AG374" i="19"/>
  <c r="AH374" i="19"/>
  <c r="AI374" i="19"/>
  <c r="AJ374" i="19"/>
  <c r="AC375" i="19"/>
  <c r="AD375" i="19"/>
  <c r="AE375" i="19"/>
  <c r="AF375" i="19"/>
  <c r="AG375" i="19"/>
  <c r="AH375" i="19"/>
  <c r="AI375" i="19"/>
  <c r="AJ375" i="19"/>
  <c r="AC376" i="19"/>
  <c r="AD376" i="19"/>
  <c r="AE376" i="19"/>
  <c r="AF376" i="19"/>
  <c r="AG376" i="19"/>
  <c r="AH376" i="19"/>
  <c r="AI376" i="19"/>
  <c r="AJ376" i="19"/>
  <c r="AA377" i="19"/>
  <c r="AB377" i="19"/>
  <c r="AC377" i="19"/>
  <c r="AD377" i="19"/>
  <c r="AE377" i="19"/>
  <c r="AF377" i="19"/>
  <c r="AG377" i="19"/>
  <c r="AH377" i="19"/>
  <c r="AI377" i="19"/>
  <c r="AJ377" i="19"/>
  <c r="AA378" i="19"/>
  <c r="AB378" i="19"/>
  <c r="AC378" i="19"/>
  <c r="AD378" i="19"/>
  <c r="AE378" i="19"/>
  <c r="AF378" i="19"/>
  <c r="AG378" i="19"/>
  <c r="AH378" i="19"/>
  <c r="AI378" i="19"/>
  <c r="AJ378" i="19"/>
  <c r="AA379" i="19"/>
  <c r="AB379" i="19"/>
  <c r="AC379" i="19"/>
  <c r="AD379" i="19"/>
  <c r="AE379" i="19"/>
  <c r="AF379" i="19"/>
  <c r="AG379" i="19"/>
  <c r="AH379" i="19"/>
  <c r="AI379" i="19"/>
  <c r="AJ379" i="19"/>
  <c r="AA380" i="19"/>
  <c r="AB380" i="19"/>
  <c r="AC380" i="19"/>
  <c r="AD380" i="19"/>
  <c r="AE380" i="19"/>
  <c r="AF380" i="19"/>
  <c r="AG380" i="19"/>
  <c r="AH380" i="19"/>
  <c r="AI380" i="19"/>
  <c r="AJ380" i="19"/>
  <c r="AA381" i="19"/>
  <c r="AB381" i="19"/>
  <c r="AC381" i="19"/>
  <c r="AD381" i="19"/>
  <c r="AE381" i="19"/>
  <c r="AF381" i="19"/>
  <c r="AG381" i="19"/>
  <c r="AH381" i="19"/>
  <c r="AI381" i="19"/>
  <c r="AJ381" i="19"/>
  <c r="AA382" i="19"/>
  <c r="AB382" i="19"/>
  <c r="AC382" i="19"/>
  <c r="AD382" i="19"/>
  <c r="AE382" i="19"/>
  <c r="AF382" i="19"/>
  <c r="AG382" i="19"/>
  <c r="AH382" i="19"/>
  <c r="AI382" i="19"/>
  <c r="AJ382" i="19"/>
  <c r="AA383" i="19"/>
  <c r="AB383" i="19"/>
  <c r="AC383" i="19"/>
  <c r="AD383" i="19"/>
  <c r="AE383" i="19"/>
  <c r="AF383" i="19"/>
  <c r="AG383" i="19"/>
  <c r="AH383" i="19"/>
  <c r="AI383" i="19"/>
  <c r="AJ383" i="19"/>
  <c r="AA384" i="19"/>
  <c r="AB384" i="19"/>
  <c r="AC384" i="19"/>
  <c r="AD384" i="19"/>
  <c r="AE384" i="19"/>
  <c r="AF384" i="19"/>
  <c r="AG384" i="19"/>
  <c r="AH384" i="19"/>
  <c r="AI384" i="19"/>
  <c r="AJ384" i="19"/>
  <c r="AA385" i="19"/>
  <c r="AB385" i="19"/>
  <c r="AC385" i="19"/>
  <c r="AD385" i="19"/>
  <c r="AE385" i="19"/>
  <c r="AF385" i="19"/>
  <c r="AG385" i="19"/>
  <c r="AH385" i="19"/>
  <c r="AI385" i="19"/>
  <c r="AJ385" i="19"/>
  <c r="AA386" i="19"/>
  <c r="AB386" i="19"/>
  <c r="AC386" i="19"/>
  <c r="AD386" i="19"/>
  <c r="AE386" i="19"/>
  <c r="AF386" i="19"/>
  <c r="AG386" i="19"/>
  <c r="AH386" i="19"/>
  <c r="AI386" i="19"/>
  <c r="AJ386" i="19"/>
  <c r="AA387" i="19"/>
  <c r="AB387" i="19"/>
  <c r="AC387" i="19"/>
  <c r="AD387" i="19"/>
  <c r="AE387" i="19"/>
  <c r="AF387" i="19"/>
  <c r="AG387" i="19"/>
  <c r="AH387" i="19"/>
  <c r="AI387" i="19"/>
  <c r="AJ387" i="19"/>
  <c r="AA388" i="19"/>
  <c r="AB388" i="19"/>
  <c r="AC388" i="19"/>
  <c r="AD388" i="19"/>
  <c r="AE388" i="19"/>
  <c r="AF388" i="19"/>
  <c r="AG388" i="19"/>
  <c r="AH388" i="19"/>
  <c r="AI388" i="19"/>
  <c r="AJ388" i="19"/>
  <c r="AA389" i="19"/>
  <c r="AB389" i="19"/>
  <c r="AC389" i="19"/>
  <c r="AD389" i="19"/>
  <c r="AE389" i="19"/>
  <c r="AF389" i="19"/>
  <c r="AG389" i="19"/>
  <c r="AH389" i="19"/>
  <c r="AI389" i="19"/>
  <c r="AJ389" i="19"/>
  <c r="AA390" i="19"/>
  <c r="AB390" i="19"/>
  <c r="AC390" i="19"/>
  <c r="AD390" i="19"/>
  <c r="AE390" i="19"/>
  <c r="AF390" i="19"/>
  <c r="AG390" i="19"/>
  <c r="AH390" i="19"/>
  <c r="AI390" i="19"/>
  <c r="AJ390" i="19"/>
  <c r="AA391" i="19"/>
  <c r="AB391" i="19"/>
  <c r="AC391" i="19"/>
  <c r="AD391" i="19"/>
  <c r="AE391" i="19"/>
  <c r="AF391" i="19"/>
  <c r="AG391" i="19"/>
  <c r="AH391" i="19"/>
  <c r="AI391" i="19"/>
  <c r="AJ391" i="19"/>
  <c r="AA392" i="19"/>
  <c r="AB392" i="19"/>
  <c r="AC392" i="19"/>
  <c r="AD392" i="19"/>
  <c r="AE392" i="19"/>
  <c r="AF392" i="19"/>
  <c r="AG392" i="19"/>
  <c r="AH392" i="19"/>
  <c r="AI392" i="19"/>
  <c r="AJ392" i="19"/>
  <c r="AA393" i="19"/>
  <c r="AB393" i="19"/>
  <c r="AC393" i="19"/>
  <c r="AD393" i="19"/>
  <c r="AE393" i="19"/>
  <c r="AF393" i="19"/>
  <c r="AG393" i="19"/>
  <c r="AH393" i="19"/>
  <c r="AI393" i="19"/>
  <c r="AJ393" i="19"/>
  <c r="AA394" i="19"/>
  <c r="AB394" i="19"/>
  <c r="AC394" i="19"/>
  <c r="AD394" i="19"/>
  <c r="AE394" i="19"/>
  <c r="AF394" i="19"/>
  <c r="AG394" i="19"/>
  <c r="AH394" i="19"/>
  <c r="AI394" i="19"/>
  <c r="AJ394" i="19"/>
  <c r="AA395" i="19"/>
  <c r="AB395" i="19"/>
  <c r="AC395" i="19"/>
  <c r="AD395" i="19"/>
  <c r="AE395" i="19"/>
  <c r="AF395" i="19"/>
  <c r="AG395" i="19"/>
  <c r="AH395" i="19"/>
  <c r="AI395" i="19"/>
  <c r="AJ395" i="19"/>
  <c r="AA396" i="19"/>
  <c r="AB396" i="19"/>
  <c r="AC396" i="19"/>
  <c r="AD396" i="19"/>
  <c r="AE396" i="19"/>
  <c r="AF396" i="19"/>
  <c r="AG396" i="19"/>
  <c r="AH396" i="19"/>
  <c r="AI396" i="19"/>
  <c r="AJ396" i="19"/>
  <c r="AA397" i="19"/>
  <c r="AB397" i="19"/>
  <c r="AC397" i="19"/>
  <c r="AD397" i="19"/>
  <c r="AE397" i="19"/>
  <c r="AF397" i="19"/>
  <c r="AG397" i="19"/>
  <c r="AH397" i="19"/>
  <c r="AI397" i="19"/>
  <c r="AJ397" i="19"/>
  <c r="AA398" i="19"/>
  <c r="AB398" i="19"/>
  <c r="AC398" i="19"/>
  <c r="AD398" i="19"/>
  <c r="AE398" i="19"/>
  <c r="AF398" i="19"/>
  <c r="AG398" i="19"/>
  <c r="AH398" i="19"/>
  <c r="AI398" i="19"/>
  <c r="AJ398" i="19"/>
  <c r="AA399" i="19"/>
  <c r="AB399" i="19"/>
  <c r="AC399" i="19"/>
  <c r="AD399" i="19"/>
  <c r="AE399" i="19"/>
  <c r="AF399" i="19"/>
  <c r="AG399" i="19"/>
  <c r="AH399" i="19"/>
  <c r="AI399" i="19"/>
  <c r="AJ399" i="19"/>
  <c r="AA400" i="19"/>
  <c r="AB400" i="19"/>
  <c r="AC400" i="19"/>
  <c r="AD400" i="19"/>
  <c r="AE400" i="19"/>
  <c r="AF400" i="19"/>
  <c r="AG400" i="19"/>
  <c r="AH400" i="19"/>
  <c r="AI400" i="19"/>
  <c r="AJ400" i="19"/>
  <c r="AA401" i="19"/>
  <c r="AB401" i="19"/>
  <c r="AC401" i="19"/>
  <c r="AD401" i="19"/>
  <c r="AE401" i="19"/>
  <c r="AF401" i="19"/>
  <c r="AG401" i="19"/>
  <c r="AH401" i="19"/>
  <c r="AI401" i="19"/>
  <c r="AJ401" i="19"/>
  <c r="AA402" i="19"/>
  <c r="AB402" i="19"/>
  <c r="AC402" i="19"/>
  <c r="AD402" i="19"/>
  <c r="AE402" i="19"/>
  <c r="AF402" i="19"/>
  <c r="AG402" i="19"/>
  <c r="AH402" i="19"/>
  <c r="AI402" i="19"/>
  <c r="AJ402" i="19"/>
  <c r="AA403" i="19"/>
  <c r="AB403" i="19"/>
  <c r="AC403" i="19"/>
  <c r="AD403" i="19"/>
  <c r="AE403" i="19"/>
  <c r="AF403" i="19"/>
  <c r="AG403" i="19"/>
  <c r="AH403" i="19"/>
  <c r="AI403" i="19"/>
  <c r="AJ403" i="19"/>
  <c r="AA404" i="19"/>
  <c r="AB404" i="19"/>
  <c r="AC404" i="19"/>
  <c r="AD404" i="19"/>
  <c r="AE404" i="19"/>
  <c r="AF404" i="19"/>
  <c r="AG404" i="19"/>
  <c r="AH404" i="19"/>
  <c r="AI404" i="19"/>
  <c r="AJ404" i="19"/>
  <c r="AA405" i="19"/>
  <c r="AB405" i="19"/>
  <c r="AC405" i="19"/>
  <c r="AD405" i="19"/>
  <c r="AE405" i="19"/>
  <c r="AF405" i="19"/>
  <c r="AG405" i="19"/>
  <c r="AH405" i="19"/>
  <c r="AI405" i="19"/>
  <c r="AJ405" i="19"/>
  <c r="AA406" i="19"/>
  <c r="AB406" i="19"/>
  <c r="AC406" i="19"/>
  <c r="AD406" i="19"/>
  <c r="AE406" i="19"/>
  <c r="AF406" i="19"/>
  <c r="AG406" i="19"/>
  <c r="AH406" i="19"/>
  <c r="AI406" i="19"/>
  <c r="AJ406" i="19"/>
  <c r="AA407" i="19"/>
  <c r="AB407" i="19"/>
  <c r="AC407" i="19"/>
  <c r="AD407" i="19"/>
  <c r="AE407" i="19"/>
  <c r="AF407" i="19"/>
  <c r="AG407" i="19"/>
  <c r="AH407" i="19"/>
  <c r="AI407" i="19"/>
  <c r="AJ407" i="19"/>
  <c r="AA408" i="19"/>
  <c r="AB408" i="19"/>
  <c r="AC408" i="19"/>
  <c r="AD408" i="19"/>
  <c r="AE408" i="19"/>
  <c r="AF408" i="19"/>
  <c r="AG408" i="19"/>
  <c r="AH408" i="19"/>
  <c r="AI408" i="19"/>
  <c r="AJ408" i="19"/>
  <c r="AA409" i="19"/>
  <c r="AB409" i="19"/>
  <c r="AC409" i="19"/>
  <c r="AD409" i="19"/>
  <c r="AE409" i="19"/>
  <c r="AF409" i="19"/>
  <c r="AG409" i="19"/>
  <c r="AH409" i="19"/>
  <c r="AI409" i="19"/>
  <c r="AJ409" i="19"/>
  <c r="AA410" i="19"/>
  <c r="AB410" i="19"/>
  <c r="AC410" i="19"/>
  <c r="AD410" i="19"/>
  <c r="AE410" i="19"/>
  <c r="AF410" i="19"/>
  <c r="AG410" i="19"/>
  <c r="AH410" i="19"/>
  <c r="AI410" i="19"/>
  <c r="AJ410" i="19"/>
  <c r="AA411" i="19"/>
  <c r="AB411" i="19"/>
  <c r="AC411" i="19"/>
  <c r="AD411" i="19"/>
  <c r="AE411" i="19"/>
  <c r="AF411" i="19"/>
  <c r="AG411" i="19"/>
  <c r="AH411" i="19"/>
  <c r="AI411" i="19"/>
  <c r="AJ411" i="19"/>
  <c r="AA412" i="19"/>
  <c r="AB412" i="19"/>
  <c r="AC412" i="19"/>
  <c r="AD412" i="19"/>
  <c r="AE412" i="19"/>
  <c r="AF412" i="19"/>
  <c r="AG412" i="19"/>
  <c r="AH412" i="19"/>
  <c r="AI412" i="19"/>
  <c r="AJ412" i="19"/>
  <c r="AA413" i="19"/>
  <c r="AB413" i="19"/>
  <c r="AC413" i="19"/>
  <c r="AD413" i="19"/>
  <c r="AE413" i="19"/>
  <c r="AF413" i="19"/>
  <c r="AG413" i="19"/>
  <c r="AH413" i="19"/>
  <c r="AI413" i="19"/>
  <c r="AJ413" i="19"/>
  <c r="AA414" i="19"/>
  <c r="AB414" i="19"/>
  <c r="AC414" i="19"/>
  <c r="AD414" i="19"/>
  <c r="AE414" i="19"/>
  <c r="AF414" i="19"/>
  <c r="AG414" i="19"/>
  <c r="AH414" i="19"/>
  <c r="AI414" i="19"/>
  <c r="AJ414" i="19"/>
  <c r="AA415" i="19"/>
  <c r="AB415" i="19"/>
  <c r="AC415" i="19"/>
  <c r="AD415" i="19"/>
  <c r="AE415" i="19"/>
  <c r="AF415" i="19"/>
  <c r="AG415" i="19"/>
  <c r="AH415" i="19"/>
  <c r="AI415" i="19"/>
  <c r="AJ415" i="19"/>
  <c r="AA416" i="19"/>
  <c r="AB416" i="19"/>
  <c r="AC416" i="19"/>
  <c r="AD416" i="19"/>
  <c r="AE416" i="19"/>
  <c r="AF416" i="19"/>
  <c r="AG416" i="19"/>
  <c r="AH416" i="19"/>
  <c r="AI416" i="19"/>
  <c r="AJ416" i="19"/>
  <c r="AA417" i="19"/>
  <c r="AB417" i="19"/>
  <c r="AC417" i="19"/>
  <c r="AD417" i="19"/>
  <c r="AE417" i="19"/>
  <c r="AF417" i="19"/>
  <c r="AG417" i="19"/>
  <c r="AH417" i="19"/>
  <c r="AI417" i="19"/>
  <c r="AJ417" i="19"/>
  <c r="AA418" i="19"/>
  <c r="AB418" i="19"/>
  <c r="AC418" i="19"/>
  <c r="AD418" i="19"/>
  <c r="AE418" i="19"/>
  <c r="AF418" i="19"/>
  <c r="AG418" i="19"/>
  <c r="AH418" i="19"/>
  <c r="AI418" i="19"/>
  <c r="AJ418" i="19"/>
  <c r="AA419" i="19"/>
  <c r="AB419" i="19"/>
  <c r="AC419" i="19"/>
  <c r="AD419" i="19"/>
  <c r="AE419" i="19"/>
  <c r="AF419" i="19"/>
  <c r="AG419" i="19"/>
  <c r="AH419" i="19"/>
  <c r="AI419" i="19"/>
  <c r="AJ419" i="19"/>
  <c r="AA420" i="19"/>
  <c r="AB420" i="19"/>
  <c r="AC420" i="19"/>
  <c r="AD420" i="19"/>
  <c r="AE420" i="19"/>
  <c r="AF420" i="19"/>
  <c r="AG420" i="19"/>
  <c r="AH420" i="19"/>
  <c r="AI420" i="19"/>
  <c r="AJ420" i="19"/>
  <c r="AA421" i="19"/>
  <c r="AB421" i="19"/>
  <c r="AC421" i="19"/>
  <c r="AD421" i="19"/>
  <c r="AE421" i="19"/>
  <c r="AF421" i="19"/>
  <c r="AG421" i="19"/>
  <c r="AH421" i="19"/>
  <c r="AI421" i="19"/>
  <c r="AJ421" i="19"/>
  <c r="AA422" i="19"/>
  <c r="AB422" i="19"/>
  <c r="AC422" i="19"/>
  <c r="AD422" i="19"/>
  <c r="AE422" i="19"/>
  <c r="AF422" i="19"/>
  <c r="AG422" i="19"/>
  <c r="AH422" i="19"/>
  <c r="AI422" i="19"/>
  <c r="AJ422" i="19"/>
  <c r="AA423" i="19"/>
  <c r="AB423" i="19"/>
  <c r="AC423" i="19"/>
  <c r="AD423" i="19"/>
  <c r="AE423" i="19"/>
  <c r="AF423" i="19"/>
  <c r="AG423" i="19"/>
  <c r="AH423" i="19"/>
  <c r="AI423" i="19"/>
  <c r="AJ423" i="19"/>
  <c r="AA424" i="19"/>
  <c r="AB424" i="19"/>
  <c r="AC424" i="19"/>
  <c r="AD424" i="19"/>
  <c r="AE424" i="19"/>
  <c r="AF424" i="19"/>
  <c r="AG424" i="19"/>
  <c r="AH424" i="19"/>
  <c r="AI424" i="19"/>
  <c r="AJ424" i="19"/>
  <c r="AA425" i="19"/>
  <c r="AB425" i="19"/>
  <c r="AC425" i="19"/>
  <c r="AD425" i="19"/>
  <c r="AE425" i="19"/>
  <c r="AF425" i="19"/>
  <c r="AG425" i="19"/>
  <c r="AH425" i="19"/>
  <c r="AI425" i="19"/>
  <c r="AJ425" i="19"/>
  <c r="AA426" i="19"/>
  <c r="AB426" i="19"/>
  <c r="AC426" i="19"/>
  <c r="AD426" i="19"/>
  <c r="AE426" i="19"/>
  <c r="AF426" i="19"/>
  <c r="AG426" i="19"/>
  <c r="AH426" i="19"/>
  <c r="AI426" i="19"/>
  <c r="AJ426" i="19"/>
  <c r="AA427" i="19"/>
  <c r="AB427" i="19"/>
  <c r="AC427" i="19"/>
  <c r="AD427" i="19"/>
  <c r="AE427" i="19"/>
  <c r="AF427" i="19"/>
  <c r="AG427" i="19"/>
  <c r="AH427" i="19"/>
  <c r="AI427" i="19"/>
  <c r="AJ427" i="19"/>
  <c r="AA428" i="19"/>
  <c r="AB428" i="19"/>
  <c r="AC428" i="19"/>
  <c r="AD428" i="19"/>
  <c r="AE428" i="19"/>
  <c r="AF428" i="19"/>
  <c r="AG428" i="19"/>
  <c r="AH428" i="19"/>
  <c r="AI428" i="19"/>
  <c r="AJ428" i="19"/>
  <c r="AA429" i="19"/>
  <c r="AB429" i="19"/>
  <c r="AC429" i="19"/>
  <c r="AD429" i="19"/>
  <c r="AE429" i="19"/>
  <c r="AF429" i="19"/>
  <c r="AG429" i="19"/>
  <c r="AH429" i="19"/>
  <c r="AI429" i="19"/>
  <c r="AJ429" i="19"/>
  <c r="AA430" i="19"/>
  <c r="AB430" i="19"/>
  <c r="AC430" i="19"/>
  <c r="AD430" i="19"/>
  <c r="AE430" i="19"/>
  <c r="AF430" i="19"/>
  <c r="AG430" i="19"/>
  <c r="AH430" i="19"/>
  <c r="AI430" i="19"/>
  <c r="AJ430" i="19"/>
  <c r="AA431" i="19"/>
  <c r="AB431" i="19"/>
  <c r="AC431" i="19"/>
  <c r="AD431" i="19"/>
  <c r="AE431" i="19"/>
  <c r="AF431" i="19"/>
  <c r="AG431" i="19"/>
  <c r="AH431" i="19"/>
  <c r="AI431" i="19"/>
  <c r="AJ431" i="19"/>
  <c r="AA432" i="19"/>
  <c r="AB432" i="19"/>
  <c r="AC432" i="19"/>
  <c r="AD432" i="19"/>
  <c r="AE432" i="19"/>
  <c r="AF432" i="19"/>
  <c r="AG432" i="19"/>
  <c r="AH432" i="19"/>
  <c r="AI432" i="19"/>
  <c r="AJ432" i="19"/>
  <c r="AA433" i="19"/>
  <c r="AB433" i="19"/>
  <c r="AC433" i="19"/>
  <c r="AD433" i="19"/>
  <c r="AE433" i="19"/>
  <c r="AF433" i="19"/>
  <c r="AG433" i="19"/>
  <c r="AH433" i="19"/>
  <c r="AI433" i="19"/>
  <c r="AJ433" i="19"/>
  <c r="AA434" i="19"/>
  <c r="AB434" i="19"/>
  <c r="AC434" i="19"/>
  <c r="AD434" i="19"/>
  <c r="AE434" i="19"/>
  <c r="AF434" i="19"/>
  <c r="AG434" i="19"/>
  <c r="AH434" i="19"/>
  <c r="AI434" i="19"/>
  <c r="AJ434" i="19"/>
  <c r="AA435" i="19"/>
  <c r="AB435" i="19"/>
  <c r="AC435" i="19"/>
  <c r="AD435" i="19"/>
  <c r="AE435" i="19"/>
  <c r="AF435" i="19"/>
  <c r="AG435" i="19"/>
  <c r="AH435" i="19"/>
  <c r="AI435" i="19"/>
  <c r="AJ435" i="19"/>
  <c r="AA436" i="19"/>
  <c r="AB436" i="19"/>
  <c r="AC436" i="19"/>
  <c r="AD436" i="19"/>
  <c r="AE436" i="19"/>
  <c r="AF436" i="19"/>
  <c r="AG436" i="19"/>
  <c r="AH436" i="19"/>
  <c r="AI436" i="19"/>
  <c r="AJ436" i="19"/>
  <c r="AA437" i="19"/>
  <c r="AB437" i="19"/>
  <c r="AC437" i="19"/>
  <c r="AD437" i="19"/>
  <c r="AE437" i="19"/>
  <c r="AF437" i="19"/>
  <c r="AG437" i="19"/>
  <c r="AH437" i="19"/>
  <c r="AI437" i="19"/>
  <c r="AJ437" i="19"/>
  <c r="AA438" i="19"/>
  <c r="AB438" i="19"/>
  <c r="AC438" i="19"/>
  <c r="AD438" i="19"/>
  <c r="AE438" i="19"/>
  <c r="AF438" i="19"/>
  <c r="AG438" i="19"/>
  <c r="AH438" i="19"/>
  <c r="AI438" i="19"/>
  <c r="AJ438" i="19"/>
  <c r="AA439" i="19"/>
  <c r="AB439" i="19"/>
  <c r="AC439" i="19"/>
  <c r="AD439" i="19"/>
  <c r="AE439" i="19"/>
  <c r="AF439" i="19"/>
  <c r="AG439" i="19"/>
  <c r="AH439" i="19"/>
  <c r="AI439" i="19"/>
  <c r="AJ439" i="19"/>
  <c r="AA440" i="19"/>
  <c r="AB440" i="19"/>
  <c r="AC440" i="19"/>
  <c r="AD440" i="19"/>
  <c r="AE440" i="19"/>
  <c r="AF440" i="19"/>
  <c r="AG440" i="19"/>
  <c r="AH440" i="19"/>
  <c r="AI440" i="19"/>
  <c r="AJ440" i="19"/>
  <c r="AA441" i="19"/>
  <c r="AB441" i="19"/>
  <c r="AC441" i="19"/>
  <c r="AD441" i="19"/>
  <c r="AE441" i="19"/>
  <c r="AF441" i="19"/>
  <c r="AG441" i="19"/>
  <c r="AH441" i="19"/>
  <c r="AI441" i="19"/>
  <c r="AJ441" i="19"/>
  <c r="AA442" i="19"/>
  <c r="AB442" i="19"/>
  <c r="AC442" i="19"/>
  <c r="AD442" i="19"/>
  <c r="AE442" i="19"/>
  <c r="AF442" i="19"/>
  <c r="AG442" i="19"/>
  <c r="AH442" i="19"/>
  <c r="AI442" i="19"/>
  <c r="AJ442" i="19"/>
  <c r="AA443" i="19"/>
  <c r="AB443" i="19"/>
  <c r="AC443" i="19"/>
  <c r="AD443" i="19"/>
  <c r="AE443" i="19"/>
  <c r="AF443" i="19"/>
  <c r="AG443" i="19"/>
  <c r="AH443" i="19"/>
  <c r="AI443" i="19"/>
  <c r="AJ443" i="19"/>
  <c r="AB2" i="19"/>
  <c r="AC2" i="19"/>
  <c r="AD2" i="19"/>
  <c r="AE2" i="19"/>
  <c r="AF2" i="19"/>
  <c r="AG2" i="19"/>
  <c r="AH2" i="19"/>
  <c r="AI2" i="19"/>
  <c r="AJ2" i="19"/>
  <c r="AA2" i="19" s="1"/>
  <c r="G4" i="16"/>
  <c r="G73" i="22" s="1"/>
  <c r="A50" i="21"/>
  <c r="L49" i="21"/>
  <c r="K49" i="21"/>
  <c r="J49" i="21"/>
  <c r="I49" i="21"/>
  <c r="H49" i="21"/>
  <c r="G49" i="21"/>
  <c r="F49" i="21"/>
  <c r="E49" i="21"/>
  <c r="D49" i="21"/>
  <c r="C49" i="21"/>
  <c r="A11" i="21"/>
  <c r="A44" i="21" s="1"/>
  <c r="A56" i="21" s="1"/>
  <c r="A10" i="21"/>
  <c r="A43" i="21" s="1"/>
  <c r="A55" i="21" s="1"/>
  <c r="A9" i="21"/>
  <c r="A42" i="21" s="1"/>
  <c r="A54" i="21" s="1"/>
  <c r="A8" i="21"/>
  <c r="A7" i="21"/>
  <c r="A6" i="21"/>
  <c r="A4" i="21"/>
  <c r="A37" i="21" s="1"/>
  <c r="A49" i="21" s="1"/>
  <c r="A3" i="21"/>
  <c r="A36" i="21" s="1"/>
  <c r="A48" i="21" s="1"/>
  <c r="A7" i="11"/>
  <c r="A8" i="11"/>
  <c r="A9" i="11"/>
  <c r="A10" i="11"/>
  <c r="A11" i="11"/>
  <c r="A6" i="11"/>
  <c r="F6" i="11" s="1"/>
  <c r="A7" i="24"/>
  <c r="A8" i="24"/>
  <c r="A9" i="24"/>
  <c r="A10" i="24"/>
  <c r="A11" i="24"/>
  <c r="A6" i="24"/>
  <c r="A7" i="16"/>
  <c r="A8" i="16"/>
  <c r="A9" i="16"/>
  <c r="A10" i="16"/>
  <c r="A11" i="16"/>
  <c r="A6" i="16"/>
  <c r="A47" i="11"/>
  <c r="L46" i="11"/>
  <c r="K46" i="11"/>
  <c r="J46" i="11"/>
  <c r="I46" i="11"/>
  <c r="H46" i="11"/>
  <c r="G46" i="11"/>
  <c r="F46" i="11"/>
  <c r="E46" i="11"/>
  <c r="D46" i="11"/>
  <c r="C46" i="11"/>
  <c r="A4" i="11"/>
  <c r="A34" i="11" s="1"/>
  <c r="A46" i="11" s="1"/>
  <c r="A3" i="11"/>
  <c r="A33" i="11" s="1"/>
  <c r="A45" i="11" s="1"/>
  <c r="D49" i="24"/>
  <c r="E49" i="24"/>
  <c r="F49" i="24"/>
  <c r="G49" i="24"/>
  <c r="H49" i="24"/>
  <c r="I49" i="24"/>
  <c r="J49" i="24"/>
  <c r="K49" i="24"/>
  <c r="L49" i="24"/>
  <c r="C49" i="24"/>
  <c r="A50" i="24"/>
  <c r="A37" i="24"/>
  <c r="A49" i="24" s="1"/>
  <c r="A36" i="24"/>
  <c r="A48" i="24" s="1"/>
  <c r="A4" i="24"/>
  <c r="A3" i="24"/>
  <c r="D49" i="16"/>
  <c r="E49" i="16"/>
  <c r="F49" i="16"/>
  <c r="G49" i="16"/>
  <c r="H49" i="16"/>
  <c r="I49" i="16"/>
  <c r="J49" i="16"/>
  <c r="K49" i="16"/>
  <c r="L49" i="16"/>
  <c r="C49" i="16"/>
  <c r="A50" i="16"/>
  <c r="A49" i="16"/>
  <c r="A48" i="16"/>
  <c r="G37" i="16"/>
  <c r="G12" i="3"/>
  <c r="H12" i="3" s="1"/>
  <c r="I12" i="3" s="1"/>
  <c r="AK4" i="19"/>
  <c r="AL4" i="19" s="1"/>
  <c r="AM4" i="19" s="1"/>
  <c r="AN4" i="19" s="1"/>
  <c r="AO4" i="19" s="1"/>
  <c r="AP4" i="19" s="1"/>
  <c r="AQ4" i="19" s="1"/>
  <c r="AR4" i="19" s="1"/>
  <c r="AS4" i="19" s="1"/>
  <c r="AT4" i="19" s="1"/>
  <c r="AK5" i="19"/>
  <c r="AL5" i="19" s="1"/>
  <c r="AM5" i="19" s="1"/>
  <c r="AN5" i="19" s="1"/>
  <c r="AO5" i="19" s="1"/>
  <c r="AP5" i="19" s="1"/>
  <c r="AQ5" i="19" s="1"/>
  <c r="AR5" i="19" s="1"/>
  <c r="AS5" i="19" s="1"/>
  <c r="AT5" i="19" s="1"/>
  <c r="AK6" i="19"/>
  <c r="AL6" i="19" s="1"/>
  <c r="AM6" i="19" s="1"/>
  <c r="AN6" i="19" s="1"/>
  <c r="AO6" i="19" s="1"/>
  <c r="AP6" i="19" s="1"/>
  <c r="AQ6" i="19" s="1"/>
  <c r="AR6" i="19" s="1"/>
  <c r="AS6" i="19" s="1"/>
  <c r="AT6" i="19" s="1"/>
  <c r="AK7" i="19"/>
  <c r="AL7" i="19" s="1"/>
  <c r="AM7" i="19" s="1"/>
  <c r="AN7" i="19" s="1"/>
  <c r="AO7" i="19" s="1"/>
  <c r="AP7" i="19" s="1"/>
  <c r="AQ7" i="19" s="1"/>
  <c r="AR7" i="19" s="1"/>
  <c r="AS7" i="19" s="1"/>
  <c r="AT7" i="19" s="1"/>
  <c r="AK8" i="19"/>
  <c r="AL8" i="19" s="1"/>
  <c r="AM8" i="19" s="1"/>
  <c r="AN8" i="19" s="1"/>
  <c r="AO8" i="19" s="1"/>
  <c r="AP8" i="19" s="1"/>
  <c r="AQ8" i="19" s="1"/>
  <c r="AR8" i="19" s="1"/>
  <c r="AS8" i="19" s="1"/>
  <c r="AT8" i="19" s="1"/>
  <c r="AK9" i="19"/>
  <c r="AL9" i="19" s="1"/>
  <c r="AM9" i="19" s="1"/>
  <c r="AN9" i="19" s="1"/>
  <c r="AO9" i="19" s="1"/>
  <c r="AP9" i="19" s="1"/>
  <c r="AQ9" i="19" s="1"/>
  <c r="AR9" i="19" s="1"/>
  <c r="AS9" i="19" s="1"/>
  <c r="AT9" i="19" s="1"/>
  <c r="AK10" i="19"/>
  <c r="AL10" i="19" s="1"/>
  <c r="AM10" i="19" s="1"/>
  <c r="AN10" i="19" s="1"/>
  <c r="AO10" i="19" s="1"/>
  <c r="AP10" i="19" s="1"/>
  <c r="AQ10" i="19" s="1"/>
  <c r="AR10" i="19" s="1"/>
  <c r="AS10" i="19" s="1"/>
  <c r="AT10" i="19" s="1"/>
  <c r="AK11" i="19"/>
  <c r="AL11" i="19" s="1"/>
  <c r="AM11" i="19" s="1"/>
  <c r="AN11" i="19" s="1"/>
  <c r="AO11" i="19" s="1"/>
  <c r="AP11" i="19" s="1"/>
  <c r="AQ11" i="19" s="1"/>
  <c r="AR11" i="19" s="1"/>
  <c r="AS11" i="19" s="1"/>
  <c r="AT11" i="19" s="1"/>
  <c r="AK12" i="19"/>
  <c r="AL12" i="19" s="1"/>
  <c r="AM12" i="19" s="1"/>
  <c r="AN12" i="19" s="1"/>
  <c r="AO12" i="19" s="1"/>
  <c r="AP12" i="19" s="1"/>
  <c r="AQ12" i="19" s="1"/>
  <c r="AR12" i="19" s="1"/>
  <c r="AS12" i="19" s="1"/>
  <c r="AT12" i="19" s="1"/>
  <c r="AK13" i="19"/>
  <c r="AL13" i="19" s="1"/>
  <c r="AM13" i="19" s="1"/>
  <c r="AN13" i="19" s="1"/>
  <c r="AO13" i="19" s="1"/>
  <c r="AP13" i="19" s="1"/>
  <c r="AQ13" i="19" s="1"/>
  <c r="AR13" i="19" s="1"/>
  <c r="AS13" i="19" s="1"/>
  <c r="AT13" i="19" s="1"/>
  <c r="AK14" i="19"/>
  <c r="AL14" i="19" s="1"/>
  <c r="AM14" i="19" s="1"/>
  <c r="AN14" i="19" s="1"/>
  <c r="AO14" i="19" s="1"/>
  <c r="AP14" i="19" s="1"/>
  <c r="AQ14" i="19" s="1"/>
  <c r="AR14" i="19" s="1"/>
  <c r="AS14" i="19" s="1"/>
  <c r="AT14" i="19" s="1"/>
  <c r="AK15" i="19"/>
  <c r="AL15" i="19" s="1"/>
  <c r="AM15" i="19" s="1"/>
  <c r="AN15" i="19" s="1"/>
  <c r="AO15" i="19" s="1"/>
  <c r="AP15" i="19" s="1"/>
  <c r="AQ15" i="19" s="1"/>
  <c r="AR15" i="19" s="1"/>
  <c r="AS15" i="19" s="1"/>
  <c r="AT15" i="19" s="1"/>
  <c r="AK16" i="19"/>
  <c r="AL16" i="19" s="1"/>
  <c r="AM16" i="19" s="1"/>
  <c r="AN16" i="19" s="1"/>
  <c r="AO16" i="19" s="1"/>
  <c r="AP16" i="19" s="1"/>
  <c r="AQ16" i="19" s="1"/>
  <c r="AR16" i="19" s="1"/>
  <c r="AS16" i="19" s="1"/>
  <c r="AT16" i="19" s="1"/>
  <c r="AK17" i="19"/>
  <c r="AL17" i="19" s="1"/>
  <c r="AM17" i="19" s="1"/>
  <c r="AN17" i="19" s="1"/>
  <c r="AO17" i="19" s="1"/>
  <c r="AP17" i="19" s="1"/>
  <c r="AQ17" i="19" s="1"/>
  <c r="AR17" i="19" s="1"/>
  <c r="AS17" i="19" s="1"/>
  <c r="AT17" i="19" s="1"/>
  <c r="AK18" i="19"/>
  <c r="AL18" i="19" s="1"/>
  <c r="AM18" i="19" s="1"/>
  <c r="AN18" i="19" s="1"/>
  <c r="AO18" i="19" s="1"/>
  <c r="AP18" i="19" s="1"/>
  <c r="AQ18" i="19" s="1"/>
  <c r="AR18" i="19" s="1"/>
  <c r="AS18" i="19" s="1"/>
  <c r="AT18" i="19" s="1"/>
  <c r="AK19" i="19"/>
  <c r="AL19" i="19" s="1"/>
  <c r="AM19" i="19" s="1"/>
  <c r="AN19" i="19" s="1"/>
  <c r="AO19" i="19" s="1"/>
  <c r="AP19" i="19" s="1"/>
  <c r="AQ19" i="19" s="1"/>
  <c r="AR19" i="19" s="1"/>
  <c r="AS19" i="19" s="1"/>
  <c r="AT19" i="19" s="1"/>
  <c r="AK20" i="19"/>
  <c r="AL20" i="19" s="1"/>
  <c r="AM20" i="19" s="1"/>
  <c r="AN20" i="19" s="1"/>
  <c r="AO20" i="19" s="1"/>
  <c r="AP20" i="19" s="1"/>
  <c r="AQ20" i="19" s="1"/>
  <c r="AR20" i="19" s="1"/>
  <c r="AS20" i="19" s="1"/>
  <c r="AT20" i="19" s="1"/>
  <c r="AK21" i="19"/>
  <c r="AL21" i="19" s="1"/>
  <c r="AM21" i="19" s="1"/>
  <c r="AN21" i="19" s="1"/>
  <c r="AO21" i="19" s="1"/>
  <c r="AP21" i="19" s="1"/>
  <c r="AQ21" i="19" s="1"/>
  <c r="AR21" i="19" s="1"/>
  <c r="AS21" i="19" s="1"/>
  <c r="AT21" i="19" s="1"/>
  <c r="AK22" i="19"/>
  <c r="AL22" i="19" s="1"/>
  <c r="AM22" i="19" s="1"/>
  <c r="AN22" i="19" s="1"/>
  <c r="AO22" i="19" s="1"/>
  <c r="AP22" i="19" s="1"/>
  <c r="AQ22" i="19" s="1"/>
  <c r="AR22" i="19" s="1"/>
  <c r="AS22" i="19" s="1"/>
  <c r="AT22" i="19" s="1"/>
  <c r="AK23" i="19"/>
  <c r="AL23" i="19" s="1"/>
  <c r="AM23" i="19" s="1"/>
  <c r="AN23" i="19" s="1"/>
  <c r="AO23" i="19" s="1"/>
  <c r="AP23" i="19" s="1"/>
  <c r="AQ23" i="19" s="1"/>
  <c r="AR23" i="19" s="1"/>
  <c r="AS23" i="19" s="1"/>
  <c r="AT23" i="19" s="1"/>
  <c r="AK24" i="19"/>
  <c r="AL24" i="19" s="1"/>
  <c r="AM24" i="19" s="1"/>
  <c r="AN24" i="19" s="1"/>
  <c r="AO24" i="19" s="1"/>
  <c r="AP24" i="19" s="1"/>
  <c r="AQ24" i="19" s="1"/>
  <c r="AR24" i="19" s="1"/>
  <c r="AS24" i="19" s="1"/>
  <c r="AT24" i="19" s="1"/>
  <c r="AK25" i="19"/>
  <c r="AL25" i="19" s="1"/>
  <c r="AM25" i="19" s="1"/>
  <c r="AN25" i="19" s="1"/>
  <c r="AO25" i="19" s="1"/>
  <c r="AP25" i="19" s="1"/>
  <c r="AQ25" i="19" s="1"/>
  <c r="AR25" i="19" s="1"/>
  <c r="AS25" i="19" s="1"/>
  <c r="AT25" i="19" s="1"/>
  <c r="AK26" i="19"/>
  <c r="AL26" i="19" s="1"/>
  <c r="AM26" i="19" s="1"/>
  <c r="AN26" i="19" s="1"/>
  <c r="AO26" i="19" s="1"/>
  <c r="AP26" i="19" s="1"/>
  <c r="AQ26" i="19" s="1"/>
  <c r="AR26" i="19" s="1"/>
  <c r="AS26" i="19" s="1"/>
  <c r="AT26" i="19" s="1"/>
  <c r="AK27" i="19"/>
  <c r="AL27" i="19" s="1"/>
  <c r="AM27" i="19" s="1"/>
  <c r="AN27" i="19" s="1"/>
  <c r="AO27" i="19" s="1"/>
  <c r="AP27" i="19" s="1"/>
  <c r="AQ27" i="19" s="1"/>
  <c r="AR27" i="19" s="1"/>
  <c r="AS27" i="19" s="1"/>
  <c r="AT27" i="19" s="1"/>
  <c r="AK28" i="19"/>
  <c r="AL28" i="19" s="1"/>
  <c r="AM28" i="19" s="1"/>
  <c r="AN28" i="19" s="1"/>
  <c r="AO28" i="19" s="1"/>
  <c r="AP28" i="19" s="1"/>
  <c r="AQ28" i="19" s="1"/>
  <c r="AR28" i="19" s="1"/>
  <c r="AS28" i="19" s="1"/>
  <c r="AT28" i="19" s="1"/>
  <c r="AK29" i="19"/>
  <c r="AL29" i="19" s="1"/>
  <c r="AM29" i="19" s="1"/>
  <c r="AN29" i="19" s="1"/>
  <c r="AO29" i="19" s="1"/>
  <c r="AP29" i="19" s="1"/>
  <c r="AQ29" i="19" s="1"/>
  <c r="AR29" i="19" s="1"/>
  <c r="AS29" i="19" s="1"/>
  <c r="AT29" i="19" s="1"/>
  <c r="AK30" i="19"/>
  <c r="AL30" i="19" s="1"/>
  <c r="AM30" i="19" s="1"/>
  <c r="AN30" i="19" s="1"/>
  <c r="AO30" i="19" s="1"/>
  <c r="AP30" i="19" s="1"/>
  <c r="AQ30" i="19" s="1"/>
  <c r="AR30" i="19" s="1"/>
  <c r="AS30" i="19" s="1"/>
  <c r="AT30" i="19" s="1"/>
  <c r="AK31" i="19"/>
  <c r="AL31" i="19" s="1"/>
  <c r="AM31" i="19" s="1"/>
  <c r="AN31" i="19" s="1"/>
  <c r="AO31" i="19" s="1"/>
  <c r="AP31" i="19" s="1"/>
  <c r="AQ31" i="19" s="1"/>
  <c r="AR31" i="19" s="1"/>
  <c r="AS31" i="19" s="1"/>
  <c r="AT31" i="19" s="1"/>
  <c r="AK32" i="19"/>
  <c r="AL32" i="19" s="1"/>
  <c r="AM32" i="19" s="1"/>
  <c r="AN32" i="19" s="1"/>
  <c r="AO32" i="19" s="1"/>
  <c r="AP32" i="19" s="1"/>
  <c r="AQ32" i="19" s="1"/>
  <c r="AR32" i="19" s="1"/>
  <c r="AS32" i="19" s="1"/>
  <c r="AT32" i="19" s="1"/>
  <c r="AK33" i="19"/>
  <c r="AL33" i="19" s="1"/>
  <c r="AM33" i="19" s="1"/>
  <c r="AN33" i="19" s="1"/>
  <c r="AO33" i="19" s="1"/>
  <c r="AP33" i="19" s="1"/>
  <c r="AQ33" i="19" s="1"/>
  <c r="AR33" i="19" s="1"/>
  <c r="AS33" i="19" s="1"/>
  <c r="AT33" i="19" s="1"/>
  <c r="AK34" i="19"/>
  <c r="AL34" i="19" s="1"/>
  <c r="AM34" i="19" s="1"/>
  <c r="AN34" i="19" s="1"/>
  <c r="AO34" i="19" s="1"/>
  <c r="AP34" i="19" s="1"/>
  <c r="AQ34" i="19" s="1"/>
  <c r="AR34" i="19" s="1"/>
  <c r="AS34" i="19" s="1"/>
  <c r="AT34" i="19" s="1"/>
  <c r="AK35" i="19"/>
  <c r="AL35" i="19" s="1"/>
  <c r="AM35" i="19" s="1"/>
  <c r="AN35" i="19" s="1"/>
  <c r="AO35" i="19" s="1"/>
  <c r="AP35" i="19" s="1"/>
  <c r="AQ35" i="19" s="1"/>
  <c r="AR35" i="19" s="1"/>
  <c r="AS35" i="19" s="1"/>
  <c r="AT35" i="19" s="1"/>
  <c r="AK36" i="19"/>
  <c r="AL36" i="19" s="1"/>
  <c r="AM36" i="19" s="1"/>
  <c r="AN36" i="19" s="1"/>
  <c r="AO36" i="19" s="1"/>
  <c r="AP36" i="19" s="1"/>
  <c r="AQ36" i="19" s="1"/>
  <c r="AR36" i="19" s="1"/>
  <c r="AS36" i="19" s="1"/>
  <c r="AT36" i="19" s="1"/>
  <c r="AK37" i="19"/>
  <c r="AL37" i="19" s="1"/>
  <c r="AM37" i="19" s="1"/>
  <c r="AN37" i="19" s="1"/>
  <c r="AO37" i="19" s="1"/>
  <c r="AP37" i="19" s="1"/>
  <c r="AQ37" i="19" s="1"/>
  <c r="AR37" i="19" s="1"/>
  <c r="AS37" i="19" s="1"/>
  <c r="AT37" i="19" s="1"/>
  <c r="AK38" i="19"/>
  <c r="AL38" i="19" s="1"/>
  <c r="AM38" i="19" s="1"/>
  <c r="AN38" i="19" s="1"/>
  <c r="AO38" i="19" s="1"/>
  <c r="AP38" i="19" s="1"/>
  <c r="AQ38" i="19" s="1"/>
  <c r="AR38" i="19" s="1"/>
  <c r="AS38" i="19" s="1"/>
  <c r="AT38" i="19" s="1"/>
  <c r="AK39" i="19"/>
  <c r="AL39" i="19" s="1"/>
  <c r="AM39" i="19" s="1"/>
  <c r="AN39" i="19" s="1"/>
  <c r="AO39" i="19" s="1"/>
  <c r="AP39" i="19" s="1"/>
  <c r="AQ39" i="19" s="1"/>
  <c r="AR39" i="19" s="1"/>
  <c r="AS39" i="19" s="1"/>
  <c r="AT39" i="19" s="1"/>
  <c r="AK40" i="19"/>
  <c r="AL40" i="19" s="1"/>
  <c r="AM40" i="19" s="1"/>
  <c r="AN40" i="19" s="1"/>
  <c r="AO40" i="19" s="1"/>
  <c r="AP40" i="19" s="1"/>
  <c r="AQ40" i="19" s="1"/>
  <c r="AR40" i="19" s="1"/>
  <c r="AS40" i="19" s="1"/>
  <c r="AT40" i="19" s="1"/>
  <c r="AK41" i="19"/>
  <c r="AL41" i="19" s="1"/>
  <c r="AM41" i="19" s="1"/>
  <c r="AN41" i="19" s="1"/>
  <c r="AO41" i="19" s="1"/>
  <c r="AP41" i="19" s="1"/>
  <c r="AQ41" i="19" s="1"/>
  <c r="AR41" i="19" s="1"/>
  <c r="AS41" i="19" s="1"/>
  <c r="AT41" i="19" s="1"/>
  <c r="AK42" i="19"/>
  <c r="AL42" i="19" s="1"/>
  <c r="AM42" i="19" s="1"/>
  <c r="AN42" i="19" s="1"/>
  <c r="AO42" i="19" s="1"/>
  <c r="AP42" i="19" s="1"/>
  <c r="AQ42" i="19" s="1"/>
  <c r="AR42" i="19" s="1"/>
  <c r="AS42" i="19" s="1"/>
  <c r="AT42" i="19" s="1"/>
  <c r="AK43" i="19"/>
  <c r="AL43" i="19" s="1"/>
  <c r="AM43" i="19" s="1"/>
  <c r="AN43" i="19" s="1"/>
  <c r="AO43" i="19" s="1"/>
  <c r="AP43" i="19" s="1"/>
  <c r="AQ43" i="19" s="1"/>
  <c r="AR43" i="19" s="1"/>
  <c r="AS43" i="19" s="1"/>
  <c r="AT43" i="19" s="1"/>
  <c r="AK44" i="19"/>
  <c r="AL44" i="19" s="1"/>
  <c r="AM44" i="19" s="1"/>
  <c r="AN44" i="19" s="1"/>
  <c r="AO44" i="19" s="1"/>
  <c r="AP44" i="19" s="1"/>
  <c r="AQ44" i="19" s="1"/>
  <c r="AR44" i="19" s="1"/>
  <c r="AS44" i="19" s="1"/>
  <c r="AT44" i="19" s="1"/>
  <c r="AK45" i="19"/>
  <c r="AL45" i="19" s="1"/>
  <c r="AM45" i="19" s="1"/>
  <c r="AN45" i="19" s="1"/>
  <c r="AO45" i="19" s="1"/>
  <c r="AP45" i="19" s="1"/>
  <c r="AQ45" i="19" s="1"/>
  <c r="AR45" i="19" s="1"/>
  <c r="AS45" i="19" s="1"/>
  <c r="AT45" i="19" s="1"/>
  <c r="AK46" i="19"/>
  <c r="AL46" i="19" s="1"/>
  <c r="AM46" i="19" s="1"/>
  <c r="AN46" i="19" s="1"/>
  <c r="AO46" i="19" s="1"/>
  <c r="AP46" i="19" s="1"/>
  <c r="AQ46" i="19" s="1"/>
  <c r="AR46" i="19" s="1"/>
  <c r="AS46" i="19" s="1"/>
  <c r="AT46" i="19" s="1"/>
  <c r="AK47" i="19"/>
  <c r="AL47" i="19" s="1"/>
  <c r="AM47" i="19" s="1"/>
  <c r="AN47" i="19" s="1"/>
  <c r="AO47" i="19" s="1"/>
  <c r="AP47" i="19" s="1"/>
  <c r="AQ47" i="19" s="1"/>
  <c r="AR47" i="19" s="1"/>
  <c r="AS47" i="19" s="1"/>
  <c r="AT47" i="19" s="1"/>
  <c r="AK48" i="19"/>
  <c r="AL48" i="19" s="1"/>
  <c r="AM48" i="19" s="1"/>
  <c r="AN48" i="19" s="1"/>
  <c r="AO48" i="19" s="1"/>
  <c r="AP48" i="19" s="1"/>
  <c r="AQ48" i="19" s="1"/>
  <c r="AR48" i="19" s="1"/>
  <c r="AS48" i="19" s="1"/>
  <c r="AT48" i="19" s="1"/>
  <c r="AK49" i="19"/>
  <c r="AL49" i="19" s="1"/>
  <c r="AM49" i="19" s="1"/>
  <c r="AN49" i="19" s="1"/>
  <c r="AO49" i="19" s="1"/>
  <c r="AP49" i="19" s="1"/>
  <c r="AQ49" i="19" s="1"/>
  <c r="AR49" i="19" s="1"/>
  <c r="AS49" i="19" s="1"/>
  <c r="AT49" i="19" s="1"/>
  <c r="AK50" i="19"/>
  <c r="AL50" i="19" s="1"/>
  <c r="AM50" i="19" s="1"/>
  <c r="AN50" i="19" s="1"/>
  <c r="AO50" i="19" s="1"/>
  <c r="AP50" i="19" s="1"/>
  <c r="AQ50" i="19" s="1"/>
  <c r="AR50" i="19" s="1"/>
  <c r="AS50" i="19" s="1"/>
  <c r="AT50" i="19" s="1"/>
  <c r="AK51" i="19"/>
  <c r="AL51" i="19" s="1"/>
  <c r="AM51" i="19" s="1"/>
  <c r="AN51" i="19" s="1"/>
  <c r="AO51" i="19" s="1"/>
  <c r="AP51" i="19" s="1"/>
  <c r="AQ51" i="19" s="1"/>
  <c r="AR51" i="19" s="1"/>
  <c r="AS51" i="19" s="1"/>
  <c r="AT51" i="19" s="1"/>
  <c r="AK52" i="19"/>
  <c r="AL52" i="19" s="1"/>
  <c r="AM52" i="19" s="1"/>
  <c r="AN52" i="19" s="1"/>
  <c r="AO52" i="19" s="1"/>
  <c r="AP52" i="19" s="1"/>
  <c r="AQ52" i="19" s="1"/>
  <c r="AR52" i="19" s="1"/>
  <c r="AS52" i="19" s="1"/>
  <c r="AT52" i="19" s="1"/>
  <c r="AK53" i="19"/>
  <c r="AL53" i="19" s="1"/>
  <c r="AM53" i="19" s="1"/>
  <c r="AN53" i="19" s="1"/>
  <c r="AO53" i="19" s="1"/>
  <c r="AP53" i="19" s="1"/>
  <c r="AQ53" i="19" s="1"/>
  <c r="AR53" i="19" s="1"/>
  <c r="AS53" i="19" s="1"/>
  <c r="AT53" i="19" s="1"/>
  <c r="AK54" i="19"/>
  <c r="AL54" i="19" s="1"/>
  <c r="AM54" i="19" s="1"/>
  <c r="AN54" i="19" s="1"/>
  <c r="AO54" i="19" s="1"/>
  <c r="AP54" i="19" s="1"/>
  <c r="AQ54" i="19" s="1"/>
  <c r="AR54" i="19" s="1"/>
  <c r="AS54" i="19" s="1"/>
  <c r="AT54" i="19" s="1"/>
  <c r="AK55" i="19"/>
  <c r="AL55" i="19" s="1"/>
  <c r="AM55" i="19" s="1"/>
  <c r="AN55" i="19" s="1"/>
  <c r="AO55" i="19" s="1"/>
  <c r="AP55" i="19" s="1"/>
  <c r="AQ55" i="19" s="1"/>
  <c r="AR55" i="19" s="1"/>
  <c r="AS55" i="19" s="1"/>
  <c r="AT55" i="19" s="1"/>
  <c r="AK56" i="19"/>
  <c r="AL56" i="19" s="1"/>
  <c r="AM56" i="19" s="1"/>
  <c r="AN56" i="19" s="1"/>
  <c r="AO56" i="19" s="1"/>
  <c r="AP56" i="19" s="1"/>
  <c r="AQ56" i="19" s="1"/>
  <c r="AR56" i="19" s="1"/>
  <c r="AS56" i="19" s="1"/>
  <c r="AT56" i="19" s="1"/>
  <c r="AK57" i="19"/>
  <c r="AL57" i="19" s="1"/>
  <c r="AM57" i="19" s="1"/>
  <c r="AN57" i="19" s="1"/>
  <c r="AO57" i="19" s="1"/>
  <c r="AP57" i="19" s="1"/>
  <c r="AQ57" i="19" s="1"/>
  <c r="AR57" i="19" s="1"/>
  <c r="AS57" i="19" s="1"/>
  <c r="AT57" i="19" s="1"/>
  <c r="AK58" i="19"/>
  <c r="AL58" i="19" s="1"/>
  <c r="AM58" i="19" s="1"/>
  <c r="AN58" i="19" s="1"/>
  <c r="AO58" i="19" s="1"/>
  <c r="AP58" i="19" s="1"/>
  <c r="AQ58" i="19" s="1"/>
  <c r="AR58" i="19" s="1"/>
  <c r="AS58" i="19" s="1"/>
  <c r="AT58" i="19" s="1"/>
  <c r="AK59" i="19"/>
  <c r="AL59" i="19" s="1"/>
  <c r="AM59" i="19" s="1"/>
  <c r="AN59" i="19" s="1"/>
  <c r="AO59" i="19" s="1"/>
  <c r="AP59" i="19" s="1"/>
  <c r="AQ59" i="19" s="1"/>
  <c r="AR59" i="19" s="1"/>
  <c r="AS59" i="19" s="1"/>
  <c r="AT59" i="19" s="1"/>
  <c r="AK60" i="19"/>
  <c r="AL60" i="19" s="1"/>
  <c r="AM60" i="19" s="1"/>
  <c r="AN60" i="19" s="1"/>
  <c r="AO60" i="19" s="1"/>
  <c r="AP60" i="19" s="1"/>
  <c r="AQ60" i="19" s="1"/>
  <c r="AR60" i="19" s="1"/>
  <c r="AS60" i="19" s="1"/>
  <c r="AT60" i="19" s="1"/>
  <c r="AK61" i="19"/>
  <c r="AL61" i="19" s="1"/>
  <c r="AM61" i="19" s="1"/>
  <c r="AN61" i="19" s="1"/>
  <c r="AO61" i="19" s="1"/>
  <c r="AP61" i="19" s="1"/>
  <c r="AQ61" i="19" s="1"/>
  <c r="AR61" i="19" s="1"/>
  <c r="AS61" i="19" s="1"/>
  <c r="AT61" i="19" s="1"/>
  <c r="AK62" i="19"/>
  <c r="AL62" i="19" s="1"/>
  <c r="AM62" i="19" s="1"/>
  <c r="AN62" i="19" s="1"/>
  <c r="AO62" i="19" s="1"/>
  <c r="AP62" i="19" s="1"/>
  <c r="AQ62" i="19" s="1"/>
  <c r="AR62" i="19" s="1"/>
  <c r="AS62" i="19" s="1"/>
  <c r="AT62" i="19" s="1"/>
  <c r="AK63" i="19"/>
  <c r="AL63" i="19" s="1"/>
  <c r="AM63" i="19" s="1"/>
  <c r="AN63" i="19" s="1"/>
  <c r="AO63" i="19" s="1"/>
  <c r="AP63" i="19" s="1"/>
  <c r="AQ63" i="19" s="1"/>
  <c r="AR63" i="19" s="1"/>
  <c r="AS63" i="19" s="1"/>
  <c r="AT63" i="19" s="1"/>
  <c r="AK64" i="19"/>
  <c r="AL64" i="19" s="1"/>
  <c r="AM64" i="19" s="1"/>
  <c r="AN64" i="19" s="1"/>
  <c r="AO64" i="19" s="1"/>
  <c r="AP64" i="19" s="1"/>
  <c r="AQ64" i="19" s="1"/>
  <c r="AR64" i="19" s="1"/>
  <c r="AS64" i="19" s="1"/>
  <c r="AT64" i="19" s="1"/>
  <c r="AK65" i="19"/>
  <c r="AL65" i="19" s="1"/>
  <c r="AM65" i="19" s="1"/>
  <c r="AN65" i="19" s="1"/>
  <c r="AO65" i="19" s="1"/>
  <c r="AP65" i="19" s="1"/>
  <c r="AQ65" i="19" s="1"/>
  <c r="AR65" i="19" s="1"/>
  <c r="AS65" i="19" s="1"/>
  <c r="AT65" i="19" s="1"/>
  <c r="AK66" i="19"/>
  <c r="AL66" i="19" s="1"/>
  <c r="AM66" i="19" s="1"/>
  <c r="AN66" i="19" s="1"/>
  <c r="AO66" i="19" s="1"/>
  <c r="AP66" i="19" s="1"/>
  <c r="AQ66" i="19" s="1"/>
  <c r="AR66" i="19" s="1"/>
  <c r="AS66" i="19" s="1"/>
  <c r="AT66" i="19" s="1"/>
  <c r="AK67" i="19"/>
  <c r="AL67" i="19" s="1"/>
  <c r="AM67" i="19" s="1"/>
  <c r="AN67" i="19" s="1"/>
  <c r="AO67" i="19" s="1"/>
  <c r="AP67" i="19" s="1"/>
  <c r="AQ67" i="19" s="1"/>
  <c r="AR67" i="19" s="1"/>
  <c r="AS67" i="19" s="1"/>
  <c r="AT67" i="19" s="1"/>
  <c r="AK68" i="19"/>
  <c r="AL68" i="19" s="1"/>
  <c r="AM68" i="19" s="1"/>
  <c r="AN68" i="19" s="1"/>
  <c r="AO68" i="19" s="1"/>
  <c r="AP68" i="19" s="1"/>
  <c r="AQ68" i="19" s="1"/>
  <c r="AR68" i="19" s="1"/>
  <c r="AS68" i="19" s="1"/>
  <c r="AT68" i="19" s="1"/>
  <c r="AK69" i="19"/>
  <c r="AL69" i="19" s="1"/>
  <c r="AM69" i="19" s="1"/>
  <c r="AN69" i="19" s="1"/>
  <c r="AO69" i="19" s="1"/>
  <c r="AP69" i="19" s="1"/>
  <c r="AQ69" i="19" s="1"/>
  <c r="AR69" i="19" s="1"/>
  <c r="AS69" i="19" s="1"/>
  <c r="AT69" i="19" s="1"/>
  <c r="AK70" i="19"/>
  <c r="AL70" i="19" s="1"/>
  <c r="AM70" i="19" s="1"/>
  <c r="AN70" i="19" s="1"/>
  <c r="AO70" i="19" s="1"/>
  <c r="AP70" i="19" s="1"/>
  <c r="AQ70" i="19" s="1"/>
  <c r="AR70" i="19" s="1"/>
  <c r="AS70" i="19" s="1"/>
  <c r="AT70" i="19" s="1"/>
  <c r="AK71" i="19"/>
  <c r="AL71" i="19" s="1"/>
  <c r="AM71" i="19" s="1"/>
  <c r="AN71" i="19" s="1"/>
  <c r="AO71" i="19" s="1"/>
  <c r="AP71" i="19" s="1"/>
  <c r="AQ71" i="19" s="1"/>
  <c r="AR71" i="19" s="1"/>
  <c r="AS71" i="19" s="1"/>
  <c r="AT71" i="19" s="1"/>
  <c r="AK72" i="19"/>
  <c r="AL72" i="19" s="1"/>
  <c r="AM72" i="19" s="1"/>
  <c r="AN72" i="19" s="1"/>
  <c r="AO72" i="19" s="1"/>
  <c r="AP72" i="19" s="1"/>
  <c r="AQ72" i="19" s="1"/>
  <c r="AR72" i="19" s="1"/>
  <c r="AS72" i="19" s="1"/>
  <c r="AT72" i="19" s="1"/>
  <c r="AK73" i="19"/>
  <c r="AL73" i="19" s="1"/>
  <c r="AM73" i="19" s="1"/>
  <c r="AN73" i="19" s="1"/>
  <c r="AO73" i="19" s="1"/>
  <c r="AP73" i="19" s="1"/>
  <c r="AQ73" i="19" s="1"/>
  <c r="AR73" i="19" s="1"/>
  <c r="AS73" i="19" s="1"/>
  <c r="AT73" i="19" s="1"/>
  <c r="AK74" i="19"/>
  <c r="AL74" i="19" s="1"/>
  <c r="AM74" i="19" s="1"/>
  <c r="AN74" i="19" s="1"/>
  <c r="AO74" i="19" s="1"/>
  <c r="AP74" i="19" s="1"/>
  <c r="AQ74" i="19" s="1"/>
  <c r="AR74" i="19" s="1"/>
  <c r="AS74" i="19" s="1"/>
  <c r="AT74" i="19" s="1"/>
  <c r="AK75" i="19"/>
  <c r="AL75" i="19" s="1"/>
  <c r="AM75" i="19" s="1"/>
  <c r="AN75" i="19" s="1"/>
  <c r="AO75" i="19" s="1"/>
  <c r="AP75" i="19" s="1"/>
  <c r="AQ75" i="19" s="1"/>
  <c r="AR75" i="19" s="1"/>
  <c r="AS75" i="19" s="1"/>
  <c r="AT75" i="19" s="1"/>
  <c r="AK76" i="19"/>
  <c r="AL76" i="19" s="1"/>
  <c r="AM76" i="19" s="1"/>
  <c r="AN76" i="19" s="1"/>
  <c r="AO76" i="19" s="1"/>
  <c r="AP76" i="19" s="1"/>
  <c r="AQ76" i="19" s="1"/>
  <c r="AR76" i="19" s="1"/>
  <c r="AS76" i="19" s="1"/>
  <c r="AT76" i="19" s="1"/>
  <c r="AK77" i="19"/>
  <c r="AL77" i="19" s="1"/>
  <c r="AM77" i="19" s="1"/>
  <c r="AN77" i="19" s="1"/>
  <c r="AO77" i="19" s="1"/>
  <c r="AP77" i="19" s="1"/>
  <c r="AQ77" i="19" s="1"/>
  <c r="AR77" i="19" s="1"/>
  <c r="AS77" i="19" s="1"/>
  <c r="AT77" i="19" s="1"/>
  <c r="AK78" i="19"/>
  <c r="AL78" i="19" s="1"/>
  <c r="AM78" i="19" s="1"/>
  <c r="AN78" i="19" s="1"/>
  <c r="AO78" i="19" s="1"/>
  <c r="AP78" i="19" s="1"/>
  <c r="AQ78" i="19" s="1"/>
  <c r="AR78" i="19" s="1"/>
  <c r="AS78" i="19" s="1"/>
  <c r="AT78" i="19" s="1"/>
  <c r="AK79" i="19"/>
  <c r="AL79" i="19" s="1"/>
  <c r="AM79" i="19" s="1"/>
  <c r="AN79" i="19" s="1"/>
  <c r="AO79" i="19" s="1"/>
  <c r="AP79" i="19" s="1"/>
  <c r="AQ79" i="19" s="1"/>
  <c r="AR79" i="19" s="1"/>
  <c r="AS79" i="19" s="1"/>
  <c r="AT79" i="19" s="1"/>
  <c r="AK80" i="19"/>
  <c r="AL80" i="19" s="1"/>
  <c r="AM80" i="19" s="1"/>
  <c r="AN80" i="19" s="1"/>
  <c r="AO80" i="19" s="1"/>
  <c r="AP80" i="19" s="1"/>
  <c r="AQ80" i="19" s="1"/>
  <c r="AR80" i="19" s="1"/>
  <c r="AS80" i="19" s="1"/>
  <c r="AT80" i="19" s="1"/>
  <c r="AK81" i="19"/>
  <c r="AL81" i="19" s="1"/>
  <c r="AM81" i="19" s="1"/>
  <c r="AN81" i="19" s="1"/>
  <c r="AO81" i="19" s="1"/>
  <c r="AP81" i="19" s="1"/>
  <c r="AQ81" i="19" s="1"/>
  <c r="AR81" i="19" s="1"/>
  <c r="AS81" i="19" s="1"/>
  <c r="AT81" i="19" s="1"/>
  <c r="AK82" i="19"/>
  <c r="AL82" i="19" s="1"/>
  <c r="AM82" i="19" s="1"/>
  <c r="AN82" i="19" s="1"/>
  <c r="AO82" i="19" s="1"/>
  <c r="AP82" i="19" s="1"/>
  <c r="AQ82" i="19" s="1"/>
  <c r="AR82" i="19" s="1"/>
  <c r="AS82" i="19" s="1"/>
  <c r="AT82" i="19" s="1"/>
  <c r="AK83" i="19"/>
  <c r="AL83" i="19" s="1"/>
  <c r="AM83" i="19" s="1"/>
  <c r="AN83" i="19" s="1"/>
  <c r="AO83" i="19" s="1"/>
  <c r="AP83" i="19" s="1"/>
  <c r="AQ83" i="19" s="1"/>
  <c r="AR83" i="19" s="1"/>
  <c r="AS83" i="19" s="1"/>
  <c r="AT83" i="19" s="1"/>
  <c r="AK84" i="19"/>
  <c r="AL84" i="19" s="1"/>
  <c r="AM84" i="19" s="1"/>
  <c r="AN84" i="19" s="1"/>
  <c r="AO84" i="19" s="1"/>
  <c r="AP84" i="19" s="1"/>
  <c r="AQ84" i="19" s="1"/>
  <c r="AR84" i="19" s="1"/>
  <c r="AS84" i="19" s="1"/>
  <c r="AT84" i="19" s="1"/>
  <c r="AK85" i="19"/>
  <c r="AL85" i="19" s="1"/>
  <c r="AM85" i="19" s="1"/>
  <c r="AN85" i="19" s="1"/>
  <c r="AO85" i="19" s="1"/>
  <c r="AP85" i="19" s="1"/>
  <c r="AQ85" i="19" s="1"/>
  <c r="AR85" i="19" s="1"/>
  <c r="AS85" i="19" s="1"/>
  <c r="AT85" i="19" s="1"/>
  <c r="AK86" i="19"/>
  <c r="AL86" i="19" s="1"/>
  <c r="AM86" i="19" s="1"/>
  <c r="AN86" i="19" s="1"/>
  <c r="AO86" i="19" s="1"/>
  <c r="AP86" i="19" s="1"/>
  <c r="AQ86" i="19" s="1"/>
  <c r="AR86" i="19" s="1"/>
  <c r="AS86" i="19" s="1"/>
  <c r="AT86" i="19" s="1"/>
  <c r="AK87" i="19"/>
  <c r="AL87" i="19" s="1"/>
  <c r="AM87" i="19" s="1"/>
  <c r="AN87" i="19" s="1"/>
  <c r="AO87" i="19" s="1"/>
  <c r="AP87" i="19" s="1"/>
  <c r="AQ87" i="19" s="1"/>
  <c r="AR87" i="19" s="1"/>
  <c r="AS87" i="19" s="1"/>
  <c r="AT87" i="19" s="1"/>
  <c r="AK88" i="19"/>
  <c r="AL88" i="19" s="1"/>
  <c r="AM88" i="19" s="1"/>
  <c r="AN88" i="19" s="1"/>
  <c r="AO88" i="19" s="1"/>
  <c r="AP88" i="19" s="1"/>
  <c r="AQ88" i="19" s="1"/>
  <c r="AR88" i="19" s="1"/>
  <c r="AS88" i="19" s="1"/>
  <c r="AT88" i="19" s="1"/>
  <c r="AK89" i="19"/>
  <c r="AL89" i="19" s="1"/>
  <c r="AM89" i="19" s="1"/>
  <c r="AN89" i="19" s="1"/>
  <c r="AO89" i="19" s="1"/>
  <c r="AP89" i="19" s="1"/>
  <c r="AQ89" i="19" s="1"/>
  <c r="AR89" i="19" s="1"/>
  <c r="AS89" i="19" s="1"/>
  <c r="AT89" i="19" s="1"/>
  <c r="AK90" i="19"/>
  <c r="AL90" i="19" s="1"/>
  <c r="AM90" i="19" s="1"/>
  <c r="AN90" i="19" s="1"/>
  <c r="AO90" i="19" s="1"/>
  <c r="AP90" i="19" s="1"/>
  <c r="AQ90" i="19" s="1"/>
  <c r="AR90" i="19" s="1"/>
  <c r="AS90" i="19" s="1"/>
  <c r="AT90" i="19" s="1"/>
  <c r="AK91" i="19"/>
  <c r="AL91" i="19" s="1"/>
  <c r="AM91" i="19" s="1"/>
  <c r="AN91" i="19" s="1"/>
  <c r="AO91" i="19" s="1"/>
  <c r="AP91" i="19" s="1"/>
  <c r="AQ91" i="19" s="1"/>
  <c r="AR91" i="19" s="1"/>
  <c r="AS91" i="19" s="1"/>
  <c r="AT91" i="19" s="1"/>
  <c r="AK92" i="19"/>
  <c r="AL92" i="19" s="1"/>
  <c r="AM92" i="19" s="1"/>
  <c r="AN92" i="19" s="1"/>
  <c r="AO92" i="19" s="1"/>
  <c r="AP92" i="19" s="1"/>
  <c r="AQ92" i="19" s="1"/>
  <c r="AR92" i="19" s="1"/>
  <c r="AS92" i="19" s="1"/>
  <c r="AT92" i="19" s="1"/>
  <c r="AK94" i="19"/>
  <c r="AL94" i="19" s="1"/>
  <c r="AM94" i="19" s="1"/>
  <c r="AN94" i="19" s="1"/>
  <c r="AO94" i="19" s="1"/>
  <c r="AP94" i="19" s="1"/>
  <c r="AQ94" i="19" s="1"/>
  <c r="AR94" i="19" s="1"/>
  <c r="AS94" i="19" s="1"/>
  <c r="AT94" i="19" s="1"/>
  <c r="AK95" i="19"/>
  <c r="AL95" i="19" s="1"/>
  <c r="AM95" i="19" s="1"/>
  <c r="AN95" i="19" s="1"/>
  <c r="AO95" i="19" s="1"/>
  <c r="AP95" i="19" s="1"/>
  <c r="AQ95" i="19" s="1"/>
  <c r="AR95" i="19" s="1"/>
  <c r="AS95" i="19" s="1"/>
  <c r="AT95" i="19" s="1"/>
  <c r="A22" i="22"/>
  <c r="A21" i="22"/>
  <c r="A20" i="22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2" i="23"/>
  <c r="B23" i="23"/>
  <c r="B24" i="23"/>
  <c r="B25" i="23"/>
  <c r="B26" i="23"/>
  <c r="B27" i="23"/>
  <c r="B28" i="23"/>
  <c r="B29" i="23"/>
  <c r="B30" i="23"/>
  <c r="B31" i="23"/>
  <c r="B32" i="23"/>
  <c r="B33" i="23"/>
  <c r="B34" i="23"/>
  <c r="B35" i="23"/>
  <c r="B36" i="23"/>
  <c r="B37" i="23"/>
  <c r="B38" i="23"/>
  <c r="B39" i="23"/>
  <c r="B40" i="23"/>
  <c r="B41" i="23"/>
  <c r="B42" i="23"/>
  <c r="B43" i="23"/>
  <c r="B44" i="23"/>
  <c r="B45" i="23"/>
  <c r="B46" i="23"/>
  <c r="B47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B101" i="23"/>
  <c r="B102" i="23"/>
  <c r="B103" i="23"/>
  <c r="B104" i="23"/>
  <c r="B105" i="23"/>
  <c r="B106" i="23"/>
  <c r="B107" i="23"/>
  <c r="B108" i="23"/>
  <c r="B109" i="23"/>
  <c r="B110" i="23"/>
  <c r="B111" i="23"/>
  <c r="B112" i="23"/>
  <c r="B113" i="23"/>
  <c r="B114" i="23"/>
  <c r="B115" i="23"/>
  <c r="B116" i="23"/>
  <c r="B117" i="23"/>
  <c r="B118" i="23"/>
  <c r="B119" i="23"/>
  <c r="B120" i="23"/>
  <c r="B121" i="23"/>
  <c r="B122" i="23"/>
  <c r="B123" i="23"/>
  <c r="B124" i="23"/>
  <c r="B125" i="23"/>
  <c r="B126" i="23"/>
  <c r="B127" i="23"/>
  <c r="B128" i="23"/>
  <c r="B129" i="23"/>
  <c r="B130" i="23"/>
  <c r="B131" i="23"/>
  <c r="B132" i="23"/>
  <c r="B133" i="23"/>
  <c r="B134" i="23"/>
  <c r="B135" i="23"/>
  <c r="B136" i="23"/>
  <c r="B137" i="23"/>
  <c r="B138" i="23"/>
  <c r="B139" i="23"/>
  <c r="B140" i="23"/>
  <c r="B141" i="23"/>
  <c r="B142" i="23"/>
  <c r="B143" i="23"/>
  <c r="B144" i="23"/>
  <c r="B145" i="23"/>
  <c r="B146" i="23"/>
  <c r="B147" i="23"/>
  <c r="B148" i="23"/>
  <c r="B149" i="23"/>
  <c r="B150" i="23"/>
  <c r="B151" i="23"/>
  <c r="B152" i="23"/>
  <c r="B153" i="23"/>
  <c r="B154" i="23"/>
  <c r="B155" i="23"/>
  <c r="B156" i="23"/>
  <c r="B157" i="23"/>
  <c r="B158" i="23"/>
  <c r="B159" i="23"/>
  <c r="B160" i="23"/>
  <c r="B161" i="23"/>
  <c r="B162" i="23"/>
  <c r="B163" i="23"/>
  <c r="B164" i="23"/>
  <c r="B165" i="23"/>
  <c r="B166" i="23"/>
  <c r="B167" i="23"/>
  <c r="B168" i="23"/>
  <c r="B169" i="23"/>
  <c r="B170" i="23"/>
  <c r="B171" i="23"/>
  <c r="B172" i="23"/>
  <c r="B173" i="23"/>
  <c r="B174" i="23"/>
  <c r="B175" i="23"/>
  <c r="B176" i="23"/>
  <c r="B177" i="23"/>
  <c r="B178" i="23"/>
  <c r="B179" i="23"/>
  <c r="B180" i="23"/>
  <c r="B181" i="23"/>
  <c r="B182" i="23"/>
  <c r="B183" i="23"/>
  <c r="B184" i="23"/>
  <c r="B185" i="23"/>
  <c r="B186" i="23"/>
  <c r="B187" i="23"/>
  <c r="B188" i="23"/>
  <c r="B189" i="23"/>
  <c r="B190" i="23"/>
  <c r="B191" i="23"/>
  <c r="B192" i="23"/>
  <c r="B193" i="23"/>
  <c r="B194" i="23"/>
  <c r="B195" i="23"/>
  <c r="B196" i="23"/>
  <c r="B197" i="23"/>
  <c r="B198" i="23"/>
  <c r="B199" i="23"/>
  <c r="B200" i="23"/>
  <c r="B201" i="23"/>
  <c r="B202" i="23"/>
  <c r="B203" i="23"/>
  <c r="B204" i="23"/>
  <c r="B205" i="23"/>
  <c r="B206" i="23"/>
  <c r="B207" i="23"/>
  <c r="B208" i="23"/>
  <c r="B209" i="23"/>
  <c r="B210" i="23"/>
  <c r="B211" i="23"/>
  <c r="B212" i="23"/>
  <c r="B213" i="23"/>
  <c r="B214" i="23"/>
  <c r="B215" i="23"/>
  <c r="B216" i="23"/>
  <c r="B217" i="23"/>
  <c r="B218" i="23"/>
  <c r="B219" i="23"/>
  <c r="B220" i="23"/>
  <c r="B221" i="23"/>
  <c r="B222" i="23"/>
  <c r="B223" i="23"/>
  <c r="B224" i="23"/>
  <c r="B225" i="23"/>
  <c r="B226" i="23"/>
  <c r="B227" i="23"/>
  <c r="B228" i="23"/>
  <c r="B229" i="23"/>
  <c r="B230" i="23"/>
  <c r="B231" i="23"/>
  <c r="B232" i="23"/>
  <c r="B233" i="23"/>
  <c r="B234" i="23"/>
  <c r="B235" i="23"/>
  <c r="B236" i="23"/>
  <c r="B237" i="23"/>
  <c r="B238" i="23"/>
  <c r="B239" i="23"/>
  <c r="B240" i="23"/>
  <c r="B241" i="23"/>
  <c r="B242" i="23"/>
  <c r="B243" i="23"/>
  <c r="B244" i="23"/>
  <c r="B245" i="23"/>
  <c r="B246" i="23"/>
  <c r="B247" i="23"/>
  <c r="B248" i="23"/>
  <c r="B249" i="23"/>
  <c r="B250" i="23"/>
  <c r="B251" i="23"/>
  <c r="B252" i="23"/>
  <c r="B253" i="23"/>
  <c r="B254" i="23"/>
  <c r="B255" i="23"/>
  <c r="B256" i="23"/>
  <c r="B257" i="23"/>
  <c r="B258" i="23"/>
  <c r="B259" i="23"/>
  <c r="B260" i="23"/>
  <c r="B261" i="23"/>
  <c r="B262" i="23"/>
  <c r="B263" i="23"/>
  <c r="B264" i="23"/>
  <c r="B265" i="23"/>
  <c r="B266" i="23"/>
  <c r="B267" i="23"/>
  <c r="B268" i="23"/>
  <c r="B269" i="23"/>
  <c r="B270" i="23"/>
  <c r="B271" i="23"/>
  <c r="B272" i="23"/>
  <c r="B273" i="23"/>
  <c r="B274" i="23"/>
  <c r="B275" i="23"/>
  <c r="B276" i="23"/>
  <c r="B277" i="23"/>
  <c r="B278" i="23"/>
  <c r="B279" i="23"/>
  <c r="B280" i="23"/>
  <c r="B281" i="23"/>
  <c r="B282" i="23"/>
  <c r="B283" i="23"/>
  <c r="B284" i="23"/>
  <c r="B285" i="23"/>
  <c r="B286" i="23"/>
  <c r="B287" i="23"/>
  <c r="B288" i="23"/>
  <c r="B289" i="23"/>
  <c r="B290" i="23"/>
  <c r="B291" i="23"/>
  <c r="B292" i="23"/>
  <c r="B293" i="23"/>
  <c r="B294" i="23"/>
  <c r="B295" i="23"/>
  <c r="B296" i="23"/>
  <c r="B297" i="23"/>
  <c r="B298" i="23"/>
  <c r="B299" i="23"/>
  <c r="B300" i="23"/>
  <c r="B301" i="23"/>
  <c r="B302" i="23"/>
  <c r="B303" i="23"/>
  <c r="B304" i="23"/>
  <c r="B305" i="23"/>
  <c r="B306" i="23"/>
  <c r="B307" i="23"/>
  <c r="B308" i="23"/>
  <c r="B309" i="23"/>
  <c r="B310" i="23"/>
  <c r="B311" i="23"/>
  <c r="B312" i="23"/>
  <c r="B313" i="23"/>
  <c r="B314" i="23"/>
  <c r="B315" i="23"/>
  <c r="B316" i="23"/>
  <c r="B317" i="23"/>
  <c r="B318" i="23"/>
  <c r="B319" i="23"/>
  <c r="B320" i="23"/>
  <c r="B321" i="23"/>
  <c r="B322" i="23"/>
  <c r="B323" i="23"/>
  <c r="B324" i="23"/>
  <c r="B325" i="23"/>
  <c r="B326" i="23"/>
  <c r="B327" i="23"/>
  <c r="B328" i="23"/>
  <c r="B329" i="23"/>
  <c r="B330" i="23"/>
  <c r="B331" i="23"/>
  <c r="B332" i="23"/>
  <c r="B333" i="23"/>
  <c r="B334" i="23"/>
  <c r="B335" i="23"/>
  <c r="B336" i="23"/>
  <c r="B337" i="23"/>
  <c r="B338" i="23"/>
  <c r="B339" i="23"/>
  <c r="B340" i="23"/>
  <c r="B341" i="23"/>
  <c r="B342" i="23"/>
  <c r="B343" i="23"/>
  <c r="B344" i="23"/>
  <c r="B345" i="23"/>
  <c r="B346" i="23"/>
  <c r="B347" i="23"/>
  <c r="B348" i="23"/>
  <c r="B349" i="23"/>
  <c r="B350" i="23"/>
  <c r="B351" i="23"/>
  <c r="B352" i="23"/>
  <c r="B353" i="23"/>
  <c r="B354" i="23"/>
  <c r="B355" i="23"/>
  <c r="B356" i="23"/>
  <c r="B357" i="23"/>
  <c r="B358" i="23"/>
  <c r="B359" i="23"/>
  <c r="B360" i="23"/>
  <c r="B361" i="23"/>
  <c r="B362" i="23"/>
  <c r="B363" i="23"/>
  <c r="B364" i="23"/>
  <c r="B365" i="23"/>
  <c r="B366" i="23"/>
  <c r="B367" i="23"/>
  <c r="B368" i="23"/>
  <c r="B369" i="23"/>
  <c r="B370" i="23"/>
  <c r="B371" i="23"/>
  <c r="B372" i="23"/>
  <c r="B373" i="23"/>
  <c r="B374" i="23"/>
  <c r="B375" i="23"/>
  <c r="B376" i="23"/>
  <c r="B377" i="23"/>
  <c r="B378" i="23"/>
  <c r="B379" i="23"/>
  <c r="B380" i="23"/>
  <c r="B381" i="23"/>
  <c r="B382" i="23"/>
  <c r="B383" i="23"/>
  <c r="B384" i="23"/>
  <c r="B385" i="23"/>
  <c r="B386" i="23"/>
  <c r="B387" i="23"/>
  <c r="B388" i="23"/>
  <c r="B389" i="23"/>
  <c r="B390" i="23"/>
  <c r="B391" i="23"/>
  <c r="B392" i="23"/>
  <c r="B393" i="23"/>
  <c r="B394" i="23"/>
  <c r="B395" i="23"/>
  <c r="B396" i="23"/>
  <c r="B397" i="23"/>
  <c r="B398" i="23"/>
  <c r="B399" i="23"/>
  <c r="B400" i="23"/>
  <c r="B401" i="23"/>
  <c r="B402" i="23"/>
  <c r="B403" i="23"/>
  <c r="B404" i="23"/>
  <c r="B405" i="23"/>
  <c r="B406" i="23"/>
  <c r="B407" i="23"/>
  <c r="B408" i="23"/>
  <c r="B409" i="23"/>
  <c r="B410" i="23"/>
  <c r="B411" i="23"/>
  <c r="B412" i="23"/>
  <c r="B413" i="23"/>
  <c r="B414" i="23"/>
  <c r="B415" i="23"/>
  <c r="B416" i="23"/>
  <c r="B417" i="23"/>
  <c r="B418" i="23"/>
  <c r="B419" i="23"/>
  <c r="B420" i="23"/>
  <c r="B421" i="23"/>
  <c r="B422" i="23"/>
  <c r="B423" i="23"/>
  <c r="B424" i="23"/>
  <c r="B425" i="23"/>
  <c r="B426" i="23"/>
  <c r="B427" i="23"/>
  <c r="B428" i="23"/>
  <c r="B429" i="23"/>
  <c r="B430" i="23"/>
  <c r="B431" i="23"/>
  <c r="B432" i="23"/>
  <c r="B433" i="23"/>
  <c r="B434" i="23"/>
  <c r="B435" i="23"/>
  <c r="B436" i="23"/>
  <c r="B437" i="23"/>
  <c r="B438" i="23"/>
  <c r="B439" i="23"/>
  <c r="B440" i="23"/>
  <c r="B441" i="23"/>
  <c r="C441" i="23"/>
  <c r="B442" i="23"/>
  <c r="C442" i="23"/>
  <c r="B443" i="23"/>
  <c r="C443" i="23"/>
  <c r="B2" i="23"/>
  <c r="K20" i="3"/>
  <c r="K23" i="3" s="1"/>
  <c r="AF327" i="19" s="1"/>
  <c r="BH12" i="4"/>
  <c r="BH11" i="4"/>
  <c r="B146" i="19"/>
  <c r="B296" i="19"/>
  <c r="A4" i="16"/>
  <c r="A37" i="16" s="1"/>
  <c r="A3" i="16"/>
  <c r="A36" i="16" s="1"/>
  <c r="B22" i="19"/>
  <c r="AI262" i="23" l="1"/>
  <c r="AJ303" i="19"/>
  <c r="AE344" i="19"/>
  <c r="AF334" i="19"/>
  <c r="AF330" i="19"/>
  <c r="AF329" i="23"/>
  <c r="AE345" i="19"/>
  <c r="AF335" i="19"/>
  <c r="AF331" i="19"/>
  <c r="AJ248" i="23"/>
  <c r="AH253" i="23"/>
  <c r="AG301" i="23"/>
  <c r="AH254" i="19"/>
  <c r="AI257" i="23"/>
  <c r="AJ249" i="19"/>
  <c r="AI258" i="19"/>
  <c r="AI262" i="19"/>
  <c r="AJ247" i="23"/>
  <c r="AJ261" i="23"/>
  <c r="AJ284" i="23"/>
  <c r="AF328" i="23"/>
  <c r="AF332" i="23"/>
  <c r="AF336" i="23"/>
  <c r="AE346" i="23"/>
  <c r="AG288" i="23"/>
  <c r="AJ248" i="19"/>
  <c r="AH253" i="19"/>
  <c r="AI256" i="23"/>
  <c r="AI260" i="23"/>
  <c r="AI257" i="19"/>
  <c r="AI261" i="19"/>
  <c r="AF327" i="23"/>
  <c r="AF331" i="23"/>
  <c r="AF335" i="23"/>
  <c r="AE345" i="23"/>
  <c r="AJ247" i="19"/>
  <c r="AI255" i="23"/>
  <c r="AI259" i="23"/>
  <c r="AI256" i="19"/>
  <c r="AI260" i="19"/>
  <c r="AI263" i="23"/>
  <c r="AF330" i="23"/>
  <c r="AF334" i="23"/>
  <c r="AE344" i="23"/>
  <c r="AH254" i="23"/>
  <c r="AJ303" i="23"/>
  <c r="AJ249" i="23"/>
  <c r="AI258" i="23"/>
  <c r="AI255" i="19"/>
  <c r="AI259" i="19"/>
  <c r="AI263" i="19"/>
  <c r="AG288" i="19"/>
  <c r="AF333" i="23"/>
  <c r="AI302" i="23"/>
  <c r="AE346" i="19"/>
  <c r="AF336" i="19"/>
  <c r="AF332" i="19"/>
  <c r="AF328" i="19"/>
  <c r="AJ284" i="19"/>
  <c r="AG301" i="19"/>
  <c r="AF333" i="19"/>
  <c r="AF329" i="19"/>
  <c r="AI302" i="19"/>
  <c r="F8" i="11"/>
  <c r="A39" i="21"/>
  <c r="A51" i="21" s="1"/>
  <c r="A40" i="21"/>
  <c r="A52" i="21" s="1"/>
  <c r="A41" i="21"/>
  <c r="A53" i="21" s="1"/>
  <c r="B49" i="21"/>
  <c r="B46" i="11"/>
  <c r="F7" i="11"/>
  <c r="F9" i="11"/>
  <c r="F10" i="11"/>
  <c r="F11" i="11"/>
  <c r="A37" i="11"/>
  <c r="A36" i="11"/>
  <c r="B49" i="24"/>
  <c r="A39" i="24"/>
  <c r="A40" i="24"/>
  <c r="A41" i="24"/>
  <c r="B49" i="16"/>
  <c r="A74" i="22"/>
  <c r="A100" i="22" s="1"/>
  <c r="F15" i="3"/>
  <c r="F16" i="3" s="1"/>
  <c r="F36" i="11" l="1"/>
  <c r="F37" i="11"/>
  <c r="A38" i="11"/>
  <c r="A48" i="11"/>
  <c r="A49" i="11"/>
  <c r="A53" i="24"/>
  <c r="A52" i="24"/>
  <c r="A51" i="24"/>
  <c r="G20" i="3"/>
  <c r="G23" i="3" s="1"/>
  <c r="H20" i="3"/>
  <c r="H23" i="3" s="1"/>
  <c r="I20" i="3"/>
  <c r="I23" i="3" s="1"/>
  <c r="J20" i="3"/>
  <c r="J23" i="3" s="1"/>
  <c r="F23" i="3"/>
  <c r="AJ98" i="23" l="1"/>
  <c r="AH109" i="23"/>
  <c r="AH115" i="23"/>
  <c r="AH121" i="23"/>
  <c r="AF144" i="23"/>
  <c r="AF150" i="23"/>
  <c r="AD161" i="23"/>
  <c r="AD167" i="23"/>
  <c r="AD173" i="23"/>
  <c r="AD179" i="23"/>
  <c r="AD185" i="23"/>
  <c r="AD191" i="23"/>
  <c r="AD197" i="23"/>
  <c r="AD203" i="23"/>
  <c r="AD209" i="23"/>
  <c r="AB226" i="23"/>
  <c r="AB232" i="23"/>
  <c r="AI99" i="19"/>
  <c r="AG122" i="19"/>
  <c r="AG128" i="19"/>
  <c r="AG134" i="19"/>
  <c r="AC210" i="19"/>
  <c r="AC216" i="19"/>
  <c r="AA227" i="19"/>
  <c r="AA233" i="19"/>
  <c r="AI103" i="23"/>
  <c r="AG126" i="23"/>
  <c r="AG132" i="23"/>
  <c r="AG138" i="23"/>
  <c r="AE155" i="23"/>
  <c r="AC214" i="23"/>
  <c r="AC220" i="23"/>
  <c r="AH104" i="19"/>
  <c r="AH110" i="19"/>
  <c r="AH116" i="19"/>
  <c r="AF139" i="19"/>
  <c r="AF145" i="19"/>
  <c r="AF151" i="19"/>
  <c r="AD156" i="19"/>
  <c r="AD162" i="19"/>
  <c r="AD168" i="19"/>
  <c r="AD174" i="19"/>
  <c r="AD180" i="19"/>
  <c r="AD186" i="19"/>
  <c r="AD192" i="19"/>
  <c r="AD198" i="19"/>
  <c r="AD204" i="19"/>
  <c r="AB221" i="19"/>
  <c r="AJ97" i="23"/>
  <c r="AH108" i="23"/>
  <c r="AH114" i="23"/>
  <c r="AH120" i="23"/>
  <c r="AF143" i="23"/>
  <c r="AF149" i="23"/>
  <c r="AD160" i="23"/>
  <c r="AD166" i="23"/>
  <c r="AD172" i="23"/>
  <c r="AD178" i="23"/>
  <c r="AD184" i="23"/>
  <c r="AD190" i="23"/>
  <c r="AD196" i="23"/>
  <c r="AD202" i="23"/>
  <c r="AD208" i="23"/>
  <c r="AB231" i="23"/>
  <c r="AI98" i="19"/>
  <c r="AG127" i="19"/>
  <c r="AG133" i="19"/>
  <c r="AC215" i="19"/>
  <c r="AG125" i="23"/>
  <c r="AG131" i="23"/>
  <c r="AG137" i="23"/>
  <c r="AC213" i="23"/>
  <c r="AC219" i="23"/>
  <c r="AC225" i="23"/>
  <c r="AH103" i="19"/>
  <c r="AH109" i="19"/>
  <c r="AH115" i="19"/>
  <c r="AH121" i="19"/>
  <c r="AF138" i="19"/>
  <c r="AF144" i="19"/>
  <c r="AF150" i="19"/>
  <c r="AD155" i="19"/>
  <c r="AD161" i="19"/>
  <c r="AD167" i="19"/>
  <c r="AD173" i="19"/>
  <c r="AD179" i="19"/>
  <c r="AD185" i="19"/>
  <c r="AD191" i="19"/>
  <c r="AD197" i="19"/>
  <c r="AD203" i="19"/>
  <c r="AD209" i="19"/>
  <c r="AB220" i="19"/>
  <c r="AB226" i="19"/>
  <c r="AJ102" i="23"/>
  <c r="AH107" i="23"/>
  <c r="AH113" i="23"/>
  <c r="AH119" i="23"/>
  <c r="AF142" i="23"/>
  <c r="AF148" i="23"/>
  <c r="AF154" i="23"/>
  <c r="AD159" i="23"/>
  <c r="AD165" i="23"/>
  <c r="AD171" i="23"/>
  <c r="AD177" i="23"/>
  <c r="AD183" i="23"/>
  <c r="AD189" i="23"/>
  <c r="AD195" i="23"/>
  <c r="AD201" i="23"/>
  <c r="AD207" i="23"/>
  <c r="AB230" i="23"/>
  <c r="AB236" i="23"/>
  <c r="AI97" i="19"/>
  <c r="AG126" i="19"/>
  <c r="AG132" i="19"/>
  <c r="AC214" i="19"/>
  <c r="AA231" i="19"/>
  <c r="AG124" i="23"/>
  <c r="AG130" i="23"/>
  <c r="AG136" i="23"/>
  <c r="AC212" i="23"/>
  <c r="AC218" i="23"/>
  <c r="AC224" i="23"/>
  <c r="AH102" i="19"/>
  <c r="AH108" i="19"/>
  <c r="AH114" i="19"/>
  <c r="AH120" i="19"/>
  <c r="AF143" i="19"/>
  <c r="AF149" i="19"/>
  <c r="AD160" i="19"/>
  <c r="AD166" i="19"/>
  <c r="AD172" i="19"/>
  <c r="AD178" i="19"/>
  <c r="AD184" i="19"/>
  <c r="AD190" i="19"/>
  <c r="AD196" i="19"/>
  <c r="AD202" i="19"/>
  <c r="AD208" i="19"/>
  <c r="AB225" i="19"/>
  <c r="AJ101" i="23"/>
  <c r="AH106" i="23"/>
  <c r="AH112" i="23"/>
  <c r="AH118" i="23"/>
  <c r="AF141" i="23"/>
  <c r="AF147" i="23"/>
  <c r="AF153" i="23"/>
  <c r="AD158" i="23"/>
  <c r="AD164" i="23"/>
  <c r="AD170" i="23"/>
  <c r="AD176" i="23"/>
  <c r="AD182" i="23"/>
  <c r="AD188" i="23"/>
  <c r="AD194" i="23"/>
  <c r="AD200" i="23"/>
  <c r="AD206" i="23"/>
  <c r="AB229" i="23"/>
  <c r="AB235" i="23"/>
  <c r="AG125" i="19"/>
  <c r="AG131" i="19"/>
  <c r="AG137" i="19"/>
  <c r="AC213" i="19"/>
  <c r="AC219" i="19"/>
  <c r="AA230" i="19"/>
  <c r="AA236" i="19"/>
  <c r="AG129" i="23"/>
  <c r="AG135" i="23"/>
  <c r="AC211" i="23"/>
  <c r="AC223" i="23"/>
  <c r="AH107" i="19"/>
  <c r="AH113" i="19"/>
  <c r="AH119" i="19"/>
  <c r="AF142" i="19"/>
  <c r="AF148" i="19"/>
  <c r="AF154" i="19"/>
  <c r="AD159" i="19"/>
  <c r="AD165" i="19"/>
  <c r="AD171" i="19"/>
  <c r="AD177" i="19"/>
  <c r="AD183" i="19"/>
  <c r="AD189" i="19"/>
  <c r="AD195" i="19"/>
  <c r="AD201" i="19"/>
  <c r="AD207" i="19"/>
  <c r="AB224" i="19"/>
  <c r="AJ100" i="23"/>
  <c r="AH105" i="23"/>
  <c r="AH111" i="23"/>
  <c r="AH117" i="23"/>
  <c r="AH123" i="23"/>
  <c r="AF140" i="23"/>
  <c r="AF146" i="23"/>
  <c r="AF152" i="23"/>
  <c r="AD157" i="23"/>
  <c r="AD163" i="23"/>
  <c r="AD169" i="23"/>
  <c r="AD175" i="23"/>
  <c r="AD181" i="23"/>
  <c r="AD187" i="23"/>
  <c r="AD193" i="23"/>
  <c r="AD199" i="23"/>
  <c r="AD205" i="23"/>
  <c r="AD217" i="23"/>
  <c r="AB228" i="23"/>
  <c r="AB234" i="23"/>
  <c r="AI101" i="19"/>
  <c r="AG124" i="19"/>
  <c r="AG130" i="19"/>
  <c r="AG136" i="19"/>
  <c r="AC212" i="19"/>
  <c r="AC218" i="19"/>
  <c r="AA229" i="19"/>
  <c r="AA235" i="19"/>
  <c r="AG128" i="23"/>
  <c r="AG134" i="23"/>
  <c r="AC210" i="23"/>
  <c r="AC216" i="23"/>
  <c r="AC222" i="23"/>
  <c r="AH106" i="19"/>
  <c r="AH112" i="19"/>
  <c r="AH118" i="19"/>
  <c r="AF141" i="19"/>
  <c r="AF147" i="19"/>
  <c r="AF153" i="19"/>
  <c r="AD158" i="19"/>
  <c r="AD164" i="19"/>
  <c r="AD170" i="19"/>
  <c r="AD176" i="19"/>
  <c r="AD182" i="19"/>
  <c r="AD188" i="19"/>
  <c r="AD194" i="19"/>
  <c r="AD200" i="19"/>
  <c r="AD206" i="19"/>
  <c r="AB223" i="19"/>
  <c r="AJ99" i="23"/>
  <c r="AH104" i="23"/>
  <c r="AH110" i="23"/>
  <c r="AH116" i="23"/>
  <c r="AH122" i="23"/>
  <c r="AF145" i="23"/>
  <c r="AF151" i="23"/>
  <c r="AD162" i="23"/>
  <c r="AD168" i="23"/>
  <c r="AD174" i="23"/>
  <c r="AD180" i="23"/>
  <c r="AD186" i="23"/>
  <c r="AD192" i="23"/>
  <c r="AD198" i="23"/>
  <c r="AD204" i="23"/>
  <c r="AB227" i="23"/>
  <c r="AB233" i="23"/>
  <c r="AI100" i="19"/>
  <c r="AG123" i="19"/>
  <c r="AG129" i="19"/>
  <c r="AG135" i="19"/>
  <c r="AC211" i="19"/>
  <c r="AC217" i="19"/>
  <c r="AA228" i="19"/>
  <c r="AA234" i="19"/>
  <c r="AH105" i="19"/>
  <c r="AD157" i="19"/>
  <c r="AA232" i="19"/>
  <c r="AE156" i="23"/>
  <c r="AD163" i="19"/>
  <c r="AB222" i="19"/>
  <c r="AH117" i="19"/>
  <c r="AD169" i="19"/>
  <c r="AF146" i="19"/>
  <c r="AD175" i="19"/>
  <c r="AG133" i="23"/>
  <c r="AG127" i="23"/>
  <c r="AC215" i="23"/>
  <c r="AF140" i="19"/>
  <c r="AD181" i="19"/>
  <c r="AC221" i="23"/>
  <c r="AD187" i="19"/>
  <c r="AG139" i="23"/>
  <c r="AF152" i="19"/>
  <c r="AD193" i="19"/>
  <c r="AH111" i="19"/>
  <c r="AD199" i="19"/>
  <c r="AD205" i="19"/>
  <c r="AF265" i="23"/>
  <c r="AF271" i="23"/>
  <c r="AF277" i="23"/>
  <c r="AF283" i="23"/>
  <c r="AC341" i="23"/>
  <c r="AB351" i="23"/>
  <c r="AI237" i="19"/>
  <c r="AI241" i="23"/>
  <c r="AG252" i="23"/>
  <c r="AD293" i="23"/>
  <c r="AD299" i="23"/>
  <c r="AD304" i="23"/>
  <c r="AD310" i="23"/>
  <c r="AD316" i="23"/>
  <c r="AD322" i="23"/>
  <c r="AE265" i="19"/>
  <c r="AH246" i="23"/>
  <c r="AF264" i="23"/>
  <c r="AF270" i="23"/>
  <c r="AF276" i="23"/>
  <c r="AF282" i="23"/>
  <c r="AD287" i="23"/>
  <c r="AC340" i="23"/>
  <c r="AB350" i="23"/>
  <c r="AB356" i="23"/>
  <c r="AI240" i="23"/>
  <c r="AG251" i="23"/>
  <c r="AD292" i="23"/>
  <c r="AD298" i="23"/>
  <c r="AD309" i="23"/>
  <c r="AD315" i="23"/>
  <c r="AD321" i="23"/>
  <c r="AE264" i="19"/>
  <c r="AH245" i="23"/>
  <c r="AF269" i="23"/>
  <c r="AF275" i="23"/>
  <c r="AF281" i="23"/>
  <c r="AD286" i="23"/>
  <c r="AC339" i="23"/>
  <c r="AB349" i="23"/>
  <c r="AB355" i="23"/>
  <c r="AI241" i="19"/>
  <c r="AG252" i="19"/>
  <c r="AI239" i="23"/>
  <c r="AG250" i="23"/>
  <c r="AD291" i="23"/>
  <c r="AD297" i="23"/>
  <c r="AD308" i="23"/>
  <c r="AD314" i="23"/>
  <c r="AD320" i="23"/>
  <c r="AD326" i="23"/>
  <c r="AH246" i="19"/>
  <c r="AH244" i="23"/>
  <c r="AF268" i="23"/>
  <c r="AF274" i="23"/>
  <c r="AF280" i="23"/>
  <c r="AD285" i="23"/>
  <c r="AC338" i="23"/>
  <c r="AB348" i="23"/>
  <c r="AB354" i="23"/>
  <c r="AI240" i="19"/>
  <c r="AG251" i="19"/>
  <c r="AI238" i="23"/>
  <c r="AD290" i="23"/>
  <c r="AD296" i="23"/>
  <c r="AD307" i="23"/>
  <c r="AD313" i="23"/>
  <c r="AD319" i="23"/>
  <c r="AD325" i="23"/>
  <c r="AH245" i="19"/>
  <c r="AH243" i="23"/>
  <c r="AF267" i="23"/>
  <c r="AF273" i="23"/>
  <c r="AF279" i="23"/>
  <c r="AC337" i="23"/>
  <c r="AC343" i="23"/>
  <c r="AB347" i="23"/>
  <c r="AB353" i="23"/>
  <c r="AI239" i="19"/>
  <c r="AG250" i="19"/>
  <c r="AD289" i="23"/>
  <c r="AD295" i="23"/>
  <c r="AD306" i="23"/>
  <c r="AD312" i="23"/>
  <c r="AD318" i="23"/>
  <c r="AD324" i="23"/>
  <c r="AJ237" i="23"/>
  <c r="AF266" i="23"/>
  <c r="AF272" i="23"/>
  <c r="AF278" i="23"/>
  <c r="AC342" i="23"/>
  <c r="AB352" i="23"/>
  <c r="AI238" i="19"/>
  <c r="AI242" i="23"/>
  <c r="AE271" i="19"/>
  <c r="AE277" i="19"/>
  <c r="AE283" i="19"/>
  <c r="AD294" i="19"/>
  <c r="AD300" i="19"/>
  <c r="AD305" i="19"/>
  <c r="AD311" i="19"/>
  <c r="AD317" i="19"/>
  <c r="AD323" i="19"/>
  <c r="AD305" i="23"/>
  <c r="AH243" i="19"/>
  <c r="AC341" i="19"/>
  <c r="AB351" i="19"/>
  <c r="AB352" i="19"/>
  <c r="AD311" i="23"/>
  <c r="AE270" i="19"/>
  <c r="AE276" i="19"/>
  <c r="AE282" i="19"/>
  <c r="AD293" i="19"/>
  <c r="AD299" i="19"/>
  <c r="AD304" i="19"/>
  <c r="AD310" i="19"/>
  <c r="AD316" i="19"/>
  <c r="AD322" i="19"/>
  <c r="AD317" i="23"/>
  <c r="AD287" i="19"/>
  <c r="AC340" i="19"/>
  <c r="AB350" i="19"/>
  <c r="AB356" i="19"/>
  <c r="AD323" i="23"/>
  <c r="AE269" i="19"/>
  <c r="AE275" i="19"/>
  <c r="AE281" i="19"/>
  <c r="AD292" i="19"/>
  <c r="AD298" i="19"/>
  <c r="AD309" i="19"/>
  <c r="AD315" i="19"/>
  <c r="AD321" i="19"/>
  <c r="AD294" i="23"/>
  <c r="AI242" i="19"/>
  <c r="AD286" i="19"/>
  <c r="AC339" i="19"/>
  <c r="AB349" i="19"/>
  <c r="AB355" i="19"/>
  <c r="AD300" i="23"/>
  <c r="AE268" i="19"/>
  <c r="AE274" i="19"/>
  <c r="AE280" i="19"/>
  <c r="AD291" i="19"/>
  <c r="AD297" i="19"/>
  <c r="AD308" i="19"/>
  <c r="AD314" i="19"/>
  <c r="AD320" i="19"/>
  <c r="AD326" i="19"/>
  <c r="AD285" i="19"/>
  <c r="AC338" i="19"/>
  <c r="AB348" i="19"/>
  <c r="AB354" i="19"/>
  <c r="AE267" i="19"/>
  <c r="AE273" i="19"/>
  <c r="AE279" i="19"/>
  <c r="AD290" i="19"/>
  <c r="AD296" i="19"/>
  <c r="AD307" i="19"/>
  <c r="AD313" i="19"/>
  <c r="AD319" i="19"/>
  <c r="AD325" i="19"/>
  <c r="AC342" i="19"/>
  <c r="AC337" i="19"/>
  <c r="AC343" i="19"/>
  <c r="AB347" i="19"/>
  <c r="AB353" i="19"/>
  <c r="AH244" i="19"/>
  <c r="AE266" i="19"/>
  <c r="AE272" i="19"/>
  <c r="AE278" i="19"/>
  <c r="AD289" i="19"/>
  <c r="AD295" i="19"/>
  <c r="AD306" i="19"/>
  <c r="AD312" i="19"/>
  <c r="AD318" i="19"/>
  <c r="AD324" i="19"/>
  <c r="AB365" i="23"/>
  <c r="AG362" i="23"/>
  <c r="AA368" i="23"/>
  <c r="AA372" i="23"/>
  <c r="AA376" i="23"/>
  <c r="AB364" i="23"/>
  <c r="AI358" i="23"/>
  <c r="AG361" i="23"/>
  <c r="AA367" i="23"/>
  <c r="AA371" i="23"/>
  <c r="AA375" i="23"/>
  <c r="AB363" i="23"/>
  <c r="AI357" i="23"/>
  <c r="AG360" i="23"/>
  <c r="AA370" i="23"/>
  <c r="AA374" i="23"/>
  <c r="AB366" i="23"/>
  <c r="AG359" i="19"/>
  <c r="AA369" i="19"/>
  <c r="AA373" i="19"/>
  <c r="AB365" i="19"/>
  <c r="AA369" i="23"/>
  <c r="AG362" i="19"/>
  <c r="AA368" i="19"/>
  <c r="AA372" i="19"/>
  <c r="AA376" i="19"/>
  <c r="AB364" i="19"/>
  <c r="AI358" i="19"/>
  <c r="AG361" i="19"/>
  <c r="AA367" i="19"/>
  <c r="AA371" i="19"/>
  <c r="AA375" i="19"/>
  <c r="AB363" i="19"/>
  <c r="AI357" i="19"/>
  <c r="AG360" i="19"/>
  <c r="AA366" i="19"/>
  <c r="AA370" i="19"/>
  <c r="AA374" i="19"/>
  <c r="AG359" i="23"/>
  <c r="AA373" i="23"/>
  <c r="AJ267" i="23"/>
  <c r="AJ273" i="23"/>
  <c r="AJ279" i="23"/>
  <c r="AI290" i="23"/>
  <c r="AI296" i="23"/>
  <c r="AI307" i="23"/>
  <c r="AI313" i="23"/>
  <c r="AI319" i="23"/>
  <c r="AI325" i="23"/>
  <c r="AB357" i="23"/>
  <c r="AH337" i="23"/>
  <c r="AH343" i="23"/>
  <c r="AG347" i="23"/>
  <c r="AG353" i="23"/>
  <c r="AJ266" i="23"/>
  <c r="AJ272" i="23"/>
  <c r="AJ278" i="23"/>
  <c r="AI289" i="23"/>
  <c r="AI295" i="23"/>
  <c r="AI306" i="23"/>
  <c r="AI312" i="23"/>
  <c r="AI318" i="23"/>
  <c r="AI324" i="23"/>
  <c r="AH342" i="23"/>
  <c r="AG352" i="23"/>
  <c r="AJ265" i="23"/>
  <c r="AJ271" i="23"/>
  <c r="AJ277" i="23"/>
  <c r="AJ283" i="23"/>
  <c r="AI294" i="23"/>
  <c r="AI300" i="23"/>
  <c r="AI311" i="23"/>
  <c r="AI317" i="23"/>
  <c r="AI323" i="23"/>
  <c r="AJ305" i="23"/>
  <c r="AH341" i="23"/>
  <c r="AG351" i="23"/>
  <c r="AJ264" i="23"/>
  <c r="AJ270" i="23"/>
  <c r="AJ276" i="23"/>
  <c r="AJ282" i="23"/>
  <c r="AI293" i="23"/>
  <c r="AI299" i="23"/>
  <c r="AI304" i="23"/>
  <c r="AI310" i="23"/>
  <c r="AI316" i="23"/>
  <c r="AI322" i="23"/>
  <c r="AI287" i="23"/>
  <c r="AH340" i="23"/>
  <c r="AG350" i="23"/>
  <c r="AG356" i="23"/>
  <c r="AJ269" i="23"/>
  <c r="AJ275" i="23"/>
  <c r="AJ281" i="23"/>
  <c r="AI292" i="23"/>
  <c r="AI298" i="23"/>
  <c r="AI309" i="23"/>
  <c r="AI315" i="23"/>
  <c r="AI321" i="23"/>
  <c r="AJ264" i="19"/>
  <c r="AI286" i="23"/>
  <c r="AH339" i="23"/>
  <c r="AG349" i="23"/>
  <c r="AG355" i="23"/>
  <c r="AB358" i="23"/>
  <c r="AJ268" i="23"/>
  <c r="AJ274" i="23"/>
  <c r="AJ280" i="23"/>
  <c r="AI291" i="23"/>
  <c r="AI297" i="23"/>
  <c r="AI308" i="23"/>
  <c r="AI314" i="23"/>
  <c r="AI320" i="23"/>
  <c r="AI326" i="23"/>
  <c r="AI285" i="19"/>
  <c r="AH338" i="19"/>
  <c r="AG348" i="19"/>
  <c r="AG354" i="19"/>
  <c r="AA357" i="19"/>
  <c r="AJ267" i="19"/>
  <c r="AJ273" i="19"/>
  <c r="AJ279" i="19"/>
  <c r="AI290" i="19"/>
  <c r="AI296" i="19"/>
  <c r="AI307" i="19"/>
  <c r="AI313" i="19"/>
  <c r="AI319" i="19"/>
  <c r="AI325" i="19"/>
  <c r="AJ280" i="19"/>
  <c r="AI326" i="19"/>
  <c r="AH337" i="19"/>
  <c r="AH343" i="19"/>
  <c r="AG347" i="19"/>
  <c r="AG353" i="19"/>
  <c r="AJ274" i="19"/>
  <c r="AJ266" i="19"/>
  <c r="AJ272" i="19"/>
  <c r="AJ278" i="19"/>
  <c r="AI289" i="19"/>
  <c r="AI295" i="19"/>
  <c r="AI306" i="19"/>
  <c r="AI312" i="19"/>
  <c r="AI318" i="19"/>
  <c r="AI324" i="19"/>
  <c r="AI308" i="19"/>
  <c r="AH342" i="19"/>
  <c r="AG352" i="19"/>
  <c r="AI314" i="19"/>
  <c r="AJ271" i="19"/>
  <c r="AJ277" i="19"/>
  <c r="AJ283" i="19"/>
  <c r="AI294" i="19"/>
  <c r="AI300" i="19"/>
  <c r="AI305" i="19"/>
  <c r="AI311" i="19"/>
  <c r="AI317" i="19"/>
  <c r="AI323" i="19"/>
  <c r="AJ268" i="19"/>
  <c r="AG348" i="23"/>
  <c r="AJ265" i="19"/>
  <c r="AH341" i="19"/>
  <c r="AG351" i="19"/>
  <c r="AI291" i="19"/>
  <c r="AG354" i="23"/>
  <c r="AJ270" i="19"/>
  <c r="AJ276" i="19"/>
  <c r="AJ282" i="19"/>
  <c r="AI293" i="19"/>
  <c r="AI299" i="19"/>
  <c r="AI304" i="19"/>
  <c r="AI310" i="19"/>
  <c r="AI316" i="19"/>
  <c r="AI322" i="19"/>
  <c r="AI285" i="23"/>
  <c r="AI287" i="19"/>
  <c r="AH340" i="19"/>
  <c r="AG350" i="19"/>
  <c r="AG356" i="19"/>
  <c r="AI297" i="19"/>
  <c r="AI320" i="19"/>
  <c r="AJ269" i="19"/>
  <c r="AJ275" i="19"/>
  <c r="AJ281" i="19"/>
  <c r="AI292" i="19"/>
  <c r="AI298" i="19"/>
  <c r="AI309" i="19"/>
  <c r="AI315" i="19"/>
  <c r="AI321" i="19"/>
  <c r="AA358" i="19"/>
  <c r="AH338" i="23"/>
  <c r="AI286" i="19"/>
  <c r="AH339" i="19"/>
  <c r="AG349" i="19"/>
  <c r="AG355" i="19"/>
  <c r="AJ158" i="23"/>
  <c r="AJ164" i="23"/>
  <c r="AJ170" i="23"/>
  <c r="AJ176" i="23"/>
  <c r="AJ182" i="23"/>
  <c r="AJ188" i="23"/>
  <c r="AJ194" i="23"/>
  <c r="AJ200" i="23"/>
  <c r="AJ206" i="23"/>
  <c r="AH211" i="23"/>
  <c r="AH217" i="23"/>
  <c r="AF228" i="23"/>
  <c r="AF234" i="23"/>
  <c r="AD239" i="23"/>
  <c r="AB250" i="23"/>
  <c r="AB269" i="23"/>
  <c r="AB275" i="23"/>
  <c r="AB281" i="23"/>
  <c r="AI159" i="19"/>
  <c r="AI165" i="19"/>
  <c r="AI171" i="19"/>
  <c r="AI177" i="19"/>
  <c r="AI183" i="19"/>
  <c r="AI189" i="19"/>
  <c r="AI195" i="19"/>
  <c r="AI201" i="19"/>
  <c r="AI207" i="19"/>
  <c r="AG224" i="19"/>
  <c r="AC246" i="19"/>
  <c r="AG222" i="23"/>
  <c r="AC244" i="23"/>
  <c r="AH212" i="19"/>
  <c r="AH218" i="19"/>
  <c r="AF229" i="19"/>
  <c r="AF235" i="19"/>
  <c r="AD240" i="19"/>
  <c r="AB251" i="19"/>
  <c r="AJ157" i="23"/>
  <c r="AJ163" i="23"/>
  <c r="AJ169" i="23"/>
  <c r="AJ175" i="23"/>
  <c r="AJ181" i="23"/>
  <c r="AJ187" i="23"/>
  <c r="AJ193" i="23"/>
  <c r="AJ199" i="23"/>
  <c r="AJ205" i="23"/>
  <c r="AH210" i="23"/>
  <c r="AH216" i="23"/>
  <c r="AF227" i="23"/>
  <c r="AF233" i="23"/>
  <c r="AD238" i="23"/>
  <c r="AB268" i="23"/>
  <c r="AB274" i="23"/>
  <c r="AB280" i="23"/>
  <c r="AI158" i="19"/>
  <c r="AI164" i="19"/>
  <c r="AI170" i="19"/>
  <c r="AI176" i="19"/>
  <c r="AI182" i="19"/>
  <c r="AI188" i="19"/>
  <c r="AI194" i="19"/>
  <c r="AI200" i="19"/>
  <c r="AI206" i="19"/>
  <c r="AG221" i="23"/>
  <c r="AC243" i="23"/>
  <c r="AH211" i="19"/>
  <c r="AH217" i="19"/>
  <c r="AF228" i="19"/>
  <c r="AF234" i="19"/>
  <c r="AD239" i="19"/>
  <c r="AB250" i="19"/>
  <c r="AJ156" i="23"/>
  <c r="AJ162" i="23"/>
  <c r="AJ168" i="23"/>
  <c r="AJ174" i="23"/>
  <c r="AJ180" i="23"/>
  <c r="AJ186" i="23"/>
  <c r="AJ192" i="23"/>
  <c r="AJ198" i="23"/>
  <c r="AJ204" i="23"/>
  <c r="AH215" i="23"/>
  <c r="AF232" i="23"/>
  <c r="AD237" i="23"/>
  <c r="AB267" i="23"/>
  <c r="AB273" i="23"/>
  <c r="AB279" i="23"/>
  <c r="AI157" i="19"/>
  <c r="AI163" i="19"/>
  <c r="AI169" i="19"/>
  <c r="AI175" i="19"/>
  <c r="AI181" i="19"/>
  <c r="AI187" i="19"/>
  <c r="AI193" i="19"/>
  <c r="AI199" i="19"/>
  <c r="AI205" i="19"/>
  <c r="AG222" i="19"/>
  <c r="AC244" i="19"/>
  <c r="AG220" i="23"/>
  <c r="AG226" i="23"/>
  <c r="AH210" i="19"/>
  <c r="AH216" i="19"/>
  <c r="AF227" i="19"/>
  <c r="AF233" i="19"/>
  <c r="AD238" i="19"/>
  <c r="AJ155" i="23"/>
  <c r="AJ161" i="23"/>
  <c r="AJ167" i="23"/>
  <c r="AJ173" i="23"/>
  <c r="AJ179" i="23"/>
  <c r="AJ185" i="23"/>
  <c r="AJ191" i="23"/>
  <c r="AJ197" i="23"/>
  <c r="AJ203" i="23"/>
  <c r="AJ209" i="23"/>
  <c r="AH214" i="23"/>
  <c r="AF231" i="23"/>
  <c r="AD242" i="23"/>
  <c r="AB266" i="23"/>
  <c r="AB272" i="23"/>
  <c r="AB278" i="23"/>
  <c r="AI156" i="19"/>
  <c r="AI162" i="19"/>
  <c r="AI168" i="19"/>
  <c r="AI174" i="19"/>
  <c r="AI180" i="19"/>
  <c r="AI186" i="19"/>
  <c r="AI192" i="19"/>
  <c r="AI198" i="19"/>
  <c r="AI204" i="19"/>
  <c r="AG221" i="19"/>
  <c r="AC243" i="19"/>
  <c r="AG225" i="23"/>
  <c r="AH215" i="19"/>
  <c r="AF232" i="19"/>
  <c r="AD237" i="19"/>
  <c r="AA266" i="19"/>
  <c r="AJ160" i="23"/>
  <c r="AJ166" i="23"/>
  <c r="AJ172" i="23"/>
  <c r="AJ178" i="23"/>
  <c r="AJ184" i="23"/>
  <c r="AJ190" i="23"/>
  <c r="AJ196" i="23"/>
  <c r="AJ202" i="23"/>
  <c r="AJ208" i="23"/>
  <c r="AH213" i="23"/>
  <c r="AH219" i="23"/>
  <c r="AF230" i="23"/>
  <c r="AF236" i="23"/>
  <c r="AD241" i="23"/>
  <c r="AB252" i="23"/>
  <c r="AB265" i="23"/>
  <c r="AB271" i="23"/>
  <c r="AB277" i="23"/>
  <c r="AB283" i="23"/>
  <c r="AI155" i="19"/>
  <c r="AI161" i="19"/>
  <c r="AI167" i="19"/>
  <c r="AI173" i="19"/>
  <c r="AI179" i="19"/>
  <c r="AI185" i="19"/>
  <c r="AI191" i="19"/>
  <c r="AI197" i="19"/>
  <c r="AI203" i="19"/>
  <c r="AI209" i="19"/>
  <c r="AG220" i="19"/>
  <c r="AG226" i="19"/>
  <c r="AG224" i="23"/>
  <c r="AC246" i="23"/>
  <c r="AH214" i="19"/>
  <c r="AF231" i="19"/>
  <c r="AD242" i="19"/>
  <c r="AJ159" i="23"/>
  <c r="AJ165" i="23"/>
  <c r="AJ171" i="23"/>
  <c r="AJ177" i="23"/>
  <c r="AJ183" i="23"/>
  <c r="AJ189" i="23"/>
  <c r="AJ195" i="23"/>
  <c r="AJ201" i="23"/>
  <c r="AJ207" i="23"/>
  <c r="AH212" i="23"/>
  <c r="AH218" i="23"/>
  <c r="AF229" i="23"/>
  <c r="AF235" i="23"/>
  <c r="AD240" i="23"/>
  <c r="AB251" i="23"/>
  <c r="AB264" i="23"/>
  <c r="AB270" i="23"/>
  <c r="AB276" i="23"/>
  <c r="AB282" i="23"/>
  <c r="AI160" i="19"/>
  <c r="AI166" i="19"/>
  <c r="AI172" i="19"/>
  <c r="AI178" i="19"/>
  <c r="AI184" i="19"/>
  <c r="AI190" i="19"/>
  <c r="AI196" i="19"/>
  <c r="AI202" i="19"/>
  <c r="AI208" i="19"/>
  <c r="AG225" i="19"/>
  <c r="AF236" i="19"/>
  <c r="AA269" i="19"/>
  <c r="AA275" i="19"/>
  <c r="AA281" i="19"/>
  <c r="AG223" i="23"/>
  <c r="AG223" i="19"/>
  <c r="AB252" i="19"/>
  <c r="AA264" i="19"/>
  <c r="AA268" i="19"/>
  <c r="AA274" i="19"/>
  <c r="AA280" i="19"/>
  <c r="AC245" i="19"/>
  <c r="AH213" i="19"/>
  <c r="AD241" i="19"/>
  <c r="AA267" i="19"/>
  <c r="AA273" i="19"/>
  <c r="AA279" i="19"/>
  <c r="AH219" i="19"/>
  <c r="AA272" i="19"/>
  <c r="AA278" i="19"/>
  <c r="AC245" i="23"/>
  <c r="AA271" i="19"/>
  <c r="AA277" i="19"/>
  <c r="AA283" i="19"/>
  <c r="AF230" i="19"/>
  <c r="AA265" i="19"/>
  <c r="AA270" i="19"/>
  <c r="AA276" i="19"/>
  <c r="AA282" i="19"/>
  <c r="F38" i="11"/>
  <c r="A42" i="24"/>
  <c r="A50" i="11"/>
  <c r="A39" i="11"/>
  <c r="F17" i="3"/>
  <c r="G15" i="3" s="1"/>
  <c r="G16" i="3" s="1"/>
  <c r="F39" i="11" l="1"/>
  <c r="A51" i="11"/>
  <c r="A40" i="11"/>
  <c r="A54" i="24"/>
  <c r="A43" i="24"/>
  <c r="F40" i="11" l="1"/>
  <c r="A52" i="11"/>
  <c r="F5" i="11"/>
  <c r="F101" i="22" s="1"/>
  <c r="A41" i="11"/>
  <c r="A55" i="24"/>
  <c r="A44" i="24"/>
  <c r="G17" i="3"/>
  <c r="H15" i="3" s="1"/>
  <c r="H16" i="3" s="1"/>
  <c r="F41" i="11" l="1"/>
  <c r="F35" i="11" s="1"/>
  <c r="A53" i="11"/>
  <c r="A56" i="24"/>
  <c r="H17" i="3"/>
  <c r="I15" i="3" s="1"/>
  <c r="I16" i="3" s="1"/>
  <c r="I17" i="3" l="1"/>
  <c r="J15" i="3" l="1"/>
  <c r="J16" i="3" s="1"/>
  <c r="J17" i="3" l="1"/>
  <c r="AC45" i="4"/>
  <c r="A40" i="16"/>
  <c r="A52" i="16" s="1"/>
  <c r="A41" i="16"/>
  <c r="A53" i="16" s="1"/>
  <c r="A39" i="16"/>
  <c r="A51" i="16" s="1"/>
  <c r="B35" i="19"/>
  <c r="B19" i="19"/>
  <c r="B41" i="19"/>
  <c r="B75" i="19"/>
  <c r="B76" i="19"/>
  <c r="B6" i="19"/>
  <c r="B49" i="19"/>
  <c r="B11" i="19"/>
  <c r="B31" i="19"/>
  <c r="B51" i="19"/>
  <c r="B311" i="19"/>
  <c r="B291" i="19"/>
  <c r="B148" i="19"/>
  <c r="B142" i="19"/>
  <c r="B245" i="19"/>
  <c r="B290" i="19"/>
  <c r="B314" i="19"/>
  <c r="B326" i="19"/>
  <c r="B57" i="19"/>
  <c r="B319" i="19"/>
  <c r="B306" i="19"/>
  <c r="B143" i="19"/>
  <c r="B29" i="19"/>
  <c r="B300" i="19"/>
  <c r="B152" i="19"/>
  <c r="B324" i="19"/>
  <c r="B351" i="19"/>
  <c r="B318" i="19"/>
  <c r="B356" i="19"/>
  <c r="B140" i="19"/>
  <c r="B323" i="19"/>
  <c r="B149" i="19"/>
  <c r="B312" i="19"/>
  <c r="B244" i="19"/>
  <c r="B246" i="19"/>
  <c r="B354" i="19"/>
  <c r="B234" i="19"/>
  <c r="B236" i="19"/>
  <c r="B150" i="19"/>
  <c r="B235" i="19"/>
  <c r="B231" i="19"/>
  <c r="B147" i="19"/>
  <c r="B352" i="19"/>
  <c r="B230" i="19"/>
  <c r="B348" i="19"/>
  <c r="B295" i="19"/>
  <c r="B242" i="19"/>
  <c r="B313" i="19"/>
  <c r="B154" i="19"/>
  <c r="B79" i="19"/>
  <c r="B317" i="19"/>
  <c r="B344" i="19"/>
  <c r="B346" i="19"/>
  <c r="B350" i="19"/>
  <c r="B164" i="19"/>
  <c r="B364" i="19"/>
  <c r="B158" i="19"/>
  <c r="B155" i="19"/>
  <c r="B308" i="19"/>
  <c r="B320" i="19"/>
  <c r="B229" i="19"/>
  <c r="B3" i="19"/>
  <c r="B228" i="19"/>
  <c r="B243" i="19"/>
  <c r="B287" i="19"/>
  <c r="B286" i="19"/>
  <c r="B298" i="19"/>
  <c r="B209" i="19"/>
  <c r="B322" i="19"/>
  <c r="B309" i="19"/>
  <c r="B316" i="19"/>
  <c r="B362" i="19"/>
  <c r="B359" i="19"/>
  <c r="B224" i="19"/>
  <c r="B226" i="19"/>
  <c r="B363" i="19"/>
  <c r="B225" i="19"/>
  <c r="B361" i="19"/>
  <c r="B360" i="19"/>
  <c r="B304" i="19"/>
  <c r="B349" i="19"/>
  <c r="B347" i="19"/>
  <c r="B233" i="19"/>
  <c r="B232" i="19"/>
  <c r="B153" i="19"/>
  <c r="B345" i="19"/>
  <c r="B297" i="19"/>
  <c r="B181" i="19"/>
  <c r="B188" i="19"/>
  <c r="B355" i="19"/>
  <c r="B301" i="19"/>
  <c r="B238" i="19"/>
  <c r="B299" i="19"/>
  <c r="B321" i="19"/>
  <c r="B127" i="19"/>
  <c r="B129" i="19"/>
  <c r="B107" i="19"/>
  <c r="B136" i="19"/>
  <c r="B103" i="19"/>
  <c r="B137" i="19"/>
  <c r="B122" i="19"/>
  <c r="B332" i="19"/>
  <c r="B126" i="19"/>
  <c r="B110" i="19"/>
  <c r="B340" i="19"/>
  <c r="B131" i="19"/>
  <c r="B333" i="19"/>
  <c r="B330" i="19"/>
  <c r="B240" i="19"/>
  <c r="B335" i="19"/>
  <c r="B255" i="19"/>
  <c r="B256" i="19"/>
  <c r="B338" i="19"/>
  <c r="B280" i="19"/>
  <c r="B339" i="19"/>
  <c r="B260" i="19"/>
  <c r="B115" i="19"/>
  <c r="B329" i="19"/>
  <c r="B105" i="19"/>
  <c r="B328" i="19"/>
  <c r="B108" i="19"/>
  <c r="B121" i="19"/>
  <c r="B114" i="19"/>
  <c r="B117" i="19"/>
  <c r="B274" i="19"/>
  <c r="B161" i="19"/>
  <c r="B263" i="19"/>
  <c r="B198" i="19"/>
  <c r="B191" i="19"/>
  <c r="B197" i="19"/>
  <c r="B169" i="19"/>
  <c r="B183" i="19"/>
  <c r="B268" i="19"/>
  <c r="B189" i="19"/>
  <c r="B254" i="19"/>
  <c r="B277" i="19"/>
  <c r="B194" i="19"/>
  <c r="B171" i="19"/>
  <c r="B271" i="19"/>
  <c r="B278" i="19"/>
  <c r="B265" i="19"/>
  <c r="B267" i="19"/>
  <c r="B275" i="19"/>
  <c r="B282" i="19"/>
  <c r="B272" i="19"/>
  <c r="B279" i="19"/>
  <c r="B264" i="19"/>
  <c r="B266" i="19"/>
  <c r="B283" i="19"/>
  <c r="B273" i="19"/>
  <c r="B262" i="19"/>
  <c r="B113" i="19"/>
  <c r="B119" i="19"/>
  <c r="B259" i="19"/>
  <c r="B270" i="19"/>
  <c r="B276" i="19"/>
  <c r="B253" i="19"/>
  <c r="B157" i="19"/>
  <c r="B375" i="19"/>
  <c r="B376" i="19"/>
  <c r="B166" i="19"/>
  <c r="B374" i="19"/>
  <c r="B156" i="19"/>
  <c r="B257" i="19"/>
  <c r="B203" i="19"/>
  <c r="B193" i="19"/>
  <c r="B196" i="19"/>
  <c r="B174" i="19"/>
  <c r="B199" i="19"/>
  <c r="B207" i="19"/>
  <c r="B179" i="19"/>
  <c r="B269" i="19"/>
  <c r="B281" i="19"/>
  <c r="B100" i="19"/>
  <c r="B101" i="19"/>
  <c r="B97" i="19"/>
  <c r="B182" i="19"/>
  <c r="B187" i="19"/>
  <c r="B180" i="19"/>
  <c r="B192" i="19"/>
  <c r="B185" i="19"/>
  <c r="B206" i="19"/>
  <c r="B176" i="19"/>
  <c r="B201" i="19"/>
  <c r="B93" i="19"/>
  <c r="B99" i="19"/>
  <c r="B98" i="19"/>
  <c r="B177" i="19"/>
  <c r="B168" i="19"/>
  <c r="B175" i="19"/>
  <c r="B170" i="19"/>
  <c r="B162" i="19"/>
  <c r="B371" i="19"/>
  <c r="B366" i="19"/>
  <c r="B133" i="19"/>
  <c r="B369" i="19"/>
  <c r="B124" i="19"/>
  <c r="B130" i="19"/>
  <c r="B128" i="19"/>
  <c r="B134" i="19"/>
  <c r="B368" i="19"/>
  <c r="B248" i="19"/>
  <c r="B132" i="19"/>
  <c r="B252" i="19"/>
  <c r="B251" i="19"/>
  <c r="B250" i="19"/>
  <c r="B135" i="19"/>
  <c r="B372" i="19"/>
  <c r="B367" i="19"/>
  <c r="B373" i="19"/>
  <c r="B247" i="19"/>
  <c r="B123" i="19"/>
  <c r="B365" i="19"/>
  <c r="B327" i="19"/>
  <c r="B370" i="19"/>
  <c r="B125" i="19"/>
  <c r="B334" i="19"/>
  <c r="B341" i="19"/>
  <c r="B331" i="19"/>
  <c r="B336" i="19"/>
  <c r="B337" i="19"/>
  <c r="B343" i="19"/>
  <c r="B342" i="19"/>
  <c r="B178" i="19"/>
  <c r="B204" i="19"/>
  <c r="B200" i="19"/>
  <c r="B184" i="19"/>
  <c r="B116" i="19"/>
  <c r="B258" i="19"/>
  <c r="B261" i="19"/>
  <c r="B70" i="19"/>
  <c r="B82" i="19"/>
  <c r="B45" i="19"/>
  <c r="B42" i="19"/>
  <c r="B46" i="19"/>
  <c r="B83" i="19"/>
  <c r="B25" i="19"/>
  <c r="B55" i="19"/>
  <c r="B58" i="19"/>
  <c r="B172" i="19"/>
  <c r="B167" i="19"/>
  <c r="B195" i="19"/>
  <c r="B202" i="19"/>
  <c r="B186" i="19"/>
  <c r="B36" i="19"/>
  <c r="B87" i="19"/>
  <c r="B37" i="19"/>
  <c r="B63" i="19"/>
  <c r="B227" i="19"/>
  <c r="B292" i="19"/>
  <c r="B285" i="19"/>
  <c r="B18" i="19"/>
  <c r="B7" i="19"/>
  <c r="B20" i="19"/>
  <c r="B38" i="19"/>
  <c r="B34" i="19"/>
  <c r="B47" i="19"/>
  <c r="B13" i="19"/>
  <c r="B10" i="19"/>
  <c r="B40" i="19"/>
  <c r="B61" i="19"/>
  <c r="B33" i="19"/>
  <c r="B21" i="19"/>
  <c r="B96" i="19"/>
  <c r="B68" i="19"/>
  <c r="B52" i="19"/>
  <c r="B221" i="19"/>
  <c r="B222" i="19"/>
  <c r="B67" i="19"/>
  <c r="B12" i="19"/>
  <c r="B223" i="19"/>
  <c r="B53" i="19"/>
  <c r="B220" i="19"/>
  <c r="B28" i="19"/>
  <c r="B44" i="19"/>
  <c r="B65" i="19"/>
  <c r="B16" i="19"/>
  <c r="B60" i="19"/>
  <c r="B81" i="19"/>
  <c r="B27" i="19"/>
  <c r="B94" i="19"/>
  <c r="B95" i="19"/>
  <c r="B74" i="19"/>
  <c r="B72" i="19"/>
  <c r="B73" i="19"/>
  <c r="B64" i="19"/>
  <c r="B84" i="19"/>
  <c r="B15" i="19"/>
  <c r="B284" i="19"/>
  <c r="B303" i="19"/>
  <c r="B211" i="19"/>
  <c r="B353" i="19"/>
  <c r="B56" i="19"/>
  <c r="B357" i="19"/>
  <c r="B4" i="19"/>
  <c r="B17" i="19"/>
  <c r="B62" i="19"/>
  <c r="B358" i="19"/>
  <c r="B26" i="19"/>
  <c r="B86" i="19"/>
  <c r="B77" i="19"/>
  <c r="B71" i="19"/>
  <c r="B66" i="19"/>
  <c r="B69" i="19"/>
  <c r="B8" i="19"/>
  <c r="B2" i="19"/>
  <c r="B205" i="19"/>
  <c r="B165" i="19"/>
  <c r="B190" i="19"/>
  <c r="B163" i="19"/>
  <c r="B102" i="19"/>
  <c r="B293" i="19"/>
  <c r="B305" i="19"/>
  <c r="B120" i="19"/>
  <c r="B112" i="19"/>
  <c r="B325" i="19"/>
  <c r="B208" i="19"/>
  <c r="B237" i="19"/>
  <c r="B294" i="19"/>
  <c r="B239" i="19"/>
  <c r="B173" i="19"/>
  <c r="B159" i="19"/>
  <c r="B160" i="19"/>
  <c r="B289" i="19"/>
  <c r="B241" i="19"/>
  <c r="B106" i="19"/>
  <c r="B104" i="19"/>
  <c r="B288" i="19"/>
  <c r="B315" i="19"/>
  <c r="B302" i="19"/>
  <c r="B310" i="19"/>
  <c r="B109" i="19"/>
  <c r="B307" i="19"/>
  <c r="B118" i="19"/>
  <c r="B111" i="19"/>
  <c r="B24" i="19"/>
  <c r="B30" i="19"/>
  <c r="B23" i="19"/>
  <c r="B50" i="19"/>
  <c r="B59" i="19"/>
  <c r="B78" i="19"/>
  <c r="B43" i="19"/>
  <c r="B217" i="19"/>
  <c r="B138" i="19"/>
  <c r="B213" i="19"/>
  <c r="B219" i="19"/>
  <c r="B218" i="19"/>
  <c r="B216" i="19"/>
  <c r="B14" i="19"/>
  <c r="B5" i="19"/>
  <c r="B249" i="19"/>
  <c r="B215" i="19"/>
  <c r="B144" i="19"/>
  <c r="B145" i="19"/>
  <c r="B214" i="19"/>
  <c r="B54" i="19"/>
  <c r="B88" i="19"/>
  <c r="B212" i="19"/>
  <c r="B89" i="19"/>
  <c r="B210" i="19"/>
  <c r="B139" i="19"/>
  <c r="B48" i="19"/>
  <c r="B85" i="19"/>
  <c r="B90" i="19"/>
  <c r="B39" i="19"/>
  <c r="B80" i="19"/>
  <c r="B32" i="19"/>
  <c r="B151" i="19"/>
  <c r="B9" i="19"/>
  <c r="B92" i="19"/>
  <c r="B141" i="19"/>
  <c r="B91" i="19"/>
  <c r="B377" i="19"/>
  <c r="B402" i="19"/>
  <c r="B432" i="19"/>
  <c r="B401" i="19"/>
  <c r="B434" i="19"/>
  <c r="B405" i="19"/>
  <c r="B409" i="19"/>
  <c r="B427" i="19"/>
  <c r="B438" i="19"/>
  <c r="B439" i="19"/>
  <c r="B437" i="19"/>
  <c r="B425" i="19"/>
  <c r="B404" i="19"/>
  <c r="B407" i="19"/>
  <c r="B422" i="19"/>
  <c r="B424" i="19"/>
  <c r="B426" i="19"/>
  <c r="B408" i="19"/>
  <c r="B436" i="19"/>
  <c r="B406" i="19"/>
  <c r="B403" i="19"/>
  <c r="B430" i="19"/>
  <c r="B429" i="19"/>
  <c r="B423" i="19"/>
  <c r="B392" i="19"/>
  <c r="B441" i="19"/>
  <c r="B381" i="19"/>
  <c r="B388" i="19"/>
  <c r="B428" i="19"/>
  <c r="B391" i="19"/>
  <c r="B389" i="19"/>
  <c r="B384" i="19"/>
  <c r="B379" i="19"/>
  <c r="B390" i="19"/>
  <c r="B385" i="19"/>
  <c r="B380" i="19"/>
  <c r="B383" i="19"/>
  <c r="B386" i="19"/>
  <c r="B387" i="19"/>
  <c r="B443" i="19"/>
  <c r="B382" i="19"/>
  <c r="B400" i="19"/>
  <c r="B440" i="19"/>
  <c r="B442" i="19"/>
  <c r="B433" i="19"/>
  <c r="B394" i="19"/>
  <c r="B396" i="19"/>
  <c r="B395" i="19"/>
  <c r="B378" i="19"/>
  <c r="B393" i="19"/>
  <c r="B435" i="19"/>
  <c r="B431" i="19"/>
  <c r="B419" i="19"/>
  <c r="B420" i="19"/>
  <c r="B416" i="19"/>
  <c r="B414" i="19"/>
  <c r="B410" i="19"/>
  <c r="B412" i="19"/>
  <c r="B418" i="19"/>
  <c r="B411" i="19"/>
  <c r="B399" i="19"/>
  <c r="B417" i="19"/>
  <c r="B415" i="19"/>
  <c r="B413" i="19"/>
  <c r="B398" i="19"/>
  <c r="B397" i="19"/>
  <c r="B421" i="19"/>
  <c r="C3" i="18"/>
  <c r="E3" i="18"/>
  <c r="G3" i="18"/>
  <c r="F3" i="18" s="1"/>
  <c r="H3" i="18"/>
  <c r="I3" i="18" s="1"/>
  <c r="L3" i="18"/>
  <c r="M3" i="18" s="1"/>
  <c r="N3" i="18"/>
  <c r="O3" i="18"/>
  <c r="C4" i="18"/>
  <c r="E4" i="18"/>
  <c r="G4" i="18"/>
  <c r="F4" i="18" s="1"/>
  <c r="H4" i="18"/>
  <c r="I4" i="18" s="1"/>
  <c r="L4" i="18"/>
  <c r="M4" i="18" s="1"/>
  <c r="N4" i="18"/>
  <c r="O4" i="18"/>
  <c r="C5" i="18"/>
  <c r="E5" i="18"/>
  <c r="G5" i="18"/>
  <c r="F5" i="18" s="1"/>
  <c r="H5" i="18"/>
  <c r="I5" i="18" s="1"/>
  <c r="L5" i="18"/>
  <c r="M5" i="18" s="1"/>
  <c r="N5" i="18"/>
  <c r="O5" i="18"/>
  <c r="C6" i="18"/>
  <c r="E6" i="18"/>
  <c r="G6" i="18"/>
  <c r="F6" i="18" s="1"/>
  <c r="H6" i="18"/>
  <c r="I6" i="18" s="1"/>
  <c r="L6" i="18"/>
  <c r="M6" i="18" s="1"/>
  <c r="N6" i="18"/>
  <c r="O6" i="18"/>
  <c r="C7" i="18"/>
  <c r="E7" i="18"/>
  <c r="G7" i="18"/>
  <c r="F7" i="18" s="1"/>
  <c r="H7" i="18"/>
  <c r="K7" i="18" s="1"/>
  <c r="L7" i="18"/>
  <c r="M7" i="18" s="1"/>
  <c r="N7" i="18"/>
  <c r="O7" i="18"/>
  <c r="C8" i="18"/>
  <c r="E8" i="18"/>
  <c r="G8" i="18"/>
  <c r="F8" i="18" s="1"/>
  <c r="H8" i="18"/>
  <c r="K8" i="18" s="1"/>
  <c r="L8" i="18"/>
  <c r="M8" i="18" s="1"/>
  <c r="N8" i="18"/>
  <c r="O8" i="18"/>
  <c r="C9" i="18"/>
  <c r="E9" i="18"/>
  <c r="G9" i="18"/>
  <c r="F9" i="18" s="1"/>
  <c r="H9" i="18"/>
  <c r="L9" i="18"/>
  <c r="M9" i="18" s="1"/>
  <c r="N9" i="18"/>
  <c r="O9" i="18"/>
  <c r="C10" i="18"/>
  <c r="E10" i="18"/>
  <c r="G10" i="18"/>
  <c r="F10" i="18" s="1"/>
  <c r="H10" i="18"/>
  <c r="I10" i="18" s="1"/>
  <c r="L10" i="18"/>
  <c r="M10" i="18" s="1"/>
  <c r="N10" i="18"/>
  <c r="O10" i="18"/>
  <c r="C11" i="18"/>
  <c r="E11" i="18"/>
  <c r="G11" i="18"/>
  <c r="F11" i="18" s="1"/>
  <c r="H11" i="18"/>
  <c r="K11" i="18" s="1"/>
  <c r="L11" i="18"/>
  <c r="M11" i="18" s="1"/>
  <c r="N11" i="18"/>
  <c r="O11" i="18"/>
  <c r="C12" i="18"/>
  <c r="E12" i="18"/>
  <c r="G12" i="18"/>
  <c r="F12" i="18" s="1"/>
  <c r="H12" i="18"/>
  <c r="I12" i="18" s="1"/>
  <c r="L12" i="18"/>
  <c r="M12" i="18" s="1"/>
  <c r="N12" i="18"/>
  <c r="O12" i="18"/>
  <c r="C13" i="18"/>
  <c r="E13" i="18"/>
  <c r="G13" i="18"/>
  <c r="F13" i="18" s="1"/>
  <c r="H13" i="18"/>
  <c r="I13" i="18" s="1"/>
  <c r="L13" i="18"/>
  <c r="M13" i="18" s="1"/>
  <c r="N13" i="18"/>
  <c r="O13" i="18"/>
  <c r="C14" i="18"/>
  <c r="E14" i="18"/>
  <c r="G14" i="18"/>
  <c r="F14" i="18" s="1"/>
  <c r="H14" i="18"/>
  <c r="I14" i="18" s="1"/>
  <c r="L14" i="18"/>
  <c r="M14" i="18" s="1"/>
  <c r="N14" i="18"/>
  <c r="O14" i="18"/>
  <c r="C377" i="18"/>
  <c r="E377" i="18"/>
  <c r="G377" i="18"/>
  <c r="F377" i="18" s="1"/>
  <c r="H377" i="18"/>
  <c r="I377" i="18" s="1"/>
  <c r="L377" i="18"/>
  <c r="M377" i="18" s="1"/>
  <c r="N377" i="18"/>
  <c r="O377" i="18"/>
  <c r="C15" i="18"/>
  <c r="E15" i="18"/>
  <c r="G15" i="18"/>
  <c r="F15" i="18" s="1"/>
  <c r="H15" i="18"/>
  <c r="I15" i="18" s="1"/>
  <c r="L15" i="18"/>
  <c r="M15" i="18" s="1"/>
  <c r="N15" i="18"/>
  <c r="O15" i="18"/>
  <c r="C378" i="18"/>
  <c r="E378" i="18"/>
  <c r="G378" i="18"/>
  <c r="F378" i="18" s="1"/>
  <c r="H378" i="18"/>
  <c r="I378" i="18" s="1"/>
  <c r="L378" i="18"/>
  <c r="M378" i="18" s="1"/>
  <c r="N378" i="18"/>
  <c r="O378" i="18"/>
  <c r="C16" i="18"/>
  <c r="E16" i="18"/>
  <c r="G16" i="18"/>
  <c r="F16" i="18" s="1"/>
  <c r="H16" i="18"/>
  <c r="I16" i="18" s="1"/>
  <c r="L16" i="18"/>
  <c r="M16" i="18" s="1"/>
  <c r="N16" i="18"/>
  <c r="O16" i="18"/>
  <c r="C379" i="18"/>
  <c r="E379" i="18"/>
  <c r="G379" i="18"/>
  <c r="F379" i="18" s="1"/>
  <c r="H379" i="18"/>
  <c r="K379" i="18" s="1"/>
  <c r="L379" i="18"/>
  <c r="M379" i="18" s="1"/>
  <c r="N379" i="18"/>
  <c r="O379" i="18"/>
  <c r="C380" i="18"/>
  <c r="E380" i="18"/>
  <c r="G380" i="18"/>
  <c r="F380" i="18" s="1"/>
  <c r="H380" i="18"/>
  <c r="K380" i="18" s="1"/>
  <c r="L380" i="18"/>
  <c r="M380" i="18" s="1"/>
  <c r="N380" i="18"/>
  <c r="O380" i="18"/>
  <c r="C17" i="18"/>
  <c r="E17" i="18"/>
  <c r="G17" i="18"/>
  <c r="F17" i="18" s="1"/>
  <c r="H17" i="18"/>
  <c r="L17" i="18"/>
  <c r="M17" i="18" s="1"/>
  <c r="N17" i="18"/>
  <c r="O17" i="18"/>
  <c r="C18" i="18"/>
  <c r="E18" i="18"/>
  <c r="G18" i="18"/>
  <c r="F18" i="18" s="1"/>
  <c r="H18" i="18"/>
  <c r="I18" i="18" s="1"/>
  <c r="L18" i="18"/>
  <c r="M18" i="18" s="1"/>
  <c r="N18" i="18"/>
  <c r="O18" i="18"/>
  <c r="C381" i="18"/>
  <c r="E381" i="18"/>
  <c r="G381" i="18"/>
  <c r="F381" i="18" s="1"/>
  <c r="H381" i="18"/>
  <c r="I381" i="18" s="1"/>
  <c r="L381" i="18"/>
  <c r="M381" i="18" s="1"/>
  <c r="N381" i="18"/>
  <c r="O381" i="18"/>
  <c r="C19" i="18"/>
  <c r="E19" i="18"/>
  <c r="G19" i="18"/>
  <c r="F19" i="18" s="1"/>
  <c r="H19" i="18"/>
  <c r="I19" i="18" s="1"/>
  <c r="L19" i="18"/>
  <c r="M19" i="18" s="1"/>
  <c r="N19" i="18"/>
  <c r="O19" i="18"/>
  <c r="C20" i="18"/>
  <c r="E20" i="18"/>
  <c r="G20" i="18"/>
  <c r="F20" i="18" s="1"/>
  <c r="H20" i="18"/>
  <c r="I20" i="18" s="1"/>
  <c r="L20" i="18"/>
  <c r="M20" i="18" s="1"/>
  <c r="N20" i="18"/>
  <c r="O20" i="18"/>
  <c r="C21" i="18"/>
  <c r="E21" i="18"/>
  <c r="G21" i="18"/>
  <c r="F21" i="18" s="1"/>
  <c r="H21" i="18"/>
  <c r="L21" i="18"/>
  <c r="M21" i="18" s="1"/>
  <c r="N21" i="18"/>
  <c r="O21" i="18"/>
  <c r="C22" i="18"/>
  <c r="E22" i="18"/>
  <c r="G22" i="18"/>
  <c r="F22" i="18" s="1"/>
  <c r="H22" i="18"/>
  <c r="I22" i="18" s="1"/>
  <c r="L22" i="18"/>
  <c r="M22" i="18" s="1"/>
  <c r="N22" i="18"/>
  <c r="O22" i="18"/>
  <c r="C382" i="18"/>
  <c r="E382" i="18"/>
  <c r="G382" i="18"/>
  <c r="F382" i="18" s="1"/>
  <c r="H382" i="18"/>
  <c r="K382" i="18" s="1"/>
  <c r="L382" i="18"/>
  <c r="M382" i="18" s="1"/>
  <c r="N382" i="18"/>
  <c r="O382" i="18"/>
  <c r="C23" i="18"/>
  <c r="E23" i="18"/>
  <c r="G23" i="18"/>
  <c r="F23" i="18" s="1"/>
  <c r="H23" i="18"/>
  <c r="I23" i="18" s="1"/>
  <c r="L23" i="18"/>
  <c r="M23" i="18" s="1"/>
  <c r="N23" i="18"/>
  <c r="O23" i="18"/>
  <c r="C383" i="18"/>
  <c r="E383" i="18"/>
  <c r="G383" i="18"/>
  <c r="F383" i="18" s="1"/>
  <c r="H383" i="18"/>
  <c r="I383" i="18" s="1"/>
  <c r="L383" i="18"/>
  <c r="M383" i="18" s="1"/>
  <c r="N383" i="18"/>
  <c r="O383" i="18"/>
  <c r="C24" i="18"/>
  <c r="E24" i="18"/>
  <c r="G24" i="18"/>
  <c r="F24" i="18" s="1"/>
  <c r="H24" i="18"/>
  <c r="K24" i="18" s="1"/>
  <c r="L24" i="18"/>
  <c r="M24" i="18" s="1"/>
  <c r="N24" i="18"/>
  <c r="O24" i="18"/>
  <c r="C25" i="18"/>
  <c r="E25" i="18"/>
  <c r="G25" i="18"/>
  <c r="F25" i="18" s="1"/>
  <c r="H25" i="18"/>
  <c r="K25" i="18" s="1"/>
  <c r="L25" i="18"/>
  <c r="M25" i="18" s="1"/>
  <c r="N25" i="18"/>
  <c r="O25" i="18"/>
  <c r="C26" i="18"/>
  <c r="E26" i="18"/>
  <c r="G26" i="18"/>
  <c r="F26" i="18" s="1"/>
  <c r="H26" i="18"/>
  <c r="L26" i="18"/>
  <c r="M26" i="18" s="1"/>
  <c r="N26" i="18"/>
  <c r="O26" i="18"/>
  <c r="C27" i="18"/>
  <c r="E27" i="18"/>
  <c r="G27" i="18"/>
  <c r="F27" i="18" s="1"/>
  <c r="H27" i="18"/>
  <c r="I27" i="18" s="1"/>
  <c r="L27" i="18"/>
  <c r="M27" i="18" s="1"/>
  <c r="N27" i="18"/>
  <c r="O27" i="18"/>
  <c r="C28" i="18"/>
  <c r="E28" i="18"/>
  <c r="G28" i="18"/>
  <c r="F28" i="18" s="1"/>
  <c r="H28" i="18"/>
  <c r="I28" i="18" s="1"/>
  <c r="L28" i="18"/>
  <c r="M28" i="18" s="1"/>
  <c r="N28" i="18"/>
  <c r="O28" i="18"/>
  <c r="C384" i="18"/>
  <c r="E384" i="18"/>
  <c r="G384" i="18"/>
  <c r="F384" i="18" s="1"/>
  <c r="H384" i="18"/>
  <c r="I384" i="18" s="1"/>
  <c r="L384" i="18"/>
  <c r="M384" i="18" s="1"/>
  <c r="N384" i="18"/>
  <c r="O384" i="18"/>
  <c r="C29" i="18"/>
  <c r="E29" i="18"/>
  <c r="G29" i="18"/>
  <c r="F29" i="18" s="1"/>
  <c r="H29" i="18"/>
  <c r="I29" i="18" s="1"/>
  <c r="L29" i="18"/>
  <c r="M29" i="18" s="1"/>
  <c r="N29" i="18"/>
  <c r="O29" i="18"/>
  <c r="C385" i="18"/>
  <c r="E385" i="18"/>
  <c r="G385" i="18"/>
  <c r="F385" i="18" s="1"/>
  <c r="H385" i="18"/>
  <c r="I385" i="18" s="1"/>
  <c r="L385" i="18"/>
  <c r="M385" i="18" s="1"/>
  <c r="N385" i="18"/>
  <c r="O385" i="18"/>
  <c r="C30" i="18"/>
  <c r="E30" i="18"/>
  <c r="G30" i="18"/>
  <c r="F30" i="18" s="1"/>
  <c r="H30" i="18"/>
  <c r="I30" i="18" s="1"/>
  <c r="L30" i="18"/>
  <c r="M30" i="18" s="1"/>
  <c r="N30" i="18"/>
  <c r="O30" i="18"/>
  <c r="C31" i="18"/>
  <c r="E31" i="18"/>
  <c r="G31" i="18"/>
  <c r="F31" i="18" s="1"/>
  <c r="H31" i="18"/>
  <c r="I31" i="18" s="1"/>
  <c r="L31" i="18"/>
  <c r="M31" i="18" s="1"/>
  <c r="N31" i="18"/>
  <c r="O31" i="18"/>
  <c r="C386" i="18"/>
  <c r="E386" i="18"/>
  <c r="G386" i="18"/>
  <c r="F386" i="18" s="1"/>
  <c r="H386" i="18"/>
  <c r="I386" i="18" s="1"/>
  <c r="L386" i="18"/>
  <c r="M386" i="18" s="1"/>
  <c r="N386" i="18"/>
  <c r="O386" i="18"/>
  <c r="C387" i="18"/>
  <c r="E387" i="18"/>
  <c r="G387" i="18"/>
  <c r="F387" i="18" s="1"/>
  <c r="H387" i="18"/>
  <c r="I387" i="18" s="1"/>
  <c r="L387" i="18"/>
  <c r="M387" i="18" s="1"/>
  <c r="N387" i="18"/>
  <c r="O387" i="18"/>
  <c r="C32" i="18"/>
  <c r="E32" i="18"/>
  <c r="G32" i="18"/>
  <c r="F32" i="18" s="1"/>
  <c r="H32" i="18"/>
  <c r="K32" i="18" s="1"/>
  <c r="L32" i="18"/>
  <c r="M32" i="18" s="1"/>
  <c r="N32" i="18"/>
  <c r="O32" i="18"/>
  <c r="C33" i="18"/>
  <c r="E33" i="18"/>
  <c r="G33" i="18"/>
  <c r="F33" i="18" s="1"/>
  <c r="H33" i="18"/>
  <c r="K33" i="18" s="1"/>
  <c r="L33" i="18"/>
  <c r="M33" i="18" s="1"/>
  <c r="N33" i="18"/>
  <c r="O33" i="18"/>
  <c r="C34" i="18"/>
  <c r="E34" i="18"/>
  <c r="G34" i="18"/>
  <c r="F34" i="18" s="1"/>
  <c r="H34" i="18"/>
  <c r="L34" i="18"/>
  <c r="M34" i="18" s="1"/>
  <c r="N34" i="18"/>
  <c r="O34" i="18"/>
  <c r="C35" i="18"/>
  <c r="E35" i="18"/>
  <c r="G35" i="18"/>
  <c r="F35" i="18" s="1"/>
  <c r="H35" i="18"/>
  <c r="I35" i="18" s="1"/>
  <c r="L35" i="18"/>
  <c r="M35" i="18" s="1"/>
  <c r="N35" i="18"/>
  <c r="O35" i="18"/>
  <c r="C36" i="18"/>
  <c r="E36" i="18"/>
  <c r="G36" i="18"/>
  <c r="F36" i="18" s="1"/>
  <c r="H36" i="18"/>
  <c r="I36" i="18" s="1"/>
  <c r="L36" i="18"/>
  <c r="M36" i="18" s="1"/>
  <c r="N36" i="18"/>
  <c r="O36" i="18"/>
  <c r="C37" i="18"/>
  <c r="E37" i="18"/>
  <c r="G37" i="18"/>
  <c r="F37" i="18" s="1"/>
  <c r="H37" i="18"/>
  <c r="I37" i="18" s="1"/>
  <c r="L37" i="18"/>
  <c r="M37" i="18" s="1"/>
  <c r="N37" i="18"/>
  <c r="O37" i="18"/>
  <c r="C388" i="18"/>
  <c r="E388" i="18"/>
  <c r="G388" i="18"/>
  <c r="F388" i="18" s="1"/>
  <c r="H388" i="18"/>
  <c r="K388" i="18" s="1"/>
  <c r="L388" i="18"/>
  <c r="M388" i="18" s="1"/>
  <c r="N388" i="18"/>
  <c r="O388" i="18"/>
  <c r="C389" i="18"/>
  <c r="E389" i="18"/>
  <c r="G389" i="18"/>
  <c r="F389" i="18" s="1"/>
  <c r="H389" i="18"/>
  <c r="I389" i="18" s="1"/>
  <c r="L389" i="18"/>
  <c r="M389" i="18" s="1"/>
  <c r="N389" i="18"/>
  <c r="O389" i="18"/>
  <c r="C390" i="18"/>
  <c r="E390" i="18"/>
  <c r="G390" i="18"/>
  <c r="F390" i="18" s="1"/>
  <c r="H390" i="18"/>
  <c r="I390" i="18" s="1"/>
  <c r="L390" i="18"/>
  <c r="M390" i="18" s="1"/>
  <c r="N390" i="18"/>
  <c r="O390" i="18"/>
  <c r="C38" i="18"/>
  <c r="E38" i="18"/>
  <c r="G38" i="18"/>
  <c r="F38" i="18" s="1"/>
  <c r="H38" i="18"/>
  <c r="I38" i="18" s="1"/>
  <c r="L38" i="18"/>
  <c r="M38" i="18" s="1"/>
  <c r="N38" i="18"/>
  <c r="O38" i="18"/>
  <c r="C391" i="18"/>
  <c r="E391" i="18"/>
  <c r="G391" i="18"/>
  <c r="F391" i="18" s="1"/>
  <c r="H391" i="18"/>
  <c r="I391" i="18" s="1"/>
  <c r="L391" i="18"/>
  <c r="M391" i="18" s="1"/>
  <c r="N391" i="18"/>
  <c r="O391" i="18"/>
  <c r="C39" i="18"/>
  <c r="E39" i="18"/>
  <c r="G39" i="18"/>
  <c r="F39" i="18" s="1"/>
  <c r="H39" i="18"/>
  <c r="I39" i="18" s="1"/>
  <c r="L39" i="18"/>
  <c r="M39" i="18" s="1"/>
  <c r="N39" i="18"/>
  <c r="O39" i="18"/>
  <c r="C40" i="18"/>
  <c r="E40" i="18"/>
  <c r="G40" i="18"/>
  <c r="F40" i="18" s="1"/>
  <c r="H40" i="18"/>
  <c r="K40" i="18" s="1"/>
  <c r="L40" i="18"/>
  <c r="M40" i="18" s="1"/>
  <c r="N40" i="18"/>
  <c r="O40" i="18"/>
  <c r="C392" i="18"/>
  <c r="E392" i="18"/>
  <c r="G392" i="18"/>
  <c r="F392" i="18" s="1"/>
  <c r="H392" i="18"/>
  <c r="K392" i="18" s="1"/>
  <c r="L392" i="18"/>
  <c r="M392" i="18" s="1"/>
  <c r="N392" i="18"/>
  <c r="O392" i="18"/>
  <c r="C41" i="18"/>
  <c r="E41" i="18"/>
  <c r="G41" i="18"/>
  <c r="F41" i="18" s="1"/>
  <c r="H41" i="18"/>
  <c r="L41" i="18"/>
  <c r="M41" i="18" s="1"/>
  <c r="N41" i="18"/>
  <c r="O41" i="18"/>
  <c r="C393" i="18"/>
  <c r="E393" i="18"/>
  <c r="G393" i="18"/>
  <c r="F393" i="18" s="1"/>
  <c r="H393" i="18"/>
  <c r="I393" i="18" s="1"/>
  <c r="L393" i="18"/>
  <c r="M393" i="18" s="1"/>
  <c r="N393" i="18"/>
  <c r="O393" i="18"/>
  <c r="C42" i="18"/>
  <c r="E42" i="18"/>
  <c r="G42" i="18"/>
  <c r="F42" i="18" s="1"/>
  <c r="H42" i="18"/>
  <c r="I42" i="18" s="1"/>
  <c r="L42" i="18"/>
  <c r="M42" i="18" s="1"/>
  <c r="N42" i="18"/>
  <c r="O42" i="18"/>
  <c r="C43" i="18"/>
  <c r="E43" i="18"/>
  <c r="G43" i="18"/>
  <c r="F43" i="18" s="1"/>
  <c r="H43" i="18"/>
  <c r="I43" i="18" s="1"/>
  <c r="L43" i="18"/>
  <c r="M43" i="18" s="1"/>
  <c r="N43" i="18"/>
  <c r="O43" i="18"/>
  <c r="C44" i="18"/>
  <c r="E44" i="18"/>
  <c r="G44" i="18"/>
  <c r="F44" i="18" s="1"/>
  <c r="H44" i="18"/>
  <c r="K44" i="18" s="1"/>
  <c r="L44" i="18"/>
  <c r="M44" i="18" s="1"/>
  <c r="N44" i="18"/>
  <c r="O44" i="18"/>
  <c r="C45" i="18"/>
  <c r="E45" i="18"/>
  <c r="G45" i="18"/>
  <c r="F45" i="18" s="1"/>
  <c r="H45" i="18"/>
  <c r="I45" i="18" s="1"/>
  <c r="L45" i="18"/>
  <c r="M45" i="18" s="1"/>
  <c r="N45" i="18"/>
  <c r="O45" i="18"/>
  <c r="C46" i="18"/>
  <c r="E46" i="18"/>
  <c r="G46" i="18"/>
  <c r="F46" i="18" s="1"/>
  <c r="H46" i="18"/>
  <c r="I46" i="18" s="1"/>
  <c r="L46" i="18"/>
  <c r="M46" i="18" s="1"/>
  <c r="N46" i="18"/>
  <c r="O46" i="18"/>
  <c r="C47" i="18"/>
  <c r="E47" i="18"/>
  <c r="G47" i="18"/>
  <c r="F47" i="18" s="1"/>
  <c r="H47" i="18"/>
  <c r="I47" i="18" s="1"/>
  <c r="L47" i="18"/>
  <c r="M47" i="18" s="1"/>
  <c r="N47" i="18"/>
  <c r="O47" i="18"/>
  <c r="C48" i="18"/>
  <c r="E48" i="18"/>
  <c r="G48" i="18"/>
  <c r="F48" i="18" s="1"/>
  <c r="H48" i="18"/>
  <c r="I48" i="18" s="1"/>
  <c r="L48" i="18"/>
  <c r="M48" i="18" s="1"/>
  <c r="N48" i="18"/>
  <c r="O48" i="18"/>
  <c r="C49" i="18"/>
  <c r="E49" i="18"/>
  <c r="G49" i="18"/>
  <c r="F49" i="18" s="1"/>
  <c r="H49" i="18"/>
  <c r="I49" i="18" s="1"/>
  <c r="L49" i="18"/>
  <c r="M49" i="18" s="1"/>
  <c r="N49" i="18"/>
  <c r="O49" i="18"/>
  <c r="C50" i="18"/>
  <c r="E50" i="18"/>
  <c r="G50" i="18"/>
  <c r="F50" i="18" s="1"/>
  <c r="H50" i="18"/>
  <c r="K50" i="18" s="1"/>
  <c r="L50" i="18"/>
  <c r="M50" i="18" s="1"/>
  <c r="N50" i="18"/>
  <c r="O50" i="18"/>
  <c r="C51" i="18"/>
  <c r="E51" i="18"/>
  <c r="G51" i="18"/>
  <c r="F51" i="18" s="1"/>
  <c r="H51" i="18"/>
  <c r="K51" i="18" s="1"/>
  <c r="L51" i="18"/>
  <c r="M51" i="18" s="1"/>
  <c r="N51" i="18"/>
  <c r="O51" i="18"/>
  <c r="C52" i="18"/>
  <c r="E52" i="18"/>
  <c r="G52" i="18"/>
  <c r="F52" i="18" s="1"/>
  <c r="H52" i="18"/>
  <c r="L52" i="18"/>
  <c r="M52" i="18" s="1"/>
  <c r="N52" i="18"/>
  <c r="O52" i="18"/>
  <c r="C53" i="18"/>
  <c r="E53" i="18"/>
  <c r="G53" i="18"/>
  <c r="F53" i="18" s="1"/>
  <c r="H53" i="18"/>
  <c r="I53" i="18" s="1"/>
  <c r="L53" i="18"/>
  <c r="M53" i="18" s="1"/>
  <c r="N53" i="18"/>
  <c r="O53" i="18"/>
  <c r="C394" i="18"/>
  <c r="E394" i="18"/>
  <c r="G394" i="18"/>
  <c r="F394" i="18" s="1"/>
  <c r="H394" i="18"/>
  <c r="K394" i="18" s="1"/>
  <c r="L394" i="18"/>
  <c r="M394" i="18" s="1"/>
  <c r="N394" i="18"/>
  <c r="O394" i="18"/>
  <c r="C54" i="18"/>
  <c r="E54" i="18"/>
  <c r="G54" i="18"/>
  <c r="F54" i="18" s="1"/>
  <c r="H54" i="18"/>
  <c r="I54" i="18" s="1"/>
  <c r="L54" i="18"/>
  <c r="M54" i="18" s="1"/>
  <c r="N54" i="18"/>
  <c r="O54" i="18"/>
  <c r="C55" i="18"/>
  <c r="E55" i="18"/>
  <c r="G55" i="18"/>
  <c r="F55" i="18" s="1"/>
  <c r="H55" i="18"/>
  <c r="K55" i="18" s="1"/>
  <c r="L55" i="18"/>
  <c r="M55" i="18" s="1"/>
  <c r="N55" i="18"/>
  <c r="O55" i="18"/>
  <c r="C56" i="18"/>
  <c r="E56" i="18"/>
  <c r="G56" i="18"/>
  <c r="F56" i="18" s="1"/>
  <c r="H56" i="18"/>
  <c r="L56" i="18"/>
  <c r="M56" i="18" s="1"/>
  <c r="N56" i="18"/>
  <c r="O56" i="18"/>
  <c r="C57" i="18"/>
  <c r="E57" i="18"/>
  <c r="G57" i="18"/>
  <c r="F57" i="18" s="1"/>
  <c r="H57" i="18"/>
  <c r="I57" i="18" s="1"/>
  <c r="L57" i="18"/>
  <c r="M57" i="18" s="1"/>
  <c r="N57" i="18"/>
  <c r="O57" i="18"/>
  <c r="C58" i="18"/>
  <c r="E58" i="18"/>
  <c r="G58" i="18"/>
  <c r="F58" i="18" s="1"/>
  <c r="H58" i="18"/>
  <c r="I58" i="18" s="1"/>
  <c r="L58" i="18"/>
  <c r="M58" i="18" s="1"/>
  <c r="N58" i="18"/>
  <c r="O58" i="18"/>
  <c r="C59" i="18"/>
  <c r="E59" i="18"/>
  <c r="G59" i="18"/>
  <c r="F59" i="18" s="1"/>
  <c r="H59" i="18"/>
  <c r="I59" i="18" s="1"/>
  <c r="L59" i="18"/>
  <c r="M59" i="18" s="1"/>
  <c r="N59" i="18"/>
  <c r="O59" i="18"/>
  <c r="C60" i="18"/>
  <c r="E60" i="18"/>
  <c r="G60" i="18"/>
  <c r="F60" i="18" s="1"/>
  <c r="H60" i="18"/>
  <c r="I60" i="18" s="1"/>
  <c r="L60" i="18"/>
  <c r="M60" i="18" s="1"/>
  <c r="N60" i="18"/>
  <c r="O60" i="18"/>
  <c r="C61" i="18"/>
  <c r="E61" i="18"/>
  <c r="G61" i="18"/>
  <c r="F61" i="18" s="1"/>
  <c r="H61" i="18"/>
  <c r="K61" i="18" s="1"/>
  <c r="L61" i="18"/>
  <c r="M61" i="18" s="1"/>
  <c r="N61" i="18"/>
  <c r="O61" i="18"/>
  <c r="C62" i="18"/>
  <c r="E62" i="18"/>
  <c r="G62" i="18"/>
  <c r="F62" i="18" s="1"/>
  <c r="H62" i="18"/>
  <c r="K62" i="18" s="1"/>
  <c r="L62" i="18"/>
  <c r="M62" i="18" s="1"/>
  <c r="N62" i="18"/>
  <c r="O62" i="18"/>
  <c r="C63" i="18"/>
  <c r="E63" i="18"/>
  <c r="G63" i="18"/>
  <c r="F63" i="18" s="1"/>
  <c r="H63" i="18"/>
  <c r="L63" i="18"/>
  <c r="M63" i="18" s="1"/>
  <c r="N63" i="18"/>
  <c r="O63" i="18"/>
  <c r="C64" i="18"/>
  <c r="E64" i="18"/>
  <c r="G64" i="18"/>
  <c r="F64" i="18" s="1"/>
  <c r="H64" i="18"/>
  <c r="I64" i="18" s="1"/>
  <c r="L64" i="18"/>
  <c r="M64" i="18" s="1"/>
  <c r="N64" i="18"/>
  <c r="O64" i="18"/>
  <c r="C65" i="18"/>
  <c r="E65" i="18"/>
  <c r="G65" i="18"/>
  <c r="F65" i="18" s="1"/>
  <c r="H65" i="18"/>
  <c r="I65" i="18" s="1"/>
  <c r="L65" i="18"/>
  <c r="M65" i="18" s="1"/>
  <c r="N65" i="18"/>
  <c r="O65" i="18"/>
  <c r="C66" i="18"/>
  <c r="E66" i="18"/>
  <c r="G66" i="18"/>
  <c r="F66" i="18" s="1"/>
  <c r="H66" i="18"/>
  <c r="I66" i="18" s="1"/>
  <c r="L66" i="18"/>
  <c r="M66" i="18" s="1"/>
  <c r="N66" i="18"/>
  <c r="O66" i="18"/>
  <c r="C67" i="18"/>
  <c r="E67" i="18"/>
  <c r="G67" i="18"/>
  <c r="F67" i="18" s="1"/>
  <c r="H67" i="18"/>
  <c r="K67" i="18" s="1"/>
  <c r="L67" i="18"/>
  <c r="M67" i="18" s="1"/>
  <c r="N67" i="18"/>
  <c r="O67" i="18"/>
  <c r="C68" i="18"/>
  <c r="E68" i="18"/>
  <c r="G68" i="18"/>
  <c r="F68" i="18" s="1"/>
  <c r="H68" i="18"/>
  <c r="K68" i="18" s="1"/>
  <c r="L68" i="18"/>
  <c r="M68" i="18" s="1"/>
  <c r="N68" i="18"/>
  <c r="O68" i="18"/>
  <c r="C69" i="18"/>
  <c r="E69" i="18"/>
  <c r="G69" i="18"/>
  <c r="F69" i="18" s="1"/>
  <c r="H69" i="18"/>
  <c r="I69" i="18" s="1"/>
  <c r="L69" i="18"/>
  <c r="M69" i="18" s="1"/>
  <c r="N69" i="18"/>
  <c r="O69" i="18"/>
  <c r="C395" i="18"/>
  <c r="E395" i="18"/>
  <c r="G395" i="18"/>
  <c r="F395" i="18" s="1"/>
  <c r="H395" i="18"/>
  <c r="K395" i="18" s="1"/>
  <c r="L395" i="18"/>
  <c r="M395" i="18" s="1"/>
  <c r="N395" i="18"/>
  <c r="O395" i="18"/>
  <c r="C396" i="18"/>
  <c r="E396" i="18"/>
  <c r="G396" i="18"/>
  <c r="F396" i="18" s="1"/>
  <c r="H396" i="18"/>
  <c r="L396" i="18"/>
  <c r="M396" i="18" s="1"/>
  <c r="N396" i="18"/>
  <c r="O396" i="18"/>
  <c r="C397" i="18"/>
  <c r="E397" i="18"/>
  <c r="G397" i="18"/>
  <c r="F397" i="18" s="1"/>
  <c r="H397" i="18"/>
  <c r="I397" i="18" s="1"/>
  <c r="L397" i="18"/>
  <c r="M397" i="18" s="1"/>
  <c r="N397" i="18"/>
  <c r="O397" i="18"/>
  <c r="C70" i="18"/>
  <c r="E70" i="18"/>
  <c r="G70" i="18"/>
  <c r="F70" i="18" s="1"/>
  <c r="H70" i="18"/>
  <c r="K70" i="18" s="1"/>
  <c r="L70" i="18"/>
  <c r="M70" i="18" s="1"/>
  <c r="N70" i="18"/>
  <c r="O70" i="18"/>
  <c r="C71" i="18"/>
  <c r="E71" i="18"/>
  <c r="G71" i="18"/>
  <c r="F71" i="18" s="1"/>
  <c r="H71" i="18"/>
  <c r="K71" i="18" s="1"/>
  <c r="L71" i="18"/>
  <c r="M71" i="18" s="1"/>
  <c r="N71" i="18"/>
  <c r="O71" i="18"/>
  <c r="C72" i="18"/>
  <c r="E72" i="18"/>
  <c r="G72" i="18"/>
  <c r="F72" i="18" s="1"/>
  <c r="H72" i="18"/>
  <c r="K72" i="18" s="1"/>
  <c r="L72" i="18"/>
  <c r="M72" i="18" s="1"/>
  <c r="N72" i="18"/>
  <c r="O72" i="18"/>
  <c r="C73" i="18"/>
  <c r="E73" i="18"/>
  <c r="G73" i="18"/>
  <c r="F73" i="18" s="1"/>
  <c r="H73" i="18"/>
  <c r="I73" i="18" s="1"/>
  <c r="L73" i="18"/>
  <c r="M73" i="18" s="1"/>
  <c r="N73" i="18"/>
  <c r="O73" i="18"/>
  <c r="C74" i="18"/>
  <c r="E74" i="18"/>
  <c r="G74" i="18"/>
  <c r="F74" i="18" s="1"/>
  <c r="H74" i="18"/>
  <c r="L74" i="18"/>
  <c r="M74" i="18" s="1"/>
  <c r="N74" i="18"/>
  <c r="O74" i="18"/>
  <c r="C75" i="18"/>
  <c r="E75" i="18"/>
  <c r="G75" i="18"/>
  <c r="F75" i="18" s="1"/>
  <c r="H75" i="18"/>
  <c r="L75" i="18"/>
  <c r="M75" i="18" s="1"/>
  <c r="N75" i="18"/>
  <c r="O75" i="18"/>
  <c r="C76" i="18"/>
  <c r="E76" i="18"/>
  <c r="G76" i="18"/>
  <c r="F76" i="18" s="1"/>
  <c r="H76" i="18"/>
  <c r="K76" i="18" s="1"/>
  <c r="L76" i="18"/>
  <c r="M76" i="18" s="1"/>
  <c r="N76" i="18"/>
  <c r="O76" i="18"/>
  <c r="C77" i="18"/>
  <c r="E77" i="18"/>
  <c r="G77" i="18"/>
  <c r="F77" i="18" s="1"/>
  <c r="H77" i="18"/>
  <c r="K77" i="18" s="1"/>
  <c r="L77" i="18"/>
  <c r="M77" i="18" s="1"/>
  <c r="N77" i="18"/>
  <c r="O77" i="18"/>
  <c r="C78" i="18"/>
  <c r="E78" i="18"/>
  <c r="G78" i="18"/>
  <c r="F78" i="18" s="1"/>
  <c r="H78" i="18"/>
  <c r="I78" i="18" s="1"/>
  <c r="L78" i="18"/>
  <c r="M78" i="18" s="1"/>
  <c r="N78" i="18"/>
  <c r="O78" i="18"/>
  <c r="C79" i="18"/>
  <c r="E79" i="18"/>
  <c r="G79" i="18"/>
  <c r="F79" i="18" s="1"/>
  <c r="H79" i="18"/>
  <c r="I79" i="18" s="1"/>
  <c r="L79" i="18"/>
  <c r="M79" i="18" s="1"/>
  <c r="N79" i="18"/>
  <c r="O79" i="18"/>
  <c r="C80" i="18"/>
  <c r="E80" i="18"/>
  <c r="G80" i="18"/>
  <c r="F80" i="18" s="1"/>
  <c r="H80" i="18"/>
  <c r="L80" i="18"/>
  <c r="M80" i="18" s="1"/>
  <c r="N80" i="18"/>
  <c r="O80" i="18"/>
  <c r="C81" i="18"/>
  <c r="E81" i="18"/>
  <c r="G81" i="18"/>
  <c r="F81" i="18" s="1"/>
  <c r="H81" i="18"/>
  <c r="I81" i="18" s="1"/>
  <c r="L81" i="18"/>
  <c r="M81" i="18" s="1"/>
  <c r="N81" i="18"/>
  <c r="O81" i="18"/>
  <c r="C82" i="18"/>
  <c r="E82" i="18"/>
  <c r="G82" i="18"/>
  <c r="F82" i="18" s="1"/>
  <c r="H82" i="18"/>
  <c r="L82" i="18"/>
  <c r="M82" i="18" s="1"/>
  <c r="N82" i="18"/>
  <c r="O82" i="18"/>
  <c r="C83" i="18"/>
  <c r="E83" i="18"/>
  <c r="G83" i="18"/>
  <c r="F83" i="18" s="1"/>
  <c r="H83" i="18"/>
  <c r="K83" i="18" s="1"/>
  <c r="L83" i="18"/>
  <c r="M83" i="18" s="1"/>
  <c r="N83" i="18"/>
  <c r="O83" i="18"/>
  <c r="C398" i="18"/>
  <c r="E398" i="18"/>
  <c r="G398" i="18"/>
  <c r="F398" i="18" s="1"/>
  <c r="H398" i="18"/>
  <c r="K398" i="18" s="1"/>
  <c r="L398" i="18"/>
  <c r="M398" i="18" s="1"/>
  <c r="N398" i="18"/>
  <c r="O398" i="18"/>
  <c r="C84" i="18"/>
  <c r="E84" i="18"/>
  <c r="G84" i="18"/>
  <c r="F84" i="18" s="1"/>
  <c r="H84" i="18"/>
  <c r="I84" i="18" s="1"/>
  <c r="L84" i="18"/>
  <c r="M84" i="18" s="1"/>
  <c r="N84" i="18"/>
  <c r="O84" i="18"/>
  <c r="C85" i="18"/>
  <c r="E85" i="18"/>
  <c r="G85" i="18"/>
  <c r="F85" i="18" s="1"/>
  <c r="H85" i="18"/>
  <c r="K85" i="18" s="1"/>
  <c r="L85" i="18"/>
  <c r="M85" i="18" s="1"/>
  <c r="N85" i="18"/>
  <c r="O85" i="18"/>
  <c r="C86" i="18"/>
  <c r="E86" i="18"/>
  <c r="G86" i="18"/>
  <c r="F86" i="18" s="1"/>
  <c r="H86" i="18"/>
  <c r="L86" i="18"/>
  <c r="M86" i="18" s="1"/>
  <c r="N86" i="18"/>
  <c r="O86" i="18"/>
  <c r="C87" i="18"/>
  <c r="E87" i="18"/>
  <c r="G87" i="18"/>
  <c r="F87" i="18" s="1"/>
  <c r="H87" i="18"/>
  <c r="K87" i="18" s="1"/>
  <c r="L87" i="18"/>
  <c r="M87" i="18" s="1"/>
  <c r="N87" i="18"/>
  <c r="O87" i="18"/>
  <c r="C88" i="18"/>
  <c r="E88" i="18"/>
  <c r="G88" i="18"/>
  <c r="F88" i="18" s="1"/>
  <c r="H88" i="18"/>
  <c r="K88" i="18" s="1"/>
  <c r="L88" i="18"/>
  <c r="M88" i="18" s="1"/>
  <c r="N88" i="18"/>
  <c r="O88" i="18"/>
  <c r="C89" i="18"/>
  <c r="E89" i="18"/>
  <c r="G89" i="18"/>
  <c r="F89" i="18" s="1"/>
  <c r="H89" i="18"/>
  <c r="I89" i="18" s="1"/>
  <c r="L89" i="18"/>
  <c r="M89" i="18" s="1"/>
  <c r="N89" i="18"/>
  <c r="O89" i="18"/>
  <c r="C399" i="18"/>
  <c r="E399" i="18"/>
  <c r="G399" i="18"/>
  <c r="F399" i="18" s="1"/>
  <c r="H399" i="18"/>
  <c r="I399" i="18" s="1"/>
  <c r="L399" i="18"/>
  <c r="M399" i="18" s="1"/>
  <c r="N399" i="18"/>
  <c r="O399" i="18"/>
  <c r="C400" i="18"/>
  <c r="E400" i="18"/>
  <c r="G400" i="18"/>
  <c r="F400" i="18" s="1"/>
  <c r="H400" i="18"/>
  <c r="K400" i="18" s="1"/>
  <c r="L400" i="18"/>
  <c r="M400" i="18" s="1"/>
  <c r="N400" i="18"/>
  <c r="O400" i="18"/>
  <c r="C90" i="18"/>
  <c r="E90" i="18"/>
  <c r="G90" i="18"/>
  <c r="F90" i="18" s="1"/>
  <c r="H90" i="18"/>
  <c r="L90" i="18"/>
  <c r="M90" i="18" s="1"/>
  <c r="N90" i="18"/>
  <c r="O90" i="18"/>
  <c r="C401" i="18"/>
  <c r="E401" i="18"/>
  <c r="G401" i="18"/>
  <c r="F401" i="18" s="1"/>
  <c r="H401" i="18"/>
  <c r="L401" i="18"/>
  <c r="M401" i="18" s="1"/>
  <c r="N401" i="18"/>
  <c r="O401" i="18"/>
  <c r="C91" i="18"/>
  <c r="E91" i="18"/>
  <c r="G91" i="18"/>
  <c r="F91" i="18" s="1"/>
  <c r="H91" i="18"/>
  <c r="K91" i="18" s="1"/>
  <c r="L91" i="18"/>
  <c r="M91" i="18" s="1"/>
  <c r="N91" i="18"/>
  <c r="O91" i="18"/>
  <c r="C92" i="18"/>
  <c r="E92" i="18"/>
  <c r="G92" i="18"/>
  <c r="F92" i="18" s="1"/>
  <c r="H92" i="18"/>
  <c r="K92" i="18" s="1"/>
  <c r="L92" i="18"/>
  <c r="M92" i="18" s="1"/>
  <c r="N92" i="18"/>
  <c r="O92" i="18"/>
  <c r="C93" i="18"/>
  <c r="E93" i="18"/>
  <c r="G93" i="18"/>
  <c r="F93" i="18" s="1"/>
  <c r="H93" i="18"/>
  <c r="I93" i="18" s="1"/>
  <c r="L93" i="18"/>
  <c r="M93" i="18" s="1"/>
  <c r="N93" i="18"/>
  <c r="O93" i="18"/>
  <c r="C94" i="18"/>
  <c r="E94" i="18"/>
  <c r="G94" i="18"/>
  <c r="F94" i="18" s="1"/>
  <c r="H94" i="18"/>
  <c r="I94" i="18" s="1"/>
  <c r="L94" i="18"/>
  <c r="M94" i="18" s="1"/>
  <c r="N94" i="18"/>
  <c r="O94" i="18"/>
  <c r="C95" i="18"/>
  <c r="E95" i="18"/>
  <c r="G95" i="18"/>
  <c r="F95" i="18" s="1"/>
  <c r="H95" i="18"/>
  <c r="L95" i="18"/>
  <c r="M95" i="18" s="1"/>
  <c r="N95" i="18"/>
  <c r="O95" i="18"/>
  <c r="C96" i="18"/>
  <c r="E96" i="18"/>
  <c r="G96" i="18"/>
  <c r="F96" i="18" s="1"/>
  <c r="H96" i="18"/>
  <c r="K96" i="18" s="1"/>
  <c r="L96" i="18"/>
  <c r="M96" i="18" s="1"/>
  <c r="N96" i="18"/>
  <c r="O96" i="18"/>
  <c r="C97" i="18"/>
  <c r="E97" i="18"/>
  <c r="G97" i="18"/>
  <c r="F97" i="18" s="1"/>
  <c r="H97" i="18"/>
  <c r="I97" i="18" s="1"/>
  <c r="L97" i="18"/>
  <c r="M97" i="18" s="1"/>
  <c r="N97" i="18"/>
  <c r="O97" i="18"/>
  <c r="C98" i="18"/>
  <c r="E98" i="18"/>
  <c r="G98" i="18"/>
  <c r="F98" i="18" s="1"/>
  <c r="H98" i="18"/>
  <c r="I98" i="18" s="1"/>
  <c r="L98" i="18"/>
  <c r="M98" i="18" s="1"/>
  <c r="N98" i="18"/>
  <c r="O98" i="18"/>
  <c r="C99" i="18"/>
  <c r="E99" i="18"/>
  <c r="G99" i="18"/>
  <c r="F99" i="18" s="1"/>
  <c r="H99" i="18"/>
  <c r="L99" i="18"/>
  <c r="M99" i="18" s="1"/>
  <c r="N99" i="18"/>
  <c r="O99" i="18"/>
  <c r="C100" i="18"/>
  <c r="E100" i="18"/>
  <c r="G100" i="18"/>
  <c r="F100" i="18" s="1"/>
  <c r="H100" i="18"/>
  <c r="K100" i="18" s="1"/>
  <c r="L100" i="18"/>
  <c r="M100" i="18" s="1"/>
  <c r="N100" i="18"/>
  <c r="O100" i="18"/>
  <c r="C101" i="18"/>
  <c r="E101" i="18"/>
  <c r="G101" i="18"/>
  <c r="F101" i="18" s="1"/>
  <c r="H101" i="18"/>
  <c r="I101" i="18" s="1"/>
  <c r="L101" i="18"/>
  <c r="M101" i="18" s="1"/>
  <c r="N101" i="18"/>
  <c r="O101" i="18"/>
  <c r="C102" i="18"/>
  <c r="E102" i="18"/>
  <c r="G102" i="18"/>
  <c r="F102" i="18" s="1"/>
  <c r="H102" i="18"/>
  <c r="I102" i="18" s="1"/>
  <c r="L102" i="18"/>
  <c r="M102" i="18" s="1"/>
  <c r="N102" i="18"/>
  <c r="O102" i="18"/>
  <c r="C103" i="18"/>
  <c r="E103" i="18"/>
  <c r="G103" i="18"/>
  <c r="F103" i="18" s="1"/>
  <c r="H103" i="18"/>
  <c r="K103" i="18" s="1"/>
  <c r="L103" i="18"/>
  <c r="M103" i="18" s="1"/>
  <c r="N103" i="18"/>
  <c r="O103" i="18"/>
  <c r="C104" i="18"/>
  <c r="E104" i="18"/>
  <c r="G104" i="18"/>
  <c r="F104" i="18" s="1"/>
  <c r="H104" i="18"/>
  <c r="I104" i="18" s="1"/>
  <c r="L104" i="18"/>
  <c r="M104" i="18" s="1"/>
  <c r="N104" i="18"/>
  <c r="O104" i="18"/>
  <c r="C402" i="18"/>
  <c r="E402" i="18"/>
  <c r="G402" i="18"/>
  <c r="F402" i="18" s="1"/>
  <c r="H402" i="18"/>
  <c r="L402" i="18"/>
  <c r="M402" i="18" s="1"/>
  <c r="N402" i="18"/>
  <c r="O402" i="18"/>
  <c r="C105" i="18"/>
  <c r="E105" i="18"/>
  <c r="G105" i="18"/>
  <c r="F105" i="18" s="1"/>
  <c r="H105" i="18"/>
  <c r="I105" i="18" s="1"/>
  <c r="L105" i="18"/>
  <c r="M105" i="18" s="1"/>
  <c r="N105" i="18"/>
  <c r="O105" i="18"/>
  <c r="C106" i="18"/>
  <c r="E106" i="18"/>
  <c r="G106" i="18"/>
  <c r="F106" i="18" s="1"/>
  <c r="H106" i="18"/>
  <c r="I106" i="18" s="1"/>
  <c r="L106" i="18"/>
  <c r="M106" i="18" s="1"/>
  <c r="N106" i="18"/>
  <c r="O106" i="18"/>
  <c r="C107" i="18"/>
  <c r="E107" i="18"/>
  <c r="G107" i="18"/>
  <c r="F107" i="18" s="1"/>
  <c r="H107" i="18"/>
  <c r="K107" i="18" s="1"/>
  <c r="L107" i="18"/>
  <c r="M107" i="18" s="1"/>
  <c r="N107" i="18"/>
  <c r="O107" i="18"/>
  <c r="C108" i="18"/>
  <c r="E108" i="18"/>
  <c r="G108" i="18"/>
  <c r="F108" i="18" s="1"/>
  <c r="H108" i="18"/>
  <c r="I108" i="18" s="1"/>
  <c r="L108" i="18"/>
  <c r="M108" i="18" s="1"/>
  <c r="N108" i="18"/>
  <c r="O108" i="18"/>
  <c r="C109" i="18"/>
  <c r="E109" i="18"/>
  <c r="G109" i="18"/>
  <c r="F109" i="18" s="1"/>
  <c r="H109" i="18"/>
  <c r="I109" i="18" s="1"/>
  <c r="L109" i="18"/>
  <c r="M109" i="18" s="1"/>
  <c r="N109" i="18"/>
  <c r="O109" i="18"/>
  <c r="C110" i="18"/>
  <c r="E110" i="18"/>
  <c r="G110" i="18"/>
  <c r="F110" i="18" s="1"/>
  <c r="H110" i="18"/>
  <c r="I110" i="18" s="1"/>
  <c r="L110" i="18"/>
  <c r="M110" i="18" s="1"/>
  <c r="N110" i="18"/>
  <c r="O110" i="18"/>
  <c r="C111" i="18"/>
  <c r="E111" i="18"/>
  <c r="G111" i="18"/>
  <c r="F111" i="18" s="1"/>
  <c r="H111" i="18"/>
  <c r="K111" i="18" s="1"/>
  <c r="L111" i="18"/>
  <c r="M111" i="18" s="1"/>
  <c r="N111" i="18"/>
  <c r="O111" i="18"/>
  <c r="C112" i="18"/>
  <c r="E112" i="18"/>
  <c r="G112" i="18"/>
  <c r="F112" i="18" s="1"/>
  <c r="H112" i="18"/>
  <c r="I112" i="18" s="1"/>
  <c r="L112" i="18"/>
  <c r="M112" i="18" s="1"/>
  <c r="N112" i="18"/>
  <c r="O112" i="18"/>
  <c r="C113" i="18"/>
  <c r="E113" i="18"/>
  <c r="G113" i="18"/>
  <c r="F113" i="18" s="1"/>
  <c r="H113" i="18"/>
  <c r="I113" i="18" s="1"/>
  <c r="L113" i="18"/>
  <c r="M113" i="18" s="1"/>
  <c r="N113" i="18"/>
  <c r="O113" i="18"/>
  <c r="C114" i="18"/>
  <c r="E114" i="18"/>
  <c r="G114" i="18"/>
  <c r="F114" i="18" s="1"/>
  <c r="H114" i="18"/>
  <c r="K114" i="18" s="1"/>
  <c r="L114" i="18"/>
  <c r="M114" i="18" s="1"/>
  <c r="N114" i="18"/>
  <c r="O114" i="18"/>
  <c r="C115" i="18"/>
  <c r="E115" i="18"/>
  <c r="G115" i="18"/>
  <c r="F115" i="18" s="1"/>
  <c r="H115" i="18"/>
  <c r="L115" i="18"/>
  <c r="M115" i="18" s="1"/>
  <c r="N115" i="18"/>
  <c r="O115" i="18"/>
  <c r="C116" i="18"/>
  <c r="E116" i="18"/>
  <c r="G116" i="18"/>
  <c r="F116" i="18" s="1"/>
  <c r="H116" i="18"/>
  <c r="I116" i="18" s="1"/>
  <c r="L116" i="18"/>
  <c r="M116" i="18" s="1"/>
  <c r="N116" i="18"/>
  <c r="O116" i="18"/>
  <c r="C117" i="18"/>
  <c r="E117" i="18"/>
  <c r="G117" i="18"/>
  <c r="F117" i="18" s="1"/>
  <c r="H117" i="18"/>
  <c r="I117" i="18" s="1"/>
  <c r="L117" i="18"/>
  <c r="M117" i="18" s="1"/>
  <c r="N117" i="18"/>
  <c r="O117" i="18"/>
  <c r="C118" i="18"/>
  <c r="E118" i="18"/>
  <c r="G118" i="18"/>
  <c r="F118" i="18" s="1"/>
  <c r="H118" i="18"/>
  <c r="K118" i="18" s="1"/>
  <c r="L118" i="18"/>
  <c r="M118" i="18" s="1"/>
  <c r="N118" i="18"/>
  <c r="O118" i="18"/>
  <c r="C119" i="18"/>
  <c r="E119" i="18"/>
  <c r="G119" i="18"/>
  <c r="F119" i="18" s="1"/>
  <c r="H119" i="18"/>
  <c r="K119" i="18" s="1"/>
  <c r="L119" i="18"/>
  <c r="M119" i="18" s="1"/>
  <c r="N119" i="18"/>
  <c r="O119" i="18"/>
  <c r="C120" i="18"/>
  <c r="E120" i="18"/>
  <c r="G120" i="18"/>
  <c r="F120" i="18" s="1"/>
  <c r="H120" i="18"/>
  <c r="K120" i="18" s="1"/>
  <c r="L120" i="18"/>
  <c r="M120" i="18" s="1"/>
  <c r="N120" i="18"/>
  <c r="O120" i="18"/>
  <c r="C121" i="18"/>
  <c r="E121" i="18"/>
  <c r="G121" i="18"/>
  <c r="F121" i="18" s="1"/>
  <c r="H121" i="18"/>
  <c r="L121" i="18"/>
  <c r="M121" i="18" s="1"/>
  <c r="N121" i="18"/>
  <c r="O121" i="18"/>
  <c r="C122" i="18"/>
  <c r="E122" i="18"/>
  <c r="G122" i="18"/>
  <c r="F122" i="18" s="1"/>
  <c r="H122" i="18"/>
  <c r="I122" i="18" s="1"/>
  <c r="L122" i="18"/>
  <c r="M122" i="18" s="1"/>
  <c r="N122" i="18"/>
  <c r="O122" i="18"/>
  <c r="C123" i="18"/>
  <c r="E123" i="18"/>
  <c r="G123" i="18"/>
  <c r="F123" i="18" s="1"/>
  <c r="H123" i="18"/>
  <c r="L123" i="18"/>
  <c r="M123" i="18" s="1"/>
  <c r="N123" i="18"/>
  <c r="O123" i="18"/>
  <c r="C124" i="18"/>
  <c r="E124" i="18"/>
  <c r="G124" i="18"/>
  <c r="F124" i="18" s="1"/>
  <c r="H124" i="18"/>
  <c r="I124" i="18" s="1"/>
  <c r="L124" i="18"/>
  <c r="M124" i="18" s="1"/>
  <c r="N124" i="18"/>
  <c r="O124" i="18"/>
  <c r="C125" i="18"/>
  <c r="E125" i="18"/>
  <c r="G125" i="18"/>
  <c r="F125" i="18" s="1"/>
  <c r="H125" i="18"/>
  <c r="L125" i="18"/>
  <c r="M125" i="18" s="1"/>
  <c r="N125" i="18"/>
  <c r="O125" i="18"/>
  <c r="C126" i="18"/>
  <c r="E126" i="18"/>
  <c r="G126" i="18"/>
  <c r="F126" i="18" s="1"/>
  <c r="H126" i="18"/>
  <c r="K126" i="18" s="1"/>
  <c r="L126" i="18"/>
  <c r="M126" i="18" s="1"/>
  <c r="N126" i="18"/>
  <c r="O126" i="18"/>
  <c r="C127" i="18"/>
  <c r="E127" i="18"/>
  <c r="G127" i="18"/>
  <c r="F127" i="18" s="1"/>
  <c r="H127" i="18"/>
  <c r="I127" i="18" s="1"/>
  <c r="L127" i="18"/>
  <c r="M127" i="18" s="1"/>
  <c r="N127" i="18"/>
  <c r="O127" i="18"/>
  <c r="C128" i="18"/>
  <c r="E128" i="18"/>
  <c r="G128" i="18"/>
  <c r="F128" i="18" s="1"/>
  <c r="H128" i="18"/>
  <c r="I128" i="18" s="1"/>
  <c r="L128" i="18"/>
  <c r="M128" i="18" s="1"/>
  <c r="N128" i="18"/>
  <c r="O128" i="18"/>
  <c r="C129" i="18"/>
  <c r="E129" i="18"/>
  <c r="G129" i="18"/>
  <c r="F129" i="18" s="1"/>
  <c r="H129" i="18"/>
  <c r="L129" i="18"/>
  <c r="M129" i="18" s="1"/>
  <c r="N129" i="18"/>
  <c r="O129" i="18"/>
  <c r="C130" i="18"/>
  <c r="E130" i="18"/>
  <c r="G130" i="18"/>
  <c r="F130" i="18" s="1"/>
  <c r="H130" i="18"/>
  <c r="I130" i="18" s="1"/>
  <c r="L130" i="18"/>
  <c r="M130" i="18" s="1"/>
  <c r="N130" i="18"/>
  <c r="O130" i="18"/>
  <c r="C131" i="18"/>
  <c r="E131" i="18"/>
  <c r="G131" i="18"/>
  <c r="F131" i="18" s="1"/>
  <c r="H131" i="18"/>
  <c r="K131" i="18" s="1"/>
  <c r="L131" i="18"/>
  <c r="M131" i="18" s="1"/>
  <c r="N131" i="18"/>
  <c r="O131" i="18"/>
  <c r="C132" i="18"/>
  <c r="E132" i="18"/>
  <c r="G132" i="18"/>
  <c r="F132" i="18" s="1"/>
  <c r="H132" i="18"/>
  <c r="I132" i="18" s="1"/>
  <c r="L132" i="18"/>
  <c r="M132" i="18" s="1"/>
  <c r="N132" i="18"/>
  <c r="O132" i="18"/>
  <c r="C133" i="18"/>
  <c r="E133" i="18"/>
  <c r="G133" i="18"/>
  <c r="F133" i="18" s="1"/>
  <c r="H133" i="18"/>
  <c r="I133" i="18" s="1"/>
  <c r="L133" i="18"/>
  <c r="M133" i="18" s="1"/>
  <c r="N133" i="18"/>
  <c r="O133" i="18"/>
  <c r="C134" i="18"/>
  <c r="E134" i="18"/>
  <c r="G134" i="18"/>
  <c r="F134" i="18" s="1"/>
  <c r="H134" i="18"/>
  <c r="K134" i="18" s="1"/>
  <c r="L134" i="18"/>
  <c r="M134" i="18" s="1"/>
  <c r="N134" i="18"/>
  <c r="O134" i="18"/>
  <c r="C135" i="18"/>
  <c r="E135" i="18"/>
  <c r="G135" i="18"/>
  <c r="F135" i="18" s="1"/>
  <c r="H135" i="18"/>
  <c r="K135" i="18" s="1"/>
  <c r="L135" i="18"/>
  <c r="M135" i="18" s="1"/>
  <c r="N135" i="18"/>
  <c r="O135" i="18"/>
  <c r="C136" i="18"/>
  <c r="E136" i="18"/>
  <c r="G136" i="18"/>
  <c r="F136" i="18" s="1"/>
  <c r="H136" i="18"/>
  <c r="K136" i="18" s="1"/>
  <c r="L136" i="18"/>
  <c r="M136" i="18" s="1"/>
  <c r="N136" i="18"/>
  <c r="O136" i="18"/>
  <c r="C137" i="18"/>
  <c r="E137" i="18"/>
  <c r="G137" i="18"/>
  <c r="F137" i="18" s="1"/>
  <c r="H137" i="18"/>
  <c r="I137" i="18" s="1"/>
  <c r="L137" i="18"/>
  <c r="M137" i="18" s="1"/>
  <c r="N137" i="18"/>
  <c r="O137" i="18"/>
  <c r="C138" i="18"/>
  <c r="E138" i="18"/>
  <c r="G138" i="18"/>
  <c r="F138" i="18" s="1"/>
  <c r="H138" i="18"/>
  <c r="K138" i="18" s="1"/>
  <c r="L138" i="18"/>
  <c r="M138" i="18" s="1"/>
  <c r="N138" i="18"/>
  <c r="O138" i="18"/>
  <c r="C139" i="18"/>
  <c r="E139" i="18"/>
  <c r="G139" i="18"/>
  <c r="F139" i="18" s="1"/>
  <c r="H139" i="18"/>
  <c r="I139" i="18" s="1"/>
  <c r="L139" i="18"/>
  <c r="M139" i="18" s="1"/>
  <c r="N139" i="18"/>
  <c r="O139" i="18"/>
  <c r="C140" i="18"/>
  <c r="E140" i="18"/>
  <c r="G140" i="18"/>
  <c r="F140" i="18" s="1"/>
  <c r="H140" i="18"/>
  <c r="I140" i="18" s="1"/>
  <c r="L140" i="18"/>
  <c r="M140" i="18" s="1"/>
  <c r="N140" i="18"/>
  <c r="O140" i="18"/>
  <c r="C141" i="18"/>
  <c r="E141" i="18"/>
  <c r="G141" i="18"/>
  <c r="F141" i="18" s="1"/>
  <c r="H141" i="18"/>
  <c r="I141" i="18" s="1"/>
  <c r="L141" i="18"/>
  <c r="M141" i="18" s="1"/>
  <c r="N141" i="18"/>
  <c r="O141" i="18"/>
  <c r="C142" i="18"/>
  <c r="E142" i="18"/>
  <c r="G142" i="18"/>
  <c r="F142" i="18" s="1"/>
  <c r="H142" i="18"/>
  <c r="I142" i="18" s="1"/>
  <c r="L142" i="18"/>
  <c r="M142" i="18" s="1"/>
  <c r="N142" i="18"/>
  <c r="O142" i="18"/>
  <c r="C143" i="18"/>
  <c r="E143" i="18"/>
  <c r="G143" i="18"/>
  <c r="F143" i="18" s="1"/>
  <c r="H143" i="18"/>
  <c r="K143" i="18" s="1"/>
  <c r="L143" i="18"/>
  <c r="M143" i="18" s="1"/>
  <c r="N143" i="18"/>
  <c r="O143" i="18"/>
  <c r="C144" i="18"/>
  <c r="E144" i="18"/>
  <c r="G144" i="18"/>
  <c r="F144" i="18" s="1"/>
  <c r="H144" i="18"/>
  <c r="I144" i="18" s="1"/>
  <c r="L144" i="18"/>
  <c r="M144" i="18" s="1"/>
  <c r="N144" i="18"/>
  <c r="O144" i="18"/>
  <c r="C145" i="18"/>
  <c r="E145" i="18"/>
  <c r="G145" i="18"/>
  <c r="F145" i="18" s="1"/>
  <c r="H145" i="18"/>
  <c r="I145" i="18" s="1"/>
  <c r="L145" i="18"/>
  <c r="M145" i="18" s="1"/>
  <c r="N145" i="18"/>
  <c r="O145" i="18"/>
  <c r="C146" i="18"/>
  <c r="E146" i="18"/>
  <c r="G146" i="18"/>
  <c r="F146" i="18" s="1"/>
  <c r="H146" i="18"/>
  <c r="L146" i="18"/>
  <c r="M146" i="18" s="1"/>
  <c r="N146" i="18"/>
  <c r="O146" i="18"/>
  <c r="C147" i="18"/>
  <c r="E147" i="18"/>
  <c r="G147" i="18"/>
  <c r="F147" i="18" s="1"/>
  <c r="H147" i="18"/>
  <c r="I147" i="18" s="1"/>
  <c r="L147" i="18"/>
  <c r="M147" i="18" s="1"/>
  <c r="N147" i="18"/>
  <c r="O147" i="18"/>
  <c r="C148" i="18"/>
  <c r="E148" i="18"/>
  <c r="G148" i="18"/>
  <c r="F148" i="18" s="1"/>
  <c r="H148" i="18"/>
  <c r="K148" i="18" s="1"/>
  <c r="L148" i="18"/>
  <c r="M148" i="18" s="1"/>
  <c r="N148" i="18"/>
  <c r="O148" i="18"/>
  <c r="C149" i="18"/>
  <c r="E149" i="18"/>
  <c r="G149" i="18"/>
  <c r="F149" i="18" s="1"/>
  <c r="H149" i="18"/>
  <c r="I149" i="18" s="1"/>
  <c r="L149" i="18"/>
  <c r="M149" i="18" s="1"/>
  <c r="N149" i="18"/>
  <c r="O149" i="18"/>
  <c r="C150" i="18"/>
  <c r="E150" i="18"/>
  <c r="G150" i="18"/>
  <c r="F150" i="18" s="1"/>
  <c r="H150" i="18"/>
  <c r="I150" i="18" s="1"/>
  <c r="L150" i="18"/>
  <c r="M150" i="18" s="1"/>
  <c r="N150" i="18"/>
  <c r="O150" i="18"/>
  <c r="C151" i="18"/>
  <c r="E151" i="18"/>
  <c r="G151" i="18"/>
  <c r="F151" i="18" s="1"/>
  <c r="H151" i="18"/>
  <c r="I151" i="18" s="1"/>
  <c r="L151" i="18"/>
  <c r="M151" i="18" s="1"/>
  <c r="N151" i="18"/>
  <c r="O151" i="18"/>
  <c r="C152" i="18"/>
  <c r="E152" i="18"/>
  <c r="G152" i="18"/>
  <c r="F152" i="18" s="1"/>
  <c r="H152" i="18"/>
  <c r="I152" i="18" s="1"/>
  <c r="L152" i="18"/>
  <c r="M152" i="18" s="1"/>
  <c r="N152" i="18"/>
  <c r="O152" i="18"/>
  <c r="C153" i="18"/>
  <c r="E153" i="18"/>
  <c r="G153" i="18"/>
  <c r="F153" i="18" s="1"/>
  <c r="H153" i="18"/>
  <c r="L153" i="18"/>
  <c r="M153" i="18" s="1"/>
  <c r="N153" i="18"/>
  <c r="O153" i="18"/>
  <c r="C154" i="18"/>
  <c r="E154" i="18"/>
  <c r="G154" i="18"/>
  <c r="F154" i="18" s="1"/>
  <c r="H154" i="18"/>
  <c r="L154" i="18"/>
  <c r="M154" i="18" s="1"/>
  <c r="N154" i="18"/>
  <c r="O154" i="18"/>
  <c r="C155" i="18"/>
  <c r="E155" i="18"/>
  <c r="G155" i="18"/>
  <c r="F155" i="18" s="1"/>
  <c r="H155" i="18"/>
  <c r="I155" i="18" s="1"/>
  <c r="L155" i="18"/>
  <c r="M155" i="18" s="1"/>
  <c r="N155" i="18"/>
  <c r="O155" i="18"/>
  <c r="C156" i="18"/>
  <c r="E156" i="18"/>
  <c r="G156" i="18"/>
  <c r="F156" i="18" s="1"/>
  <c r="H156" i="18"/>
  <c r="I156" i="18" s="1"/>
  <c r="L156" i="18"/>
  <c r="M156" i="18" s="1"/>
  <c r="N156" i="18"/>
  <c r="O156" i="18"/>
  <c r="C157" i="18"/>
  <c r="E157" i="18"/>
  <c r="G157" i="18"/>
  <c r="F157" i="18" s="1"/>
  <c r="H157" i="18"/>
  <c r="I157" i="18" s="1"/>
  <c r="L157" i="18"/>
  <c r="M157" i="18" s="1"/>
  <c r="N157" i="18"/>
  <c r="O157" i="18"/>
  <c r="C158" i="18"/>
  <c r="E158" i="18"/>
  <c r="G158" i="18"/>
  <c r="F158" i="18" s="1"/>
  <c r="H158" i="18"/>
  <c r="I158" i="18" s="1"/>
  <c r="L158" i="18"/>
  <c r="M158" i="18" s="1"/>
  <c r="N158" i="18"/>
  <c r="O158" i="18"/>
  <c r="C159" i="18"/>
  <c r="E159" i="18"/>
  <c r="G159" i="18"/>
  <c r="F159" i="18" s="1"/>
  <c r="H159" i="18"/>
  <c r="I159" i="18" s="1"/>
  <c r="L159" i="18"/>
  <c r="M159" i="18" s="1"/>
  <c r="N159" i="18"/>
  <c r="O159" i="18"/>
  <c r="C160" i="18"/>
  <c r="E160" i="18"/>
  <c r="G160" i="18"/>
  <c r="F160" i="18" s="1"/>
  <c r="H160" i="18"/>
  <c r="K160" i="18" s="1"/>
  <c r="L160" i="18"/>
  <c r="M160" i="18" s="1"/>
  <c r="N160" i="18"/>
  <c r="O160" i="18"/>
  <c r="C161" i="18"/>
  <c r="E161" i="18"/>
  <c r="G161" i="18"/>
  <c r="F161" i="18" s="1"/>
  <c r="H161" i="18"/>
  <c r="L161" i="18"/>
  <c r="M161" i="18" s="1"/>
  <c r="N161" i="18"/>
  <c r="O161" i="18"/>
  <c r="C162" i="18"/>
  <c r="E162" i="18"/>
  <c r="G162" i="18"/>
  <c r="F162" i="18" s="1"/>
  <c r="H162" i="18"/>
  <c r="I162" i="18" s="1"/>
  <c r="L162" i="18"/>
  <c r="M162" i="18" s="1"/>
  <c r="N162" i="18"/>
  <c r="O162" i="18"/>
  <c r="C163" i="18"/>
  <c r="E163" i="18"/>
  <c r="G163" i="18"/>
  <c r="F163" i="18" s="1"/>
  <c r="H163" i="18"/>
  <c r="I163" i="18" s="1"/>
  <c r="L163" i="18"/>
  <c r="M163" i="18" s="1"/>
  <c r="N163" i="18"/>
  <c r="O163" i="18"/>
  <c r="C403" i="18"/>
  <c r="E403" i="18"/>
  <c r="G403" i="18"/>
  <c r="F403" i="18" s="1"/>
  <c r="H403" i="18"/>
  <c r="I403" i="18" s="1"/>
  <c r="L403" i="18"/>
  <c r="M403" i="18" s="1"/>
  <c r="N403" i="18"/>
  <c r="O403" i="18"/>
  <c r="C164" i="18"/>
  <c r="E164" i="18"/>
  <c r="G164" i="18"/>
  <c r="F164" i="18" s="1"/>
  <c r="H164" i="18"/>
  <c r="I164" i="18" s="1"/>
  <c r="L164" i="18"/>
  <c r="M164" i="18" s="1"/>
  <c r="N164" i="18"/>
  <c r="O164" i="18"/>
  <c r="C165" i="18"/>
  <c r="E165" i="18"/>
  <c r="G165" i="18"/>
  <c r="F165" i="18" s="1"/>
  <c r="H165" i="18"/>
  <c r="L165" i="18"/>
  <c r="M165" i="18" s="1"/>
  <c r="N165" i="18"/>
  <c r="O165" i="18"/>
  <c r="C166" i="18"/>
  <c r="E166" i="18"/>
  <c r="G166" i="18"/>
  <c r="F166" i="18" s="1"/>
  <c r="H166" i="18"/>
  <c r="I166" i="18" s="1"/>
  <c r="L166" i="18"/>
  <c r="M166" i="18" s="1"/>
  <c r="N166" i="18"/>
  <c r="O166" i="18"/>
  <c r="C167" i="18"/>
  <c r="E167" i="18"/>
  <c r="G167" i="18"/>
  <c r="F167" i="18" s="1"/>
  <c r="H167" i="18"/>
  <c r="I167" i="18" s="1"/>
  <c r="L167" i="18"/>
  <c r="M167" i="18" s="1"/>
  <c r="N167" i="18"/>
  <c r="O167" i="18"/>
  <c r="C168" i="18"/>
  <c r="E168" i="18"/>
  <c r="G168" i="18"/>
  <c r="F168" i="18" s="1"/>
  <c r="H168" i="18"/>
  <c r="I168" i="18" s="1"/>
  <c r="L168" i="18"/>
  <c r="M168" i="18" s="1"/>
  <c r="N168" i="18"/>
  <c r="O168" i="18"/>
  <c r="C169" i="18"/>
  <c r="E169" i="18"/>
  <c r="G169" i="18"/>
  <c r="F169" i="18" s="1"/>
  <c r="H169" i="18"/>
  <c r="L169" i="18"/>
  <c r="M169" i="18" s="1"/>
  <c r="N169" i="18"/>
  <c r="O169" i="18"/>
  <c r="C170" i="18"/>
  <c r="E170" i="18"/>
  <c r="G170" i="18"/>
  <c r="F170" i="18" s="1"/>
  <c r="H170" i="18"/>
  <c r="K170" i="18" s="1"/>
  <c r="L170" i="18"/>
  <c r="M170" i="18" s="1"/>
  <c r="N170" i="18"/>
  <c r="O170" i="18"/>
  <c r="C171" i="18"/>
  <c r="E171" i="18"/>
  <c r="G171" i="18"/>
  <c r="F171" i="18" s="1"/>
  <c r="H171" i="18"/>
  <c r="K171" i="18" s="1"/>
  <c r="L171" i="18"/>
  <c r="M171" i="18" s="1"/>
  <c r="N171" i="18"/>
  <c r="O171" i="18"/>
  <c r="C172" i="18"/>
  <c r="E172" i="18"/>
  <c r="G172" i="18"/>
  <c r="F172" i="18" s="1"/>
  <c r="H172" i="18"/>
  <c r="L172" i="18"/>
  <c r="M172" i="18" s="1"/>
  <c r="N172" i="18"/>
  <c r="O172" i="18"/>
  <c r="C173" i="18"/>
  <c r="E173" i="18"/>
  <c r="G173" i="18"/>
  <c r="F173" i="18" s="1"/>
  <c r="H173" i="18"/>
  <c r="I173" i="18" s="1"/>
  <c r="L173" i="18"/>
  <c r="M173" i="18" s="1"/>
  <c r="N173" i="18"/>
  <c r="O173" i="18"/>
  <c r="C174" i="18"/>
  <c r="E174" i="18"/>
  <c r="G174" i="18"/>
  <c r="F174" i="18" s="1"/>
  <c r="H174" i="18"/>
  <c r="K174" i="18" s="1"/>
  <c r="L174" i="18"/>
  <c r="M174" i="18" s="1"/>
  <c r="N174" i="18"/>
  <c r="O174" i="18"/>
  <c r="C175" i="18"/>
  <c r="E175" i="18"/>
  <c r="G175" i="18"/>
  <c r="F175" i="18" s="1"/>
  <c r="H175" i="18"/>
  <c r="L175" i="18"/>
  <c r="M175" i="18" s="1"/>
  <c r="N175" i="18"/>
  <c r="O175" i="18"/>
  <c r="C176" i="18"/>
  <c r="E176" i="18"/>
  <c r="G176" i="18"/>
  <c r="F176" i="18" s="1"/>
  <c r="H176" i="18"/>
  <c r="I176" i="18" s="1"/>
  <c r="L176" i="18"/>
  <c r="M176" i="18" s="1"/>
  <c r="N176" i="18"/>
  <c r="O176" i="18"/>
  <c r="C404" i="18"/>
  <c r="E404" i="18"/>
  <c r="G404" i="18"/>
  <c r="F404" i="18" s="1"/>
  <c r="H404" i="18"/>
  <c r="L404" i="18"/>
  <c r="M404" i="18" s="1"/>
  <c r="N404" i="18"/>
  <c r="O404" i="18"/>
  <c r="C177" i="18"/>
  <c r="E177" i="18"/>
  <c r="G177" i="18"/>
  <c r="F177" i="18" s="1"/>
  <c r="H177" i="18"/>
  <c r="I177" i="18" s="1"/>
  <c r="L177" i="18"/>
  <c r="M177" i="18" s="1"/>
  <c r="N177" i="18"/>
  <c r="O177" i="18"/>
  <c r="C405" i="18"/>
  <c r="E405" i="18"/>
  <c r="G405" i="18"/>
  <c r="F405" i="18" s="1"/>
  <c r="H405" i="18"/>
  <c r="I405" i="18" s="1"/>
  <c r="L405" i="18"/>
  <c r="M405" i="18" s="1"/>
  <c r="N405" i="18"/>
  <c r="O405" i="18"/>
  <c r="C178" i="18"/>
  <c r="E178" i="18"/>
  <c r="G178" i="18"/>
  <c r="F178" i="18" s="1"/>
  <c r="H178" i="18"/>
  <c r="K178" i="18" s="1"/>
  <c r="L178" i="18"/>
  <c r="M178" i="18" s="1"/>
  <c r="N178" i="18"/>
  <c r="O178" i="18"/>
  <c r="C179" i="18"/>
  <c r="E179" i="18"/>
  <c r="G179" i="18"/>
  <c r="F179" i="18" s="1"/>
  <c r="H179" i="18"/>
  <c r="L179" i="18"/>
  <c r="M179" i="18" s="1"/>
  <c r="N179" i="18"/>
  <c r="O179" i="18"/>
  <c r="C406" i="18"/>
  <c r="E406" i="18"/>
  <c r="G406" i="18"/>
  <c r="F406" i="18" s="1"/>
  <c r="H406" i="18"/>
  <c r="I406" i="18" s="1"/>
  <c r="L406" i="18"/>
  <c r="M406" i="18" s="1"/>
  <c r="N406" i="18"/>
  <c r="O406" i="18"/>
  <c r="C407" i="18"/>
  <c r="E407" i="18"/>
  <c r="G407" i="18"/>
  <c r="F407" i="18" s="1"/>
  <c r="H407" i="18"/>
  <c r="K407" i="18" s="1"/>
  <c r="L407" i="18"/>
  <c r="M407" i="18" s="1"/>
  <c r="N407" i="18"/>
  <c r="O407" i="18"/>
  <c r="C180" i="18"/>
  <c r="E180" i="18"/>
  <c r="G180" i="18"/>
  <c r="F180" i="18" s="1"/>
  <c r="H180" i="18"/>
  <c r="L180" i="18"/>
  <c r="M180" i="18" s="1"/>
  <c r="N180" i="18"/>
  <c r="O180" i="18"/>
  <c r="C181" i="18"/>
  <c r="E181" i="18"/>
  <c r="G181" i="18"/>
  <c r="F181" i="18" s="1"/>
  <c r="H181" i="18"/>
  <c r="L181" i="18"/>
  <c r="M181" i="18" s="1"/>
  <c r="N181" i="18"/>
  <c r="O181" i="18"/>
  <c r="C182" i="18"/>
  <c r="E182" i="18"/>
  <c r="G182" i="18"/>
  <c r="F182" i="18" s="1"/>
  <c r="H182" i="18"/>
  <c r="K182" i="18" s="1"/>
  <c r="L182" i="18"/>
  <c r="M182" i="18" s="1"/>
  <c r="N182" i="18"/>
  <c r="O182" i="18"/>
  <c r="C183" i="18"/>
  <c r="E183" i="18"/>
  <c r="G183" i="18"/>
  <c r="F183" i="18" s="1"/>
  <c r="H183" i="18"/>
  <c r="I183" i="18" s="1"/>
  <c r="L183" i="18"/>
  <c r="M183" i="18" s="1"/>
  <c r="N183" i="18"/>
  <c r="O183" i="18"/>
  <c r="C184" i="18"/>
  <c r="E184" i="18"/>
  <c r="G184" i="18"/>
  <c r="F184" i="18" s="1"/>
  <c r="H184" i="18"/>
  <c r="I184" i="18" s="1"/>
  <c r="L184" i="18"/>
  <c r="M184" i="18" s="1"/>
  <c r="N184" i="18"/>
  <c r="O184" i="18"/>
  <c r="C185" i="18"/>
  <c r="E185" i="18"/>
  <c r="G185" i="18"/>
  <c r="F185" i="18" s="1"/>
  <c r="H185" i="18"/>
  <c r="L185" i="18"/>
  <c r="M185" i="18" s="1"/>
  <c r="N185" i="18"/>
  <c r="O185" i="18"/>
  <c r="C186" i="18"/>
  <c r="E186" i="18"/>
  <c r="G186" i="18"/>
  <c r="F186" i="18" s="1"/>
  <c r="H186" i="18"/>
  <c r="I186" i="18" s="1"/>
  <c r="L186" i="18"/>
  <c r="M186" i="18" s="1"/>
  <c r="N186" i="18"/>
  <c r="O186" i="18"/>
  <c r="C408" i="18"/>
  <c r="E408" i="18"/>
  <c r="G408" i="18"/>
  <c r="F408" i="18" s="1"/>
  <c r="H408" i="18"/>
  <c r="I408" i="18" s="1"/>
  <c r="L408" i="18"/>
  <c r="M408" i="18" s="1"/>
  <c r="N408" i="18"/>
  <c r="O408" i="18"/>
  <c r="C187" i="18"/>
  <c r="E187" i="18"/>
  <c r="G187" i="18"/>
  <c r="F187" i="18" s="1"/>
  <c r="H187" i="18"/>
  <c r="I187" i="18" s="1"/>
  <c r="L187" i="18"/>
  <c r="M187" i="18" s="1"/>
  <c r="N187" i="18"/>
  <c r="O187" i="18"/>
  <c r="C188" i="18"/>
  <c r="E188" i="18"/>
  <c r="G188" i="18"/>
  <c r="H188" i="18"/>
  <c r="L188" i="18"/>
  <c r="M188" i="18" s="1"/>
  <c r="N188" i="18"/>
  <c r="O188" i="18"/>
  <c r="C409" i="18"/>
  <c r="E409" i="18"/>
  <c r="G409" i="18"/>
  <c r="F409" i="18" s="1"/>
  <c r="H409" i="18"/>
  <c r="L409" i="18"/>
  <c r="M409" i="18" s="1"/>
  <c r="N409" i="18"/>
  <c r="O409" i="18"/>
  <c r="C410" i="18"/>
  <c r="E410" i="18"/>
  <c r="G410" i="18"/>
  <c r="F410" i="18" s="1"/>
  <c r="H410" i="18"/>
  <c r="K410" i="18" s="1"/>
  <c r="L410" i="18"/>
  <c r="M410" i="18" s="1"/>
  <c r="N410" i="18"/>
  <c r="O410" i="18"/>
  <c r="C189" i="18"/>
  <c r="E189" i="18"/>
  <c r="G189" i="18"/>
  <c r="F189" i="18" s="1"/>
  <c r="H189" i="18"/>
  <c r="I189" i="18" s="1"/>
  <c r="L189" i="18"/>
  <c r="M189" i="18" s="1"/>
  <c r="N189" i="18"/>
  <c r="O189" i="18"/>
  <c r="C190" i="18"/>
  <c r="E190" i="18"/>
  <c r="G190" i="18"/>
  <c r="F190" i="18" s="1"/>
  <c r="H190" i="18"/>
  <c r="K190" i="18" s="1"/>
  <c r="L190" i="18"/>
  <c r="M190" i="18" s="1"/>
  <c r="N190" i="18"/>
  <c r="O190" i="18"/>
  <c r="C191" i="18"/>
  <c r="E191" i="18"/>
  <c r="G191" i="18"/>
  <c r="F191" i="18" s="1"/>
  <c r="H191" i="18"/>
  <c r="I191" i="18" s="1"/>
  <c r="L191" i="18"/>
  <c r="M191" i="18" s="1"/>
  <c r="N191" i="18"/>
  <c r="O191" i="18"/>
  <c r="C192" i="18"/>
  <c r="E192" i="18"/>
  <c r="G192" i="18"/>
  <c r="F192" i="18" s="1"/>
  <c r="H192" i="18"/>
  <c r="I192" i="18" s="1"/>
  <c r="L192" i="18"/>
  <c r="M192" i="18" s="1"/>
  <c r="N192" i="18"/>
  <c r="O192" i="18"/>
  <c r="C193" i="18"/>
  <c r="E193" i="18"/>
  <c r="G193" i="18"/>
  <c r="F193" i="18" s="1"/>
  <c r="H193" i="18"/>
  <c r="L193" i="18"/>
  <c r="M193" i="18" s="1"/>
  <c r="N193" i="18"/>
  <c r="O193" i="18"/>
  <c r="C194" i="18"/>
  <c r="E194" i="18"/>
  <c r="G194" i="18"/>
  <c r="F194" i="18" s="1"/>
  <c r="H194" i="18"/>
  <c r="I194" i="18" s="1"/>
  <c r="L194" i="18"/>
  <c r="M194" i="18" s="1"/>
  <c r="N194" i="18"/>
  <c r="O194" i="18"/>
  <c r="C195" i="18"/>
  <c r="E195" i="18"/>
  <c r="G195" i="18"/>
  <c r="F195" i="18" s="1"/>
  <c r="H195" i="18"/>
  <c r="K195" i="18" s="1"/>
  <c r="L195" i="18"/>
  <c r="M195" i="18" s="1"/>
  <c r="N195" i="18"/>
  <c r="O195" i="18"/>
  <c r="C196" i="18"/>
  <c r="E196" i="18"/>
  <c r="G196" i="18"/>
  <c r="F196" i="18" s="1"/>
  <c r="H196" i="18"/>
  <c r="I196" i="18" s="1"/>
  <c r="L196" i="18"/>
  <c r="M196" i="18" s="1"/>
  <c r="N196" i="18"/>
  <c r="O196" i="18"/>
  <c r="C411" i="18"/>
  <c r="E411" i="18"/>
  <c r="G411" i="18"/>
  <c r="F411" i="18" s="1"/>
  <c r="H411" i="18"/>
  <c r="L411" i="18"/>
  <c r="M411" i="18" s="1"/>
  <c r="N411" i="18"/>
  <c r="O411" i="18"/>
  <c r="C197" i="18"/>
  <c r="E197" i="18"/>
  <c r="G197" i="18"/>
  <c r="F197" i="18" s="1"/>
  <c r="H197" i="18"/>
  <c r="I197" i="18" s="1"/>
  <c r="L197" i="18"/>
  <c r="M197" i="18" s="1"/>
  <c r="N197" i="18"/>
  <c r="O197" i="18"/>
  <c r="C198" i="18"/>
  <c r="E198" i="18"/>
  <c r="G198" i="18"/>
  <c r="F198" i="18" s="1"/>
  <c r="H198" i="18"/>
  <c r="K198" i="18" s="1"/>
  <c r="L198" i="18"/>
  <c r="M198" i="18" s="1"/>
  <c r="N198" i="18"/>
  <c r="O198" i="18"/>
  <c r="C199" i="18"/>
  <c r="E199" i="18"/>
  <c r="G199" i="18"/>
  <c r="F199" i="18" s="1"/>
  <c r="H199" i="18"/>
  <c r="K199" i="18" s="1"/>
  <c r="L199" i="18"/>
  <c r="M199" i="18" s="1"/>
  <c r="N199" i="18"/>
  <c r="O199" i="18"/>
  <c r="C200" i="18"/>
  <c r="E200" i="18"/>
  <c r="G200" i="18"/>
  <c r="F200" i="18" s="1"/>
  <c r="H200" i="18"/>
  <c r="I200" i="18" s="1"/>
  <c r="L200" i="18"/>
  <c r="M200" i="18" s="1"/>
  <c r="N200" i="18"/>
  <c r="O200" i="18"/>
  <c r="C201" i="18"/>
  <c r="E201" i="18"/>
  <c r="G201" i="18"/>
  <c r="F201" i="18" s="1"/>
  <c r="H201" i="18"/>
  <c r="K201" i="18" s="1"/>
  <c r="L201" i="18"/>
  <c r="M201" i="18" s="1"/>
  <c r="N201" i="18"/>
  <c r="O201" i="18"/>
  <c r="C412" i="18"/>
  <c r="E412" i="18"/>
  <c r="G412" i="18"/>
  <c r="F412" i="18" s="1"/>
  <c r="H412" i="18"/>
  <c r="L412" i="18"/>
  <c r="M412" i="18" s="1"/>
  <c r="N412" i="18"/>
  <c r="O412" i="18"/>
  <c r="C413" i="18"/>
  <c r="E413" i="18"/>
  <c r="G413" i="18"/>
  <c r="F413" i="18" s="1"/>
  <c r="H413" i="18"/>
  <c r="K413" i="18" s="1"/>
  <c r="L413" i="18"/>
  <c r="M413" i="18" s="1"/>
  <c r="N413" i="18"/>
  <c r="O413" i="18"/>
  <c r="C414" i="18"/>
  <c r="E414" i="18"/>
  <c r="G414" i="18"/>
  <c r="F414" i="18" s="1"/>
  <c r="H414" i="18"/>
  <c r="L414" i="18"/>
  <c r="M414" i="18" s="1"/>
  <c r="N414" i="18"/>
  <c r="O414" i="18"/>
  <c r="C415" i="18"/>
  <c r="E415" i="18"/>
  <c r="G415" i="18"/>
  <c r="F415" i="18" s="1"/>
  <c r="H415" i="18"/>
  <c r="L415" i="18"/>
  <c r="M415" i="18" s="1"/>
  <c r="N415" i="18"/>
  <c r="O415" i="18"/>
  <c r="C416" i="18"/>
  <c r="E416" i="18"/>
  <c r="G416" i="18"/>
  <c r="F416" i="18" s="1"/>
  <c r="H416" i="18"/>
  <c r="L416" i="18"/>
  <c r="M416" i="18" s="1"/>
  <c r="N416" i="18"/>
  <c r="O416" i="18"/>
  <c r="C417" i="18"/>
  <c r="E417" i="18"/>
  <c r="G417" i="18"/>
  <c r="F417" i="18" s="1"/>
  <c r="H417" i="18"/>
  <c r="L417" i="18"/>
  <c r="M417" i="18" s="1"/>
  <c r="N417" i="18"/>
  <c r="O417" i="18"/>
  <c r="C202" i="18"/>
  <c r="E202" i="18"/>
  <c r="G202" i="18"/>
  <c r="F202" i="18" s="1"/>
  <c r="H202" i="18"/>
  <c r="K202" i="18" s="1"/>
  <c r="L202" i="18"/>
  <c r="M202" i="18" s="1"/>
  <c r="N202" i="18"/>
  <c r="O202" i="18"/>
  <c r="C203" i="18"/>
  <c r="E203" i="18"/>
  <c r="G203" i="18"/>
  <c r="F203" i="18" s="1"/>
  <c r="H203" i="18"/>
  <c r="L203" i="18"/>
  <c r="M203" i="18" s="1"/>
  <c r="N203" i="18"/>
  <c r="O203" i="18"/>
  <c r="C204" i="18"/>
  <c r="E204" i="18"/>
  <c r="G204" i="18"/>
  <c r="F204" i="18" s="1"/>
  <c r="H204" i="18"/>
  <c r="K204" i="18" s="1"/>
  <c r="L204" i="18"/>
  <c r="M204" i="18" s="1"/>
  <c r="N204" i="18"/>
  <c r="O204" i="18"/>
  <c r="C205" i="18"/>
  <c r="E205" i="18"/>
  <c r="G205" i="18"/>
  <c r="F205" i="18" s="1"/>
  <c r="H205" i="18"/>
  <c r="I205" i="18" s="1"/>
  <c r="L205" i="18"/>
  <c r="M205" i="18" s="1"/>
  <c r="N205" i="18"/>
  <c r="O205" i="18"/>
  <c r="C206" i="18"/>
  <c r="E206" i="18"/>
  <c r="G206" i="18"/>
  <c r="F206" i="18" s="1"/>
  <c r="H206" i="18"/>
  <c r="L206" i="18"/>
  <c r="M206" i="18" s="1"/>
  <c r="N206" i="18"/>
  <c r="O206" i="18"/>
  <c r="C207" i="18"/>
  <c r="E207" i="18"/>
  <c r="G207" i="18"/>
  <c r="F207" i="18" s="1"/>
  <c r="H207" i="18"/>
  <c r="I207" i="18" s="1"/>
  <c r="L207" i="18"/>
  <c r="M207" i="18" s="1"/>
  <c r="N207" i="18"/>
  <c r="O207" i="18"/>
  <c r="C208" i="18"/>
  <c r="E208" i="18"/>
  <c r="G208" i="18"/>
  <c r="F208" i="18" s="1"/>
  <c r="H208" i="18"/>
  <c r="I208" i="18" s="1"/>
  <c r="L208" i="18"/>
  <c r="M208" i="18" s="1"/>
  <c r="N208" i="18"/>
  <c r="O208" i="18"/>
  <c r="C209" i="18"/>
  <c r="E209" i="18"/>
  <c r="G209" i="18"/>
  <c r="H209" i="18"/>
  <c r="I209" i="18" s="1"/>
  <c r="L209" i="18"/>
  <c r="M209" i="18" s="1"/>
  <c r="N209" i="18"/>
  <c r="O209" i="18"/>
  <c r="C210" i="18"/>
  <c r="E210" i="18"/>
  <c r="G210" i="18"/>
  <c r="F210" i="18" s="1"/>
  <c r="H210" i="18"/>
  <c r="I210" i="18" s="1"/>
  <c r="L210" i="18"/>
  <c r="M210" i="18" s="1"/>
  <c r="N210" i="18"/>
  <c r="O210" i="18"/>
  <c r="C211" i="18"/>
  <c r="E211" i="18"/>
  <c r="G211" i="18"/>
  <c r="F211" i="18" s="1"/>
  <c r="H211" i="18"/>
  <c r="K211" i="18" s="1"/>
  <c r="L211" i="18"/>
  <c r="M211" i="18" s="1"/>
  <c r="N211" i="18"/>
  <c r="O211" i="18"/>
  <c r="C212" i="18"/>
  <c r="E212" i="18"/>
  <c r="G212" i="18"/>
  <c r="F212" i="18" s="1"/>
  <c r="H212" i="18"/>
  <c r="L212" i="18"/>
  <c r="M212" i="18" s="1"/>
  <c r="N212" i="18"/>
  <c r="O212" i="18"/>
  <c r="C213" i="18"/>
  <c r="E213" i="18"/>
  <c r="G213" i="18"/>
  <c r="F213" i="18" s="1"/>
  <c r="H213" i="18"/>
  <c r="L213" i="18"/>
  <c r="M213" i="18" s="1"/>
  <c r="N213" i="18"/>
  <c r="O213" i="18"/>
  <c r="C214" i="18"/>
  <c r="E214" i="18"/>
  <c r="G214" i="18"/>
  <c r="F214" i="18" s="1"/>
  <c r="H214" i="18"/>
  <c r="I214" i="18" s="1"/>
  <c r="L214" i="18"/>
  <c r="M214" i="18" s="1"/>
  <c r="N214" i="18"/>
  <c r="O214" i="18"/>
  <c r="C215" i="18"/>
  <c r="E215" i="18"/>
  <c r="G215" i="18"/>
  <c r="F215" i="18" s="1"/>
  <c r="H215" i="18"/>
  <c r="I215" i="18" s="1"/>
  <c r="L215" i="18"/>
  <c r="M215" i="18" s="1"/>
  <c r="N215" i="18"/>
  <c r="O215" i="18"/>
  <c r="C216" i="18"/>
  <c r="E216" i="18"/>
  <c r="G216" i="18"/>
  <c r="F216" i="18" s="1"/>
  <c r="H216" i="18"/>
  <c r="I216" i="18" s="1"/>
  <c r="L216" i="18"/>
  <c r="M216" i="18" s="1"/>
  <c r="N216" i="18"/>
  <c r="O216" i="18"/>
  <c r="C217" i="18"/>
  <c r="E217" i="18"/>
  <c r="G217" i="18"/>
  <c r="F217" i="18" s="1"/>
  <c r="H217" i="18"/>
  <c r="K217" i="18" s="1"/>
  <c r="L217" i="18"/>
  <c r="M217" i="18" s="1"/>
  <c r="N217" i="18"/>
  <c r="O217" i="18"/>
  <c r="C418" i="18"/>
  <c r="E418" i="18"/>
  <c r="G418" i="18"/>
  <c r="F418" i="18" s="1"/>
  <c r="H418" i="18"/>
  <c r="L418" i="18"/>
  <c r="M418" i="18" s="1"/>
  <c r="N418" i="18"/>
  <c r="O418" i="18"/>
  <c r="C218" i="18"/>
  <c r="E218" i="18"/>
  <c r="G218" i="18"/>
  <c r="F218" i="18" s="1"/>
  <c r="H218" i="18"/>
  <c r="K218" i="18" s="1"/>
  <c r="L218" i="18"/>
  <c r="M218" i="18" s="1"/>
  <c r="N218" i="18"/>
  <c r="O218" i="18"/>
  <c r="C219" i="18"/>
  <c r="E219" i="18"/>
  <c r="G219" i="18"/>
  <c r="F219" i="18" s="1"/>
  <c r="H219" i="18"/>
  <c r="I219" i="18" s="1"/>
  <c r="L219" i="18"/>
  <c r="M219" i="18" s="1"/>
  <c r="N219" i="18"/>
  <c r="O219" i="18"/>
  <c r="C220" i="18"/>
  <c r="E220" i="18"/>
  <c r="G220" i="18"/>
  <c r="F220" i="18" s="1"/>
  <c r="H220" i="18"/>
  <c r="L220" i="18"/>
  <c r="M220" i="18" s="1"/>
  <c r="N220" i="18"/>
  <c r="O220" i="18"/>
  <c r="C221" i="18"/>
  <c r="E221" i="18"/>
  <c r="G221" i="18"/>
  <c r="F221" i="18" s="1"/>
  <c r="H221" i="18"/>
  <c r="I221" i="18" s="1"/>
  <c r="L221" i="18"/>
  <c r="M221" i="18" s="1"/>
  <c r="N221" i="18"/>
  <c r="O221" i="18"/>
  <c r="C222" i="18"/>
  <c r="E222" i="18"/>
  <c r="G222" i="18"/>
  <c r="F222" i="18" s="1"/>
  <c r="H222" i="18"/>
  <c r="K222" i="18" s="1"/>
  <c r="L222" i="18"/>
  <c r="M222" i="18" s="1"/>
  <c r="N222" i="18"/>
  <c r="O222" i="18"/>
  <c r="C223" i="18"/>
  <c r="E223" i="18"/>
  <c r="G223" i="18"/>
  <c r="H223" i="18"/>
  <c r="I223" i="18" s="1"/>
  <c r="L223" i="18"/>
  <c r="M223" i="18" s="1"/>
  <c r="N223" i="18"/>
  <c r="O223" i="18"/>
  <c r="C224" i="18"/>
  <c r="E224" i="18"/>
  <c r="G224" i="18"/>
  <c r="F224" i="18" s="1"/>
  <c r="H224" i="18"/>
  <c r="K224" i="18" s="1"/>
  <c r="L224" i="18"/>
  <c r="M224" i="18" s="1"/>
  <c r="N224" i="18"/>
  <c r="O224" i="18"/>
  <c r="C225" i="18"/>
  <c r="E225" i="18"/>
  <c r="G225" i="18"/>
  <c r="F225" i="18" s="1"/>
  <c r="H225" i="18"/>
  <c r="I225" i="18" s="1"/>
  <c r="L225" i="18"/>
  <c r="M225" i="18" s="1"/>
  <c r="N225" i="18"/>
  <c r="O225" i="18"/>
  <c r="C226" i="18"/>
  <c r="E226" i="18"/>
  <c r="G226" i="18"/>
  <c r="F226" i="18" s="1"/>
  <c r="H226" i="18"/>
  <c r="I226" i="18" s="1"/>
  <c r="L226" i="18"/>
  <c r="M226" i="18" s="1"/>
  <c r="N226" i="18"/>
  <c r="O226" i="18"/>
  <c r="C227" i="18"/>
  <c r="E227" i="18"/>
  <c r="G227" i="18"/>
  <c r="F227" i="18" s="1"/>
  <c r="H227" i="18"/>
  <c r="K227" i="18" s="1"/>
  <c r="L227" i="18"/>
  <c r="M227" i="18" s="1"/>
  <c r="N227" i="18"/>
  <c r="O227" i="18"/>
  <c r="C228" i="18"/>
  <c r="E228" i="18"/>
  <c r="G228" i="18"/>
  <c r="F228" i="18" s="1"/>
  <c r="H228" i="18"/>
  <c r="I228" i="18" s="1"/>
  <c r="L228" i="18"/>
  <c r="M228" i="18" s="1"/>
  <c r="N228" i="18"/>
  <c r="O228" i="18"/>
  <c r="C229" i="18"/>
  <c r="E229" i="18"/>
  <c r="G229" i="18"/>
  <c r="F229" i="18" s="1"/>
  <c r="H229" i="18"/>
  <c r="I229" i="18" s="1"/>
  <c r="L229" i="18"/>
  <c r="M229" i="18" s="1"/>
  <c r="N229" i="18"/>
  <c r="O229" i="18"/>
  <c r="C230" i="18"/>
  <c r="E230" i="18"/>
  <c r="G230" i="18"/>
  <c r="F230" i="18" s="1"/>
  <c r="H230" i="18"/>
  <c r="L230" i="18"/>
  <c r="M230" i="18" s="1"/>
  <c r="N230" i="18"/>
  <c r="O230" i="18"/>
  <c r="C231" i="18"/>
  <c r="E231" i="18"/>
  <c r="G231" i="18"/>
  <c r="F231" i="18" s="1"/>
  <c r="H231" i="18"/>
  <c r="L231" i="18"/>
  <c r="M231" i="18" s="1"/>
  <c r="N231" i="18"/>
  <c r="O231" i="18"/>
  <c r="C232" i="18"/>
  <c r="E232" i="18"/>
  <c r="G232" i="18"/>
  <c r="F232" i="18" s="1"/>
  <c r="H232" i="18"/>
  <c r="I232" i="18" s="1"/>
  <c r="L232" i="18"/>
  <c r="M232" i="18" s="1"/>
  <c r="N232" i="18"/>
  <c r="O232" i="18"/>
  <c r="C233" i="18"/>
  <c r="E233" i="18"/>
  <c r="G233" i="18"/>
  <c r="F233" i="18" s="1"/>
  <c r="H233" i="18"/>
  <c r="L233" i="18"/>
  <c r="M233" i="18" s="1"/>
  <c r="N233" i="18"/>
  <c r="O233" i="18"/>
  <c r="C234" i="18"/>
  <c r="E234" i="18"/>
  <c r="G234" i="18"/>
  <c r="F234" i="18" s="1"/>
  <c r="H234" i="18"/>
  <c r="L234" i="18"/>
  <c r="M234" i="18" s="1"/>
  <c r="N234" i="18"/>
  <c r="O234" i="18"/>
  <c r="C235" i="18"/>
  <c r="E235" i="18"/>
  <c r="G235" i="18"/>
  <c r="F235" i="18" s="1"/>
  <c r="H235" i="18"/>
  <c r="I235" i="18" s="1"/>
  <c r="L235" i="18"/>
  <c r="M235" i="18" s="1"/>
  <c r="N235" i="18"/>
  <c r="O235" i="18"/>
  <c r="C236" i="18"/>
  <c r="E236" i="18"/>
  <c r="G236" i="18"/>
  <c r="F236" i="18" s="1"/>
  <c r="H236" i="18"/>
  <c r="K236" i="18" s="1"/>
  <c r="L236" i="18"/>
  <c r="M236" i="18" s="1"/>
  <c r="N236" i="18"/>
  <c r="O236" i="18"/>
  <c r="C237" i="18"/>
  <c r="E237" i="18"/>
  <c r="G237" i="18"/>
  <c r="F237" i="18" s="1"/>
  <c r="H237" i="18"/>
  <c r="I237" i="18" s="1"/>
  <c r="L237" i="18"/>
  <c r="M237" i="18" s="1"/>
  <c r="N237" i="18"/>
  <c r="O237" i="18"/>
  <c r="C238" i="18"/>
  <c r="E238" i="18"/>
  <c r="G238" i="18"/>
  <c r="F238" i="18" s="1"/>
  <c r="H238" i="18"/>
  <c r="L238" i="18"/>
  <c r="M238" i="18" s="1"/>
  <c r="N238" i="18"/>
  <c r="O238" i="18"/>
  <c r="C239" i="18"/>
  <c r="E239" i="18"/>
  <c r="G239" i="18"/>
  <c r="F239" i="18" s="1"/>
  <c r="H239" i="18"/>
  <c r="I239" i="18" s="1"/>
  <c r="L239" i="18"/>
  <c r="M239" i="18" s="1"/>
  <c r="N239" i="18"/>
  <c r="O239" i="18"/>
  <c r="C240" i="18"/>
  <c r="E240" i="18"/>
  <c r="G240" i="18"/>
  <c r="F240" i="18" s="1"/>
  <c r="H240" i="18"/>
  <c r="L240" i="18"/>
  <c r="M240" i="18" s="1"/>
  <c r="N240" i="18"/>
  <c r="O240" i="18"/>
  <c r="C241" i="18"/>
  <c r="E241" i="18"/>
  <c r="G241" i="18"/>
  <c r="F241" i="18" s="1"/>
  <c r="H241" i="18"/>
  <c r="K241" i="18" s="1"/>
  <c r="L241" i="18"/>
  <c r="M241" i="18" s="1"/>
  <c r="N241" i="18"/>
  <c r="O241" i="18"/>
  <c r="C242" i="18"/>
  <c r="E242" i="18"/>
  <c r="G242" i="18"/>
  <c r="F242" i="18" s="1"/>
  <c r="H242" i="18"/>
  <c r="I242" i="18" s="1"/>
  <c r="L242" i="18"/>
  <c r="M242" i="18" s="1"/>
  <c r="N242" i="18"/>
  <c r="O242" i="18"/>
  <c r="C419" i="18"/>
  <c r="E419" i="18"/>
  <c r="G419" i="18"/>
  <c r="F419" i="18" s="1"/>
  <c r="H419" i="18"/>
  <c r="K419" i="18" s="1"/>
  <c r="L419" i="18"/>
  <c r="M419" i="18" s="1"/>
  <c r="N419" i="18"/>
  <c r="O419" i="18"/>
  <c r="C243" i="18"/>
  <c r="E243" i="18"/>
  <c r="G243" i="18"/>
  <c r="F243" i="18" s="1"/>
  <c r="H243" i="18"/>
  <c r="I243" i="18" s="1"/>
  <c r="L243" i="18"/>
  <c r="M243" i="18" s="1"/>
  <c r="N243" i="18"/>
  <c r="O243" i="18"/>
  <c r="C244" i="18"/>
  <c r="E244" i="18"/>
  <c r="G244" i="18"/>
  <c r="F244" i="18" s="1"/>
  <c r="H244" i="18"/>
  <c r="I244" i="18" s="1"/>
  <c r="L244" i="18"/>
  <c r="M244" i="18" s="1"/>
  <c r="N244" i="18"/>
  <c r="O244" i="18"/>
  <c r="C245" i="18"/>
  <c r="E245" i="18"/>
  <c r="G245" i="18"/>
  <c r="F245" i="18" s="1"/>
  <c r="H245" i="18"/>
  <c r="K245" i="18" s="1"/>
  <c r="L245" i="18"/>
  <c r="M245" i="18" s="1"/>
  <c r="N245" i="18"/>
  <c r="O245" i="18"/>
  <c r="C246" i="18"/>
  <c r="E246" i="18"/>
  <c r="G246" i="18"/>
  <c r="F246" i="18" s="1"/>
  <c r="H246" i="18"/>
  <c r="K246" i="18" s="1"/>
  <c r="L246" i="18"/>
  <c r="M246" i="18" s="1"/>
  <c r="N246" i="18"/>
  <c r="O246" i="18"/>
  <c r="C247" i="18"/>
  <c r="E247" i="18"/>
  <c r="G247" i="18"/>
  <c r="F247" i="18" s="1"/>
  <c r="H247" i="18"/>
  <c r="K247" i="18" s="1"/>
  <c r="L247" i="18"/>
  <c r="M247" i="18" s="1"/>
  <c r="N247" i="18"/>
  <c r="O247" i="18"/>
  <c r="C248" i="18"/>
  <c r="E248" i="18"/>
  <c r="G248" i="18"/>
  <c r="F248" i="18" s="1"/>
  <c r="H248" i="18"/>
  <c r="L248" i="18"/>
  <c r="M248" i="18" s="1"/>
  <c r="N248" i="18"/>
  <c r="O248" i="18"/>
  <c r="C249" i="18"/>
  <c r="E249" i="18"/>
  <c r="G249" i="18"/>
  <c r="F249" i="18" s="1"/>
  <c r="H249" i="18"/>
  <c r="I249" i="18" s="1"/>
  <c r="L249" i="18"/>
  <c r="M249" i="18" s="1"/>
  <c r="N249" i="18"/>
  <c r="O249" i="18"/>
  <c r="C250" i="18"/>
  <c r="E250" i="18"/>
  <c r="G250" i="18"/>
  <c r="F250" i="18" s="1"/>
  <c r="H250" i="18"/>
  <c r="K250" i="18" s="1"/>
  <c r="L250" i="18"/>
  <c r="M250" i="18" s="1"/>
  <c r="N250" i="18"/>
  <c r="O250" i="18"/>
  <c r="C251" i="18"/>
  <c r="E251" i="18"/>
  <c r="G251" i="18"/>
  <c r="F251" i="18" s="1"/>
  <c r="H251" i="18"/>
  <c r="I251" i="18" s="1"/>
  <c r="L251" i="18"/>
  <c r="M251" i="18" s="1"/>
  <c r="N251" i="18"/>
  <c r="O251" i="18"/>
  <c r="C252" i="18"/>
  <c r="E252" i="18"/>
  <c r="G252" i="18"/>
  <c r="F252" i="18" s="1"/>
  <c r="H252" i="18"/>
  <c r="I252" i="18" s="1"/>
  <c r="L252" i="18"/>
  <c r="M252" i="18" s="1"/>
  <c r="N252" i="18"/>
  <c r="O252" i="18"/>
  <c r="C253" i="18"/>
  <c r="E253" i="18"/>
  <c r="G253" i="18"/>
  <c r="F253" i="18" s="1"/>
  <c r="H253" i="18"/>
  <c r="K253" i="18" s="1"/>
  <c r="L253" i="18"/>
  <c r="M253" i="18" s="1"/>
  <c r="N253" i="18"/>
  <c r="O253" i="18"/>
  <c r="C254" i="18"/>
  <c r="E254" i="18"/>
  <c r="G254" i="18"/>
  <c r="F254" i="18" s="1"/>
  <c r="H254" i="18"/>
  <c r="K254" i="18" s="1"/>
  <c r="L254" i="18"/>
  <c r="M254" i="18" s="1"/>
  <c r="N254" i="18"/>
  <c r="O254" i="18"/>
  <c r="C420" i="18"/>
  <c r="E420" i="18"/>
  <c r="G420" i="18"/>
  <c r="F420" i="18" s="1"/>
  <c r="H420" i="18"/>
  <c r="I420" i="18" s="1"/>
  <c r="L420" i="18"/>
  <c r="M420" i="18" s="1"/>
  <c r="N420" i="18"/>
  <c r="O420" i="18"/>
  <c r="C255" i="18"/>
  <c r="E255" i="18"/>
  <c r="G255" i="18"/>
  <c r="F255" i="18" s="1"/>
  <c r="H255" i="18"/>
  <c r="K255" i="18" s="1"/>
  <c r="L255" i="18"/>
  <c r="M255" i="18" s="1"/>
  <c r="N255" i="18"/>
  <c r="O255" i="18"/>
  <c r="C256" i="18"/>
  <c r="E256" i="18"/>
  <c r="G256" i="18"/>
  <c r="F256" i="18" s="1"/>
  <c r="H256" i="18"/>
  <c r="I256" i="18" s="1"/>
  <c r="L256" i="18"/>
  <c r="M256" i="18" s="1"/>
  <c r="N256" i="18"/>
  <c r="O256" i="18"/>
  <c r="C257" i="18"/>
  <c r="E257" i="18"/>
  <c r="G257" i="18"/>
  <c r="F257" i="18" s="1"/>
  <c r="H257" i="18"/>
  <c r="I257" i="18" s="1"/>
  <c r="L257" i="18"/>
  <c r="M257" i="18" s="1"/>
  <c r="N257" i="18"/>
  <c r="O257" i="18"/>
  <c r="C258" i="18"/>
  <c r="E258" i="18"/>
  <c r="G258" i="18"/>
  <c r="F258" i="18" s="1"/>
  <c r="H258" i="18"/>
  <c r="K258" i="18" s="1"/>
  <c r="L258" i="18"/>
  <c r="M258" i="18" s="1"/>
  <c r="N258" i="18"/>
  <c r="O258" i="18"/>
  <c r="C259" i="18"/>
  <c r="E259" i="18"/>
  <c r="G259" i="18"/>
  <c r="F259" i="18" s="1"/>
  <c r="H259" i="18"/>
  <c r="K259" i="18" s="1"/>
  <c r="L259" i="18"/>
  <c r="M259" i="18" s="1"/>
  <c r="N259" i="18"/>
  <c r="O259" i="18"/>
  <c r="C260" i="18"/>
  <c r="E260" i="18"/>
  <c r="G260" i="18"/>
  <c r="H260" i="18"/>
  <c r="I260" i="18" s="1"/>
  <c r="L260" i="18"/>
  <c r="M260" i="18" s="1"/>
  <c r="N260" i="18"/>
  <c r="O260" i="18"/>
  <c r="C261" i="18"/>
  <c r="E261" i="18"/>
  <c r="G261" i="18"/>
  <c r="F261" i="18" s="1"/>
  <c r="H261" i="18"/>
  <c r="I261" i="18" s="1"/>
  <c r="L261" i="18"/>
  <c r="M261" i="18" s="1"/>
  <c r="N261" i="18"/>
  <c r="O261" i="18"/>
  <c r="C262" i="18"/>
  <c r="E262" i="18"/>
  <c r="G262" i="18"/>
  <c r="F262" i="18" s="1"/>
  <c r="H262" i="18"/>
  <c r="K262" i="18" s="1"/>
  <c r="L262" i="18"/>
  <c r="M262" i="18" s="1"/>
  <c r="N262" i="18"/>
  <c r="O262" i="18"/>
  <c r="C263" i="18"/>
  <c r="E263" i="18"/>
  <c r="G263" i="18"/>
  <c r="F263" i="18" s="1"/>
  <c r="H263" i="18"/>
  <c r="I263" i="18" s="1"/>
  <c r="L263" i="18"/>
  <c r="M263" i="18" s="1"/>
  <c r="N263" i="18"/>
  <c r="O263" i="18"/>
  <c r="C264" i="18"/>
  <c r="E264" i="18"/>
  <c r="G264" i="18"/>
  <c r="F264" i="18" s="1"/>
  <c r="H264" i="18"/>
  <c r="K264" i="18" s="1"/>
  <c r="L264" i="18"/>
  <c r="M264" i="18" s="1"/>
  <c r="N264" i="18"/>
  <c r="O264" i="18"/>
  <c r="C421" i="18"/>
  <c r="E421" i="18"/>
  <c r="G421" i="18"/>
  <c r="H421" i="18"/>
  <c r="L421" i="18"/>
  <c r="M421" i="18" s="1"/>
  <c r="N421" i="18"/>
  <c r="O421" i="18"/>
  <c r="C265" i="18"/>
  <c r="E265" i="18"/>
  <c r="G265" i="18"/>
  <c r="F265" i="18" s="1"/>
  <c r="H265" i="18"/>
  <c r="L265" i="18"/>
  <c r="M265" i="18" s="1"/>
  <c r="N265" i="18"/>
  <c r="O265" i="18"/>
  <c r="C266" i="18"/>
  <c r="E266" i="18"/>
  <c r="G266" i="18"/>
  <c r="F266" i="18" s="1"/>
  <c r="H266" i="18"/>
  <c r="K266" i="18" s="1"/>
  <c r="L266" i="18"/>
  <c r="M266" i="18" s="1"/>
  <c r="N266" i="18"/>
  <c r="O266" i="18"/>
  <c r="C267" i="18"/>
  <c r="E267" i="18"/>
  <c r="G267" i="18"/>
  <c r="F267" i="18" s="1"/>
  <c r="H267" i="18"/>
  <c r="I267" i="18" s="1"/>
  <c r="L267" i="18"/>
  <c r="M267" i="18" s="1"/>
  <c r="N267" i="18"/>
  <c r="O267" i="18"/>
  <c r="Q267" i="18" s="1"/>
  <c r="C422" i="18"/>
  <c r="E422" i="18"/>
  <c r="G422" i="18"/>
  <c r="F422" i="18" s="1"/>
  <c r="H422" i="18"/>
  <c r="K422" i="18" s="1"/>
  <c r="L422" i="18"/>
  <c r="M422" i="18" s="1"/>
  <c r="N422" i="18"/>
  <c r="O422" i="18"/>
  <c r="C423" i="18"/>
  <c r="E423" i="18"/>
  <c r="G423" i="18"/>
  <c r="F423" i="18" s="1"/>
  <c r="H423" i="18"/>
  <c r="K423" i="18" s="1"/>
  <c r="L423" i="18"/>
  <c r="M423" i="18" s="1"/>
  <c r="N423" i="18"/>
  <c r="O423" i="18"/>
  <c r="C268" i="18"/>
  <c r="E268" i="18"/>
  <c r="G268" i="18"/>
  <c r="F268" i="18" s="1"/>
  <c r="H268" i="18"/>
  <c r="K268" i="18" s="1"/>
  <c r="L268" i="18"/>
  <c r="M268" i="18" s="1"/>
  <c r="N268" i="18"/>
  <c r="O268" i="18"/>
  <c r="C269" i="18"/>
  <c r="E269" i="18"/>
  <c r="G269" i="18"/>
  <c r="F269" i="18" s="1"/>
  <c r="H269" i="18"/>
  <c r="I269" i="18" s="1"/>
  <c r="L269" i="18"/>
  <c r="M269" i="18" s="1"/>
  <c r="N269" i="18"/>
  <c r="O269" i="18"/>
  <c r="C270" i="18"/>
  <c r="E270" i="18"/>
  <c r="G270" i="18"/>
  <c r="F270" i="18" s="1"/>
  <c r="H270" i="18"/>
  <c r="I270" i="18" s="1"/>
  <c r="L270" i="18"/>
  <c r="M270" i="18" s="1"/>
  <c r="N270" i="18"/>
  <c r="O270" i="18"/>
  <c r="C271" i="18"/>
  <c r="E271" i="18"/>
  <c r="G271" i="18"/>
  <c r="F271" i="18" s="1"/>
  <c r="H271" i="18"/>
  <c r="L271" i="18"/>
  <c r="M271" i="18" s="1"/>
  <c r="N271" i="18"/>
  <c r="O271" i="18"/>
  <c r="C272" i="18"/>
  <c r="E272" i="18"/>
  <c r="G272" i="18"/>
  <c r="F272" i="18" s="1"/>
  <c r="H272" i="18"/>
  <c r="K272" i="18" s="1"/>
  <c r="L272" i="18"/>
  <c r="M272" i="18" s="1"/>
  <c r="N272" i="18"/>
  <c r="O272" i="18"/>
  <c r="C424" i="18"/>
  <c r="E424" i="18"/>
  <c r="G424" i="18"/>
  <c r="F424" i="18" s="1"/>
  <c r="H424" i="18"/>
  <c r="K424" i="18" s="1"/>
  <c r="L424" i="18"/>
  <c r="M424" i="18" s="1"/>
  <c r="N424" i="18"/>
  <c r="O424" i="18"/>
  <c r="C273" i="18"/>
  <c r="E273" i="18"/>
  <c r="G273" i="18"/>
  <c r="F273" i="18" s="1"/>
  <c r="H273" i="18"/>
  <c r="I273" i="18" s="1"/>
  <c r="L273" i="18"/>
  <c r="M273" i="18" s="1"/>
  <c r="N273" i="18"/>
  <c r="O273" i="18"/>
  <c r="C274" i="18"/>
  <c r="E274" i="18"/>
  <c r="G274" i="18"/>
  <c r="F274" i="18" s="1"/>
  <c r="H274" i="18"/>
  <c r="K274" i="18" s="1"/>
  <c r="L274" i="18"/>
  <c r="M274" i="18" s="1"/>
  <c r="N274" i="18"/>
  <c r="O274" i="18"/>
  <c r="C275" i="18"/>
  <c r="E275" i="18"/>
  <c r="G275" i="18"/>
  <c r="F275" i="18" s="1"/>
  <c r="H275" i="18"/>
  <c r="I275" i="18" s="1"/>
  <c r="L275" i="18"/>
  <c r="M275" i="18" s="1"/>
  <c r="N275" i="18"/>
  <c r="O275" i="18"/>
  <c r="C276" i="18"/>
  <c r="E276" i="18"/>
  <c r="G276" i="18"/>
  <c r="F276" i="18" s="1"/>
  <c r="H276" i="18"/>
  <c r="I276" i="18" s="1"/>
  <c r="L276" i="18"/>
  <c r="M276" i="18" s="1"/>
  <c r="N276" i="18"/>
  <c r="O276" i="18"/>
  <c r="C277" i="18"/>
  <c r="E277" i="18"/>
  <c r="G277" i="18"/>
  <c r="F277" i="18" s="1"/>
  <c r="H277" i="18"/>
  <c r="I277" i="18" s="1"/>
  <c r="L277" i="18"/>
  <c r="M277" i="18" s="1"/>
  <c r="N277" i="18"/>
  <c r="O277" i="18"/>
  <c r="C278" i="18"/>
  <c r="E278" i="18"/>
  <c r="G278" i="18"/>
  <c r="F278" i="18" s="1"/>
  <c r="H278" i="18"/>
  <c r="K278" i="18" s="1"/>
  <c r="L278" i="18"/>
  <c r="M278" i="18" s="1"/>
  <c r="N278" i="18"/>
  <c r="O278" i="18"/>
  <c r="C279" i="18"/>
  <c r="E279" i="18"/>
  <c r="G279" i="18"/>
  <c r="F279" i="18" s="1"/>
  <c r="H279" i="18"/>
  <c r="I279" i="18" s="1"/>
  <c r="L279" i="18"/>
  <c r="M279" i="18" s="1"/>
  <c r="N279" i="18"/>
  <c r="O279" i="18"/>
  <c r="C280" i="18"/>
  <c r="E280" i="18"/>
  <c r="G280" i="18"/>
  <c r="F280" i="18" s="1"/>
  <c r="H280" i="18"/>
  <c r="I280" i="18" s="1"/>
  <c r="L280" i="18"/>
  <c r="M280" i="18" s="1"/>
  <c r="N280" i="18"/>
  <c r="O280" i="18"/>
  <c r="C281" i="18"/>
  <c r="E281" i="18"/>
  <c r="G281" i="18"/>
  <c r="F281" i="18" s="1"/>
  <c r="H281" i="18"/>
  <c r="K281" i="18" s="1"/>
  <c r="L281" i="18"/>
  <c r="M281" i="18" s="1"/>
  <c r="N281" i="18"/>
  <c r="O281" i="18"/>
  <c r="C282" i="18"/>
  <c r="E282" i="18"/>
  <c r="G282" i="18"/>
  <c r="F282" i="18" s="1"/>
  <c r="H282" i="18"/>
  <c r="I282" i="18" s="1"/>
  <c r="L282" i="18"/>
  <c r="M282" i="18" s="1"/>
  <c r="N282" i="18"/>
  <c r="O282" i="18"/>
  <c r="C283" i="18"/>
  <c r="E283" i="18"/>
  <c r="G283" i="18"/>
  <c r="F283" i="18" s="1"/>
  <c r="H283" i="18"/>
  <c r="I283" i="18" s="1"/>
  <c r="L283" i="18"/>
  <c r="M283" i="18" s="1"/>
  <c r="N283" i="18"/>
  <c r="O283" i="18"/>
  <c r="C284" i="18"/>
  <c r="E284" i="18"/>
  <c r="G284" i="18"/>
  <c r="F284" i="18" s="1"/>
  <c r="H284" i="18"/>
  <c r="K284" i="18" s="1"/>
  <c r="L284" i="18"/>
  <c r="M284" i="18" s="1"/>
  <c r="N284" i="18"/>
  <c r="O284" i="18"/>
  <c r="C285" i="18"/>
  <c r="E285" i="18"/>
  <c r="G285" i="18"/>
  <c r="F285" i="18" s="1"/>
  <c r="H285" i="18"/>
  <c r="I285" i="18" s="1"/>
  <c r="L285" i="18"/>
  <c r="M285" i="18" s="1"/>
  <c r="N285" i="18"/>
  <c r="O285" i="18"/>
  <c r="C286" i="18"/>
  <c r="E286" i="18"/>
  <c r="G286" i="18"/>
  <c r="F286" i="18" s="1"/>
  <c r="H286" i="18"/>
  <c r="K286" i="18" s="1"/>
  <c r="L286" i="18"/>
  <c r="M286" i="18" s="1"/>
  <c r="N286" i="18"/>
  <c r="O286" i="18"/>
  <c r="C287" i="18"/>
  <c r="E287" i="18"/>
  <c r="G287" i="18"/>
  <c r="F287" i="18" s="1"/>
  <c r="H287" i="18"/>
  <c r="K287" i="18" s="1"/>
  <c r="L287" i="18"/>
  <c r="M287" i="18" s="1"/>
  <c r="N287" i="18"/>
  <c r="O287" i="18"/>
  <c r="C288" i="18"/>
  <c r="E288" i="18"/>
  <c r="G288" i="18"/>
  <c r="F288" i="18" s="1"/>
  <c r="H288" i="18"/>
  <c r="I288" i="18" s="1"/>
  <c r="L288" i="18"/>
  <c r="M288" i="18" s="1"/>
  <c r="N288" i="18"/>
  <c r="O288" i="18"/>
  <c r="C289" i="18"/>
  <c r="E289" i="18"/>
  <c r="G289" i="18"/>
  <c r="F289" i="18" s="1"/>
  <c r="H289" i="18"/>
  <c r="K289" i="18" s="1"/>
  <c r="L289" i="18"/>
  <c r="M289" i="18" s="1"/>
  <c r="N289" i="18"/>
  <c r="O289" i="18"/>
  <c r="C290" i="18"/>
  <c r="E290" i="18"/>
  <c r="G290" i="18"/>
  <c r="F290" i="18" s="1"/>
  <c r="H290" i="18"/>
  <c r="I290" i="18" s="1"/>
  <c r="L290" i="18"/>
  <c r="M290" i="18" s="1"/>
  <c r="N290" i="18"/>
  <c r="O290" i="18"/>
  <c r="C425" i="18"/>
  <c r="E425" i="18"/>
  <c r="G425" i="18"/>
  <c r="F425" i="18" s="1"/>
  <c r="H425" i="18"/>
  <c r="I425" i="18" s="1"/>
  <c r="L425" i="18"/>
  <c r="M425" i="18" s="1"/>
  <c r="N425" i="18"/>
  <c r="O425" i="18"/>
  <c r="C291" i="18"/>
  <c r="E291" i="18"/>
  <c r="G291" i="18"/>
  <c r="F291" i="18" s="1"/>
  <c r="H291" i="18"/>
  <c r="I291" i="18" s="1"/>
  <c r="L291" i="18"/>
  <c r="M291" i="18" s="1"/>
  <c r="N291" i="18"/>
  <c r="O291" i="18"/>
  <c r="C292" i="18"/>
  <c r="E292" i="18"/>
  <c r="G292" i="18"/>
  <c r="F292" i="18" s="1"/>
  <c r="H292" i="18"/>
  <c r="K292" i="18" s="1"/>
  <c r="L292" i="18"/>
  <c r="M292" i="18" s="1"/>
  <c r="N292" i="18"/>
  <c r="O292" i="18"/>
  <c r="C293" i="18"/>
  <c r="E293" i="18"/>
  <c r="G293" i="18"/>
  <c r="F293" i="18" s="1"/>
  <c r="H293" i="18"/>
  <c r="I293" i="18" s="1"/>
  <c r="L293" i="18"/>
  <c r="M293" i="18" s="1"/>
  <c r="N293" i="18"/>
  <c r="O293" i="18"/>
  <c r="C294" i="18"/>
  <c r="E294" i="18"/>
  <c r="G294" i="18"/>
  <c r="F294" i="18" s="1"/>
  <c r="H294" i="18"/>
  <c r="I294" i="18" s="1"/>
  <c r="L294" i="18"/>
  <c r="M294" i="18" s="1"/>
  <c r="N294" i="18"/>
  <c r="O294" i="18"/>
  <c r="C295" i="18"/>
  <c r="E295" i="18"/>
  <c r="G295" i="18"/>
  <c r="F295" i="18" s="1"/>
  <c r="H295" i="18"/>
  <c r="K295" i="18" s="1"/>
  <c r="L295" i="18"/>
  <c r="M295" i="18" s="1"/>
  <c r="N295" i="18"/>
  <c r="O295" i="18"/>
  <c r="C426" i="18"/>
  <c r="E426" i="18"/>
  <c r="G426" i="18"/>
  <c r="F426" i="18" s="1"/>
  <c r="H426" i="18"/>
  <c r="I426" i="18" s="1"/>
  <c r="L426" i="18"/>
  <c r="M426" i="18" s="1"/>
  <c r="N426" i="18"/>
  <c r="O426" i="18"/>
  <c r="C296" i="18"/>
  <c r="E296" i="18"/>
  <c r="G296" i="18"/>
  <c r="F296" i="18" s="1"/>
  <c r="H296" i="18"/>
  <c r="K296" i="18" s="1"/>
  <c r="L296" i="18"/>
  <c r="M296" i="18" s="1"/>
  <c r="N296" i="18"/>
  <c r="O296" i="18"/>
  <c r="C297" i="18"/>
  <c r="E297" i="18"/>
  <c r="G297" i="18"/>
  <c r="F297" i="18" s="1"/>
  <c r="H297" i="18"/>
  <c r="I297" i="18" s="1"/>
  <c r="L297" i="18"/>
  <c r="M297" i="18" s="1"/>
  <c r="N297" i="18"/>
  <c r="O297" i="18"/>
  <c r="C298" i="18"/>
  <c r="E298" i="18"/>
  <c r="G298" i="18"/>
  <c r="F298" i="18" s="1"/>
  <c r="H298" i="18"/>
  <c r="I298" i="18" s="1"/>
  <c r="L298" i="18"/>
  <c r="M298" i="18" s="1"/>
  <c r="N298" i="18"/>
  <c r="O298" i="18"/>
  <c r="C299" i="18"/>
  <c r="E299" i="18"/>
  <c r="G299" i="18"/>
  <c r="F299" i="18" s="1"/>
  <c r="H299" i="18"/>
  <c r="I299" i="18" s="1"/>
  <c r="L299" i="18"/>
  <c r="M299" i="18" s="1"/>
  <c r="N299" i="18"/>
  <c r="O299" i="18"/>
  <c r="C300" i="18"/>
  <c r="E300" i="18"/>
  <c r="G300" i="18"/>
  <c r="F300" i="18" s="1"/>
  <c r="H300" i="18"/>
  <c r="K300" i="18" s="1"/>
  <c r="L300" i="18"/>
  <c r="M300" i="18" s="1"/>
  <c r="N300" i="18"/>
  <c r="O300" i="18"/>
  <c r="C301" i="18"/>
  <c r="E301" i="18"/>
  <c r="G301" i="18"/>
  <c r="F301" i="18" s="1"/>
  <c r="H301" i="18"/>
  <c r="I301" i="18" s="1"/>
  <c r="L301" i="18"/>
  <c r="M301" i="18" s="1"/>
  <c r="N301" i="18"/>
  <c r="O301" i="18"/>
  <c r="C302" i="18"/>
  <c r="E302" i="18"/>
  <c r="G302" i="18"/>
  <c r="F302" i="18" s="1"/>
  <c r="H302" i="18"/>
  <c r="I302" i="18" s="1"/>
  <c r="L302" i="18"/>
  <c r="M302" i="18" s="1"/>
  <c r="N302" i="18"/>
  <c r="O302" i="18"/>
  <c r="C303" i="18"/>
  <c r="E303" i="18"/>
  <c r="G303" i="18"/>
  <c r="F303" i="18" s="1"/>
  <c r="H303" i="18"/>
  <c r="I303" i="18" s="1"/>
  <c r="L303" i="18"/>
  <c r="M303" i="18" s="1"/>
  <c r="N303" i="18"/>
  <c r="O303" i="18"/>
  <c r="C304" i="18"/>
  <c r="E304" i="18"/>
  <c r="G304" i="18"/>
  <c r="F304" i="18" s="1"/>
  <c r="H304" i="18"/>
  <c r="I304" i="18" s="1"/>
  <c r="L304" i="18"/>
  <c r="M304" i="18" s="1"/>
  <c r="N304" i="18"/>
  <c r="O304" i="18"/>
  <c r="C305" i="18"/>
  <c r="E305" i="18"/>
  <c r="G305" i="18"/>
  <c r="F305" i="18" s="1"/>
  <c r="H305" i="18"/>
  <c r="I305" i="18" s="1"/>
  <c r="L305" i="18"/>
  <c r="M305" i="18" s="1"/>
  <c r="N305" i="18"/>
  <c r="O305" i="18"/>
  <c r="C306" i="18"/>
  <c r="E306" i="18"/>
  <c r="G306" i="18"/>
  <c r="F306" i="18" s="1"/>
  <c r="H306" i="18"/>
  <c r="I306" i="18" s="1"/>
  <c r="L306" i="18"/>
  <c r="M306" i="18" s="1"/>
  <c r="N306" i="18"/>
  <c r="O306" i="18"/>
  <c r="C307" i="18"/>
  <c r="E307" i="18"/>
  <c r="G307" i="18"/>
  <c r="F307" i="18" s="1"/>
  <c r="H307" i="18"/>
  <c r="I307" i="18" s="1"/>
  <c r="L307" i="18"/>
  <c r="M307" i="18" s="1"/>
  <c r="N307" i="18"/>
  <c r="O307" i="18"/>
  <c r="C308" i="18"/>
  <c r="E308" i="18"/>
  <c r="G308" i="18"/>
  <c r="F308" i="18" s="1"/>
  <c r="H308" i="18"/>
  <c r="K308" i="18" s="1"/>
  <c r="L308" i="18"/>
  <c r="M308" i="18" s="1"/>
  <c r="N308" i="18"/>
  <c r="O308" i="18"/>
  <c r="C309" i="18"/>
  <c r="E309" i="18"/>
  <c r="G309" i="18"/>
  <c r="F309" i="18" s="1"/>
  <c r="H309" i="18"/>
  <c r="I309" i="18" s="1"/>
  <c r="L309" i="18"/>
  <c r="M309" i="18" s="1"/>
  <c r="N309" i="18"/>
  <c r="O309" i="18"/>
  <c r="C310" i="18"/>
  <c r="E310" i="18"/>
  <c r="G310" i="18"/>
  <c r="F310" i="18" s="1"/>
  <c r="H310" i="18"/>
  <c r="I310" i="18" s="1"/>
  <c r="L310" i="18"/>
  <c r="M310" i="18" s="1"/>
  <c r="N310" i="18"/>
  <c r="O310" i="18"/>
  <c r="C311" i="18"/>
  <c r="E311" i="18"/>
  <c r="G311" i="18"/>
  <c r="H311" i="18"/>
  <c r="I311" i="18" s="1"/>
  <c r="L311" i="18"/>
  <c r="M311" i="18" s="1"/>
  <c r="N311" i="18"/>
  <c r="O311" i="18"/>
  <c r="C312" i="18"/>
  <c r="E312" i="18"/>
  <c r="G312" i="18"/>
  <c r="H312" i="18"/>
  <c r="K312" i="18" s="1"/>
  <c r="L312" i="18"/>
  <c r="M312" i="18" s="1"/>
  <c r="N312" i="18"/>
  <c r="O312" i="18"/>
  <c r="C313" i="18"/>
  <c r="E313" i="18"/>
  <c r="G313" i="18"/>
  <c r="F313" i="18" s="1"/>
  <c r="H313" i="18"/>
  <c r="I313" i="18" s="1"/>
  <c r="L313" i="18"/>
  <c r="M313" i="18" s="1"/>
  <c r="N313" i="18"/>
  <c r="O313" i="18"/>
  <c r="C314" i="18"/>
  <c r="E314" i="18"/>
  <c r="G314" i="18"/>
  <c r="F314" i="18" s="1"/>
  <c r="H314" i="18"/>
  <c r="I314" i="18" s="1"/>
  <c r="L314" i="18"/>
  <c r="M314" i="18" s="1"/>
  <c r="N314" i="18"/>
  <c r="O314" i="18"/>
  <c r="C315" i="18"/>
  <c r="E315" i="18"/>
  <c r="G315" i="18"/>
  <c r="H315" i="18"/>
  <c r="K315" i="18" s="1"/>
  <c r="L315" i="18"/>
  <c r="M315" i="18" s="1"/>
  <c r="N315" i="18"/>
  <c r="O315" i="18"/>
  <c r="C316" i="18"/>
  <c r="E316" i="18"/>
  <c r="G316" i="18"/>
  <c r="H316" i="18"/>
  <c r="I316" i="18" s="1"/>
  <c r="L316" i="18"/>
  <c r="M316" i="18" s="1"/>
  <c r="N316" i="18"/>
  <c r="O316" i="18"/>
  <c r="C317" i="18"/>
  <c r="E317" i="18"/>
  <c r="G317" i="18"/>
  <c r="F317" i="18" s="1"/>
  <c r="H317" i="18"/>
  <c r="I317" i="18" s="1"/>
  <c r="L317" i="18"/>
  <c r="M317" i="18" s="1"/>
  <c r="N317" i="18"/>
  <c r="O317" i="18"/>
  <c r="C318" i="18"/>
  <c r="E318" i="18"/>
  <c r="G318" i="18"/>
  <c r="F318" i="18" s="1"/>
  <c r="H318" i="18"/>
  <c r="I318" i="18" s="1"/>
  <c r="L318" i="18"/>
  <c r="M318" i="18" s="1"/>
  <c r="N318" i="18"/>
  <c r="O318" i="18"/>
  <c r="C319" i="18"/>
  <c r="E319" i="18"/>
  <c r="G319" i="18"/>
  <c r="F319" i="18" s="1"/>
  <c r="H319" i="18"/>
  <c r="I319" i="18" s="1"/>
  <c r="L319" i="18"/>
  <c r="M319" i="18" s="1"/>
  <c r="N319" i="18"/>
  <c r="O319" i="18"/>
  <c r="C320" i="18"/>
  <c r="E320" i="18"/>
  <c r="G320" i="18"/>
  <c r="F320" i="18" s="1"/>
  <c r="H320" i="18"/>
  <c r="K320" i="18" s="1"/>
  <c r="L320" i="18"/>
  <c r="M320" i="18" s="1"/>
  <c r="N320" i="18"/>
  <c r="O320" i="18"/>
  <c r="C321" i="18"/>
  <c r="E321" i="18"/>
  <c r="G321" i="18"/>
  <c r="F321" i="18" s="1"/>
  <c r="H321" i="18"/>
  <c r="K321" i="18" s="1"/>
  <c r="L321" i="18"/>
  <c r="M321" i="18" s="1"/>
  <c r="N321" i="18"/>
  <c r="O321" i="18"/>
  <c r="C322" i="18"/>
  <c r="E322" i="18"/>
  <c r="G322" i="18"/>
  <c r="F322" i="18" s="1"/>
  <c r="H322" i="18"/>
  <c r="I322" i="18" s="1"/>
  <c r="L322" i="18"/>
  <c r="M322" i="18" s="1"/>
  <c r="N322" i="18"/>
  <c r="O322" i="18"/>
  <c r="C323" i="18"/>
  <c r="E323" i="18"/>
  <c r="G323" i="18"/>
  <c r="F323" i="18" s="1"/>
  <c r="H323" i="18"/>
  <c r="I323" i="18" s="1"/>
  <c r="L323" i="18"/>
  <c r="M323" i="18" s="1"/>
  <c r="N323" i="18"/>
  <c r="O323" i="18"/>
  <c r="C324" i="18"/>
  <c r="E324" i="18"/>
  <c r="G324" i="18"/>
  <c r="H324" i="18"/>
  <c r="K324" i="18" s="1"/>
  <c r="L324" i="18"/>
  <c r="M324" i="18" s="1"/>
  <c r="N324" i="18"/>
  <c r="O324" i="18"/>
  <c r="C325" i="18"/>
  <c r="E325" i="18"/>
  <c r="G325" i="18"/>
  <c r="F325" i="18" s="1"/>
  <c r="H325" i="18"/>
  <c r="I325" i="18" s="1"/>
  <c r="L325" i="18"/>
  <c r="M325" i="18" s="1"/>
  <c r="N325" i="18"/>
  <c r="O325" i="18"/>
  <c r="C326" i="18"/>
  <c r="E326" i="18"/>
  <c r="G326" i="18"/>
  <c r="F326" i="18" s="1"/>
  <c r="H326" i="18"/>
  <c r="I326" i="18" s="1"/>
  <c r="L326" i="18"/>
  <c r="M326" i="18" s="1"/>
  <c r="N326" i="18"/>
  <c r="O326" i="18"/>
  <c r="C327" i="18"/>
  <c r="E327" i="18"/>
  <c r="G327" i="18"/>
  <c r="F327" i="18" s="1"/>
  <c r="H327" i="18"/>
  <c r="K327" i="18" s="1"/>
  <c r="L327" i="18"/>
  <c r="M327" i="18" s="1"/>
  <c r="N327" i="18"/>
  <c r="O327" i="18"/>
  <c r="C328" i="18"/>
  <c r="E328" i="18"/>
  <c r="G328" i="18"/>
  <c r="F328" i="18" s="1"/>
  <c r="H328" i="18"/>
  <c r="I328" i="18" s="1"/>
  <c r="L328" i="18"/>
  <c r="M328" i="18" s="1"/>
  <c r="N328" i="18"/>
  <c r="O328" i="18"/>
  <c r="C329" i="18"/>
  <c r="E329" i="18"/>
  <c r="G329" i="18"/>
  <c r="F329" i="18" s="1"/>
  <c r="H329" i="18"/>
  <c r="I329" i="18" s="1"/>
  <c r="L329" i="18"/>
  <c r="M329" i="18" s="1"/>
  <c r="N329" i="18"/>
  <c r="O329" i="18"/>
  <c r="C330" i="18"/>
  <c r="E330" i="18"/>
  <c r="G330" i="18"/>
  <c r="F330" i="18" s="1"/>
  <c r="H330" i="18"/>
  <c r="I330" i="18" s="1"/>
  <c r="L330" i="18"/>
  <c r="M330" i="18" s="1"/>
  <c r="N330" i="18"/>
  <c r="O330" i="18"/>
  <c r="C331" i="18"/>
  <c r="E331" i="18"/>
  <c r="G331" i="18"/>
  <c r="H331" i="18"/>
  <c r="I331" i="18" s="1"/>
  <c r="L331" i="18"/>
  <c r="M331" i="18" s="1"/>
  <c r="N331" i="18"/>
  <c r="O331" i="18"/>
  <c r="C332" i="18"/>
  <c r="E332" i="18"/>
  <c r="G332" i="18"/>
  <c r="F332" i="18" s="1"/>
  <c r="H332" i="18"/>
  <c r="I332" i="18" s="1"/>
  <c r="L332" i="18"/>
  <c r="M332" i="18" s="1"/>
  <c r="N332" i="18"/>
  <c r="O332" i="18"/>
  <c r="C333" i="18"/>
  <c r="E333" i="18"/>
  <c r="G333" i="18"/>
  <c r="H333" i="18"/>
  <c r="K333" i="18" s="1"/>
  <c r="L333" i="18"/>
  <c r="M333" i="18" s="1"/>
  <c r="N333" i="18"/>
  <c r="O333" i="18"/>
  <c r="C334" i="18"/>
  <c r="E334" i="18"/>
  <c r="G334" i="18"/>
  <c r="F334" i="18" s="1"/>
  <c r="H334" i="18"/>
  <c r="I334" i="18" s="1"/>
  <c r="L334" i="18"/>
  <c r="M334" i="18" s="1"/>
  <c r="N334" i="18"/>
  <c r="O334" i="18"/>
  <c r="C335" i="18"/>
  <c r="E335" i="18"/>
  <c r="G335" i="18"/>
  <c r="F335" i="18" s="1"/>
  <c r="H335" i="18"/>
  <c r="K335" i="18" s="1"/>
  <c r="L335" i="18"/>
  <c r="M335" i="18" s="1"/>
  <c r="N335" i="18"/>
  <c r="O335" i="18"/>
  <c r="C336" i="18"/>
  <c r="E336" i="18"/>
  <c r="G336" i="18"/>
  <c r="F336" i="18" s="1"/>
  <c r="H336" i="18"/>
  <c r="I336" i="18" s="1"/>
  <c r="L336" i="18"/>
  <c r="M336" i="18" s="1"/>
  <c r="N336" i="18"/>
  <c r="O336" i="18"/>
  <c r="C337" i="18"/>
  <c r="E337" i="18"/>
  <c r="G337" i="18"/>
  <c r="F337" i="18" s="1"/>
  <c r="H337" i="18"/>
  <c r="I337" i="18" s="1"/>
  <c r="L337" i="18"/>
  <c r="M337" i="18" s="1"/>
  <c r="N337" i="18"/>
  <c r="O337" i="18"/>
  <c r="C427" i="18"/>
  <c r="E427" i="18"/>
  <c r="G427" i="18"/>
  <c r="F427" i="18" s="1"/>
  <c r="H427" i="18"/>
  <c r="I427" i="18" s="1"/>
  <c r="L427" i="18"/>
  <c r="M427" i="18" s="1"/>
  <c r="N427" i="18"/>
  <c r="O427" i="18"/>
  <c r="C338" i="18"/>
  <c r="E338" i="18"/>
  <c r="G338" i="18"/>
  <c r="F338" i="18" s="1"/>
  <c r="H338" i="18"/>
  <c r="K338" i="18" s="1"/>
  <c r="L338" i="18"/>
  <c r="M338" i="18" s="1"/>
  <c r="N338" i="18"/>
  <c r="O338" i="18"/>
  <c r="C339" i="18"/>
  <c r="E339" i="18"/>
  <c r="G339" i="18"/>
  <c r="F339" i="18" s="1"/>
  <c r="H339" i="18"/>
  <c r="I339" i="18" s="1"/>
  <c r="L339" i="18"/>
  <c r="M339" i="18" s="1"/>
  <c r="N339" i="18"/>
  <c r="O339" i="18"/>
  <c r="C340" i="18"/>
  <c r="E340" i="18"/>
  <c r="G340" i="18"/>
  <c r="F340" i="18" s="1"/>
  <c r="H340" i="18"/>
  <c r="I340" i="18" s="1"/>
  <c r="L340" i="18"/>
  <c r="M340" i="18" s="1"/>
  <c r="N340" i="18"/>
  <c r="O340" i="18"/>
  <c r="C341" i="18"/>
  <c r="E341" i="18"/>
  <c r="G341" i="18"/>
  <c r="F341" i="18" s="1"/>
  <c r="H341" i="18"/>
  <c r="K341" i="18" s="1"/>
  <c r="L341" i="18"/>
  <c r="M341" i="18" s="1"/>
  <c r="N341" i="18"/>
  <c r="O341" i="18"/>
  <c r="C428" i="18"/>
  <c r="E428" i="18"/>
  <c r="G428" i="18"/>
  <c r="F428" i="18" s="1"/>
  <c r="H428" i="18"/>
  <c r="I428" i="18" s="1"/>
  <c r="L428" i="18"/>
  <c r="M428" i="18" s="1"/>
  <c r="N428" i="18"/>
  <c r="O428" i="18"/>
  <c r="C342" i="18"/>
  <c r="E342" i="18"/>
  <c r="G342" i="18"/>
  <c r="F342" i="18" s="1"/>
  <c r="H342" i="18"/>
  <c r="I342" i="18" s="1"/>
  <c r="L342" i="18"/>
  <c r="M342" i="18" s="1"/>
  <c r="N342" i="18"/>
  <c r="O342" i="18"/>
  <c r="C429" i="18"/>
  <c r="E429" i="18"/>
  <c r="G429" i="18"/>
  <c r="F429" i="18" s="1"/>
  <c r="H429" i="18"/>
  <c r="K429" i="18" s="1"/>
  <c r="L429" i="18"/>
  <c r="M429" i="18" s="1"/>
  <c r="N429" i="18"/>
  <c r="O429" i="18"/>
  <c r="C343" i="18"/>
  <c r="E343" i="18"/>
  <c r="G343" i="18"/>
  <c r="F343" i="18" s="1"/>
  <c r="H343" i="18"/>
  <c r="K343" i="18" s="1"/>
  <c r="L343" i="18"/>
  <c r="M343" i="18" s="1"/>
  <c r="N343" i="18"/>
  <c r="O343" i="18"/>
  <c r="C344" i="18"/>
  <c r="E344" i="18"/>
  <c r="G344" i="18"/>
  <c r="F344" i="18" s="1"/>
  <c r="H344" i="18"/>
  <c r="K344" i="18" s="1"/>
  <c r="L344" i="18"/>
  <c r="M344" i="18" s="1"/>
  <c r="N344" i="18"/>
  <c r="O344" i="18"/>
  <c r="C430" i="18"/>
  <c r="E430" i="18"/>
  <c r="G430" i="18"/>
  <c r="F430" i="18" s="1"/>
  <c r="H430" i="18"/>
  <c r="I430" i="18" s="1"/>
  <c r="L430" i="18"/>
  <c r="M430" i="18" s="1"/>
  <c r="N430" i="18"/>
  <c r="O430" i="18"/>
  <c r="C431" i="18"/>
  <c r="E431" i="18"/>
  <c r="G431" i="18"/>
  <c r="F431" i="18" s="1"/>
  <c r="H431" i="18"/>
  <c r="I431" i="18" s="1"/>
  <c r="L431" i="18"/>
  <c r="M431" i="18" s="1"/>
  <c r="N431" i="18"/>
  <c r="O431" i="18"/>
  <c r="C345" i="18"/>
  <c r="E345" i="18"/>
  <c r="G345" i="18"/>
  <c r="H345" i="18"/>
  <c r="I345" i="18" s="1"/>
  <c r="L345" i="18"/>
  <c r="M345" i="18" s="1"/>
  <c r="N345" i="18"/>
  <c r="O345" i="18"/>
  <c r="C432" i="18"/>
  <c r="E432" i="18"/>
  <c r="G432" i="18"/>
  <c r="F432" i="18" s="1"/>
  <c r="H432" i="18"/>
  <c r="K432" i="18" s="1"/>
  <c r="L432" i="18"/>
  <c r="M432" i="18" s="1"/>
  <c r="N432" i="18"/>
  <c r="O432" i="18"/>
  <c r="C346" i="18"/>
  <c r="E346" i="18"/>
  <c r="G346" i="18"/>
  <c r="H346" i="18"/>
  <c r="I346" i="18" s="1"/>
  <c r="L346" i="18"/>
  <c r="M346" i="18" s="1"/>
  <c r="N346" i="18"/>
  <c r="O346" i="18"/>
  <c r="C433" i="18"/>
  <c r="E433" i="18"/>
  <c r="G433" i="18"/>
  <c r="F433" i="18" s="1"/>
  <c r="H433" i="18"/>
  <c r="I433" i="18" s="1"/>
  <c r="L433" i="18"/>
  <c r="M433" i="18" s="1"/>
  <c r="N433" i="18"/>
  <c r="O433" i="18"/>
  <c r="C347" i="18"/>
  <c r="E347" i="18"/>
  <c r="G347" i="18"/>
  <c r="F347" i="18" s="1"/>
  <c r="H347" i="18"/>
  <c r="I347" i="18" s="1"/>
  <c r="L347" i="18"/>
  <c r="M347" i="18" s="1"/>
  <c r="N347" i="18"/>
  <c r="O347" i="18"/>
  <c r="C348" i="18"/>
  <c r="E348" i="18"/>
  <c r="G348" i="18"/>
  <c r="F348" i="18" s="1"/>
  <c r="H348" i="18"/>
  <c r="I348" i="18" s="1"/>
  <c r="L348" i="18"/>
  <c r="M348" i="18" s="1"/>
  <c r="N348" i="18"/>
  <c r="O348" i="18"/>
  <c r="C349" i="18"/>
  <c r="E349" i="18"/>
  <c r="G349" i="18"/>
  <c r="F349" i="18" s="1"/>
  <c r="H349" i="18"/>
  <c r="K349" i="18" s="1"/>
  <c r="L349" i="18"/>
  <c r="M349" i="18" s="1"/>
  <c r="N349" i="18"/>
  <c r="O349" i="18"/>
  <c r="C350" i="18"/>
  <c r="E350" i="18"/>
  <c r="G350" i="18"/>
  <c r="F350" i="18" s="1"/>
  <c r="H350" i="18"/>
  <c r="K350" i="18" s="1"/>
  <c r="L350" i="18"/>
  <c r="M350" i="18" s="1"/>
  <c r="N350" i="18"/>
  <c r="O350" i="18"/>
  <c r="C351" i="18"/>
  <c r="E351" i="18"/>
  <c r="G351" i="18"/>
  <c r="H351" i="18"/>
  <c r="I351" i="18" s="1"/>
  <c r="L351" i="18"/>
  <c r="M351" i="18" s="1"/>
  <c r="N351" i="18"/>
  <c r="O351" i="18"/>
  <c r="C352" i="18"/>
  <c r="E352" i="18"/>
  <c r="G352" i="18"/>
  <c r="F352" i="18" s="1"/>
  <c r="H352" i="18"/>
  <c r="K352" i="18" s="1"/>
  <c r="L352" i="18"/>
  <c r="M352" i="18" s="1"/>
  <c r="N352" i="18"/>
  <c r="O352" i="18"/>
  <c r="C353" i="18"/>
  <c r="E353" i="18"/>
  <c r="G353" i="18"/>
  <c r="H353" i="18"/>
  <c r="K353" i="18" s="1"/>
  <c r="L353" i="18"/>
  <c r="M353" i="18" s="1"/>
  <c r="N353" i="18"/>
  <c r="O353" i="18"/>
  <c r="C354" i="18"/>
  <c r="E354" i="18"/>
  <c r="G354" i="18"/>
  <c r="H354" i="18"/>
  <c r="I354" i="18" s="1"/>
  <c r="L354" i="18"/>
  <c r="M354" i="18" s="1"/>
  <c r="N354" i="18"/>
  <c r="O354" i="18"/>
  <c r="C355" i="18"/>
  <c r="E355" i="18"/>
  <c r="G355" i="18"/>
  <c r="F355" i="18" s="1"/>
  <c r="H355" i="18"/>
  <c r="I355" i="18" s="1"/>
  <c r="L355" i="18"/>
  <c r="M355" i="18" s="1"/>
  <c r="N355" i="18"/>
  <c r="O355" i="18"/>
  <c r="C356" i="18"/>
  <c r="E356" i="18"/>
  <c r="G356" i="18"/>
  <c r="F356" i="18" s="1"/>
  <c r="H356" i="18"/>
  <c r="K356" i="18" s="1"/>
  <c r="L356" i="18"/>
  <c r="M356" i="18" s="1"/>
  <c r="N356" i="18"/>
  <c r="O356" i="18"/>
  <c r="C357" i="18"/>
  <c r="E357" i="18"/>
  <c r="G357" i="18"/>
  <c r="H357" i="18"/>
  <c r="I357" i="18" s="1"/>
  <c r="L357" i="18"/>
  <c r="M357" i="18" s="1"/>
  <c r="N357" i="18"/>
  <c r="O357" i="18"/>
  <c r="C434" i="18"/>
  <c r="E434" i="18"/>
  <c r="G434" i="18"/>
  <c r="F434" i="18" s="1"/>
  <c r="H434" i="18"/>
  <c r="I434" i="18" s="1"/>
  <c r="L434" i="18"/>
  <c r="M434" i="18" s="1"/>
  <c r="N434" i="18"/>
  <c r="O434" i="18"/>
  <c r="C358" i="18"/>
  <c r="E358" i="18"/>
  <c r="G358" i="18"/>
  <c r="F358" i="18" s="1"/>
  <c r="H358" i="18"/>
  <c r="I358" i="18" s="1"/>
  <c r="L358" i="18"/>
  <c r="M358" i="18" s="1"/>
  <c r="N358" i="18"/>
  <c r="O358" i="18"/>
  <c r="C359" i="18"/>
  <c r="E359" i="18"/>
  <c r="G359" i="18"/>
  <c r="F359" i="18" s="1"/>
  <c r="H359" i="18"/>
  <c r="I359" i="18" s="1"/>
  <c r="L359" i="18"/>
  <c r="M359" i="18" s="1"/>
  <c r="N359" i="18"/>
  <c r="O359" i="18"/>
  <c r="C435" i="18"/>
  <c r="E435" i="18"/>
  <c r="G435" i="18"/>
  <c r="F435" i="18" s="1"/>
  <c r="H435" i="18"/>
  <c r="I435" i="18" s="1"/>
  <c r="L435" i="18"/>
  <c r="M435" i="18" s="1"/>
  <c r="N435" i="18"/>
  <c r="O435" i="18"/>
  <c r="C436" i="18"/>
  <c r="E436" i="18"/>
  <c r="G436" i="18"/>
  <c r="F436" i="18" s="1"/>
  <c r="H436" i="18"/>
  <c r="K436" i="18" s="1"/>
  <c r="L436" i="18"/>
  <c r="M436" i="18" s="1"/>
  <c r="N436" i="18"/>
  <c r="O436" i="18"/>
  <c r="C360" i="18"/>
  <c r="E360" i="18"/>
  <c r="G360" i="18"/>
  <c r="F360" i="18" s="1"/>
  <c r="H360" i="18"/>
  <c r="I360" i="18" s="1"/>
  <c r="L360" i="18"/>
  <c r="M360" i="18" s="1"/>
  <c r="N360" i="18"/>
  <c r="O360" i="18"/>
  <c r="C361" i="18"/>
  <c r="E361" i="18"/>
  <c r="G361" i="18"/>
  <c r="F361" i="18" s="1"/>
  <c r="H361" i="18"/>
  <c r="K361" i="18" s="1"/>
  <c r="L361" i="18"/>
  <c r="M361" i="18" s="1"/>
  <c r="N361" i="18"/>
  <c r="O361" i="18"/>
  <c r="C362" i="18"/>
  <c r="E362" i="18"/>
  <c r="G362" i="18"/>
  <c r="H362" i="18"/>
  <c r="I362" i="18" s="1"/>
  <c r="L362" i="18"/>
  <c r="M362" i="18" s="1"/>
  <c r="N362" i="18"/>
  <c r="O362" i="18"/>
  <c r="C363" i="18"/>
  <c r="E363" i="18"/>
  <c r="G363" i="18"/>
  <c r="H363" i="18"/>
  <c r="I363" i="18" s="1"/>
  <c r="L363" i="18"/>
  <c r="M363" i="18" s="1"/>
  <c r="N363" i="18"/>
  <c r="O363" i="18"/>
  <c r="C364" i="18"/>
  <c r="E364" i="18"/>
  <c r="G364" i="18"/>
  <c r="F364" i="18" s="1"/>
  <c r="H364" i="18"/>
  <c r="L364" i="18"/>
  <c r="M364" i="18" s="1"/>
  <c r="N364" i="18"/>
  <c r="O364" i="18"/>
  <c r="C365" i="18"/>
  <c r="E365" i="18"/>
  <c r="G365" i="18"/>
  <c r="F365" i="18" s="1"/>
  <c r="H365" i="18"/>
  <c r="K365" i="18" s="1"/>
  <c r="L365" i="18"/>
  <c r="M365" i="18" s="1"/>
  <c r="N365" i="18"/>
  <c r="O365" i="18"/>
  <c r="C437" i="18"/>
  <c r="E437" i="18"/>
  <c r="G437" i="18"/>
  <c r="F437" i="18" s="1"/>
  <c r="H437" i="18"/>
  <c r="I437" i="18" s="1"/>
  <c r="L437" i="18"/>
  <c r="M437" i="18" s="1"/>
  <c r="N437" i="18"/>
  <c r="O437" i="18"/>
  <c r="C366" i="18"/>
  <c r="E366" i="18"/>
  <c r="G366" i="18"/>
  <c r="F366" i="18" s="1"/>
  <c r="H366" i="18"/>
  <c r="I366" i="18" s="1"/>
  <c r="L366" i="18"/>
  <c r="M366" i="18" s="1"/>
  <c r="N366" i="18"/>
  <c r="O366" i="18"/>
  <c r="C438" i="18"/>
  <c r="E438" i="18"/>
  <c r="G438" i="18"/>
  <c r="F438" i="18" s="1"/>
  <c r="H438" i="18"/>
  <c r="I438" i="18" s="1"/>
  <c r="L438" i="18"/>
  <c r="M438" i="18" s="1"/>
  <c r="N438" i="18"/>
  <c r="O438" i="18"/>
  <c r="C367" i="18"/>
  <c r="E367" i="18"/>
  <c r="G367" i="18"/>
  <c r="F367" i="18" s="1"/>
  <c r="H367" i="18"/>
  <c r="I367" i="18" s="1"/>
  <c r="L367" i="18"/>
  <c r="M367" i="18" s="1"/>
  <c r="N367" i="18"/>
  <c r="O367" i="18"/>
  <c r="C439" i="18"/>
  <c r="E439" i="18"/>
  <c r="G439" i="18"/>
  <c r="F439" i="18" s="1"/>
  <c r="H439" i="18"/>
  <c r="K439" i="18" s="1"/>
  <c r="L439" i="18"/>
  <c r="M439" i="18" s="1"/>
  <c r="N439" i="18"/>
  <c r="O439" i="18"/>
  <c r="C368" i="18"/>
  <c r="E368" i="18"/>
  <c r="G368" i="18"/>
  <c r="F368" i="18" s="1"/>
  <c r="H368" i="18"/>
  <c r="K368" i="18" s="1"/>
  <c r="L368" i="18"/>
  <c r="M368" i="18" s="1"/>
  <c r="N368" i="18"/>
  <c r="O368" i="18"/>
  <c r="C369" i="18"/>
  <c r="E369" i="18"/>
  <c r="G369" i="18"/>
  <c r="F369" i="18" s="1"/>
  <c r="H369" i="18"/>
  <c r="I369" i="18" s="1"/>
  <c r="L369" i="18"/>
  <c r="M369" i="18" s="1"/>
  <c r="N369" i="18"/>
  <c r="O369" i="18"/>
  <c r="C440" i="18"/>
  <c r="E440" i="18"/>
  <c r="G440" i="18"/>
  <c r="F440" i="18" s="1"/>
  <c r="H440" i="18"/>
  <c r="K440" i="18" s="1"/>
  <c r="L440" i="18"/>
  <c r="M440" i="18" s="1"/>
  <c r="N440" i="18"/>
  <c r="O440" i="18"/>
  <c r="C441" i="18"/>
  <c r="E441" i="18"/>
  <c r="G441" i="18"/>
  <c r="F441" i="18" s="1"/>
  <c r="H441" i="18"/>
  <c r="I441" i="18" s="1"/>
  <c r="L441" i="18"/>
  <c r="M441" i="18" s="1"/>
  <c r="N441" i="18"/>
  <c r="O441" i="18"/>
  <c r="C370" i="18"/>
  <c r="E370" i="18"/>
  <c r="G370" i="18"/>
  <c r="H370" i="18"/>
  <c r="I370" i="18" s="1"/>
  <c r="L370" i="18"/>
  <c r="M370" i="18" s="1"/>
  <c r="N370" i="18"/>
  <c r="O370" i="18"/>
  <c r="C371" i="18"/>
  <c r="E371" i="18"/>
  <c r="G371" i="18"/>
  <c r="F371" i="18" s="1"/>
  <c r="H371" i="18"/>
  <c r="I371" i="18" s="1"/>
  <c r="L371" i="18"/>
  <c r="M371" i="18" s="1"/>
  <c r="N371" i="18"/>
  <c r="O371" i="18"/>
  <c r="C372" i="18"/>
  <c r="E372" i="18"/>
  <c r="G372" i="18"/>
  <c r="F372" i="18" s="1"/>
  <c r="H372" i="18"/>
  <c r="K372" i="18" s="1"/>
  <c r="L372" i="18"/>
  <c r="M372" i="18" s="1"/>
  <c r="N372" i="18"/>
  <c r="O372" i="18"/>
  <c r="C373" i="18"/>
  <c r="E373" i="18"/>
  <c r="G373" i="18"/>
  <c r="F373" i="18" s="1"/>
  <c r="H373" i="18"/>
  <c r="I373" i="18" s="1"/>
  <c r="L373" i="18"/>
  <c r="M373" i="18" s="1"/>
  <c r="N373" i="18"/>
  <c r="O373" i="18"/>
  <c r="C442" i="18"/>
  <c r="E442" i="18"/>
  <c r="G442" i="18"/>
  <c r="F442" i="18" s="1"/>
  <c r="H442" i="18"/>
  <c r="I442" i="18" s="1"/>
  <c r="L442" i="18"/>
  <c r="M442" i="18" s="1"/>
  <c r="N442" i="18"/>
  <c r="O442" i="18"/>
  <c r="C374" i="18"/>
  <c r="E374" i="18"/>
  <c r="G374" i="18"/>
  <c r="F374" i="18" s="1"/>
  <c r="H374" i="18"/>
  <c r="I374" i="18" s="1"/>
  <c r="L374" i="18"/>
  <c r="M374" i="18" s="1"/>
  <c r="N374" i="18"/>
  <c r="O374" i="18"/>
  <c r="C375" i="18"/>
  <c r="E375" i="18"/>
  <c r="G375" i="18"/>
  <c r="F375" i="18" s="1"/>
  <c r="H375" i="18"/>
  <c r="I375" i="18" s="1"/>
  <c r="L375" i="18"/>
  <c r="M375" i="18" s="1"/>
  <c r="N375" i="18"/>
  <c r="O375" i="18"/>
  <c r="C376" i="18"/>
  <c r="E376" i="18"/>
  <c r="G376" i="18"/>
  <c r="F376" i="18" s="1"/>
  <c r="H376" i="18"/>
  <c r="I376" i="18" s="1"/>
  <c r="L376" i="18"/>
  <c r="M376" i="18" s="1"/>
  <c r="N376" i="18"/>
  <c r="O376" i="18"/>
  <c r="C443" i="18"/>
  <c r="E443" i="18"/>
  <c r="G443" i="18"/>
  <c r="F443" i="18" s="1"/>
  <c r="H443" i="18"/>
  <c r="K443" i="18" s="1"/>
  <c r="L443" i="18"/>
  <c r="M443" i="18" s="1"/>
  <c r="N443" i="18"/>
  <c r="O443" i="18"/>
  <c r="O2" i="18"/>
  <c r="N2" i="18"/>
  <c r="L2" i="18"/>
  <c r="H2" i="18"/>
  <c r="G2" i="18"/>
  <c r="F2" i="18" s="1"/>
  <c r="E2" i="18"/>
  <c r="C2" i="18"/>
  <c r="B2" i="18"/>
  <c r="B3" i="18"/>
  <c r="B4" i="18"/>
  <c r="B5" i="18"/>
  <c r="B6" i="18"/>
  <c r="B7" i="18"/>
  <c r="B8" i="18"/>
  <c r="B9" i="18"/>
  <c r="B10" i="18"/>
  <c r="B11" i="18"/>
  <c r="B12" i="18"/>
  <c r="B13" i="18"/>
  <c r="B14" i="18"/>
  <c r="B377" i="18"/>
  <c r="B15" i="18"/>
  <c r="B378" i="18"/>
  <c r="B16" i="18"/>
  <c r="B379" i="18"/>
  <c r="B380" i="18"/>
  <c r="B17" i="18"/>
  <c r="B18" i="18"/>
  <c r="B381" i="18"/>
  <c r="B19" i="18"/>
  <c r="B20" i="18"/>
  <c r="B21" i="18"/>
  <c r="B22" i="18"/>
  <c r="B382" i="18"/>
  <c r="B23" i="18"/>
  <c r="B383" i="18"/>
  <c r="B24" i="18"/>
  <c r="B25" i="18"/>
  <c r="B26" i="18"/>
  <c r="B27" i="18"/>
  <c r="B28" i="18"/>
  <c r="B384" i="18"/>
  <c r="B29" i="18"/>
  <c r="B385" i="18"/>
  <c r="B30" i="18"/>
  <c r="B31" i="18"/>
  <c r="B386" i="18"/>
  <c r="B387" i="18"/>
  <c r="B32" i="18"/>
  <c r="B33" i="18"/>
  <c r="B34" i="18"/>
  <c r="B35" i="18"/>
  <c r="B36" i="18"/>
  <c r="B37" i="18"/>
  <c r="B388" i="18"/>
  <c r="B389" i="18"/>
  <c r="B390" i="18"/>
  <c r="B38" i="18"/>
  <c r="B391" i="18"/>
  <c r="B39" i="18"/>
  <c r="B40" i="18"/>
  <c r="B392" i="18"/>
  <c r="B41" i="18"/>
  <c r="B393" i="18"/>
  <c r="B42" i="18"/>
  <c r="B43" i="18"/>
  <c r="B44" i="18"/>
  <c r="B45" i="18"/>
  <c r="B46" i="18"/>
  <c r="B47" i="18"/>
  <c r="B48" i="18"/>
  <c r="B49" i="18"/>
  <c r="B50" i="18"/>
  <c r="B51" i="18"/>
  <c r="B52" i="18"/>
  <c r="B53" i="18"/>
  <c r="B394" i="18"/>
  <c r="B54" i="18"/>
  <c r="B55" i="18"/>
  <c r="B56" i="18"/>
  <c r="B57" i="18"/>
  <c r="B58" i="18"/>
  <c r="B59" i="18"/>
  <c r="B60" i="18"/>
  <c r="B61" i="18"/>
  <c r="B62" i="18"/>
  <c r="B63" i="18"/>
  <c r="B64" i="18"/>
  <c r="B65" i="18"/>
  <c r="B66" i="18"/>
  <c r="B67" i="18"/>
  <c r="B68" i="18"/>
  <c r="B69" i="18"/>
  <c r="B395" i="18"/>
  <c r="B396" i="18"/>
  <c r="B397" i="18"/>
  <c r="B70" i="18"/>
  <c r="B71" i="18"/>
  <c r="B72" i="18"/>
  <c r="B73" i="18"/>
  <c r="B74" i="18"/>
  <c r="B75" i="18"/>
  <c r="B76" i="18"/>
  <c r="B77" i="18"/>
  <c r="B78" i="18"/>
  <c r="B79" i="18"/>
  <c r="B80" i="18"/>
  <c r="B81" i="18"/>
  <c r="B82" i="18"/>
  <c r="B83" i="18"/>
  <c r="B398" i="18"/>
  <c r="B84" i="18"/>
  <c r="B85" i="18"/>
  <c r="B86" i="18"/>
  <c r="B87" i="18"/>
  <c r="B88" i="18"/>
  <c r="B89" i="18"/>
  <c r="B399" i="18"/>
  <c r="B400" i="18"/>
  <c r="B90" i="18"/>
  <c r="B401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402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40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404" i="18"/>
  <c r="B177" i="18"/>
  <c r="B405" i="18"/>
  <c r="B178" i="18"/>
  <c r="B179" i="18"/>
  <c r="B406" i="18"/>
  <c r="B407" i="18"/>
  <c r="B180" i="18"/>
  <c r="B181" i="18"/>
  <c r="B182" i="18"/>
  <c r="B183" i="18"/>
  <c r="B184" i="18"/>
  <c r="B185" i="18"/>
  <c r="B186" i="18"/>
  <c r="B408" i="18"/>
  <c r="B187" i="18"/>
  <c r="B188" i="18"/>
  <c r="B409" i="18"/>
  <c r="B410" i="18"/>
  <c r="B189" i="18"/>
  <c r="B190" i="18"/>
  <c r="B191" i="18"/>
  <c r="B192" i="18"/>
  <c r="B193" i="18"/>
  <c r="B194" i="18"/>
  <c r="B195" i="18"/>
  <c r="B196" i="18"/>
  <c r="B411" i="18"/>
  <c r="B197" i="18"/>
  <c r="B198" i="18"/>
  <c r="B199" i="18"/>
  <c r="B200" i="18"/>
  <c r="B201" i="18"/>
  <c r="B412" i="18"/>
  <c r="B413" i="18"/>
  <c r="B414" i="18"/>
  <c r="B415" i="18"/>
  <c r="B416" i="18"/>
  <c r="B417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418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419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420" i="18"/>
  <c r="B255" i="18"/>
  <c r="B256" i="18"/>
  <c r="B257" i="18"/>
  <c r="B258" i="18"/>
  <c r="B259" i="18"/>
  <c r="B260" i="18"/>
  <c r="B261" i="18"/>
  <c r="B262" i="18"/>
  <c r="B263" i="18"/>
  <c r="B264" i="18"/>
  <c r="B421" i="18"/>
  <c r="B265" i="18"/>
  <c r="B266" i="18"/>
  <c r="B267" i="18"/>
  <c r="B422" i="18"/>
  <c r="B423" i="18"/>
  <c r="B268" i="18"/>
  <c r="B269" i="18"/>
  <c r="B270" i="18"/>
  <c r="B271" i="18"/>
  <c r="B272" i="18"/>
  <c r="B424" i="18"/>
  <c r="B273" i="18"/>
  <c r="B274" i="18"/>
  <c r="B275" i="18"/>
  <c r="B276" i="18"/>
  <c r="B277" i="18"/>
  <c r="B278" i="18"/>
  <c r="B279" i="18"/>
  <c r="B280" i="18"/>
  <c r="B281" i="18"/>
  <c r="B282" i="18"/>
  <c r="B283" i="18"/>
  <c r="B284" i="18"/>
  <c r="B285" i="18"/>
  <c r="B286" i="18"/>
  <c r="B287" i="18"/>
  <c r="B288" i="18"/>
  <c r="B289" i="18"/>
  <c r="B290" i="18"/>
  <c r="B425" i="18"/>
  <c r="B291" i="18"/>
  <c r="B292" i="18"/>
  <c r="B293" i="18"/>
  <c r="B294" i="18"/>
  <c r="B295" i="18"/>
  <c r="B426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10" i="18"/>
  <c r="B311" i="18"/>
  <c r="B312" i="18"/>
  <c r="B313" i="18"/>
  <c r="B314" i="18"/>
  <c r="B315" i="18"/>
  <c r="B316" i="18"/>
  <c r="B317" i="18"/>
  <c r="B318" i="18"/>
  <c r="B319" i="18"/>
  <c r="B320" i="18"/>
  <c r="B321" i="18"/>
  <c r="B322" i="18"/>
  <c r="B323" i="18"/>
  <c r="B324" i="18"/>
  <c r="B325" i="18"/>
  <c r="B326" i="18"/>
  <c r="B327" i="18"/>
  <c r="B328" i="18"/>
  <c r="B329" i="18"/>
  <c r="B330" i="18"/>
  <c r="B331" i="18"/>
  <c r="B332" i="18"/>
  <c r="B333" i="18"/>
  <c r="B334" i="18"/>
  <c r="B335" i="18"/>
  <c r="B336" i="18"/>
  <c r="B337" i="18"/>
  <c r="B427" i="18"/>
  <c r="B338" i="18"/>
  <c r="B339" i="18"/>
  <c r="B340" i="18"/>
  <c r="B341" i="18"/>
  <c r="B428" i="18"/>
  <c r="B342" i="18"/>
  <c r="B429" i="18"/>
  <c r="B343" i="18"/>
  <c r="B344" i="18"/>
  <c r="B430" i="18"/>
  <c r="B431" i="18"/>
  <c r="B345" i="18"/>
  <c r="B432" i="18"/>
  <c r="B346" i="18"/>
  <c r="B433" i="18"/>
  <c r="B347" i="18"/>
  <c r="B348" i="18"/>
  <c r="B349" i="18"/>
  <c r="B350" i="18"/>
  <c r="B351" i="18"/>
  <c r="B352" i="18"/>
  <c r="B353" i="18"/>
  <c r="B354" i="18"/>
  <c r="B355" i="18"/>
  <c r="B356" i="18"/>
  <c r="B357" i="18"/>
  <c r="B434" i="18"/>
  <c r="B358" i="18"/>
  <c r="B359" i="18"/>
  <c r="B435" i="18"/>
  <c r="B436" i="18"/>
  <c r="B360" i="18"/>
  <c r="B361" i="18"/>
  <c r="B362" i="18"/>
  <c r="B363" i="18"/>
  <c r="B364" i="18"/>
  <c r="B365" i="18"/>
  <c r="B437" i="18"/>
  <c r="B366" i="18"/>
  <c r="B438" i="18"/>
  <c r="B367" i="18"/>
  <c r="B439" i="18"/>
  <c r="B368" i="18"/>
  <c r="B369" i="18"/>
  <c r="B440" i="18"/>
  <c r="B441" i="18"/>
  <c r="B370" i="18"/>
  <c r="B371" i="18"/>
  <c r="B372" i="18"/>
  <c r="B373" i="18"/>
  <c r="B442" i="18"/>
  <c r="B374" i="18"/>
  <c r="B375" i="18"/>
  <c r="B376" i="18"/>
  <c r="B443" i="18"/>
  <c r="A44" i="16" l="1"/>
  <c r="A56" i="16" s="1"/>
  <c r="A43" i="16"/>
  <c r="A55" i="16" s="1"/>
  <c r="A42" i="16"/>
  <c r="A54" i="16" s="1"/>
  <c r="A331" i="18"/>
  <c r="A319" i="18"/>
  <c r="A322" i="18"/>
  <c r="A351" i="18"/>
  <c r="A199" i="18"/>
  <c r="A273" i="18"/>
  <c r="A310" i="18"/>
  <c r="A298" i="18"/>
  <c r="A288" i="18"/>
  <c r="A234" i="18"/>
  <c r="A222" i="18"/>
  <c r="A415" i="18"/>
  <c r="U415" i="18" s="1"/>
  <c r="A194" i="18"/>
  <c r="A106" i="18"/>
  <c r="A343" i="18"/>
  <c r="A95" i="18"/>
  <c r="A86" i="18"/>
  <c r="A130" i="18"/>
  <c r="A276" i="18"/>
  <c r="A334" i="18"/>
  <c r="A267" i="18"/>
  <c r="A251" i="18"/>
  <c r="A5" i="18"/>
  <c r="A293" i="18"/>
  <c r="A282" i="18"/>
  <c r="A75" i="18"/>
  <c r="A102" i="18"/>
  <c r="A401" i="18"/>
  <c r="U401" i="18" s="1"/>
  <c r="A61" i="18"/>
  <c r="A24" i="18"/>
  <c r="A379" i="18"/>
  <c r="U379" i="18" s="1"/>
  <c r="A228" i="18"/>
  <c r="A100" i="18"/>
  <c r="A381" i="18"/>
  <c r="U381" i="18" s="1"/>
  <c r="A441" i="18"/>
  <c r="U441" i="18" s="1"/>
  <c r="A362" i="18"/>
  <c r="A353" i="18"/>
  <c r="A324" i="18"/>
  <c r="A312" i="18"/>
  <c r="A300" i="18"/>
  <c r="A290" i="18"/>
  <c r="A278" i="18"/>
  <c r="A423" i="18"/>
  <c r="U423" i="18" s="1"/>
  <c r="A258" i="18"/>
  <c r="A247" i="18"/>
  <c r="A236" i="18"/>
  <c r="A172" i="18"/>
  <c r="A137" i="18"/>
  <c r="A125" i="18"/>
  <c r="A82" i="18"/>
  <c r="A36" i="18"/>
  <c r="A307" i="18"/>
  <c r="A285" i="18"/>
  <c r="A256" i="18"/>
  <c r="A430" i="18"/>
  <c r="U430" i="18" s="1"/>
  <c r="A336" i="18"/>
  <c r="A360" i="18"/>
  <c r="A245" i="18"/>
  <c r="A185" i="18"/>
  <c r="A66" i="18"/>
  <c r="A240" i="18"/>
  <c r="A217" i="18"/>
  <c r="A205" i="18"/>
  <c r="A372" i="18"/>
  <c r="A365" i="18"/>
  <c r="A356" i="18"/>
  <c r="A432" i="18"/>
  <c r="U432" i="18" s="1"/>
  <c r="A224" i="18"/>
  <c r="A417" i="18"/>
  <c r="U417" i="18" s="1"/>
  <c r="A196" i="18"/>
  <c r="A408" i="18"/>
  <c r="U408" i="18" s="1"/>
  <c r="A405" i="18"/>
  <c r="U405" i="18" s="1"/>
  <c r="A167" i="18"/>
  <c r="A156" i="18"/>
  <c r="A144" i="18"/>
  <c r="A132" i="18"/>
  <c r="A108" i="18"/>
  <c r="A97" i="18"/>
  <c r="A88" i="18"/>
  <c r="A77" i="18"/>
  <c r="A68" i="18"/>
  <c r="A56" i="18"/>
  <c r="A45" i="18"/>
  <c r="A389" i="18"/>
  <c r="U389" i="18" s="1"/>
  <c r="A385" i="18"/>
  <c r="U385" i="18" s="1"/>
  <c r="A21" i="18"/>
  <c r="A338" i="18"/>
  <c r="A243" i="18"/>
  <c r="A232" i="18"/>
  <c r="A413" i="18"/>
  <c r="U413" i="18" s="1"/>
  <c r="A192" i="18"/>
  <c r="A183" i="18"/>
  <c r="A175" i="18"/>
  <c r="A403" i="18"/>
  <c r="U403" i="18" s="1"/>
  <c r="A140" i="18"/>
  <c r="A128" i="18"/>
  <c r="A116" i="18"/>
  <c r="A402" i="18"/>
  <c r="U402" i="18" s="1"/>
  <c r="A93" i="18"/>
  <c r="A442" i="18"/>
  <c r="U442" i="18" s="1"/>
  <c r="A329" i="18"/>
  <c r="A317" i="18"/>
  <c r="A189" i="18"/>
  <c r="A367" i="18"/>
  <c r="A359" i="18"/>
  <c r="A348" i="18"/>
  <c r="A428" i="18"/>
  <c r="U428" i="18" s="1"/>
  <c r="A426" i="18"/>
  <c r="U426" i="18" s="1"/>
  <c r="A213" i="18"/>
  <c r="A161" i="18"/>
  <c r="A149" i="18"/>
  <c r="A70" i="18"/>
  <c r="A50" i="18"/>
  <c r="A40" i="18"/>
  <c r="A32" i="18"/>
  <c r="A369" i="18"/>
  <c r="A211" i="18"/>
  <c r="A118" i="18"/>
  <c r="A209" i="18"/>
  <c r="A366" i="18"/>
  <c r="A434" i="18"/>
  <c r="U434" i="18" s="1"/>
  <c r="A433" i="18"/>
  <c r="U433" i="18" s="1"/>
  <c r="A340" i="18"/>
  <c r="A305" i="18"/>
  <c r="A294" i="18"/>
  <c r="A283" i="18"/>
  <c r="A272" i="18"/>
  <c r="A263" i="18"/>
  <c r="A252" i="18"/>
  <c r="A241" i="18"/>
  <c r="A229" i="18"/>
  <c r="A418" i="18"/>
  <c r="U418" i="18" s="1"/>
  <c r="A206" i="18"/>
  <c r="A200" i="18"/>
  <c r="A180" i="18"/>
  <c r="A113" i="18"/>
  <c r="A404" i="18"/>
  <c r="U404" i="18" s="1"/>
  <c r="A154" i="18"/>
  <c r="A142" i="18"/>
  <c r="A327" i="18"/>
  <c r="A220" i="18"/>
  <c r="A370" i="18"/>
  <c r="A363" i="18"/>
  <c r="A354" i="18"/>
  <c r="A431" i="18"/>
  <c r="U431" i="18" s="1"/>
  <c r="A337" i="18"/>
  <c r="A325" i="18"/>
  <c r="A313" i="18"/>
  <c r="A301" i="18"/>
  <c r="A425" i="18"/>
  <c r="U425" i="18" s="1"/>
  <c r="A279" i="18"/>
  <c r="A268" i="18"/>
  <c r="A259" i="18"/>
  <c r="A248" i="18"/>
  <c r="A237" i="18"/>
  <c r="A225" i="18"/>
  <c r="A214" i="18"/>
  <c r="A202" i="18"/>
  <c r="A411" i="18"/>
  <c r="U411" i="18" s="1"/>
  <c r="A187" i="18"/>
  <c r="A178" i="18"/>
  <c r="A168" i="18"/>
  <c r="A157" i="18"/>
  <c r="A145" i="18"/>
  <c r="A133" i="18"/>
  <c r="A121" i="18"/>
  <c r="A109" i="18"/>
  <c r="A98" i="18"/>
  <c r="A89" i="18"/>
  <c r="A78" i="18"/>
  <c r="A69" i="18"/>
  <c r="A57" i="18"/>
  <c r="A46" i="18"/>
  <c r="A390" i="18"/>
  <c r="U390" i="18" s="1"/>
  <c r="A30" i="18"/>
  <c r="A22" i="18"/>
  <c r="A377" i="18"/>
  <c r="U377" i="18" s="1"/>
  <c r="A3" i="18"/>
  <c r="A271" i="18"/>
  <c r="A375" i="18"/>
  <c r="A174" i="18"/>
  <c r="A151" i="18"/>
  <c r="A139" i="18"/>
  <c r="A127" i="18"/>
  <c r="A398" i="18"/>
  <c r="U398" i="18" s="1"/>
  <c r="A72" i="18"/>
  <c r="A63" i="18"/>
  <c r="A52" i="18"/>
  <c r="A41" i="18"/>
  <c r="A34" i="18"/>
  <c r="A26" i="18"/>
  <c r="A17" i="18"/>
  <c r="A9" i="18"/>
  <c r="A120" i="18"/>
  <c r="A14" i="18"/>
  <c r="A54" i="18"/>
  <c r="A43" i="18"/>
  <c r="A37" i="18"/>
  <c r="A384" i="18"/>
  <c r="U384" i="18" s="1"/>
  <c r="A19" i="18"/>
  <c r="A12" i="18"/>
  <c r="A376" i="18"/>
  <c r="A439" i="18"/>
  <c r="U439" i="18" s="1"/>
  <c r="A435" i="18"/>
  <c r="U435" i="18" s="1"/>
  <c r="A349" i="18"/>
  <c r="A342" i="18"/>
  <c r="A332" i="18"/>
  <c r="A320" i="18"/>
  <c r="A308" i="18"/>
  <c r="A296" i="18"/>
  <c r="A286" i="18"/>
  <c r="A274" i="18"/>
  <c r="A265" i="18"/>
  <c r="A420" i="18"/>
  <c r="U420" i="18" s="1"/>
  <c r="A152" i="18"/>
  <c r="L22" i="19"/>
  <c r="A410" i="18"/>
  <c r="U410" i="18" s="1"/>
  <c r="A407" i="18"/>
  <c r="U407" i="18" s="1"/>
  <c r="A171" i="18"/>
  <c r="A160" i="18"/>
  <c r="A148" i="18"/>
  <c r="A136" i="18"/>
  <c r="A124" i="18"/>
  <c r="A112" i="18"/>
  <c r="A90" i="18"/>
  <c r="A81" i="18"/>
  <c r="A6" i="18"/>
  <c r="D22" i="19"/>
  <c r="A421" i="18"/>
  <c r="U421" i="18" s="1"/>
  <c r="A254" i="18"/>
  <c r="A419" i="18"/>
  <c r="U419" i="18" s="1"/>
  <c r="A231" i="18"/>
  <c r="A219" i="18"/>
  <c r="A208" i="18"/>
  <c r="A412" i="18"/>
  <c r="U412" i="18" s="1"/>
  <c r="A191" i="18"/>
  <c r="A182" i="18"/>
  <c r="A115" i="18"/>
  <c r="A104" i="18"/>
  <c r="A92" i="18"/>
  <c r="A7" i="18"/>
  <c r="A315" i="18"/>
  <c r="A303" i="18"/>
  <c r="A292" i="18"/>
  <c r="A281" i="18"/>
  <c r="A270" i="18"/>
  <c r="A261" i="18"/>
  <c r="A250" i="18"/>
  <c r="A239" i="18"/>
  <c r="A227" i="18"/>
  <c r="A216" i="18"/>
  <c r="A204" i="18"/>
  <c r="A198" i="18"/>
  <c r="A409" i="18"/>
  <c r="U409" i="18" s="1"/>
  <c r="A406" i="18"/>
  <c r="U406" i="18" s="1"/>
  <c r="A170" i="18"/>
  <c r="A159" i="18"/>
  <c r="A147" i="18"/>
  <c r="A135" i="18"/>
  <c r="A123" i="18"/>
  <c r="A111" i="18"/>
  <c r="A400" i="18"/>
  <c r="U400" i="18" s="1"/>
  <c r="A80" i="18"/>
  <c r="A396" i="18"/>
  <c r="U396" i="18" s="1"/>
  <c r="A59" i="18"/>
  <c r="A48" i="18"/>
  <c r="A391" i="18"/>
  <c r="U391" i="18" s="1"/>
  <c r="A386" i="18"/>
  <c r="U386" i="18" s="1"/>
  <c r="A23" i="18"/>
  <c r="A378" i="18"/>
  <c r="U378" i="18" s="1"/>
  <c r="A84" i="18"/>
  <c r="A73" i="18"/>
  <c r="A64" i="18"/>
  <c r="A53" i="18"/>
  <c r="A393" i="18"/>
  <c r="U393" i="18" s="1"/>
  <c r="A35" i="18"/>
  <c r="A27" i="18"/>
  <c r="A18" i="18"/>
  <c r="A10" i="18"/>
  <c r="A374" i="18"/>
  <c r="A438" i="18"/>
  <c r="U438" i="18" s="1"/>
  <c r="A358" i="18"/>
  <c r="A347" i="18"/>
  <c r="A341" i="18"/>
  <c r="A330" i="18"/>
  <c r="A318" i="18"/>
  <c r="A306" i="18"/>
  <c r="A295" i="18"/>
  <c r="A284" i="18"/>
  <c r="A424" i="18"/>
  <c r="U424" i="18" s="1"/>
  <c r="A264" i="18"/>
  <c r="A253" i="18"/>
  <c r="A242" i="18"/>
  <c r="A230" i="18"/>
  <c r="A218" i="18"/>
  <c r="A207" i="18"/>
  <c r="A201" i="18"/>
  <c r="A190" i="18"/>
  <c r="A181" i="18"/>
  <c r="A173" i="18"/>
  <c r="A150" i="18"/>
  <c r="A138" i="18"/>
  <c r="A126" i="18"/>
  <c r="A114" i="18"/>
  <c r="A103" i="18"/>
  <c r="A91" i="18"/>
  <c r="A83" i="18"/>
  <c r="A71" i="18"/>
  <c r="A62" i="18"/>
  <c r="A51" i="18"/>
  <c r="A392" i="18"/>
  <c r="U392" i="18" s="1"/>
  <c r="A33" i="18"/>
  <c r="A25" i="18"/>
  <c r="A380" i="18"/>
  <c r="U380" i="18" s="1"/>
  <c r="A8" i="18"/>
  <c r="A440" i="18"/>
  <c r="U440" i="18" s="1"/>
  <c r="A361" i="18"/>
  <c r="A352" i="18"/>
  <c r="A344" i="18"/>
  <c r="A335" i="18"/>
  <c r="A323" i="18"/>
  <c r="A311" i="18"/>
  <c r="A299" i="18"/>
  <c r="A289" i="18"/>
  <c r="A277" i="18"/>
  <c r="A422" i="18"/>
  <c r="U422" i="18" s="1"/>
  <c r="A257" i="18"/>
  <c r="A246" i="18"/>
  <c r="A235" i="18"/>
  <c r="A223" i="18"/>
  <c r="A212" i="18"/>
  <c r="A416" i="18"/>
  <c r="U416" i="18" s="1"/>
  <c r="A195" i="18"/>
  <c r="A186" i="18"/>
  <c r="A177" i="18"/>
  <c r="A166" i="18"/>
  <c r="A155" i="18"/>
  <c r="A143" i="18"/>
  <c r="A131" i="18"/>
  <c r="A119" i="18"/>
  <c r="A107" i="18"/>
  <c r="A96" i="18"/>
  <c r="A87" i="18"/>
  <c r="A76" i="18"/>
  <c r="A67" i="18"/>
  <c r="A55" i="18"/>
  <c r="A44" i="18"/>
  <c r="A388" i="18"/>
  <c r="U388" i="18" s="1"/>
  <c r="A29" i="18"/>
  <c r="A20" i="18"/>
  <c r="A13" i="18"/>
  <c r="A2" i="18"/>
  <c r="A373" i="18"/>
  <c r="A437" i="18"/>
  <c r="U437" i="18" s="1"/>
  <c r="A357" i="18"/>
  <c r="A346" i="18"/>
  <c r="A339" i="18"/>
  <c r="A328" i="18"/>
  <c r="A316" i="18"/>
  <c r="A304" i="18"/>
  <c r="A262" i="18"/>
  <c r="F188" i="18"/>
  <c r="E22" i="19" s="1"/>
  <c r="F22" i="19"/>
  <c r="A101" i="18"/>
  <c r="A397" i="18"/>
  <c r="U397" i="18" s="1"/>
  <c r="A60" i="18"/>
  <c r="A49" i="18"/>
  <c r="A39" i="18"/>
  <c r="A387" i="18"/>
  <c r="U387" i="18" s="1"/>
  <c r="A383" i="18"/>
  <c r="U383" i="18" s="1"/>
  <c r="A16" i="18"/>
  <c r="A443" i="18"/>
  <c r="U443" i="18" s="1"/>
  <c r="A368" i="18"/>
  <c r="A436" i="18"/>
  <c r="U436" i="18" s="1"/>
  <c r="A350" i="18"/>
  <c r="A429" i="18"/>
  <c r="U429" i="18" s="1"/>
  <c r="A333" i="18"/>
  <c r="A321" i="18"/>
  <c r="A309" i="18"/>
  <c r="A297" i="18"/>
  <c r="A287" i="18"/>
  <c r="A275" i="18"/>
  <c r="A266" i="18"/>
  <c r="A255" i="18"/>
  <c r="A244" i="18"/>
  <c r="A233" i="18"/>
  <c r="A221" i="18"/>
  <c r="A210" i="18"/>
  <c r="A414" i="18"/>
  <c r="U414" i="18" s="1"/>
  <c r="A193" i="18"/>
  <c r="A184" i="18"/>
  <c r="A176" i="18"/>
  <c r="A164" i="18"/>
  <c r="A153" i="18"/>
  <c r="A141" i="18"/>
  <c r="A129" i="18"/>
  <c r="A117" i="18"/>
  <c r="A105" i="18"/>
  <c r="A94" i="18"/>
  <c r="A85" i="18"/>
  <c r="A74" i="18"/>
  <c r="A65" i="18"/>
  <c r="A394" i="18"/>
  <c r="U394" i="18" s="1"/>
  <c r="A42" i="18"/>
  <c r="A28" i="18"/>
  <c r="A11" i="18"/>
  <c r="A371" i="18"/>
  <c r="A364" i="18"/>
  <c r="A355" i="18"/>
  <c r="A345" i="18"/>
  <c r="A427" i="18"/>
  <c r="U427" i="18" s="1"/>
  <c r="A326" i="18"/>
  <c r="A314" i="18"/>
  <c r="A302" i="18"/>
  <c r="A291" i="18"/>
  <c r="A280" i="18"/>
  <c r="A269" i="18"/>
  <c r="A260" i="18"/>
  <c r="A249" i="18"/>
  <c r="A238" i="18"/>
  <c r="A226" i="18"/>
  <c r="A215" i="18"/>
  <c r="A203" i="18"/>
  <c r="A197" i="18"/>
  <c r="A188" i="18"/>
  <c r="A179" i="18"/>
  <c r="A169" i="18"/>
  <c r="A158" i="18"/>
  <c r="A146" i="18"/>
  <c r="A134" i="18"/>
  <c r="A122" i="18"/>
  <c r="A110" i="18"/>
  <c r="A99" i="18"/>
  <c r="A399" i="18"/>
  <c r="U399" i="18" s="1"/>
  <c r="A79" i="18"/>
  <c r="A395" i="18"/>
  <c r="U395" i="18" s="1"/>
  <c r="A58" i="18"/>
  <c r="A47" i="18"/>
  <c r="A38" i="18"/>
  <c r="A31" i="18"/>
  <c r="A382" i="18"/>
  <c r="U382" i="18" s="1"/>
  <c r="A15" i="18"/>
  <c r="A4" i="18"/>
  <c r="A163" i="18"/>
  <c r="A165" i="18"/>
  <c r="A162" i="18"/>
  <c r="D172" i="18"/>
  <c r="D137" i="18"/>
  <c r="D401" i="18"/>
  <c r="D70" i="18"/>
  <c r="D61" i="18"/>
  <c r="D40" i="18"/>
  <c r="D369" i="18"/>
  <c r="D360" i="18"/>
  <c r="D351" i="18"/>
  <c r="D343" i="18"/>
  <c r="D334" i="18"/>
  <c r="D322" i="18"/>
  <c r="D310" i="18"/>
  <c r="D298" i="18"/>
  <c r="D288" i="18"/>
  <c r="D276" i="18"/>
  <c r="D267" i="18"/>
  <c r="D256" i="18"/>
  <c r="D245" i="18"/>
  <c r="D234" i="18"/>
  <c r="D222" i="18"/>
  <c r="D211" i="18"/>
  <c r="D415" i="18"/>
  <c r="D194" i="18"/>
  <c r="D185" i="18"/>
  <c r="D404" i="18"/>
  <c r="D165" i="18"/>
  <c r="D154" i="18"/>
  <c r="D142" i="18"/>
  <c r="D130" i="18"/>
  <c r="D118" i="18"/>
  <c r="D106" i="18"/>
  <c r="D95" i="18"/>
  <c r="D86" i="18"/>
  <c r="D75" i="18"/>
  <c r="D66" i="18"/>
  <c r="D54" i="18"/>
  <c r="D43" i="18"/>
  <c r="D37" i="18"/>
  <c r="D384" i="18"/>
  <c r="D19" i="18"/>
  <c r="D12" i="18"/>
  <c r="D149" i="18"/>
  <c r="D50" i="18"/>
  <c r="D32" i="18"/>
  <c r="D24" i="18"/>
  <c r="D379" i="18"/>
  <c r="D372" i="18"/>
  <c r="D365" i="18"/>
  <c r="D356" i="18"/>
  <c r="D432" i="18"/>
  <c r="D338" i="18"/>
  <c r="D327" i="18"/>
  <c r="D315" i="18"/>
  <c r="D303" i="18"/>
  <c r="D292" i="18"/>
  <c r="D281" i="18"/>
  <c r="D270" i="18"/>
  <c r="D261" i="18"/>
  <c r="D250" i="18"/>
  <c r="D239" i="18"/>
  <c r="D227" i="18"/>
  <c r="D216" i="18"/>
  <c r="D204" i="18"/>
  <c r="D198" i="18"/>
  <c r="D409" i="18"/>
  <c r="D406" i="18"/>
  <c r="D170" i="18"/>
  <c r="D159" i="18"/>
  <c r="D147" i="18"/>
  <c r="D135" i="18"/>
  <c r="D123" i="18"/>
  <c r="D111" i="18"/>
  <c r="D100" i="18"/>
  <c r="D400" i="18"/>
  <c r="D80" i="18"/>
  <c r="D396" i="18"/>
  <c r="D59" i="18"/>
  <c r="D48" i="18"/>
  <c r="D391" i="18"/>
  <c r="D386" i="18"/>
  <c r="D23" i="18"/>
  <c r="D378" i="18"/>
  <c r="D5" i="18"/>
  <c r="D366" i="18"/>
  <c r="D433" i="18"/>
  <c r="D329" i="18"/>
  <c r="D294" i="18"/>
  <c r="D283" i="18"/>
  <c r="D252" i="18"/>
  <c r="D161" i="18"/>
  <c r="D125" i="18"/>
  <c r="D113" i="18"/>
  <c r="D102" i="18"/>
  <c r="D376" i="18"/>
  <c r="D439" i="18"/>
  <c r="D435" i="18"/>
  <c r="D349" i="18"/>
  <c r="D342" i="18"/>
  <c r="D332" i="18"/>
  <c r="D320" i="18"/>
  <c r="D308" i="18"/>
  <c r="D296" i="18"/>
  <c r="D286" i="18"/>
  <c r="D274" i="18"/>
  <c r="D265" i="18"/>
  <c r="D420" i="18"/>
  <c r="D243" i="18"/>
  <c r="D232" i="18"/>
  <c r="D220" i="18"/>
  <c r="D209" i="18"/>
  <c r="D413" i="18"/>
  <c r="D192" i="18"/>
  <c r="D183" i="18"/>
  <c r="D175" i="18"/>
  <c r="D403" i="18"/>
  <c r="D152" i="18"/>
  <c r="D140" i="18"/>
  <c r="D128" i="18"/>
  <c r="D116" i="18"/>
  <c r="D402" i="18"/>
  <c r="D93" i="18"/>
  <c r="D84" i="18"/>
  <c r="D73" i="18"/>
  <c r="D64" i="18"/>
  <c r="D53" i="18"/>
  <c r="D393" i="18"/>
  <c r="D35" i="18"/>
  <c r="D27" i="18"/>
  <c r="D18" i="18"/>
  <c r="D10" i="18"/>
  <c r="D370" i="18"/>
  <c r="D363" i="18"/>
  <c r="D354" i="18"/>
  <c r="D431" i="18"/>
  <c r="D337" i="18"/>
  <c r="D325" i="18"/>
  <c r="D313" i="18"/>
  <c r="D301" i="18"/>
  <c r="D425" i="18"/>
  <c r="D279" i="18"/>
  <c r="D268" i="18"/>
  <c r="D259" i="18"/>
  <c r="D248" i="18"/>
  <c r="D237" i="18"/>
  <c r="D225" i="18"/>
  <c r="D214" i="18"/>
  <c r="D202" i="18"/>
  <c r="D411" i="18"/>
  <c r="D187" i="18"/>
  <c r="D178" i="18"/>
  <c r="D168" i="18"/>
  <c r="D157" i="18"/>
  <c r="D145" i="18"/>
  <c r="D133" i="18"/>
  <c r="D121" i="18"/>
  <c r="D109" i="18"/>
  <c r="D98" i="18"/>
  <c r="D89" i="18"/>
  <c r="D78" i="18"/>
  <c r="D69" i="18"/>
  <c r="D57" i="18"/>
  <c r="D46" i="18"/>
  <c r="D390" i="18"/>
  <c r="D30" i="18"/>
  <c r="D22" i="18"/>
  <c r="D377" i="18"/>
  <c r="D3" i="18"/>
  <c r="D305" i="18"/>
  <c r="D241" i="18"/>
  <c r="D229" i="18"/>
  <c r="D418" i="18"/>
  <c r="D200" i="18"/>
  <c r="D82" i="18"/>
  <c r="D7" i="18"/>
  <c r="D374" i="18"/>
  <c r="D438" i="18"/>
  <c r="D358" i="18"/>
  <c r="D347" i="18"/>
  <c r="D341" i="18"/>
  <c r="D330" i="18"/>
  <c r="D318" i="18"/>
  <c r="D306" i="18"/>
  <c r="D295" i="18"/>
  <c r="D284" i="18"/>
  <c r="D424" i="18"/>
  <c r="D264" i="18"/>
  <c r="D253" i="18"/>
  <c r="D242" i="18"/>
  <c r="D230" i="18"/>
  <c r="D218" i="18"/>
  <c r="D207" i="18"/>
  <c r="D201" i="18"/>
  <c r="D190" i="18"/>
  <c r="D181" i="18"/>
  <c r="D173" i="18"/>
  <c r="D162" i="18"/>
  <c r="D150" i="18"/>
  <c r="D138" i="18"/>
  <c r="D126" i="18"/>
  <c r="D114" i="18"/>
  <c r="D103" i="18"/>
  <c r="D91" i="18"/>
  <c r="D83" i="18"/>
  <c r="D71" i="18"/>
  <c r="D62" i="18"/>
  <c r="D51" i="18"/>
  <c r="D392" i="18"/>
  <c r="D33" i="18"/>
  <c r="D25" i="18"/>
  <c r="D380" i="18"/>
  <c r="D8" i="18"/>
  <c r="D422" i="18"/>
  <c r="D246" i="18"/>
  <c r="D235" i="18"/>
  <c r="D223" i="18"/>
  <c r="D212" i="18"/>
  <c r="D416" i="18"/>
  <c r="D195" i="18"/>
  <c r="D186" i="18"/>
  <c r="D177" i="18"/>
  <c r="D166" i="18"/>
  <c r="D155" i="18"/>
  <c r="D143" i="18"/>
  <c r="D131" i="18"/>
  <c r="D119" i="18"/>
  <c r="D107" i="18"/>
  <c r="D96" i="18"/>
  <c r="D87" i="18"/>
  <c r="D76" i="18"/>
  <c r="D67" i="18"/>
  <c r="D55" i="18"/>
  <c r="D44" i="18"/>
  <c r="D388" i="18"/>
  <c r="D29" i="18"/>
  <c r="D20" i="18"/>
  <c r="D13" i="18"/>
  <c r="D189" i="18"/>
  <c r="D180" i="18"/>
  <c r="D299" i="18"/>
  <c r="D277" i="18"/>
  <c r="D257" i="18"/>
  <c r="D2" i="18"/>
  <c r="D373" i="18"/>
  <c r="D437" i="18"/>
  <c r="D357" i="18"/>
  <c r="D346" i="18"/>
  <c r="D339" i="18"/>
  <c r="D328" i="18"/>
  <c r="D316" i="18"/>
  <c r="D304" i="18"/>
  <c r="D293" i="18"/>
  <c r="D282" i="18"/>
  <c r="D271" i="18"/>
  <c r="D262" i="18"/>
  <c r="D251" i="18"/>
  <c r="D240" i="18"/>
  <c r="D228" i="18"/>
  <c r="D217" i="18"/>
  <c r="D205" i="18"/>
  <c r="D199" i="18"/>
  <c r="D410" i="18"/>
  <c r="D407" i="18"/>
  <c r="D171" i="18"/>
  <c r="D160" i="18"/>
  <c r="D148" i="18"/>
  <c r="D136" i="18"/>
  <c r="D124" i="18"/>
  <c r="D112" i="18"/>
  <c r="D101" i="18"/>
  <c r="D90" i="18"/>
  <c r="D81" i="18"/>
  <c r="D397" i="18"/>
  <c r="D60" i="18"/>
  <c r="D49" i="18"/>
  <c r="D39" i="18"/>
  <c r="D387" i="18"/>
  <c r="D383" i="18"/>
  <c r="D16" i="18"/>
  <c r="D6" i="18"/>
  <c r="D317" i="18"/>
  <c r="D323" i="18"/>
  <c r="D443" i="18"/>
  <c r="D368" i="18"/>
  <c r="D436" i="18"/>
  <c r="D350" i="18"/>
  <c r="D429" i="18"/>
  <c r="D333" i="18"/>
  <c r="D321" i="18"/>
  <c r="D309" i="18"/>
  <c r="D297" i="18"/>
  <c r="D287" i="18"/>
  <c r="D275" i="18"/>
  <c r="D266" i="18"/>
  <c r="D255" i="18"/>
  <c r="D244" i="18"/>
  <c r="D233" i="18"/>
  <c r="D221" i="18"/>
  <c r="D210" i="18"/>
  <c r="D414" i="18"/>
  <c r="D193" i="18"/>
  <c r="D184" i="18"/>
  <c r="D176" i="18"/>
  <c r="D164" i="18"/>
  <c r="D153" i="18"/>
  <c r="D141" i="18"/>
  <c r="D129" i="18"/>
  <c r="D117" i="18"/>
  <c r="D105" i="18"/>
  <c r="D94" i="18"/>
  <c r="D85" i="18"/>
  <c r="D74" i="18"/>
  <c r="D65" i="18"/>
  <c r="D394" i="18"/>
  <c r="D42" i="18"/>
  <c r="D36" i="18"/>
  <c r="D28" i="18"/>
  <c r="D381" i="18"/>
  <c r="D11" i="18"/>
  <c r="D442" i="18"/>
  <c r="D434" i="18"/>
  <c r="D352" i="18"/>
  <c r="D344" i="18"/>
  <c r="D371" i="18"/>
  <c r="D364" i="18"/>
  <c r="D355" i="18"/>
  <c r="D345" i="18"/>
  <c r="D427" i="18"/>
  <c r="D326" i="18"/>
  <c r="D314" i="18"/>
  <c r="D302" i="18"/>
  <c r="D291" i="18"/>
  <c r="D280" i="18"/>
  <c r="D269" i="18"/>
  <c r="D260" i="18"/>
  <c r="D249" i="18"/>
  <c r="D238" i="18"/>
  <c r="D226" i="18"/>
  <c r="D215" i="18"/>
  <c r="D203" i="18"/>
  <c r="D197" i="18"/>
  <c r="D188" i="18"/>
  <c r="D179" i="18"/>
  <c r="D169" i="18"/>
  <c r="D158" i="18"/>
  <c r="D146" i="18"/>
  <c r="D134" i="18"/>
  <c r="D122" i="18"/>
  <c r="D110" i="18"/>
  <c r="D99" i="18"/>
  <c r="D399" i="18"/>
  <c r="D79" i="18"/>
  <c r="D395" i="18"/>
  <c r="D58" i="18"/>
  <c r="D47" i="18"/>
  <c r="D38" i="18"/>
  <c r="D31" i="18"/>
  <c r="D382" i="18"/>
  <c r="D15" i="18"/>
  <c r="D4" i="18"/>
  <c r="D340" i="18"/>
  <c r="D272" i="18"/>
  <c r="D289" i="18"/>
  <c r="D375" i="18"/>
  <c r="D367" i="18"/>
  <c r="D359" i="18"/>
  <c r="D348" i="18"/>
  <c r="D428" i="18"/>
  <c r="D331" i="18"/>
  <c r="D319" i="18"/>
  <c r="D307" i="18"/>
  <c r="D426" i="18"/>
  <c r="D285" i="18"/>
  <c r="D273" i="18"/>
  <c r="D421" i="18"/>
  <c r="D254" i="18"/>
  <c r="D419" i="18"/>
  <c r="D231" i="18"/>
  <c r="D219" i="18"/>
  <c r="D208" i="18"/>
  <c r="D412" i="18"/>
  <c r="D191" i="18"/>
  <c r="D182" i="18"/>
  <c r="D174" i="18"/>
  <c r="D163" i="18"/>
  <c r="D151" i="18"/>
  <c r="D139" i="18"/>
  <c r="D127" i="18"/>
  <c r="D115" i="18"/>
  <c r="D104" i="18"/>
  <c r="D92" i="18"/>
  <c r="D398" i="18"/>
  <c r="D72" i="18"/>
  <c r="D63" i="18"/>
  <c r="D52" i="18"/>
  <c r="D41" i="18"/>
  <c r="D34" i="18"/>
  <c r="D26" i="18"/>
  <c r="D17" i="18"/>
  <c r="D9" i="18"/>
  <c r="D263" i="18"/>
  <c r="D206" i="18"/>
  <c r="D440" i="18"/>
  <c r="D361" i="18"/>
  <c r="D335" i="18"/>
  <c r="D311" i="18"/>
  <c r="D441" i="18"/>
  <c r="D362" i="18"/>
  <c r="D353" i="18"/>
  <c r="D430" i="18"/>
  <c r="D336" i="18"/>
  <c r="D324" i="18"/>
  <c r="D312" i="18"/>
  <c r="D300" i="18"/>
  <c r="D290" i="18"/>
  <c r="D278" i="18"/>
  <c r="D423" i="18"/>
  <c r="D258" i="18"/>
  <c r="D247" i="18"/>
  <c r="D236" i="18"/>
  <c r="D224" i="18"/>
  <c r="D213" i="18"/>
  <c r="D417" i="18"/>
  <c r="D196" i="18"/>
  <c r="D408" i="18"/>
  <c r="D405" i="18"/>
  <c r="D167" i="18"/>
  <c r="D156" i="18"/>
  <c r="D144" i="18"/>
  <c r="D132" i="18"/>
  <c r="D120" i="18"/>
  <c r="D108" i="18"/>
  <c r="D97" i="18"/>
  <c r="D88" i="18"/>
  <c r="D77" i="18"/>
  <c r="D68" i="18"/>
  <c r="D56" i="18"/>
  <c r="D45" i="18"/>
  <c r="D389" i="18"/>
  <c r="D385" i="18"/>
  <c r="D21" i="18"/>
  <c r="D14" i="18"/>
  <c r="L140" i="19"/>
  <c r="L116" i="19"/>
  <c r="L99" i="19"/>
  <c r="L85" i="19"/>
  <c r="L302" i="19"/>
  <c r="L158" i="19"/>
  <c r="L214" i="19"/>
  <c r="L200" i="19"/>
  <c r="L54" i="19"/>
  <c r="L312" i="19"/>
  <c r="L340" i="19"/>
  <c r="L34" i="19"/>
  <c r="L394" i="19"/>
  <c r="L310" i="19"/>
  <c r="L48" i="19"/>
  <c r="L291" i="19"/>
  <c r="L89" i="19"/>
  <c r="L256" i="19"/>
  <c r="L110" i="19"/>
  <c r="L400" i="19"/>
  <c r="L212" i="19"/>
  <c r="L211" i="19"/>
  <c r="L56" i="19"/>
  <c r="L335" i="19"/>
  <c r="L118" i="19"/>
  <c r="L146" i="19"/>
  <c r="L442" i="19"/>
  <c r="L101" i="19"/>
  <c r="L241" i="19"/>
  <c r="L439" i="19"/>
  <c r="L357" i="19"/>
  <c r="L261" i="19"/>
  <c r="L51" i="19"/>
  <c r="L87" i="19"/>
  <c r="L393" i="19"/>
  <c r="L32" i="19"/>
  <c r="L92" i="19"/>
  <c r="L193" i="19"/>
  <c r="L15" i="19"/>
  <c r="L104" i="19"/>
  <c r="L405" i="19"/>
  <c r="L288" i="19"/>
  <c r="L109" i="19"/>
  <c r="L365" i="19"/>
  <c r="L62" i="19"/>
  <c r="L131" i="19"/>
  <c r="L23" i="19"/>
  <c r="L228" i="19"/>
  <c r="L145" i="19"/>
  <c r="L111" i="19"/>
  <c r="L144" i="19"/>
  <c r="L409" i="19"/>
  <c r="L80" i="19"/>
  <c r="L7" i="19"/>
  <c r="L258" i="19"/>
  <c r="L413" i="19"/>
  <c r="L303" i="19"/>
  <c r="L184" i="19"/>
  <c r="L292" i="19"/>
  <c r="L30" i="19"/>
  <c r="L3" i="19"/>
  <c r="L139" i="19"/>
  <c r="L24" i="19"/>
  <c r="L50" i="19"/>
  <c r="L149" i="19"/>
  <c r="L39" i="19"/>
  <c r="L220" i="19"/>
  <c r="L38" i="19"/>
  <c r="L323" i="19"/>
  <c r="L210" i="19"/>
  <c r="L437" i="19"/>
  <c r="L88" i="19"/>
  <c r="L356" i="19"/>
  <c r="L332" i="19"/>
  <c r="L307" i="19"/>
  <c r="L4" i="19"/>
  <c r="L284" i="19"/>
  <c r="L59" i="19"/>
  <c r="L285" i="19"/>
  <c r="L27" i="19"/>
  <c r="L43" i="19"/>
  <c r="L353" i="19"/>
  <c r="L333" i="19"/>
  <c r="L434" i="19"/>
  <c r="L217" i="19"/>
  <c r="L342" i="19"/>
  <c r="L318" i="19"/>
  <c r="L98" i="19"/>
  <c r="L213" i="19"/>
  <c r="L122" i="19"/>
  <c r="L215" i="19"/>
  <c r="L351" i="19"/>
  <c r="L324" i="19"/>
  <c r="L315" i="19"/>
  <c r="L81" i="19"/>
  <c r="L219" i="19"/>
  <c r="L126" i="19"/>
  <c r="L20" i="19"/>
  <c r="L17" i="19"/>
  <c r="L240" i="19"/>
  <c r="L223" i="19"/>
  <c r="L397" i="19"/>
  <c r="L244" i="19"/>
  <c r="L398" i="19"/>
  <c r="L246" i="19"/>
  <c r="L386" i="19"/>
  <c r="L433" i="19"/>
  <c r="L387" i="19"/>
  <c r="L82" i="19"/>
  <c r="L421" i="19"/>
  <c r="L383" i="19"/>
  <c r="L202" i="19"/>
  <c r="L172" i="19"/>
  <c r="L390" i="19"/>
  <c r="L382" i="19"/>
  <c r="L83" i="19"/>
  <c r="L441" i="19"/>
  <c r="L186" i="19"/>
  <c r="L345" i="19"/>
  <c r="L58" i="19"/>
  <c r="L46" i="19"/>
  <c r="L427" i="19"/>
  <c r="L218" i="19"/>
  <c r="L106" i="19"/>
  <c r="L404" i="19"/>
  <c r="L5" i="19"/>
  <c r="L36" i="19"/>
  <c r="L396" i="19"/>
  <c r="L381" i="19"/>
  <c r="L389" i="19"/>
  <c r="L167" i="19"/>
  <c r="L216" i="19"/>
  <c r="L380" i="19"/>
  <c r="L425" i="19"/>
  <c r="L152" i="19"/>
  <c r="L391" i="19"/>
  <c r="L384" i="19"/>
  <c r="L18" i="19"/>
  <c r="L37" i="19"/>
  <c r="L44" i="19"/>
  <c r="L60" i="19"/>
  <c r="L280" i="19"/>
  <c r="L304" i="19"/>
  <c r="L440" i="19"/>
  <c r="L379" i="19"/>
  <c r="L249" i="19"/>
  <c r="L378" i="19"/>
  <c r="L385" i="19"/>
  <c r="L227" i="19"/>
  <c r="L395" i="19"/>
  <c r="L25" i="19"/>
  <c r="L45" i="19"/>
  <c r="L300" i="19"/>
  <c r="L289" i="19"/>
  <c r="L70" i="19"/>
  <c r="L388" i="19"/>
  <c r="L14" i="19"/>
  <c r="L63" i="19"/>
  <c r="L287" i="19"/>
  <c r="L426" i="19"/>
  <c r="L127" i="19"/>
  <c r="L112" i="19"/>
  <c r="L279" i="19"/>
  <c r="L259" i="19"/>
  <c r="L264" i="19"/>
  <c r="L188" i="19"/>
  <c r="L169" i="19"/>
  <c r="L295" i="19"/>
  <c r="L66" i="19"/>
  <c r="L189" i="19"/>
  <c r="L71" i="19"/>
  <c r="L148" i="19"/>
  <c r="L418" i="19"/>
  <c r="L321" i="19"/>
  <c r="L322" i="19"/>
  <c r="L311" i="19"/>
  <c r="L161" i="19"/>
  <c r="L274" i="19"/>
  <c r="L286" i="19"/>
  <c r="L129" i="19"/>
  <c r="L354" i="19"/>
  <c r="L236" i="19"/>
  <c r="L245" i="19"/>
  <c r="L271" i="19"/>
  <c r="L234" i="19"/>
  <c r="L142" i="19"/>
  <c r="L121" i="19"/>
  <c r="L143" i="19"/>
  <c r="L136" i="19"/>
  <c r="L254" i="19"/>
  <c r="L299" i="19"/>
  <c r="L309" i="19"/>
  <c r="L298" i="19"/>
  <c r="L277" i="19"/>
  <c r="L209" i="19"/>
  <c r="L107" i="19"/>
  <c r="L117" i="19"/>
  <c r="L108" i="19"/>
  <c r="L428" i="19"/>
  <c r="L137" i="19"/>
  <c r="L278" i="19"/>
  <c r="L55" i="19"/>
  <c r="L408" i="19"/>
  <c r="L436" i="19"/>
  <c r="L432" i="19"/>
  <c r="L91" i="19"/>
  <c r="L160" i="19"/>
  <c r="L325" i="19"/>
  <c r="L352" i="19"/>
  <c r="L221" i="19"/>
  <c r="L253" i="19"/>
  <c r="L113" i="19"/>
  <c r="L65" i="19"/>
  <c r="L181" i="19"/>
  <c r="L102" i="19"/>
  <c r="L314" i="19"/>
  <c r="L350" i="19"/>
  <c r="L31" i="19"/>
  <c r="L73" i="19"/>
  <c r="L130" i="19"/>
  <c r="L206" i="19"/>
  <c r="L191" i="19"/>
  <c r="L154" i="19"/>
  <c r="L105" i="19"/>
  <c r="L411" i="19"/>
  <c r="L443" i="19"/>
  <c r="L19" i="19"/>
  <c r="L173" i="19"/>
  <c r="L182" i="19"/>
  <c r="L334" i="19"/>
  <c r="L53" i="19"/>
  <c r="L75" i="19"/>
  <c r="L166" i="19"/>
  <c r="L273" i="19"/>
  <c r="L179" i="19"/>
  <c r="L120" i="19"/>
  <c r="L74" i="19"/>
  <c r="L290" i="19"/>
  <c r="L263" i="19"/>
  <c r="L86" i="19"/>
  <c r="L162" i="19"/>
  <c r="L431" i="19"/>
  <c r="L26" i="19"/>
  <c r="L410" i="19"/>
  <c r="L401" i="19"/>
  <c r="L406" i="19"/>
  <c r="L430" i="19"/>
  <c r="L377" i="19"/>
  <c r="L125" i="19"/>
  <c r="L372" i="19"/>
  <c r="L207" i="19"/>
  <c r="L374" i="19"/>
  <c r="L222" i="19"/>
  <c r="L232" i="19"/>
  <c r="L338" i="19"/>
  <c r="L77" i="19"/>
  <c r="L336" i="19"/>
  <c r="L267" i="19"/>
  <c r="L349" i="19"/>
  <c r="L8" i="19"/>
  <c r="L79" i="19"/>
  <c r="L49" i="19"/>
  <c r="L114" i="19"/>
  <c r="L328" i="19"/>
  <c r="L438" i="19"/>
  <c r="L403" i="19"/>
  <c r="L170" i="19"/>
  <c r="L424" i="19"/>
  <c r="L61" i="19"/>
  <c r="L346" i="19"/>
  <c r="L237" i="19"/>
  <c r="L159" i="19"/>
  <c r="L33" i="19"/>
  <c r="L283" i="19"/>
  <c r="L67" i="19"/>
  <c r="L297" i="19"/>
  <c r="L316" i="19"/>
  <c r="L320" i="19"/>
  <c r="L84" i="19"/>
  <c r="L175" i="19"/>
  <c r="L366" i="19"/>
  <c r="L362" i="19"/>
  <c r="L194" i="19"/>
  <c r="L296" i="19"/>
  <c r="L420" i="19"/>
  <c r="L204" i="19"/>
  <c r="L330" i="19"/>
  <c r="L90" i="19"/>
  <c r="L252" i="19"/>
  <c r="L141" i="19"/>
  <c r="L103" i="19"/>
  <c r="L123" i="19"/>
  <c r="L373" i="19"/>
  <c r="L203" i="19"/>
  <c r="L270" i="19"/>
  <c r="L257" i="19"/>
  <c r="L153" i="19"/>
  <c r="L305" i="19"/>
  <c r="L177" i="19"/>
  <c r="L133" i="19"/>
  <c r="L155" i="19"/>
  <c r="L134" i="19"/>
  <c r="L197" i="19"/>
  <c r="L371" i="19"/>
  <c r="L176" i="19"/>
  <c r="L326" i="19"/>
  <c r="L115" i="19"/>
  <c r="L414" i="19"/>
  <c r="L407" i="19"/>
  <c r="L132" i="19"/>
  <c r="L429" i="19"/>
  <c r="L151" i="19"/>
  <c r="L230" i="19"/>
  <c r="L231" i="19"/>
  <c r="L208" i="19"/>
  <c r="L367" i="19"/>
  <c r="L251" i="19"/>
  <c r="L68" i="19"/>
  <c r="L262" i="19"/>
  <c r="L272" i="19"/>
  <c r="L238" i="19"/>
  <c r="L355" i="19"/>
  <c r="L138" i="19"/>
  <c r="L331" i="19"/>
  <c r="L313" i="19"/>
  <c r="L344" i="19"/>
  <c r="L360" i="19"/>
  <c r="L29" i="19"/>
  <c r="L6" i="19"/>
  <c r="L198" i="19"/>
  <c r="L164" i="19"/>
  <c r="L412" i="19"/>
  <c r="L343" i="19"/>
  <c r="L368" i="19"/>
  <c r="L35" i="19"/>
  <c r="L199" i="19"/>
  <c r="L187" i="19"/>
  <c r="L370" i="19"/>
  <c r="L157" i="19"/>
  <c r="L247" i="19"/>
  <c r="L282" i="19"/>
  <c r="L52" i="19"/>
  <c r="L119" i="19"/>
  <c r="L41" i="19"/>
  <c r="L359" i="19"/>
  <c r="L359" i="23" s="1"/>
  <c r="L361" i="19"/>
  <c r="L128" i="19"/>
  <c r="L57" i="19"/>
  <c r="L69" i="19"/>
  <c r="L171" i="19"/>
  <c r="L185" i="19"/>
  <c r="L399" i="19"/>
  <c r="L16" i="19"/>
  <c r="L243" i="19"/>
  <c r="L337" i="19"/>
  <c r="L392" i="19"/>
  <c r="L423" i="19"/>
  <c r="L402" i="19"/>
  <c r="L192" i="19"/>
  <c r="L239" i="19"/>
  <c r="L327" i="19"/>
  <c r="L195" i="19"/>
  <c r="L40" i="19"/>
  <c r="L174" i="19"/>
  <c r="L376" i="19"/>
  <c r="L96" i="19"/>
  <c r="L301" i="19"/>
  <c r="L163" i="19"/>
  <c r="L293" i="19"/>
  <c r="L347" i="19"/>
  <c r="L341" i="19"/>
  <c r="L341" i="23" s="1"/>
  <c r="L275" i="19"/>
  <c r="L225" i="19"/>
  <c r="L226" i="19"/>
  <c r="L242" i="19"/>
  <c r="L363" i="19"/>
  <c r="L435" i="19"/>
  <c r="L94" i="19"/>
  <c r="L419" i="19"/>
  <c r="L415" i="19"/>
  <c r="L255" i="19"/>
  <c r="L422" i="19"/>
  <c r="L12" i="19"/>
  <c r="L150" i="19"/>
  <c r="L97" i="19"/>
  <c r="L294" i="19"/>
  <c r="L13" i="19"/>
  <c r="L76" i="19"/>
  <c r="L156" i="19"/>
  <c r="L281" i="19"/>
  <c r="L269" i="19"/>
  <c r="L165" i="19"/>
  <c r="L72" i="19"/>
  <c r="L260" i="19"/>
  <c r="L95" i="19"/>
  <c r="L268" i="19"/>
  <c r="L306" i="19"/>
  <c r="L205" i="19"/>
  <c r="L2" i="19"/>
  <c r="L364" i="19"/>
  <c r="L417" i="19"/>
  <c r="L42" i="19"/>
  <c r="L9" i="19"/>
  <c r="L147" i="19"/>
  <c r="L47" i="19"/>
  <c r="L78" i="19"/>
  <c r="L266" i="19"/>
  <c r="L21" i="19"/>
  <c r="L196" i="19"/>
  <c r="L339" i="19"/>
  <c r="L369" i="19"/>
  <c r="L229" i="19"/>
  <c r="L201" i="19"/>
  <c r="L233" i="19"/>
  <c r="L124" i="19"/>
  <c r="L319" i="19"/>
  <c r="L183" i="19"/>
  <c r="L329" i="19"/>
  <c r="L178" i="19"/>
  <c r="L93" i="19"/>
  <c r="L248" i="19"/>
  <c r="L10" i="19"/>
  <c r="L180" i="19"/>
  <c r="L235" i="19"/>
  <c r="L250" i="19"/>
  <c r="L135" i="19"/>
  <c r="L28" i="19"/>
  <c r="L100" i="19"/>
  <c r="L276" i="19"/>
  <c r="L375" i="19"/>
  <c r="L168" i="19"/>
  <c r="L190" i="19"/>
  <c r="L308" i="19"/>
  <c r="L317" i="19"/>
  <c r="L64" i="19"/>
  <c r="L265" i="19"/>
  <c r="L224" i="19"/>
  <c r="L11" i="19"/>
  <c r="L348" i="19"/>
  <c r="L358" i="19"/>
  <c r="L416" i="19"/>
  <c r="J276" i="19"/>
  <c r="J118" i="19"/>
  <c r="Q281" i="18"/>
  <c r="Q376" i="18"/>
  <c r="P439" i="18"/>
  <c r="S439" i="18" s="1"/>
  <c r="Q439" i="18"/>
  <c r="P435" i="18"/>
  <c r="S435" i="18" s="1"/>
  <c r="Q435" i="18"/>
  <c r="Q349" i="18"/>
  <c r="P342" i="18"/>
  <c r="S342" i="18" s="1"/>
  <c r="Q342" i="18"/>
  <c r="Q332" i="18"/>
  <c r="Q320" i="18"/>
  <c r="Q308" i="18"/>
  <c r="Q296" i="18"/>
  <c r="Q286" i="18"/>
  <c r="Q274" i="18"/>
  <c r="Q265" i="18"/>
  <c r="Q420" i="18"/>
  <c r="Q243" i="18"/>
  <c r="Q232" i="18"/>
  <c r="Q220" i="18"/>
  <c r="Q209" i="18"/>
  <c r="Q413" i="18"/>
  <c r="Q192" i="18"/>
  <c r="Q183" i="18"/>
  <c r="Q175" i="18"/>
  <c r="Q403" i="18"/>
  <c r="Q152" i="18"/>
  <c r="Q140" i="18"/>
  <c r="Q128" i="18"/>
  <c r="Q116" i="18"/>
  <c r="Q402" i="18"/>
  <c r="Q93" i="18"/>
  <c r="Q84" i="18"/>
  <c r="Q73" i="18"/>
  <c r="Q64" i="18"/>
  <c r="Q53" i="18"/>
  <c r="Q393" i="18"/>
  <c r="Q35" i="18"/>
  <c r="Q27" i="18"/>
  <c r="Q18" i="18"/>
  <c r="Q10" i="18"/>
  <c r="P327" i="18"/>
  <c r="S327" i="18" s="1"/>
  <c r="Q327" i="18"/>
  <c r="Q303" i="18"/>
  <c r="Q292" i="18"/>
  <c r="Q261" i="18"/>
  <c r="Q198" i="18"/>
  <c r="Q370" i="18"/>
  <c r="Q363" i="18"/>
  <c r="Q354" i="18"/>
  <c r="Q431" i="18"/>
  <c r="Q337" i="18"/>
  <c r="Q325" i="18"/>
  <c r="Q313" i="18"/>
  <c r="Q301" i="18"/>
  <c r="Q425" i="18"/>
  <c r="Q279" i="18"/>
  <c r="Q268" i="18"/>
  <c r="Q259" i="18"/>
  <c r="Q248" i="18"/>
  <c r="Q237" i="18"/>
  <c r="Q225" i="18"/>
  <c r="Q214" i="18"/>
  <c r="Q202" i="18"/>
  <c r="Q411" i="18"/>
  <c r="Q187" i="18"/>
  <c r="Q178" i="18"/>
  <c r="Q168" i="18"/>
  <c r="Q157" i="18"/>
  <c r="Q145" i="18"/>
  <c r="Q133" i="18"/>
  <c r="Q121" i="18"/>
  <c r="Q109" i="18"/>
  <c r="Q98" i="18"/>
  <c r="Q89" i="18"/>
  <c r="Q78" i="18"/>
  <c r="Q69" i="18"/>
  <c r="Q57" i="18"/>
  <c r="Q46" i="18"/>
  <c r="Q390" i="18"/>
  <c r="Q30" i="18"/>
  <c r="Q22" i="18"/>
  <c r="Q377" i="18"/>
  <c r="Q3" i="18"/>
  <c r="P356" i="18"/>
  <c r="S356" i="18" s="1"/>
  <c r="Q356" i="18"/>
  <c r="Q432" i="18"/>
  <c r="Q170" i="18"/>
  <c r="P374" i="18"/>
  <c r="S374" i="18" s="1"/>
  <c r="Q374" i="18"/>
  <c r="P438" i="18"/>
  <c r="S438" i="18" s="1"/>
  <c r="Q438" i="18"/>
  <c r="Q358" i="18"/>
  <c r="Q347" i="18"/>
  <c r="Q341" i="18"/>
  <c r="Q330" i="18"/>
  <c r="Q318" i="18"/>
  <c r="Q306" i="18"/>
  <c r="Q295" i="18"/>
  <c r="Q284" i="18"/>
  <c r="Q424" i="18"/>
  <c r="Q264" i="18"/>
  <c r="Q253" i="18"/>
  <c r="Q242" i="18"/>
  <c r="Q230" i="18"/>
  <c r="Q218" i="18"/>
  <c r="Q207" i="18"/>
  <c r="Q201" i="18"/>
  <c r="Q190" i="18"/>
  <c r="Q181" i="18"/>
  <c r="Q173" i="18"/>
  <c r="Q162" i="18"/>
  <c r="Q150" i="18"/>
  <c r="Q138" i="18"/>
  <c r="Q126" i="18"/>
  <c r="Q114" i="18"/>
  <c r="Q103" i="18"/>
  <c r="Q91" i="18"/>
  <c r="Q83" i="18"/>
  <c r="Q71" i="18"/>
  <c r="Q62" i="18"/>
  <c r="Q51" i="18"/>
  <c r="Q392" i="18"/>
  <c r="Q33" i="18"/>
  <c r="Q25" i="18"/>
  <c r="Q380" i="18"/>
  <c r="Q8" i="18"/>
  <c r="Q204" i="18"/>
  <c r="Q159" i="18"/>
  <c r="Q80" i="18"/>
  <c r="Q440" i="18"/>
  <c r="P361" i="18"/>
  <c r="S361" i="18" s="1"/>
  <c r="Q361" i="18"/>
  <c r="P352" i="18"/>
  <c r="S352" i="18" s="1"/>
  <c r="Q352" i="18"/>
  <c r="P344" i="18"/>
  <c r="S344" i="18" s="1"/>
  <c r="Q344" i="18"/>
  <c r="Q335" i="18"/>
  <c r="Q323" i="18"/>
  <c r="Q311" i="18"/>
  <c r="Q299" i="18"/>
  <c r="Q289" i="18"/>
  <c r="Q277" i="18"/>
  <c r="Q422" i="18"/>
  <c r="Q257" i="18"/>
  <c r="Q246" i="18"/>
  <c r="Q235" i="18"/>
  <c r="Q223" i="18"/>
  <c r="Q212" i="18"/>
  <c r="Q416" i="18"/>
  <c r="Q195" i="18"/>
  <c r="Q186" i="18"/>
  <c r="Q177" i="18"/>
  <c r="Q166" i="18"/>
  <c r="Q155" i="18"/>
  <c r="Q143" i="18"/>
  <c r="Q131" i="18"/>
  <c r="Q119" i="18"/>
  <c r="Q107" i="18"/>
  <c r="Q96" i="18"/>
  <c r="Q87" i="18"/>
  <c r="Q76" i="18"/>
  <c r="Q67" i="18"/>
  <c r="Q55" i="18"/>
  <c r="Q44" i="18"/>
  <c r="Q388" i="18"/>
  <c r="Q29" i="18"/>
  <c r="Q20" i="18"/>
  <c r="Q13" i="18"/>
  <c r="Q270" i="18"/>
  <c r="Q123" i="18"/>
  <c r="Q100" i="18"/>
  <c r="Q400" i="18"/>
  <c r="Q5" i="18"/>
  <c r="Q2" i="18"/>
  <c r="Q373" i="18"/>
  <c r="P437" i="18"/>
  <c r="S437" i="18" s="1"/>
  <c r="Q437" i="18"/>
  <c r="P357" i="18"/>
  <c r="S357" i="18" s="1"/>
  <c r="Q357" i="18"/>
  <c r="Q346" i="18"/>
  <c r="Q339" i="18"/>
  <c r="Q328" i="18"/>
  <c r="Q316" i="18"/>
  <c r="Q304" i="18"/>
  <c r="Q293" i="18"/>
  <c r="Q282" i="18"/>
  <c r="Q271" i="18"/>
  <c r="Q262" i="18"/>
  <c r="Q251" i="18"/>
  <c r="Q240" i="18"/>
  <c r="Q228" i="18"/>
  <c r="Q217" i="18"/>
  <c r="Q205" i="18"/>
  <c r="Q199" i="18"/>
  <c r="Q410" i="18"/>
  <c r="Q407" i="18"/>
  <c r="Q171" i="18"/>
  <c r="Q160" i="18"/>
  <c r="Q148" i="18"/>
  <c r="Q136" i="18"/>
  <c r="Q124" i="18"/>
  <c r="Q112" i="18"/>
  <c r="Q101" i="18"/>
  <c r="Q90" i="18"/>
  <c r="Q81" i="18"/>
  <c r="Q397" i="18"/>
  <c r="Q60" i="18"/>
  <c r="Q49" i="18"/>
  <c r="Q39" i="18"/>
  <c r="Q387" i="18"/>
  <c r="Q383" i="18"/>
  <c r="Q16" i="18"/>
  <c r="Q6" i="18"/>
  <c r="P365" i="18"/>
  <c r="S365" i="18" s="1"/>
  <c r="Q365" i="18"/>
  <c r="Q250" i="18"/>
  <c r="Q409" i="18"/>
  <c r="Q111" i="18"/>
  <c r="Q48" i="18"/>
  <c r="Q443" i="18"/>
  <c r="Q368" i="18"/>
  <c r="Q436" i="18"/>
  <c r="P350" i="18"/>
  <c r="S350" i="18" s="1"/>
  <c r="Q350" i="18"/>
  <c r="P429" i="18"/>
  <c r="S429" i="18" s="1"/>
  <c r="Q429" i="18"/>
  <c r="P333" i="18"/>
  <c r="S333" i="18" s="1"/>
  <c r="Q333" i="18"/>
  <c r="Q321" i="18"/>
  <c r="Q309" i="18"/>
  <c r="Q297" i="18"/>
  <c r="Q287" i="18"/>
  <c r="Q275" i="18"/>
  <c r="Q266" i="18"/>
  <c r="Q255" i="18"/>
  <c r="Q244" i="18"/>
  <c r="Q233" i="18"/>
  <c r="Q221" i="18"/>
  <c r="Q210" i="18"/>
  <c r="Q414" i="18"/>
  <c r="Q193" i="18"/>
  <c r="Q184" i="18"/>
  <c r="Q176" i="18"/>
  <c r="Q164" i="18"/>
  <c r="Q153" i="18"/>
  <c r="Q141" i="18"/>
  <c r="Q129" i="18"/>
  <c r="Q117" i="18"/>
  <c r="Q105" i="18"/>
  <c r="Q94" i="18"/>
  <c r="Q85" i="18"/>
  <c r="Q74" i="18"/>
  <c r="Q65" i="18"/>
  <c r="Q394" i="18"/>
  <c r="Q42" i="18"/>
  <c r="Q36" i="18"/>
  <c r="Q28" i="18"/>
  <c r="Q381" i="18"/>
  <c r="Q11" i="18"/>
  <c r="Q315" i="18"/>
  <c r="P371" i="18"/>
  <c r="S371" i="18" s="1"/>
  <c r="Q371" i="18"/>
  <c r="P364" i="18"/>
  <c r="S364" i="18" s="1"/>
  <c r="Q364" i="18"/>
  <c r="Q355" i="18"/>
  <c r="P345" i="18"/>
  <c r="S345" i="18" s="1"/>
  <c r="Q345" i="18"/>
  <c r="Q427" i="18"/>
  <c r="Q326" i="18"/>
  <c r="Q314" i="18"/>
  <c r="Q302" i="18"/>
  <c r="Q291" i="18"/>
  <c r="Q280" i="18"/>
  <c r="Q269" i="18"/>
  <c r="Q260" i="18"/>
  <c r="Q249" i="18"/>
  <c r="Q238" i="18"/>
  <c r="Q226" i="18"/>
  <c r="Q215" i="18"/>
  <c r="Q203" i="18"/>
  <c r="Q197" i="18"/>
  <c r="Q188" i="18"/>
  <c r="Q179" i="18"/>
  <c r="Q169" i="18"/>
  <c r="Q158" i="18"/>
  <c r="Q146" i="18"/>
  <c r="Q134" i="18"/>
  <c r="Q122" i="18"/>
  <c r="Q110" i="18"/>
  <c r="Q99" i="18"/>
  <c r="Q399" i="18"/>
  <c r="Q79" i="18"/>
  <c r="Q395" i="18"/>
  <c r="Q58" i="18"/>
  <c r="Q47" i="18"/>
  <c r="Q38" i="18"/>
  <c r="Q31" i="18"/>
  <c r="Q382" i="18"/>
  <c r="Q15" i="18"/>
  <c r="Q4" i="18"/>
  <c r="Q372" i="18"/>
  <c r="Q227" i="18"/>
  <c r="Q406" i="18"/>
  <c r="Q396" i="18"/>
  <c r="Q386" i="18"/>
  <c r="Q23" i="18"/>
  <c r="P375" i="18"/>
  <c r="S375" i="18" s="1"/>
  <c r="Q375" i="18"/>
  <c r="Q367" i="18"/>
  <c r="Q359" i="18"/>
  <c r="Q348" i="18"/>
  <c r="P428" i="18"/>
  <c r="S428" i="18" s="1"/>
  <c r="Q428" i="18"/>
  <c r="P331" i="18"/>
  <c r="S331" i="18" s="1"/>
  <c r="Q331" i="18"/>
  <c r="Q319" i="18"/>
  <c r="Q307" i="18"/>
  <c r="Q426" i="18"/>
  <c r="Q285" i="18"/>
  <c r="Q273" i="18"/>
  <c r="Q421" i="18"/>
  <c r="Q254" i="18"/>
  <c r="Q419" i="18"/>
  <c r="Q231" i="18"/>
  <c r="Q219" i="18"/>
  <c r="Q208" i="18"/>
  <c r="Q412" i="18"/>
  <c r="Q191" i="18"/>
  <c r="Q182" i="18"/>
  <c r="Q174" i="18"/>
  <c r="Q163" i="18"/>
  <c r="Q151" i="18"/>
  <c r="Q139" i="18"/>
  <c r="Q127" i="18"/>
  <c r="Q115" i="18"/>
  <c r="Q104" i="18"/>
  <c r="Q92" i="18"/>
  <c r="Q398" i="18"/>
  <c r="Q72" i="18"/>
  <c r="Q63" i="18"/>
  <c r="Q52" i="18"/>
  <c r="Q41" i="18"/>
  <c r="Q34" i="18"/>
  <c r="Q26" i="18"/>
  <c r="Q17" i="18"/>
  <c r="Q9" i="18"/>
  <c r="Q147" i="18"/>
  <c r="Q378" i="18"/>
  <c r="Q441" i="18"/>
  <c r="P362" i="18"/>
  <c r="S362" i="18" s="1"/>
  <c r="Q362" i="18"/>
  <c r="Q353" i="18"/>
  <c r="P430" i="18"/>
  <c r="S430" i="18" s="1"/>
  <c r="Q430" i="18"/>
  <c r="P336" i="18"/>
  <c r="S336" i="18" s="1"/>
  <c r="Q336" i="18"/>
  <c r="Q324" i="18"/>
  <c r="Q312" i="18"/>
  <c r="Q300" i="18"/>
  <c r="Q290" i="18"/>
  <c r="Q278" i="18"/>
  <c r="Q423" i="18"/>
  <c r="Q258" i="18"/>
  <c r="Q247" i="18"/>
  <c r="Q236" i="18"/>
  <c r="Q224" i="18"/>
  <c r="Q213" i="18"/>
  <c r="Q417" i="18"/>
  <c r="Q196" i="18"/>
  <c r="Q408" i="18"/>
  <c r="Q405" i="18"/>
  <c r="Q167" i="18"/>
  <c r="Q156" i="18"/>
  <c r="Q144" i="18"/>
  <c r="Q132" i="18"/>
  <c r="Q120" i="18"/>
  <c r="Q108" i="18"/>
  <c r="Q97" i="18"/>
  <c r="Q88" i="18"/>
  <c r="Q77" i="18"/>
  <c r="Q68" i="18"/>
  <c r="Q56" i="18"/>
  <c r="Q45" i="18"/>
  <c r="Q389" i="18"/>
  <c r="Q385" i="18"/>
  <c r="Q21" i="18"/>
  <c r="Q14" i="18"/>
  <c r="Q216" i="18"/>
  <c r="Q391" i="18"/>
  <c r="Q442" i="18"/>
  <c r="Q366" i="18"/>
  <c r="P434" i="18"/>
  <c r="S434" i="18" s="1"/>
  <c r="Q434" i="18"/>
  <c r="Q433" i="18"/>
  <c r="Q340" i="18"/>
  <c r="Q329" i="18"/>
  <c r="Q317" i="18"/>
  <c r="Q305" i="18"/>
  <c r="Q294" i="18"/>
  <c r="Q283" i="18"/>
  <c r="Q272" i="18"/>
  <c r="Q263" i="18"/>
  <c r="Q252" i="18"/>
  <c r="Q241" i="18"/>
  <c r="Q229" i="18"/>
  <c r="Q418" i="18"/>
  <c r="Q206" i="18"/>
  <c r="Q200" i="18"/>
  <c r="Q189" i="18"/>
  <c r="Q180" i="18"/>
  <c r="Q172" i="18"/>
  <c r="Q161" i="18"/>
  <c r="Q149" i="18"/>
  <c r="Q137" i="18"/>
  <c r="Q125" i="18"/>
  <c r="Q113" i="18"/>
  <c r="Q102" i="18"/>
  <c r="Q401" i="18"/>
  <c r="Q82" i="18"/>
  <c r="Q70" i="18"/>
  <c r="Q61" i="18"/>
  <c r="Q50" i="18"/>
  <c r="Q40" i="18"/>
  <c r="Q32" i="18"/>
  <c r="Q24" i="18"/>
  <c r="Q379" i="18"/>
  <c r="Q7" i="18"/>
  <c r="P338" i="18"/>
  <c r="S338" i="18" s="1"/>
  <c r="Q338" i="18"/>
  <c r="Q239" i="18"/>
  <c r="Q135" i="18"/>
  <c r="Q59" i="18"/>
  <c r="Q369" i="18"/>
  <c r="P360" i="18"/>
  <c r="S360" i="18" s="1"/>
  <c r="Q360" i="18"/>
  <c r="P351" i="18"/>
  <c r="S351" i="18" s="1"/>
  <c r="Q351" i="18"/>
  <c r="Q343" i="18"/>
  <c r="P334" i="18"/>
  <c r="S334" i="18" s="1"/>
  <c r="Q334" i="18"/>
  <c r="Q322" i="18"/>
  <c r="Q310" i="18"/>
  <c r="Q298" i="18"/>
  <c r="Q288" i="18"/>
  <c r="Q276" i="18"/>
  <c r="Q256" i="18"/>
  <c r="Q245" i="18"/>
  <c r="Q234" i="18"/>
  <c r="Q222" i="18"/>
  <c r="Q211" i="18"/>
  <c r="Q415" i="18"/>
  <c r="Q194" i="18"/>
  <c r="Q185" i="18"/>
  <c r="Q404" i="18"/>
  <c r="Q165" i="18"/>
  <c r="Q154" i="18"/>
  <c r="Q142" i="18"/>
  <c r="Q130" i="18"/>
  <c r="Q118" i="18"/>
  <c r="Q106" i="18"/>
  <c r="Q95" i="18"/>
  <c r="Q86" i="18"/>
  <c r="Q75" i="18"/>
  <c r="Q66" i="18"/>
  <c r="Q54" i="18"/>
  <c r="Q43" i="18"/>
  <c r="Q37" i="18"/>
  <c r="Q384" i="18"/>
  <c r="Q19" i="18"/>
  <c r="Q12" i="18"/>
  <c r="J268" i="19"/>
  <c r="D203" i="19"/>
  <c r="D176" i="19"/>
  <c r="E398" i="19"/>
  <c r="J392" i="19"/>
  <c r="J271" i="19"/>
  <c r="D331" i="19"/>
  <c r="D125" i="19"/>
  <c r="P359" i="18"/>
  <c r="S359" i="18" s="1"/>
  <c r="E91" i="19"/>
  <c r="D113" i="19"/>
  <c r="E406" i="19"/>
  <c r="J201" i="19"/>
  <c r="D48" i="19"/>
  <c r="E421" i="19"/>
  <c r="D194" i="19"/>
  <c r="E139" i="19"/>
  <c r="E412" i="19"/>
  <c r="E435" i="19"/>
  <c r="D95" i="19"/>
  <c r="J66" i="19"/>
  <c r="E223" i="19"/>
  <c r="D84" i="19"/>
  <c r="J69" i="19"/>
  <c r="E403" i="19"/>
  <c r="E413" i="19"/>
  <c r="D274" i="19"/>
  <c r="P340" i="18"/>
  <c r="S340" i="18" s="1"/>
  <c r="J293" i="19"/>
  <c r="E133" i="19"/>
  <c r="J156" i="19"/>
  <c r="D350" i="19"/>
  <c r="D109" i="19"/>
  <c r="J86" i="19"/>
  <c r="J374" i="19"/>
  <c r="D141" i="19"/>
  <c r="D97" i="19"/>
  <c r="D165" i="19"/>
  <c r="D289" i="19"/>
  <c r="D155" i="19"/>
  <c r="J13" i="19"/>
  <c r="D73" i="19"/>
  <c r="J365" i="19"/>
  <c r="E63" i="19"/>
  <c r="J96" i="19"/>
  <c r="D69" i="19"/>
  <c r="E32" i="19"/>
  <c r="J355" i="19"/>
  <c r="D309" i="19"/>
  <c r="J154" i="19"/>
  <c r="D205" i="19"/>
  <c r="E23" i="19"/>
  <c r="J34" i="19"/>
  <c r="J249" i="19"/>
  <c r="E294" i="19"/>
  <c r="J254" i="19"/>
  <c r="J257" i="19"/>
  <c r="D249" i="19"/>
  <c r="E118" i="19"/>
  <c r="E317" i="19"/>
  <c r="J79" i="19"/>
  <c r="E198" i="19"/>
  <c r="D257" i="19"/>
  <c r="E428" i="19"/>
  <c r="E237" i="19"/>
  <c r="E13" i="19"/>
  <c r="D375" i="19"/>
  <c r="D177" i="19"/>
  <c r="J161" i="19"/>
  <c r="E366" i="19"/>
  <c r="D161" i="19"/>
  <c r="J295" i="19"/>
  <c r="D198" i="19"/>
  <c r="J362" i="19"/>
  <c r="D179" i="19"/>
  <c r="E171" i="19"/>
  <c r="D13" i="19"/>
  <c r="D138" i="19"/>
  <c r="E391" i="19"/>
  <c r="D133" i="19"/>
  <c r="P349" i="18"/>
  <c r="S349" i="18" s="1"/>
  <c r="P332" i="18"/>
  <c r="S332" i="18" s="1"/>
  <c r="J150" i="19"/>
  <c r="D329" i="19"/>
  <c r="E392" i="19"/>
  <c r="E67" i="19"/>
  <c r="E417" i="19"/>
  <c r="J289" i="19"/>
  <c r="D92" i="19"/>
  <c r="D56" i="19"/>
  <c r="E104" i="19"/>
  <c r="F289" i="19"/>
  <c r="J353" i="19"/>
  <c r="E378" i="19"/>
  <c r="D353" i="19"/>
  <c r="E56" i="19"/>
  <c r="E338" i="19"/>
  <c r="J99" i="19"/>
  <c r="E110" i="19"/>
  <c r="E167" i="19"/>
  <c r="E275" i="19"/>
  <c r="E415" i="19"/>
  <c r="E387" i="19"/>
  <c r="D74" i="19"/>
  <c r="E422" i="19"/>
  <c r="E325" i="19"/>
  <c r="J273" i="19"/>
  <c r="D124" i="19"/>
  <c r="E277" i="19"/>
  <c r="E203" i="19"/>
  <c r="E53" i="19"/>
  <c r="E419" i="19"/>
  <c r="E61" i="19"/>
  <c r="E397" i="19"/>
  <c r="J337" i="19"/>
  <c r="J157" i="19"/>
  <c r="E367" i="19"/>
  <c r="D116" i="19"/>
  <c r="J438" i="19"/>
  <c r="J163" i="19"/>
  <c r="J81" i="19"/>
  <c r="E256" i="19"/>
  <c r="J331" i="19"/>
  <c r="E73" i="19"/>
  <c r="J304" i="19"/>
  <c r="D368" i="19"/>
  <c r="J97" i="19"/>
  <c r="D337" i="19"/>
  <c r="E197" i="19"/>
  <c r="P427" i="18"/>
  <c r="S427" i="18" s="1"/>
  <c r="E54" i="19"/>
  <c r="D262" i="19"/>
  <c r="J177" i="19"/>
  <c r="D27" i="19"/>
  <c r="J294" i="19"/>
  <c r="D438" i="19"/>
  <c r="D42" i="19"/>
  <c r="J376" i="19"/>
  <c r="J12" i="19"/>
  <c r="D308" i="19"/>
  <c r="J100" i="19"/>
  <c r="E206" i="19"/>
  <c r="E279" i="19"/>
  <c r="E128" i="19"/>
  <c r="E431" i="19"/>
  <c r="D59" i="19"/>
  <c r="J115" i="19"/>
  <c r="D114" i="19"/>
  <c r="E219" i="19"/>
  <c r="J26" i="19"/>
  <c r="J53" i="19"/>
  <c r="J371" i="19"/>
  <c r="D346" i="19"/>
  <c r="D247" i="19"/>
  <c r="E377" i="19"/>
  <c r="P354" i="18"/>
  <c r="S354" i="18" s="1"/>
  <c r="D154" i="19"/>
  <c r="D276" i="19"/>
  <c r="J61" i="19"/>
  <c r="J196" i="19"/>
  <c r="P431" i="18"/>
  <c r="S431" i="18" s="1"/>
  <c r="E393" i="19"/>
  <c r="E347" i="19"/>
  <c r="E407" i="19"/>
  <c r="E112" i="19"/>
  <c r="P337" i="18"/>
  <c r="S337" i="18" s="1"/>
  <c r="E40" i="19"/>
  <c r="D62" i="19"/>
  <c r="E16" i="19"/>
  <c r="J147" i="19"/>
  <c r="E369" i="19"/>
  <c r="J113" i="19"/>
  <c r="J391" i="19"/>
  <c r="D258" i="19"/>
  <c r="D108" i="19"/>
  <c r="E262" i="19"/>
  <c r="E410" i="19"/>
  <c r="E124" i="19"/>
  <c r="E402" i="19"/>
  <c r="J179" i="19"/>
  <c r="E179" i="19"/>
  <c r="E138" i="19"/>
  <c r="J74" i="19"/>
  <c r="D298" i="19"/>
  <c r="E7" i="19"/>
  <c r="E185" i="19"/>
  <c r="E199" i="19"/>
  <c r="E281" i="19"/>
  <c r="F116" i="19"/>
  <c r="E14" i="19"/>
  <c r="E280" i="19"/>
  <c r="J39" i="19"/>
  <c r="J59" i="19"/>
  <c r="J207" i="19"/>
  <c r="P432" i="18"/>
  <c r="S432" i="18" s="1"/>
  <c r="D231" i="19"/>
  <c r="J159" i="19"/>
  <c r="E134" i="19"/>
  <c r="J175" i="19"/>
  <c r="E278" i="19"/>
  <c r="D293" i="19"/>
  <c r="D166" i="19"/>
  <c r="J42" i="19"/>
  <c r="D355" i="19"/>
  <c r="E111" i="19"/>
  <c r="E432" i="19"/>
  <c r="E34" i="19"/>
  <c r="D376" i="19"/>
  <c r="D12" i="19"/>
  <c r="J262" i="19"/>
  <c r="E94" i="19"/>
  <c r="E337" i="19"/>
  <c r="E283" i="19"/>
  <c r="E287" i="19"/>
  <c r="E356" i="19"/>
  <c r="E314" i="19"/>
  <c r="E6" i="19"/>
  <c r="P355" i="18"/>
  <c r="S355" i="18" s="1"/>
  <c r="D441" i="19"/>
  <c r="E438" i="19"/>
  <c r="E9" i="19"/>
  <c r="J27" i="19"/>
  <c r="E163" i="19"/>
  <c r="E193" i="19"/>
  <c r="E321" i="19"/>
  <c r="E295" i="19"/>
  <c r="E143" i="19"/>
  <c r="D115" i="19"/>
  <c r="E255" i="19"/>
  <c r="E226" i="19"/>
  <c r="E150" i="19"/>
  <c r="E351" i="19"/>
  <c r="E245" i="19"/>
  <c r="E75" i="19"/>
  <c r="D390" i="19"/>
  <c r="D26" i="19"/>
  <c r="E83" i="19"/>
  <c r="E31" i="19"/>
  <c r="E30" i="19"/>
  <c r="E241" i="19"/>
  <c r="E284" i="19"/>
  <c r="D187" i="19"/>
  <c r="E234" i="19"/>
  <c r="E148" i="19"/>
  <c r="E426" i="19"/>
  <c r="E95" i="19"/>
  <c r="E361" i="19"/>
  <c r="E140" i="19"/>
  <c r="E326" i="19"/>
  <c r="J184" i="19"/>
  <c r="E102" i="19"/>
  <c r="E44" i="19"/>
  <c r="J185" i="19"/>
  <c r="E132" i="19"/>
  <c r="E180" i="19"/>
  <c r="E270" i="19"/>
  <c r="E127" i="19"/>
  <c r="E233" i="19"/>
  <c r="E242" i="19"/>
  <c r="E29" i="19"/>
  <c r="E414" i="19"/>
  <c r="E186" i="19"/>
  <c r="E266" i="19"/>
  <c r="E363" i="19"/>
  <c r="E243" i="19"/>
  <c r="E235" i="19"/>
  <c r="E318" i="19"/>
  <c r="E290" i="19"/>
  <c r="E76" i="19"/>
  <c r="J109" i="19"/>
  <c r="E427" i="19"/>
  <c r="E151" i="19"/>
  <c r="D53" i="19"/>
  <c r="E213" i="19"/>
  <c r="E220" i="19"/>
  <c r="E312" i="19"/>
  <c r="E306" i="19"/>
  <c r="E85" i="19"/>
  <c r="E404" i="19"/>
  <c r="D226" i="19"/>
  <c r="D283" i="19"/>
  <c r="E261" i="19"/>
  <c r="E136" i="19"/>
  <c r="E324" i="19"/>
  <c r="E142" i="19"/>
  <c r="E41" i="19"/>
  <c r="E135" i="19"/>
  <c r="E214" i="19"/>
  <c r="E310" i="19"/>
  <c r="E205" i="19"/>
  <c r="J133" i="19"/>
  <c r="J198" i="19"/>
  <c r="E98" i="19"/>
  <c r="E263" i="19"/>
  <c r="E301" i="19"/>
  <c r="E360" i="19"/>
  <c r="E352" i="19"/>
  <c r="E323" i="19"/>
  <c r="E57" i="19"/>
  <c r="E11" i="19"/>
  <c r="F276" i="19"/>
  <c r="F363" i="18"/>
  <c r="E396" i="19" s="1"/>
  <c r="F298" i="19"/>
  <c r="F333" i="18"/>
  <c r="E409" i="19" s="1"/>
  <c r="D8" i="19"/>
  <c r="E18" i="19"/>
  <c r="E304" i="19"/>
  <c r="E319" i="19"/>
  <c r="E265" i="19"/>
  <c r="F345" i="18"/>
  <c r="E423" i="19" s="1"/>
  <c r="F39" i="19"/>
  <c r="F370" i="18"/>
  <c r="E383" i="19" s="1"/>
  <c r="D71" i="19"/>
  <c r="D88" i="19"/>
  <c r="F315" i="19"/>
  <c r="F260" i="18"/>
  <c r="E436" i="19" s="1"/>
  <c r="J124" i="19"/>
  <c r="D366" i="19"/>
  <c r="F159" i="19"/>
  <c r="F362" i="18"/>
  <c r="E59" i="19" s="1"/>
  <c r="F346" i="19"/>
  <c r="F331" i="18"/>
  <c r="E434" i="19" s="1"/>
  <c r="D20" i="19"/>
  <c r="J54" i="19"/>
  <c r="F437" i="19"/>
  <c r="F421" i="18"/>
  <c r="E2" i="19" s="1"/>
  <c r="D315" i="19"/>
  <c r="J63" i="19"/>
  <c r="J373" i="19"/>
  <c r="J134" i="19"/>
  <c r="E24" i="19"/>
  <c r="E273" i="19"/>
  <c r="D47" i="19"/>
  <c r="F74" i="19"/>
  <c r="F353" i="18"/>
  <c r="E218" i="19" s="1"/>
  <c r="F201" i="19"/>
  <c r="F324" i="18"/>
  <c r="E92" i="19" s="1"/>
  <c r="F368" i="19"/>
  <c r="F312" i="18"/>
  <c r="J212" i="19"/>
  <c r="D85" i="19"/>
  <c r="J283" i="19"/>
  <c r="D79" i="19"/>
  <c r="J334" i="19"/>
  <c r="E362" i="19"/>
  <c r="E316" i="19"/>
  <c r="E300" i="19"/>
  <c r="J213" i="19"/>
  <c r="J366" i="19"/>
  <c r="F374" i="19"/>
  <c r="F351" i="18"/>
  <c r="E200" i="19" s="1"/>
  <c r="D54" i="19"/>
  <c r="D134" i="19"/>
  <c r="E349" i="19"/>
  <c r="F155" i="19"/>
  <c r="F315" i="18"/>
  <c r="E293" i="19" s="1"/>
  <c r="D212" i="19"/>
  <c r="E252" i="19"/>
  <c r="E120" i="19"/>
  <c r="J120" i="19"/>
  <c r="J325" i="19"/>
  <c r="D250" i="19"/>
  <c r="E354" i="19"/>
  <c r="E20" i="19"/>
  <c r="J372" i="19"/>
  <c r="D278" i="19"/>
  <c r="F274" i="19"/>
  <c r="F354" i="18"/>
  <c r="E182" i="19" s="1"/>
  <c r="J231" i="19"/>
  <c r="J281" i="19"/>
  <c r="J367" i="19"/>
  <c r="F357" i="18"/>
  <c r="E93" i="19" s="1"/>
  <c r="E15" i="19"/>
  <c r="E388" i="19"/>
  <c r="J194" i="19"/>
  <c r="D207" i="19"/>
  <c r="J146" i="19"/>
  <c r="D144" i="19"/>
  <c r="E192" i="19"/>
  <c r="E36" i="19"/>
  <c r="F161" i="19"/>
  <c r="F209" i="18"/>
  <c r="E37" i="19" s="1"/>
  <c r="D157" i="19"/>
  <c r="F97" i="19"/>
  <c r="F311" i="18"/>
  <c r="E165" i="19" s="1"/>
  <c r="J88" i="19"/>
  <c r="D43" i="19"/>
  <c r="J62" i="19"/>
  <c r="F231" i="19"/>
  <c r="F223" i="18"/>
  <c r="J206" i="19"/>
  <c r="E65" i="19"/>
  <c r="F156" i="19"/>
  <c r="F346" i="18"/>
  <c r="E156" i="19" s="1"/>
  <c r="F309" i="19"/>
  <c r="F316" i="18"/>
  <c r="E48" i="19" s="1"/>
  <c r="E50" i="19"/>
  <c r="J315" i="19"/>
  <c r="D86" i="19"/>
  <c r="E81" i="19"/>
  <c r="E232" i="19"/>
  <c r="E38" i="19"/>
  <c r="E282" i="19"/>
  <c r="E176" i="19"/>
  <c r="E320" i="19"/>
  <c r="J15" i="19"/>
  <c r="J433" i="19"/>
  <c r="J56" i="19"/>
  <c r="D89" i="19"/>
  <c r="F26" i="19"/>
  <c r="J404" i="19"/>
  <c r="D281" i="19"/>
  <c r="D367" i="19"/>
  <c r="D209" i="19"/>
  <c r="P328" i="18"/>
  <c r="S328" i="18" s="1"/>
  <c r="J73" i="19"/>
  <c r="D242" i="19"/>
  <c r="D28" i="19"/>
  <c r="J108" i="19"/>
  <c r="J84" i="19"/>
  <c r="J354" i="19"/>
  <c r="D392" i="19"/>
  <c r="F381" i="19"/>
  <c r="J313" i="19"/>
  <c r="D391" i="19"/>
  <c r="J302" i="19"/>
  <c r="D99" i="19"/>
  <c r="D225" i="19"/>
  <c r="D34" i="19"/>
  <c r="J137" i="19"/>
  <c r="J285" i="19"/>
  <c r="D87" i="19"/>
  <c r="D44" i="19"/>
  <c r="D130" i="19"/>
  <c r="D52" i="19"/>
  <c r="D361" i="19"/>
  <c r="J225" i="19"/>
  <c r="J30" i="19"/>
  <c r="J20" i="19"/>
  <c r="J2" i="19"/>
  <c r="F80" i="19"/>
  <c r="D365" i="19"/>
  <c r="J47" i="19"/>
  <c r="J437" i="19"/>
  <c r="J167" i="19"/>
  <c r="D285" i="19"/>
  <c r="D159" i="19"/>
  <c r="J226" i="19"/>
  <c r="J125" i="19"/>
  <c r="J95" i="19"/>
  <c r="D437" i="19"/>
  <c r="D167" i="19"/>
  <c r="J241" i="19"/>
  <c r="D394" i="19"/>
  <c r="D362" i="19"/>
  <c r="J350" i="19"/>
  <c r="J155" i="19"/>
  <c r="J141" i="19"/>
  <c r="J10" i="19"/>
  <c r="J203" i="19"/>
  <c r="D163" i="19"/>
  <c r="D253" i="19"/>
  <c r="D271" i="19"/>
  <c r="D63" i="19"/>
  <c r="D371" i="19"/>
  <c r="D184" i="19"/>
  <c r="D374" i="19"/>
  <c r="J428" i="19"/>
  <c r="F141" i="19"/>
  <c r="J326" i="19"/>
  <c r="J419" i="19"/>
  <c r="J144" i="19"/>
  <c r="D81" i="19"/>
  <c r="J114" i="19"/>
  <c r="D185" i="19"/>
  <c r="F10" i="19"/>
  <c r="J319" i="19"/>
  <c r="D347" i="19"/>
  <c r="D21" i="19"/>
  <c r="J43" i="19"/>
  <c r="D213" i="19"/>
  <c r="D273" i="19"/>
  <c r="F107" i="19"/>
  <c r="J87" i="19"/>
  <c r="J44" i="19"/>
  <c r="J52" i="19"/>
  <c r="D10" i="19"/>
  <c r="D150" i="19"/>
  <c r="D330" i="19"/>
  <c r="D58" i="19"/>
  <c r="D118" i="19"/>
  <c r="J309" i="19"/>
  <c r="D100" i="19"/>
  <c r="J80" i="19"/>
  <c r="D372" i="19"/>
  <c r="J317" i="19"/>
  <c r="D389" i="19"/>
  <c r="D381" i="19"/>
  <c r="J378" i="19"/>
  <c r="J11" i="19"/>
  <c r="D41" i="19"/>
  <c r="D6" i="19"/>
  <c r="D420" i="19"/>
  <c r="D339" i="19"/>
  <c r="J126" i="19"/>
  <c r="J162" i="19"/>
  <c r="D422" i="19"/>
  <c r="J116" i="19"/>
  <c r="D304" i="19"/>
  <c r="D305" i="19"/>
  <c r="D107" i="19"/>
  <c r="D338" i="19"/>
  <c r="J191" i="19"/>
  <c r="J57" i="19"/>
  <c r="D90" i="19"/>
  <c r="J275" i="19"/>
  <c r="D428" i="19"/>
  <c r="D326" i="19"/>
  <c r="D120" i="19"/>
  <c r="J216" i="19"/>
  <c r="D313" i="19"/>
  <c r="J49" i="19"/>
  <c r="J333" i="19"/>
  <c r="J277" i="19"/>
  <c r="D319" i="19"/>
  <c r="J385" i="19"/>
  <c r="D317" i="19"/>
  <c r="J384" i="19"/>
  <c r="D96" i="19"/>
  <c r="J314" i="19"/>
  <c r="J24" i="19"/>
  <c r="D378" i="19"/>
  <c r="F365" i="19"/>
  <c r="D217" i="19"/>
  <c r="D11" i="19"/>
  <c r="F76" i="19"/>
  <c r="J369" i="19"/>
  <c r="J256" i="19"/>
  <c r="J234" i="19"/>
  <c r="D162" i="19"/>
  <c r="D433" i="19"/>
  <c r="D61" i="19"/>
  <c r="D254" i="19"/>
  <c r="F146" i="19"/>
  <c r="F216" i="19"/>
  <c r="J242" i="19"/>
  <c r="J58" i="19"/>
  <c r="D76" i="19"/>
  <c r="J75" i="19"/>
  <c r="J280" i="19"/>
  <c r="J296" i="19"/>
  <c r="D191" i="19"/>
  <c r="D57" i="19"/>
  <c r="D275" i="19"/>
  <c r="F384" i="19"/>
  <c r="D216" i="19"/>
  <c r="F295" i="19"/>
  <c r="J416" i="19"/>
  <c r="D49" i="19"/>
  <c r="J35" i="19"/>
  <c r="D238" i="19"/>
  <c r="J260" i="19"/>
  <c r="D333" i="19"/>
  <c r="J127" i="19"/>
  <c r="J128" i="19"/>
  <c r="D245" i="19"/>
  <c r="D385" i="19"/>
  <c r="J379" i="19"/>
  <c r="D384" i="19"/>
  <c r="D314" i="19"/>
  <c r="D24" i="19"/>
  <c r="J104" i="19"/>
  <c r="D137" i="19"/>
  <c r="J311" i="19"/>
  <c r="J410" i="19"/>
  <c r="F75" i="19"/>
  <c r="J31" i="19"/>
  <c r="D369" i="19"/>
  <c r="J129" i="19"/>
  <c r="D256" i="19"/>
  <c r="J110" i="19"/>
  <c r="D206" i="19"/>
  <c r="D143" i="19"/>
  <c r="F296" i="19"/>
  <c r="J344" i="19"/>
  <c r="J429" i="19"/>
  <c r="D111" i="19"/>
  <c r="J239" i="19"/>
  <c r="J23" i="19"/>
  <c r="D75" i="19"/>
  <c r="J174" i="19"/>
  <c r="D434" i="19"/>
  <c r="F181" i="19"/>
  <c r="D396" i="19"/>
  <c r="D435" i="19"/>
  <c r="F237" i="19"/>
  <c r="D432" i="19"/>
  <c r="J189" i="19"/>
  <c r="D128" i="19"/>
  <c r="J278" i="19"/>
  <c r="J164" i="19"/>
  <c r="D302" i="19"/>
  <c r="J389" i="19"/>
  <c r="J381" i="19"/>
  <c r="D379" i="19"/>
  <c r="D106" i="19"/>
  <c r="D237" i="19"/>
  <c r="J208" i="19"/>
  <c r="D104" i="19"/>
  <c r="D147" i="19"/>
  <c r="J41" i="19"/>
  <c r="D311" i="19"/>
  <c r="J6" i="19"/>
  <c r="D31" i="19"/>
  <c r="J420" i="19"/>
  <c r="D418" i="19"/>
  <c r="D129" i="19"/>
  <c r="J339" i="19"/>
  <c r="D110" i="19"/>
  <c r="J422" i="19"/>
  <c r="J305" i="19"/>
  <c r="D239" i="19"/>
  <c r="J176" i="19"/>
  <c r="D23" i="19"/>
  <c r="J330" i="19"/>
  <c r="D373" i="19"/>
  <c r="D174" i="19"/>
  <c r="J338" i="19"/>
  <c r="J265" i="19"/>
  <c r="J90" i="19"/>
  <c r="P442" i="18"/>
  <c r="S442" i="18" s="1"/>
  <c r="P366" i="18"/>
  <c r="S366" i="18" s="1"/>
  <c r="K358" i="18"/>
  <c r="J358" i="18" s="1"/>
  <c r="P343" i="18"/>
  <c r="S343" i="18" s="1"/>
  <c r="P329" i="18"/>
  <c r="S329" i="18" s="1"/>
  <c r="K399" i="18"/>
  <c r="J399" i="18" s="1"/>
  <c r="I394" i="18"/>
  <c r="J394" i="18" s="1"/>
  <c r="P372" i="18"/>
  <c r="S372" i="18" s="1"/>
  <c r="P341" i="18"/>
  <c r="S341" i="18" s="1"/>
  <c r="I8" i="18"/>
  <c r="J8" i="18" s="1"/>
  <c r="F21" i="19"/>
  <c r="F337" i="19"/>
  <c r="F293" i="19"/>
  <c r="P369" i="18"/>
  <c r="S369" i="18" s="1"/>
  <c r="I364" i="18"/>
  <c r="K364" i="18"/>
  <c r="I300" i="18"/>
  <c r="K428" i="18"/>
  <c r="J428" i="18" s="1"/>
  <c r="K79" i="18"/>
  <c r="P370" i="18"/>
  <c r="S370" i="18" s="1"/>
  <c r="K381" i="18"/>
  <c r="J381" i="18" s="1"/>
  <c r="I429" i="18"/>
  <c r="J429" i="18" s="1"/>
  <c r="K243" i="18"/>
  <c r="J243" i="18" s="1"/>
  <c r="K323" i="18"/>
  <c r="J323" i="18" s="1"/>
  <c r="I198" i="18"/>
  <c r="P363" i="18"/>
  <c r="S363" i="18" s="1"/>
  <c r="K336" i="18"/>
  <c r="J336" i="18" s="1"/>
  <c r="K303" i="18"/>
  <c r="J303" i="18" s="1"/>
  <c r="K112" i="18"/>
  <c r="J112" i="18" s="1"/>
  <c r="K65" i="18"/>
  <c r="J65" i="18" s="1"/>
  <c r="K355" i="18"/>
  <c r="J355" i="18" s="1"/>
  <c r="K288" i="18"/>
  <c r="J288" i="18" s="1"/>
  <c r="J375" i="19"/>
  <c r="K346" i="18"/>
  <c r="J346" i="18" s="1"/>
  <c r="J48" i="19"/>
  <c r="D146" i="19"/>
  <c r="J8" i="19"/>
  <c r="J107" i="19"/>
  <c r="D263" i="19"/>
  <c r="D292" i="19"/>
  <c r="J130" i="19"/>
  <c r="D175" i="19"/>
  <c r="D182" i="19"/>
  <c r="I136" i="18"/>
  <c r="J136" i="18" s="1"/>
  <c r="D234" i="19"/>
  <c r="F71" i="19"/>
  <c r="J209" i="19"/>
  <c r="I410" i="18"/>
  <c r="J410" i="18" s="1"/>
  <c r="D415" i="19"/>
  <c r="F129" i="19"/>
  <c r="D280" i="19"/>
  <c r="F279" i="19"/>
  <c r="D303" i="19"/>
  <c r="J394" i="19"/>
  <c r="K367" i="18"/>
  <c r="J367" i="18" s="1"/>
  <c r="D145" i="19"/>
  <c r="D419" i="19"/>
  <c r="J413" i="19"/>
  <c r="J16" i="19"/>
  <c r="J135" i="19"/>
  <c r="K106" i="18"/>
  <c r="J106" i="18" s="1"/>
  <c r="D55" i="19"/>
  <c r="D29" i="19"/>
  <c r="J316" i="19"/>
  <c r="J343" i="19"/>
  <c r="F184" i="19"/>
  <c r="D156" i="19"/>
  <c r="J346" i="19"/>
  <c r="F254" i="19"/>
  <c r="J432" i="19"/>
  <c r="D51" i="19"/>
  <c r="I134" i="18"/>
  <c r="J224" i="19"/>
  <c r="D2" i="19"/>
  <c r="D199" i="19"/>
  <c r="J274" i="19"/>
  <c r="J253" i="19"/>
  <c r="J250" i="19"/>
  <c r="J76" i="19"/>
  <c r="J65" i="19"/>
  <c r="F50" i="19"/>
  <c r="J418" i="19"/>
  <c r="K117" i="18"/>
  <c r="F344" i="19"/>
  <c r="P367" i="18"/>
  <c r="S367" i="18" s="1"/>
  <c r="D294" i="19"/>
  <c r="J388" i="19"/>
  <c r="J149" i="19"/>
  <c r="D344" i="19"/>
  <c r="K374" i="18"/>
  <c r="D343" i="19"/>
  <c r="K362" i="18"/>
  <c r="D268" i="19"/>
  <c r="D357" i="19"/>
  <c r="F137" i="19"/>
  <c r="J222" i="19"/>
  <c r="D370" i="19"/>
  <c r="K226" i="18"/>
  <c r="J226" i="18" s="1"/>
  <c r="D227" i="19"/>
  <c r="D341" i="19"/>
  <c r="K347" i="18"/>
  <c r="J347" i="18" s="1"/>
  <c r="D66" i="19"/>
  <c r="D201" i="19"/>
  <c r="F355" i="19"/>
  <c r="F9" i="19"/>
  <c r="D80" i="19"/>
  <c r="K257" i="18"/>
  <c r="J257" i="18" s="1"/>
  <c r="K239" i="18"/>
  <c r="J239" i="18" s="1"/>
  <c r="J399" i="19"/>
  <c r="D65" i="19"/>
  <c r="D189" i="19"/>
  <c r="I343" i="18"/>
  <c r="J308" i="19"/>
  <c r="I174" i="18"/>
  <c r="J174" i="18" s="1"/>
  <c r="D126" i="19"/>
  <c r="I138" i="18"/>
  <c r="J46" i="19"/>
  <c r="J368" i="19"/>
  <c r="J106" i="19"/>
  <c r="D196" i="19"/>
  <c r="J240" i="19"/>
  <c r="D188" i="19"/>
  <c r="K383" i="18"/>
  <c r="J383" i="18" s="1"/>
  <c r="K377" i="18"/>
  <c r="J377" i="18" s="1"/>
  <c r="D397" i="19"/>
  <c r="D252" i="19"/>
  <c r="J235" i="19"/>
  <c r="J237" i="19"/>
  <c r="J411" i="19"/>
  <c r="J323" i="19"/>
  <c r="D139" i="19"/>
  <c r="P368" i="18"/>
  <c r="S368" i="18" s="1"/>
  <c r="F343" i="19"/>
  <c r="J423" i="19"/>
  <c r="I327" i="18"/>
  <c r="J327" i="18" s="1"/>
  <c r="K319" i="18"/>
  <c r="J319" i="18" s="1"/>
  <c r="J318" i="19"/>
  <c r="D5" i="19"/>
  <c r="J395" i="19"/>
  <c r="K261" i="18"/>
  <c r="J261" i="18" s="1"/>
  <c r="D325" i="19"/>
  <c r="J217" i="19"/>
  <c r="J214" i="19"/>
  <c r="F399" i="19"/>
  <c r="J180" i="19"/>
  <c r="D98" i="19"/>
  <c r="D60" i="19"/>
  <c r="J19" i="19"/>
  <c r="J223" i="19"/>
  <c r="D243" i="19"/>
  <c r="J286" i="19"/>
  <c r="F380" i="19"/>
  <c r="J145" i="19"/>
  <c r="J17" i="19"/>
  <c r="D9" i="19"/>
  <c r="J85" i="19"/>
  <c r="J4" i="19"/>
  <c r="J64" i="19"/>
  <c r="J91" i="19"/>
  <c r="J160" i="19"/>
  <c r="J247" i="19"/>
  <c r="I204" i="18"/>
  <c r="J204" i="18" s="1"/>
  <c r="D410" i="19"/>
  <c r="J417" i="19"/>
  <c r="K192" i="18"/>
  <c r="J192" i="18" s="1"/>
  <c r="D50" i="19"/>
  <c r="J170" i="19"/>
  <c r="F413" i="19"/>
  <c r="J341" i="19"/>
  <c r="F35" i="19"/>
  <c r="D240" i="19"/>
  <c r="J407" i="19"/>
  <c r="J390" i="19"/>
  <c r="J178" i="19"/>
  <c r="D39" i="19"/>
  <c r="D388" i="19"/>
  <c r="J258" i="19"/>
  <c r="J219" i="19"/>
  <c r="J187" i="19"/>
  <c r="D151" i="19"/>
  <c r="F214" i="19"/>
  <c r="D222" i="19"/>
  <c r="D149" i="19"/>
  <c r="D399" i="19"/>
  <c r="D411" i="19"/>
  <c r="J28" i="19"/>
  <c r="J328" i="19"/>
  <c r="D135" i="19"/>
  <c r="J327" i="19"/>
  <c r="D35" i="19"/>
  <c r="J335" i="19"/>
  <c r="J246" i="19"/>
  <c r="D348" i="19"/>
  <c r="D158" i="19"/>
  <c r="J441" i="19"/>
  <c r="J298" i="19"/>
  <c r="D15" i="19"/>
  <c r="D423" i="19"/>
  <c r="I349" i="18"/>
  <c r="J349" i="18" s="1"/>
  <c r="F404" i="19"/>
  <c r="D318" i="19"/>
  <c r="F4" i="19"/>
  <c r="J211" i="19"/>
  <c r="J111" i="19"/>
  <c r="D395" i="19"/>
  <c r="F64" i="19"/>
  <c r="J168" i="19"/>
  <c r="D295" i="19"/>
  <c r="J186" i="19"/>
  <c r="F170" i="19"/>
  <c r="D413" i="19"/>
  <c r="D16" i="19"/>
  <c r="J93" i="19"/>
  <c r="D19" i="19"/>
  <c r="D223" i="19"/>
  <c r="D70" i="19"/>
  <c r="J102" i="19"/>
  <c r="F258" i="19"/>
  <c r="D404" i="19"/>
  <c r="D17" i="19"/>
  <c r="J77" i="19"/>
  <c r="J284" i="19"/>
  <c r="D91" i="19"/>
  <c r="D421" i="19"/>
  <c r="D160" i="19"/>
  <c r="J32" i="19"/>
  <c r="D214" i="19"/>
  <c r="J400" i="19"/>
  <c r="J117" i="19"/>
  <c r="D417" i="19"/>
  <c r="J172" i="19"/>
  <c r="D180" i="19"/>
  <c r="D170" i="19"/>
  <c r="J406" i="19"/>
  <c r="F414" i="19"/>
  <c r="I129" i="18"/>
  <c r="K129" i="18"/>
  <c r="J105" i="19"/>
  <c r="D425" i="19"/>
  <c r="D14" i="19"/>
  <c r="D178" i="19"/>
  <c r="J166" i="19"/>
  <c r="K430" i="18"/>
  <c r="J430" i="18" s="1"/>
  <c r="J218" i="19"/>
  <c r="J435" i="19"/>
  <c r="D4" i="19"/>
  <c r="J215" i="19"/>
  <c r="J393" i="19"/>
  <c r="I266" i="18"/>
  <c r="J266" i="18" s="1"/>
  <c r="D219" i="19"/>
  <c r="D64" i="19"/>
  <c r="F186" i="19"/>
  <c r="D416" i="19"/>
  <c r="J398" i="19"/>
  <c r="J123" i="19"/>
  <c r="F93" i="19"/>
  <c r="D327" i="19"/>
  <c r="J136" i="19"/>
  <c r="J136" i="23" s="1"/>
  <c r="J431" i="19"/>
  <c r="J148" i="19"/>
  <c r="D94" i="19"/>
  <c r="J396" i="19"/>
  <c r="J92" i="19"/>
  <c r="D30" i="19"/>
  <c r="D429" i="19"/>
  <c r="J21" i="19"/>
  <c r="J14" i="19"/>
  <c r="J89" i="19"/>
  <c r="D211" i="19"/>
  <c r="J288" i="19"/>
  <c r="D168" i="19"/>
  <c r="J263" i="19"/>
  <c r="F117" i="19"/>
  <c r="D186" i="19"/>
  <c r="J412" i="19"/>
  <c r="J227" i="19"/>
  <c r="J132" i="19"/>
  <c r="D328" i="19"/>
  <c r="D414" i="19"/>
  <c r="D192" i="19"/>
  <c r="J357" i="19"/>
  <c r="F213" i="19"/>
  <c r="D284" i="19"/>
  <c r="D400" i="19"/>
  <c r="J51" i="19"/>
  <c r="K208" i="18"/>
  <c r="J208" i="18" s="1"/>
  <c r="D172" i="19"/>
  <c r="J98" i="19"/>
  <c r="D334" i="19"/>
  <c r="J397" i="19"/>
  <c r="D406" i="19"/>
  <c r="D93" i="19"/>
  <c r="J182" i="19"/>
  <c r="F136" i="19"/>
  <c r="I372" i="18"/>
  <c r="J372" i="18" s="1"/>
  <c r="J138" i="19"/>
  <c r="F66" i="19"/>
  <c r="F20" i="19"/>
  <c r="K311" i="18"/>
  <c r="J311" i="18" s="1"/>
  <c r="I289" i="18"/>
  <c r="D215" i="19"/>
  <c r="D393" i="19"/>
  <c r="K267" i="18"/>
  <c r="D77" i="19"/>
  <c r="D402" i="19"/>
  <c r="J158" i="19"/>
  <c r="D32" i="19"/>
  <c r="J370" i="19"/>
  <c r="D354" i="19"/>
  <c r="D117" i="19"/>
  <c r="J292" i="19"/>
  <c r="D377" i="19"/>
  <c r="D123" i="19"/>
  <c r="F252" i="19"/>
  <c r="J238" i="19"/>
  <c r="D136" i="19"/>
  <c r="D232" i="19"/>
  <c r="D241" i="19"/>
  <c r="F92" i="19"/>
  <c r="F433" i="19"/>
  <c r="I315" i="18"/>
  <c r="D218" i="19"/>
  <c r="J9" i="19"/>
  <c r="J5" i="19"/>
  <c r="D208" i="19"/>
  <c r="D288" i="19"/>
  <c r="D412" i="19"/>
  <c r="D398" i="19"/>
  <c r="J50" i="19"/>
  <c r="K186" i="18"/>
  <c r="J186" i="18" s="1"/>
  <c r="D132" i="19"/>
  <c r="J60" i="19"/>
  <c r="J121" i="19"/>
  <c r="J67" i="19"/>
  <c r="D103" i="19"/>
  <c r="J345" i="19"/>
  <c r="D83" i="19"/>
  <c r="J272" i="19"/>
  <c r="J142" i="19"/>
  <c r="D270" i="19"/>
  <c r="D224" i="19"/>
  <c r="F386" i="19"/>
  <c r="F153" i="19"/>
  <c r="J193" i="19"/>
  <c r="F101" i="19"/>
  <c r="J306" i="19"/>
  <c r="J320" i="19"/>
  <c r="J408" i="19"/>
  <c r="D279" i="19"/>
  <c r="J197" i="19"/>
  <c r="D181" i="19"/>
  <c r="F233" i="19"/>
  <c r="D200" i="19"/>
  <c r="J382" i="19"/>
  <c r="J78" i="19"/>
  <c r="F164" i="19"/>
  <c r="J439" i="19"/>
  <c r="F229" i="19"/>
  <c r="D363" i="19"/>
  <c r="I11" i="18"/>
  <c r="J11" i="18" s="1"/>
  <c r="J112" i="19"/>
  <c r="D122" i="19"/>
  <c r="D248" i="19"/>
  <c r="J332" i="19"/>
  <c r="D269" i="19"/>
  <c r="D40" i="19"/>
  <c r="J37" i="19"/>
  <c r="F195" i="19"/>
  <c r="J401" i="19"/>
  <c r="D38" i="19"/>
  <c r="D36" i="19"/>
  <c r="F286" i="19"/>
  <c r="D430" i="19"/>
  <c r="D430" i="23" s="1"/>
  <c r="D153" i="19"/>
  <c r="D101" i="19"/>
  <c r="J25" i="19"/>
  <c r="D264" i="19"/>
  <c r="F407" i="19"/>
  <c r="D380" i="19"/>
  <c r="F323" i="19"/>
  <c r="J409" i="19"/>
  <c r="F46" i="19"/>
  <c r="J190" i="19"/>
  <c r="D204" i="19"/>
  <c r="D204" i="23" s="1"/>
  <c r="D229" i="19"/>
  <c r="J364" i="19"/>
  <c r="F72" i="19"/>
  <c r="D173" i="19"/>
  <c r="D299" i="19"/>
  <c r="J220" i="19"/>
  <c r="J221" i="19"/>
  <c r="D321" i="19"/>
  <c r="D246" i="19"/>
  <c r="D195" i="19"/>
  <c r="F345" i="19"/>
  <c r="J3" i="19"/>
  <c r="F272" i="19"/>
  <c r="D148" i="19"/>
  <c r="J349" i="19"/>
  <c r="D336" i="19"/>
  <c r="D386" i="19"/>
  <c r="F193" i="19"/>
  <c r="F306" i="19"/>
  <c r="D443" i="19"/>
  <c r="D351" i="19"/>
  <c r="J424" i="19"/>
  <c r="J387" i="19"/>
  <c r="J82" i="19"/>
  <c r="J427" i="19"/>
  <c r="D233" i="19"/>
  <c r="D46" i="19"/>
  <c r="J360" i="19"/>
  <c r="D164" i="19"/>
  <c r="F102" i="19"/>
  <c r="J68" i="19"/>
  <c r="D121" i="19"/>
  <c r="K150" i="18"/>
  <c r="J150" i="18" s="1"/>
  <c r="J131" i="19"/>
  <c r="D67" i="19"/>
  <c r="D105" i="19"/>
  <c r="J33" i="19"/>
  <c r="J7" i="19"/>
  <c r="D286" i="19"/>
  <c r="J300" i="19"/>
  <c r="J259" i="19"/>
  <c r="D296" i="19"/>
  <c r="J291" i="19"/>
  <c r="F25" i="19"/>
  <c r="D320" i="19"/>
  <c r="J267" i="19"/>
  <c r="D408" i="19"/>
  <c r="D407" i="19"/>
  <c r="D197" i="19"/>
  <c r="D323" i="19"/>
  <c r="J436" i="19"/>
  <c r="J383" i="19"/>
  <c r="D78" i="19"/>
  <c r="J169" i="19"/>
  <c r="D439" i="19"/>
  <c r="J442" i="19"/>
  <c r="J310" i="19"/>
  <c r="D72" i="19"/>
  <c r="J210" i="19"/>
  <c r="D112" i="19"/>
  <c r="D112" i="23" s="1"/>
  <c r="D335" i="19"/>
  <c r="D260" i="19"/>
  <c r="D332" i="19"/>
  <c r="J230" i="19"/>
  <c r="J230" i="23" s="1"/>
  <c r="D37" i="19"/>
  <c r="D401" i="19"/>
  <c r="D345" i="19"/>
  <c r="J403" i="19"/>
  <c r="J282" i="19"/>
  <c r="D272" i="19"/>
  <c r="D142" i="19"/>
  <c r="J119" i="19"/>
  <c r="J297" i="19"/>
  <c r="D193" i="19"/>
  <c r="D306" i="19"/>
  <c r="D25" i="19"/>
  <c r="J171" i="19"/>
  <c r="J356" i="19"/>
  <c r="J342" i="19"/>
  <c r="F427" i="19"/>
  <c r="D409" i="19"/>
  <c r="D190" i="19"/>
  <c r="D382" i="19"/>
  <c r="I382" i="18"/>
  <c r="J382" i="18" s="1"/>
  <c r="D364" i="19"/>
  <c r="J307" i="19"/>
  <c r="D102" i="19"/>
  <c r="J255" i="19"/>
  <c r="D220" i="19"/>
  <c r="J312" i="19"/>
  <c r="D221" i="19"/>
  <c r="J202" i="19"/>
  <c r="D3" i="19"/>
  <c r="I87" i="18"/>
  <c r="J87" i="18" s="1"/>
  <c r="J322" i="19"/>
  <c r="D349" i="19"/>
  <c r="J359" i="19"/>
  <c r="F291" i="19"/>
  <c r="J152" i="19"/>
  <c r="F267" i="19"/>
  <c r="J45" i="19"/>
  <c r="D424" i="19"/>
  <c r="D387" i="19"/>
  <c r="J426" i="19"/>
  <c r="D82" i="19"/>
  <c r="F436" i="19"/>
  <c r="J440" i="19"/>
  <c r="J421" i="19"/>
  <c r="J358" i="19"/>
  <c r="D68" i="19"/>
  <c r="D131" i="19"/>
  <c r="J251" i="19"/>
  <c r="J192" i="19"/>
  <c r="D127" i="19"/>
  <c r="J236" i="19"/>
  <c r="D33" i="19"/>
  <c r="D7" i="19"/>
  <c r="J18" i="19"/>
  <c r="D300" i="19"/>
  <c r="D259" i="19"/>
  <c r="D259" i="23" s="1"/>
  <c r="F297" i="19"/>
  <c r="J228" i="19"/>
  <c r="J434" i="19"/>
  <c r="D265" i="19"/>
  <c r="D291" i="19"/>
  <c r="F171" i="19"/>
  <c r="J261" i="19"/>
  <c r="D427" i="19"/>
  <c r="J324" i="19"/>
  <c r="J287" i="19"/>
  <c r="F383" i="19"/>
  <c r="D360" i="19"/>
  <c r="J425" i="19"/>
  <c r="D169" i="19"/>
  <c r="D442" i="19"/>
  <c r="F307" i="19"/>
  <c r="D310" i="19"/>
  <c r="D210" i="19"/>
  <c r="J340" i="19"/>
  <c r="F312" i="19"/>
  <c r="J244" i="19"/>
  <c r="D230" i="19"/>
  <c r="J352" i="19"/>
  <c r="D277" i="19"/>
  <c r="J140" i="19"/>
  <c r="F322" i="19"/>
  <c r="D119" i="19"/>
  <c r="J290" i="19"/>
  <c r="D297" i="19"/>
  <c r="J94" i="19"/>
  <c r="J29" i="19"/>
  <c r="D267" i="19"/>
  <c r="J266" i="19"/>
  <c r="D356" i="19"/>
  <c r="J183" i="19"/>
  <c r="D342" i="19"/>
  <c r="J405" i="19"/>
  <c r="D436" i="19"/>
  <c r="J301" i="19"/>
  <c r="J70" i="19"/>
  <c r="D307" i="19"/>
  <c r="J139" i="19"/>
  <c r="F358" i="19"/>
  <c r="D255" i="19"/>
  <c r="J269" i="19"/>
  <c r="D312" i="19"/>
  <c r="J348" i="19"/>
  <c r="D202" i="19"/>
  <c r="J243" i="19"/>
  <c r="F431" i="19"/>
  <c r="F403" i="19"/>
  <c r="D282" i="19"/>
  <c r="J143" i="19"/>
  <c r="D322" i="19"/>
  <c r="J245" i="19"/>
  <c r="J270" i="19"/>
  <c r="D359" i="19"/>
  <c r="J199" i="19"/>
  <c r="D152" i="19"/>
  <c r="D152" i="23" s="1"/>
  <c r="J361" i="19"/>
  <c r="D171" i="19"/>
  <c r="F261" i="19"/>
  <c r="D45" i="19"/>
  <c r="D426" i="19"/>
  <c r="D316" i="19"/>
  <c r="J232" i="19"/>
  <c r="D383" i="19"/>
  <c r="D440" i="19"/>
  <c r="K16" i="18"/>
  <c r="J16" i="18" s="1"/>
  <c r="J363" i="19"/>
  <c r="J303" i="19"/>
  <c r="D358" i="19"/>
  <c r="K141" i="18"/>
  <c r="J141" i="18" s="1"/>
  <c r="D251" i="19"/>
  <c r="J299" i="19"/>
  <c r="J103" i="19"/>
  <c r="D236" i="19"/>
  <c r="D18" i="19"/>
  <c r="J83" i="19"/>
  <c r="K78" i="18"/>
  <c r="J78" i="18" s="1"/>
  <c r="I51" i="18"/>
  <c r="J51" i="18" s="1"/>
  <c r="F29" i="19"/>
  <c r="F266" i="19"/>
  <c r="J279" i="19"/>
  <c r="F183" i="19"/>
  <c r="J380" i="19"/>
  <c r="D324" i="19"/>
  <c r="D287" i="19"/>
  <c r="F139" i="19"/>
  <c r="J122" i="19"/>
  <c r="D340" i="19"/>
  <c r="J329" i="19"/>
  <c r="J248" i="19"/>
  <c r="J40" i="19"/>
  <c r="D244" i="19"/>
  <c r="D352" i="19"/>
  <c r="D235" i="19"/>
  <c r="J195" i="19"/>
  <c r="J38" i="19"/>
  <c r="J36" i="19"/>
  <c r="D140" i="19"/>
  <c r="D431" i="19"/>
  <c r="D403" i="19"/>
  <c r="J430" i="19"/>
  <c r="D290" i="19"/>
  <c r="D228" i="19"/>
  <c r="J386" i="19"/>
  <c r="J153" i="19"/>
  <c r="J153" i="23" s="1"/>
  <c r="J101" i="19"/>
  <c r="J443" i="19"/>
  <c r="D261" i="19"/>
  <c r="J264" i="19"/>
  <c r="D266" i="19"/>
  <c r="D183" i="19"/>
  <c r="D405" i="19"/>
  <c r="J233" i="19"/>
  <c r="F200" i="19"/>
  <c r="D301" i="19"/>
  <c r="J204" i="19"/>
  <c r="J229" i="19"/>
  <c r="J72" i="19"/>
  <c r="J173" i="19"/>
  <c r="K369" i="18"/>
  <c r="J369" i="18" s="1"/>
  <c r="F438" i="19"/>
  <c r="F362" i="19"/>
  <c r="F100" i="19"/>
  <c r="K306" i="18"/>
  <c r="K299" i="18"/>
  <c r="F212" i="19"/>
  <c r="F106" i="19"/>
  <c r="F247" i="19"/>
  <c r="F242" i="19"/>
  <c r="F150" i="19"/>
  <c r="I202" i="18"/>
  <c r="F31" i="19"/>
  <c r="F123" i="19"/>
  <c r="I182" i="18"/>
  <c r="I178" i="18"/>
  <c r="I170" i="18"/>
  <c r="F196" i="19"/>
  <c r="F122" i="19"/>
  <c r="F131" i="19"/>
  <c r="F335" i="19"/>
  <c r="F260" i="19"/>
  <c r="F220" i="19"/>
  <c r="K122" i="18"/>
  <c r="F348" i="19"/>
  <c r="F234" i="19"/>
  <c r="I91" i="18"/>
  <c r="J91" i="18" s="1"/>
  <c r="I83" i="18"/>
  <c r="F148" i="19"/>
  <c r="F191" i="19"/>
  <c r="F265" i="19"/>
  <c r="K58" i="18"/>
  <c r="K38" i="18"/>
  <c r="J38" i="18" s="1"/>
  <c r="F82" i="19"/>
  <c r="F169" i="19"/>
  <c r="F173" i="19"/>
  <c r="F389" i="19"/>
  <c r="F408" i="19"/>
  <c r="F409" i="19"/>
  <c r="F304" i="19"/>
  <c r="F157" i="19"/>
  <c r="F375" i="19"/>
  <c r="F34" i="19"/>
  <c r="I321" i="18"/>
  <c r="J321" i="18" s="1"/>
  <c r="K318" i="18"/>
  <c r="J318" i="18" s="1"/>
  <c r="K310" i="18"/>
  <c r="F59" i="19"/>
  <c r="F24" i="19"/>
  <c r="F305" i="19"/>
  <c r="F284" i="19"/>
  <c r="F158" i="19"/>
  <c r="I250" i="18"/>
  <c r="F124" i="19"/>
  <c r="F187" i="19"/>
  <c r="I236" i="18"/>
  <c r="I224" i="18"/>
  <c r="J224" i="18" s="1"/>
  <c r="F58" i="19"/>
  <c r="F99" i="19"/>
  <c r="F65" i="19"/>
  <c r="F334" i="19"/>
  <c r="I171" i="18"/>
  <c r="J171" i="18" s="1"/>
  <c r="F340" i="19"/>
  <c r="F255" i="19"/>
  <c r="I143" i="18"/>
  <c r="F366" i="19"/>
  <c r="F338" i="19"/>
  <c r="I119" i="18"/>
  <c r="J119" i="18" s="1"/>
  <c r="F230" i="19"/>
  <c r="F127" i="19"/>
  <c r="F246" i="19"/>
  <c r="K104" i="18"/>
  <c r="F422" i="19"/>
  <c r="I85" i="18"/>
  <c r="F434" i="19"/>
  <c r="F57" i="19"/>
  <c r="K47" i="18"/>
  <c r="K385" i="18"/>
  <c r="J385" i="18" s="1"/>
  <c r="F232" i="19"/>
  <c r="F364" i="19"/>
  <c r="F417" i="19"/>
  <c r="F393" i="19"/>
  <c r="F442" i="19"/>
  <c r="F350" i="19"/>
  <c r="F2" i="19"/>
  <c r="F253" i="19"/>
  <c r="F273" i="19"/>
  <c r="F60" i="19"/>
  <c r="F135" i="19"/>
  <c r="F174" i="19"/>
  <c r="F18" i="19"/>
  <c r="F162" i="19"/>
  <c r="F259" i="19"/>
  <c r="F275" i="19"/>
  <c r="F301" i="19"/>
  <c r="F390" i="19"/>
  <c r="F13" i="19"/>
  <c r="F227" i="19"/>
  <c r="F178" i="19"/>
  <c r="F166" i="19"/>
  <c r="F294" i="19"/>
  <c r="I436" i="18"/>
  <c r="J436" i="18" s="1"/>
  <c r="F56" i="19"/>
  <c r="F109" i="19"/>
  <c r="F69" i="19"/>
  <c r="F226" i="19"/>
  <c r="K331" i="18"/>
  <c r="J331" i="18" s="1"/>
  <c r="K328" i="18"/>
  <c r="J328" i="18" s="1"/>
  <c r="F268" i="19"/>
  <c r="F96" i="19"/>
  <c r="F125" i="19"/>
  <c r="F249" i="19"/>
  <c r="F17" i="19"/>
  <c r="F357" i="19"/>
  <c r="I286" i="18"/>
  <c r="K276" i="18"/>
  <c r="I259" i="18"/>
  <c r="F62" i="19"/>
  <c r="F208" i="19"/>
  <c r="F217" i="19"/>
  <c r="F104" i="19"/>
  <c r="F147" i="19"/>
  <c r="I218" i="18"/>
  <c r="F49" i="19"/>
  <c r="F182" i="19"/>
  <c r="K162" i="18"/>
  <c r="J162" i="18" s="1"/>
  <c r="F240" i="19"/>
  <c r="K155" i="18"/>
  <c r="J155" i="18" s="1"/>
  <c r="F115" i="19"/>
  <c r="F248" i="19"/>
  <c r="I126" i="18"/>
  <c r="F47" i="19"/>
  <c r="F103" i="19"/>
  <c r="K116" i="18"/>
  <c r="J116" i="18" s="1"/>
  <c r="F37" i="19"/>
  <c r="F55" i="19"/>
  <c r="F83" i="19"/>
  <c r="F143" i="19"/>
  <c r="F336" i="19"/>
  <c r="I62" i="18"/>
  <c r="K36" i="18"/>
  <c r="I33" i="18"/>
  <c r="F415" i="19"/>
  <c r="F410" i="19"/>
  <c r="F435" i="19"/>
  <c r="F387" i="19"/>
  <c r="F423" i="19"/>
  <c r="F151" i="19"/>
  <c r="F48" i="19"/>
  <c r="F210" i="19"/>
  <c r="F15" i="19"/>
  <c r="F376" i="19"/>
  <c r="F203" i="19"/>
  <c r="F12" i="19"/>
  <c r="F14" i="19"/>
  <c r="F205" i="19"/>
  <c r="F5" i="19"/>
  <c r="F239" i="19"/>
  <c r="F168" i="19"/>
  <c r="F41" i="19"/>
  <c r="F311" i="19"/>
  <c r="F63" i="19"/>
  <c r="F44" i="19"/>
  <c r="F175" i="19"/>
  <c r="F121" i="19"/>
  <c r="F329" i="19"/>
  <c r="F280" i="19"/>
  <c r="F333" i="19"/>
  <c r="K133" i="18"/>
  <c r="F269" i="19"/>
  <c r="F277" i="19"/>
  <c r="F202" i="19"/>
  <c r="F119" i="19"/>
  <c r="F349" i="19"/>
  <c r="K42" i="18"/>
  <c r="J42" i="18" s="1"/>
  <c r="F425" i="19"/>
  <c r="F310" i="19"/>
  <c r="F112" i="19"/>
  <c r="P441" i="18"/>
  <c r="S441" i="18" s="1"/>
  <c r="K371" i="18"/>
  <c r="J371" i="18" s="1"/>
  <c r="I353" i="18"/>
  <c r="F379" i="19"/>
  <c r="F194" i="19"/>
  <c r="F207" i="19"/>
  <c r="K316" i="18"/>
  <c r="J316" i="18" s="1"/>
  <c r="F314" i="19"/>
  <c r="I295" i="18"/>
  <c r="J295" i="18" s="1"/>
  <c r="F89" i="19"/>
  <c r="F283" i="19"/>
  <c r="I264" i="18"/>
  <c r="K260" i="18"/>
  <c r="F120" i="19"/>
  <c r="F250" i="19"/>
  <c r="F133" i="19"/>
  <c r="F11" i="19"/>
  <c r="F285" i="19"/>
  <c r="K207" i="18"/>
  <c r="F292" i="19"/>
  <c r="F185" i="19"/>
  <c r="F132" i="19"/>
  <c r="F371" i="19"/>
  <c r="F28" i="19"/>
  <c r="K159" i="18"/>
  <c r="J159" i="18" s="1"/>
  <c r="F68" i="19"/>
  <c r="F251" i="19"/>
  <c r="F52" i="19"/>
  <c r="I120" i="18"/>
  <c r="F352" i="19"/>
  <c r="F189" i="19"/>
  <c r="F128" i="19"/>
  <c r="K81" i="18"/>
  <c r="J81" i="18" s="1"/>
  <c r="K397" i="18"/>
  <c r="F94" i="19"/>
  <c r="F359" i="19"/>
  <c r="I392" i="18"/>
  <c r="J392" i="18" s="1"/>
  <c r="F225" i="19"/>
  <c r="F342" i="19"/>
  <c r="K22" i="18"/>
  <c r="J22" i="18" s="1"/>
  <c r="F70" i="19"/>
  <c r="F412" i="19"/>
  <c r="F394" i="19"/>
  <c r="F443" i="19"/>
  <c r="F426" i="19"/>
  <c r="F241" i="19"/>
  <c r="F441" i="19"/>
  <c r="F257" i="19"/>
  <c r="F163" i="19"/>
  <c r="F145" i="19"/>
  <c r="F218" i="19"/>
  <c r="I292" i="18"/>
  <c r="J292" i="18" s="1"/>
  <c r="I287" i="18"/>
  <c r="F262" i="19"/>
  <c r="F77" i="19"/>
  <c r="F79" i="19"/>
  <c r="F325" i="19"/>
  <c r="F8" i="19"/>
  <c r="F160" i="19"/>
  <c r="I222" i="18"/>
  <c r="K219" i="18"/>
  <c r="I217" i="18"/>
  <c r="I413" i="18"/>
  <c r="K191" i="18"/>
  <c r="F98" i="19"/>
  <c r="K177" i="18"/>
  <c r="J177" i="18" s="1"/>
  <c r="F373" i="19"/>
  <c r="F327" i="19"/>
  <c r="F134" i="19"/>
  <c r="F38" i="19"/>
  <c r="F3" i="19"/>
  <c r="K89" i="18"/>
  <c r="F430" i="19"/>
  <c r="F361" i="19"/>
  <c r="F190" i="19"/>
  <c r="K4" i="18"/>
  <c r="F385" i="19"/>
  <c r="F391" i="19"/>
  <c r="I439" i="18"/>
  <c r="K357" i="18"/>
  <c r="J357" i="18" s="1"/>
  <c r="I341" i="18"/>
  <c r="J341" i="18" s="1"/>
  <c r="K427" i="18"/>
  <c r="J427" i="18" s="1"/>
  <c r="F308" i="19"/>
  <c r="I308" i="18"/>
  <c r="F318" i="19"/>
  <c r="I284" i="18"/>
  <c r="J284" i="18" s="1"/>
  <c r="K277" i="18"/>
  <c r="J277" i="18" s="1"/>
  <c r="I268" i="18"/>
  <c r="F219" i="19"/>
  <c r="F313" i="19"/>
  <c r="K214" i="18"/>
  <c r="I211" i="18"/>
  <c r="F172" i="19"/>
  <c r="F330" i="19"/>
  <c r="F19" i="19"/>
  <c r="F110" i="19"/>
  <c r="F372" i="19"/>
  <c r="F332" i="19"/>
  <c r="F221" i="19"/>
  <c r="F235" i="19"/>
  <c r="F33" i="19"/>
  <c r="F401" i="19"/>
  <c r="F245" i="19"/>
  <c r="F45" i="19"/>
  <c r="F424" i="19"/>
  <c r="F324" i="19"/>
  <c r="F78" i="19"/>
  <c r="F204" i="19"/>
  <c r="F398" i="19"/>
  <c r="F418" i="19"/>
  <c r="F419" i="19"/>
  <c r="F396" i="19"/>
  <c r="F382" i="19"/>
  <c r="F377" i="19"/>
  <c r="F32" i="19"/>
  <c r="F90" i="19"/>
  <c r="F61" i="19"/>
  <c r="F88" i="19"/>
  <c r="F211" i="19"/>
  <c r="F271" i="19"/>
  <c r="F432" i="19"/>
  <c r="F432" i="23" s="1"/>
  <c r="F370" i="19"/>
  <c r="F354" i="19"/>
  <c r="F149" i="19"/>
  <c r="F198" i="19"/>
  <c r="F16" i="19"/>
  <c r="F339" i="19"/>
  <c r="F256" i="19"/>
  <c r="F67" i="19"/>
  <c r="F236" i="19"/>
  <c r="F36" i="19"/>
  <c r="F140" i="19"/>
  <c r="F319" i="19"/>
  <c r="F278" i="19"/>
  <c r="F199" i="19"/>
  <c r="F405" i="19"/>
  <c r="F429" i="19"/>
  <c r="F154" i="19"/>
  <c r="P376" i="18"/>
  <c r="S376" i="18" s="1"/>
  <c r="P353" i="18"/>
  <c r="S353" i="18" s="1"/>
  <c r="I443" i="18"/>
  <c r="J443" i="18" s="1"/>
  <c r="I368" i="18"/>
  <c r="F388" i="19"/>
  <c r="F73" i="19"/>
  <c r="K345" i="18"/>
  <c r="J345" i="18" s="1"/>
  <c r="I333" i="18"/>
  <c r="J333" i="18" s="1"/>
  <c r="K317" i="18"/>
  <c r="J317" i="18" s="1"/>
  <c r="F84" i="19"/>
  <c r="F326" i="19"/>
  <c r="F43" i="19"/>
  <c r="I281" i="18"/>
  <c r="F165" i="19"/>
  <c r="I274" i="18"/>
  <c r="I272" i="18"/>
  <c r="K269" i="18"/>
  <c r="F144" i="19"/>
  <c r="F167" i="19"/>
  <c r="F114" i="19"/>
  <c r="F51" i="19"/>
  <c r="F281" i="19"/>
  <c r="F177" i="19"/>
  <c r="F369" i="19"/>
  <c r="F369" i="23" s="1"/>
  <c r="I160" i="18"/>
  <c r="K157" i="18"/>
  <c r="J157" i="18" s="1"/>
  <c r="F223" i="19"/>
  <c r="F126" i="19"/>
  <c r="F108" i="19"/>
  <c r="F105" i="19"/>
  <c r="I114" i="18"/>
  <c r="K108" i="18"/>
  <c r="J108" i="18" s="1"/>
  <c r="I100" i="18"/>
  <c r="F243" i="19"/>
  <c r="F270" i="19"/>
  <c r="F290" i="19"/>
  <c r="F317" i="19"/>
  <c r="F347" i="19"/>
  <c r="F320" i="19"/>
  <c r="F197" i="19"/>
  <c r="F439" i="19"/>
  <c r="F363" i="19"/>
  <c r="F303" i="19"/>
  <c r="F397" i="19"/>
  <c r="F411" i="19"/>
  <c r="F420" i="19"/>
  <c r="F395" i="19"/>
  <c r="F400" i="19"/>
  <c r="F118" i="19"/>
  <c r="F42" i="19"/>
  <c r="F138" i="19"/>
  <c r="F179" i="19"/>
  <c r="F331" i="19"/>
  <c r="F95" i="19"/>
  <c r="F209" i="19"/>
  <c r="F81" i="19"/>
  <c r="F353" i="19"/>
  <c r="F402" i="19"/>
  <c r="F23" i="19"/>
  <c r="F222" i="19"/>
  <c r="K205" i="18"/>
  <c r="F6" i="19"/>
  <c r="F130" i="19"/>
  <c r="F406" i="19"/>
  <c r="K166" i="18"/>
  <c r="J166" i="18" s="1"/>
  <c r="K151" i="18"/>
  <c r="K142" i="18"/>
  <c r="F206" i="19"/>
  <c r="F299" i="19"/>
  <c r="F192" i="19"/>
  <c r="K97" i="18"/>
  <c r="F300" i="19"/>
  <c r="I76" i="18"/>
  <c r="F152" i="19"/>
  <c r="F264" i="19"/>
  <c r="F356" i="19"/>
  <c r="F188" i="19"/>
  <c r="F287" i="19"/>
  <c r="F316" i="19"/>
  <c r="F360" i="19"/>
  <c r="K18" i="18"/>
  <c r="F392" i="19"/>
  <c r="F30" i="19"/>
  <c r="F302" i="19"/>
  <c r="K348" i="18"/>
  <c r="I432" i="18"/>
  <c r="I324" i="18"/>
  <c r="F53" i="19"/>
  <c r="F27" i="19"/>
  <c r="F54" i="19"/>
  <c r="I296" i="18"/>
  <c r="F113" i="19"/>
  <c r="F215" i="19"/>
  <c r="F111" i="19"/>
  <c r="I422" i="18"/>
  <c r="I262" i="18"/>
  <c r="F86" i="19"/>
  <c r="F86" i="23" s="1"/>
  <c r="K244" i="18"/>
  <c r="F176" i="19"/>
  <c r="F288" i="19"/>
  <c r="K215" i="18"/>
  <c r="F263" i="19"/>
  <c r="F87" i="19"/>
  <c r="F180" i="19"/>
  <c r="F328" i="19"/>
  <c r="F341" i="19"/>
  <c r="F238" i="19"/>
  <c r="I148" i="18"/>
  <c r="I135" i="18"/>
  <c r="F367" i="19"/>
  <c r="F244" i="19"/>
  <c r="I118" i="18"/>
  <c r="F321" i="19"/>
  <c r="I111" i="18"/>
  <c r="F7" i="19"/>
  <c r="F282" i="19"/>
  <c r="F142" i="19"/>
  <c r="F224" i="19"/>
  <c r="F228" i="19"/>
  <c r="I395" i="18"/>
  <c r="F351" i="19"/>
  <c r="K14" i="18"/>
  <c r="J14" i="18" s="1"/>
  <c r="F421" i="19"/>
  <c r="F421" i="23" s="1"/>
  <c r="F416" i="19"/>
  <c r="F378" i="19"/>
  <c r="F440" i="19"/>
  <c r="F428" i="19"/>
  <c r="F91" i="19"/>
  <c r="F85" i="19"/>
  <c r="F40" i="19"/>
  <c r="I99" i="18"/>
  <c r="K99" i="18"/>
  <c r="P443" i="18"/>
  <c r="S443" i="18" s="1"/>
  <c r="K376" i="18"/>
  <c r="K435" i="18"/>
  <c r="K351" i="18"/>
  <c r="I356" i="18"/>
  <c r="K322" i="18"/>
  <c r="I238" i="18"/>
  <c r="K238" i="18"/>
  <c r="I181" i="18"/>
  <c r="K181" i="18"/>
  <c r="K438" i="18"/>
  <c r="K342" i="18"/>
  <c r="K334" i="18"/>
  <c r="I255" i="18"/>
  <c r="I338" i="18"/>
  <c r="K329" i="18"/>
  <c r="J329" i="18" s="1"/>
  <c r="I312" i="18"/>
  <c r="I424" i="18"/>
  <c r="I220" i="18"/>
  <c r="K220" i="18"/>
  <c r="I125" i="18"/>
  <c r="K125" i="18"/>
  <c r="K290" i="18"/>
  <c r="K115" i="18"/>
  <c r="I115" i="18"/>
  <c r="K441" i="18"/>
  <c r="K360" i="18"/>
  <c r="K330" i="18"/>
  <c r="K270" i="18"/>
  <c r="I21" i="18"/>
  <c r="K21" i="18"/>
  <c r="I365" i="18"/>
  <c r="K339" i="18"/>
  <c r="J339" i="18" s="1"/>
  <c r="K307" i="18"/>
  <c r="J307" i="18" s="1"/>
  <c r="K297" i="18"/>
  <c r="I278" i="18"/>
  <c r="I233" i="18"/>
  <c r="K233" i="18"/>
  <c r="I248" i="18"/>
  <c r="K248" i="18"/>
  <c r="I227" i="18"/>
  <c r="I412" i="18"/>
  <c r="K412" i="18"/>
  <c r="I411" i="18"/>
  <c r="K411" i="18"/>
  <c r="I146" i="18"/>
  <c r="K146" i="18"/>
  <c r="I74" i="18"/>
  <c r="K74" i="18"/>
  <c r="K271" i="18"/>
  <c r="I271" i="18"/>
  <c r="K240" i="18"/>
  <c r="I240" i="18"/>
  <c r="I350" i="18"/>
  <c r="K332" i="18"/>
  <c r="I320" i="18"/>
  <c r="K309" i="18"/>
  <c r="K298" i="18"/>
  <c r="I419" i="18"/>
  <c r="K416" i="18"/>
  <c r="I416" i="18"/>
  <c r="K375" i="18"/>
  <c r="K359" i="18"/>
  <c r="K275" i="18"/>
  <c r="J275" i="18" s="1"/>
  <c r="I409" i="18"/>
  <c r="K409" i="18"/>
  <c r="I175" i="18"/>
  <c r="K175" i="18"/>
  <c r="K216" i="18"/>
  <c r="K152" i="18"/>
  <c r="K147" i="18"/>
  <c r="K137" i="18"/>
  <c r="K127" i="18"/>
  <c r="J127" i="18" s="1"/>
  <c r="K110" i="18"/>
  <c r="K105" i="18"/>
  <c r="K101" i="18"/>
  <c r="J101" i="18" s="1"/>
  <c r="K69" i="18"/>
  <c r="K28" i="18"/>
  <c r="I96" i="18"/>
  <c r="I71" i="18"/>
  <c r="K57" i="18"/>
  <c r="K46" i="18"/>
  <c r="K390" i="18"/>
  <c r="K30" i="18"/>
  <c r="K10" i="18"/>
  <c r="K6" i="18"/>
  <c r="K31" i="18"/>
  <c r="I25" i="18"/>
  <c r="K237" i="18"/>
  <c r="J237" i="18" s="1"/>
  <c r="K187" i="18"/>
  <c r="K183" i="18"/>
  <c r="K406" i="18"/>
  <c r="K168" i="18"/>
  <c r="K403" i="18"/>
  <c r="J403" i="18" s="1"/>
  <c r="K163" i="18"/>
  <c r="K144" i="18"/>
  <c r="K139" i="18"/>
  <c r="I199" i="18"/>
  <c r="K158" i="18"/>
  <c r="I107" i="18"/>
  <c r="I103" i="18"/>
  <c r="I67" i="18"/>
  <c r="I55" i="18"/>
  <c r="I44" i="18"/>
  <c r="J44" i="18" s="1"/>
  <c r="I388" i="18"/>
  <c r="I380" i="18"/>
  <c r="K15" i="18"/>
  <c r="I407" i="18"/>
  <c r="K173" i="18"/>
  <c r="K3" i="18"/>
  <c r="K94" i="18"/>
  <c r="K209" i="18"/>
  <c r="J209" i="18" s="1"/>
  <c r="K140" i="18"/>
  <c r="K60" i="18"/>
  <c r="K49" i="18"/>
  <c r="J49" i="18" s="1"/>
  <c r="K39" i="18"/>
  <c r="J39" i="18" s="1"/>
  <c r="K387" i="18"/>
  <c r="I265" i="18"/>
  <c r="K265" i="18"/>
  <c r="K225" i="18"/>
  <c r="J225" i="18" s="1"/>
  <c r="I212" i="18"/>
  <c r="K193" i="18"/>
  <c r="I193" i="18"/>
  <c r="I440" i="18"/>
  <c r="I361" i="18"/>
  <c r="I352" i="18"/>
  <c r="I344" i="18"/>
  <c r="I335" i="18"/>
  <c r="I423" i="18"/>
  <c r="I247" i="18"/>
  <c r="I246" i="18"/>
  <c r="I245" i="18"/>
  <c r="I213" i="18"/>
  <c r="K213" i="18"/>
  <c r="K305" i="18"/>
  <c r="K304" i="18"/>
  <c r="K426" i="18"/>
  <c r="K294" i="18"/>
  <c r="K293" i="18"/>
  <c r="K285" i="18"/>
  <c r="K283" i="18"/>
  <c r="K282" i="18"/>
  <c r="K273" i="18"/>
  <c r="I179" i="18"/>
  <c r="K179" i="18"/>
  <c r="I230" i="18"/>
  <c r="K230" i="18"/>
  <c r="K206" i="18"/>
  <c r="I206" i="18"/>
  <c r="K326" i="18"/>
  <c r="K325" i="18"/>
  <c r="J325" i="18" s="1"/>
  <c r="K314" i="18"/>
  <c r="K313" i="18"/>
  <c r="K302" i="18"/>
  <c r="K301" i="18"/>
  <c r="K291" i="18"/>
  <c r="K425" i="18"/>
  <c r="K280" i="18"/>
  <c r="K279" i="18"/>
  <c r="K256" i="18"/>
  <c r="I254" i="18"/>
  <c r="K249" i="18"/>
  <c r="K221" i="18"/>
  <c r="K442" i="18"/>
  <c r="K366" i="18"/>
  <c r="K434" i="18"/>
  <c r="K433" i="18"/>
  <c r="K340" i="18"/>
  <c r="I231" i="18"/>
  <c r="K231" i="18"/>
  <c r="I414" i="18"/>
  <c r="K414" i="18"/>
  <c r="K153" i="18"/>
  <c r="I153" i="18"/>
  <c r="K373" i="18"/>
  <c r="I203" i="18"/>
  <c r="K203" i="18"/>
  <c r="I253" i="18"/>
  <c r="K437" i="18"/>
  <c r="I258" i="18"/>
  <c r="K251" i="18"/>
  <c r="K228" i="18"/>
  <c r="K223" i="18"/>
  <c r="K210" i="18"/>
  <c r="K263" i="18"/>
  <c r="I241" i="18"/>
  <c r="K415" i="18"/>
  <c r="I415" i="18"/>
  <c r="I188" i="18"/>
  <c r="K188" i="18"/>
  <c r="I169" i="18"/>
  <c r="K169" i="18"/>
  <c r="K80" i="18"/>
  <c r="I80" i="18"/>
  <c r="K370" i="18"/>
  <c r="K363" i="18"/>
  <c r="K354" i="18"/>
  <c r="K431" i="18"/>
  <c r="K337" i="18"/>
  <c r="K242" i="18"/>
  <c r="P339" i="18"/>
  <c r="S339" i="18" s="1"/>
  <c r="K421" i="18"/>
  <c r="K235" i="18"/>
  <c r="I234" i="18"/>
  <c r="K234" i="18"/>
  <c r="I421" i="18"/>
  <c r="K252" i="18"/>
  <c r="K229" i="18"/>
  <c r="K418" i="18"/>
  <c r="I418" i="18"/>
  <c r="K212" i="18"/>
  <c r="I95" i="18"/>
  <c r="K95" i="18"/>
  <c r="K197" i="18"/>
  <c r="I195" i="18"/>
  <c r="I121" i="18"/>
  <c r="K121" i="18"/>
  <c r="K164" i="18"/>
  <c r="K184" i="18"/>
  <c r="K176" i="18"/>
  <c r="K420" i="18"/>
  <c r="K232" i="18"/>
  <c r="K189" i="18"/>
  <c r="I154" i="18"/>
  <c r="K154" i="18"/>
  <c r="I190" i="18"/>
  <c r="I185" i="18"/>
  <c r="K185" i="18"/>
  <c r="I165" i="18"/>
  <c r="K165" i="18"/>
  <c r="K123" i="18"/>
  <c r="I123" i="18"/>
  <c r="I90" i="18"/>
  <c r="K90" i="18"/>
  <c r="I52" i="18"/>
  <c r="K52" i="18"/>
  <c r="K200" i="18"/>
  <c r="I404" i="18"/>
  <c r="K404" i="18"/>
  <c r="I201" i="18"/>
  <c r="I161" i="18"/>
  <c r="K161" i="18"/>
  <c r="I180" i="18"/>
  <c r="K180" i="18"/>
  <c r="I172" i="18"/>
  <c r="K172" i="18"/>
  <c r="K194" i="18"/>
  <c r="I417" i="18"/>
  <c r="K417" i="18"/>
  <c r="I41" i="18"/>
  <c r="K41" i="18"/>
  <c r="K149" i="18"/>
  <c r="K130" i="18"/>
  <c r="K128" i="18"/>
  <c r="K401" i="18"/>
  <c r="I401" i="18"/>
  <c r="I86" i="18"/>
  <c r="K86" i="18"/>
  <c r="I68" i="18"/>
  <c r="I34" i="18"/>
  <c r="K34" i="18"/>
  <c r="K132" i="18"/>
  <c r="K109" i="18"/>
  <c r="K98" i="18"/>
  <c r="I75" i="18"/>
  <c r="K75" i="18"/>
  <c r="I131" i="18"/>
  <c r="K82" i="18"/>
  <c r="I82" i="18"/>
  <c r="I56" i="18"/>
  <c r="K56" i="18"/>
  <c r="I26" i="18"/>
  <c r="K26" i="18"/>
  <c r="K145" i="18"/>
  <c r="K113" i="18"/>
  <c r="K102" i="18"/>
  <c r="I92" i="18"/>
  <c r="I88" i="18"/>
  <c r="K196" i="18"/>
  <c r="K408" i="18"/>
  <c r="K405" i="18"/>
  <c r="K167" i="18"/>
  <c r="K156" i="18"/>
  <c r="I77" i="18"/>
  <c r="I72" i="18"/>
  <c r="I17" i="18"/>
  <c r="K17" i="18"/>
  <c r="I398" i="18"/>
  <c r="I396" i="18"/>
  <c r="K396" i="18"/>
  <c r="I400" i="18"/>
  <c r="I9" i="18"/>
  <c r="K9" i="18"/>
  <c r="K124" i="18"/>
  <c r="I402" i="18"/>
  <c r="K402" i="18"/>
  <c r="I63" i="18"/>
  <c r="K63" i="18"/>
  <c r="I70" i="18"/>
  <c r="I61" i="18"/>
  <c r="K59" i="18"/>
  <c r="I50" i="18"/>
  <c r="K48" i="18"/>
  <c r="I40" i="18"/>
  <c r="K391" i="18"/>
  <c r="I32" i="18"/>
  <c r="K386" i="18"/>
  <c r="I24" i="18"/>
  <c r="K23" i="18"/>
  <c r="I379" i="18"/>
  <c r="K378" i="18"/>
  <c r="I7" i="18"/>
  <c r="K5" i="18"/>
  <c r="K45" i="18"/>
  <c r="K389" i="18"/>
  <c r="K29" i="18"/>
  <c r="K20" i="18"/>
  <c r="K13" i="18"/>
  <c r="K66" i="18"/>
  <c r="K54" i="18"/>
  <c r="K43" i="18"/>
  <c r="K37" i="18"/>
  <c r="K384" i="18"/>
  <c r="K19" i="18"/>
  <c r="K12" i="18"/>
  <c r="K93" i="18"/>
  <c r="K84" i="18"/>
  <c r="K73" i="18"/>
  <c r="K64" i="18"/>
  <c r="K53" i="18"/>
  <c r="K393" i="18"/>
  <c r="K35" i="18"/>
  <c r="K27" i="18"/>
  <c r="P440" i="18"/>
  <c r="S440" i="18" s="1"/>
  <c r="P330" i="18"/>
  <c r="S330" i="18" s="1"/>
  <c r="P373" i="18"/>
  <c r="S373" i="18" s="1"/>
  <c r="P347" i="18"/>
  <c r="S347" i="18" s="1"/>
  <c r="P433" i="18"/>
  <c r="S433" i="18" s="1"/>
  <c r="P346" i="18"/>
  <c r="S346" i="18" s="1"/>
  <c r="P436" i="18"/>
  <c r="S436" i="18" s="1"/>
  <c r="P335" i="18"/>
  <c r="S335" i="18" s="1"/>
  <c r="P358" i="18"/>
  <c r="S358" i="18" s="1"/>
  <c r="P348" i="18"/>
  <c r="S348" i="18" s="1"/>
  <c r="K2" i="18"/>
  <c r="M2" i="18"/>
  <c r="J71" i="19" s="1"/>
  <c r="P250" i="18"/>
  <c r="S250" i="18" s="1"/>
  <c r="P288" i="18"/>
  <c r="S288" i="18" s="1"/>
  <c r="P199" i="18"/>
  <c r="S199" i="18" s="1"/>
  <c r="P194" i="18"/>
  <c r="S194" i="18" s="1"/>
  <c r="P108" i="18"/>
  <c r="S108" i="18" s="1"/>
  <c r="P393" i="18"/>
  <c r="S393" i="18" s="1"/>
  <c r="P73" i="18"/>
  <c r="S73" i="18" s="1"/>
  <c r="P69" i="18"/>
  <c r="S69" i="18" s="1"/>
  <c r="P56" i="18"/>
  <c r="S56" i="18" s="1"/>
  <c r="P51" i="18"/>
  <c r="S51" i="18" s="1"/>
  <c r="P413" i="18"/>
  <c r="S413" i="18" s="1"/>
  <c r="P23" i="18"/>
  <c r="S23" i="18" s="1"/>
  <c r="P68" i="18"/>
  <c r="S68" i="18" s="1"/>
  <c r="P27" i="18"/>
  <c r="S27" i="18" s="1"/>
  <c r="P200" i="18"/>
  <c r="S200" i="18" s="1"/>
  <c r="P62" i="18"/>
  <c r="S62" i="18" s="1"/>
  <c r="P107" i="18"/>
  <c r="S107" i="18" s="1"/>
  <c r="P109" i="18"/>
  <c r="S109" i="18" s="1"/>
  <c r="P25" i="18"/>
  <c r="S25" i="18" s="1"/>
  <c r="P123" i="18"/>
  <c r="S123" i="18" s="1"/>
  <c r="P125" i="18"/>
  <c r="S125" i="18" s="1"/>
  <c r="P201" i="18"/>
  <c r="S201" i="18" s="1"/>
  <c r="P124" i="18"/>
  <c r="S124" i="18" s="1"/>
  <c r="P198" i="18"/>
  <c r="S198" i="18" s="1"/>
  <c r="P383" i="18"/>
  <c r="S383" i="18" s="1"/>
  <c r="P21" i="18"/>
  <c r="S21" i="18" s="1"/>
  <c r="P46" i="18"/>
  <c r="S46" i="18" s="1"/>
  <c r="P115" i="18"/>
  <c r="S115" i="18" s="1"/>
  <c r="P63" i="18"/>
  <c r="S63" i="18" s="1"/>
  <c r="P415" i="18"/>
  <c r="S415" i="18" s="1"/>
  <c r="P67" i="18"/>
  <c r="S67" i="18" s="1"/>
  <c r="P19" i="18"/>
  <c r="S19" i="18" s="1"/>
  <c r="P382" i="18"/>
  <c r="S382" i="18" s="1"/>
  <c r="P14" i="18"/>
  <c r="S14" i="18" s="1"/>
  <c r="P146" i="18"/>
  <c r="S146" i="18" s="1"/>
  <c r="P143" i="18"/>
  <c r="S143" i="18" s="1"/>
  <c r="P58" i="18"/>
  <c r="S58" i="18" s="1"/>
  <c r="P395" i="18"/>
  <c r="S395" i="18" s="1"/>
  <c r="P118" i="18"/>
  <c r="S118" i="18" s="1"/>
  <c r="P39" i="18"/>
  <c r="S39" i="18" s="1"/>
  <c r="P49" i="18"/>
  <c r="S49" i="18" s="1"/>
  <c r="P189" i="18"/>
  <c r="S189" i="18" s="1"/>
  <c r="P397" i="18"/>
  <c r="S397" i="18" s="1"/>
  <c r="P59" i="18"/>
  <c r="S59" i="18" s="1"/>
  <c r="P66" i="18"/>
  <c r="S66" i="18" s="1"/>
  <c r="P379" i="18"/>
  <c r="S379" i="18" s="1"/>
  <c r="P130" i="18"/>
  <c r="S130" i="18" s="1"/>
  <c r="P132" i="18"/>
  <c r="S132" i="18" s="1"/>
  <c r="P131" i="18"/>
  <c r="S131" i="18" s="1"/>
  <c r="P16" i="18"/>
  <c r="S16" i="18" s="1"/>
  <c r="P22" i="18"/>
  <c r="S22" i="18" s="1"/>
  <c r="P20" i="18"/>
  <c r="S20" i="18" s="1"/>
  <c r="P122" i="18"/>
  <c r="S122" i="18" s="1"/>
  <c r="P414" i="18"/>
  <c r="S414" i="18" s="1"/>
  <c r="P26" i="18"/>
  <c r="S26" i="18" s="1"/>
  <c r="P52" i="18"/>
  <c r="S52" i="18" s="1"/>
  <c r="P396" i="18"/>
  <c r="S396" i="18" s="1"/>
  <c r="P207" i="18"/>
  <c r="S207" i="18" s="1"/>
  <c r="P220" i="18"/>
  <c r="S220" i="18" s="1"/>
  <c r="P214" i="18"/>
  <c r="S214" i="18" s="1"/>
  <c r="P217" i="18"/>
  <c r="S217" i="18" s="1"/>
  <c r="P215" i="18"/>
  <c r="S215" i="18" s="1"/>
  <c r="P416" i="18"/>
  <c r="S416" i="18" s="1"/>
  <c r="P31" i="18"/>
  <c r="S31" i="18" s="1"/>
  <c r="P37" i="18"/>
  <c r="S37" i="18" s="1"/>
  <c r="P209" i="18"/>
  <c r="S209" i="18" s="1"/>
  <c r="P386" i="18"/>
  <c r="S386" i="18" s="1"/>
  <c r="P385" i="18"/>
  <c r="S385" i="18" s="1"/>
  <c r="P113" i="18"/>
  <c r="S113" i="18" s="1"/>
  <c r="P76" i="18"/>
  <c r="S76" i="18" s="1"/>
  <c r="P77" i="18"/>
  <c r="S77" i="18" s="1"/>
  <c r="P35" i="18"/>
  <c r="S35" i="18" s="1"/>
  <c r="P97" i="18"/>
  <c r="S97" i="18" s="1"/>
  <c r="P29" i="18"/>
  <c r="S29" i="18" s="1"/>
  <c r="P384" i="18"/>
  <c r="S384" i="18" s="1"/>
  <c r="P221" i="18"/>
  <c r="S221" i="18" s="1"/>
  <c r="P234" i="18"/>
  <c r="S234" i="18" s="1"/>
  <c r="P227" i="18"/>
  <c r="S227" i="18" s="1"/>
  <c r="P230" i="18"/>
  <c r="S230" i="18" s="1"/>
  <c r="P91" i="18"/>
  <c r="S91" i="18" s="1"/>
  <c r="P149" i="18"/>
  <c r="S149" i="18" s="1"/>
  <c r="P398" i="18"/>
  <c r="S398" i="18" s="1"/>
  <c r="O430" i="19" s="1"/>
  <c r="P177" i="18"/>
  <c r="S177" i="18" s="1"/>
  <c r="P180" i="18"/>
  <c r="S180" i="18" s="1"/>
  <c r="P170" i="18"/>
  <c r="S170" i="18" s="1"/>
  <c r="P88" i="18"/>
  <c r="S88" i="18" s="1"/>
  <c r="P75" i="18"/>
  <c r="S75" i="18" s="1"/>
  <c r="P94" i="18"/>
  <c r="S94" i="18" s="1"/>
  <c r="P179" i="18"/>
  <c r="S179" i="18" s="1"/>
  <c r="P159" i="18"/>
  <c r="S159" i="18" s="1"/>
  <c r="P400" i="18"/>
  <c r="S400" i="18" s="1"/>
  <c r="P95" i="18"/>
  <c r="S95" i="18" s="1"/>
  <c r="P87" i="18"/>
  <c r="S87" i="18" s="1"/>
  <c r="P92" i="18"/>
  <c r="S92" i="18" s="1"/>
  <c r="P99" i="18"/>
  <c r="S99" i="18" s="1"/>
  <c r="P90" i="18"/>
  <c r="S90" i="18" s="1"/>
  <c r="P100" i="18"/>
  <c r="S100" i="18" s="1"/>
  <c r="P401" i="18"/>
  <c r="S401" i="18" s="1"/>
  <c r="P80" i="18"/>
  <c r="S80" i="18" s="1"/>
  <c r="P93" i="18"/>
  <c r="S93" i="18" s="1"/>
  <c r="P74" i="18"/>
  <c r="S74" i="18" s="1"/>
  <c r="P154" i="18"/>
  <c r="S154" i="18" s="1"/>
  <c r="P4" i="18"/>
  <c r="S4" i="18" s="1"/>
  <c r="P144" i="18"/>
  <c r="S144" i="18" s="1"/>
  <c r="P178" i="18"/>
  <c r="S178" i="18" s="1"/>
  <c r="P182" i="18"/>
  <c r="S182" i="18" s="1"/>
  <c r="P409" i="18"/>
  <c r="S409" i="18" s="1"/>
  <c r="P166" i="18"/>
  <c r="S166" i="18" s="1"/>
  <c r="P89" i="18"/>
  <c r="S89" i="18" s="1"/>
  <c r="P98" i="18"/>
  <c r="S98" i="18" s="1"/>
  <c r="P238" i="18"/>
  <c r="S238" i="18" s="1"/>
  <c r="P235" i="18"/>
  <c r="S235" i="18" s="1"/>
  <c r="P174" i="18"/>
  <c r="S174" i="18" s="1"/>
  <c r="P167" i="18"/>
  <c r="S167" i="18" s="1"/>
  <c r="P405" i="18"/>
  <c r="S405" i="18" s="1"/>
  <c r="P172" i="18"/>
  <c r="S172" i="18" s="1"/>
  <c r="P188" i="18"/>
  <c r="P403" i="18"/>
  <c r="S403" i="18" s="1"/>
  <c r="P184" i="18"/>
  <c r="S184" i="18" s="1"/>
  <c r="P236" i="18"/>
  <c r="S236" i="18" s="1"/>
  <c r="P156" i="18"/>
  <c r="S156" i="18" s="1"/>
  <c r="P163" i="18"/>
  <c r="S163" i="18" s="1"/>
  <c r="P158" i="18"/>
  <c r="S158" i="18" s="1"/>
  <c r="P11" i="18"/>
  <c r="S11" i="18" s="1"/>
  <c r="P6" i="18"/>
  <c r="S6" i="18" s="1"/>
  <c r="P9" i="18"/>
  <c r="S9" i="18" s="1"/>
  <c r="P202" i="18"/>
  <c r="S202" i="18" s="1"/>
  <c r="P206" i="18"/>
  <c r="S206" i="18" s="1"/>
  <c r="P212" i="18"/>
  <c r="S212" i="18" s="1"/>
  <c r="P8" i="18"/>
  <c r="S8" i="18" s="1"/>
  <c r="P105" i="18"/>
  <c r="S105" i="18" s="1"/>
  <c r="P402" i="18"/>
  <c r="S402" i="18" s="1"/>
  <c r="P104" i="18"/>
  <c r="S104" i="18" s="1"/>
  <c r="P213" i="18"/>
  <c r="S213" i="18" s="1"/>
  <c r="P7" i="18"/>
  <c r="S7" i="18" s="1"/>
  <c r="P13" i="18"/>
  <c r="S13" i="18" s="1"/>
  <c r="P101" i="18"/>
  <c r="S101" i="18" s="1"/>
  <c r="P5" i="18"/>
  <c r="S5" i="18" s="1"/>
  <c r="P28" i="18"/>
  <c r="S28" i="18" s="1"/>
  <c r="P387" i="18"/>
  <c r="S387" i="18" s="1"/>
  <c r="P388" i="18"/>
  <c r="S388" i="18" s="1"/>
  <c r="P33" i="18"/>
  <c r="S33" i="18" s="1"/>
  <c r="P34" i="18"/>
  <c r="S34" i="18" s="1"/>
  <c r="P389" i="18"/>
  <c r="S389" i="18" s="1"/>
  <c r="P165" i="18"/>
  <c r="S165" i="18" s="1"/>
  <c r="P183" i="18"/>
  <c r="S183" i="18" s="1"/>
  <c r="P229" i="18"/>
  <c r="S229" i="18" s="1"/>
  <c r="P79" i="18"/>
  <c r="S79" i="18" s="1"/>
  <c r="P82" i="18"/>
  <c r="S82" i="18" s="1"/>
  <c r="P292" i="18"/>
  <c r="S292" i="18" s="1"/>
  <c r="P160" i="18"/>
  <c r="S160" i="18" s="1"/>
  <c r="P155" i="18"/>
  <c r="S155" i="18" s="1"/>
  <c r="P185" i="18"/>
  <c r="S185" i="18" s="1"/>
  <c r="P173" i="18"/>
  <c r="S173" i="18" s="1"/>
  <c r="P116" i="18"/>
  <c r="S116" i="18" s="1"/>
  <c r="P391" i="18"/>
  <c r="S391" i="18" s="1"/>
  <c r="P299" i="18"/>
  <c r="S299" i="18" s="1"/>
  <c r="P269" i="18"/>
  <c r="S269" i="18" s="1"/>
  <c r="P128" i="18"/>
  <c r="S128" i="18" s="1"/>
  <c r="P129" i="18"/>
  <c r="S129" i="18" s="1"/>
  <c r="P134" i="18"/>
  <c r="S134" i="18" s="1"/>
  <c r="P24" i="18"/>
  <c r="S24" i="18" s="1"/>
  <c r="P380" i="18"/>
  <c r="S380" i="18" s="1"/>
  <c r="P17" i="18"/>
  <c r="S17" i="18" s="1"/>
  <c r="P404" i="18"/>
  <c r="S404" i="18" s="1"/>
  <c r="P151" i="18"/>
  <c r="S151" i="18" s="1"/>
  <c r="P44" i="18"/>
  <c r="S44" i="18" s="1"/>
  <c r="P55" i="18"/>
  <c r="S55" i="18" s="1"/>
  <c r="P225" i="18"/>
  <c r="S225" i="18" s="1"/>
  <c r="P72" i="18"/>
  <c r="S72" i="18" s="1"/>
  <c r="P410" i="18"/>
  <c r="S410" i="18" s="1"/>
  <c r="P110" i="18"/>
  <c r="S110" i="18" s="1"/>
  <c r="P45" i="18"/>
  <c r="S45" i="18" s="1"/>
  <c r="P112" i="18"/>
  <c r="S112" i="18" s="1"/>
  <c r="P161" i="18"/>
  <c r="S161" i="18" s="1"/>
  <c r="P147" i="18"/>
  <c r="S147" i="18" s="1"/>
  <c r="P41" i="18"/>
  <c r="S41" i="18" s="1"/>
  <c r="P114" i="18"/>
  <c r="S114" i="18" s="1"/>
  <c r="P65" i="18"/>
  <c r="S65" i="18" s="1"/>
  <c r="P53" i="18"/>
  <c r="S53" i="18" s="1"/>
  <c r="P60" i="18"/>
  <c r="S60" i="18" s="1"/>
  <c r="P222" i="18"/>
  <c r="S222" i="18" s="1"/>
  <c r="P231" i="18"/>
  <c r="S231" i="18" s="1"/>
  <c r="P136" i="18"/>
  <c r="S136" i="18" s="1"/>
  <c r="P142" i="18"/>
  <c r="S142" i="18" s="1"/>
  <c r="P141" i="18"/>
  <c r="S141" i="18" s="1"/>
  <c r="P138" i="18"/>
  <c r="S138" i="18" s="1"/>
  <c r="P196" i="18"/>
  <c r="S196" i="18" s="1"/>
  <c r="P135" i="18"/>
  <c r="S135" i="18" s="1"/>
  <c r="P133" i="18"/>
  <c r="S133" i="18" s="1"/>
  <c r="P412" i="18"/>
  <c r="S412" i="18" s="1"/>
  <c r="P193" i="18"/>
  <c r="S193" i="18" s="1"/>
  <c r="P280" i="18"/>
  <c r="S280" i="18" s="1"/>
  <c r="F197" i="23" l="1"/>
  <c r="D440" i="23"/>
  <c r="J211" i="23"/>
  <c r="J243" i="23"/>
  <c r="J361" i="23"/>
  <c r="D290" i="23"/>
  <c r="F397" i="23"/>
  <c r="F353" i="23"/>
  <c r="D260" i="23"/>
  <c r="F316" i="23"/>
  <c r="J187" i="23"/>
  <c r="L231" i="23"/>
  <c r="D335" i="23"/>
  <c r="L293" i="23"/>
  <c r="D197" i="23"/>
  <c r="J359" i="23"/>
  <c r="D300" i="23"/>
  <c r="J405" i="23"/>
  <c r="F194" i="23"/>
  <c r="J290" i="23"/>
  <c r="D266" i="23"/>
  <c r="F180" i="23"/>
  <c r="J302" i="23"/>
  <c r="L377" i="23"/>
  <c r="J70" i="23"/>
  <c r="J101" i="23"/>
  <c r="J98" i="23"/>
  <c r="L367" i="23"/>
  <c r="F370" i="23"/>
  <c r="F145" i="23"/>
  <c r="F225" i="23"/>
  <c r="F410" i="23"/>
  <c r="F390" i="23"/>
  <c r="K34" i="11"/>
  <c r="D342" i="23"/>
  <c r="D70" i="23"/>
  <c r="J143" i="23"/>
  <c r="E34" i="11"/>
  <c r="F37" i="16"/>
  <c r="J132" i="23"/>
  <c r="F34" i="11"/>
  <c r="F301" i="23"/>
  <c r="E261" i="23"/>
  <c r="F73" i="23"/>
  <c r="J387" i="23"/>
  <c r="D51" i="23"/>
  <c r="L37" i="23"/>
  <c r="J282" i="23"/>
  <c r="D295" i="23"/>
  <c r="L90" i="23"/>
  <c r="D2" i="23"/>
  <c r="J306" i="23"/>
  <c r="D50" i="23"/>
  <c r="J421" i="23"/>
  <c r="F416" i="23"/>
  <c r="F179" i="23"/>
  <c r="D325" i="23"/>
  <c r="J389" i="23"/>
  <c r="F240" i="23"/>
  <c r="J202" i="23"/>
  <c r="D443" i="23"/>
  <c r="F118" i="23"/>
  <c r="L226" i="23"/>
  <c r="F154" i="23"/>
  <c r="F166" i="23"/>
  <c r="F60" i="23"/>
  <c r="D200" i="23"/>
  <c r="L306" i="23"/>
  <c r="J103" i="23"/>
  <c r="J385" i="23"/>
  <c r="D131" i="23"/>
  <c r="F85" i="23"/>
  <c r="F24" i="23"/>
  <c r="D169" i="23"/>
  <c r="J307" i="23"/>
  <c r="J7" i="23"/>
  <c r="J197" i="23"/>
  <c r="D352" i="23"/>
  <c r="J408" i="23"/>
  <c r="D377" i="23"/>
  <c r="D196" i="23"/>
  <c r="J49" i="23"/>
  <c r="J34" i="11"/>
  <c r="C34" i="11"/>
  <c r="F363" i="23"/>
  <c r="F266" i="23"/>
  <c r="J348" i="23"/>
  <c r="D408" i="23"/>
  <c r="D367" i="23"/>
  <c r="F230" i="23"/>
  <c r="D34" i="11"/>
  <c r="D312" i="23"/>
  <c r="J267" i="23"/>
  <c r="J131" i="23"/>
  <c r="D195" i="23"/>
  <c r="F53" i="23"/>
  <c r="F88" i="23"/>
  <c r="J244" i="23"/>
  <c r="J93" i="23"/>
  <c r="D174" i="23"/>
  <c r="L435" i="23"/>
  <c r="F223" i="23"/>
  <c r="F56" i="23"/>
  <c r="F187" i="23"/>
  <c r="F375" i="23"/>
  <c r="D267" i="23"/>
  <c r="D121" i="23"/>
  <c r="J370" i="23"/>
  <c r="F6" i="23"/>
  <c r="D405" i="23"/>
  <c r="D132" i="23"/>
  <c r="J328" i="23"/>
  <c r="G34" i="11"/>
  <c r="L334" i="23"/>
  <c r="F16" i="23"/>
  <c r="D291" i="23"/>
  <c r="J186" i="23"/>
  <c r="J42" i="23"/>
  <c r="E377" i="23"/>
  <c r="F219" i="23"/>
  <c r="F385" i="23"/>
  <c r="D93" i="23"/>
  <c r="F377" i="23"/>
  <c r="F387" i="23"/>
  <c r="F2" i="23"/>
  <c r="D251" i="23"/>
  <c r="I37" i="21"/>
  <c r="E37" i="16"/>
  <c r="I37" i="24"/>
  <c r="F37" i="24"/>
  <c r="D37" i="16"/>
  <c r="F37" i="21"/>
  <c r="K37" i="16"/>
  <c r="L37" i="16"/>
  <c r="H37" i="16"/>
  <c r="D129" i="23"/>
  <c r="J237" i="23"/>
  <c r="L370" i="23"/>
  <c r="D313" i="23"/>
  <c r="F91" i="23"/>
  <c r="J71" i="23"/>
  <c r="D358" i="23"/>
  <c r="D407" i="23"/>
  <c r="F216" i="23"/>
  <c r="F44" i="23"/>
  <c r="J83" i="23"/>
  <c r="J261" i="23"/>
  <c r="F351" i="23"/>
  <c r="F49" i="23"/>
  <c r="J259" i="23"/>
  <c r="D282" i="23"/>
  <c r="F264" i="23"/>
  <c r="D261" i="23"/>
  <c r="F103" i="23"/>
  <c r="L300" i="23"/>
  <c r="D277" i="23"/>
  <c r="J119" i="23"/>
  <c r="F286" i="23"/>
  <c r="D307" i="23"/>
  <c r="D296" i="23"/>
  <c r="J142" i="23"/>
  <c r="D288" i="23"/>
  <c r="D349" i="23"/>
  <c r="F206" i="23"/>
  <c r="F332" i="23"/>
  <c r="F361" i="23"/>
  <c r="D171" i="23"/>
  <c r="J140" i="23"/>
  <c r="J222" i="23"/>
  <c r="J322" i="23"/>
  <c r="D186" i="23"/>
  <c r="F138" i="23"/>
  <c r="J430" i="23"/>
  <c r="D345" i="23"/>
  <c r="J286" i="23"/>
  <c r="F373" i="23"/>
  <c r="F100" i="23"/>
  <c r="J232" i="23"/>
  <c r="D40" i="23"/>
  <c r="J120" i="23"/>
  <c r="D310" i="23"/>
  <c r="J171" i="23"/>
  <c r="D269" i="23"/>
  <c r="D402" i="23"/>
  <c r="D327" i="23"/>
  <c r="F70" i="23"/>
  <c r="F408" i="23"/>
  <c r="J264" i="23"/>
  <c r="F403" i="23"/>
  <c r="D332" i="23"/>
  <c r="F342" i="23"/>
  <c r="F144" i="23"/>
  <c r="F127" i="23"/>
  <c r="F178" i="23"/>
  <c r="F328" i="23"/>
  <c r="J174" i="23"/>
  <c r="L422" i="23"/>
  <c r="J111" i="23"/>
  <c r="D305" i="23"/>
  <c r="F428" i="23"/>
  <c r="F7" i="23"/>
  <c r="F209" i="23"/>
  <c r="F163" i="23"/>
  <c r="F14" i="23"/>
  <c r="F99" i="23"/>
  <c r="J3" i="23"/>
  <c r="J400" i="23"/>
  <c r="J339" i="23"/>
  <c r="D244" i="23"/>
  <c r="J320" i="23"/>
  <c r="F321" i="23"/>
  <c r="F3" i="23"/>
  <c r="D190" i="23"/>
  <c r="D219" i="23"/>
  <c r="F324" i="23"/>
  <c r="J266" i="23"/>
  <c r="D7" i="23"/>
  <c r="F15" i="23"/>
  <c r="F232" i="23"/>
  <c r="J138" i="23"/>
  <c r="F327" i="23"/>
  <c r="D57" i="23"/>
  <c r="L40" i="23"/>
  <c r="F339" i="23"/>
  <c r="D322" i="23"/>
  <c r="J139" i="23"/>
  <c r="J220" i="23"/>
  <c r="J288" i="23"/>
  <c r="F391" i="23"/>
  <c r="F262" i="23"/>
  <c r="F207" i="23"/>
  <c r="D224" i="23"/>
  <c r="D426" i="23"/>
  <c r="J436" i="23"/>
  <c r="D286" i="23"/>
  <c r="L35" i="23"/>
  <c r="F167" i="23"/>
  <c r="F318" i="23"/>
  <c r="J227" i="23"/>
  <c r="E349" i="23"/>
  <c r="L41" i="23"/>
  <c r="L257" i="23"/>
  <c r="L105" i="23"/>
  <c r="L137" i="23"/>
  <c r="D120" i="23"/>
  <c r="J369" i="23"/>
  <c r="F415" i="23"/>
  <c r="L337" i="23"/>
  <c r="L180" i="23"/>
  <c r="E337" i="23"/>
  <c r="F360" i="23"/>
  <c r="F169" i="23"/>
  <c r="D235" i="23"/>
  <c r="D429" i="23"/>
  <c r="D375" i="23"/>
  <c r="J386" i="23"/>
  <c r="L348" i="23"/>
  <c r="F388" i="23"/>
  <c r="L185" i="23"/>
  <c r="D211" i="23"/>
  <c r="D303" i="23"/>
  <c r="D128" i="23"/>
  <c r="J296" i="23"/>
  <c r="F111" i="23"/>
  <c r="J238" i="23"/>
  <c r="F104" i="23"/>
  <c r="J380" i="23"/>
  <c r="D167" i="23"/>
  <c r="F278" i="23"/>
  <c r="L411" i="23"/>
  <c r="F87" i="23"/>
  <c r="F319" i="23"/>
  <c r="J279" i="23"/>
  <c r="D360" i="23"/>
  <c r="D105" i="23"/>
  <c r="D30" i="23"/>
  <c r="D146" i="23"/>
  <c r="D106" i="23"/>
  <c r="D381" i="23"/>
  <c r="J52" i="23"/>
  <c r="D209" i="23"/>
  <c r="D278" i="23"/>
  <c r="D366" i="23"/>
  <c r="L100" i="23"/>
  <c r="L319" i="23"/>
  <c r="L392" i="23"/>
  <c r="F204" i="23"/>
  <c r="F58" i="23"/>
  <c r="D283" i="23"/>
  <c r="D357" i="23"/>
  <c r="L406" i="23"/>
  <c r="L112" i="23"/>
  <c r="F34" i="23"/>
  <c r="J375" i="23"/>
  <c r="D254" i="23"/>
  <c r="D159" i="23"/>
  <c r="L201" i="23"/>
  <c r="L16" i="23"/>
  <c r="L6" i="23"/>
  <c r="F165" i="23"/>
  <c r="D168" i="23"/>
  <c r="D201" i="23"/>
  <c r="D343" i="23"/>
  <c r="L64" i="23"/>
  <c r="L383" i="23"/>
  <c r="F245" i="23"/>
  <c r="D18" i="23"/>
  <c r="D210" i="23"/>
  <c r="D401" i="23"/>
  <c r="J169" i="23"/>
  <c r="D311" i="23"/>
  <c r="F302" i="23"/>
  <c r="F412" i="23"/>
  <c r="J45" i="23"/>
  <c r="D264" i="23"/>
  <c r="L196" i="23"/>
  <c r="L298" i="23"/>
  <c r="L14" i="23"/>
  <c r="J332" i="23"/>
  <c r="F93" i="23"/>
  <c r="J189" i="23"/>
  <c r="L190" i="23"/>
  <c r="F392" i="23"/>
  <c r="F389" i="23"/>
  <c r="D181" i="23"/>
  <c r="D404" i="23"/>
  <c r="D199" i="23"/>
  <c r="J75" i="23"/>
  <c r="L178" i="23"/>
  <c r="L330" i="23"/>
  <c r="J173" i="23"/>
  <c r="D153" i="23"/>
  <c r="J21" i="23"/>
  <c r="L329" i="23"/>
  <c r="F114" i="23"/>
  <c r="J297" i="23"/>
  <c r="J427" i="23"/>
  <c r="D202" i="23"/>
  <c r="J5" i="23"/>
  <c r="F372" i="23"/>
  <c r="J40" i="23"/>
  <c r="D442" i="23"/>
  <c r="D436" i="23"/>
  <c r="J106" i="23"/>
  <c r="L415" i="23"/>
  <c r="L365" i="23"/>
  <c r="J303" i="23"/>
  <c r="D67" i="23"/>
  <c r="J292" i="23"/>
  <c r="D214" i="23"/>
  <c r="J396" i="23"/>
  <c r="J323" i="23"/>
  <c r="D354" i="23"/>
  <c r="D400" i="23"/>
  <c r="J291" i="23"/>
  <c r="L2" i="23"/>
  <c r="D164" i="23"/>
  <c r="J112" i="23"/>
  <c r="D306" i="23"/>
  <c r="D193" i="23"/>
  <c r="F243" i="23"/>
  <c r="F208" i="23"/>
  <c r="F242" i="23"/>
  <c r="F81" i="23"/>
  <c r="F257" i="23"/>
  <c r="F329" i="23"/>
  <c r="J204" i="23"/>
  <c r="J440" i="23"/>
  <c r="D425" i="23"/>
  <c r="J170" i="23"/>
  <c r="D163" i="23"/>
  <c r="L28" i="23"/>
  <c r="D359" i="23"/>
  <c r="D3" i="23"/>
  <c r="D351" i="23"/>
  <c r="J409" i="23"/>
  <c r="F101" i="23"/>
  <c r="J51" i="23"/>
  <c r="J327" i="23"/>
  <c r="J403" i="23"/>
  <c r="J60" i="23"/>
  <c r="F152" i="23"/>
  <c r="D126" i="23"/>
  <c r="J155" i="23"/>
  <c r="J122" i="23"/>
  <c r="J356" i="23"/>
  <c r="F83" i="23"/>
  <c r="D140" i="23"/>
  <c r="D297" i="23"/>
  <c r="D78" i="23"/>
  <c r="F238" i="23"/>
  <c r="F395" i="23"/>
  <c r="F177" i="23"/>
  <c r="J251" i="23"/>
  <c r="D173" i="23"/>
  <c r="F402" i="23"/>
  <c r="F305" i="23"/>
  <c r="F348" i="23"/>
  <c r="J299" i="23"/>
  <c r="J349" i="23"/>
  <c r="J168" i="23"/>
  <c r="L147" i="23"/>
  <c r="L113" i="23"/>
  <c r="L259" i="23"/>
  <c r="F30" i="23"/>
  <c r="L305" i="23"/>
  <c r="D81" i="23"/>
  <c r="L124" i="23"/>
  <c r="L269" i="23"/>
  <c r="L115" i="23"/>
  <c r="L270" i="23"/>
  <c r="D230" i="23"/>
  <c r="L376" i="23"/>
  <c r="L251" i="23"/>
  <c r="D221" i="23"/>
  <c r="D44" i="23"/>
  <c r="L369" i="23"/>
  <c r="L338" i="23"/>
  <c r="D183" i="23"/>
  <c r="D232" i="23"/>
  <c r="F149" i="23"/>
  <c r="D45" i="23"/>
  <c r="L168" i="23"/>
  <c r="L169" i="23"/>
  <c r="D323" i="23"/>
  <c r="L375" i="23"/>
  <c r="L78" i="23"/>
  <c r="L443" i="23"/>
  <c r="F113" i="23"/>
  <c r="F120" i="23"/>
  <c r="F47" i="23"/>
  <c r="J72" i="23"/>
  <c r="J358" i="23"/>
  <c r="D364" i="23"/>
  <c r="D83" i="23"/>
  <c r="D237" i="23"/>
  <c r="E282" i="23"/>
  <c r="J337" i="23"/>
  <c r="L183" i="23"/>
  <c r="L255" i="23"/>
  <c r="L343" i="23"/>
  <c r="L153" i="23"/>
  <c r="L60" i="23"/>
  <c r="F398" i="23"/>
  <c r="L358" i="23"/>
  <c r="L163" i="23"/>
  <c r="L272" i="23"/>
  <c r="L296" i="23"/>
  <c r="J219" i="23"/>
  <c r="F109" i="23"/>
  <c r="D409" i="23"/>
  <c r="J129" i="23"/>
  <c r="D385" i="23"/>
  <c r="L282" i="23"/>
  <c r="L234" i="23"/>
  <c r="J329" i="23"/>
  <c r="D61" i="23"/>
  <c r="L424" i="23"/>
  <c r="L410" i="23"/>
  <c r="L84" i="23"/>
  <c r="D127" i="23"/>
  <c r="J312" i="23"/>
  <c r="L134" i="23"/>
  <c r="L421" i="23"/>
  <c r="F300" i="23"/>
  <c r="F222" i="23"/>
  <c r="F151" i="23"/>
  <c r="J435" i="23"/>
  <c r="J343" i="23"/>
  <c r="D374" i="23"/>
  <c r="L248" i="23"/>
  <c r="L97" i="23"/>
  <c r="F228" i="23"/>
  <c r="F326" i="23"/>
  <c r="F98" i="23"/>
  <c r="F168" i="23"/>
  <c r="D287" i="23"/>
  <c r="L21" i="23"/>
  <c r="L268" i="23"/>
  <c r="L331" i="23"/>
  <c r="J434" i="23"/>
  <c r="D102" i="23"/>
  <c r="D406" i="23"/>
  <c r="F251" i="23"/>
  <c r="J107" i="23"/>
  <c r="L355" i="23"/>
  <c r="L132" i="23"/>
  <c r="L254" i="23"/>
  <c r="L386" i="23"/>
  <c r="F205" i="23"/>
  <c r="D229" i="23"/>
  <c r="D279" i="23"/>
  <c r="D348" i="23"/>
  <c r="J341" i="23"/>
  <c r="J8" i="23"/>
  <c r="D110" i="23"/>
  <c r="F159" i="23"/>
  <c r="L276" i="23"/>
  <c r="L47" i="23"/>
  <c r="L72" i="23"/>
  <c r="L238" i="23"/>
  <c r="L420" i="23"/>
  <c r="L33" i="23"/>
  <c r="L125" i="23"/>
  <c r="L65" i="23"/>
  <c r="L412" i="23"/>
  <c r="L414" i="23"/>
  <c r="J424" i="23"/>
  <c r="D80" i="23"/>
  <c r="D155" i="23"/>
  <c r="L94" i="23"/>
  <c r="L52" i="23"/>
  <c r="L346" i="23"/>
  <c r="F236" i="23"/>
  <c r="F330" i="23"/>
  <c r="D52" i="23"/>
  <c r="D179" i="23"/>
  <c r="L224" i="23"/>
  <c r="L250" i="23"/>
  <c r="L417" i="23"/>
  <c r="L156" i="23"/>
  <c r="L366" i="23"/>
  <c r="L336" i="23"/>
  <c r="L352" i="23"/>
  <c r="J233" i="23"/>
  <c r="J270" i="23"/>
  <c r="J442" i="23"/>
  <c r="D421" i="23"/>
  <c r="D302" i="23"/>
  <c r="D75" i="23"/>
  <c r="J80" i="23"/>
  <c r="D273" i="23"/>
  <c r="D285" i="23"/>
  <c r="J315" i="23"/>
  <c r="L235" i="23"/>
  <c r="L174" i="23"/>
  <c r="L107" i="23"/>
  <c r="D241" i="23"/>
  <c r="D4" i="23"/>
  <c r="J278" i="23"/>
  <c r="D191" i="23"/>
  <c r="J213" i="23"/>
  <c r="L339" i="23"/>
  <c r="L294" i="23"/>
  <c r="L195" i="23"/>
  <c r="L232" i="23"/>
  <c r="L31" i="23"/>
  <c r="L189" i="23"/>
  <c r="F270" i="23"/>
  <c r="F429" i="23"/>
  <c r="D192" i="23"/>
  <c r="D180" i="23"/>
  <c r="J160" i="23"/>
  <c r="J260" i="23"/>
  <c r="L57" i="23"/>
  <c r="L297" i="23"/>
  <c r="L374" i="23"/>
  <c r="F84" i="23"/>
  <c r="D119" i="23"/>
  <c r="J191" i="23"/>
  <c r="J319" i="23"/>
  <c r="L299" i="23"/>
  <c r="F282" i="23"/>
  <c r="F287" i="23"/>
  <c r="F112" i="23"/>
  <c r="J352" i="23"/>
  <c r="D103" i="23"/>
  <c r="D172" i="23"/>
  <c r="J335" i="23"/>
  <c r="J44" i="23"/>
  <c r="F231" i="23"/>
  <c r="L164" i="23"/>
  <c r="L194" i="23"/>
  <c r="L253" i="23"/>
  <c r="F378" i="23"/>
  <c r="F36" i="23"/>
  <c r="F308" i="23"/>
  <c r="F160" i="23"/>
  <c r="F259" i="23"/>
  <c r="J199" i="23"/>
  <c r="D117" i="23"/>
  <c r="J317" i="23"/>
  <c r="D361" i="23"/>
  <c r="J313" i="23"/>
  <c r="L11" i="23"/>
  <c r="L96" i="23"/>
  <c r="L243" i="23"/>
  <c r="L68" i="23"/>
  <c r="L326" i="23"/>
  <c r="L362" i="23"/>
  <c r="L108" i="23"/>
  <c r="F132" i="23"/>
  <c r="F162" i="23"/>
  <c r="D315" i="23"/>
  <c r="D275" i="23"/>
  <c r="E396" i="23"/>
  <c r="L229" i="23"/>
  <c r="L364" i="23"/>
  <c r="L363" i="23"/>
  <c r="L399" i="23"/>
  <c r="L426" i="23"/>
  <c r="F45" i="23"/>
  <c r="D383" i="23"/>
  <c r="J29" i="23"/>
  <c r="F306" i="23"/>
  <c r="J6" i="23"/>
  <c r="J23" i="23"/>
  <c r="J167" i="23"/>
  <c r="F176" i="23"/>
  <c r="F48" i="23"/>
  <c r="D5" i="23"/>
  <c r="D23" i="23"/>
  <c r="F290" i="23"/>
  <c r="F43" i="23"/>
  <c r="D236" i="23"/>
  <c r="J192" i="23"/>
  <c r="J357" i="23"/>
  <c r="D411" i="23"/>
  <c r="D111" i="23"/>
  <c r="E54" i="23"/>
  <c r="L69" i="23"/>
  <c r="L252" i="23"/>
  <c r="L350" i="23"/>
  <c r="L354" i="23"/>
  <c r="L356" i="23"/>
  <c r="F198" i="23"/>
  <c r="F11" i="23"/>
  <c r="D265" i="23"/>
  <c r="J383" i="23"/>
  <c r="D136" i="23"/>
  <c r="J407" i="23"/>
  <c r="D341" i="23"/>
  <c r="J316" i="23"/>
  <c r="J429" i="23"/>
  <c r="J57" i="23"/>
  <c r="D347" i="23"/>
  <c r="E434" i="23"/>
  <c r="L93" i="23"/>
  <c r="L275" i="23"/>
  <c r="L328" i="23"/>
  <c r="L314" i="23"/>
  <c r="L295" i="23"/>
  <c r="L388" i="23"/>
  <c r="L387" i="23"/>
  <c r="J272" i="23"/>
  <c r="F129" i="23"/>
  <c r="E182" i="23"/>
  <c r="L347" i="23"/>
  <c r="F59" i="23"/>
  <c r="F430" i="23"/>
  <c r="L83" i="23"/>
  <c r="L384" i="23"/>
  <c r="F382" i="23"/>
  <c r="F33" i="23"/>
  <c r="F277" i="23"/>
  <c r="F125" i="23"/>
  <c r="L133" i="23"/>
  <c r="L173" i="23"/>
  <c r="J242" i="23"/>
  <c r="L143" i="23"/>
  <c r="D142" i="23"/>
  <c r="D9" i="23"/>
  <c r="D379" i="23"/>
  <c r="J110" i="23"/>
  <c r="L382" i="23"/>
  <c r="D218" i="23"/>
  <c r="J216" i="23"/>
  <c r="L233" i="23"/>
  <c r="L281" i="23"/>
  <c r="L142" i="23"/>
  <c r="D320" i="23"/>
  <c r="F61" i="23"/>
  <c r="F325" i="23"/>
  <c r="D427" i="23"/>
  <c r="D321" i="23"/>
  <c r="J193" i="23"/>
  <c r="L265" i="23"/>
  <c r="L76" i="23"/>
  <c r="L29" i="23"/>
  <c r="F128" i="23"/>
  <c r="F358" i="23"/>
  <c r="D387" i="23"/>
  <c r="D439" i="23"/>
  <c r="J221" i="23"/>
  <c r="D410" i="23"/>
  <c r="E284" i="23"/>
  <c r="L197" i="23"/>
  <c r="F135" i="23"/>
  <c r="D431" i="23"/>
  <c r="D424" i="23"/>
  <c r="D162" i="23"/>
  <c r="J275" i="23"/>
  <c r="J179" i="23"/>
  <c r="L403" i="23"/>
  <c r="L342" i="23"/>
  <c r="F202" i="23"/>
  <c r="D220" i="23"/>
  <c r="J77" i="23"/>
  <c r="J308" i="23"/>
  <c r="D362" i="23"/>
  <c r="L225" i="23"/>
  <c r="D25" i="23"/>
  <c r="J298" i="23"/>
  <c r="J184" i="23"/>
  <c r="L150" i="23"/>
  <c r="L239" i="23"/>
  <c r="L436" i="23"/>
  <c r="L129" i="23"/>
  <c r="L440" i="23"/>
  <c r="L216" i="23"/>
  <c r="F224" i="23"/>
  <c r="D189" i="23"/>
  <c r="L95" i="23"/>
  <c r="L12" i="23"/>
  <c r="L408" i="23"/>
  <c r="L345" i="23"/>
  <c r="L333" i="23"/>
  <c r="J166" i="23"/>
  <c r="D222" i="23"/>
  <c r="L402" i="23"/>
  <c r="L361" i="23"/>
  <c r="L283" i="23"/>
  <c r="L274" i="23"/>
  <c r="L389" i="23"/>
  <c r="F220" i="23"/>
  <c r="J262" i="23"/>
  <c r="D56" i="23"/>
  <c r="D73" i="23"/>
  <c r="L159" i="23"/>
  <c r="L8" i="23"/>
  <c r="L120" i="23"/>
  <c r="L44" i="23"/>
  <c r="L396" i="23"/>
  <c r="L398" i="23"/>
  <c r="L27" i="23"/>
  <c r="L38" i="23"/>
  <c r="L413" i="23"/>
  <c r="F440" i="23"/>
  <c r="F263" i="23"/>
  <c r="F247" i="23"/>
  <c r="J210" i="23"/>
  <c r="J9" i="23"/>
  <c r="D356" i="23"/>
  <c r="J198" i="23"/>
  <c r="L203" i="23"/>
  <c r="J269" i="23"/>
  <c r="D160" i="23"/>
  <c r="L106" i="23"/>
  <c r="D403" i="23"/>
  <c r="J340" i="23"/>
  <c r="J431" i="23"/>
  <c r="F32" i="23"/>
  <c r="F189" i="23"/>
  <c r="F119" i="23"/>
  <c r="J94" i="23"/>
  <c r="F401" i="23"/>
  <c r="F313" i="23"/>
  <c r="F352" i="23"/>
  <c r="F41" i="23"/>
  <c r="F55" i="23"/>
  <c r="D316" i="23"/>
  <c r="J50" i="23"/>
  <c r="F23" i="23"/>
  <c r="F423" i="23"/>
  <c r="F37" i="23"/>
  <c r="F273" i="23"/>
  <c r="F284" i="23"/>
  <c r="F123" i="23"/>
  <c r="F438" i="23"/>
  <c r="F307" i="23"/>
  <c r="F267" i="23"/>
  <c r="D336" i="23"/>
  <c r="J25" i="23"/>
  <c r="F233" i="23"/>
  <c r="D270" i="23"/>
  <c r="D398" i="23"/>
  <c r="D77" i="23"/>
  <c r="J89" i="23"/>
  <c r="J218" i="23"/>
  <c r="D17" i="23"/>
  <c r="D399" i="23"/>
  <c r="J274" i="23"/>
  <c r="J280" i="23"/>
  <c r="D6" i="23"/>
  <c r="D184" i="23"/>
  <c r="J15" i="23"/>
  <c r="E378" i="23"/>
  <c r="L199" i="23"/>
  <c r="L151" i="23"/>
  <c r="L86" i="23"/>
  <c r="L309" i="23"/>
  <c r="L58" i="23"/>
  <c r="L219" i="23"/>
  <c r="L88" i="23"/>
  <c r="L30" i="23"/>
  <c r="L32" i="23"/>
  <c r="L335" i="23"/>
  <c r="L34" i="23"/>
  <c r="J38" i="23"/>
  <c r="J152" i="23"/>
  <c r="D55" i="23"/>
  <c r="J422" i="23"/>
  <c r="D338" i="23"/>
  <c r="J11" i="23"/>
  <c r="J73" i="23"/>
  <c r="D308" i="23"/>
  <c r="L260" i="23"/>
  <c r="L290" i="23"/>
  <c r="L181" i="23"/>
  <c r="L55" i="23"/>
  <c r="L280" i="23"/>
  <c r="L186" i="23"/>
  <c r="L353" i="23"/>
  <c r="L87" i="23"/>
  <c r="D38" i="23"/>
  <c r="L135" i="23"/>
  <c r="J411" i="23"/>
  <c r="L61" i="23"/>
  <c r="F347" i="23"/>
  <c r="D284" i="23"/>
  <c r="J354" i="23"/>
  <c r="L160" i="23"/>
  <c r="F77" i="23"/>
  <c r="F394" i="23"/>
  <c r="F311" i="23"/>
  <c r="F17" i="23"/>
  <c r="F294" i="23"/>
  <c r="F171" i="23"/>
  <c r="F102" i="23"/>
  <c r="F193" i="23"/>
  <c r="F407" i="23"/>
  <c r="D423" i="23"/>
  <c r="D252" i="23"/>
  <c r="F400" i="23"/>
  <c r="F285" i="23"/>
  <c r="F255" i="23"/>
  <c r="F409" i="23"/>
  <c r="F362" i="23"/>
  <c r="D386" i="23"/>
  <c r="J176" i="23"/>
  <c r="D317" i="23"/>
  <c r="L230" i="23"/>
  <c r="D328" i="23"/>
  <c r="E319" i="23"/>
  <c r="F68" i="23"/>
  <c r="F217" i="23"/>
  <c r="F350" i="23"/>
  <c r="F65" i="23"/>
  <c r="F150" i="23"/>
  <c r="F183" i="23"/>
  <c r="F297" i="23"/>
  <c r="F272" i="23"/>
  <c r="J117" i="23"/>
  <c r="D143" i="23"/>
  <c r="L416" i="23"/>
  <c r="L165" i="23"/>
  <c r="F28" i="23"/>
  <c r="F12" i="23"/>
  <c r="F248" i="23"/>
  <c r="F62" i="23"/>
  <c r="F226" i="23"/>
  <c r="F275" i="23"/>
  <c r="F393" i="23"/>
  <c r="F335" i="23"/>
  <c r="D382" i="23"/>
  <c r="J159" i="23"/>
  <c r="F303" i="23"/>
  <c r="F442" i="23"/>
  <c r="F95" i="23"/>
  <c r="F27" i="23"/>
  <c r="F188" i="23"/>
  <c r="F331" i="23"/>
  <c r="F439" i="23"/>
  <c r="F108" i="23"/>
  <c r="F211" i="23"/>
  <c r="F78" i="23"/>
  <c r="F19" i="23"/>
  <c r="F441" i="23"/>
  <c r="F94" i="23"/>
  <c r="F371" i="23"/>
  <c r="F283" i="23"/>
  <c r="F310" i="23"/>
  <c r="F121" i="23"/>
  <c r="F203" i="23"/>
  <c r="F115" i="23"/>
  <c r="F69" i="23"/>
  <c r="F417" i="23"/>
  <c r="F131" i="23"/>
  <c r="F106" i="23"/>
  <c r="D301" i="23"/>
  <c r="D228" i="23"/>
  <c r="F29" i="23"/>
  <c r="J363" i="23"/>
  <c r="J287" i="23"/>
  <c r="F436" i="23"/>
  <c r="D272" i="23"/>
  <c r="D72" i="23"/>
  <c r="F46" i="23"/>
  <c r="F229" i="23"/>
  <c r="F105" i="23"/>
  <c r="F271" i="23"/>
  <c r="F288" i="23"/>
  <c r="F356" i="23"/>
  <c r="F406" i="23"/>
  <c r="F126" i="23"/>
  <c r="F38" i="23"/>
  <c r="F8" i="23"/>
  <c r="F241" i="23"/>
  <c r="F89" i="23"/>
  <c r="F425" i="23"/>
  <c r="F175" i="23"/>
  <c r="F376" i="23"/>
  <c r="F364" i="23"/>
  <c r="F265" i="23"/>
  <c r="F122" i="23"/>
  <c r="F212" i="23"/>
  <c r="F200" i="23"/>
  <c r="J248" i="23"/>
  <c r="J324" i="23"/>
  <c r="D82" i="23"/>
  <c r="D246" i="23"/>
  <c r="F110" i="23"/>
  <c r="F244" i="23"/>
  <c r="F130" i="23"/>
  <c r="F320" i="23"/>
  <c r="F67" i="23"/>
  <c r="F424" i="23"/>
  <c r="F172" i="23"/>
  <c r="F134" i="23"/>
  <c r="F426" i="23"/>
  <c r="F185" i="23"/>
  <c r="F336" i="23"/>
  <c r="F18" i="23"/>
  <c r="F338" i="23"/>
  <c r="F191" i="23"/>
  <c r="F196" i="23"/>
  <c r="D255" i="23"/>
  <c r="F312" i="23"/>
  <c r="D33" i="23"/>
  <c r="F427" i="23"/>
  <c r="F25" i="23"/>
  <c r="F323" i="23"/>
  <c r="F54" i="23"/>
  <c r="F359" i="23"/>
  <c r="F367" i="23"/>
  <c r="F42" i="23"/>
  <c r="F256" i="23"/>
  <c r="F90" i="23"/>
  <c r="F79" i="23"/>
  <c r="F443" i="23"/>
  <c r="F292" i="23"/>
  <c r="F314" i="23"/>
  <c r="F349" i="23"/>
  <c r="F63" i="23"/>
  <c r="F210" i="23"/>
  <c r="F143" i="23"/>
  <c r="F357" i="23"/>
  <c r="F174" i="23"/>
  <c r="F366" i="23"/>
  <c r="F124" i="23"/>
  <c r="F157" i="23"/>
  <c r="F148" i="23"/>
  <c r="D340" i="23"/>
  <c r="J245" i="23"/>
  <c r="J236" i="23"/>
  <c r="J68" i="23"/>
  <c r="D380" i="23"/>
  <c r="F317" i="23"/>
  <c r="F182" i="23"/>
  <c r="F304" i="23"/>
  <c r="F249" i="23"/>
  <c r="F57" i="23"/>
  <c r="F158" i="23"/>
  <c r="F139" i="23"/>
  <c r="D37" i="23"/>
  <c r="D299" i="23"/>
  <c r="F434" i="23"/>
  <c r="F234" i="23"/>
  <c r="F40" i="23"/>
  <c r="F341" i="23"/>
  <c r="F192" i="23"/>
  <c r="F420" i="23"/>
  <c r="F281" i="23"/>
  <c r="F405" i="23"/>
  <c r="F396" i="23"/>
  <c r="F235" i="23"/>
  <c r="F52" i="23"/>
  <c r="F133" i="23"/>
  <c r="F379" i="23"/>
  <c r="F269" i="23"/>
  <c r="F239" i="23"/>
  <c r="F147" i="23"/>
  <c r="F96" i="23"/>
  <c r="F227" i="23"/>
  <c r="F253" i="23"/>
  <c r="F31" i="23"/>
  <c r="D324" i="23"/>
  <c r="J301" i="23"/>
  <c r="D46" i="23"/>
  <c r="F72" i="23"/>
  <c r="D101" i="23"/>
  <c r="F340" i="23"/>
  <c r="F142" i="23"/>
  <c r="F215" i="23"/>
  <c r="F299" i="23"/>
  <c r="F411" i="23"/>
  <c r="F51" i="23"/>
  <c r="F199" i="23"/>
  <c r="F354" i="23"/>
  <c r="F419" i="23"/>
  <c r="F221" i="23"/>
  <c r="F190" i="23"/>
  <c r="F218" i="23"/>
  <c r="F250" i="23"/>
  <c r="F5" i="23"/>
  <c r="F435" i="23"/>
  <c r="F268" i="23"/>
  <c r="F13" i="23"/>
  <c r="F422" i="23"/>
  <c r="F334" i="23"/>
  <c r="F173" i="23"/>
  <c r="J443" i="23"/>
  <c r="F261" i="23"/>
  <c r="F431" i="23"/>
  <c r="F322" i="23"/>
  <c r="J228" i="23"/>
  <c r="D68" i="23"/>
  <c r="F291" i="23"/>
  <c r="D233" i="23"/>
  <c r="D148" i="23"/>
  <c r="J364" i="23"/>
  <c r="D122" i="23"/>
  <c r="F252" i="23"/>
  <c r="D393" i="23"/>
  <c r="J397" i="23"/>
  <c r="F418" i="23"/>
  <c r="F333" i="23"/>
  <c r="F280" i="23"/>
  <c r="F246" i="23"/>
  <c r="F82" i="23"/>
  <c r="F260" i="23"/>
  <c r="J82" i="23"/>
  <c r="F186" i="23"/>
  <c r="D14" i="23"/>
  <c r="F140" i="23"/>
  <c r="F383" i="23"/>
  <c r="F345" i="23"/>
  <c r="J190" i="23"/>
  <c r="J67" i="23"/>
  <c r="F20" i="23"/>
  <c r="J32" i="23"/>
  <c r="D19" i="23"/>
  <c r="F4" i="23"/>
  <c r="D35" i="23"/>
  <c r="J17" i="23"/>
  <c r="J217" i="23"/>
  <c r="J368" i="23"/>
  <c r="J418" i="23"/>
  <c r="J413" i="23"/>
  <c r="F71" i="23"/>
  <c r="J338" i="23"/>
  <c r="D418" i="23"/>
  <c r="J381" i="23"/>
  <c r="D434" i="23"/>
  <c r="D256" i="23"/>
  <c r="J379" i="23"/>
  <c r="D216" i="23"/>
  <c r="F146" i="23"/>
  <c r="D378" i="23"/>
  <c r="J116" i="23"/>
  <c r="J87" i="23"/>
  <c r="J144" i="23"/>
  <c r="J203" i="23"/>
  <c r="J226" i="23"/>
  <c r="D281" i="23"/>
  <c r="J62" i="23"/>
  <c r="D207" i="23"/>
  <c r="D54" i="23"/>
  <c r="J212" i="23"/>
  <c r="J63" i="23"/>
  <c r="D226" i="23"/>
  <c r="D376" i="23"/>
  <c r="D231" i="23"/>
  <c r="D298" i="23"/>
  <c r="J113" i="23"/>
  <c r="D114" i="23"/>
  <c r="D438" i="23"/>
  <c r="J289" i="23"/>
  <c r="D194" i="23"/>
  <c r="L42" i="23"/>
  <c r="L198" i="23"/>
  <c r="L267" i="23"/>
  <c r="L273" i="23"/>
  <c r="L191" i="23"/>
  <c r="L221" i="23"/>
  <c r="L321" i="23"/>
  <c r="L395" i="23"/>
  <c r="L18" i="23"/>
  <c r="L5" i="23"/>
  <c r="L390" i="23"/>
  <c r="L397" i="23"/>
  <c r="L122" i="23"/>
  <c r="L59" i="23"/>
  <c r="L39" i="23"/>
  <c r="L7" i="23"/>
  <c r="L288" i="23"/>
  <c r="L439" i="23"/>
  <c r="L256" i="23"/>
  <c r="L158" i="23"/>
  <c r="J121" i="23"/>
  <c r="F66" i="23"/>
  <c r="F117" i="23"/>
  <c r="D94" i="23"/>
  <c r="D318" i="23"/>
  <c r="J258" i="23"/>
  <c r="J145" i="23"/>
  <c r="J46" i="23"/>
  <c r="F9" i="23"/>
  <c r="D268" i="23"/>
  <c r="F50" i="23"/>
  <c r="F254" i="23"/>
  <c r="D419" i="23"/>
  <c r="D234" i="23"/>
  <c r="J420" i="23"/>
  <c r="F384" i="23"/>
  <c r="J24" i="23"/>
  <c r="D422" i="23"/>
  <c r="D372" i="23"/>
  <c r="F107" i="23"/>
  <c r="J419" i="23"/>
  <c r="J10" i="23"/>
  <c r="F381" i="23"/>
  <c r="J404" i="23"/>
  <c r="D86" i="23"/>
  <c r="D43" i="23"/>
  <c r="J194" i="23"/>
  <c r="F315" i="23"/>
  <c r="F298" i="23"/>
  <c r="J133" i="23"/>
  <c r="E180" i="23"/>
  <c r="D441" i="23"/>
  <c r="J74" i="23"/>
  <c r="J61" i="23"/>
  <c r="J115" i="23"/>
  <c r="J294" i="23"/>
  <c r="J331" i="23"/>
  <c r="D257" i="23"/>
  <c r="D205" i="23"/>
  <c r="D289" i="23"/>
  <c r="D274" i="23"/>
  <c r="D176" i="23"/>
  <c r="L176" i="23"/>
  <c r="L373" i="23"/>
  <c r="L401" i="23"/>
  <c r="L166" i="23"/>
  <c r="L206" i="23"/>
  <c r="L117" i="23"/>
  <c r="L418" i="23"/>
  <c r="L127" i="23"/>
  <c r="L227" i="23"/>
  <c r="L404" i="23"/>
  <c r="L172" i="23"/>
  <c r="L223" i="23"/>
  <c r="L213" i="23"/>
  <c r="L284" i="23"/>
  <c r="L149" i="23"/>
  <c r="L80" i="23"/>
  <c r="L405" i="23"/>
  <c r="L241" i="23"/>
  <c r="L89" i="23"/>
  <c r="L302" i="23"/>
  <c r="F195" i="23"/>
  <c r="F164" i="23"/>
  <c r="F433" i="23"/>
  <c r="J263" i="23"/>
  <c r="J148" i="23"/>
  <c r="J393" i="23"/>
  <c r="D16" i="23"/>
  <c r="F404" i="23"/>
  <c r="D135" i="23"/>
  <c r="D388" i="23"/>
  <c r="J417" i="23"/>
  <c r="F380" i="23"/>
  <c r="F355" i="23"/>
  <c r="J65" i="23"/>
  <c r="J346" i="23"/>
  <c r="D145" i="23"/>
  <c r="D373" i="23"/>
  <c r="D31" i="23"/>
  <c r="D369" i="23"/>
  <c r="D245" i="23"/>
  <c r="J314" i="23"/>
  <c r="D326" i="23"/>
  <c r="J162" i="23"/>
  <c r="J326" i="23"/>
  <c r="J141" i="23"/>
  <c r="D130" i="23"/>
  <c r="D392" i="23"/>
  <c r="F26" i="23"/>
  <c r="J88" i="23"/>
  <c r="D250" i="23"/>
  <c r="F374" i="23"/>
  <c r="F368" i="23"/>
  <c r="D88" i="23"/>
  <c r="D187" i="23"/>
  <c r="E432" i="23"/>
  <c r="J147" i="23"/>
  <c r="D276" i="23"/>
  <c r="D59" i="23"/>
  <c r="D27" i="23"/>
  <c r="E256" i="23"/>
  <c r="J99" i="23"/>
  <c r="E198" i="23"/>
  <c r="D165" i="23"/>
  <c r="D48" i="23"/>
  <c r="D203" i="23"/>
  <c r="L247" i="23"/>
  <c r="L371" i="23"/>
  <c r="L123" i="23"/>
  <c r="L175" i="23"/>
  <c r="L77" i="23"/>
  <c r="L75" i="23"/>
  <c r="L130" i="23"/>
  <c r="L325" i="23"/>
  <c r="L271" i="23"/>
  <c r="L148" i="23"/>
  <c r="L385" i="23"/>
  <c r="L391" i="23"/>
  <c r="L202" i="23"/>
  <c r="L240" i="23"/>
  <c r="L98" i="23"/>
  <c r="L4" i="23"/>
  <c r="L50" i="23"/>
  <c r="L409" i="23"/>
  <c r="L104" i="23"/>
  <c r="L101" i="23"/>
  <c r="L291" i="23"/>
  <c r="L85" i="23"/>
  <c r="J37" i="23"/>
  <c r="F153" i="23"/>
  <c r="F92" i="23"/>
  <c r="D32" i="23"/>
  <c r="J215" i="23"/>
  <c r="F414" i="23"/>
  <c r="D91" i="23"/>
  <c r="D413" i="23"/>
  <c r="D39" i="23"/>
  <c r="J235" i="23"/>
  <c r="J76" i="23"/>
  <c r="D156" i="23"/>
  <c r="D182" i="23"/>
  <c r="J330" i="23"/>
  <c r="J164" i="23"/>
  <c r="J31" i="23"/>
  <c r="J128" i="23"/>
  <c r="D433" i="23"/>
  <c r="D96" i="23"/>
  <c r="D428" i="23"/>
  <c r="D100" i="23"/>
  <c r="D213" i="23"/>
  <c r="F141" i="23"/>
  <c r="D89" i="23"/>
  <c r="J366" i="23"/>
  <c r="F437" i="23"/>
  <c r="D71" i="23"/>
  <c r="F276" i="23"/>
  <c r="J185" i="23"/>
  <c r="E255" i="23"/>
  <c r="J59" i="23"/>
  <c r="E16" i="23"/>
  <c r="D154" i="23"/>
  <c r="J177" i="23"/>
  <c r="J81" i="23"/>
  <c r="E338" i="23"/>
  <c r="D198" i="23"/>
  <c r="J79" i="23"/>
  <c r="D309" i="23"/>
  <c r="D97" i="23"/>
  <c r="J201" i="23"/>
  <c r="J268" i="23"/>
  <c r="L13" i="23"/>
  <c r="L242" i="23"/>
  <c r="L157" i="23"/>
  <c r="L360" i="23"/>
  <c r="L208" i="23"/>
  <c r="L103" i="23"/>
  <c r="L170" i="23"/>
  <c r="L26" i="23"/>
  <c r="L53" i="23"/>
  <c r="L73" i="23"/>
  <c r="L209" i="23"/>
  <c r="L245" i="23"/>
  <c r="L71" i="23"/>
  <c r="L287" i="23"/>
  <c r="L378" i="23"/>
  <c r="L152" i="23"/>
  <c r="L218" i="23"/>
  <c r="L17" i="23"/>
  <c r="L318" i="23"/>
  <c r="L307" i="23"/>
  <c r="L24" i="23"/>
  <c r="L144" i="23"/>
  <c r="L15" i="23"/>
  <c r="L442" i="23"/>
  <c r="L48" i="23"/>
  <c r="L99" i="23"/>
  <c r="F22" i="23"/>
  <c r="J382" i="23"/>
  <c r="F386" i="23"/>
  <c r="J158" i="23"/>
  <c r="F136" i="23"/>
  <c r="F213" i="23"/>
  <c r="J284" i="23"/>
  <c r="F170" i="23"/>
  <c r="J28" i="23"/>
  <c r="J178" i="23"/>
  <c r="D243" i="23"/>
  <c r="D66" i="23"/>
  <c r="J250" i="23"/>
  <c r="F184" i="23"/>
  <c r="D175" i="23"/>
  <c r="J239" i="23"/>
  <c r="F75" i="23"/>
  <c r="J127" i="23"/>
  <c r="J384" i="23"/>
  <c r="D339" i="23"/>
  <c r="J309" i="23"/>
  <c r="J43" i="23"/>
  <c r="J428" i="23"/>
  <c r="J350" i="23"/>
  <c r="J437" i="23"/>
  <c r="D87" i="23"/>
  <c r="J84" i="23"/>
  <c r="J56" i="23"/>
  <c r="F97" i="23"/>
  <c r="F201" i="23"/>
  <c r="J54" i="23"/>
  <c r="D115" i="23"/>
  <c r="D355" i="23"/>
  <c r="J39" i="23"/>
  <c r="D62" i="23"/>
  <c r="D262" i="23"/>
  <c r="J163" i="23"/>
  <c r="D124" i="23"/>
  <c r="D329" i="23"/>
  <c r="J295" i="23"/>
  <c r="J355" i="23"/>
  <c r="D141" i="23"/>
  <c r="J69" i="23"/>
  <c r="L317" i="23"/>
  <c r="L10" i="23"/>
  <c r="L205" i="23"/>
  <c r="L171" i="23"/>
  <c r="L344" i="23"/>
  <c r="L141" i="23"/>
  <c r="L320" i="23"/>
  <c r="L431" i="23"/>
  <c r="L91" i="23"/>
  <c r="L277" i="23"/>
  <c r="L236" i="23"/>
  <c r="L63" i="23"/>
  <c r="L249" i="23"/>
  <c r="L425" i="23"/>
  <c r="L427" i="23"/>
  <c r="L20" i="23"/>
  <c r="L332" i="23"/>
  <c r="L139" i="23"/>
  <c r="L111" i="23"/>
  <c r="L193" i="23"/>
  <c r="L146" i="23"/>
  <c r="L310" i="23"/>
  <c r="L116" i="23"/>
  <c r="D170" i="23"/>
  <c r="D15" i="23"/>
  <c r="J390" i="23"/>
  <c r="J247" i="23"/>
  <c r="J318" i="23"/>
  <c r="D397" i="23"/>
  <c r="D344" i="23"/>
  <c r="J253" i="23"/>
  <c r="J130" i="23"/>
  <c r="J41" i="23"/>
  <c r="J410" i="23"/>
  <c r="D333" i="23"/>
  <c r="J234" i="23"/>
  <c r="D90" i="23"/>
  <c r="D420" i="23"/>
  <c r="D118" i="23"/>
  <c r="D21" i="23"/>
  <c r="J47" i="23"/>
  <c r="J285" i="23"/>
  <c r="J108" i="23"/>
  <c r="J433" i="23"/>
  <c r="F309" i="23"/>
  <c r="D157" i="23"/>
  <c r="J367" i="23"/>
  <c r="D20" i="23"/>
  <c r="F39" i="23"/>
  <c r="E279" i="23"/>
  <c r="J438" i="23"/>
  <c r="D353" i="23"/>
  <c r="J150" i="23"/>
  <c r="D161" i="23"/>
  <c r="J374" i="23"/>
  <c r="D84" i="23"/>
  <c r="D113" i="23"/>
  <c r="L308" i="23"/>
  <c r="L327" i="23"/>
  <c r="L187" i="23"/>
  <c r="L313" i="23"/>
  <c r="L155" i="23"/>
  <c r="L316" i="23"/>
  <c r="L438" i="23"/>
  <c r="L222" i="23"/>
  <c r="L162" i="23"/>
  <c r="L182" i="23"/>
  <c r="L432" i="23"/>
  <c r="L66" i="23"/>
  <c r="L379" i="23"/>
  <c r="L380" i="23"/>
  <c r="L46" i="23"/>
  <c r="L82" i="23"/>
  <c r="L126" i="23"/>
  <c r="L217" i="23"/>
  <c r="L3" i="23"/>
  <c r="L145" i="23"/>
  <c r="L92" i="23"/>
  <c r="L118" i="23"/>
  <c r="L394" i="23"/>
  <c r="L140" i="23"/>
  <c r="J19" i="23"/>
  <c r="J149" i="23"/>
  <c r="F279" i="23"/>
  <c r="D292" i="23"/>
  <c r="D239" i="23"/>
  <c r="D147" i="23"/>
  <c r="J256" i="23"/>
  <c r="D58" i="23"/>
  <c r="D394" i="23"/>
  <c r="D365" i="23"/>
  <c r="J137" i="23"/>
  <c r="D28" i="23"/>
  <c r="J281" i="23"/>
  <c r="F74" i="23"/>
  <c r="D166" i="23"/>
  <c r="D247" i="23"/>
  <c r="D116" i="23"/>
  <c r="D249" i="23"/>
  <c r="D69" i="23"/>
  <c r="J86" i="23"/>
  <c r="L434" i="23"/>
  <c r="L228" i="23"/>
  <c r="D22" i="23"/>
  <c r="L22" i="23"/>
  <c r="D248" i="23"/>
  <c r="D412" i="23"/>
  <c r="D414" i="23"/>
  <c r="J14" i="23"/>
  <c r="J172" i="23"/>
  <c r="J441" i="23"/>
  <c r="D149" i="23"/>
  <c r="D240" i="23"/>
  <c r="D60" i="23"/>
  <c r="D227" i="23"/>
  <c r="J388" i="23"/>
  <c r="D29" i="23"/>
  <c r="D280" i="23"/>
  <c r="D263" i="23"/>
  <c r="J305" i="23"/>
  <c r="D104" i="23"/>
  <c r="D432" i="23"/>
  <c r="J344" i="23"/>
  <c r="D137" i="23"/>
  <c r="D238" i="23"/>
  <c r="D319" i="23"/>
  <c r="D41" i="23"/>
  <c r="D330" i="23"/>
  <c r="D371" i="23"/>
  <c r="F80" i="23"/>
  <c r="D34" i="23"/>
  <c r="D242" i="23"/>
  <c r="F156" i="23"/>
  <c r="F161" i="23"/>
  <c r="J231" i="23"/>
  <c r="D212" i="23"/>
  <c r="D47" i="23"/>
  <c r="F346" i="23"/>
  <c r="D53" i="23"/>
  <c r="D293" i="23"/>
  <c r="F116" i="23"/>
  <c r="D346" i="23"/>
  <c r="J100" i="23"/>
  <c r="J353" i="23"/>
  <c r="J161" i="23"/>
  <c r="J257" i="23"/>
  <c r="J96" i="23"/>
  <c r="D109" i="23"/>
  <c r="J66" i="23"/>
  <c r="J118" i="23"/>
  <c r="L266" i="23"/>
  <c r="L192" i="23"/>
  <c r="L128" i="23"/>
  <c r="L138" i="23"/>
  <c r="L429" i="23"/>
  <c r="L177" i="23"/>
  <c r="L67" i="23"/>
  <c r="L114" i="23"/>
  <c r="L207" i="23"/>
  <c r="L263" i="23"/>
  <c r="L19" i="23"/>
  <c r="L102" i="23"/>
  <c r="L286" i="23"/>
  <c r="L70" i="23"/>
  <c r="L304" i="23"/>
  <c r="L167" i="23"/>
  <c r="L433" i="23"/>
  <c r="L81" i="23"/>
  <c r="L437" i="23"/>
  <c r="L292" i="23"/>
  <c r="L23" i="23"/>
  <c r="L393" i="23"/>
  <c r="L56" i="23"/>
  <c r="L340" i="23"/>
  <c r="J398" i="23"/>
  <c r="D417" i="23"/>
  <c r="F258" i="23"/>
  <c r="F64" i="23"/>
  <c r="D158" i="23"/>
  <c r="F35" i="23"/>
  <c r="J64" i="23"/>
  <c r="D98" i="23"/>
  <c r="J423" i="23"/>
  <c r="D188" i="23"/>
  <c r="D65" i="23"/>
  <c r="D294" i="23"/>
  <c r="J208" i="23"/>
  <c r="F237" i="23"/>
  <c r="F296" i="23"/>
  <c r="J104" i="23"/>
  <c r="J35" i="23"/>
  <c r="D76" i="23"/>
  <c r="F76" i="23"/>
  <c r="J277" i="23"/>
  <c r="D150" i="23"/>
  <c r="F10" i="23"/>
  <c r="D63" i="23"/>
  <c r="D225" i="23"/>
  <c r="J334" i="23"/>
  <c r="E29" i="23"/>
  <c r="D26" i="23"/>
  <c r="J371" i="23"/>
  <c r="D337" i="23"/>
  <c r="J157" i="23"/>
  <c r="D74" i="23"/>
  <c r="F289" i="23"/>
  <c r="D133" i="23"/>
  <c r="D177" i="23"/>
  <c r="J254" i="23"/>
  <c r="D350" i="23"/>
  <c r="D95" i="23"/>
  <c r="D125" i="23"/>
  <c r="J276" i="23"/>
  <c r="L368" i="23"/>
  <c r="L204" i="23"/>
  <c r="L49" i="23"/>
  <c r="L372" i="23"/>
  <c r="L188" i="23"/>
  <c r="L289" i="23"/>
  <c r="L315" i="23"/>
  <c r="L210" i="23"/>
  <c r="L184" i="23"/>
  <c r="L131" i="23"/>
  <c r="L211" i="23"/>
  <c r="L312" i="23"/>
  <c r="D208" i="23"/>
  <c r="D123" i="23"/>
  <c r="D215" i="23"/>
  <c r="D334" i="23"/>
  <c r="D416" i="23"/>
  <c r="D178" i="23"/>
  <c r="J102" i="23"/>
  <c r="D395" i="23"/>
  <c r="F214" i="23"/>
  <c r="J4" i="23"/>
  <c r="J180" i="23"/>
  <c r="F343" i="23"/>
  <c r="J240" i="23"/>
  <c r="J399" i="23"/>
  <c r="D370" i="23"/>
  <c r="D415" i="23"/>
  <c r="F293" i="23"/>
  <c r="D435" i="23"/>
  <c r="D24" i="23"/>
  <c r="D49" i="23"/>
  <c r="J58" i="23"/>
  <c r="D11" i="23"/>
  <c r="J333" i="23"/>
  <c r="D107" i="23"/>
  <c r="D10" i="23"/>
  <c r="D185" i="23"/>
  <c r="D271" i="23"/>
  <c r="D437" i="23"/>
  <c r="J20" i="23"/>
  <c r="D99" i="23"/>
  <c r="J206" i="23"/>
  <c r="F274" i="23"/>
  <c r="F155" i="23"/>
  <c r="D79" i="23"/>
  <c r="D390" i="23"/>
  <c r="E94" i="23"/>
  <c r="J175" i="23"/>
  <c r="D108" i="23"/>
  <c r="J12" i="23"/>
  <c r="J365" i="23"/>
  <c r="J156" i="23"/>
  <c r="D331" i="23"/>
  <c r="L423" i="23"/>
  <c r="L407" i="23"/>
  <c r="L79" i="23"/>
  <c r="L74" i="23"/>
  <c r="L278" i="23"/>
  <c r="L136" i="23"/>
  <c r="L161" i="23"/>
  <c r="L264" i="23"/>
  <c r="L381" i="23"/>
  <c r="L441" i="23"/>
  <c r="L246" i="23"/>
  <c r="L324" i="23"/>
  <c r="L43" i="23"/>
  <c r="L323" i="23"/>
  <c r="L303" i="23"/>
  <c r="L62" i="23"/>
  <c r="L51" i="23"/>
  <c r="L212" i="23"/>
  <c r="L54" i="23"/>
  <c r="J246" i="23"/>
  <c r="D151" i="23"/>
  <c r="F413" i="23"/>
  <c r="F399" i="23"/>
  <c r="F344" i="23"/>
  <c r="J135" i="23"/>
  <c r="F337" i="23"/>
  <c r="J90" i="23"/>
  <c r="D396" i="23"/>
  <c r="D206" i="23"/>
  <c r="D314" i="23"/>
  <c r="J416" i="23"/>
  <c r="D217" i="23"/>
  <c r="J114" i="23"/>
  <c r="D253" i="23"/>
  <c r="D144" i="23"/>
  <c r="J134" i="23"/>
  <c r="J109" i="23"/>
  <c r="J27" i="23"/>
  <c r="D258" i="23"/>
  <c r="J26" i="23"/>
  <c r="J376" i="23"/>
  <c r="D368" i="23"/>
  <c r="D138" i="23"/>
  <c r="J249" i="23"/>
  <c r="J271" i="23"/>
  <c r="L311" i="23"/>
  <c r="L45" i="23"/>
  <c r="L351" i="23"/>
  <c r="L261" i="23"/>
  <c r="L400" i="23"/>
  <c r="L200" i="23"/>
  <c r="D36" i="23"/>
  <c r="D363" i="23"/>
  <c r="G44" i="16" s="1"/>
  <c r="J412" i="23"/>
  <c r="D64" i="23"/>
  <c r="D223" i="23"/>
  <c r="J214" i="23"/>
  <c r="D139" i="23"/>
  <c r="F137" i="23"/>
  <c r="J209" i="23"/>
  <c r="J48" i="23"/>
  <c r="F21" i="23"/>
  <c r="J265" i="23"/>
  <c r="F181" i="23"/>
  <c r="D384" i="23"/>
  <c r="F295" i="23"/>
  <c r="F365" i="23"/>
  <c r="D304" i="23"/>
  <c r="D389" i="23"/>
  <c r="J125" i="23"/>
  <c r="J225" i="23"/>
  <c r="D391" i="23"/>
  <c r="J146" i="23"/>
  <c r="D134" i="23"/>
  <c r="D85" i="23"/>
  <c r="J373" i="23"/>
  <c r="J124" i="23"/>
  <c r="D8" i="23"/>
  <c r="D12" i="23"/>
  <c r="E7" i="23"/>
  <c r="J391" i="23"/>
  <c r="D42" i="23"/>
  <c r="J304" i="23"/>
  <c r="D92" i="23"/>
  <c r="D13" i="23"/>
  <c r="J34" i="23"/>
  <c r="J13" i="23"/>
  <c r="J293" i="23"/>
  <c r="J392" i="23"/>
  <c r="L9" i="23"/>
  <c r="L419" i="23"/>
  <c r="L301" i="23"/>
  <c r="L119" i="23"/>
  <c r="L262" i="23"/>
  <c r="L237" i="23"/>
  <c r="L349" i="23"/>
  <c r="L430" i="23"/>
  <c r="L179" i="23"/>
  <c r="L154" i="23"/>
  <c r="L428" i="23"/>
  <c r="L121" i="23"/>
  <c r="L322" i="23"/>
  <c r="L279" i="23"/>
  <c r="L25" i="23"/>
  <c r="L36" i="23"/>
  <c r="L244" i="23"/>
  <c r="L215" i="23"/>
  <c r="L285" i="23"/>
  <c r="L220" i="23"/>
  <c r="L258" i="23"/>
  <c r="L109" i="23"/>
  <c r="L357" i="23"/>
  <c r="L110" i="23"/>
  <c r="L214" i="23"/>
  <c r="C336" i="19"/>
  <c r="E43" i="19"/>
  <c r="E210" i="19"/>
  <c r="E302" i="19"/>
  <c r="E89" i="19"/>
  <c r="E362" i="23" s="1"/>
  <c r="E217" i="19"/>
  <c r="E80" i="19"/>
  <c r="E173" i="19"/>
  <c r="O439" i="19"/>
  <c r="E305" i="19"/>
  <c r="E190" i="19"/>
  <c r="O266" i="19"/>
  <c r="E250" i="19"/>
  <c r="O423" i="19"/>
  <c r="AM431" i="18"/>
  <c r="C225" i="19"/>
  <c r="C37" i="19"/>
  <c r="C138" i="19"/>
  <c r="O414" i="19"/>
  <c r="AE415" i="18"/>
  <c r="AF415" i="18"/>
  <c r="O422" i="19"/>
  <c r="C275" i="19"/>
  <c r="C24" i="19"/>
  <c r="O406" i="19"/>
  <c r="C310" i="19"/>
  <c r="AM389" i="18"/>
  <c r="AH415" i="18"/>
  <c r="AG415" i="18"/>
  <c r="AJ401" i="18"/>
  <c r="AN415" i="18"/>
  <c r="AJ415" i="18"/>
  <c r="AK415" i="18"/>
  <c r="AI415" i="18"/>
  <c r="AM415" i="18"/>
  <c r="AL415" i="18"/>
  <c r="Y437" i="18"/>
  <c r="Z437" i="18"/>
  <c r="AA437" i="18"/>
  <c r="AB437" i="18"/>
  <c r="AC437" i="18"/>
  <c r="AD437" i="18"/>
  <c r="V437" i="18"/>
  <c r="W437" i="18"/>
  <c r="X437" i="18"/>
  <c r="W378" i="18"/>
  <c r="X378" i="18"/>
  <c r="Y378" i="18"/>
  <c r="Z378" i="18"/>
  <c r="AA378" i="18"/>
  <c r="AB378" i="18"/>
  <c r="AC378" i="18"/>
  <c r="AD378" i="18"/>
  <c r="V378" i="18"/>
  <c r="AL384" i="18"/>
  <c r="V384" i="18"/>
  <c r="W384" i="18"/>
  <c r="X384" i="18"/>
  <c r="Y384" i="18"/>
  <c r="Z384" i="18"/>
  <c r="AA384" i="18"/>
  <c r="AB384" i="18"/>
  <c r="AC384" i="18"/>
  <c r="AD384" i="18"/>
  <c r="AE432" i="18"/>
  <c r="Y432" i="18"/>
  <c r="Z432" i="18"/>
  <c r="AA432" i="18"/>
  <c r="AB432" i="18"/>
  <c r="AC432" i="18"/>
  <c r="AD432" i="18"/>
  <c r="V432" i="18"/>
  <c r="W432" i="18"/>
  <c r="X432" i="18"/>
  <c r="AF430" i="18"/>
  <c r="Y430" i="18"/>
  <c r="Z430" i="18"/>
  <c r="AA430" i="18"/>
  <c r="AB430" i="18"/>
  <c r="AC430" i="18"/>
  <c r="AD430" i="18"/>
  <c r="V430" i="18"/>
  <c r="W430" i="18"/>
  <c r="X430" i="18"/>
  <c r="AK423" i="18"/>
  <c r="W423" i="18"/>
  <c r="X423" i="18"/>
  <c r="Y423" i="18"/>
  <c r="Z423" i="18"/>
  <c r="AA423" i="18"/>
  <c r="AB423" i="18"/>
  <c r="AC423" i="18"/>
  <c r="AD423" i="18"/>
  <c r="V423" i="18"/>
  <c r="AH379" i="18"/>
  <c r="AA379" i="18"/>
  <c r="AB379" i="18"/>
  <c r="AC379" i="18"/>
  <c r="AD379" i="18"/>
  <c r="V379" i="18"/>
  <c r="W379" i="18"/>
  <c r="X379" i="18"/>
  <c r="Y379" i="18"/>
  <c r="Z379" i="18"/>
  <c r="V414" i="18"/>
  <c r="X414" i="18"/>
  <c r="Y414" i="18"/>
  <c r="AA414" i="18"/>
  <c r="AB414" i="18"/>
  <c r="AC414" i="18"/>
  <c r="AD414" i="18"/>
  <c r="W414" i="18"/>
  <c r="Z414" i="18"/>
  <c r="AC397" i="18"/>
  <c r="AD397" i="18"/>
  <c r="V397" i="18"/>
  <c r="W397" i="18"/>
  <c r="X397" i="18"/>
  <c r="Y397" i="18"/>
  <c r="Z397" i="18"/>
  <c r="AA397" i="18"/>
  <c r="AB397" i="18"/>
  <c r="V438" i="18"/>
  <c r="W438" i="18"/>
  <c r="X438" i="18"/>
  <c r="Y438" i="18"/>
  <c r="Z438" i="18"/>
  <c r="AA438" i="18"/>
  <c r="AB438" i="18"/>
  <c r="AC438" i="18"/>
  <c r="AD438" i="18"/>
  <c r="AI390" i="18"/>
  <c r="Y390" i="18"/>
  <c r="Z390" i="18"/>
  <c r="AA390" i="18"/>
  <c r="AB390" i="18"/>
  <c r="AC390" i="18"/>
  <c r="AD390" i="18"/>
  <c r="V390" i="18"/>
  <c r="W390" i="18"/>
  <c r="X390" i="18"/>
  <c r="AM425" i="18"/>
  <c r="AC425" i="18"/>
  <c r="AD425" i="18"/>
  <c r="V425" i="18"/>
  <c r="W425" i="18"/>
  <c r="X425" i="18"/>
  <c r="Y425" i="18"/>
  <c r="Z425" i="18"/>
  <c r="AA425" i="18"/>
  <c r="AB425" i="18"/>
  <c r="AN413" i="18"/>
  <c r="AA413" i="18"/>
  <c r="AB413" i="18"/>
  <c r="AD413" i="18"/>
  <c r="V413" i="18"/>
  <c r="W413" i="18"/>
  <c r="X413" i="18"/>
  <c r="Y413" i="18"/>
  <c r="Z413" i="18"/>
  <c r="AC413" i="18"/>
  <c r="AC395" i="18"/>
  <c r="AD395" i="18"/>
  <c r="V395" i="18"/>
  <c r="W395" i="18"/>
  <c r="X395" i="18"/>
  <c r="Y395" i="18"/>
  <c r="Z395" i="18"/>
  <c r="AA395" i="18"/>
  <c r="AB395" i="18"/>
  <c r="W429" i="18"/>
  <c r="X429" i="18"/>
  <c r="Y429" i="18"/>
  <c r="Z429" i="18"/>
  <c r="AA429" i="18"/>
  <c r="AB429" i="18"/>
  <c r="AC429" i="18"/>
  <c r="AD429" i="18"/>
  <c r="V429" i="18"/>
  <c r="W440" i="18"/>
  <c r="X440" i="18"/>
  <c r="Y440" i="18"/>
  <c r="Z440" i="18"/>
  <c r="AA440" i="18"/>
  <c r="AB440" i="18"/>
  <c r="AC440" i="18"/>
  <c r="AD440" i="18"/>
  <c r="V440" i="18"/>
  <c r="W386" i="18"/>
  <c r="X386" i="18"/>
  <c r="Y386" i="18"/>
  <c r="Z386" i="18"/>
  <c r="AA386" i="18"/>
  <c r="AB386" i="18"/>
  <c r="AC386" i="18"/>
  <c r="AD386" i="18"/>
  <c r="V386" i="18"/>
  <c r="AG398" i="18"/>
  <c r="AA398" i="18"/>
  <c r="AB398" i="18"/>
  <c r="AC398" i="18"/>
  <c r="AD398" i="18"/>
  <c r="V398" i="18"/>
  <c r="W398" i="18"/>
  <c r="X398" i="18"/>
  <c r="Y398" i="18"/>
  <c r="Z398" i="18"/>
  <c r="AL404" i="18"/>
  <c r="Y404" i="18"/>
  <c r="Z404" i="18"/>
  <c r="AB404" i="18"/>
  <c r="AC404" i="18"/>
  <c r="V404" i="18"/>
  <c r="W404" i="18"/>
  <c r="X404" i="18"/>
  <c r="AA404" i="18"/>
  <c r="AD404" i="18"/>
  <c r="V427" i="18"/>
  <c r="W427" i="18"/>
  <c r="X427" i="18"/>
  <c r="Y427" i="18"/>
  <c r="Z427" i="18"/>
  <c r="AA427" i="18"/>
  <c r="AB427" i="18"/>
  <c r="AC427" i="18"/>
  <c r="AD427" i="18"/>
  <c r="W391" i="18"/>
  <c r="X391" i="18"/>
  <c r="Y391" i="18"/>
  <c r="Z391" i="18"/>
  <c r="AA391" i="18"/>
  <c r="AB391" i="18"/>
  <c r="AC391" i="18"/>
  <c r="AD391" i="18"/>
  <c r="V391" i="18"/>
  <c r="Y406" i="18"/>
  <c r="AC406" i="18"/>
  <c r="AD406" i="18"/>
  <c r="V406" i="18"/>
  <c r="W406" i="18"/>
  <c r="X406" i="18"/>
  <c r="Z406" i="18"/>
  <c r="AA406" i="18"/>
  <c r="AB406" i="18"/>
  <c r="Y419" i="18"/>
  <c r="Z419" i="18"/>
  <c r="AA419" i="18"/>
  <c r="AB419" i="18"/>
  <c r="AC419" i="18"/>
  <c r="AD419" i="18"/>
  <c r="V419" i="18"/>
  <c r="W419" i="18"/>
  <c r="X419" i="18"/>
  <c r="AF442" i="18"/>
  <c r="AA442" i="18"/>
  <c r="AB442" i="18"/>
  <c r="AC442" i="18"/>
  <c r="AD442" i="18"/>
  <c r="V442" i="18"/>
  <c r="W442" i="18"/>
  <c r="X442" i="18"/>
  <c r="Y442" i="18"/>
  <c r="Z442" i="18"/>
  <c r="AN401" i="18"/>
  <c r="AA401" i="18"/>
  <c r="AB401" i="18"/>
  <c r="AC401" i="18"/>
  <c r="AD401" i="18"/>
  <c r="V401" i="18"/>
  <c r="W401" i="18"/>
  <c r="X401" i="18"/>
  <c r="Y401" i="18"/>
  <c r="Z401" i="18"/>
  <c r="Y399" i="18"/>
  <c r="Z399" i="18"/>
  <c r="AA399" i="18"/>
  <c r="AB399" i="18"/>
  <c r="AC399" i="18"/>
  <c r="AD399" i="18"/>
  <c r="V399" i="18"/>
  <c r="W399" i="18"/>
  <c r="X399" i="18"/>
  <c r="V436" i="18"/>
  <c r="W436" i="18"/>
  <c r="X436" i="18"/>
  <c r="Y436" i="18"/>
  <c r="Z436" i="18"/>
  <c r="AA436" i="18"/>
  <c r="AB436" i="18"/>
  <c r="AC436" i="18"/>
  <c r="AD436" i="18"/>
  <c r="V422" i="18"/>
  <c r="W422" i="18"/>
  <c r="X422" i="18"/>
  <c r="Y422" i="18"/>
  <c r="Z422" i="18"/>
  <c r="AA422" i="18"/>
  <c r="AB422" i="18"/>
  <c r="AC422" i="18"/>
  <c r="AD422" i="18"/>
  <c r="V380" i="18"/>
  <c r="W380" i="18"/>
  <c r="X380" i="18"/>
  <c r="Y380" i="18"/>
  <c r="Z380" i="18"/>
  <c r="AA380" i="18"/>
  <c r="AB380" i="18"/>
  <c r="AC380" i="18"/>
  <c r="AD380" i="18"/>
  <c r="V424" i="18"/>
  <c r="W424" i="18"/>
  <c r="X424" i="18"/>
  <c r="Y424" i="18"/>
  <c r="Z424" i="18"/>
  <c r="AA424" i="18"/>
  <c r="AB424" i="18"/>
  <c r="AC424" i="18"/>
  <c r="AD424" i="18"/>
  <c r="V409" i="18"/>
  <c r="W409" i="18"/>
  <c r="X409" i="18"/>
  <c r="Y409" i="18"/>
  <c r="Z409" i="18"/>
  <c r="AA409" i="18"/>
  <c r="AB409" i="18"/>
  <c r="AC409" i="18"/>
  <c r="AD409" i="18"/>
  <c r="AI411" i="18"/>
  <c r="V411" i="18"/>
  <c r="W411" i="18"/>
  <c r="Y411" i="18"/>
  <c r="Z411" i="18"/>
  <c r="AA411" i="18"/>
  <c r="AB411" i="18"/>
  <c r="AC411" i="18"/>
  <c r="AD411" i="18"/>
  <c r="X411" i="18"/>
  <c r="AC421" i="18"/>
  <c r="AD421" i="18"/>
  <c r="V421" i="18"/>
  <c r="W421" i="18"/>
  <c r="X421" i="18"/>
  <c r="Y421" i="18"/>
  <c r="Z421" i="18"/>
  <c r="AA421" i="18"/>
  <c r="AB421" i="18"/>
  <c r="AN407" i="18"/>
  <c r="AA407" i="18"/>
  <c r="AB407" i="18"/>
  <c r="V407" i="18"/>
  <c r="W407" i="18"/>
  <c r="X407" i="18"/>
  <c r="Y407" i="18"/>
  <c r="Z407" i="18"/>
  <c r="AC407" i="18"/>
  <c r="AD407" i="18"/>
  <c r="AJ433" i="18"/>
  <c r="AC433" i="18"/>
  <c r="AD433" i="18"/>
  <c r="V433" i="18"/>
  <c r="W433" i="18"/>
  <c r="X433" i="18"/>
  <c r="Y433" i="18"/>
  <c r="Z433" i="18"/>
  <c r="AA433" i="18"/>
  <c r="AB433" i="18"/>
  <c r="AL402" i="18"/>
  <c r="AA402" i="18"/>
  <c r="AB402" i="18"/>
  <c r="AC402" i="18"/>
  <c r="AD402" i="18"/>
  <c r="V402" i="18"/>
  <c r="W402" i="18"/>
  <c r="X402" i="18"/>
  <c r="Y402" i="18"/>
  <c r="Z402" i="18"/>
  <c r="AA443" i="18"/>
  <c r="AB443" i="18"/>
  <c r="AC443" i="18"/>
  <c r="AD443" i="18"/>
  <c r="V443" i="18"/>
  <c r="W443" i="18"/>
  <c r="X443" i="18"/>
  <c r="Y443" i="18"/>
  <c r="Z443" i="18"/>
  <c r="AC388" i="18"/>
  <c r="AD388" i="18"/>
  <c r="V388" i="18"/>
  <c r="W388" i="18"/>
  <c r="X388" i="18"/>
  <c r="Y388" i="18"/>
  <c r="Z388" i="18"/>
  <c r="AA388" i="18"/>
  <c r="AB388" i="18"/>
  <c r="W396" i="18"/>
  <c r="X396" i="18"/>
  <c r="Y396" i="18"/>
  <c r="Z396" i="18"/>
  <c r="AA396" i="18"/>
  <c r="AB396" i="18"/>
  <c r="AC396" i="18"/>
  <c r="AD396" i="18"/>
  <c r="V396" i="18"/>
  <c r="AG410" i="18"/>
  <c r="AC410" i="18"/>
  <c r="W410" i="18"/>
  <c r="X410" i="18"/>
  <c r="AA410" i="18"/>
  <c r="AB410" i="18"/>
  <c r="V410" i="18"/>
  <c r="Y410" i="18"/>
  <c r="Z410" i="18"/>
  <c r="AD410" i="18"/>
  <c r="AE431" i="18"/>
  <c r="AC431" i="18"/>
  <c r="AD431" i="18"/>
  <c r="V431" i="18"/>
  <c r="W431" i="18"/>
  <c r="X431" i="18"/>
  <c r="Y431" i="18"/>
  <c r="Z431" i="18"/>
  <c r="AA431" i="18"/>
  <c r="AB431" i="18"/>
  <c r="AK434" i="18"/>
  <c r="V434" i="18"/>
  <c r="W434" i="18"/>
  <c r="X434" i="18"/>
  <c r="Y434" i="18"/>
  <c r="Z434" i="18"/>
  <c r="AA434" i="18"/>
  <c r="AB434" i="18"/>
  <c r="AC434" i="18"/>
  <c r="AD434" i="18"/>
  <c r="AK385" i="18"/>
  <c r="V385" i="18"/>
  <c r="W385" i="18"/>
  <c r="X385" i="18"/>
  <c r="Y385" i="18"/>
  <c r="Z385" i="18"/>
  <c r="AA385" i="18"/>
  <c r="AB385" i="18"/>
  <c r="AC385" i="18"/>
  <c r="AD385" i="18"/>
  <c r="AA392" i="18"/>
  <c r="AB392" i="18"/>
  <c r="AC392" i="18"/>
  <c r="AD392" i="18"/>
  <c r="V392" i="18"/>
  <c r="W392" i="18"/>
  <c r="X392" i="18"/>
  <c r="Y392" i="18"/>
  <c r="Z392" i="18"/>
  <c r="V393" i="18"/>
  <c r="W393" i="18"/>
  <c r="X393" i="18"/>
  <c r="Y393" i="18"/>
  <c r="Z393" i="18"/>
  <c r="AA393" i="18"/>
  <c r="AB393" i="18"/>
  <c r="AC393" i="18"/>
  <c r="AD393" i="18"/>
  <c r="AF435" i="18"/>
  <c r="V435" i="18"/>
  <c r="W435" i="18"/>
  <c r="X435" i="18"/>
  <c r="Y435" i="18"/>
  <c r="Z435" i="18"/>
  <c r="AA435" i="18"/>
  <c r="AB435" i="18"/>
  <c r="AC435" i="18"/>
  <c r="AD435" i="18"/>
  <c r="AH418" i="18"/>
  <c r="V418" i="18"/>
  <c r="W418" i="18"/>
  <c r="X418" i="18"/>
  <c r="Y418" i="18"/>
  <c r="Z418" i="18"/>
  <c r="AA418" i="18"/>
  <c r="AB418" i="18"/>
  <c r="AC418" i="18"/>
  <c r="AD418" i="18"/>
  <c r="AG426" i="18"/>
  <c r="Y426" i="18"/>
  <c r="Z426" i="18"/>
  <c r="AA426" i="18"/>
  <c r="AB426" i="18"/>
  <c r="AC426" i="18"/>
  <c r="AD426" i="18"/>
  <c r="V426" i="18"/>
  <c r="W426" i="18"/>
  <c r="X426" i="18"/>
  <c r="AH389" i="18"/>
  <c r="V389" i="18"/>
  <c r="W389" i="18"/>
  <c r="X389" i="18"/>
  <c r="Y389" i="18"/>
  <c r="Z389" i="18"/>
  <c r="AA389" i="18"/>
  <c r="AB389" i="18"/>
  <c r="AC389" i="18"/>
  <c r="AD389" i="18"/>
  <c r="AK405" i="18"/>
  <c r="W405" i="18"/>
  <c r="X405" i="18"/>
  <c r="Y405" i="18"/>
  <c r="Z405" i="18"/>
  <c r="AA405" i="18"/>
  <c r="AB405" i="18"/>
  <c r="AC405" i="18"/>
  <c r="AD405" i="18"/>
  <c r="V405" i="18"/>
  <c r="W415" i="18"/>
  <c r="X415" i="18"/>
  <c r="Z415" i="18"/>
  <c r="AA415" i="18"/>
  <c r="AC415" i="18"/>
  <c r="AD415" i="18"/>
  <c r="V415" i="18"/>
  <c r="Y415" i="18"/>
  <c r="AB415" i="18"/>
  <c r="AC383" i="18"/>
  <c r="AD383" i="18"/>
  <c r="V383" i="18"/>
  <c r="W383" i="18"/>
  <c r="X383" i="18"/>
  <c r="Y383" i="18"/>
  <c r="Z383" i="18"/>
  <c r="AA383" i="18"/>
  <c r="AB383" i="18"/>
  <c r="Y400" i="18"/>
  <c r="Z400" i="18"/>
  <c r="AA400" i="18"/>
  <c r="AB400" i="18"/>
  <c r="AC400" i="18"/>
  <c r="AD400" i="18"/>
  <c r="V400" i="18"/>
  <c r="W400" i="18"/>
  <c r="X400" i="18"/>
  <c r="AM439" i="18"/>
  <c r="AA439" i="18"/>
  <c r="AB439" i="18"/>
  <c r="AC439" i="18"/>
  <c r="AD439" i="18"/>
  <c r="V439" i="18"/>
  <c r="W439" i="18"/>
  <c r="X439" i="18"/>
  <c r="Y439" i="18"/>
  <c r="Z439" i="18"/>
  <c r="AM428" i="18"/>
  <c r="Y428" i="18"/>
  <c r="Z428" i="18"/>
  <c r="AA428" i="18"/>
  <c r="AB428" i="18"/>
  <c r="AC428" i="18"/>
  <c r="AD428" i="18"/>
  <c r="V428" i="18"/>
  <c r="W428" i="18"/>
  <c r="X428" i="18"/>
  <c r="AN408" i="18"/>
  <c r="AC408" i="18"/>
  <c r="AD408" i="18"/>
  <c r="W408" i="18"/>
  <c r="X408" i="18"/>
  <c r="Y408" i="18"/>
  <c r="Z408" i="18"/>
  <c r="AA408" i="18"/>
  <c r="AB408" i="18"/>
  <c r="V408" i="18"/>
  <c r="AK441" i="18"/>
  <c r="AC441" i="18"/>
  <c r="AD441" i="18"/>
  <c r="V441" i="18"/>
  <c r="W441" i="18"/>
  <c r="X441" i="18"/>
  <c r="Y441" i="18"/>
  <c r="Z441" i="18"/>
  <c r="AA441" i="18"/>
  <c r="AB441" i="18"/>
  <c r="V382" i="18"/>
  <c r="W382" i="18"/>
  <c r="X382" i="18"/>
  <c r="Y382" i="18"/>
  <c r="Z382" i="18"/>
  <c r="AA382" i="18"/>
  <c r="AB382" i="18"/>
  <c r="AC382" i="18"/>
  <c r="AD382" i="18"/>
  <c r="V387" i="18"/>
  <c r="W387" i="18"/>
  <c r="X387" i="18"/>
  <c r="Y387" i="18"/>
  <c r="Z387" i="18"/>
  <c r="AA387" i="18"/>
  <c r="AB387" i="18"/>
  <c r="AC387" i="18"/>
  <c r="AD387" i="18"/>
  <c r="AF420" i="18"/>
  <c r="W420" i="18"/>
  <c r="X420" i="18"/>
  <c r="Y420" i="18"/>
  <c r="Z420" i="18"/>
  <c r="AA420" i="18"/>
  <c r="AB420" i="18"/>
  <c r="AC420" i="18"/>
  <c r="AD420" i="18"/>
  <c r="V420" i="18"/>
  <c r="AG403" i="18"/>
  <c r="W403" i="18"/>
  <c r="X403" i="18"/>
  <c r="Y403" i="18"/>
  <c r="Z403" i="18"/>
  <c r="AA403" i="18"/>
  <c r="AB403" i="18"/>
  <c r="AC403" i="18"/>
  <c r="AD403" i="18"/>
  <c r="V403" i="18"/>
  <c r="AN381" i="18"/>
  <c r="V381" i="18"/>
  <c r="W381" i="18"/>
  <c r="X381" i="18"/>
  <c r="Y381" i="18"/>
  <c r="Z381" i="18"/>
  <c r="AA381" i="18"/>
  <c r="AB381" i="18"/>
  <c r="AC381" i="18"/>
  <c r="AD381" i="18"/>
  <c r="V416" i="18"/>
  <c r="W416" i="18"/>
  <c r="X416" i="18"/>
  <c r="Y416" i="18"/>
  <c r="Z416" i="18"/>
  <c r="AA416" i="18"/>
  <c r="AB416" i="18"/>
  <c r="AC416" i="18"/>
  <c r="AD416" i="18"/>
  <c r="AG377" i="18"/>
  <c r="AA377" i="18"/>
  <c r="V377" i="18"/>
  <c r="W377" i="18"/>
  <c r="X377" i="18"/>
  <c r="Y377" i="18"/>
  <c r="Z377" i="18"/>
  <c r="AB377" i="18"/>
  <c r="AC377" i="18"/>
  <c r="AD377" i="18"/>
  <c r="AN417" i="18"/>
  <c r="Y417" i="18"/>
  <c r="Z417" i="18"/>
  <c r="AA417" i="18"/>
  <c r="AB417" i="18"/>
  <c r="AC417" i="18"/>
  <c r="AD417" i="18"/>
  <c r="V417" i="18"/>
  <c r="W417" i="18"/>
  <c r="X417" i="18"/>
  <c r="AA394" i="18"/>
  <c r="AB394" i="18"/>
  <c r="AC394" i="18"/>
  <c r="AD394" i="18"/>
  <c r="V394" i="18"/>
  <c r="W394" i="18"/>
  <c r="X394" i="18"/>
  <c r="Y394" i="18"/>
  <c r="Z394" i="18"/>
  <c r="V412" i="18"/>
  <c r="W412" i="18"/>
  <c r="X412" i="18"/>
  <c r="Y412" i="18"/>
  <c r="Z412" i="18"/>
  <c r="AA412" i="18"/>
  <c r="AB412" i="18"/>
  <c r="AC412" i="18"/>
  <c r="AD412" i="18"/>
  <c r="AE379" i="18"/>
  <c r="AE423" i="18"/>
  <c r="AH430" i="18"/>
  <c r="AF379" i="18"/>
  <c r="AJ423" i="18"/>
  <c r="E27" i="19"/>
  <c r="AL441" i="18"/>
  <c r="AG423" i="18"/>
  <c r="AE430" i="18"/>
  <c r="AM432" i="18"/>
  <c r="AN379" i="18"/>
  <c r="AN430" i="18"/>
  <c r="AJ379" i="18"/>
  <c r="AI430" i="18"/>
  <c r="AJ405" i="18"/>
  <c r="AG442" i="18"/>
  <c r="AL430" i="18"/>
  <c r="AG432" i="18"/>
  <c r="AM408" i="18"/>
  <c r="AN441" i="18"/>
  <c r="AN432" i="18"/>
  <c r="AJ408" i="18"/>
  <c r="AJ441" i="18"/>
  <c r="AJ432" i="18"/>
  <c r="AG379" i="18"/>
  <c r="AI423" i="18"/>
  <c r="AL432" i="18"/>
  <c r="AH423" i="18"/>
  <c r="AM430" i="18"/>
  <c r="AI432" i="18"/>
  <c r="AF423" i="18"/>
  <c r="AJ430" i="18"/>
  <c r="AM379" i="18"/>
  <c r="AN423" i="18"/>
  <c r="AK432" i="18"/>
  <c r="AL379" i="18"/>
  <c r="AM423" i="18"/>
  <c r="AH432" i="18"/>
  <c r="AK379" i="18"/>
  <c r="AE417" i="18"/>
  <c r="AK430" i="18"/>
  <c r="AM417" i="18"/>
  <c r="AH381" i="18"/>
  <c r="AF432" i="18"/>
  <c r="AI379" i="18"/>
  <c r="AL423" i="18"/>
  <c r="AG430" i="18"/>
  <c r="AH439" i="18"/>
  <c r="AM385" i="18"/>
  <c r="AK410" i="18"/>
  <c r="AI408" i="18"/>
  <c r="AI428" i="18"/>
  <c r="AI385" i="18"/>
  <c r="AL385" i="18"/>
  <c r="AM426" i="18"/>
  <c r="AG434" i="18"/>
  <c r="A311" i="19"/>
  <c r="AN431" i="18"/>
  <c r="AM405" i="18"/>
  <c r="AN389" i="18"/>
  <c r="AE426" i="18"/>
  <c r="AJ389" i="18"/>
  <c r="AL426" i="18"/>
  <c r="AL405" i="18"/>
  <c r="AF426" i="18"/>
  <c r="AK435" i="18"/>
  <c r="AH405" i="18"/>
  <c r="AG405" i="18"/>
  <c r="AI381" i="18"/>
  <c r="AM401" i="18"/>
  <c r="AK442" i="18"/>
  <c r="AJ381" i="18"/>
  <c r="AL401" i="18"/>
  <c r="AI442" i="18"/>
  <c r="AK381" i="18"/>
  <c r="AK401" i="18"/>
  <c r="AH442" i="18"/>
  <c r="AI401" i="18"/>
  <c r="AL381" i="18"/>
  <c r="AH401" i="18"/>
  <c r="AG381" i="18"/>
  <c r="AF401" i="18"/>
  <c r="AE381" i="18"/>
  <c r="AF403" i="18"/>
  <c r="AE401" i="18"/>
  <c r="AM381" i="18"/>
  <c r="AF381" i="18"/>
  <c r="AG401" i="18"/>
  <c r="AE442" i="18"/>
  <c r="AN442" i="18"/>
  <c r="C259" i="19"/>
  <c r="AJ439" i="18"/>
  <c r="AL408" i="18"/>
  <c r="AI439" i="18"/>
  <c r="AJ385" i="18"/>
  <c r="AK408" i="18"/>
  <c r="AG439" i="18"/>
  <c r="AN434" i="18"/>
  <c r="AH385" i="18"/>
  <c r="AG408" i="18"/>
  <c r="AI441" i="18"/>
  <c r="AI434" i="18"/>
  <c r="AG385" i="18"/>
  <c r="AH441" i="18"/>
  <c r="AE428" i="18"/>
  <c r="AH434" i="18"/>
  <c r="AF385" i="18"/>
  <c r="AG441" i="18"/>
  <c r="AL428" i="18"/>
  <c r="AE385" i="18"/>
  <c r="AF408" i="18"/>
  <c r="AF441" i="18"/>
  <c r="AK428" i="18"/>
  <c r="AN385" i="18"/>
  <c r="AH408" i="18"/>
  <c r="AE441" i="18"/>
  <c r="AJ428" i="18"/>
  <c r="AK402" i="18"/>
  <c r="AE408" i="18"/>
  <c r="AM441" i="18"/>
  <c r="AH428" i="18"/>
  <c r="AF428" i="18"/>
  <c r="AJ402" i="18"/>
  <c r="AM435" i="18"/>
  <c r="AH426" i="18"/>
  <c r="AJ435" i="18"/>
  <c r="C6" i="19"/>
  <c r="AI418" i="18"/>
  <c r="AG418" i="18"/>
  <c r="AI389" i="18"/>
  <c r="AF418" i="18"/>
  <c r="AL418" i="18"/>
  <c r="AF389" i="18"/>
  <c r="AE403" i="18"/>
  <c r="E307" i="19"/>
  <c r="AN403" i="18"/>
  <c r="AH435" i="18"/>
  <c r="AE418" i="18"/>
  <c r="AM442" i="18"/>
  <c r="AK389" i="18"/>
  <c r="AL417" i="18"/>
  <c r="AN377" i="18"/>
  <c r="AM403" i="18"/>
  <c r="AE435" i="18"/>
  <c r="AM418" i="18"/>
  <c r="AL442" i="18"/>
  <c r="AI405" i="18"/>
  <c r="AK417" i="18"/>
  <c r="AN426" i="18"/>
  <c r="AM377" i="18"/>
  <c r="AK420" i="18"/>
  <c r="AJ417" i="18"/>
  <c r="AK377" i="18"/>
  <c r="AJ420" i="18"/>
  <c r="AI417" i="18"/>
  <c r="AL403" i="18"/>
  <c r="AI420" i="18"/>
  <c r="AH417" i="18"/>
  <c r="AK403" i="18"/>
  <c r="AG420" i="18"/>
  <c r="AN418" i="18"/>
  <c r="AL389" i="18"/>
  <c r="AF405" i="18"/>
  <c r="AG417" i="18"/>
  <c r="AK426" i="18"/>
  <c r="AJ403" i="18"/>
  <c r="AE420" i="18"/>
  <c r="AK418" i="18"/>
  <c r="AG389" i="18"/>
  <c r="AE405" i="18"/>
  <c r="AF417" i="18"/>
  <c r="AJ426" i="18"/>
  <c r="AI403" i="18"/>
  <c r="AM420" i="18"/>
  <c r="AJ418" i="18"/>
  <c r="AJ442" i="18"/>
  <c r="AE389" i="18"/>
  <c r="AN405" i="18"/>
  <c r="AI426" i="18"/>
  <c r="AH403" i="18"/>
  <c r="AL435" i="18"/>
  <c r="AJ404" i="18"/>
  <c r="C361" i="19"/>
  <c r="A291" i="19"/>
  <c r="AF439" i="18"/>
  <c r="AG428" i="18"/>
  <c r="AE439" i="18"/>
  <c r="AN439" i="18"/>
  <c r="AM398" i="18"/>
  <c r="AL439" i="18"/>
  <c r="AL398" i="18"/>
  <c r="AG390" i="18"/>
  <c r="AK439" i="18"/>
  <c r="AJ398" i="18"/>
  <c r="AN428" i="18"/>
  <c r="AF390" i="18"/>
  <c r="AM413" i="18"/>
  <c r="AF398" i="18"/>
  <c r="AL425" i="18"/>
  <c r="AL413" i="18"/>
  <c r="J165" i="19"/>
  <c r="J165" i="23" s="1"/>
  <c r="AK425" i="18"/>
  <c r="AN404" i="18"/>
  <c r="AK404" i="18"/>
  <c r="AI402" i="18"/>
  <c r="AH402" i="18"/>
  <c r="AL411" i="18"/>
  <c r="AF402" i="18"/>
  <c r="E257" i="19"/>
  <c r="AG411" i="18"/>
  <c r="AE402" i="18"/>
  <c r="AE411" i="18"/>
  <c r="O175" i="19"/>
  <c r="G35" i="19"/>
  <c r="AH411" i="18"/>
  <c r="AK411" i="18"/>
  <c r="AG402" i="18"/>
  <c r="AN402" i="18"/>
  <c r="C296" i="19"/>
  <c r="AM402" i="18"/>
  <c r="AJ425" i="18"/>
  <c r="AK413" i="18"/>
  <c r="AN420" i="18"/>
  <c r="AH425" i="18"/>
  <c r="AJ413" i="18"/>
  <c r="O399" i="19"/>
  <c r="E208" i="19"/>
  <c r="AH390" i="18"/>
  <c r="AG425" i="18"/>
  <c r="AI413" i="18"/>
  <c r="AE390" i="18"/>
  <c r="AH413" i="18"/>
  <c r="O426" i="19"/>
  <c r="AN390" i="18"/>
  <c r="AF413" i="18"/>
  <c r="A49" i="19"/>
  <c r="O436" i="19"/>
  <c r="AM390" i="18"/>
  <c r="AI425" i="18"/>
  <c r="AE413" i="18"/>
  <c r="C266" i="19"/>
  <c r="AL390" i="18"/>
  <c r="AF425" i="18"/>
  <c r="AL420" i="18"/>
  <c r="C172" i="19"/>
  <c r="AK390" i="18"/>
  <c r="AE425" i="18"/>
  <c r="O380" i="19"/>
  <c r="AJ390" i="18"/>
  <c r="AN425" i="18"/>
  <c r="AG413" i="18"/>
  <c r="E160" i="19"/>
  <c r="E326" i="23" s="1"/>
  <c r="C223" i="19"/>
  <c r="AJ434" i="18"/>
  <c r="AI431" i="18"/>
  <c r="O390" i="19"/>
  <c r="AM433" i="18"/>
  <c r="AF434" i="18"/>
  <c r="E113" i="19"/>
  <c r="AK407" i="18"/>
  <c r="AL433" i="18"/>
  <c r="AE434" i="18"/>
  <c r="O398" i="19"/>
  <c r="AJ407" i="18"/>
  <c r="AG433" i="18"/>
  <c r="E51" i="19"/>
  <c r="E176" i="23" s="1"/>
  <c r="AE433" i="18"/>
  <c r="A51" i="19"/>
  <c r="A296" i="19"/>
  <c r="E146" i="19"/>
  <c r="AH410" i="18"/>
  <c r="AM434" i="18"/>
  <c r="O383" i="19"/>
  <c r="J321" i="19"/>
  <c r="J321" i="23" s="1"/>
  <c r="E359" i="19"/>
  <c r="E248" i="19"/>
  <c r="E248" i="23" s="1"/>
  <c r="E225" i="19"/>
  <c r="O379" i="19"/>
  <c r="AL434" i="18"/>
  <c r="O405" i="19"/>
  <c r="E327" i="19"/>
  <c r="AJ431" i="18"/>
  <c r="AL377" i="18"/>
  <c r="AM411" i="18"/>
  <c r="AM404" i="18"/>
  <c r="AK398" i="18"/>
  <c r="AJ377" i="18"/>
  <c r="AJ411" i="18"/>
  <c r="AG404" i="18"/>
  <c r="AH398" i="18"/>
  <c r="AI377" i="18"/>
  <c r="AI404" i="18"/>
  <c r="AE398" i="18"/>
  <c r="AH377" i="18"/>
  <c r="AH404" i="18"/>
  <c r="AN398" i="18"/>
  <c r="C22" i="19"/>
  <c r="A22" i="19"/>
  <c r="AF377" i="18"/>
  <c r="AF411" i="18"/>
  <c r="AF404" i="18"/>
  <c r="AE377" i="18"/>
  <c r="AN411" i="18"/>
  <c r="AE404" i="18"/>
  <c r="AE384" i="18"/>
  <c r="AN384" i="18"/>
  <c r="AH384" i="18"/>
  <c r="O196" i="19"/>
  <c r="AE407" i="18"/>
  <c r="AK384" i="18"/>
  <c r="AI433" i="18"/>
  <c r="AL431" i="18"/>
  <c r="O392" i="19"/>
  <c r="C47" i="19"/>
  <c r="AI384" i="18"/>
  <c r="AH433" i="18"/>
  <c r="AK431" i="18"/>
  <c r="AN410" i="18"/>
  <c r="AH431" i="18"/>
  <c r="AM410" i="18"/>
  <c r="A142" i="19"/>
  <c r="AJ384" i="18"/>
  <c r="AG431" i="18"/>
  <c r="A148" i="19"/>
  <c r="O417" i="19"/>
  <c r="C78" i="19"/>
  <c r="AL410" i="18"/>
  <c r="AG384" i="18"/>
  <c r="AF433" i="18"/>
  <c r="AF431" i="18"/>
  <c r="C231" i="19"/>
  <c r="AM407" i="18"/>
  <c r="AJ410" i="18"/>
  <c r="AF384" i="18"/>
  <c r="AN433" i="18"/>
  <c r="AH407" i="18"/>
  <c r="AM384" i="18"/>
  <c r="AK433" i="18"/>
  <c r="AG407" i="18"/>
  <c r="O76" i="19"/>
  <c r="O306" i="19"/>
  <c r="AI407" i="18"/>
  <c r="AF410" i="18"/>
  <c r="AG435" i="18"/>
  <c r="O108" i="19"/>
  <c r="AL407" i="18"/>
  <c r="AE410" i="18"/>
  <c r="AN435" i="18"/>
  <c r="O404" i="19"/>
  <c r="O388" i="19"/>
  <c r="O49" i="19"/>
  <c r="O381" i="19"/>
  <c r="AF407" i="18"/>
  <c r="AI410" i="18"/>
  <c r="AH420" i="18"/>
  <c r="AI435" i="18"/>
  <c r="AI398" i="18"/>
  <c r="J22" i="19"/>
  <c r="J22" i="23" s="1"/>
  <c r="O438" i="19"/>
  <c r="A11" i="19"/>
  <c r="O199" i="19"/>
  <c r="O441" i="19"/>
  <c r="I22" i="19"/>
  <c r="E385" i="19"/>
  <c r="E385" i="23" s="1"/>
  <c r="A31" i="19"/>
  <c r="O332" i="19"/>
  <c r="O412" i="19"/>
  <c r="O31" i="19"/>
  <c r="O291" i="19"/>
  <c r="C308" i="19"/>
  <c r="AH414" i="18"/>
  <c r="AK414" i="18"/>
  <c r="AL414" i="18"/>
  <c r="AM414" i="18"/>
  <c r="AN414" i="18"/>
  <c r="AE414" i="18"/>
  <c r="AF414" i="18"/>
  <c r="AG414" i="18"/>
  <c r="AI414" i="18"/>
  <c r="AJ414" i="18"/>
  <c r="AM397" i="18"/>
  <c r="AN397" i="18"/>
  <c r="AE397" i="18"/>
  <c r="AF397" i="18"/>
  <c r="AG397" i="18"/>
  <c r="AH397" i="18"/>
  <c r="AI397" i="18"/>
  <c r="AJ397" i="18"/>
  <c r="AK397" i="18"/>
  <c r="AL397" i="18"/>
  <c r="AK422" i="18"/>
  <c r="AJ422" i="18"/>
  <c r="AF422" i="18"/>
  <c r="AH422" i="18"/>
  <c r="AM422" i="18"/>
  <c r="AE422" i="18"/>
  <c r="AG422" i="18"/>
  <c r="AL422" i="18"/>
  <c r="AI422" i="18"/>
  <c r="AN422" i="18"/>
  <c r="AN380" i="18"/>
  <c r="AE380" i="18"/>
  <c r="AF380" i="18"/>
  <c r="AG380" i="18"/>
  <c r="AH380" i="18"/>
  <c r="AI380" i="18"/>
  <c r="AJ380" i="18"/>
  <c r="AK380" i="18"/>
  <c r="AL380" i="18"/>
  <c r="AM380" i="18"/>
  <c r="AK424" i="18"/>
  <c r="AL424" i="18"/>
  <c r="AN424" i="18"/>
  <c r="AE424" i="18"/>
  <c r="AF424" i="18"/>
  <c r="AG424" i="18"/>
  <c r="AH424" i="18"/>
  <c r="AI424" i="18"/>
  <c r="AJ424" i="18"/>
  <c r="AM424" i="18"/>
  <c r="AE378" i="18"/>
  <c r="AG378" i="18"/>
  <c r="AH378" i="18"/>
  <c r="AI378" i="18"/>
  <c r="AJ378" i="18"/>
  <c r="AK378" i="18"/>
  <c r="AL378" i="18"/>
  <c r="AM378" i="18"/>
  <c r="AN378" i="18"/>
  <c r="AF378" i="18"/>
  <c r="O206" i="19"/>
  <c r="O339" i="19"/>
  <c r="O161" i="19"/>
  <c r="C280" i="19"/>
  <c r="AG429" i="18"/>
  <c r="AH429" i="18"/>
  <c r="AJ429" i="18"/>
  <c r="AK429" i="18"/>
  <c r="AL429" i="18"/>
  <c r="AM429" i="18"/>
  <c r="AN429" i="18"/>
  <c r="AE429" i="18"/>
  <c r="AF429" i="18"/>
  <c r="AI429" i="18"/>
  <c r="AF419" i="18"/>
  <c r="AG419" i="18"/>
  <c r="AH419" i="18"/>
  <c r="AI419" i="18"/>
  <c r="AJ419" i="18"/>
  <c r="AK419" i="18"/>
  <c r="AL419" i="18"/>
  <c r="AM419" i="18"/>
  <c r="AE419" i="18"/>
  <c r="AN419" i="18"/>
  <c r="E153" i="19"/>
  <c r="C363" i="19"/>
  <c r="C189" i="19"/>
  <c r="AE388" i="18"/>
  <c r="AG388" i="18"/>
  <c r="AH388" i="18"/>
  <c r="AI388" i="18"/>
  <c r="AJ388" i="18"/>
  <c r="AK388" i="18"/>
  <c r="AL388" i="18"/>
  <c r="AM388" i="18"/>
  <c r="AN388" i="18"/>
  <c r="AF388" i="18"/>
  <c r="AM386" i="18"/>
  <c r="AN386" i="18"/>
  <c r="AE386" i="18"/>
  <c r="AF386" i="18"/>
  <c r="AG386" i="18"/>
  <c r="AH386" i="18"/>
  <c r="AI386" i="18"/>
  <c r="AJ386" i="18"/>
  <c r="AK386" i="18"/>
  <c r="AL386" i="18"/>
  <c r="AN382" i="18"/>
  <c r="AE382" i="18"/>
  <c r="AF382" i="18"/>
  <c r="AG382" i="18"/>
  <c r="AH382" i="18"/>
  <c r="AI382" i="18"/>
  <c r="AJ382" i="18"/>
  <c r="AK382" i="18"/>
  <c r="AL382" i="18"/>
  <c r="AM382" i="18"/>
  <c r="AG440" i="18"/>
  <c r="AH440" i="18"/>
  <c r="AJ440" i="18"/>
  <c r="AK440" i="18"/>
  <c r="AL440" i="18"/>
  <c r="AM440" i="18"/>
  <c r="AN440" i="18"/>
  <c r="AE440" i="18"/>
  <c r="AF440" i="18"/>
  <c r="AI440" i="18"/>
  <c r="O127" i="19"/>
  <c r="O185" i="19"/>
  <c r="AG395" i="18"/>
  <c r="AH395" i="18"/>
  <c r="AJ395" i="18"/>
  <c r="AK395" i="18"/>
  <c r="AL395" i="18"/>
  <c r="AM395" i="18"/>
  <c r="AN395" i="18"/>
  <c r="AE395" i="18"/>
  <c r="AI395" i="18"/>
  <c r="AF395" i="18"/>
  <c r="AK436" i="18"/>
  <c r="AJ436" i="18"/>
  <c r="AN436" i="18"/>
  <c r="AF436" i="18"/>
  <c r="AH436" i="18"/>
  <c r="AM436" i="18"/>
  <c r="AE436" i="18"/>
  <c r="AG436" i="18"/>
  <c r="AL436" i="18"/>
  <c r="AI436" i="18"/>
  <c r="AN392" i="18"/>
  <c r="AE392" i="18"/>
  <c r="AF392" i="18"/>
  <c r="AG392" i="18"/>
  <c r="AH392" i="18"/>
  <c r="AI392" i="18"/>
  <c r="AJ392" i="18"/>
  <c r="AK392" i="18"/>
  <c r="AL392" i="18"/>
  <c r="AM392" i="18"/>
  <c r="AJ391" i="18"/>
  <c r="AK391" i="18"/>
  <c r="AM391" i="18"/>
  <c r="AN391" i="18"/>
  <c r="AE391" i="18"/>
  <c r="AF391" i="18"/>
  <c r="AG391" i="18"/>
  <c r="AH391" i="18"/>
  <c r="AI391" i="18"/>
  <c r="AL391" i="18"/>
  <c r="AF406" i="18"/>
  <c r="AI406" i="18"/>
  <c r="AN406" i="18"/>
  <c r="AE406" i="18"/>
  <c r="AM406" i="18"/>
  <c r="AG406" i="18"/>
  <c r="AH406" i="18"/>
  <c r="AJ406" i="18"/>
  <c r="AK406" i="18"/>
  <c r="AL406" i="18"/>
  <c r="AG421" i="18"/>
  <c r="AH421" i="18"/>
  <c r="AJ421" i="18"/>
  <c r="AK421" i="18"/>
  <c r="AL421" i="18"/>
  <c r="AM421" i="18"/>
  <c r="AN421" i="18"/>
  <c r="AE421" i="18"/>
  <c r="AF421" i="18"/>
  <c r="AI421" i="18"/>
  <c r="S188" i="18"/>
  <c r="O334" i="19" s="1"/>
  <c r="O37" i="19"/>
  <c r="O338" i="19"/>
  <c r="E49" i="19"/>
  <c r="AH427" i="18"/>
  <c r="AI427" i="18"/>
  <c r="AK427" i="18"/>
  <c r="AL427" i="18"/>
  <c r="AM427" i="18"/>
  <c r="AN427" i="18"/>
  <c r="AE427" i="18"/>
  <c r="AF427" i="18"/>
  <c r="AJ427" i="18"/>
  <c r="AG427" i="18"/>
  <c r="AI409" i="18"/>
  <c r="AJ409" i="18"/>
  <c r="AL409" i="18"/>
  <c r="AM409" i="18"/>
  <c r="AN409" i="18"/>
  <c r="AE409" i="18"/>
  <c r="AF409" i="18"/>
  <c r="AG409" i="18"/>
  <c r="AH409" i="18"/>
  <c r="AK409" i="18"/>
  <c r="E47" i="19"/>
  <c r="E60" i="19"/>
  <c r="AL399" i="18"/>
  <c r="AM399" i="18"/>
  <c r="AE399" i="18"/>
  <c r="AF399" i="18"/>
  <c r="AG399" i="18"/>
  <c r="AH399" i="18"/>
  <c r="AI399" i="18"/>
  <c r="AJ399" i="18"/>
  <c r="AK399" i="18"/>
  <c r="AN399" i="18"/>
  <c r="AK443" i="18"/>
  <c r="AL443" i="18"/>
  <c r="AN443" i="18"/>
  <c r="AE443" i="18"/>
  <c r="AF443" i="18"/>
  <c r="AG443" i="18"/>
  <c r="AH443" i="18"/>
  <c r="AI443" i="18"/>
  <c r="AJ443" i="18"/>
  <c r="AM443" i="18"/>
  <c r="E336" i="19"/>
  <c r="AK416" i="18"/>
  <c r="AL416" i="18"/>
  <c r="AN416" i="18"/>
  <c r="AE416" i="18"/>
  <c r="AF416" i="18"/>
  <c r="AG416" i="18"/>
  <c r="AH416" i="18"/>
  <c r="AI416" i="18"/>
  <c r="AM416" i="18"/>
  <c r="AJ416" i="18"/>
  <c r="AE396" i="18"/>
  <c r="AG396" i="18"/>
  <c r="AH396" i="18"/>
  <c r="AI396" i="18"/>
  <c r="AJ396" i="18"/>
  <c r="AK396" i="18"/>
  <c r="AL396" i="18"/>
  <c r="AM396" i="18"/>
  <c r="AN396" i="18"/>
  <c r="AF396" i="18"/>
  <c r="M22" i="19"/>
  <c r="AJ383" i="18"/>
  <c r="AK383" i="18"/>
  <c r="AM383" i="18"/>
  <c r="AN383" i="18"/>
  <c r="AE383" i="18"/>
  <c r="AF383" i="18"/>
  <c r="AG383" i="18"/>
  <c r="AH383" i="18"/>
  <c r="AI383" i="18"/>
  <c r="AL383" i="18"/>
  <c r="AF393" i="18"/>
  <c r="AG393" i="18"/>
  <c r="AI393" i="18"/>
  <c r="AJ393" i="18"/>
  <c r="AK393" i="18"/>
  <c r="AL393" i="18"/>
  <c r="AM393" i="18"/>
  <c r="AN393" i="18"/>
  <c r="AE393" i="18"/>
  <c r="AH393" i="18"/>
  <c r="AH394" i="18"/>
  <c r="AI394" i="18"/>
  <c r="AK394" i="18"/>
  <c r="AL394" i="18"/>
  <c r="AM394" i="18"/>
  <c r="AN394" i="18"/>
  <c r="AE394" i="18"/>
  <c r="AF394" i="18"/>
  <c r="AG394" i="18"/>
  <c r="AJ394" i="18"/>
  <c r="E313" i="19"/>
  <c r="AI387" i="18"/>
  <c r="AJ387" i="18"/>
  <c r="AL387" i="18"/>
  <c r="AM387" i="18"/>
  <c r="AN387" i="18"/>
  <c r="AE387" i="18"/>
  <c r="AF387" i="18"/>
  <c r="AG387" i="18"/>
  <c r="AH387" i="18"/>
  <c r="AK387" i="18"/>
  <c r="AF437" i="18"/>
  <c r="AG437" i="18"/>
  <c r="AI437" i="18"/>
  <c r="AJ437" i="18"/>
  <c r="AK437" i="18"/>
  <c r="AL437" i="18"/>
  <c r="AM437" i="18"/>
  <c r="AN437" i="18"/>
  <c r="AE437" i="18"/>
  <c r="AH437" i="18"/>
  <c r="AL400" i="18"/>
  <c r="AM400" i="18"/>
  <c r="AE400" i="18"/>
  <c r="AF400" i="18"/>
  <c r="AG400" i="18"/>
  <c r="AH400" i="18"/>
  <c r="AI400" i="18"/>
  <c r="AJ400" i="18"/>
  <c r="AK400" i="18"/>
  <c r="AN400" i="18"/>
  <c r="J351" i="19"/>
  <c r="J351" i="23" s="1"/>
  <c r="AF438" i="18"/>
  <c r="AG438" i="18"/>
  <c r="AH438" i="18"/>
  <c r="AI438" i="18"/>
  <c r="AJ438" i="18"/>
  <c r="AK438" i="18"/>
  <c r="AL438" i="18"/>
  <c r="AM438" i="18"/>
  <c r="AE438" i="18"/>
  <c r="AN438" i="18"/>
  <c r="AK412" i="18"/>
  <c r="AL412" i="18"/>
  <c r="AN412" i="18"/>
  <c r="AE412" i="18"/>
  <c r="AF412" i="18"/>
  <c r="AG412" i="18"/>
  <c r="AH412" i="18"/>
  <c r="AI412" i="18"/>
  <c r="AJ412" i="18"/>
  <c r="AM412" i="18"/>
  <c r="C412" i="19"/>
  <c r="C424" i="19"/>
  <c r="E303" i="19"/>
  <c r="E212" i="19"/>
  <c r="J402" i="19"/>
  <c r="J402" i="23" s="1"/>
  <c r="E381" i="19"/>
  <c r="E145" i="19"/>
  <c r="E437" i="19"/>
  <c r="E426" i="23" s="1"/>
  <c r="E289" i="19"/>
  <c r="E36" i="23" s="1"/>
  <c r="E39" i="19"/>
  <c r="E74" i="19"/>
  <c r="E74" i="23" s="1"/>
  <c r="E309" i="19"/>
  <c r="E90" i="19"/>
  <c r="E83" i="23" s="1"/>
  <c r="E97" i="19"/>
  <c r="E201" i="19"/>
  <c r="E288" i="19"/>
  <c r="E34" i="23" s="1"/>
  <c r="E346" i="19"/>
  <c r="J205" i="19"/>
  <c r="J205" i="23" s="1"/>
  <c r="E285" i="19"/>
  <c r="E18" i="23" s="1"/>
  <c r="E202" i="19"/>
  <c r="E202" i="23" s="1"/>
  <c r="E328" i="19"/>
  <c r="E162" i="19"/>
  <c r="E194" i="19"/>
  <c r="E50" i="23" s="1"/>
  <c r="K37" i="19"/>
  <c r="K206" i="19"/>
  <c r="K76" i="19"/>
  <c r="K46" i="19"/>
  <c r="K266" i="19"/>
  <c r="K199" i="19"/>
  <c r="K185" i="19"/>
  <c r="K49" i="19"/>
  <c r="K306" i="19"/>
  <c r="K31" i="19"/>
  <c r="E441" i="19"/>
  <c r="E427" i="23" s="1"/>
  <c r="M50" i="19"/>
  <c r="M414" i="19"/>
  <c r="M383" i="19"/>
  <c r="M223" i="19"/>
  <c r="M371" i="19"/>
  <c r="M30" i="19"/>
  <c r="M330" i="19"/>
  <c r="M126" i="19"/>
  <c r="M296" i="19"/>
  <c r="M177" i="19"/>
  <c r="M6" i="19"/>
  <c r="K412" i="19"/>
  <c r="M326" i="19"/>
  <c r="E418" i="19"/>
  <c r="E435" i="23" s="1"/>
  <c r="K438" i="19"/>
  <c r="M420" i="19"/>
  <c r="M418" i="19"/>
  <c r="K388" i="19"/>
  <c r="K439" i="19"/>
  <c r="K392" i="19"/>
  <c r="M79" i="19"/>
  <c r="M23" i="19"/>
  <c r="E430" i="19"/>
  <c r="M172" i="19"/>
  <c r="E358" i="19"/>
  <c r="M111" i="19"/>
  <c r="J377" i="19"/>
  <c r="J377" i="23" s="1"/>
  <c r="E88" i="19"/>
  <c r="M66" i="19"/>
  <c r="M213" i="19"/>
  <c r="M320" i="19"/>
  <c r="M217" i="19"/>
  <c r="M438" i="19"/>
  <c r="M194" i="19"/>
  <c r="E401" i="19"/>
  <c r="E401" i="23" s="1"/>
  <c r="E433" i="19"/>
  <c r="M266" i="19"/>
  <c r="M316" i="19"/>
  <c r="M221" i="19"/>
  <c r="M178" i="19"/>
  <c r="G401" i="19"/>
  <c r="M29" i="19"/>
  <c r="M232" i="19"/>
  <c r="M344" i="19"/>
  <c r="M251" i="19"/>
  <c r="M257" i="19"/>
  <c r="M103" i="19"/>
  <c r="M283" i="19"/>
  <c r="M86" i="19"/>
  <c r="M202" i="19"/>
  <c r="I57" i="19"/>
  <c r="M93" i="19"/>
  <c r="M272" i="19"/>
  <c r="I135" i="19"/>
  <c r="M338" i="19"/>
  <c r="M151" i="19"/>
  <c r="M45" i="19"/>
  <c r="M75" i="19"/>
  <c r="M421" i="19"/>
  <c r="M195" i="19"/>
  <c r="M141" i="19"/>
  <c r="M2" i="19"/>
  <c r="M33" i="19"/>
  <c r="M70" i="19"/>
  <c r="M268" i="19"/>
  <c r="M305" i="19"/>
  <c r="M362" i="19"/>
  <c r="M369" i="19"/>
  <c r="M204" i="19"/>
  <c r="E141" i="19"/>
  <c r="M175" i="19"/>
  <c r="M63" i="19"/>
  <c r="M212" i="19"/>
  <c r="M374" i="19"/>
  <c r="M286" i="19"/>
  <c r="M164" i="19"/>
  <c r="M57" i="19"/>
  <c r="M176" i="19"/>
  <c r="M90" i="19"/>
  <c r="M237" i="19"/>
  <c r="M145" i="19"/>
  <c r="M179" i="19"/>
  <c r="M304" i="19"/>
  <c r="M10" i="19"/>
  <c r="M346" i="19"/>
  <c r="M408" i="19"/>
  <c r="M394" i="19"/>
  <c r="E103" i="19"/>
  <c r="M311" i="19"/>
  <c r="E379" i="19"/>
  <c r="E379" i="23" s="1"/>
  <c r="M170" i="19"/>
  <c r="M400" i="19"/>
  <c r="M354" i="19"/>
  <c r="M15" i="19"/>
  <c r="M249" i="19"/>
  <c r="G254" i="19"/>
  <c r="M234" i="19"/>
  <c r="M67" i="19"/>
  <c r="M403" i="19"/>
  <c r="M228" i="19"/>
  <c r="M351" i="19"/>
  <c r="M303" i="19"/>
  <c r="M44" i="19"/>
  <c r="M290" i="19"/>
  <c r="M102" i="19"/>
  <c r="M32" i="19"/>
  <c r="M238" i="19"/>
  <c r="M9" i="19"/>
  <c r="M396" i="19"/>
  <c r="M149" i="19"/>
  <c r="M282" i="19"/>
  <c r="E272" i="19"/>
  <c r="E355" i="19"/>
  <c r="E98" i="23" s="1"/>
  <c r="E443" i="19"/>
  <c r="E443" i="23" s="1"/>
  <c r="M289" i="19"/>
  <c r="M18" i="19"/>
  <c r="M214" i="19"/>
  <c r="M203" i="19"/>
  <c r="M120" i="19"/>
  <c r="M365" i="19"/>
  <c r="M389" i="19"/>
  <c r="E181" i="19"/>
  <c r="M142" i="19"/>
  <c r="M8" i="19"/>
  <c r="M245" i="19"/>
  <c r="M139" i="19"/>
  <c r="M19" i="19"/>
  <c r="M184" i="19"/>
  <c r="M436" i="19"/>
  <c r="M112" i="19"/>
  <c r="M211" i="19"/>
  <c r="M209" i="19"/>
  <c r="M95" i="19"/>
  <c r="M301" i="19"/>
  <c r="E400" i="19"/>
  <c r="E82" i="19"/>
  <c r="M373" i="19"/>
  <c r="M256" i="19"/>
  <c r="M117" i="19"/>
  <c r="M260" i="19"/>
  <c r="E238" i="19"/>
  <c r="M150" i="19"/>
  <c r="M336" i="19"/>
  <c r="M342" i="19"/>
  <c r="E19" i="19"/>
  <c r="M274" i="19"/>
  <c r="M48" i="19"/>
  <c r="M276" i="19"/>
  <c r="M248" i="19"/>
  <c r="M40" i="19"/>
  <c r="M377" i="19"/>
  <c r="M89" i="19"/>
  <c r="M352" i="19"/>
  <c r="M55" i="19"/>
  <c r="M71" i="19"/>
  <c r="M259" i="19"/>
  <c r="M28" i="19"/>
  <c r="M108" i="19"/>
  <c r="M288" i="19"/>
  <c r="M364" i="19"/>
  <c r="M225" i="19"/>
  <c r="M345" i="19"/>
  <c r="M81" i="19"/>
  <c r="M122" i="19"/>
  <c r="M189" i="19"/>
  <c r="M239" i="19"/>
  <c r="E108" i="19"/>
  <c r="M197" i="19"/>
  <c r="M104" i="19"/>
  <c r="M219" i="19"/>
  <c r="M25" i="19"/>
  <c r="M379" i="19"/>
  <c r="M193" i="19"/>
  <c r="M72" i="19"/>
  <c r="E159" i="19"/>
  <c r="E40" i="23" s="1"/>
  <c r="M134" i="19"/>
  <c r="M20" i="19"/>
  <c r="M297" i="19"/>
  <c r="M125" i="19"/>
  <c r="M110" i="19"/>
  <c r="M431" i="19"/>
  <c r="M62" i="19"/>
  <c r="M206" i="19"/>
  <c r="M240" i="19"/>
  <c r="M34" i="19"/>
  <c r="M375" i="19"/>
  <c r="M216" i="19"/>
  <c r="M200" i="19"/>
  <c r="M174" i="19"/>
  <c r="M130" i="19"/>
  <c r="M242" i="19"/>
  <c r="J181" i="19"/>
  <c r="J126" i="23" s="1"/>
  <c r="M227" i="19"/>
  <c r="M426" i="19"/>
  <c r="M412" i="19"/>
  <c r="M229" i="19"/>
  <c r="E183" i="19"/>
  <c r="E117" i="19"/>
  <c r="E117" i="23" s="1"/>
  <c r="M230" i="19"/>
  <c r="M153" i="19"/>
  <c r="M144" i="19"/>
  <c r="M366" i="19"/>
  <c r="M328" i="19"/>
  <c r="M222" i="19"/>
  <c r="M430" i="19"/>
  <c r="M215" i="19"/>
  <c r="M161" i="19"/>
  <c r="M334" i="19"/>
  <c r="M131" i="19"/>
  <c r="M314" i="19"/>
  <c r="M160" i="19"/>
  <c r="M440" i="19"/>
  <c r="M279" i="19"/>
  <c r="M287" i="19"/>
  <c r="M360" i="19"/>
  <c r="M64" i="19"/>
  <c r="M250" i="19"/>
  <c r="M333" i="19"/>
  <c r="M138" i="19"/>
  <c r="M339" i="19"/>
  <c r="M205" i="19"/>
  <c r="M76" i="19"/>
  <c r="M284" i="19"/>
  <c r="M341" i="19"/>
  <c r="M241" i="19"/>
  <c r="M185" i="19"/>
  <c r="M52" i="19"/>
  <c r="M441" i="19"/>
  <c r="M244" i="19"/>
  <c r="E209" i="19"/>
  <c r="M37" i="19"/>
  <c r="M317" i="19"/>
  <c r="M309" i="19"/>
  <c r="M347" i="19"/>
  <c r="M192" i="19"/>
  <c r="E169" i="19"/>
  <c r="M115" i="19"/>
  <c r="M252" i="19"/>
  <c r="M433" i="19"/>
  <c r="M406" i="19"/>
  <c r="M3" i="19"/>
  <c r="M181" i="19"/>
  <c r="M261" i="19"/>
  <c r="M397" i="19"/>
  <c r="M210" i="19"/>
  <c r="M56" i="19"/>
  <c r="E271" i="19"/>
  <c r="M105" i="19"/>
  <c r="M302" i="19"/>
  <c r="M419" i="19"/>
  <c r="M442" i="19"/>
  <c r="E191" i="19"/>
  <c r="M82" i="19"/>
  <c r="M410" i="19"/>
  <c r="M443" i="19"/>
  <c r="M113" i="19"/>
  <c r="M280" i="19"/>
  <c r="M168" i="19"/>
  <c r="M78" i="19"/>
  <c r="M392" i="19"/>
  <c r="M83" i="19"/>
  <c r="E100" i="19"/>
  <c r="C278" i="19"/>
  <c r="E239" i="19"/>
  <c r="M114" i="19"/>
  <c r="M182" i="19"/>
  <c r="M220" i="19"/>
  <c r="M321" i="19"/>
  <c r="M295" i="19"/>
  <c r="M355" i="19"/>
  <c r="M235" i="19"/>
  <c r="M43" i="19"/>
  <c r="M306" i="19"/>
  <c r="M13" i="19"/>
  <c r="M323" i="19"/>
  <c r="M171" i="19"/>
  <c r="M368" i="19"/>
  <c r="E96" i="19"/>
  <c r="M270" i="19"/>
  <c r="M84" i="19"/>
  <c r="M14" i="19"/>
  <c r="M49" i="19"/>
  <c r="M24" i="19"/>
  <c r="M74" i="19"/>
  <c r="M173" i="19"/>
  <c r="M291" i="19"/>
  <c r="M17" i="19"/>
  <c r="M91" i="19"/>
  <c r="M98" i="19"/>
  <c r="M367" i="19"/>
  <c r="M308" i="19"/>
  <c r="M180" i="19"/>
  <c r="M132" i="19"/>
  <c r="M196" i="19"/>
  <c r="M167" i="19"/>
  <c r="M36" i="19"/>
  <c r="M293" i="19"/>
  <c r="M299" i="19"/>
  <c r="M101" i="19"/>
  <c r="M69" i="19"/>
  <c r="M247" i="19"/>
  <c r="M405" i="19"/>
  <c r="M118" i="19"/>
  <c r="M68" i="19"/>
  <c r="E334" i="19"/>
  <c r="E334" i="23" s="1"/>
  <c r="M409" i="19"/>
  <c r="M271" i="19"/>
  <c r="M159" i="19"/>
  <c r="M315" i="19"/>
  <c r="M207" i="19"/>
  <c r="M401" i="19"/>
  <c r="M411" i="19"/>
  <c r="M432" i="19"/>
  <c r="M357" i="19"/>
  <c r="M169" i="19"/>
  <c r="M340" i="19"/>
  <c r="M429" i="19"/>
  <c r="M278" i="19"/>
  <c r="M137" i="19"/>
  <c r="M329" i="19"/>
  <c r="M21" i="19"/>
  <c r="M116" i="19"/>
  <c r="M277" i="19"/>
  <c r="M5" i="19"/>
  <c r="M106" i="19"/>
  <c r="M163" i="19"/>
  <c r="M402" i="19"/>
  <c r="M258" i="19"/>
  <c r="M157" i="19"/>
  <c r="M146" i="19"/>
  <c r="M407" i="19"/>
  <c r="M107" i="19"/>
  <c r="M65" i="19"/>
  <c r="M190" i="19"/>
  <c r="M353" i="19"/>
  <c r="M183" i="19"/>
  <c r="M294" i="19"/>
  <c r="M423" i="19"/>
  <c r="M398" i="19"/>
  <c r="M186" i="19"/>
  <c r="M80" i="19"/>
  <c r="M324" i="19"/>
  <c r="M349" i="19"/>
  <c r="M372" i="19"/>
  <c r="M154" i="19"/>
  <c r="M127" i="19"/>
  <c r="M318" i="19"/>
  <c r="M428" i="19"/>
  <c r="M381" i="19"/>
  <c r="M246" i="19"/>
  <c r="M97" i="19"/>
  <c r="M54" i="19"/>
  <c r="M94" i="19"/>
  <c r="M96" i="19"/>
  <c r="M208" i="19"/>
  <c r="M128" i="19"/>
  <c r="M38" i="19"/>
  <c r="M61" i="19"/>
  <c r="M300" i="19"/>
  <c r="M267" i="19"/>
  <c r="M236" i="19"/>
  <c r="M26" i="19"/>
  <c r="M273" i="19"/>
  <c r="M378" i="19"/>
  <c r="M191" i="19"/>
  <c r="M253" i="19"/>
  <c r="M188" i="19"/>
  <c r="M416" i="19"/>
  <c r="M425" i="19"/>
  <c r="M158" i="19"/>
  <c r="M319" i="19"/>
  <c r="M27" i="19"/>
  <c r="M437" i="19"/>
  <c r="M331" i="19"/>
  <c r="M4" i="19"/>
  <c r="M435" i="19"/>
  <c r="M376" i="19"/>
  <c r="M427" i="19"/>
  <c r="M390" i="19"/>
  <c r="M254" i="19"/>
  <c r="M370" i="19"/>
  <c r="M332" i="19"/>
  <c r="E21" i="19"/>
  <c r="M424" i="19"/>
  <c r="M166" i="19"/>
  <c r="M385" i="19"/>
  <c r="M413" i="19"/>
  <c r="M264" i="19"/>
  <c r="M358" i="19"/>
  <c r="M380" i="19"/>
  <c r="M124" i="19"/>
  <c r="M85" i="19"/>
  <c r="M262" i="19"/>
  <c r="M165" i="19"/>
  <c r="M12" i="19"/>
  <c r="M363" i="19"/>
  <c r="M439" i="19"/>
  <c r="M121" i="19"/>
  <c r="M361" i="19"/>
  <c r="M187" i="19"/>
  <c r="M382" i="19"/>
  <c r="E348" i="19"/>
  <c r="E68" i="19"/>
  <c r="E28" i="19"/>
  <c r="E231" i="19"/>
  <c r="M155" i="19"/>
  <c r="M123" i="19"/>
  <c r="M77" i="19"/>
  <c r="M60" i="19"/>
  <c r="M384" i="19"/>
  <c r="M348" i="19"/>
  <c r="M393" i="19"/>
  <c r="M233" i="19"/>
  <c r="M285" i="19"/>
  <c r="M42" i="19"/>
  <c r="M231" i="19"/>
  <c r="M269" i="19"/>
  <c r="M422" i="19"/>
  <c r="M140" i="19"/>
  <c r="M337" i="19"/>
  <c r="M39" i="19"/>
  <c r="M359" i="19"/>
  <c r="M136" i="19"/>
  <c r="E344" i="19"/>
  <c r="M133" i="19"/>
  <c r="M387" i="19"/>
  <c r="M129" i="19"/>
  <c r="M162" i="19"/>
  <c r="M53" i="19"/>
  <c r="M322" i="19"/>
  <c r="M198" i="19"/>
  <c r="M73" i="19"/>
  <c r="M310" i="19"/>
  <c r="M148" i="19"/>
  <c r="M391" i="19"/>
  <c r="M152" i="19"/>
  <c r="M11" i="19"/>
  <c r="M100" i="19"/>
  <c r="M434" i="19"/>
  <c r="M415" i="19"/>
  <c r="M201" i="19"/>
  <c r="M47" i="19"/>
  <c r="M99" i="19"/>
  <c r="M417" i="19"/>
  <c r="M59" i="19"/>
  <c r="M255" i="19"/>
  <c r="M226" i="19"/>
  <c r="M218" i="19"/>
  <c r="M243" i="19"/>
  <c r="M335" i="19"/>
  <c r="M41" i="19"/>
  <c r="M199" i="19"/>
  <c r="M343" i="19"/>
  <c r="C125" i="19"/>
  <c r="E416" i="19"/>
  <c r="E341" i="19"/>
  <c r="M31" i="19"/>
  <c r="M109" i="19"/>
  <c r="M224" i="19"/>
  <c r="M281" i="19"/>
  <c r="M404" i="19"/>
  <c r="M307" i="19"/>
  <c r="M46" i="19"/>
  <c r="M7" i="19"/>
  <c r="M356" i="19"/>
  <c r="J55" i="19"/>
  <c r="J55" i="23" s="1"/>
  <c r="E164" i="19"/>
  <c r="M388" i="19"/>
  <c r="M87" i="19"/>
  <c r="M395" i="19"/>
  <c r="M263" i="19"/>
  <c r="M292" i="19"/>
  <c r="M313" i="19"/>
  <c r="M350" i="19"/>
  <c r="M325" i="19"/>
  <c r="M51" i="19"/>
  <c r="M16" i="19"/>
  <c r="M92" i="19"/>
  <c r="M312" i="19"/>
  <c r="M265" i="19"/>
  <c r="M135" i="19"/>
  <c r="M88" i="19"/>
  <c r="M143" i="19"/>
  <c r="M147" i="19"/>
  <c r="M386" i="19"/>
  <c r="M156" i="19"/>
  <c r="M298" i="19"/>
  <c r="M275" i="19"/>
  <c r="M327" i="19"/>
  <c r="M58" i="19"/>
  <c r="M399" i="19"/>
  <c r="M119" i="19"/>
  <c r="M35" i="19"/>
  <c r="R330" i="18"/>
  <c r="R363" i="18"/>
  <c r="R376" i="18"/>
  <c r="R432" i="18"/>
  <c r="R431" i="18"/>
  <c r="R372" i="18"/>
  <c r="R355" i="18"/>
  <c r="R370" i="18"/>
  <c r="G114" i="19"/>
  <c r="C324" i="19"/>
  <c r="R329" i="18"/>
  <c r="G211" i="19"/>
  <c r="G136" i="19"/>
  <c r="R341" i="18"/>
  <c r="C305" i="19"/>
  <c r="R367" i="18"/>
  <c r="R332" i="18"/>
  <c r="C316" i="19"/>
  <c r="R343" i="18"/>
  <c r="E333" i="19"/>
  <c r="I443" i="19"/>
  <c r="C359" i="19"/>
  <c r="E353" i="19"/>
  <c r="C323" i="19"/>
  <c r="E107" i="19"/>
  <c r="C347" i="19"/>
  <c r="E240" i="19"/>
  <c r="E112" i="23" s="1"/>
  <c r="C193" i="19"/>
  <c r="G138" i="19"/>
  <c r="R366" i="18"/>
  <c r="E25" i="19"/>
  <c r="E25" i="23" s="1"/>
  <c r="C381" i="19"/>
  <c r="E204" i="19"/>
  <c r="E131" i="19"/>
  <c r="E131" i="23" s="1"/>
  <c r="C242" i="19"/>
  <c r="C233" i="19"/>
  <c r="E440" i="19"/>
  <c r="E3" i="19"/>
  <c r="G273" i="19"/>
  <c r="R340" i="18"/>
  <c r="R354" i="18"/>
  <c r="C42" i="19"/>
  <c r="C192" i="19"/>
  <c r="G148" i="19"/>
  <c r="C69" i="19"/>
  <c r="R368" i="18"/>
  <c r="E147" i="19"/>
  <c r="R443" i="18"/>
  <c r="C292" i="19"/>
  <c r="C270" i="19"/>
  <c r="E12" i="19"/>
  <c r="G241" i="19"/>
  <c r="C272" i="19"/>
  <c r="E109" i="19"/>
  <c r="R337" i="18"/>
  <c r="E149" i="19"/>
  <c r="C325" i="19"/>
  <c r="E221" i="19"/>
  <c r="R442" i="18"/>
  <c r="G183" i="19"/>
  <c r="E52" i="19"/>
  <c r="E200" i="23" s="1"/>
  <c r="G37" i="19"/>
  <c r="R349" i="18"/>
  <c r="G110" i="19"/>
  <c r="G126" i="19"/>
  <c r="E207" i="19"/>
  <c r="E244" i="19"/>
  <c r="E380" i="19"/>
  <c r="C302" i="19"/>
  <c r="R441" i="18"/>
  <c r="R427" i="18"/>
  <c r="C290" i="19"/>
  <c r="E425" i="19"/>
  <c r="C265" i="19"/>
  <c r="E411" i="19"/>
  <c r="C430" i="19"/>
  <c r="C182" i="19"/>
  <c r="C152" i="19"/>
  <c r="C418" i="19"/>
  <c r="E172" i="19"/>
  <c r="R359" i="18"/>
  <c r="E106" i="19"/>
  <c r="C224" i="19"/>
  <c r="C119" i="19"/>
  <c r="G422" i="19"/>
  <c r="G112" i="19"/>
  <c r="E246" i="19"/>
  <c r="C186" i="19"/>
  <c r="C283" i="19"/>
  <c r="R328" i="18"/>
  <c r="E296" i="19"/>
  <c r="E264" i="19"/>
  <c r="E345" i="19"/>
  <c r="C75" i="19"/>
  <c r="C256" i="19"/>
  <c r="C234" i="19"/>
  <c r="E69" i="19"/>
  <c r="E268" i="19"/>
  <c r="E373" i="19"/>
  <c r="E85" i="23" s="1"/>
  <c r="G276" i="19"/>
  <c r="C191" i="19"/>
  <c r="I434" i="19"/>
  <c r="E71" i="19"/>
  <c r="E236" i="19"/>
  <c r="G207" i="19"/>
  <c r="C80" i="19"/>
  <c r="E375" i="19"/>
  <c r="C299" i="19"/>
  <c r="G409" i="19"/>
  <c r="E125" i="19"/>
  <c r="E350" i="19"/>
  <c r="E350" i="23" s="1"/>
  <c r="G173" i="19"/>
  <c r="E227" i="19"/>
  <c r="C269" i="19"/>
  <c r="C245" i="19"/>
  <c r="E253" i="19"/>
  <c r="C404" i="19"/>
  <c r="I359" i="19"/>
  <c r="C410" i="19"/>
  <c r="C267" i="19"/>
  <c r="C221" i="19"/>
  <c r="C362" i="19"/>
  <c r="E374" i="19"/>
  <c r="E206" i="23" s="1"/>
  <c r="E389" i="19"/>
  <c r="E391" i="23" s="1"/>
  <c r="J414" i="19"/>
  <c r="J406" i="23" s="1"/>
  <c r="E64" i="19"/>
  <c r="C171" i="19"/>
  <c r="C183" i="19"/>
  <c r="E87" i="19"/>
  <c r="E247" i="19"/>
  <c r="C20" i="19"/>
  <c r="C84" i="19"/>
  <c r="E72" i="19"/>
  <c r="C408" i="19"/>
  <c r="C38" i="19"/>
  <c r="C391" i="19"/>
  <c r="E315" i="19"/>
  <c r="E315" i="23" s="1"/>
  <c r="E399" i="19"/>
  <c r="E406" i="23" s="1"/>
  <c r="G192" i="19"/>
  <c r="E370" i="19"/>
  <c r="E267" i="19"/>
  <c r="E170" i="19"/>
  <c r="E286" i="19"/>
  <c r="E339" i="19"/>
  <c r="E339" i="23" s="1"/>
  <c r="E331" i="19"/>
  <c r="J188" i="19"/>
  <c r="J188" i="23" s="1"/>
  <c r="C349" i="19"/>
  <c r="C309" i="19"/>
  <c r="G8" i="19"/>
  <c r="I52" i="19"/>
  <c r="C236" i="19"/>
  <c r="E137" i="19"/>
  <c r="E329" i="19"/>
  <c r="C82" i="19"/>
  <c r="E224" i="19"/>
  <c r="C289" i="19"/>
  <c r="G25" i="19"/>
  <c r="C49" i="19"/>
  <c r="C420" i="19"/>
  <c r="C162" i="19"/>
  <c r="E84" i="19"/>
  <c r="E70" i="19"/>
  <c r="C175" i="19"/>
  <c r="E308" i="19"/>
  <c r="E86" i="19"/>
  <c r="C329" i="19"/>
  <c r="E26" i="19"/>
  <c r="E26" i="23" s="1"/>
  <c r="C268" i="19"/>
  <c r="C161" i="19"/>
  <c r="G328" i="19"/>
  <c r="C39" i="19"/>
  <c r="C147" i="19"/>
  <c r="C19" i="19"/>
  <c r="C33" i="19"/>
  <c r="G277" i="19"/>
  <c r="C29" i="19"/>
  <c r="G31" i="19"/>
  <c r="G339" i="19"/>
  <c r="G337" i="19"/>
  <c r="I128" i="19"/>
  <c r="G306" i="19"/>
  <c r="G83" i="19"/>
  <c r="C416" i="19"/>
  <c r="C264" i="19"/>
  <c r="C76" i="19"/>
  <c r="G319" i="19"/>
  <c r="C100" i="19"/>
  <c r="C334" i="19"/>
  <c r="I261" i="19"/>
  <c r="C255" i="19"/>
  <c r="C130" i="19"/>
  <c r="G406" i="19"/>
  <c r="C11" i="19"/>
  <c r="C89" i="19"/>
  <c r="G215" i="19"/>
  <c r="C63" i="19"/>
  <c r="C148" i="19"/>
  <c r="C26" i="19"/>
  <c r="E8" i="19"/>
  <c r="E8" i="23" s="1"/>
  <c r="C312" i="19"/>
  <c r="C108" i="19"/>
  <c r="E158" i="19"/>
  <c r="C128" i="19"/>
  <c r="C5" i="19"/>
  <c r="E119" i="19"/>
  <c r="C388" i="19"/>
  <c r="C74" i="19"/>
  <c r="E297" i="19"/>
  <c r="C213" i="19"/>
  <c r="G436" i="19"/>
  <c r="G94" i="19"/>
  <c r="C150" i="19"/>
  <c r="G157" i="19"/>
  <c r="G376" i="19"/>
  <c r="G412" i="19"/>
  <c r="J347" i="19"/>
  <c r="J347" i="23" s="1"/>
  <c r="C276" i="19"/>
  <c r="C419" i="19"/>
  <c r="G429" i="19"/>
  <c r="E123" i="19"/>
  <c r="C142" i="19"/>
  <c r="C15" i="19"/>
  <c r="C253" i="19"/>
  <c r="E10" i="19"/>
  <c r="E372" i="19"/>
  <c r="I333" i="19"/>
  <c r="G82" i="19"/>
  <c r="E157" i="19"/>
  <c r="C174" i="19"/>
  <c r="C7" i="19"/>
  <c r="C235" i="19"/>
  <c r="C385" i="19"/>
  <c r="C79" i="19"/>
  <c r="C421" i="19"/>
  <c r="C169" i="19"/>
  <c r="I32" i="19"/>
  <c r="E17" i="19"/>
  <c r="E17" i="23" s="1"/>
  <c r="C180" i="19"/>
  <c r="C9" i="19"/>
  <c r="C155" i="19"/>
  <c r="C352" i="19"/>
  <c r="C88" i="19"/>
  <c r="E365" i="19"/>
  <c r="E254" i="19"/>
  <c r="E314" i="23" s="1"/>
  <c r="G236" i="19"/>
  <c r="E152" i="19"/>
  <c r="C314" i="19"/>
  <c r="C226" i="19"/>
  <c r="C371" i="19"/>
  <c r="G398" i="19"/>
  <c r="E33" i="19"/>
  <c r="C222" i="19"/>
  <c r="C228" i="19"/>
  <c r="C201" i="19"/>
  <c r="C383" i="19"/>
  <c r="E249" i="19"/>
  <c r="E62" i="19"/>
  <c r="E66" i="19"/>
  <c r="E139" i="23" s="1"/>
  <c r="I104" i="19"/>
  <c r="C348" i="19"/>
  <c r="E420" i="19"/>
  <c r="E259" i="19"/>
  <c r="C111" i="19"/>
  <c r="C282" i="19"/>
  <c r="C254" i="19"/>
  <c r="C279" i="19"/>
  <c r="C8" i="19"/>
  <c r="G405" i="19"/>
  <c r="E228" i="19"/>
  <c r="C331" i="19"/>
  <c r="C185" i="19"/>
  <c r="C277" i="19"/>
  <c r="E189" i="19"/>
  <c r="G266" i="19"/>
  <c r="G397" i="19"/>
  <c r="E188" i="19"/>
  <c r="C260" i="19"/>
  <c r="C190" i="19"/>
  <c r="C110" i="19"/>
  <c r="I437" i="19"/>
  <c r="E168" i="19"/>
  <c r="E35" i="19"/>
  <c r="C158" i="19"/>
  <c r="C364" i="19"/>
  <c r="C16" i="19"/>
  <c r="C247" i="19"/>
  <c r="E99" i="19"/>
  <c r="G51" i="19"/>
  <c r="E368" i="19"/>
  <c r="C315" i="19"/>
  <c r="C368" i="19"/>
  <c r="C369" i="19"/>
  <c r="C86" i="19"/>
  <c r="C135" i="19"/>
  <c r="C227" i="19"/>
  <c r="E251" i="19"/>
  <c r="G346" i="19"/>
  <c r="E216" i="19"/>
  <c r="C287" i="19"/>
  <c r="C21" i="19"/>
  <c r="E130" i="19"/>
  <c r="E130" i="23" s="1"/>
  <c r="G97" i="19"/>
  <c r="C41" i="19"/>
  <c r="G310" i="19"/>
  <c r="I342" i="19"/>
  <c r="C31" i="19"/>
  <c r="C434" i="19"/>
  <c r="C133" i="19"/>
  <c r="J200" i="19"/>
  <c r="J33" i="23" s="1"/>
  <c r="E126" i="19"/>
  <c r="C375" i="19"/>
  <c r="C114" i="19"/>
  <c r="C415" i="19"/>
  <c r="C136" i="19"/>
  <c r="C170" i="19"/>
  <c r="C71" i="19"/>
  <c r="E177" i="19"/>
  <c r="C257" i="19"/>
  <c r="G166" i="19"/>
  <c r="C115" i="19"/>
  <c r="E229" i="19"/>
  <c r="C232" i="19"/>
  <c r="C137" i="19"/>
  <c r="C281" i="19"/>
  <c r="C339" i="19"/>
  <c r="C164" i="19"/>
  <c r="G317" i="19"/>
  <c r="E298" i="19"/>
  <c r="C322" i="19"/>
  <c r="E322" i="19"/>
  <c r="E322" i="23" s="1"/>
  <c r="C346" i="19"/>
  <c r="G364" i="19"/>
  <c r="C350" i="19"/>
  <c r="C320" i="19"/>
  <c r="I390" i="19"/>
  <c r="I131" i="19"/>
  <c r="I423" i="19"/>
  <c r="G30" i="19"/>
  <c r="G62" i="19"/>
  <c r="C65" i="19"/>
  <c r="I102" i="19"/>
  <c r="C337" i="19"/>
  <c r="C402" i="19"/>
  <c r="C46" i="19"/>
  <c r="C141" i="19"/>
  <c r="C286" i="19"/>
  <c r="C248" i="19"/>
  <c r="R342" i="18"/>
  <c r="G242" i="19"/>
  <c r="I240" i="19"/>
  <c r="E386" i="19"/>
  <c r="C70" i="19"/>
  <c r="C10" i="19"/>
  <c r="C17" i="19"/>
  <c r="C50" i="19"/>
  <c r="C426" i="19"/>
  <c r="E405" i="19"/>
  <c r="C212" i="19"/>
  <c r="I72" i="19"/>
  <c r="I238" i="19"/>
  <c r="I153" i="19"/>
  <c r="C401" i="19"/>
  <c r="C196" i="19"/>
  <c r="G50" i="19"/>
  <c r="I427" i="19"/>
  <c r="I383" i="19"/>
  <c r="I360" i="19"/>
  <c r="C200" i="19"/>
  <c r="C258" i="19"/>
  <c r="C3" i="19"/>
  <c r="C327" i="19"/>
  <c r="C442" i="19"/>
  <c r="C106" i="19"/>
  <c r="G159" i="19"/>
  <c r="C145" i="19"/>
  <c r="E144" i="19"/>
  <c r="C440" i="19"/>
  <c r="E395" i="19"/>
  <c r="C93" i="19"/>
  <c r="C160" i="19"/>
  <c r="E357" i="19"/>
  <c r="C409" i="19"/>
  <c r="G233" i="19"/>
  <c r="G385" i="19"/>
  <c r="C407" i="19"/>
  <c r="C159" i="19"/>
  <c r="G218" i="19"/>
  <c r="E442" i="19"/>
  <c r="E442" i="23" s="1"/>
  <c r="C48" i="19"/>
  <c r="C217" i="19"/>
  <c r="G239" i="19"/>
  <c r="G434" i="19"/>
  <c r="C118" i="19"/>
  <c r="C392" i="19"/>
  <c r="I115" i="19"/>
  <c r="I122" i="19"/>
  <c r="C429" i="19"/>
  <c r="R435" i="18"/>
  <c r="R336" i="18"/>
  <c r="R334" i="18"/>
  <c r="R327" i="18"/>
  <c r="R357" i="18"/>
  <c r="R344" i="18"/>
  <c r="R439" i="18"/>
  <c r="R362" i="18"/>
  <c r="R333" i="18"/>
  <c r="R351" i="18"/>
  <c r="R361" i="18"/>
  <c r="R356" i="18"/>
  <c r="R352" i="18"/>
  <c r="R338" i="18"/>
  <c r="R365" i="18"/>
  <c r="R364" i="18"/>
  <c r="R428" i="18"/>
  <c r="R434" i="18"/>
  <c r="R429" i="18"/>
  <c r="R350" i="18"/>
  <c r="R437" i="18"/>
  <c r="R375" i="18"/>
  <c r="R331" i="18"/>
  <c r="R438" i="18"/>
  <c r="R430" i="18"/>
  <c r="C199" i="19"/>
  <c r="G441" i="19"/>
  <c r="G175" i="19"/>
  <c r="C35" i="19"/>
  <c r="G206" i="19"/>
  <c r="I381" i="19"/>
  <c r="I56" i="19"/>
  <c r="C428" i="19"/>
  <c r="G353" i="19"/>
  <c r="C341" i="19"/>
  <c r="I274" i="19"/>
  <c r="C399" i="19"/>
  <c r="G15" i="19"/>
  <c r="G244" i="19"/>
  <c r="G96" i="19"/>
  <c r="I410" i="19"/>
  <c r="C177" i="19"/>
  <c r="G210" i="19"/>
  <c r="C319" i="19"/>
  <c r="R360" i="18"/>
  <c r="J343" i="18"/>
  <c r="C67" i="19"/>
  <c r="C326" i="19"/>
  <c r="C143" i="19"/>
  <c r="C229" i="19"/>
  <c r="C400" i="19"/>
  <c r="C94" i="19"/>
  <c r="I124" i="19"/>
  <c r="I203" i="19"/>
  <c r="G12" i="19"/>
  <c r="G411" i="19"/>
  <c r="C311" i="19"/>
  <c r="C246" i="19"/>
  <c r="I139" i="19"/>
  <c r="C367" i="19"/>
  <c r="C273" i="19"/>
  <c r="C205" i="19"/>
  <c r="G120" i="19"/>
  <c r="I159" i="19"/>
  <c r="G348" i="19"/>
  <c r="E79" i="19"/>
  <c r="C384" i="19"/>
  <c r="I310" i="19"/>
  <c r="C295" i="19"/>
  <c r="C237" i="19"/>
  <c r="I403" i="19"/>
  <c r="C306" i="19"/>
  <c r="C12" i="19"/>
  <c r="C370" i="19"/>
  <c r="C104" i="19"/>
  <c r="C117" i="19"/>
  <c r="C173" i="19"/>
  <c r="E154" i="19"/>
  <c r="C197" i="19"/>
  <c r="C328" i="19"/>
  <c r="C112" i="19"/>
  <c r="C373" i="19"/>
  <c r="C167" i="19"/>
  <c r="E230" i="19"/>
  <c r="C435" i="19"/>
  <c r="C203" i="19"/>
  <c r="R353" i="18"/>
  <c r="G164" i="19"/>
  <c r="C395" i="19"/>
  <c r="E196" i="19"/>
  <c r="E215" i="19"/>
  <c r="C271" i="19"/>
  <c r="C423" i="19"/>
  <c r="G309" i="19"/>
  <c r="C83" i="19"/>
  <c r="C219" i="19"/>
  <c r="C77" i="19"/>
  <c r="E439" i="19"/>
  <c r="E439" i="23" s="1"/>
  <c r="C4" i="19"/>
  <c r="C262" i="19"/>
  <c r="C153" i="19"/>
  <c r="C34" i="19"/>
  <c r="C376" i="19"/>
  <c r="C64" i="19"/>
  <c r="C263" i="19"/>
  <c r="C2" i="19"/>
  <c r="I277" i="19"/>
  <c r="E376" i="19"/>
  <c r="E166" i="19"/>
  <c r="C156" i="19"/>
  <c r="E276" i="19"/>
  <c r="C68" i="19"/>
  <c r="C417" i="19"/>
  <c r="I23" i="19"/>
  <c r="E364" i="19"/>
  <c r="C57" i="19"/>
  <c r="C317" i="19"/>
  <c r="C357" i="19"/>
  <c r="I66" i="19"/>
  <c r="E269" i="19"/>
  <c r="E278" i="23" s="1"/>
  <c r="C238" i="19"/>
  <c r="C208" i="19"/>
  <c r="C92" i="19"/>
  <c r="C72" i="19"/>
  <c r="C397" i="19"/>
  <c r="C241" i="19"/>
  <c r="C62" i="19"/>
  <c r="C36" i="19"/>
  <c r="C40" i="19"/>
  <c r="C432" i="19"/>
  <c r="E161" i="19"/>
  <c r="C284" i="19"/>
  <c r="I133" i="19"/>
  <c r="G88" i="19"/>
  <c r="G355" i="19"/>
  <c r="E174" i="19"/>
  <c r="E178" i="19"/>
  <c r="C431" i="19"/>
  <c r="C194" i="19"/>
  <c r="C28" i="19"/>
  <c r="C23" i="19"/>
  <c r="C439" i="19"/>
  <c r="G24" i="19"/>
  <c r="G216" i="19"/>
  <c r="C43" i="19"/>
  <c r="C55" i="19"/>
  <c r="C157" i="19"/>
  <c r="C343" i="19"/>
  <c r="C330" i="19"/>
  <c r="C321" i="19"/>
  <c r="I61" i="19"/>
  <c r="G425" i="19"/>
  <c r="G358" i="19"/>
  <c r="C87" i="19"/>
  <c r="C411" i="19"/>
  <c r="C354" i="19"/>
  <c r="C131" i="19"/>
  <c r="C215" i="19"/>
  <c r="G226" i="19"/>
  <c r="E78" i="19"/>
  <c r="C433" i="19"/>
  <c r="C166" i="19"/>
  <c r="C358" i="19"/>
  <c r="C127" i="19"/>
  <c r="G177" i="19"/>
  <c r="C207" i="19"/>
  <c r="C176" i="19"/>
  <c r="C441" i="19"/>
  <c r="C105" i="19"/>
  <c r="G269" i="19"/>
  <c r="C27" i="19"/>
  <c r="C240" i="19"/>
  <c r="E155" i="19"/>
  <c r="E6" i="23" s="1"/>
  <c r="C261" i="19"/>
  <c r="C204" i="19"/>
  <c r="C249" i="19"/>
  <c r="C179" i="19"/>
  <c r="C18" i="19"/>
  <c r="C344" i="19"/>
  <c r="C356" i="19"/>
  <c r="C59" i="19"/>
  <c r="C66" i="19"/>
  <c r="C298" i="19"/>
  <c r="C374" i="19"/>
  <c r="G100" i="19"/>
  <c r="E371" i="19"/>
  <c r="I152" i="19"/>
  <c r="I314" i="19"/>
  <c r="C103" i="19"/>
  <c r="C274" i="19"/>
  <c r="C313" i="19"/>
  <c r="I285" i="19"/>
  <c r="C340" i="19"/>
  <c r="C366" i="19"/>
  <c r="E260" i="19"/>
  <c r="E175" i="19"/>
  <c r="E115" i="19"/>
  <c r="G174" i="19"/>
  <c r="I199" i="19"/>
  <c r="C345" i="19"/>
  <c r="C165" i="19"/>
  <c r="C239" i="19"/>
  <c r="C187" i="19"/>
  <c r="C124" i="19"/>
  <c r="C202" i="19"/>
  <c r="C300" i="19"/>
  <c r="C230" i="19"/>
  <c r="C99" i="19"/>
  <c r="G374" i="19"/>
  <c r="G75" i="19"/>
  <c r="E58" i="19"/>
  <c r="G304" i="19"/>
  <c r="C121" i="19"/>
  <c r="C188" i="19"/>
  <c r="G278" i="19"/>
  <c r="I255" i="19"/>
  <c r="G161" i="19"/>
  <c r="C98" i="19"/>
  <c r="C342" i="19"/>
  <c r="E114" i="19"/>
  <c r="G167" i="19"/>
  <c r="I110" i="19"/>
  <c r="E342" i="19"/>
  <c r="E342" i="23" s="1"/>
  <c r="C134" i="19"/>
  <c r="C25" i="19"/>
  <c r="C97" i="19"/>
  <c r="C113" i="19"/>
  <c r="C129" i="19"/>
  <c r="C116" i="19"/>
  <c r="E46" i="19"/>
  <c r="E46" i="23" s="1"/>
  <c r="C250" i="19"/>
  <c r="C247" i="23" s="1"/>
  <c r="C53" i="19"/>
  <c r="E274" i="19"/>
  <c r="C394" i="19"/>
  <c r="C379" i="19"/>
  <c r="I77" i="19"/>
  <c r="E390" i="19"/>
  <c r="I386" i="19"/>
  <c r="I21" i="19"/>
  <c r="C61" i="19"/>
  <c r="G80" i="19"/>
  <c r="C294" i="19"/>
  <c r="C95" i="19"/>
  <c r="I416" i="19"/>
  <c r="C382" i="19"/>
  <c r="C252" i="19"/>
  <c r="I120" i="19"/>
  <c r="I419" i="19"/>
  <c r="C355" i="19"/>
  <c r="I181" i="19"/>
  <c r="C54" i="19"/>
  <c r="C122" i="19"/>
  <c r="C251" i="19"/>
  <c r="C107" i="19"/>
  <c r="C285" i="19"/>
  <c r="C146" i="19"/>
  <c r="C377" i="19"/>
  <c r="I26" i="19"/>
  <c r="C297" i="19"/>
  <c r="C244" i="19"/>
  <c r="C353" i="19"/>
  <c r="G271" i="19"/>
  <c r="C51" i="19"/>
  <c r="C149" i="19"/>
  <c r="G107" i="19"/>
  <c r="G68" i="19"/>
  <c r="C338" i="19"/>
  <c r="C126" i="19"/>
  <c r="C123" i="19"/>
  <c r="G417" i="19"/>
  <c r="I394" i="19"/>
  <c r="G352" i="19"/>
  <c r="C91" i="19"/>
  <c r="C406" i="19"/>
  <c r="C332" i="19"/>
  <c r="C220" i="19"/>
  <c r="C380" i="19"/>
  <c r="I365" i="19"/>
  <c r="I425" i="19"/>
  <c r="C304" i="19"/>
  <c r="C73" i="19"/>
  <c r="C45" i="19"/>
  <c r="C333" i="19"/>
  <c r="C425" i="19"/>
  <c r="C214" i="19"/>
  <c r="I27" i="19"/>
  <c r="G169" i="19"/>
  <c r="J415" i="19"/>
  <c r="J415" i="23" s="1"/>
  <c r="E330" i="19"/>
  <c r="C293" i="19"/>
  <c r="C427" i="19"/>
  <c r="C209" i="19"/>
  <c r="C102" i="19"/>
  <c r="G198" i="19"/>
  <c r="C422" i="19"/>
  <c r="C398" i="19"/>
  <c r="C396" i="19"/>
  <c r="C318" i="19"/>
  <c r="E42" i="19"/>
  <c r="I10" i="19"/>
  <c r="E394" i="19"/>
  <c r="C163" i="19"/>
  <c r="C60" i="19"/>
  <c r="C144" i="19"/>
  <c r="C58" i="19"/>
  <c r="C413" i="19"/>
  <c r="I424" i="19"/>
  <c r="E101" i="19"/>
  <c r="C81" i="19"/>
  <c r="C437" i="19"/>
  <c r="C154" i="19"/>
  <c r="I438" i="19"/>
  <c r="C211" i="19"/>
  <c r="C109" i="19"/>
  <c r="C206" i="19"/>
  <c r="G20" i="19"/>
  <c r="C181" i="19"/>
  <c r="C56" i="19"/>
  <c r="E332" i="19"/>
  <c r="E151" i="23" s="1"/>
  <c r="C13" i="19"/>
  <c r="C216" i="19"/>
  <c r="C393" i="19"/>
  <c r="C198" i="19"/>
  <c r="G413" i="19"/>
  <c r="G289" i="19"/>
  <c r="C184" i="19"/>
  <c r="E184" i="19"/>
  <c r="E184" i="23" s="1"/>
  <c r="C291" i="19"/>
  <c r="C443" i="19"/>
  <c r="C307" i="19"/>
  <c r="C403" i="19"/>
  <c r="G65" i="19"/>
  <c r="C365" i="19"/>
  <c r="C360" i="19"/>
  <c r="C32" i="19"/>
  <c r="C139" i="19"/>
  <c r="C195" i="19"/>
  <c r="C351" i="19"/>
  <c r="C101" i="19"/>
  <c r="C140" i="19"/>
  <c r="C301" i="19"/>
  <c r="C132" i="19"/>
  <c r="C120" i="19"/>
  <c r="C117" i="23" s="1"/>
  <c r="C14" i="19"/>
  <c r="C378" i="19"/>
  <c r="C85" i="19"/>
  <c r="C44" i="19"/>
  <c r="E382" i="19"/>
  <c r="E417" i="23" s="1"/>
  <c r="I290" i="19"/>
  <c r="G338" i="19"/>
  <c r="C90" i="19"/>
  <c r="C414" i="19"/>
  <c r="C288" i="19"/>
  <c r="C303" i="19"/>
  <c r="C387" i="19"/>
  <c r="C372" i="19"/>
  <c r="C96" i="19"/>
  <c r="E122" i="19"/>
  <c r="C438" i="19"/>
  <c r="E129" i="19"/>
  <c r="E143" i="23" s="1"/>
  <c r="I230" i="19"/>
  <c r="G121" i="19"/>
  <c r="C436" i="19"/>
  <c r="C218" i="19"/>
  <c r="I54" i="19"/>
  <c r="I413" i="19"/>
  <c r="G388" i="19"/>
  <c r="G307" i="19"/>
  <c r="C30" i="19"/>
  <c r="E211" i="19"/>
  <c r="C389" i="19"/>
  <c r="C168" i="19"/>
  <c r="C210" i="19"/>
  <c r="E311" i="19"/>
  <c r="G296" i="19"/>
  <c r="C243" i="19"/>
  <c r="C390" i="19"/>
  <c r="C52" i="19"/>
  <c r="C335" i="19"/>
  <c r="C386" i="19"/>
  <c r="E45" i="19"/>
  <c r="E55" i="19"/>
  <c r="I258" i="19"/>
  <c r="R345" i="18"/>
  <c r="G440" i="19"/>
  <c r="G403" i="19"/>
  <c r="J259" i="18"/>
  <c r="J289" i="18"/>
  <c r="I117" i="19"/>
  <c r="G272" i="19"/>
  <c r="R374" i="18"/>
  <c r="G61" i="19"/>
  <c r="I398" i="19"/>
  <c r="G249" i="19"/>
  <c r="I433" i="19"/>
  <c r="G437" i="19"/>
  <c r="G382" i="19"/>
  <c r="J300" i="18"/>
  <c r="I36" i="19"/>
  <c r="I364" i="19"/>
  <c r="R371" i="18"/>
  <c r="G222" i="19"/>
  <c r="G153" i="19"/>
  <c r="J362" i="18"/>
  <c r="I4" i="19"/>
  <c r="J315" i="18"/>
  <c r="I428" i="19"/>
  <c r="I71" i="19"/>
  <c r="I103" i="19"/>
  <c r="I397" i="19"/>
  <c r="J122" i="18"/>
  <c r="E424" i="19"/>
  <c r="E415" i="23" s="1"/>
  <c r="R339" i="18"/>
  <c r="I442" i="19"/>
  <c r="E222" i="19"/>
  <c r="J60" i="18"/>
  <c r="G19" i="19"/>
  <c r="I248" i="19"/>
  <c r="I399" i="19"/>
  <c r="R369" i="18"/>
  <c r="J413" i="18"/>
  <c r="E343" i="19"/>
  <c r="I431" i="19"/>
  <c r="E5" i="19"/>
  <c r="E5" i="23" s="1"/>
  <c r="I184" i="19"/>
  <c r="G142" i="19"/>
  <c r="C405" i="19"/>
  <c r="C178" i="19"/>
  <c r="I400" i="19"/>
  <c r="E299" i="19"/>
  <c r="E105" i="19"/>
  <c r="C151" i="19"/>
  <c r="E292" i="19"/>
  <c r="E408" i="19"/>
  <c r="E340" i="19"/>
  <c r="E258" i="19"/>
  <c r="E133" i="23" s="1"/>
  <c r="E187" i="19"/>
  <c r="E335" i="19"/>
  <c r="E199" i="23" s="1"/>
  <c r="E195" i="19"/>
  <c r="E245" i="23" s="1"/>
  <c r="E291" i="19"/>
  <c r="E4" i="19"/>
  <c r="E121" i="19"/>
  <c r="G389" i="19"/>
  <c r="I429" i="19"/>
  <c r="G160" i="19"/>
  <c r="G45" i="19"/>
  <c r="G283" i="19"/>
  <c r="J21" i="18"/>
  <c r="J397" i="18"/>
  <c r="G333" i="19"/>
  <c r="G274" i="19"/>
  <c r="I249" i="19"/>
  <c r="G46" i="19"/>
  <c r="G371" i="19"/>
  <c r="I268" i="19"/>
  <c r="G340" i="19"/>
  <c r="G95" i="19"/>
  <c r="G109" i="19"/>
  <c r="G438" i="19"/>
  <c r="G256" i="19"/>
  <c r="I244" i="19"/>
  <c r="I396" i="19"/>
  <c r="I323" i="19"/>
  <c r="I87" i="19"/>
  <c r="I2" i="19"/>
  <c r="I63" i="19"/>
  <c r="G127" i="19"/>
  <c r="I175" i="19"/>
  <c r="I297" i="19"/>
  <c r="E429" i="19"/>
  <c r="E77" i="19"/>
  <c r="I422" i="19"/>
  <c r="I415" i="19"/>
  <c r="G58" i="19"/>
  <c r="G259" i="19"/>
  <c r="G420" i="19"/>
  <c r="G186" i="19"/>
  <c r="G217" i="19"/>
  <c r="G253" i="19"/>
  <c r="I29" i="19"/>
  <c r="G363" i="19"/>
  <c r="I147" i="19"/>
  <c r="G263" i="19"/>
  <c r="G326" i="19"/>
  <c r="I372" i="19"/>
  <c r="G361" i="19"/>
  <c r="E116" i="19"/>
  <c r="E384" i="19"/>
  <c r="E384" i="23" s="1"/>
  <c r="G262" i="19"/>
  <c r="I401" i="19"/>
  <c r="J143" i="18"/>
  <c r="G301" i="19"/>
  <c r="I214" i="19"/>
  <c r="J211" i="18"/>
  <c r="I204" i="19"/>
  <c r="J287" i="18"/>
  <c r="I296" i="19"/>
  <c r="G230" i="19"/>
  <c r="I279" i="19"/>
  <c r="G325" i="19"/>
  <c r="I142" i="19"/>
  <c r="I246" i="19"/>
  <c r="I14" i="19"/>
  <c r="G92" i="19"/>
  <c r="G189" i="19"/>
  <c r="I50" i="19"/>
  <c r="G195" i="19"/>
  <c r="I356" i="19"/>
  <c r="I55" i="19"/>
  <c r="I320" i="19"/>
  <c r="G293" i="19"/>
  <c r="G313" i="19"/>
  <c r="G300" i="19"/>
  <c r="G170" i="19"/>
  <c r="G116" i="19"/>
  <c r="I440" i="19"/>
  <c r="I326" i="19"/>
  <c r="I221" i="19"/>
  <c r="G168" i="19"/>
  <c r="G395" i="19"/>
  <c r="J134" i="18"/>
  <c r="I382" i="19"/>
  <c r="G287" i="19"/>
  <c r="G299" i="19"/>
  <c r="G248" i="19"/>
  <c r="G370" i="19"/>
  <c r="I281" i="19"/>
  <c r="I213" i="19"/>
  <c r="G91" i="19"/>
  <c r="G423" i="19"/>
  <c r="G391" i="19"/>
  <c r="G212" i="19"/>
  <c r="I162" i="19"/>
  <c r="I155" i="19"/>
  <c r="I222" i="19"/>
  <c r="I106" i="19"/>
  <c r="I114" i="19"/>
  <c r="G247" i="19"/>
  <c r="I252" i="19"/>
  <c r="I220" i="19"/>
  <c r="G140" i="19"/>
  <c r="G324" i="19"/>
  <c r="J104" i="18"/>
  <c r="I376" i="19"/>
  <c r="J79" i="18"/>
  <c r="G182" i="19"/>
  <c r="I105" i="19"/>
  <c r="G176" i="19"/>
  <c r="I210" i="19"/>
  <c r="I441" i="19"/>
  <c r="I331" i="19"/>
  <c r="G26" i="19"/>
  <c r="G81" i="19"/>
  <c r="I284" i="19"/>
  <c r="G187" i="19"/>
  <c r="I118" i="19"/>
  <c r="G224" i="19"/>
  <c r="I88" i="19"/>
  <c r="I309" i="19"/>
  <c r="G335" i="19"/>
  <c r="I60" i="19"/>
  <c r="I212" i="19"/>
  <c r="I405" i="19"/>
  <c r="I317" i="19"/>
  <c r="J146" i="18"/>
  <c r="I282" i="19"/>
  <c r="I318" i="19"/>
  <c r="G146" i="19"/>
  <c r="G270" i="19"/>
  <c r="G421" i="19"/>
  <c r="G2" i="19"/>
  <c r="G294" i="19"/>
  <c r="I190" i="19"/>
  <c r="I170" i="19"/>
  <c r="G292" i="19"/>
  <c r="I5" i="19"/>
  <c r="G76" i="19"/>
  <c r="G275" i="19"/>
  <c r="I145" i="19"/>
  <c r="I48" i="19"/>
  <c r="G70" i="19"/>
  <c r="I98" i="19"/>
  <c r="I351" i="19"/>
  <c r="I288" i="19"/>
  <c r="G143" i="19"/>
  <c r="G383" i="19"/>
  <c r="J336" i="19"/>
  <c r="J154" i="23" s="1"/>
  <c r="G180" i="19"/>
  <c r="I79" i="19"/>
  <c r="G245" i="19"/>
  <c r="G209" i="19"/>
  <c r="I8" i="19"/>
  <c r="G196" i="19"/>
  <c r="I316" i="19"/>
  <c r="G74" i="19"/>
  <c r="G108" i="19"/>
  <c r="I321" i="19"/>
  <c r="I227" i="19"/>
  <c r="G191" i="19"/>
  <c r="G258" i="19"/>
  <c r="I13" i="19"/>
  <c r="G419" i="19"/>
  <c r="G101" i="19"/>
  <c r="G115" i="19"/>
  <c r="G172" i="19"/>
  <c r="I43" i="19"/>
  <c r="G375" i="19"/>
  <c r="I156" i="19"/>
  <c r="G225" i="19"/>
  <c r="I344" i="19"/>
  <c r="G29" i="19"/>
  <c r="I299" i="19"/>
  <c r="G48" i="19"/>
  <c r="I178" i="19"/>
  <c r="G302" i="19"/>
  <c r="G255" i="19"/>
  <c r="G284" i="19"/>
  <c r="I375" i="19"/>
  <c r="G105" i="19"/>
  <c r="I404" i="19"/>
  <c r="G442" i="19"/>
  <c r="G408" i="19"/>
  <c r="J214" i="18"/>
  <c r="I322" i="19"/>
  <c r="G315" i="19"/>
  <c r="G260" i="19"/>
  <c r="G357" i="19"/>
  <c r="I289" i="19"/>
  <c r="G424" i="19"/>
  <c r="I339" i="19"/>
  <c r="I315" i="19"/>
  <c r="G267" i="19"/>
  <c r="I143" i="19"/>
  <c r="G34" i="19"/>
  <c r="G98" i="19"/>
  <c r="G343" i="19"/>
  <c r="I325" i="19"/>
  <c r="G443" i="19"/>
  <c r="I352" i="19"/>
  <c r="G60" i="19"/>
  <c r="G131" i="19"/>
  <c r="G320" i="19"/>
  <c r="G162" i="19"/>
  <c r="G428" i="19"/>
  <c r="J387" i="18"/>
  <c r="J115" i="18"/>
  <c r="I373" i="19"/>
  <c r="I3" i="19"/>
  <c r="I311" i="19"/>
  <c r="I341" i="19"/>
  <c r="I354" i="19"/>
  <c r="I171" i="19"/>
  <c r="I350" i="19"/>
  <c r="G234" i="19"/>
  <c r="G372" i="19"/>
  <c r="G373" i="19"/>
  <c r="I28" i="19"/>
  <c r="I254" i="19"/>
  <c r="I113" i="19"/>
  <c r="I149" i="19"/>
  <c r="I195" i="19"/>
  <c r="I74" i="19"/>
  <c r="I200" i="19"/>
  <c r="G4" i="19"/>
  <c r="G53" i="19"/>
  <c r="G86" i="19"/>
  <c r="G433" i="19"/>
  <c r="G312" i="19"/>
  <c r="G240" i="19"/>
  <c r="G332" i="19"/>
  <c r="G78" i="19"/>
  <c r="G64" i="19"/>
  <c r="G137" i="19"/>
  <c r="I176" i="19"/>
  <c r="G144" i="19"/>
  <c r="G342" i="19"/>
  <c r="I96" i="19"/>
  <c r="I47" i="19"/>
  <c r="G369" i="19"/>
  <c r="G407" i="19"/>
  <c r="J252" i="19"/>
  <c r="L34" i="11" s="1"/>
  <c r="I298" i="19"/>
  <c r="I388" i="19"/>
  <c r="G163" i="19"/>
  <c r="G179" i="19"/>
  <c r="I384" i="19"/>
  <c r="I292" i="19"/>
  <c r="I64" i="19"/>
  <c r="G27" i="19"/>
  <c r="G150" i="19"/>
  <c r="G387" i="19"/>
  <c r="I358" i="19"/>
  <c r="I177" i="19"/>
  <c r="I192" i="19"/>
  <c r="I191" i="19"/>
  <c r="G103" i="19"/>
  <c r="G147" i="19"/>
  <c r="G202" i="19"/>
  <c r="G203" i="19"/>
  <c r="G404" i="19"/>
  <c r="G418" i="19"/>
  <c r="G90" i="19"/>
  <c r="I130" i="19"/>
  <c r="I335" i="19"/>
  <c r="G67" i="19"/>
  <c r="I93" i="19"/>
  <c r="G227" i="19"/>
  <c r="I84" i="19"/>
  <c r="G265" i="19"/>
  <c r="I174" i="19"/>
  <c r="I15" i="19"/>
  <c r="I179" i="19"/>
  <c r="I127" i="19"/>
  <c r="G149" i="19"/>
  <c r="G221" i="19"/>
  <c r="I267" i="19"/>
  <c r="I51" i="19"/>
  <c r="G47" i="19"/>
  <c r="I6" i="19"/>
  <c r="I85" i="19"/>
  <c r="I305" i="19"/>
  <c r="I186" i="19"/>
  <c r="I167" i="19"/>
  <c r="G117" i="19"/>
  <c r="I70" i="19"/>
  <c r="G14" i="19"/>
  <c r="G329" i="19"/>
  <c r="G73" i="19"/>
  <c r="J6" i="18"/>
  <c r="J268" i="18"/>
  <c r="J144" i="18"/>
  <c r="J348" i="18"/>
  <c r="J260" i="18"/>
  <c r="J47" i="18"/>
  <c r="J138" i="18"/>
  <c r="J85" i="18"/>
  <c r="J353" i="18"/>
  <c r="J198" i="18"/>
  <c r="J71" i="18"/>
  <c r="J416" i="18"/>
  <c r="J240" i="18"/>
  <c r="J297" i="18"/>
  <c r="J36" i="18"/>
  <c r="J158" i="18"/>
  <c r="J97" i="18"/>
  <c r="J217" i="18"/>
  <c r="J354" i="18"/>
  <c r="J181" i="18"/>
  <c r="J262" i="18"/>
  <c r="J129" i="18"/>
  <c r="J202" i="18"/>
  <c r="J306" i="18"/>
  <c r="J178" i="18"/>
  <c r="J364" i="18"/>
  <c r="J374" i="18"/>
  <c r="J365" i="18"/>
  <c r="J89" i="18"/>
  <c r="J207" i="18"/>
  <c r="J76" i="18"/>
  <c r="J142" i="18"/>
  <c r="J120" i="18"/>
  <c r="J395" i="18"/>
  <c r="J148" i="18"/>
  <c r="I421" i="19"/>
  <c r="I94" i="19"/>
  <c r="J380" i="18"/>
  <c r="J185" i="18"/>
  <c r="J265" i="18"/>
  <c r="J33" i="18"/>
  <c r="G384" i="19"/>
  <c r="J117" i="18"/>
  <c r="J219" i="18"/>
  <c r="J272" i="18"/>
  <c r="J407" i="18"/>
  <c r="J422" i="18"/>
  <c r="J279" i="18"/>
  <c r="J244" i="18"/>
  <c r="J145" i="18"/>
  <c r="J425" i="18"/>
  <c r="J48" i="18"/>
  <c r="I306" i="19"/>
  <c r="J309" i="18"/>
  <c r="I7" i="19"/>
  <c r="J88" i="18"/>
  <c r="J411" i="18"/>
  <c r="G257" i="19"/>
  <c r="I196" i="19"/>
  <c r="I270" i="19"/>
  <c r="I256" i="19"/>
  <c r="J248" i="18"/>
  <c r="I99" i="19"/>
  <c r="J18" i="18"/>
  <c r="G77" i="19"/>
  <c r="J173" i="18"/>
  <c r="I313" i="19"/>
  <c r="I301" i="19"/>
  <c r="J378" i="18"/>
  <c r="I259" i="19"/>
  <c r="J439" i="18"/>
  <c r="G118" i="19"/>
  <c r="J301" i="18"/>
  <c r="I160" i="19"/>
  <c r="I420" i="19"/>
  <c r="I45" i="19"/>
  <c r="I371" i="19"/>
  <c r="I417" i="19"/>
  <c r="J153" i="18"/>
  <c r="J375" i="18"/>
  <c r="I207" i="19"/>
  <c r="J168" i="18"/>
  <c r="I377" i="19"/>
  <c r="G288" i="19"/>
  <c r="G84" i="19"/>
  <c r="I183" i="19"/>
  <c r="I148" i="19"/>
  <c r="I430" i="19"/>
  <c r="I166" i="19"/>
  <c r="G40" i="19"/>
  <c r="I154" i="19"/>
  <c r="J350" i="18"/>
  <c r="G432" i="19"/>
  <c r="G416" i="19"/>
  <c r="I73" i="19"/>
  <c r="G220" i="19"/>
  <c r="G154" i="19"/>
  <c r="I194" i="19"/>
  <c r="I409" i="19"/>
  <c r="I101" i="19"/>
  <c r="I33" i="19"/>
  <c r="I250" i="19"/>
  <c r="I432" i="19"/>
  <c r="I269" i="19"/>
  <c r="I168" i="19"/>
  <c r="G54" i="19"/>
  <c r="G17" i="19"/>
  <c r="I353" i="19"/>
  <c r="G290" i="19"/>
  <c r="J25" i="18"/>
  <c r="J326" i="18"/>
  <c r="I324" i="19"/>
  <c r="J227" i="18"/>
  <c r="I69" i="19"/>
  <c r="I150" i="19"/>
  <c r="I78" i="19"/>
  <c r="I385" i="19"/>
  <c r="I346" i="19"/>
  <c r="G268" i="19"/>
  <c r="G232" i="19"/>
  <c r="I275" i="19"/>
  <c r="I412" i="19"/>
  <c r="G392" i="19"/>
  <c r="I362" i="19"/>
  <c r="I378" i="19"/>
  <c r="G145" i="19"/>
  <c r="G223" i="19"/>
  <c r="I180" i="19"/>
  <c r="I355" i="19"/>
  <c r="I237" i="19"/>
  <c r="G185" i="19"/>
  <c r="I266" i="19"/>
  <c r="I276" i="19"/>
  <c r="I330" i="19"/>
  <c r="I345" i="19"/>
  <c r="J4" i="18"/>
  <c r="I245" i="19"/>
  <c r="J133" i="18"/>
  <c r="G318" i="19"/>
  <c r="I44" i="19"/>
  <c r="G111" i="19"/>
  <c r="G229" i="19"/>
  <c r="I334" i="19"/>
  <c r="I18" i="19"/>
  <c r="I136" i="19"/>
  <c r="G66" i="19"/>
  <c r="I16" i="19"/>
  <c r="I16" i="23" s="1"/>
  <c r="G427" i="19"/>
  <c r="G102" i="19"/>
  <c r="G141" i="19"/>
  <c r="G42" i="19"/>
  <c r="I89" i="19"/>
  <c r="I92" i="19"/>
  <c r="I86" i="19"/>
  <c r="G435" i="19"/>
  <c r="G134" i="19"/>
  <c r="G9" i="19"/>
  <c r="G350" i="19"/>
  <c r="G39" i="19"/>
  <c r="I348" i="19"/>
  <c r="I116" i="19"/>
  <c r="I319" i="19"/>
  <c r="I294" i="19"/>
  <c r="G286" i="19"/>
  <c r="I97" i="19"/>
  <c r="G125" i="19"/>
  <c r="I151" i="19"/>
  <c r="I11" i="19"/>
  <c r="G334" i="19"/>
  <c r="J256" i="18"/>
  <c r="I392" i="19"/>
  <c r="G99" i="19"/>
  <c r="I349" i="19"/>
  <c r="I226" i="19"/>
  <c r="G362" i="19"/>
  <c r="G379" i="19"/>
  <c r="I228" i="19"/>
  <c r="G152" i="19"/>
  <c r="I366" i="19"/>
  <c r="J151" i="19"/>
  <c r="C37" i="24" s="1"/>
  <c r="I42" i="19"/>
  <c r="I263" i="19"/>
  <c r="G394" i="19"/>
  <c r="G194" i="19"/>
  <c r="I368" i="19"/>
  <c r="G69" i="19"/>
  <c r="G360" i="19"/>
  <c r="G231" i="19"/>
  <c r="I198" i="19"/>
  <c r="I293" i="19"/>
  <c r="I225" i="19"/>
  <c r="I361" i="19"/>
  <c r="I83" i="19"/>
  <c r="G303" i="19"/>
  <c r="I81" i="19"/>
  <c r="G396" i="19"/>
  <c r="I218" i="19"/>
  <c r="I393" i="19"/>
  <c r="G178" i="19"/>
  <c r="G341" i="19"/>
  <c r="G72" i="19"/>
  <c r="G6" i="19"/>
  <c r="I395" i="19"/>
  <c r="G5" i="19"/>
  <c r="I25" i="19"/>
  <c r="J363" i="18"/>
  <c r="J280" i="18"/>
  <c r="I91" i="19"/>
  <c r="I161" i="19"/>
  <c r="J118" i="18"/>
  <c r="I67" i="19"/>
  <c r="I24" i="19"/>
  <c r="I280" i="19"/>
  <c r="J360" i="18"/>
  <c r="I374" i="19"/>
  <c r="I169" i="19"/>
  <c r="I165" i="19"/>
  <c r="J58" i="18"/>
  <c r="G93" i="19"/>
  <c r="I243" i="19"/>
  <c r="G235" i="19"/>
  <c r="G261" i="19"/>
  <c r="I426" i="19"/>
  <c r="G356" i="19"/>
  <c r="G291" i="19"/>
  <c r="I126" i="19"/>
  <c r="G345" i="19"/>
  <c r="I158" i="19"/>
  <c r="I157" i="19"/>
  <c r="G132" i="19"/>
  <c r="I141" i="19"/>
  <c r="I215" i="19"/>
  <c r="I62" i="19"/>
  <c r="B27" i="3"/>
  <c r="B28" i="3" s="1"/>
  <c r="I242" i="19"/>
  <c r="I201" i="19"/>
  <c r="J368" i="18"/>
  <c r="G280" i="19"/>
  <c r="J334" i="18"/>
  <c r="G43" i="19"/>
  <c r="I68" i="19"/>
  <c r="G199" i="19"/>
  <c r="I367" i="19"/>
  <c r="I119" i="19"/>
  <c r="G155" i="19"/>
  <c r="I257" i="19"/>
  <c r="I59" i="19"/>
  <c r="I379" i="19"/>
  <c r="G308" i="19"/>
  <c r="G16" i="19"/>
  <c r="G295" i="19"/>
  <c r="G156" i="19"/>
  <c r="I343" i="19"/>
  <c r="I414" i="19"/>
  <c r="I233" i="19"/>
  <c r="I411" i="19"/>
  <c r="G130" i="19"/>
  <c r="I187" i="19"/>
  <c r="I53" i="19"/>
  <c r="J191" i="18"/>
  <c r="I206" i="19"/>
  <c r="G251" i="19"/>
  <c r="I193" i="19"/>
  <c r="I336" i="19"/>
  <c r="I208" i="19"/>
  <c r="G123" i="19"/>
  <c r="G32" i="19"/>
  <c r="G314" i="19"/>
  <c r="G38" i="19"/>
  <c r="G264" i="19"/>
  <c r="I49" i="19"/>
  <c r="I144" i="19"/>
  <c r="G129" i="19"/>
  <c r="I138" i="19"/>
  <c r="J302" i="18"/>
  <c r="G133" i="19"/>
  <c r="G305" i="19"/>
  <c r="I327" i="19"/>
  <c r="G298" i="19"/>
  <c r="G390" i="19"/>
  <c r="G208" i="19"/>
  <c r="G380" i="19"/>
  <c r="G18" i="19"/>
  <c r="G282" i="19"/>
  <c r="I439" i="19"/>
  <c r="I439" i="23" s="1"/>
  <c r="G197" i="19"/>
  <c r="J267" i="18"/>
  <c r="G13" i="19"/>
  <c r="I337" i="19"/>
  <c r="G285" i="19"/>
  <c r="G327" i="19"/>
  <c r="I219" i="19"/>
  <c r="G85" i="19"/>
  <c r="G41" i="19"/>
  <c r="J19" i="18"/>
  <c r="I164" i="19"/>
  <c r="J45" i="18"/>
  <c r="J23" i="18"/>
  <c r="I232" i="19"/>
  <c r="J59" i="18"/>
  <c r="I291" i="19"/>
  <c r="J124" i="18"/>
  <c r="I40" i="19"/>
  <c r="J102" i="18"/>
  <c r="I38" i="19"/>
  <c r="J149" i="18"/>
  <c r="I329" i="19"/>
  <c r="J200" i="18"/>
  <c r="I172" i="19"/>
  <c r="J418" i="18"/>
  <c r="G400" i="19"/>
  <c r="J263" i="18"/>
  <c r="I239" i="19"/>
  <c r="J253" i="18"/>
  <c r="G158" i="19"/>
  <c r="J304" i="18"/>
  <c r="I146" i="19"/>
  <c r="J140" i="18"/>
  <c r="I251" i="19"/>
  <c r="J139" i="18"/>
  <c r="I260" i="19"/>
  <c r="J390" i="18"/>
  <c r="I387" i="19"/>
  <c r="J151" i="18"/>
  <c r="I340" i="19"/>
  <c r="J222" i="18"/>
  <c r="G354" i="19"/>
  <c r="J384" i="18"/>
  <c r="I436" i="19"/>
  <c r="J389" i="18"/>
  <c r="I380" i="19"/>
  <c r="J113" i="18"/>
  <c r="I235" i="19"/>
  <c r="J190" i="18"/>
  <c r="G44" i="19"/>
  <c r="J164" i="18"/>
  <c r="I182" i="19"/>
  <c r="J414" i="18"/>
  <c r="G399" i="19"/>
  <c r="J352" i="18"/>
  <c r="G56" i="19"/>
  <c r="J55" i="18"/>
  <c r="G57" i="19"/>
  <c r="J298" i="18"/>
  <c r="I95" i="19"/>
  <c r="G113" i="19"/>
  <c r="J274" i="18"/>
  <c r="J264" i="18"/>
  <c r="G219" i="19"/>
  <c r="J83" i="18"/>
  <c r="G322" i="19"/>
  <c r="J37" i="18"/>
  <c r="I197" i="19"/>
  <c r="J24" i="18"/>
  <c r="G316" i="19"/>
  <c r="J61" i="18"/>
  <c r="G193" i="19"/>
  <c r="J172" i="18"/>
  <c r="J52" i="18"/>
  <c r="J229" i="18"/>
  <c r="I247" i="19"/>
  <c r="J203" i="18"/>
  <c r="J285" i="18"/>
  <c r="J94" i="18"/>
  <c r="I286" i="19"/>
  <c r="J175" i="18"/>
  <c r="G330" i="19"/>
  <c r="J271" i="18"/>
  <c r="I262" i="19"/>
  <c r="J31" i="18"/>
  <c r="J165" i="18"/>
  <c r="I19" i="19"/>
  <c r="J27" i="18"/>
  <c r="I287" i="19"/>
  <c r="J43" i="18"/>
  <c r="I264" i="19"/>
  <c r="J396" i="18"/>
  <c r="G386" i="19"/>
  <c r="J156" i="18"/>
  <c r="I223" i="19"/>
  <c r="J131" i="18"/>
  <c r="G367" i="19"/>
  <c r="J34" i="18"/>
  <c r="J154" i="18"/>
  <c r="G122" i="19"/>
  <c r="J235" i="18"/>
  <c r="J169" i="18"/>
  <c r="J340" i="18"/>
  <c r="I163" i="19"/>
  <c r="J179" i="18"/>
  <c r="G28" i="19"/>
  <c r="J213" i="18"/>
  <c r="G311" i="19"/>
  <c r="J3" i="18"/>
  <c r="I112" i="19"/>
  <c r="J103" i="18"/>
  <c r="G7" i="19"/>
  <c r="J163" i="18"/>
  <c r="I35" i="19"/>
  <c r="J69" i="18"/>
  <c r="J105" i="18"/>
  <c r="I234" i="19"/>
  <c r="J320" i="18"/>
  <c r="G331" i="19"/>
  <c r="J322" i="18"/>
  <c r="I308" i="19"/>
  <c r="J376" i="18"/>
  <c r="I241" i="19"/>
  <c r="J218" i="18"/>
  <c r="G11" i="19"/>
  <c r="J276" i="18"/>
  <c r="I283" i="19"/>
  <c r="J299" i="18"/>
  <c r="I17" i="19"/>
  <c r="J401" i="18"/>
  <c r="G431" i="19"/>
  <c r="J35" i="18"/>
  <c r="I82" i="19"/>
  <c r="J54" i="18"/>
  <c r="I347" i="19"/>
  <c r="J386" i="18"/>
  <c r="J70" i="18"/>
  <c r="G228" i="19"/>
  <c r="J398" i="18"/>
  <c r="G430" i="19"/>
  <c r="J167" i="18"/>
  <c r="I129" i="19"/>
  <c r="J68" i="18"/>
  <c r="G344" i="19"/>
  <c r="J252" i="18"/>
  <c r="I271" i="19"/>
  <c r="J223" i="18"/>
  <c r="I231" i="19"/>
  <c r="J291" i="18"/>
  <c r="I357" i="19"/>
  <c r="J245" i="18"/>
  <c r="G250" i="19"/>
  <c r="J107" i="18"/>
  <c r="G33" i="19"/>
  <c r="J30" i="18"/>
  <c r="J110" i="18"/>
  <c r="I236" i="19"/>
  <c r="J332" i="18"/>
  <c r="I304" i="19"/>
  <c r="J424" i="18"/>
  <c r="G378" i="19"/>
  <c r="J255" i="18"/>
  <c r="J356" i="18"/>
  <c r="G184" i="19"/>
  <c r="J135" i="18"/>
  <c r="G366" i="19"/>
  <c r="J281" i="18"/>
  <c r="G213" i="19"/>
  <c r="J62" i="18"/>
  <c r="G359" i="19"/>
  <c r="G89" i="19"/>
  <c r="J286" i="18"/>
  <c r="J26" i="18"/>
  <c r="G190" i="19"/>
  <c r="J393" i="18"/>
  <c r="I408" i="19"/>
  <c r="J66" i="18"/>
  <c r="I278" i="19"/>
  <c r="J32" i="18"/>
  <c r="G323" i="19"/>
  <c r="J405" i="18"/>
  <c r="I406" i="19"/>
  <c r="J132" i="18"/>
  <c r="J90" i="18"/>
  <c r="G3" i="19"/>
  <c r="G3" i="23" s="1"/>
  <c r="J228" i="18"/>
  <c r="I370" i="19"/>
  <c r="J249" i="18"/>
  <c r="J221" i="18"/>
  <c r="I295" i="19"/>
  <c r="J273" i="18"/>
  <c r="I211" i="19"/>
  <c r="J246" i="18"/>
  <c r="G365" i="19"/>
  <c r="J96" i="18"/>
  <c r="G243" i="19"/>
  <c r="J290" i="18"/>
  <c r="I9" i="19"/>
  <c r="J100" i="18"/>
  <c r="G10" i="19"/>
  <c r="J310" i="18"/>
  <c r="I125" i="19"/>
  <c r="J53" i="18"/>
  <c r="I90" i="19"/>
  <c r="J13" i="18"/>
  <c r="I363" i="19"/>
  <c r="J5" i="18"/>
  <c r="I173" i="19"/>
  <c r="J391" i="18"/>
  <c r="I407" i="19"/>
  <c r="J408" i="18"/>
  <c r="I418" i="19"/>
  <c r="J86" i="18"/>
  <c r="I272" i="19"/>
  <c r="J189" i="18"/>
  <c r="I65" i="19"/>
  <c r="J195" i="18"/>
  <c r="G281" i="19"/>
  <c r="J242" i="18"/>
  <c r="I217" i="19"/>
  <c r="J188" i="18"/>
  <c r="J251" i="18"/>
  <c r="I216" i="19"/>
  <c r="J282" i="18"/>
  <c r="I80" i="19"/>
  <c r="J247" i="18"/>
  <c r="G124" i="19"/>
  <c r="J46" i="18"/>
  <c r="J74" i="18"/>
  <c r="G349" i="19"/>
  <c r="J99" i="18"/>
  <c r="G36" i="19"/>
  <c r="J215" i="18"/>
  <c r="I58" i="19"/>
  <c r="J324" i="18"/>
  <c r="G201" i="19"/>
  <c r="J160" i="18"/>
  <c r="G238" i="19"/>
  <c r="J64" i="18"/>
  <c r="I265" i="19"/>
  <c r="J63" i="18"/>
  <c r="J17" i="18"/>
  <c r="G204" i="19"/>
  <c r="J196" i="18"/>
  <c r="I31" i="19"/>
  <c r="J161" i="18"/>
  <c r="J123" i="18"/>
  <c r="I312" i="19"/>
  <c r="J232" i="18"/>
  <c r="I107" i="19"/>
  <c r="J197" i="18"/>
  <c r="I75" i="19"/>
  <c r="J337" i="18"/>
  <c r="I12" i="19"/>
  <c r="J258" i="18"/>
  <c r="G237" i="19"/>
  <c r="J366" i="18"/>
  <c r="I302" i="19"/>
  <c r="J305" i="18"/>
  <c r="J283" i="18"/>
  <c r="I205" i="19"/>
  <c r="J406" i="18"/>
  <c r="J183" i="18"/>
  <c r="I132" i="19"/>
  <c r="J57" i="18"/>
  <c r="J137" i="18"/>
  <c r="I134" i="19"/>
  <c r="J359" i="18"/>
  <c r="I30" i="19"/>
  <c r="J312" i="18"/>
  <c r="G368" i="19"/>
  <c r="J114" i="18"/>
  <c r="J205" i="18"/>
  <c r="J423" i="18"/>
  <c r="G393" i="19"/>
  <c r="J199" i="18"/>
  <c r="G49" i="19"/>
  <c r="J187" i="18"/>
  <c r="I123" i="19"/>
  <c r="J233" i="18"/>
  <c r="I137" i="19"/>
  <c r="J342" i="18"/>
  <c r="I109" i="19"/>
  <c r="J111" i="18"/>
  <c r="G246" i="19"/>
  <c r="J170" i="18"/>
  <c r="G135" i="19"/>
  <c r="J40" i="18"/>
  <c r="G279" i="19"/>
  <c r="J84" i="18"/>
  <c r="I300" i="19"/>
  <c r="J72" i="18"/>
  <c r="G297" i="19"/>
  <c r="J98" i="18"/>
  <c r="I202" i="19"/>
  <c r="J201" i="18"/>
  <c r="G87" i="19"/>
  <c r="J420" i="18"/>
  <c r="I402" i="19"/>
  <c r="J95" i="18"/>
  <c r="I189" i="19"/>
  <c r="J254" i="18"/>
  <c r="G79" i="19"/>
  <c r="J313" i="18"/>
  <c r="I100" i="19"/>
  <c r="J293" i="18"/>
  <c r="I209" i="19"/>
  <c r="J15" i="18"/>
  <c r="I229" i="19"/>
  <c r="J147" i="18"/>
  <c r="I108" i="19"/>
  <c r="J270" i="18"/>
  <c r="I273" i="19"/>
  <c r="J438" i="18"/>
  <c r="I391" i="19"/>
  <c r="J308" i="18"/>
  <c r="G52" i="19"/>
  <c r="J126" i="18"/>
  <c r="J182" i="18"/>
  <c r="J73" i="18"/>
  <c r="I224" i="19"/>
  <c r="J7" i="18"/>
  <c r="G139" i="19"/>
  <c r="J20" i="18"/>
  <c r="J93" i="18"/>
  <c r="I140" i="19"/>
  <c r="J29" i="18"/>
  <c r="I188" i="19"/>
  <c r="J77" i="18"/>
  <c r="G119" i="19"/>
  <c r="J128" i="18"/>
  <c r="I338" i="19"/>
  <c r="J417" i="18"/>
  <c r="G410" i="19"/>
  <c r="J176" i="18"/>
  <c r="I328" i="19"/>
  <c r="J234" i="18"/>
  <c r="G214" i="19"/>
  <c r="J210" i="18"/>
  <c r="J314" i="18"/>
  <c r="I20" i="19"/>
  <c r="J206" i="18"/>
  <c r="G63" i="19"/>
  <c r="J294" i="18"/>
  <c r="I253" i="19"/>
  <c r="J10" i="18"/>
  <c r="I303" i="19"/>
  <c r="J28" i="18"/>
  <c r="I46" i="19"/>
  <c r="J152" i="18"/>
  <c r="I121" i="19"/>
  <c r="J278" i="18"/>
  <c r="G106" i="19"/>
  <c r="J330" i="18"/>
  <c r="I34" i="19"/>
  <c r="J338" i="18"/>
  <c r="G21" i="19"/>
  <c r="J435" i="18"/>
  <c r="I389" i="19"/>
  <c r="J432" i="18"/>
  <c r="G381" i="19"/>
  <c r="J250" i="18"/>
  <c r="J12" i="18"/>
  <c r="I307" i="19"/>
  <c r="J379" i="18"/>
  <c r="G439" i="19"/>
  <c r="J50" i="18"/>
  <c r="G171" i="19"/>
  <c r="J92" i="18"/>
  <c r="G128" i="19"/>
  <c r="J109" i="18"/>
  <c r="I37" i="19"/>
  <c r="J130" i="18"/>
  <c r="I332" i="19"/>
  <c r="J194" i="18"/>
  <c r="I185" i="19"/>
  <c r="J404" i="18"/>
  <c r="J184" i="18"/>
  <c r="I369" i="19"/>
  <c r="J212" i="18"/>
  <c r="I76" i="19"/>
  <c r="J370" i="18"/>
  <c r="I39" i="19"/>
  <c r="J241" i="18"/>
  <c r="G23" i="19"/>
  <c r="J426" i="18"/>
  <c r="I435" i="19"/>
  <c r="J388" i="18"/>
  <c r="G426" i="19"/>
  <c r="J216" i="18"/>
  <c r="I41" i="19"/>
  <c r="J296" i="18"/>
  <c r="G59" i="19"/>
  <c r="J269" i="18"/>
  <c r="I111" i="19"/>
  <c r="J236" i="18"/>
  <c r="G104" i="19"/>
  <c r="J75" i="18"/>
  <c r="J373" i="18"/>
  <c r="J220" i="18"/>
  <c r="J9" i="18"/>
  <c r="J180" i="18"/>
  <c r="J80" i="18"/>
  <c r="J230" i="18"/>
  <c r="J351" i="18"/>
  <c r="J56" i="18"/>
  <c r="J41" i="18"/>
  <c r="J67" i="18"/>
  <c r="J121" i="18"/>
  <c r="J419" i="18"/>
  <c r="J409" i="18"/>
  <c r="J400" i="18"/>
  <c r="J82" i="18"/>
  <c r="J441" i="18"/>
  <c r="J238" i="18"/>
  <c r="J421" i="18"/>
  <c r="J431" i="18"/>
  <c r="J415" i="18"/>
  <c r="J231" i="18"/>
  <c r="J125" i="18"/>
  <c r="J402" i="18"/>
  <c r="J412" i="18"/>
  <c r="J437" i="18"/>
  <c r="J433" i="18"/>
  <c r="J442" i="18"/>
  <c r="J344" i="18"/>
  <c r="J434" i="18"/>
  <c r="J361" i="18"/>
  <c r="J193" i="18"/>
  <c r="J440" i="18"/>
  <c r="J335" i="18"/>
  <c r="R440" i="18"/>
  <c r="R433" i="18"/>
  <c r="R347" i="18"/>
  <c r="R358" i="18"/>
  <c r="R348" i="18"/>
  <c r="R346" i="18"/>
  <c r="R436" i="18"/>
  <c r="R373" i="18"/>
  <c r="R335" i="18"/>
  <c r="R69" i="18"/>
  <c r="P226" i="18"/>
  <c r="S226" i="18" s="1"/>
  <c r="R161" i="18"/>
  <c r="P169" i="18"/>
  <c r="S169" i="18" s="1"/>
  <c r="R404" i="18"/>
  <c r="R99" i="18"/>
  <c r="R385" i="18"/>
  <c r="P71" i="18"/>
  <c r="S71" i="18" s="1"/>
  <c r="R37" i="18"/>
  <c r="P315" i="18"/>
  <c r="S315" i="18" s="1"/>
  <c r="P50" i="18"/>
  <c r="S50" i="18" s="1"/>
  <c r="R19" i="18"/>
  <c r="P291" i="18"/>
  <c r="S291" i="18" s="1"/>
  <c r="P418" i="18"/>
  <c r="S418" i="18" s="1"/>
  <c r="P171" i="18"/>
  <c r="S171" i="18" s="1"/>
  <c r="P54" i="18"/>
  <c r="S54" i="18" s="1"/>
  <c r="P195" i="18"/>
  <c r="S195" i="18" s="1"/>
  <c r="P137" i="18"/>
  <c r="S137" i="18" s="1"/>
  <c r="P262" i="18"/>
  <c r="S262" i="18" s="1"/>
  <c r="P304" i="18"/>
  <c r="S304" i="18" s="1"/>
  <c r="P2" i="18"/>
  <c r="S2" i="18" s="1"/>
  <c r="P244" i="18"/>
  <c r="S244" i="18" s="1"/>
  <c r="R165" i="18"/>
  <c r="R21" i="18"/>
  <c r="P285" i="18"/>
  <c r="S285" i="18" s="1"/>
  <c r="P422" i="18"/>
  <c r="S422" i="18" s="1"/>
  <c r="O394" i="19" s="1"/>
  <c r="P219" i="18"/>
  <c r="S219" i="18" s="1"/>
  <c r="P233" i="18"/>
  <c r="S233" i="18" s="1"/>
  <c r="P309" i="18"/>
  <c r="S309" i="18" s="1"/>
  <c r="P265" i="18"/>
  <c r="S265" i="18" s="1"/>
  <c r="P305" i="18"/>
  <c r="S305" i="18" s="1"/>
  <c r="P275" i="18"/>
  <c r="S275" i="18" s="1"/>
  <c r="P210" i="18"/>
  <c r="S210" i="18" s="1"/>
  <c r="P237" i="18"/>
  <c r="S237" i="18" s="1"/>
  <c r="O42" i="19" s="1"/>
  <c r="P145" i="18"/>
  <c r="S145" i="18" s="1"/>
  <c r="P96" i="18"/>
  <c r="S96" i="18" s="1"/>
  <c r="P176" i="18"/>
  <c r="S176" i="18" s="1"/>
  <c r="P378" i="18"/>
  <c r="S378" i="18" s="1"/>
  <c r="P314" i="18"/>
  <c r="S314" i="18" s="1"/>
  <c r="P249" i="18"/>
  <c r="S249" i="18" s="1"/>
  <c r="P70" i="18"/>
  <c r="S70" i="18" s="1"/>
  <c r="P268" i="18"/>
  <c r="S268" i="18" s="1"/>
  <c r="P290" i="18"/>
  <c r="S290" i="18" s="1"/>
  <c r="P296" i="18"/>
  <c r="S296" i="18" s="1"/>
  <c r="P84" i="18"/>
  <c r="S84" i="18" s="1"/>
  <c r="O349" i="19" s="1"/>
  <c r="P192" i="18"/>
  <c r="S192" i="18" s="1"/>
  <c r="R5" i="18"/>
  <c r="P248" i="18"/>
  <c r="S248" i="18" s="1"/>
  <c r="P411" i="18"/>
  <c r="S411" i="18" s="1"/>
  <c r="O385" i="19" s="1"/>
  <c r="P140" i="18"/>
  <c r="S140" i="18" s="1"/>
  <c r="P263" i="18"/>
  <c r="S263" i="18" s="1"/>
  <c r="P394" i="18"/>
  <c r="S394" i="18" s="1"/>
  <c r="O408" i="19" s="1"/>
  <c r="P320" i="18"/>
  <c r="S320" i="18" s="1"/>
  <c r="P301" i="18"/>
  <c r="S301" i="18" s="1"/>
  <c r="P264" i="18"/>
  <c r="S264" i="18" s="1"/>
  <c r="P408" i="18"/>
  <c r="S408" i="18" s="1"/>
  <c r="O384" i="19" s="1"/>
  <c r="P162" i="18"/>
  <c r="S162" i="18" s="1"/>
  <c r="P48" i="18"/>
  <c r="S48" i="18" s="1"/>
  <c r="P313" i="18"/>
  <c r="S313" i="18" s="1"/>
  <c r="P303" i="18"/>
  <c r="S303" i="18" s="1"/>
  <c r="P239" i="18"/>
  <c r="S239" i="18" s="1"/>
  <c r="P406" i="18"/>
  <c r="S406" i="18" s="1"/>
  <c r="P284" i="18"/>
  <c r="S284" i="18" s="1"/>
  <c r="P289" i="18"/>
  <c r="S289" i="18" s="1"/>
  <c r="P190" i="18"/>
  <c r="S190" i="18" s="1"/>
  <c r="P426" i="18"/>
  <c r="S426" i="18" s="1"/>
  <c r="P43" i="18"/>
  <c r="S43" i="18" s="1"/>
  <c r="P208" i="18"/>
  <c r="S208" i="18" s="1"/>
  <c r="P168" i="18"/>
  <c r="S168" i="18" s="1"/>
  <c r="O203" i="19" s="1"/>
  <c r="P224" i="18"/>
  <c r="S224" i="18" s="1"/>
  <c r="P325" i="18"/>
  <c r="S325" i="18" s="1"/>
  <c r="P38" i="18"/>
  <c r="S38" i="18" s="1"/>
  <c r="P298" i="18"/>
  <c r="S298" i="18" s="1"/>
  <c r="P127" i="18"/>
  <c r="S127" i="18" s="1"/>
  <c r="P252" i="18"/>
  <c r="S252" i="18" s="1"/>
  <c r="P424" i="18"/>
  <c r="S424" i="18" s="1"/>
  <c r="P322" i="18"/>
  <c r="S322" i="18" s="1"/>
  <c r="P211" i="18"/>
  <c r="S211" i="18" s="1"/>
  <c r="P407" i="18"/>
  <c r="S407" i="18" s="1"/>
  <c r="O389" i="19" s="1"/>
  <c r="P276" i="18"/>
  <c r="S276" i="18" s="1"/>
  <c r="P302" i="18"/>
  <c r="S302" i="18" s="1"/>
  <c r="P61" i="18"/>
  <c r="S61" i="18" s="1"/>
  <c r="P377" i="18"/>
  <c r="S377" i="18" s="1"/>
  <c r="P293" i="18"/>
  <c r="S293" i="18" s="1"/>
  <c r="P399" i="18"/>
  <c r="S399" i="18" s="1"/>
  <c r="O429" i="19" s="1"/>
  <c r="P218" i="18"/>
  <c r="S218" i="18" s="1"/>
  <c r="P152" i="18"/>
  <c r="S152" i="18" s="1"/>
  <c r="P278" i="18"/>
  <c r="S278" i="18" s="1"/>
  <c r="P186" i="18"/>
  <c r="S186" i="18" s="1"/>
  <c r="P295" i="18"/>
  <c r="S295" i="18" s="1"/>
  <c r="P10" i="18"/>
  <c r="S10" i="18" s="1"/>
  <c r="P381" i="18"/>
  <c r="S381" i="18" s="1"/>
  <c r="O425" i="19" s="1"/>
  <c r="P271" i="18"/>
  <c r="S271" i="18" s="1"/>
  <c r="P277" i="18"/>
  <c r="S277" i="18" s="1"/>
  <c r="O28" i="19" s="1"/>
  <c r="P243" i="18"/>
  <c r="S243" i="18" s="1"/>
  <c r="P57" i="18"/>
  <c r="S57" i="18" s="1"/>
  <c r="O350" i="19" s="1"/>
  <c r="P300" i="18"/>
  <c r="S300" i="18" s="1"/>
  <c r="P323" i="18"/>
  <c r="S323" i="18" s="1"/>
  <c r="P273" i="18"/>
  <c r="S273" i="18" s="1"/>
  <c r="P282" i="18"/>
  <c r="S282" i="18" s="1"/>
  <c r="P78" i="18"/>
  <c r="S78" i="18" s="1"/>
  <c r="O226" i="19" s="1"/>
  <c r="P232" i="18"/>
  <c r="S232" i="18" s="1"/>
  <c r="P85" i="18"/>
  <c r="S85" i="18" s="1"/>
  <c r="P228" i="18"/>
  <c r="S228" i="18" s="1"/>
  <c r="P42" i="18"/>
  <c r="S42" i="18" s="1"/>
  <c r="P281" i="18"/>
  <c r="S281" i="18" s="1"/>
  <c r="P216" i="18"/>
  <c r="S216" i="18" s="1"/>
  <c r="P103" i="18"/>
  <c r="S103" i="18" s="1"/>
  <c r="P392" i="18"/>
  <c r="S392" i="18" s="1"/>
  <c r="O346" i="19" s="1"/>
  <c r="P420" i="18"/>
  <c r="S420" i="18" s="1"/>
  <c r="P417" i="18"/>
  <c r="S417" i="18" s="1"/>
  <c r="P157" i="18"/>
  <c r="S157" i="18" s="1"/>
  <c r="O259" i="19" s="1"/>
  <c r="P119" i="18"/>
  <c r="S119" i="18" s="1"/>
  <c r="R220" i="18"/>
  <c r="P253" i="18"/>
  <c r="S253" i="18" s="1"/>
  <c r="P316" i="18"/>
  <c r="S316" i="18" s="1"/>
  <c r="P153" i="18"/>
  <c r="S153" i="18" s="1"/>
  <c r="P255" i="18"/>
  <c r="S255" i="18" s="1"/>
  <c r="O18" i="19" s="1"/>
  <c r="P266" i="18"/>
  <c r="S266" i="18" s="1"/>
  <c r="P259" i="18"/>
  <c r="S259" i="18" s="1"/>
  <c r="P321" i="18"/>
  <c r="S321" i="18" s="1"/>
  <c r="P150" i="18"/>
  <c r="S150" i="18" s="1"/>
  <c r="P181" i="18"/>
  <c r="S181" i="18" s="1"/>
  <c r="P81" i="18"/>
  <c r="S81" i="18" s="1"/>
  <c r="O361" i="19" s="1"/>
  <c r="P223" i="18"/>
  <c r="S223" i="18" s="1"/>
  <c r="P121" i="18"/>
  <c r="S121" i="18" s="1"/>
  <c r="P15" i="18"/>
  <c r="S15" i="18" s="1"/>
  <c r="P106" i="18"/>
  <c r="S106" i="18" s="1"/>
  <c r="P18" i="18"/>
  <c r="S18" i="18" s="1"/>
  <c r="P120" i="18"/>
  <c r="S120" i="18" s="1"/>
  <c r="P64" i="18"/>
  <c r="S64" i="18" s="1"/>
  <c r="P102" i="18"/>
  <c r="S102" i="18" s="1"/>
  <c r="P40" i="18"/>
  <c r="S40" i="18" s="1"/>
  <c r="P319" i="18"/>
  <c r="S319" i="18" s="1"/>
  <c r="P306" i="18"/>
  <c r="S306" i="18" s="1"/>
  <c r="P272" i="18"/>
  <c r="S272" i="18" s="1"/>
  <c r="P390" i="18"/>
  <c r="S390" i="18" s="1"/>
  <c r="O313" i="19" s="1"/>
  <c r="R131" i="18"/>
  <c r="P274" i="18"/>
  <c r="S274" i="18" s="1"/>
  <c r="P245" i="18"/>
  <c r="S245" i="18" s="1"/>
  <c r="P139" i="18"/>
  <c r="S139" i="18" s="1"/>
  <c r="P297" i="18"/>
  <c r="S297" i="18" s="1"/>
  <c r="P187" i="18"/>
  <c r="S187" i="18" s="1"/>
  <c r="P419" i="18"/>
  <c r="S419" i="18" s="1"/>
  <c r="O432" i="19" s="1"/>
  <c r="P311" i="18"/>
  <c r="S311" i="18" s="1"/>
  <c r="P126" i="18"/>
  <c r="S126" i="18" s="1"/>
  <c r="P240" i="18"/>
  <c r="S240" i="18" s="1"/>
  <c r="O25" i="19" s="1"/>
  <c r="P246" i="18"/>
  <c r="S246" i="18" s="1"/>
  <c r="P308" i="18"/>
  <c r="S308" i="18" s="1"/>
  <c r="P30" i="18"/>
  <c r="S30" i="18" s="1"/>
  <c r="P12" i="18"/>
  <c r="S12" i="18" s="1"/>
  <c r="P36" i="18"/>
  <c r="S36" i="18" s="1"/>
  <c r="P111" i="18"/>
  <c r="S111" i="18" s="1"/>
  <c r="P117" i="18"/>
  <c r="S117" i="18" s="1"/>
  <c r="P270" i="18"/>
  <c r="S270" i="18" s="1"/>
  <c r="P204" i="18"/>
  <c r="S204" i="18" s="1"/>
  <c r="P148" i="18"/>
  <c r="S148" i="18" s="1"/>
  <c r="P421" i="18"/>
  <c r="S421" i="18" s="1"/>
  <c r="O437" i="19" s="1"/>
  <c r="P283" i="18"/>
  <c r="S283" i="18" s="1"/>
  <c r="P47" i="18"/>
  <c r="S47" i="18" s="1"/>
  <c r="P258" i="18"/>
  <c r="S258" i="18" s="1"/>
  <c r="P241" i="18"/>
  <c r="S241" i="18" s="1"/>
  <c r="P310" i="18"/>
  <c r="S310" i="18" s="1"/>
  <c r="P425" i="18"/>
  <c r="S425" i="18" s="1"/>
  <c r="P256" i="18"/>
  <c r="S256" i="18" s="1"/>
  <c r="P242" i="18"/>
  <c r="S242" i="18" s="1"/>
  <c r="P423" i="18"/>
  <c r="S423" i="18" s="1"/>
  <c r="O396" i="19" s="1"/>
  <c r="P203" i="18"/>
  <c r="S203" i="18" s="1"/>
  <c r="P32" i="18"/>
  <c r="S32" i="18" s="1"/>
  <c r="O356" i="19" s="1"/>
  <c r="P279" i="18"/>
  <c r="S279" i="18" s="1"/>
  <c r="P254" i="18"/>
  <c r="S254" i="18" s="1"/>
  <c r="P205" i="18"/>
  <c r="S205" i="18" s="1"/>
  <c r="R196" i="18"/>
  <c r="P287" i="18"/>
  <c r="S287" i="18" s="1"/>
  <c r="P247" i="18"/>
  <c r="S247" i="18" s="1"/>
  <c r="P294" i="18"/>
  <c r="S294" i="18" s="1"/>
  <c r="P312" i="18"/>
  <c r="S312" i="18" s="1"/>
  <c r="P318" i="18"/>
  <c r="S318" i="18" s="1"/>
  <c r="P261" i="18"/>
  <c r="S261" i="18" s="1"/>
  <c r="P83" i="18"/>
  <c r="S83" i="18" s="1"/>
  <c r="P191" i="18"/>
  <c r="S191" i="18" s="1"/>
  <c r="P257" i="18"/>
  <c r="S257" i="18" s="1"/>
  <c r="R14" i="18"/>
  <c r="P324" i="18"/>
  <c r="S324" i="18" s="1"/>
  <c r="P307" i="18"/>
  <c r="S307" i="18" s="1"/>
  <c r="P317" i="18"/>
  <c r="S317" i="18" s="1"/>
  <c r="P251" i="18"/>
  <c r="S251" i="18" s="1"/>
  <c r="P164" i="18"/>
  <c r="S164" i="18" s="1"/>
  <c r="O166" i="19" s="1"/>
  <c r="P3" i="18"/>
  <c r="S3" i="18" s="1"/>
  <c r="P86" i="18"/>
  <c r="S86" i="18" s="1"/>
  <c r="P175" i="18"/>
  <c r="S175" i="18" s="1"/>
  <c r="O269" i="19" s="1"/>
  <c r="P267" i="18"/>
  <c r="S267" i="18" s="1"/>
  <c r="P286" i="18"/>
  <c r="S286" i="18" s="1"/>
  <c r="P326" i="18"/>
  <c r="S326" i="18" s="1"/>
  <c r="P260" i="18"/>
  <c r="S260" i="18" s="1"/>
  <c r="P197" i="18"/>
  <c r="S197" i="18" s="1"/>
  <c r="R92" i="18"/>
  <c r="R173" i="18"/>
  <c r="R109" i="18"/>
  <c r="R227" i="18"/>
  <c r="R24" i="18"/>
  <c r="R68" i="18"/>
  <c r="R130" i="18"/>
  <c r="R386" i="18"/>
  <c r="R389" i="18"/>
  <c r="R6" i="18"/>
  <c r="R98" i="18"/>
  <c r="R384" i="18"/>
  <c r="R82" i="18"/>
  <c r="R31" i="18"/>
  <c r="R235" i="18"/>
  <c r="R80" i="18"/>
  <c r="R412" i="18"/>
  <c r="R108" i="18"/>
  <c r="R179" i="18"/>
  <c r="R33" i="18"/>
  <c r="R7" i="18"/>
  <c r="R198" i="18"/>
  <c r="R280" i="18"/>
  <c r="R156" i="18"/>
  <c r="R135" i="18"/>
  <c r="R41" i="18"/>
  <c r="R401" i="18"/>
  <c r="R26" i="18"/>
  <c r="R44" i="18"/>
  <c r="R132" i="18"/>
  <c r="R23" i="18"/>
  <c r="R184" i="18"/>
  <c r="R382" i="18"/>
  <c r="R201" i="18"/>
  <c r="R110" i="18"/>
  <c r="R146" i="18"/>
  <c r="R28" i="18"/>
  <c r="R133" i="18"/>
  <c r="R207" i="18"/>
  <c r="R413" i="18"/>
  <c r="R172" i="18"/>
  <c r="R170" i="18"/>
  <c r="R8" i="18"/>
  <c r="R383" i="18"/>
  <c r="R16" i="18"/>
  <c r="R221" i="18"/>
  <c r="R199" i="18"/>
  <c r="R25" i="18"/>
  <c r="R74" i="18"/>
  <c r="R101" i="18"/>
  <c r="R163" i="18"/>
  <c r="R178" i="18"/>
  <c r="R180" i="18"/>
  <c r="R396" i="18"/>
  <c r="R123" i="18"/>
  <c r="R231" i="18"/>
  <c r="R17" i="18"/>
  <c r="R154" i="18"/>
  <c r="R222" i="18"/>
  <c r="R213" i="18"/>
  <c r="R60" i="18"/>
  <c r="R53" i="18"/>
  <c r="R212" i="18"/>
  <c r="R93" i="18"/>
  <c r="R97" i="18"/>
  <c r="R20" i="18"/>
  <c r="R49" i="18"/>
  <c r="R112" i="18"/>
  <c r="R11" i="18"/>
  <c r="R73" i="18"/>
  <c r="R45" i="18"/>
  <c r="R238" i="18"/>
  <c r="R95" i="18"/>
  <c r="R414" i="18"/>
  <c r="R151" i="18"/>
  <c r="R34" i="18"/>
  <c r="R209" i="18"/>
  <c r="R230" i="18"/>
  <c r="R13" i="18"/>
  <c r="R141" i="18"/>
  <c r="R147" i="18"/>
  <c r="R39" i="18"/>
  <c r="R142" i="18"/>
  <c r="R269" i="18"/>
  <c r="R159" i="18"/>
  <c r="R388" i="18"/>
  <c r="R66" i="18"/>
  <c r="R62" i="18"/>
  <c r="R59" i="18"/>
  <c r="I2" i="18"/>
  <c r="G252" i="19" s="1"/>
  <c r="R155" i="18"/>
  <c r="R183" i="18"/>
  <c r="R144" i="18"/>
  <c r="R90" i="18"/>
  <c r="R149" i="18"/>
  <c r="R113" i="18"/>
  <c r="R395" i="18"/>
  <c r="R200" i="18"/>
  <c r="R160" i="18"/>
  <c r="R91" i="18"/>
  <c r="R58" i="18"/>
  <c r="R27" i="18"/>
  <c r="R292" i="18"/>
  <c r="R143" i="18"/>
  <c r="R134" i="18"/>
  <c r="R116" i="18"/>
  <c r="R234" i="18"/>
  <c r="R410" i="18"/>
  <c r="R202" i="18"/>
  <c r="R72" i="18"/>
  <c r="R104" i="18"/>
  <c r="R9" i="18"/>
  <c r="R182" i="18"/>
  <c r="R217" i="18"/>
  <c r="R51" i="18"/>
  <c r="R129" i="18"/>
  <c r="R403" i="18"/>
  <c r="R88" i="18"/>
  <c r="R214" i="18"/>
  <c r="R56" i="18"/>
  <c r="R65" i="18"/>
  <c r="R387" i="18"/>
  <c r="R22" i="18"/>
  <c r="R115" i="18"/>
  <c r="R250" i="18"/>
  <c r="R185" i="18"/>
  <c r="R405" i="18"/>
  <c r="R100" i="18"/>
  <c r="R46" i="18"/>
  <c r="R79" i="18"/>
  <c r="R118" i="18"/>
  <c r="R77" i="18"/>
  <c r="R415" i="18"/>
  <c r="R76" i="18"/>
  <c r="R63" i="18"/>
  <c r="R225" i="18"/>
  <c r="R94" i="18"/>
  <c r="R397" i="18"/>
  <c r="R194" i="18"/>
  <c r="R75" i="18"/>
  <c r="R189" i="18"/>
  <c r="R136" i="18"/>
  <c r="R166" i="18"/>
  <c r="R167" i="18"/>
  <c r="R409" i="18"/>
  <c r="R193" i="18"/>
  <c r="R174" i="18"/>
  <c r="R391" i="18"/>
  <c r="R229" i="18"/>
  <c r="R402" i="18"/>
  <c r="R416" i="18"/>
  <c r="R125" i="18"/>
  <c r="R138" i="18"/>
  <c r="R380" i="18"/>
  <c r="R105" i="18"/>
  <c r="R87" i="18"/>
  <c r="R177" i="18"/>
  <c r="R35" i="18"/>
  <c r="R215" i="18"/>
  <c r="R114" i="18"/>
  <c r="R55" i="18"/>
  <c r="C8" i="21" l="1"/>
  <c r="G43" i="16"/>
  <c r="F44" i="16"/>
  <c r="F42" i="16"/>
  <c r="G42" i="16"/>
  <c r="G56" i="16"/>
  <c r="F56" i="16"/>
  <c r="G55" i="16"/>
  <c r="F55" i="16"/>
  <c r="G54" i="16"/>
  <c r="F54" i="16"/>
  <c r="F49" i="11"/>
  <c r="F48" i="11"/>
  <c r="F50" i="11"/>
  <c r="F51" i="11"/>
  <c r="F52" i="11"/>
  <c r="F53" i="11"/>
  <c r="F51" i="16"/>
  <c r="F53" i="16"/>
  <c r="F52" i="16"/>
  <c r="F39" i="16"/>
  <c r="F41" i="16"/>
  <c r="F40" i="16"/>
  <c r="E10" i="11"/>
  <c r="E8" i="11"/>
  <c r="E6" i="11"/>
  <c r="E7" i="11"/>
  <c r="E36" i="11"/>
  <c r="E37" i="11"/>
  <c r="E38" i="11"/>
  <c r="G49" i="11"/>
  <c r="G48" i="11"/>
  <c r="E39" i="11"/>
  <c r="G50" i="11"/>
  <c r="E40" i="11"/>
  <c r="G51" i="11"/>
  <c r="E41" i="11"/>
  <c r="G52" i="11"/>
  <c r="G53" i="11"/>
  <c r="G51" i="16"/>
  <c r="G53" i="16"/>
  <c r="G52" i="16"/>
  <c r="G39" i="16"/>
  <c r="G41" i="16"/>
  <c r="G40" i="16"/>
  <c r="F43" i="16"/>
  <c r="G190" i="23"/>
  <c r="C93" i="23"/>
  <c r="E154" i="23"/>
  <c r="G6" i="23"/>
  <c r="B31" i="3"/>
  <c r="B30" i="3"/>
  <c r="C50" i="23"/>
  <c r="I232" i="23"/>
  <c r="E318" i="23"/>
  <c r="G381" i="23"/>
  <c r="E19" i="23"/>
  <c r="C69" i="23"/>
  <c r="E366" i="23"/>
  <c r="E224" i="23"/>
  <c r="E141" i="23"/>
  <c r="C249" i="23"/>
  <c r="C174" i="23"/>
  <c r="E114" i="23"/>
  <c r="E42" i="23"/>
  <c r="I25" i="23"/>
  <c r="E4" i="23"/>
  <c r="C211" i="23"/>
  <c r="E310" i="23"/>
  <c r="E371" i="23"/>
  <c r="E169" i="23"/>
  <c r="I37" i="23"/>
  <c r="G344" i="23"/>
  <c r="G179" i="23"/>
  <c r="C126" i="23"/>
  <c r="E376" i="23"/>
  <c r="E251" i="23"/>
  <c r="M80" i="23"/>
  <c r="C377" i="23"/>
  <c r="G37" i="21"/>
  <c r="G37" i="24"/>
  <c r="J37" i="24"/>
  <c r="J37" i="21"/>
  <c r="I304" i="23"/>
  <c r="E429" i="23"/>
  <c r="I245" i="23"/>
  <c r="G134" i="23"/>
  <c r="C400" i="23"/>
  <c r="E404" i="23"/>
  <c r="C53" i="23"/>
  <c r="E381" i="23"/>
  <c r="C374" i="23"/>
  <c r="E115" i="23"/>
  <c r="E23" i="23"/>
  <c r="E340" i="23"/>
  <c r="E292" i="23"/>
  <c r="E166" i="23"/>
  <c r="E400" i="23"/>
  <c r="E156" i="23"/>
  <c r="E161" i="23"/>
  <c r="E20" i="23"/>
  <c r="C54" i="23"/>
  <c r="E229" i="23"/>
  <c r="I132" i="23"/>
  <c r="E234" i="23"/>
  <c r="E27" i="23"/>
  <c r="E63" i="23"/>
  <c r="J53" i="23"/>
  <c r="E40" i="24" s="1"/>
  <c r="J300" i="23"/>
  <c r="J183" i="23"/>
  <c r="J224" i="23"/>
  <c r="C282" i="23"/>
  <c r="C295" i="23"/>
  <c r="E276" i="23"/>
  <c r="E32" i="23"/>
  <c r="E352" i="23"/>
  <c r="E383" i="23"/>
  <c r="J426" i="23"/>
  <c r="G246" i="23"/>
  <c r="E2" i="23"/>
  <c r="E311" i="23"/>
  <c r="E272" i="23"/>
  <c r="E97" i="23"/>
  <c r="E233" i="23"/>
  <c r="J95" i="23"/>
  <c r="J345" i="23"/>
  <c r="H44" i="16" s="1"/>
  <c r="E425" i="23"/>
  <c r="E440" i="23"/>
  <c r="E197" i="23"/>
  <c r="E91" i="23"/>
  <c r="E43" i="23"/>
  <c r="E30" i="23"/>
  <c r="C173" i="23"/>
  <c r="J273" i="23"/>
  <c r="L42" i="16" s="1"/>
  <c r="J196" i="23"/>
  <c r="J401" i="23"/>
  <c r="I287" i="23"/>
  <c r="I414" i="23"/>
  <c r="C370" i="23"/>
  <c r="E317" i="23"/>
  <c r="E147" i="23"/>
  <c r="E341" i="23"/>
  <c r="E428" i="23"/>
  <c r="E153" i="23"/>
  <c r="E11" i="23"/>
  <c r="E367" i="23"/>
  <c r="J395" i="23"/>
  <c r="J362" i="23"/>
  <c r="I36" i="11" s="1"/>
  <c r="I239" i="23"/>
  <c r="G290" i="23"/>
  <c r="E259" i="23"/>
  <c r="E158" i="23"/>
  <c r="E328" i="23"/>
  <c r="E313" i="23"/>
  <c r="E190" i="23"/>
  <c r="E393" i="23"/>
  <c r="E280" i="23"/>
  <c r="J342" i="23"/>
  <c r="H38" i="11" s="1"/>
  <c r="J360" i="23"/>
  <c r="G118" i="23"/>
  <c r="E101" i="23"/>
  <c r="E405" i="23"/>
  <c r="E22" i="23"/>
  <c r="E203" i="23"/>
  <c r="J123" i="23"/>
  <c r="E39" i="24" s="1"/>
  <c r="G201" i="23"/>
  <c r="I332" i="23"/>
  <c r="I73" i="23"/>
  <c r="E172" i="23"/>
  <c r="E186" i="23"/>
  <c r="E285" i="23"/>
  <c r="E263" i="23"/>
  <c r="E286" i="23"/>
  <c r="I34" i="11"/>
  <c r="C118" i="23"/>
  <c r="J18" i="23"/>
  <c r="E81" i="23"/>
  <c r="J195" i="23"/>
  <c r="I43" i="16" s="1"/>
  <c r="I266" i="23"/>
  <c r="G288" i="23"/>
  <c r="G294" i="23"/>
  <c r="C316" i="23"/>
  <c r="E372" i="23"/>
  <c r="E86" i="23"/>
  <c r="E87" i="23"/>
  <c r="J40" i="11"/>
  <c r="J38" i="11"/>
  <c r="J37" i="11"/>
  <c r="J36" i="11"/>
  <c r="J41" i="11"/>
  <c r="J394" i="23"/>
  <c r="E397" i="23"/>
  <c r="H34" i="11"/>
  <c r="I134" i="23"/>
  <c r="I271" i="23"/>
  <c r="I377" i="23"/>
  <c r="E116" i="23"/>
  <c r="E364" i="23"/>
  <c r="E10" i="23"/>
  <c r="E264" i="23"/>
  <c r="E149" i="23"/>
  <c r="M53" i="23"/>
  <c r="E438" i="23"/>
  <c r="E24" i="23"/>
  <c r="I38" i="11"/>
  <c r="I37" i="11"/>
  <c r="I41" i="11"/>
  <c r="I158" i="23"/>
  <c r="I189" i="23"/>
  <c r="I82" i="23"/>
  <c r="C49" i="23"/>
  <c r="C31" i="23"/>
  <c r="E413" i="23"/>
  <c r="J182" i="23"/>
  <c r="E321" i="23"/>
  <c r="L37" i="24"/>
  <c r="I211" i="23"/>
  <c r="I95" i="23"/>
  <c r="E395" i="23"/>
  <c r="E152" i="23"/>
  <c r="E207" i="23"/>
  <c r="E68" i="23"/>
  <c r="E146" i="23"/>
  <c r="D37" i="11"/>
  <c r="D36" i="11"/>
  <c r="D41" i="11"/>
  <c r="D40" i="11"/>
  <c r="D39" i="11"/>
  <c r="D38" i="11"/>
  <c r="E347" i="23"/>
  <c r="E185" i="23"/>
  <c r="E31" i="23"/>
  <c r="J36" i="23"/>
  <c r="J78" i="23"/>
  <c r="K42" i="16" s="1"/>
  <c r="L37" i="21"/>
  <c r="J283" i="23"/>
  <c r="L40" i="16" s="1"/>
  <c r="G135" i="23"/>
  <c r="G231" i="23"/>
  <c r="C240" i="23"/>
  <c r="E78" i="23"/>
  <c r="C259" i="23"/>
  <c r="C145" i="23"/>
  <c r="E348" i="23"/>
  <c r="E288" i="23"/>
  <c r="E212" i="23"/>
  <c r="E257" i="23"/>
  <c r="J37" i="16"/>
  <c r="E183" i="23"/>
  <c r="I76" i="23"/>
  <c r="E343" i="23"/>
  <c r="C104" i="23"/>
  <c r="E374" i="23"/>
  <c r="E373" i="23"/>
  <c r="M54" i="23"/>
  <c r="E82" i="23"/>
  <c r="E360" i="23"/>
  <c r="E275" i="23"/>
  <c r="J325" i="23"/>
  <c r="C36" i="11" s="1"/>
  <c r="K38" i="11"/>
  <c r="K36" i="11"/>
  <c r="H37" i="11"/>
  <c r="H41" i="11"/>
  <c r="G250" i="23"/>
  <c r="G137" i="23"/>
  <c r="E210" i="23"/>
  <c r="E67" i="23"/>
  <c r="J255" i="23"/>
  <c r="K41" i="11" s="1"/>
  <c r="E423" i="23"/>
  <c r="I202" i="23"/>
  <c r="I109" i="23"/>
  <c r="C148" i="23"/>
  <c r="E269" i="23"/>
  <c r="E287" i="23"/>
  <c r="E107" i="23"/>
  <c r="E309" i="23"/>
  <c r="J16" i="23"/>
  <c r="L39" i="11"/>
  <c r="L38" i="11"/>
  <c r="L36" i="11"/>
  <c r="H42" i="16"/>
  <c r="G39" i="11"/>
  <c r="G38" i="11"/>
  <c r="G37" i="11"/>
  <c r="G36" i="11"/>
  <c r="G41" i="11"/>
  <c r="C37" i="11"/>
  <c r="C38" i="11"/>
  <c r="G98" i="23"/>
  <c r="I405" i="23"/>
  <c r="C48" i="23"/>
  <c r="E188" i="23"/>
  <c r="E358" i="23"/>
  <c r="E140" i="23"/>
  <c r="E250" i="23"/>
  <c r="J105" i="23"/>
  <c r="E75" i="23"/>
  <c r="J425" i="23"/>
  <c r="H37" i="21"/>
  <c r="H37" i="24"/>
  <c r="J44" i="16"/>
  <c r="E37" i="21"/>
  <c r="E37" i="24"/>
  <c r="D37" i="24"/>
  <c r="K43" i="16"/>
  <c r="D37" i="21"/>
  <c r="D50" i="11"/>
  <c r="E54" i="16"/>
  <c r="H55" i="24"/>
  <c r="F42" i="21"/>
  <c r="H53" i="24"/>
  <c r="C8" i="11"/>
  <c r="K56" i="16"/>
  <c r="H41" i="21"/>
  <c r="C55" i="16"/>
  <c r="G132" i="23"/>
  <c r="F52" i="21"/>
  <c r="D48" i="11"/>
  <c r="K8" i="16"/>
  <c r="F7" i="16"/>
  <c r="L49" i="11"/>
  <c r="L48" i="11"/>
  <c r="L50" i="11"/>
  <c r="L51" i="11"/>
  <c r="L52" i="11"/>
  <c r="L53" i="11"/>
  <c r="L51" i="16"/>
  <c r="L41" i="16"/>
  <c r="L52" i="16"/>
  <c r="L53" i="16"/>
  <c r="L39" i="16"/>
  <c r="D8" i="21"/>
  <c r="D42" i="16"/>
  <c r="E55" i="16"/>
  <c r="D54" i="16"/>
  <c r="F52" i="24"/>
  <c r="H56" i="21"/>
  <c r="G10" i="16"/>
  <c r="D55" i="16"/>
  <c r="F56" i="21"/>
  <c r="H51" i="21"/>
  <c r="F8" i="16"/>
  <c r="K39" i="21"/>
  <c r="K44" i="21"/>
  <c r="K42" i="21"/>
  <c r="K51" i="21"/>
  <c r="K52" i="21"/>
  <c r="K53" i="21"/>
  <c r="K54" i="21"/>
  <c r="K55" i="21"/>
  <c r="K56" i="21"/>
  <c r="K39" i="24"/>
  <c r="I49" i="11"/>
  <c r="K53" i="24"/>
  <c r="I48" i="11"/>
  <c r="K52" i="24"/>
  <c r="K51" i="24"/>
  <c r="I50" i="11"/>
  <c r="K42" i="24"/>
  <c r="K54" i="24"/>
  <c r="I51" i="11"/>
  <c r="K55" i="24"/>
  <c r="K44" i="24"/>
  <c r="I52" i="11"/>
  <c r="I53" i="11"/>
  <c r="K56" i="24"/>
  <c r="I52" i="16"/>
  <c r="I39" i="16"/>
  <c r="I53" i="16"/>
  <c r="I51" i="16"/>
  <c r="I40" i="16"/>
  <c r="D40" i="21"/>
  <c r="D41" i="21"/>
  <c r="D42" i="21"/>
  <c r="D43" i="21"/>
  <c r="D44" i="21"/>
  <c r="D51" i="21"/>
  <c r="D52" i="21"/>
  <c r="D53" i="21"/>
  <c r="D54" i="21"/>
  <c r="D55" i="21"/>
  <c r="D39" i="21"/>
  <c r="D56" i="21"/>
  <c r="D40" i="24"/>
  <c r="D41" i="24"/>
  <c r="D39" i="24"/>
  <c r="D53" i="24"/>
  <c r="D52" i="24"/>
  <c r="D51" i="24"/>
  <c r="D42" i="24"/>
  <c r="D43" i="24"/>
  <c r="D54" i="24"/>
  <c r="D44" i="24"/>
  <c r="D55" i="24"/>
  <c r="D56" i="24"/>
  <c r="J49" i="11"/>
  <c r="J48" i="11"/>
  <c r="J50" i="11"/>
  <c r="J51" i="11"/>
  <c r="J52" i="11"/>
  <c r="J53" i="11"/>
  <c r="J41" i="16"/>
  <c r="J52" i="16"/>
  <c r="J53" i="16"/>
  <c r="J40" i="16"/>
  <c r="J51" i="16"/>
  <c r="J56" i="16"/>
  <c r="C37" i="16"/>
  <c r="D49" i="11"/>
  <c r="H39" i="21"/>
  <c r="F51" i="21"/>
  <c r="C54" i="16"/>
  <c r="C52" i="21"/>
  <c r="C53" i="21"/>
  <c r="C54" i="21"/>
  <c r="C55" i="21"/>
  <c r="C56" i="21"/>
  <c r="C44" i="21"/>
  <c r="C51" i="21"/>
  <c r="C51" i="24"/>
  <c r="C53" i="24"/>
  <c r="C52" i="24"/>
  <c r="C54" i="24"/>
  <c r="C55" i="24"/>
  <c r="C44" i="24"/>
  <c r="C56" i="24"/>
  <c r="G8" i="21"/>
  <c r="I44" i="16"/>
  <c r="K55" i="16"/>
  <c r="L54" i="16"/>
  <c r="H56" i="24"/>
  <c r="H55" i="21"/>
  <c r="G6" i="16"/>
  <c r="H8" i="16"/>
  <c r="I56" i="16"/>
  <c r="G8" i="11"/>
  <c r="J41" i="21"/>
  <c r="J51" i="21"/>
  <c r="J52" i="21"/>
  <c r="J53" i="21"/>
  <c r="J54" i="21"/>
  <c r="J55" i="21"/>
  <c r="J56" i="21"/>
  <c r="J39" i="21"/>
  <c r="J39" i="24"/>
  <c r="J41" i="24"/>
  <c r="J52" i="24"/>
  <c r="H48" i="11"/>
  <c r="H49" i="11"/>
  <c r="J51" i="24"/>
  <c r="J53" i="24"/>
  <c r="H50" i="11"/>
  <c r="H51" i="11"/>
  <c r="J54" i="24"/>
  <c r="H52" i="11"/>
  <c r="J55" i="24"/>
  <c r="J56" i="24"/>
  <c r="H53" i="11"/>
  <c r="H52" i="16"/>
  <c r="H53" i="16"/>
  <c r="H51" i="16"/>
  <c r="H39" i="16"/>
  <c r="H41" i="16"/>
  <c r="H40" i="16"/>
  <c r="E51" i="21"/>
  <c r="E52" i="21"/>
  <c r="E53" i="21"/>
  <c r="E54" i="21"/>
  <c r="E55" i="21"/>
  <c r="E56" i="21"/>
  <c r="E53" i="24"/>
  <c r="E51" i="24"/>
  <c r="E52" i="24"/>
  <c r="E54" i="24"/>
  <c r="E55" i="24"/>
  <c r="E56" i="24"/>
  <c r="K44" i="16"/>
  <c r="H56" i="16"/>
  <c r="L55" i="16"/>
  <c r="K54" i="16"/>
  <c r="F56" i="24"/>
  <c r="D51" i="11"/>
  <c r="H52" i="24"/>
  <c r="F55" i="21"/>
  <c r="E8" i="16"/>
  <c r="I37" i="16"/>
  <c r="C48" i="11"/>
  <c r="C49" i="11"/>
  <c r="C50" i="11"/>
  <c r="C51" i="11"/>
  <c r="C52" i="11"/>
  <c r="C53" i="11"/>
  <c r="C41" i="16"/>
  <c r="C51" i="16"/>
  <c r="C39" i="16"/>
  <c r="C52" i="16"/>
  <c r="C53" i="16"/>
  <c r="H8" i="21"/>
  <c r="J55" i="16"/>
  <c r="J54" i="16"/>
  <c r="D53" i="11"/>
  <c r="H54" i="24"/>
  <c r="H54" i="21"/>
  <c r="F44" i="21"/>
  <c r="G7" i="16"/>
  <c r="K37" i="24"/>
  <c r="I51" i="21"/>
  <c r="I52" i="21"/>
  <c r="I53" i="21"/>
  <c r="I39" i="21"/>
  <c r="I54" i="21"/>
  <c r="I55" i="21"/>
  <c r="I56" i="21"/>
  <c r="I39" i="24"/>
  <c r="I40" i="24"/>
  <c r="I52" i="24"/>
  <c r="I51" i="24"/>
  <c r="I53" i="24"/>
  <c r="I54" i="24"/>
  <c r="I55" i="24"/>
  <c r="I56" i="24"/>
  <c r="D56" i="16"/>
  <c r="I55" i="16"/>
  <c r="H54" i="16"/>
  <c r="F44" i="24"/>
  <c r="F54" i="24"/>
  <c r="H51" i="24"/>
  <c r="F54" i="21"/>
  <c r="C37" i="21"/>
  <c r="K37" i="21"/>
  <c r="I54" i="16"/>
  <c r="I42" i="16"/>
  <c r="E56" i="16"/>
  <c r="H55" i="16"/>
  <c r="D52" i="11"/>
  <c r="F53" i="24"/>
  <c r="H41" i="24"/>
  <c r="H53" i="21"/>
  <c r="J8" i="11"/>
  <c r="J6" i="11"/>
  <c r="K49" i="11"/>
  <c r="K48" i="11"/>
  <c r="K50" i="11"/>
  <c r="K51" i="11"/>
  <c r="K52" i="11"/>
  <c r="K53" i="11"/>
  <c r="K52" i="16"/>
  <c r="K53" i="16"/>
  <c r="K41" i="16"/>
  <c r="K39" i="16"/>
  <c r="K51" i="16"/>
  <c r="K40" i="16"/>
  <c r="D53" i="16"/>
  <c r="L43" i="16"/>
  <c r="C56" i="16"/>
  <c r="F42" i="24"/>
  <c r="F51" i="24"/>
  <c r="F53" i="21"/>
  <c r="F6" i="16"/>
  <c r="G8" i="16"/>
  <c r="D41" i="16"/>
  <c r="D52" i="16"/>
  <c r="D8" i="11"/>
  <c r="G41" i="21"/>
  <c r="G43" i="21"/>
  <c r="G44" i="21"/>
  <c r="G51" i="21"/>
  <c r="G52" i="21"/>
  <c r="G53" i="21"/>
  <c r="G54" i="21"/>
  <c r="G55" i="21"/>
  <c r="G56" i="21"/>
  <c r="G39" i="21"/>
  <c r="G41" i="24"/>
  <c r="G39" i="24"/>
  <c r="G52" i="24"/>
  <c r="E48" i="11"/>
  <c r="G51" i="24"/>
  <c r="G53" i="24"/>
  <c r="E49" i="11"/>
  <c r="E50" i="11"/>
  <c r="G43" i="24"/>
  <c r="G54" i="24"/>
  <c r="E51" i="11"/>
  <c r="G55" i="24"/>
  <c r="E52" i="11"/>
  <c r="G44" i="24"/>
  <c r="G56" i="24"/>
  <c r="E53" i="11"/>
  <c r="E53" i="16"/>
  <c r="E51" i="16"/>
  <c r="E40" i="16"/>
  <c r="E41" i="16"/>
  <c r="E52" i="16"/>
  <c r="E39" i="16"/>
  <c r="L54" i="21"/>
  <c r="L55" i="21"/>
  <c r="L56" i="21"/>
  <c r="L39" i="21"/>
  <c r="L51" i="21"/>
  <c r="L41" i="21"/>
  <c r="L52" i="21"/>
  <c r="L53" i="21"/>
  <c r="L41" i="24"/>
  <c r="L53" i="24"/>
  <c r="L52" i="24"/>
  <c r="L51" i="24"/>
  <c r="L54" i="24"/>
  <c r="L55" i="24"/>
  <c r="L56" i="24"/>
  <c r="L56" i="16"/>
  <c r="F55" i="24"/>
  <c r="F9" i="24"/>
  <c r="H52" i="21"/>
  <c r="G9" i="16"/>
  <c r="D51" i="16"/>
  <c r="C143" i="23"/>
  <c r="C440" i="23"/>
  <c r="G23" i="23"/>
  <c r="I127" i="23"/>
  <c r="G162" i="23"/>
  <c r="I30" i="23"/>
  <c r="I194" i="23"/>
  <c r="C390" i="23"/>
  <c r="E357" i="23"/>
  <c r="I172" i="23"/>
  <c r="G59" i="23"/>
  <c r="G323" i="23"/>
  <c r="E155" i="23"/>
  <c r="G139" i="23"/>
  <c r="I364" i="23"/>
  <c r="I352" i="23"/>
  <c r="C433" i="23"/>
  <c r="G238" i="23"/>
  <c r="I183" i="23"/>
  <c r="G128" i="23"/>
  <c r="I107" i="23"/>
  <c r="E260" i="23"/>
  <c r="C154" i="23"/>
  <c r="E123" i="23"/>
  <c r="I210" i="23"/>
  <c r="C285" i="23"/>
  <c r="I269" i="23"/>
  <c r="G52" i="23"/>
  <c r="I298" i="23"/>
  <c r="C315" i="23"/>
  <c r="C84" i="23"/>
  <c r="I418" i="23"/>
  <c r="G178" i="23"/>
  <c r="I441" i="23"/>
  <c r="I126" i="23"/>
  <c r="E335" i="23"/>
  <c r="I110" i="23"/>
  <c r="I112" i="23"/>
  <c r="I413" i="23"/>
  <c r="G318" i="23"/>
  <c r="I272" i="23"/>
  <c r="I186" i="23"/>
  <c r="G285" i="23"/>
  <c r="C82" i="23"/>
  <c r="C357" i="23"/>
  <c r="G79" i="23"/>
  <c r="I19" i="23"/>
  <c r="C391" i="23"/>
  <c r="C431" i="23"/>
  <c r="G234" i="23"/>
  <c r="I200" i="23"/>
  <c r="I241" i="23"/>
  <c r="C10" i="23"/>
  <c r="I380" i="23"/>
  <c r="I251" i="23"/>
  <c r="I15" i="23"/>
  <c r="G104" i="23"/>
  <c r="I273" i="23"/>
  <c r="G49" i="23"/>
  <c r="I408" i="23"/>
  <c r="I286" i="23"/>
  <c r="C40" i="23"/>
  <c r="I216" i="23"/>
  <c r="G399" i="23"/>
  <c r="G350" i="23"/>
  <c r="I307" i="23"/>
  <c r="I247" i="23"/>
  <c r="I2" i="23"/>
  <c r="C78" i="23"/>
  <c r="C389" i="23"/>
  <c r="C77" i="23"/>
  <c r="I270" i="23"/>
  <c r="G335" i="23"/>
  <c r="C61" i="23"/>
  <c r="C255" i="23"/>
  <c r="M58" i="23"/>
  <c r="G400" i="23"/>
  <c r="G268" i="23"/>
  <c r="G153" i="23"/>
  <c r="C201" i="23"/>
  <c r="E333" i="23"/>
  <c r="G125" i="23"/>
  <c r="G54" i="23"/>
  <c r="G416" i="23"/>
  <c r="I442" i="23"/>
  <c r="C410" i="23"/>
  <c r="C163" i="23"/>
  <c r="C428" i="23"/>
  <c r="G291" i="23"/>
  <c r="C12" i="23"/>
  <c r="G316" i="23"/>
  <c r="G18" i="23"/>
  <c r="I426" i="23"/>
  <c r="G360" i="23"/>
  <c r="I292" i="23"/>
  <c r="G355" i="23"/>
  <c r="G441" i="23"/>
  <c r="C366" i="23"/>
  <c r="G199" i="23"/>
  <c r="G89" i="23"/>
  <c r="C33" i="23"/>
  <c r="C238" i="23"/>
  <c r="G442" i="23"/>
  <c r="E45" i="23"/>
  <c r="G295" i="23"/>
  <c r="G235" i="23"/>
  <c r="I330" i="23"/>
  <c r="G380" i="23"/>
  <c r="I361" i="23"/>
  <c r="I421" i="23"/>
  <c r="G73" i="23"/>
  <c r="G407" i="23"/>
  <c r="C241" i="23"/>
  <c r="C268" i="23"/>
  <c r="G411" i="23"/>
  <c r="G12" i="23"/>
  <c r="M65" i="23"/>
  <c r="M21" i="23"/>
  <c r="I46" i="23"/>
  <c r="E187" i="23"/>
  <c r="I167" i="23"/>
  <c r="C24" i="23"/>
  <c r="C144" i="23"/>
  <c r="G156" i="23"/>
  <c r="I169" i="23"/>
  <c r="G5" i="23"/>
  <c r="I404" i="23"/>
  <c r="I86" i="23"/>
  <c r="I155" i="23"/>
  <c r="I382" i="23"/>
  <c r="I288" i="23"/>
  <c r="C395" i="23"/>
  <c r="C41" i="23"/>
  <c r="I387" i="23"/>
  <c r="G185" i="23"/>
  <c r="I381" i="23"/>
  <c r="E370" i="23"/>
  <c r="I39" i="23"/>
  <c r="C288" i="23"/>
  <c r="C234" i="23"/>
  <c r="G297" i="23"/>
  <c r="I31" i="23"/>
  <c r="I185" i="23"/>
  <c r="I173" i="23"/>
  <c r="G243" i="23"/>
  <c r="G334" i="23"/>
  <c r="C25" i="23"/>
  <c r="C299" i="23"/>
  <c r="M92" i="23"/>
  <c r="M47" i="23"/>
  <c r="M75" i="23"/>
  <c r="I93" i="23"/>
  <c r="I192" i="23"/>
  <c r="G408" i="23"/>
  <c r="I227" i="23"/>
  <c r="G247" i="23"/>
  <c r="G170" i="23"/>
  <c r="C403" i="23"/>
  <c r="C15" i="23"/>
  <c r="C354" i="23"/>
  <c r="M5" i="23"/>
  <c r="M64" i="23"/>
  <c r="M63" i="23"/>
  <c r="C27" i="23"/>
  <c r="C352" i="23"/>
  <c r="C283" i="23"/>
  <c r="G307" i="23"/>
  <c r="I108" i="23"/>
  <c r="G356" i="23"/>
  <c r="C215" i="23"/>
  <c r="I334" i="23"/>
  <c r="C332" i="23"/>
  <c r="C191" i="23"/>
  <c r="G279" i="23"/>
  <c r="I47" i="23"/>
  <c r="I316" i="23"/>
  <c r="G239" i="23"/>
  <c r="C155" i="23"/>
  <c r="E336" i="23"/>
  <c r="I389" i="23"/>
  <c r="I329" i="23"/>
  <c r="I209" i="23"/>
  <c r="I45" i="23"/>
  <c r="G163" i="23"/>
  <c r="G340" i="23"/>
  <c r="C165" i="23"/>
  <c r="E368" i="23"/>
  <c r="C257" i="23"/>
  <c r="I233" i="23"/>
  <c r="I392" i="23"/>
  <c r="G116" i="23"/>
  <c r="I433" i="23"/>
  <c r="M59" i="23"/>
  <c r="I20" i="23"/>
  <c r="G11" i="23"/>
  <c r="I160" i="23"/>
  <c r="E121" i="23"/>
  <c r="E299" i="23"/>
  <c r="G397" i="23"/>
  <c r="E375" i="23"/>
  <c r="C317" i="23"/>
  <c r="M9" i="23"/>
  <c r="G113" i="23"/>
  <c r="I138" i="23"/>
  <c r="G152" i="23"/>
  <c r="G150" i="23"/>
  <c r="G86" i="23"/>
  <c r="I375" i="23"/>
  <c r="G421" i="23"/>
  <c r="C304" i="23"/>
  <c r="C42" i="23"/>
  <c r="C47" i="23"/>
  <c r="C343" i="23"/>
  <c r="C172" i="23"/>
  <c r="M7" i="23"/>
  <c r="M43" i="23"/>
  <c r="G115" i="23"/>
  <c r="I254" i="23"/>
  <c r="G383" i="23"/>
  <c r="C271" i="23"/>
  <c r="C134" i="23"/>
  <c r="I348" i="23"/>
  <c r="G240" i="23"/>
  <c r="G204" i="23"/>
  <c r="I353" i="23"/>
  <c r="E345" i="23"/>
  <c r="I193" i="23"/>
  <c r="E222" i="23"/>
  <c r="C331" i="23"/>
  <c r="I236" i="23"/>
  <c r="G251" i="23"/>
  <c r="I88" i="23"/>
  <c r="G182" i="23"/>
  <c r="G142" i="23"/>
  <c r="C166" i="23"/>
  <c r="C250" i="23"/>
  <c r="C97" i="23"/>
  <c r="E71" i="23"/>
  <c r="M85" i="23"/>
  <c r="I262" i="23"/>
  <c r="I97" i="23"/>
  <c r="G27" i="23"/>
  <c r="C313" i="23"/>
  <c r="G101" i="23"/>
  <c r="G391" i="23"/>
  <c r="I305" i="23"/>
  <c r="G440" i="23"/>
  <c r="C396" i="23"/>
  <c r="C156" i="23"/>
  <c r="I435" i="23"/>
  <c r="I300" i="23"/>
  <c r="G43" i="23"/>
  <c r="I18" i="23"/>
  <c r="G232" i="23"/>
  <c r="I358" i="23"/>
  <c r="G108" i="23"/>
  <c r="G299" i="23"/>
  <c r="C369" i="23"/>
  <c r="I419" i="23"/>
  <c r="C131" i="23"/>
  <c r="C342" i="23"/>
  <c r="C115" i="23"/>
  <c r="C138" i="23"/>
  <c r="E267" i="23"/>
  <c r="C401" i="23"/>
  <c r="C322" i="23"/>
  <c r="E204" i="23"/>
  <c r="E100" i="23"/>
  <c r="G387" i="23"/>
  <c r="C43" i="23"/>
  <c r="M16" i="23"/>
  <c r="M38" i="23"/>
  <c r="G417" i="23"/>
  <c r="I26" i="23"/>
  <c r="G174" i="23"/>
  <c r="C399" i="23"/>
  <c r="G94" i="23"/>
  <c r="C168" i="23"/>
  <c r="C189" i="23"/>
  <c r="M74" i="23"/>
  <c r="I75" i="23"/>
  <c r="I265" i="23"/>
  <c r="I65" i="23"/>
  <c r="I90" i="23"/>
  <c r="G129" i="23"/>
  <c r="I198" i="23"/>
  <c r="I355" i="23"/>
  <c r="I385" i="23"/>
  <c r="I168" i="23"/>
  <c r="I96" i="23"/>
  <c r="I350" i="23"/>
  <c r="G284" i="23"/>
  <c r="C387" i="23"/>
  <c r="I54" i="23"/>
  <c r="C55" i="23"/>
  <c r="C99" i="23"/>
  <c r="G374" i="23"/>
  <c r="C32" i="23"/>
  <c r="E80" i="23"/>
  <c r="G367" i="23"/>
  <c r="I111" i="23"/>
  <c r="I303" i="23"/>
  <c r="I402" i="23"/>
  <c r="G124" i="23"/>
  <c r="I164" i="23"/>
  <c r="G282" i="23"/>
  <c r="I201" i="23"/>
  <c r="I24" i="23"/>
  <c r="G379" i="23"/>
  <c r="G286" i="23"/>
  <c r="I44" i="23"/>
  <c r="I180" i="23"/>
  <c r="I78" i="23"/>
  <c r="G404" i="23"/>
  <c r="I64" i="23"/>
  <c r="G4" i="23"/>
  <c r="I171" i="23"/>
  <c r="I48" i="23"/>
  <c r="G146" i="23"/>
  <c r="I376" i="23"/>
  <c r="G326" i="23"/>
  <c r="G20" i="23"/>
  <c r="C141" i="23"/>
  <c r="C301" i="23"/>
  <c r="C96" i="23"/>
  <c r="C237" i="23"/>
  <c r="C340" i="23"/>
  <c r="C114" i="23"/>
  <c r="G175" i="23"/>
  <c r="C7" i="23"/>
  <c r="I102" i="23"/>
  <c r="C319" i="23"/>
  <c r="I342" i="23"/>
  <c r="G236" i="23"/>
  <c r="C73" i="23"/>
  <c r="M76" i="23"/>
  <c r="G320" i="23"/>
  <c r="G366" i="23"/>
  <c r="I129" i="23"/>
  <c r="G57" i="23"/>
  <c r="I53" i="23"/>
  <c r="I67" i="23"/>
  <c r="I150" i="23"/>
  <c r="I313" i="23"/>
  <c r="I7" i="23"/>
  <c r="G144" i="23"/>
  <c r="I354" i="23"/>
  <c r="G357" i="23"/>
  <c r="G302" i="23"/>
  <c r="G209" i="23"/>
  <c r="G187" i="23"/>
  <c r="I204" i="23"/>
  <c r="G263" i="23"/>
  <c r="G438" i="23"/>
  <c r="G296" i="23"/>
  <c r="C87" i="23"/>
  <c r="C98" i="23"/>
  <c r="C203" i="23"/>
  <c r="C57" i="23"/>
  <c r="C424" i="23"/>
  <c r="I425" i="23"/>
  <c r="C335" i="23"/>
  <c r="C92" i="23"/>
  <c r="C339" i="23"/>
  <c r="C227" i="23"/>
  <c r="C101" i="23"/>
  <c r="C397" i="23"/>
  <c r="G244" i="23"/>
  <c r="G50" i="23"/>
  <c r="C62" i="23"/>
  <c r="C60" i="23"/>
  <c r="C261" i="23"/>
  <c r="C427" i="23"/>
  <c r="M94" i="23"/>
  <c r="M14" i="23"/>
  <c r="M66" i="23"/>
  <c r="E201" i="23"/>
  <c r="G410" i="23"/>
  <c r="I319" i="23"/>
  <c r="C63" i="23"/>
  <c r="E12" i="23"/>
  <c r="G103" i="23"/>
  <c r="G314" i="23"/>
  <c r="I302" i="23"/>
  <c r="I35" i="23"/>
  <c r="G322" i="23"/>
  <c r="G327" i="23"/>
  <c r="G29" i="23"/>
  <c r="E105" i="23"/>
  <c r="C29" i="23"/>
  <c r="C195" i="23"/>
  <c r="C341" i="23"/>
  <c r="G24" i="23"/>
  <c r="C81" i="23"/>
  <c r="M35" i="23"/>
  <c r="G332" i="23"/>
  <c r="G370" i="23"/>
  <c r="G249" i="23"/>
  <c r="C434" i="23"/>
  <c r="I181" i="23"/>
  <c r="C436" i="23"/>
  <c r="C243" i="23"/>
  <c r="E99" i="23"/>
  <c r="C6" i="23"/>
  <c r="C253" i="23"/>
  <c r="M77" i="23"/>
  <c r="M69" i="23"/>
  <c r="M91" i="23"/>
  <c r="O438" i="23"/>
  <c r="C21" i="23"/>
  <c r="I188" i="23"/>
  <c r="I231" i="23"/>
  <c r="G7" i="23"/>
  <c r="I276" i="23"/>
  <c r="G225" i="23"/>
  <c r="I114" i="23"/>
  <c r="I400" i="23"/>
  <c r="C22" i="23"/>
  <c r="C209" i="23"/>
  <c r="C326" i="23"/>
  <c r="C72" i="23"/>
  <c r="E164" i="23"/>
  <c r="M17" i="23"/>
  <c r="C305" i="23"/>
  <c r="G303" i="23"/>
  <c r="I263" i="23"/>
  <c r="G66" i="23"/>
  <c r="G47" i="23"/>
  <c r="I170" i="23"/>
  <c r="I212" i="23"/>
  <c r="I401" i="23"/>
  <c r="G217" i="23"/>
  <c r="I63" i="23"/>
  <c r="G371" i="23"/>
  <c r="C94" i="23"/>
  <c r="C185" i="23"/>
  <c r="C236" i="23"/>
  <c r="C204" i="23"/>
  <c r="G309" i="23"/>
  <c r="C324" i="23"/>
  <c r="C245" i="23"/>
  <c r="C372" i="23"/>
  <c r="C108" i="23"/>
  <c r="C17" i="23"/>
  <c r="C221" i="23"/>
  <c r="M73" i="23"/>
  <c r="M10" i="23"/>
  <c r="I100" i="23"/>
  <c r="I137" i="23"/>
  <c r="G237" i="23"/>
  <c r="I217" i="23"/>
  <c r="G122" i="23"/>
  <c r="G219" i="23"/>
  <c r="I291" i="23"/>
  <c r="I157" i="23"/>
  <c r="I165" i="23"/>
  <c r="I83" i="23"/>
  <c r="I136" i="23"/>
  <c r="G84" i="23"/>
  <c r="I28" i="23"/>
  <c r="G143" i="23"/>
  <c r="I142" i="23"/>
  <c r="G186" i="23"/>
  <c r="G46" i="23"/>
  <c r="C375" i="23"/>
  <c r="C350" i="23"/>
  <c r="C100" i="23"/>
  <c r="G177" i="23"/>
  <c r="C20" i="23"/>
  <c r="C37" i="23"/>
  <c r="C314" i="23"/>
  <c r="C406" i="23"/>
  <c r="C229" i="23"/>
  <c r="C244" i="23"/>
  <c r="G339" i="23"/>
  <c r="C356" i="23"/>
  <c r="C321" i="23"/>
  <c r="C275" i="23"/>
  <c r="M52" i="23"/>
  <c r="M6" i="23"/>
  <c r="E289" i="23"/>
  <c r="G312" i="23"/>
  <c r="C368" i="23"/>
  <c r="G157" i="23"/>
  <c r="M32" i="23"/>
  <c r="M15" i="23"/>
  <c r="I222" i="23"/>
  <c r="I396" i="23"/>
  <c r="C258" i="23"/>
  <c r="I104" i="23"/>
  <c r="M51" i="23"/>
  <c r="I328" i="23"/>
  <c r="G213" i="23"/>
  <c r="I260" i="23"/>
  <c r="I280" i="23"/>
  <c r="G72" i="23"/>
  <c r="I228" i="23"/>
  <c r="I207" i="23"/>
  <c r="G418" i="23"/>
  <c r="G131" i="23"/>
  <c r="G70" i="23"/>
  <c r="G270" i="23"/>
  <c r="I296" i="23"/>
  <c r="I372" i="23"/>
  <c r="I415" i="23"/>
  <c r="C298" i="23"/>
  <c r="C178" i="23"/>
  <c r="C70" i="23"/>
  <c r="C120" i="23"/>
  <c r="C379" i="23"/>
  <c r="C394" i="23"/>
  <c r="C132" i="23"/>
  <c r="E35" i="23"/>
  <c r="C23" i="23"/>
  <c r="C39" i="23"/>
  <c r="M46" i="23"/>
  <c r="M41" i="23"/>
  <c r="M24" i="23"/>
  <c r="G393" i="23"/>
  <c r="G431" i="23"/>
  <c r="G331" i="23"/>
  <c r="I223" i="23"/>
  <c r="I144" i="23"/>
  <c r="I379" i="23"/>
  <c r="G341" i="23"/>
  <c r="I89" i="23"/>
  <c r="I301" i="23"/>
  <c r="G117" i="23"/>
  <c r="I179" i="23"/>
  <c r="G60" i="23"/>
  <c r="G255" i="23"/>
  <c r="I8" i="23"/>
  <c r="I118" i="23"/>
  <c r="G212" i="23"/>
  <c r="I422" i="23"/>
  <c r="G256" i="23"/>
  <c r="C411" i="23"/>
  <c r="C137" i="23"/>
  <c r="C206" i="23"/>
  <c r="C123" i="23"/>
  <c r="I416" i="23"/>
  <c r="C371" i="23"/>
  <c r="C65" i="23"/>
  <c r="G164" i="23"/>
  <c r="I159" i="23"/>
  <c r="C91" i="23"/>
  <c r="G96" i="23"/>
  <c r="C45" i="23"/>
  <c r="C437" i="23"/>
  <c r="I427" i="23"/>
  <c r="E177" i="23"/>
  <c r="C83" i="23"/>
  <c r="E228" i="23"/>
  <c r="C76" i="23"/>
  <c r="C139" i="23"/>
  <c r="C210" i="23"/>
  <c r="C16" i="23"/>
  <c r="G8" i="23"/>
  <c r="C188" i="23"/>
  <c r="C280" i="23"/>
  <c r="C179" i="23"/>
  <c r="C269" i="23"/>
  <c r="G138" i="23"/>
  <c r="M49" i="23"/>
  <c r="M56" i="23"/>
  <c r="M72" i="23"/>
  <c r="M40" i="23"/>
  <c r="C169" i="23"/>
  <c r="C135" i="23"/>
  <c r="E205" i="23"/>
  <c r="I242" i="23"/>
  <c r="I318" i="23"/>
  <c r="I437" i="23"/>
  <c r="C382" i="23"/>
  <c r="E297" i="23"/>
  <c r="C388" i="23"/>
  <c r="G173" i="23"/>
  <c r="C183" i="23"/>
  <c r="E355" i="23"/>
  <c r="I125" i="23"/>
  <c r="G28" i="23"/>
  <c r="G203" i="23"/>
  <c r="I145" i="23"/>
  <c r="I80" i="23"/>
  <c r="G264" i="23"/>
  <c r="I176" i="23"/>
  <c r="I397" i="23"/>
  <c r="C160" i="23"/>
  <c r="C153" i="23"/>
  <c r="C142" i="23"/>
  <c r="E365" i="23"/>
  <c r="I295" i="23"/>
  <c r="I294" i="23"/>
  <c r="G171" i="23"/>
  <c r="I312" i="23"/>
  <c r="G184" i="23"/>
  <c r="G430" i="23"/>
  <c r="I197" i="23"/>
  <c r="G56" i="23"/>
  <c r="G38" i="23"/>
  <c r="I371" i="23"/>
  <c r="I306" i="23"/>
  <c r="G315" i="23"/>
  <c r="G48" i="23"/>
  <c r="G363" i="23"/>
  <c r="G160" i="23"/>
  <c r="C207" i="23"/>
  <c r="G161" i="23"/>
  <c r="C56" i="23"/>
  <c r="C102" i="23"/>
  <c r="C128" i="23"/>
  <c r="C235" i="23"/>
  <c r="C9" i="23"/>
  <c r="C133" i="23"/>
  <c r="C312" i="23"/>
  <c r="C187" i="23"/>
  <c r="E268" i="23"/>
  <c r="C267" i="23"/>
  <c r="M4" i="23"/>
  <c r="M37" i="23"/>
  <c r="G42" i="23"/>
  <c r="I34" i="23"/>
  <c r="G63" i="23"/>
  <c r="G368" i="23"/>
  <c r="I370" i="23"/>
  <c r="I283" i="23"/>
  <c r="I264" i="23"/>
  <c r="G390" i="23"/>
  <c r="I91" i="23"/>
  <c r="G396" i="23"/>
  <c r="G427" i="23"/>
  <c r="I430" i="23"/>
  <c r="I84" i="23"/>
  <c r="I149" i="23"/>
  <c r="I317" i="23"/>
  <c r="E129" i="23"/>
  <c r="C136" i="23"/>
  <c r="C217" i="23"/>
  <c r="C58" i="23"/>
  <c r="E209" i="23"/>
  <c r="C220" i="23"/>
  <c r="E84" i="23"/>
  <c r="E290" i="23"/>
  <c r="J414" i="23"/>
  <c r="J432" i="23"/>
  <c r="E227" i="23"/>
  <c r="E252" i="23"/>
  <c r="I432" i="23"/>
  <c r="G168" i="23"/>
  <c r="E77" i="23"/>
  <c r="E304" i="23"/>
  <c r="I431" i="23"/>
  <c r="I36" i="23"/>
  <c r="G226" i="23"/>
  <c r="C89" i="23"/>
  <c r="G120" i="23"/>
  <c r="E144" i="23"/>
  <c r="E356" i="23"/>
  <c r="C67" i="23"/>
  <c r="E298" i="23"/>
  <c r="C68" i="23"/>
  <c r="G405" i="23"/>
  <c r="E249" i="23"/>
  <c r="E354" i="23"/>
  <c r="E254" i="23"/>
  <c r="E138" i="23"/>
  <c r="C159" i="23"/>
  <c r="C306" i="23"/>
  <c r="E389" i="23"/>
  <c r="E407" i="23"/>
  <c r="G276" i="23"/>
  <c r="G110" i="23"/>
  <c r="I356" i="23"/>
  <c r="I59" i="23"/>
  <c r="I154" i="23"/>
  <c r="G21" i="23"/>
  <c r="I253" i="23"/>
  <c r="I224" i="23"/>
  <c r="I229" i="23"/>
  <c r="G87" i="23"/>
  <c r="I205" i="23"/>
  <c r="I17" i="23"/>
  <c r="I234" i="23"/>
  <c r="G386" i="23"/>
  <c r="G41" i="23"/>
  <c r="I187" i="23"/>
  <c r="I257" i="23"/>
  <c r="G261" i="23"/>
  <c r="I393" i="23"/>
  <c r="G69" i="23"/>
  <c r="I226" i="23"/>
  <c r="G141" i="23"/>
  <c r="G145" i="23"/>
  <c r="I69" i="23"/>
  <c r="I250" i="23"/>
  <c r="G40" i="23"/>
  <c r="I417" i="23"/>
  <c r="G384" i="23"/>
  <c r="I174" i="23"/>
  <c r="G202" i="23"/>
  <c r="I384" i="23"/>
  <c r="I74" i="23"/>
  <c r="I341" i="23"/>
  <c r="G443" i="23"/>
  <c r="G260" i="23"/>
  <c r="I178" i="23"/>
  <c r="G245" i="23"/>
  <c r="G275" i="23"/>
  <c r="I282" i="23"/>
  <c r="E424" i="23"/>
  <c r="E392" i="23"/>
  <c r="E62" i="23"/>
  <c r="E300" i="23"/>
  <c r="I278" i="23"/>
  <c r="G330" i="23"/>
  <c r="I338" i="23"/>
  <c r="G10" i="23"/>
  <c r="I163" i="23"/>
  <c r="I436" i="23"/>
  <c r="I146" i="23"/>
  <c r="I38" i="23"/>
  <c r="G208" i="23"/>
  <c r="G130" i="23"/>
  <c r="G155" i="23"/>
  <c r="I62" i="23"/>
  <c r="I161" i="23"/>
  <c r="I218" i="23"/>
  <c r="I368" i="23"/>
  <c r="I349" i="23"/>
  <c r="I116" i="23"/>
  <c r="G102" i="23"/>
  <c r="I378" i="23"/>
  <c r="I33" i="23"/>
  <c r="I166" i="23"/>
  <c r="G77" i="23"/>
  <c r="G265" i="23"/>
  <c r="G147" i="23"/>
  <c r="I195" i="23"/>
  <c r="I311" i="23"/>
  <c r="I325" i="23"/>
  <c r="I13" i="23"/>
  <c r="I79" i="23"/>
  <c r="G76" i="23"/>
  <c r="G81" i="23"/>
  <c r="G140" i="23"/>
  <c r="I326" i="23"/>
  <c r="G189" i="23"/>
  <c r="I214" i="23"/>
  <c r="I297" i="23"/>
  <c r="I103" i="23"/>
  <c r="G382" i="23"/>
  <c r="I230" i="23"/>
  <c r="I290" i="23"/>
  <c r="C192" i="23"/>
  <c r="G289" i="23"/>
  <c r="C208" i="23"/>
  <c r="E394" i="23"/>
  <c r="E422" i="23"/>
  <c r="E330" i="23"/>
  <c r="E111" i="23"/>
  <c r="G107" i="23"/>
  <c r="C248" i="23"/>
  <c r="G80" i="23"/>
  <c r="C113" i="23"/>
  <c r="C199" i="23"/>
  <c r="C337" i="23"/>
  <c r="O394" i="23"/>
  <c r="I41" i="23"/>
  <c r="I219" i="23"/>
  <c r="I411" i="23"/>
  <c r="I119" i="23"/>
  <c r="I215" i="23"/>
  <c r="I243" i="23"/>
  <c r="G194" i="23"/>
  <c r="G99" i="23"/>
  <c r="I362" i="23"/>
  <c r="I324" i="23"/>
  <c r="I101" i="23"/>
  <c r="I85" i="23"/>
  <c r="G64" i="23"/>
  <c r="I3" i="23"/>
  <c r="G343" i="23"/>
  <c r="I322" i="23"/>
  <c r="I299" i="23"/>
  <c r="G258" i="23"/>
  <c r="G180" i="23"/>
  <c r="I5" i="23"/>
  <c r="I49" i="23"/>
  <c r="I369" i="23"/>
  <c r="I58" i="23"/>
  <c r="I407" i="23"/>
  <c r="I9" i="23"/>
  <c r="I357" i="23"/>
  <c r="G228" i="23"/>
  <c r="G354" i="23"/>
  <c r="G158" i="23"/>
  <c r="I40" i="23"/>
  <c r="G298" i="23"/>
  <c r="G32" i="23"/>
  <c r="I367" i="23"/>
  <c r="I141" i="23"/>
  <c r="G93" i="23"/>
  <c r="I81" i="23"/>
  <c r="G394" i="23"/>
  <c r="G39" i="23"/>
  <c r="I345" i="23"/>
  <c r="G392" i="23"/>
  <c r="I409" i="23"/>
  <c r="I148" i="23"/>
  <c r="I420" i="23"/>
  <c r="I99" i="23"/>
  <c r="I6" i="23"/>
  <c r="G227" i="23"/>
  <c r="I191" i="23"/>
  <c r="I388" i="23"/>
  <c r="G78" i="23"/>
  <c r="I113" i="23"/>
  <c r="I373" i="23"/>
  <c r="G191" i="23"/>
  <c r="J336" i="23"/>
  <c r="J223" i="23"/>
  <c r="G292" i="23"/>
  <c r="E258" i="23"/>
  <c r="E232" i="23"/>
  <c r="E175" i="23"/>
  <c r="E193" i="23"/>
  <c r="E174" i="23"/>
  <c r="E171" i="23"/>
  <c r="G106" i="23"/>
  <c r="I327" i="23"/>
  <c r="I412" i="23"/>
  <c r="G34" i="23"/>
  <c r="I344" i="23"/>
  <c r="I246" i="23"/>
  <c r="I248" i="23"/>
  <c r="E55" i="23"/>
  <c r="E241" i="23"/>
  <c r="E211" i="23"/>
  <c r="E294" i="23"/>
  <c r="E122" i="23"/>
  <c r="E104" i="23"/>
  <c r="I27" i="23"/>
  <c r="G271" i="23"/>
  <c r="I386" i="23"/>
  <c r="C429" i="23"/>
  <c r="G353" i="23"/>
  <c r="I115" i="23"/>
  <c r="G233" i="23"/>
  <c r="I72" i="23"/>
  <c r="I390" i="23"/>
  <c r="C284" i="23"/>
  <c r="E33" i="23"/>
  <c r="E265" i="23"/>
  <c r="G82" i="23"/>
  <c r="G412" i="23"/>
  <c r="C125" i="23"/>
  <c r="C127" i="23"/>
  <c r="G337" i="23"/>
  <c r="C407" i="23"/>
  <c r="C239" i="23"/>
  <c r="E353" i="23"/>
  <c r="E295" i="23"/>
  <c r="E239" i="23"/>
  <c r="E323" i="23"/>
  <c r="E191" i="23"/>
  <c r="E132" i="23"/>
  <c r="J181" i="23"/>
  <c r="J91" i="23"/>
  <c r="G254" i="23"/>
  <c r="E433" i="23"/>
  <c r="E421" i="23"/>
  <c r="E441" i="23"/>
  <c r="E402" i="23"/>
  <c r="E162" i="23"/>
  <c r="E39" i="23"/>
  <c r="E369" i="23"/>
  <c r="E49" i="23"/>
  <c r="E9" i="23"/>
  <c r="E359" i="23"/>
  <c r="E76" i="23"/>
  <c r="E208" i="23"/>
  <c r="E320" i="23"/>
  <c r="I289" i="23"/>
  <c r="I340" i="23"/>
  <c r="I337" i="23"/>
  <c r="I208" i="23"/>
  <c r="I343" i="23"/>
  <c r="I68" i="23"/>
  <c r="I42" i="23"/>
  <c r="G9" i="23"/>
  <c r="I275" i="23"/>
  <c r="I256" i="23"/>
  <c r="I94" i="23"/>
  <c r="I51" i="23"/>
  <c r="G67" i="23"/>
  <c r="I177" i="23"/>
  <c r="J252" i="23"/>
  <c r="L40" i="11" s="1"/>
  <c r="J207" i="23"/>
  <c r="I143" i="23"/>
  <c r="I321" i="23"/>
  <c r="I190" i="23"/>
  <c r="I60" i="23"/>
  <c r="G248" i="23"/>
  <c r="G262" i="23"/>
  <c r="G19" i="23"/>
  <c r="I4" i="23"/>
  <c r="I398" i="23"/>
  <c r="C362" i="23"/>
  <c r="C213" i="23"/>
  <c r="C393" i="23"/>
  <c r="C88" i="23"/>
  <c r="E390" i="23"/>
  <c r="E410" i="23"/>
  <c r="C162" i="23"/>
  <c r="C176" i="23"/>
  <c r="G358" i="23"/>
  <c r="C260" i="23"/>
  <c r="C420" i="23"/>
  <c r="C109" i="23"/>
  <c r="C292" i="23"/>
  <c r="C308" i="23"/>
  <c r="C425" i="23"/>
  <c r="E126" i="23"/>
  <c r="E216" i="23"/>
  <c r="E351" i="23"/>
  <c r="G266" i="23"/>
  <c r="G398" i="23"/>
  <c r="C177" i="23"/>
  <c r="I333" i="23"/>
  <c r="G376" i="23"/>
  <c r="C252" i="23"/>
  <c r="C79" i="23"/>
  <c r="E170" i="23"/>
  <c r="E247" i="23"/>
  <c r="E214" i="23"/>
  <c r="I359" i="23"/>
  <c r="E106" i="23"/>
  <c r="E221" i="23"/>
  <c r="E270" i="23"/>
  <c r="E416" i="23"/>
  <c r="E431" i="23"/>
  <c r="M12" i="23"/>
  <c r="E21" i="23"/>
  <c r="E266" i="23"/>
  <c r="E108" i="23"/>
  <c r="E124" i="23"/>
  <c r="M71" i="23"/>
  <c r="E430" i="23"/>
  <c r="E398" i="23"/>
  <c r="I182" i="23"/>
  <c r="I121" i="23"/>
  <c r="I123" i="23"/>
  <c r="I347" i="23"/>
  <c r="G13" i="23"/>
  <c r="G133" i="23"/>
  <c r="I336" i="23"/>
  <c r="I11" i="23"/>
  <c r="G220" i="23"/>
  <c r="I267" i="23"/>
  <c r="I335" i="23"/>
  <c r="G373" i="23"/>
  <c r="G428" i="23"/>
  <c r="G267" i="23"/>
  <c r="I156" i="23"/>
  <c r="G176" i="23"/>
  <c r="I106" i="23"/>
  <c r="G313" i="23"/>
  <c r="G420" i="23"/>
  <c r="I87" i="23"/>
  <c r="I249" i="23"/>
  <c r="E291" i="23"/>
  <c r="E14" i="23"/>
  <c r="C175" i="23"/>
  <c r="G61" i="23"/>
  <c r="C383" i="23"/>
  <c r="C11" i="23"/>
  <c r="G65" i="23"/>
  <c r="C422" i="23"/>
  <c r="G352" i="23"/>
  <c r="I77" i="23"/>
  <c r="G304" i="23"/>
  <c r="I314" i="23"/>
  <c r="C246" i="23"/>
  <c r="C124" i="23"/>
  <c r="C325" i="23"/>
  <c r="I310" i="23"/>
  <c r="I56" i="23"/>
  <c r="C347" i="23"/>
  <c r="J200" i="23"/>
  <c r="J229" i="23"/>
  <c r="G346" i="23"/>
  <c r="C13" i="23"/>
  <c r="E189" i="23"/>
  <c r="E420" i="23"/>
  <c r="C105" i="23"/>
  <c r="I261" i="23"/>
  <c r="G31" i="23"/>
  <c r="E329" i="23"/>
  <c r="E168" i="23"/>
  <c r="E192" i="23"/>
  <c r="I391" i="23"/>
  <c r="J151" i="23"/>
  <c r="C42" i="24" s="1"/>
  <c r="J372" i="23"/>
  <c r="C41" i="11" s="1"/>
  <c r="G214" i="23"/>
  <c r="I140" i="23"/>
  <c r="I12" i="23"/>
  <c r="G349" i="23"/>
  <c r="G281" i="23"/>
  <c r="I363" i="23"/>
  <c r="G365" i="23"/>
  <c r="I406" i="23"/>
  <c r="G359" i="23"/>
  <c r="G44" i="23"/>
  <c r="I374" i="23"/>
  <c r="I395" i="23"/>
  <c r="I225" i="23"/>
  <c r="I366" i="23"/>
  <c r="I151" i="23"/>
  <c r="G435" i="23"/>
  <c r="G17" i="23"/>
  <c r="I196" i="23"/>
  <c r="G329" i="23"/>
  <c r="G221" i="23"/>
  <c r="I130" i="23"/>
  <c r="G369" i="23"/>
  <c r="G433" i="23"/>
  <c r="I315" i="23"/>
  <c r="G375" i="23"/>
  <c r="G74" i="23"/>
  <c r="I351" i="23"/>
  <c r="I309" i="23"/>
  <c r="I105" i="23"/>
  <c r="I308" i="23"/>
  <c r="G197" i="23"/>
  <c r="G280" i="23"/>
  <c r="I293" i="23"/>
  <c r="I237" i="23"/>
  <c r="I346" i="23"/>
  <c r="I259" i="23"/>
  <c r="G257" i="23"/>
  <c r="G14" i="23"/>
  <c r="G149" i="23"/>
  <c r="G90" i="23"/>
  <c r="I339" i="23"/>
  <c r="I43" i="23"/>
  <c r="I98" i="23"/>
  <c r="I320" i="23"/>
  <c r="G230" i="23"/>
  <c r="G361" i="23"/>
  <c r="G58" i="23"/>
  <c r="G333" i="23"/>
  <c r="G222" i="23"/>
  <c r="G272" i="23"/>
  <c r="C300" i="23"/>
  <c r="C129" i="23"/>
  <c r="G198" i="23"/>
  <c r="G75" i="23"/>
  <c r="C318" i="23"/>
  <c r="I23" i="23"/>
  <c r="E196" i="23"/>
  <c r="E79" i="23"/>
  <c r="E53" i="23"/>
  <c r="I203" i="23"/>
  <c r="G206" i="23"/>
  <c r="C90" i="23"/>
  <c r="I360" i="23"/>
  <c r="G166" i="23"/>
  <c r="C224" i="23"/>
  <c r="C182" i="23"/>
  <c r="C311" i="23"/>
  <c r="G277" i="23"/>
  <c r="C233" i="23"/>
  <c r="G192" i="23"/>
  <c r="C242" i="23"/>
  <c r="E296" i="23"/>
  <c r="E15" i="23"/>
  <c r="C415" i="23"/>
  <c r="E244" i="23"/>
  <c r="E37" i="23"/>
  <c r="E28" i="23"/>
  <c r="E277" i="23"/>
  <c r="G193" i="23"/>
  <c r="I235" i="23"/>
  <c r="I206" i="23"/>
  <c r="G308" i="23"/>
  <c r="I92" i="23"/>
  <c r="G111" i="23"/>
  <c r="I70" i="23"/>
  <c r="G424" i="23"/>
  <c r="G172" i="23"/>
  <c r="I162" i="23"/>
  <c r="I55" i="23"/>
  <c r="I244" i="23"/>
  <c r="I184" i="23"/>
  <c r="I117" i="23"/>
  <c r="E274" i="23"/>
  <c r="E128" i="23"/>
  <c r="G207" i="23"/>
  <c r="C66" i="23"/>
  <c r="I443" i="23"/>
  <c r="G114" i="23"/>
  <c r="C122" i="23"/>
  <c r="M61" i="23"/>
  <c r="M13" i="23"/>
  <c r="M55" i="23"/>
  <c r="M23" i="23"/>
  <c r="E437" i="23"/>
  <c r="E60" i="23"/>
  <c r="C19" i="23"/>
  <c r="E305" i="23"/>
  <c r="E237" i="23"/>
  <c r="J85" i="23"/>
  <c r="C43" i="16" s="1"/>
  <c r="J2" i="23"/>
  <c r="K40" i="24" s="1"/>
  <c r="E316" i="23"/>
  <c r="E135" i="23"/>
  <c r="E165" i="23"/>
  <c r="G287" i="23"/>
  <c r="G293" i="23"/>
  <c r="I279" i="23"/>
  <c r="I323" i="23"/>
  <c r="G274" i="23"/>
  <c r="E195" i="23"/>
  <c r="C402" i="23"/>
  <c r="G388" i="23"/>
  <c r="C384" i="23"/>
  <c r="E332" i="23"/>
  <c r="I424" i="23"/>
  <c r="C419" i="23"/>
  <c r="C330" i="23"/>
  <c r="I394" i="23"/>
  <c r="C294" i="23"/>
  <c r="I120" i="23"/>
  <c r="C376" i="23"/>
  <c r="E58" i="23"/>
  <c r="I199" i="23"/>
  <c r="I152" i="23"/>
  <c r="C355" i="23"/>
  <c r="I61" i="23"/>
  <c r="C59" i="23"/>
  <c r="C373" i="23"/>
  <c r="E215" i="23"/>
  <c r="C194" i="23"/>
  <c r="C381" i="23"/>
  <c r="G210" i="23"/>
  <c r="G434" i="23"/>
  <c r="C157" i="23"/>
  <c r="C197" i="23"/>
  <c r="C423" i="23"/>
  <c r="G364" i="23"/>
  <c r="C112" i="23"/>
  <c r="C130" i="23"/>
  <c r="C361" i="23"/>
  <c r="C274" i="23"/>
  <c r="C345" i="23"/>
  <c r="C223" i="23"/>
  <c r="I32" i="23"/>
  <c r="C147" i="23"/>
  <c r="C309" i="23"/>
  <c r="C26" i="23"/>
  <c r="E308" i="23"/>
  <c r="E137" i="23"/>
  <c r="C180" i="23"/>
  <c r="E253" i="23"/>
  <c r="E236" i="23"/>
  <c r="E380" i="23"/>
  <c r="G148" i="23"/>
  <c r="C378" i="23"/>
  <c r="E231" i="23"/>
  <c r="M83" i="23"/>
  <c r="M20" i="23"/>
  <c r="E238" i="23"/>
  <c r="M79" i="23"/>
  <c r="E145" i="23"/>
  <c r="E47" i="23"/>
  <c r="E163" i="23"/>
  <c r="E57" i="23"/>
  <c r="E110" i="23"/>
  <c r="E148" i="23"/>
  <c r="M36" i="23"/>
  <c r="M89" i="23"/>
  <c r="M18" i="23"/>
  <c r="C228" i="23"/>
  <c r="E113" i="23"/>
  <c r="C3" i="23"/>
  <c r="C256" i="23"/>
  <c r="E173" i="23"/>
  <c r="E127" i="23"/>
  <c r="E134" i="23"/>
  <c r="E44" i="23"/>
  <c r="E167" i="23"/>
  <c r="G167" i="23"/>
  <c r="G100" i="23"/>
  <c r="C430" i="23"/>
  <c r="C327" i="23"/>
  <c r="E178" i="23"/>
  <c r="C414" i="23"/>
  <c r="C150" i="23"/>
  <c r="C392" i="23"/>
  <c r="C170" i="23"/>
  <c r="G348" i="23"/>
  <c r="I124" i="23"/>
  <c r="I410" i="23"/>
  <c r="C214" i="23"/>
  <c r="I383" i="23"/>
  <c r="C14" i="23"/>
  <c r="C334" i="23"/>
  <c r="C254" i="23"/>
  <c r="C28" i="23"/>
  <c r="C328" i="23"/>
  <c r="E66" i="23"/>
  <c r="C418" i="23"/>
  <c r="G436" i="23"/>
  <c r="G319" i="23"/>
  <c r="C30" i="23"/>
  <c r="E70" i="23"/>
  <c r="I52" i="23"/>
  <c r="E399" i="23"/>
  <c r="E64" i="23"/>
  <c r="C266" i="23"/>
  <c r="I434" i="23"/>
  <c r="C149" i="23"/>
  <c r="E109" i="23"/>
  <c r="M42" i="23"/>
  <c r="M78" i="23"/>
  <c r="E271" i="23"/>
  <c r="E159" i="23"/>
  <c r="M81" i="23"/>
  <c r="M19" i="23"/>
  <c r="M44" i="23"/>
  <c r="M90" i="23"/>
  <c r="E346" i="23"/>
  <c r="E361" i="23"/>
  <c r="E56" i="23"/>
  <c r="E363" i="23"/>
  <c r="E419" i="23"/>
  <c r="I135" i="23"/>
  <c r="M29" i="23"/>
  <c r="M30" i="23"/>
  <c r="E327" i="23"/>
  <c r="E217" i="23"/>
  <c r="E61" i="23"/>
  <c r="E95" i="23"/>
  <c r="E242" i="23"/>
  <c r="E324" i="23"/>
  <c r="E283" i="23"/>
  <c r="E218" i="23"/>
  <c r="E312" i="23"/>
  <c r="E243" i="23"/>
  <c r="E388" i="23"/>
  <c r="E73" i="23"/>
  <c r="J310" i="23"/>
  <c r="C190" i="23"/>
  <c r="M34" i="23"/>
  <c r="M57" i="23"/>
  <c r="E303" i="23"/>
  <c r="C34" i="23"/>
  <c r="E89" i="23"/>
  <c r="E136" i="23"/>
  <c r="E306" i="23"/>
  <c r="E409" i="23"/>
  <c r="I284" i="23"/>
  <c r="G324" i="23"/>
  <c r="G423" i="23"/>
  <c r="I221" i="23"/>
  <c r="I50" i="23"/>
  <c r="I147" i="23"/>
  <c r="G109" i="23"/>
  <c r="G45" i="23"/>
  <c r="E408" i="23"/>
  <c r="G403" i="23"/>
  <c r="G121" i="23"/>
  <c r="G338" i="23"/>
  <c r="C348" i="23"/>
  <c r="C181" i="23"/>
  <c r="C106" i="23"/>
  <c r="C290" i="23"/>
  <c r="I365" i="23"/>
  <c r="G68" i="23"/>
  <c r="C291" i="23"/>
  <c r="C95" i="23"/>
  <c r="C297" i="23"/>
  <c r="C363" i="23"/>
  <c r="G269" i="23"/>
  <c r="C212" i="23"/>
  <c r="C52" i="23"/>
  <c r="G88" i="23"/>
  <c r="C205" i="23"/>
  <c r="C200" i="23"/>
  <c r="C367" i="23"/>
  <c r="C202" i="23"/>
  <c r="C226" i="23"/>
  <c r="G15" i="23"/>
  <c r="C196" i="23"/>
  <c r="G218" i="23"/>
  <c r="C193" i="23"/>
  <c r="E386" i="23"/>
  <c r="G62" i="23"/>
  <c r="G317" i="23"/>
  <c r="C167" i="23"/>
  <c r="C38" i="23"/>
  <c r="C365" i="23"/>
  <c r="C107" i="23"/>
  <c r="C5" i="23"/>
  <c r="C380" i="23"/>
  <c r="C232" i="23"/>
  <c r="G429" i="23"/>
  <c r="C71" i="23"/>
  <c r="G215" i="23"/>
  <c r="C413" i="23"/>
  <c r="C36" i="23"/>
  <c r="C417" i="23"/>
  <c r="C346" i="23"/>
  <c r="C35" i="23"/>
  <c r="E246" i="23"/>
  <c r="E411" i="23"/>
  <c r="E240" i="23"/>
  <c r="C302" i="23"/>
  <c r="E344" i="23"/>
  <c r="M68" i="23"/>
  <c r="M84" i="23"/>
  <c r="E103" i="23"/>
  <c r="M70" i="23"/>
  <c r="M93" i="23"/>
  <c r="E88" i="23"/>
  <c r="C421" i="23"/>
  <c r="M22" i="23"/>
  <c r="I22" i="23"/>
  <c r="C293" i="23"/>
  <c r="C358" i="23"/>
  <c r="E307" i="23"/>
  <c r="C222" i="23"/>
  <c r="E302" i="23"/>
  <c r="E412" i="23"/>
  <c r="E387" i="23"/>
  <c r="E301" i="23"/>
  <c r="E59" i="23"/>
  <c r="E223" i="23"/>
  <c r="E120" i="23"/>
  <c r="E436" i="23"/>
  <c r="I133" i="23"/>
  <c r="C74" i="23"/>
  <c r="C432" i="23"/>
  <c r="C270" i="23"/>
  <c r="C140" i="23"/>
  <c r="G159" i="23"/>
  <c r="C398" i="23"/>
  <c r="I240" i="23"/>
  <c r="C161" i="23"/>
  <c r="C276" i="23"/>
  <c r="C198" i="23"/>
  <c r="C85" i="23"/>
  <c r="C4" i="23"/>
  <c r="C416" i="23"/>
  <c r="C385" i="23"/>
  <c r="C86" i="23"/>
  <c r="G83" i="23"/>
  <c r="G328" i="23"/>
  <c r="C46" i="23"/>
  <c r="C405" i="23"/>
  <c r="C359" i="23"/>
  <c r="E125" i="23"/>
  <c r="G112" i="23"/>
  <c r="C262" i="23"/>
  <c r="G37" i="23"/>
  <c r="E3" i="23"/>
  <c r="C344" i="23"/>
  <c r="M25" i="23"/>
  <c r="M48" i="23"/>
  <c r="M33" i="23"/>
  <c r="I57" i="23"/>
  <c r="E90" i="23"/>
  <c r="C409" i="23"/>
  <c r="C277" i="23"/>
  <c r="O441" i="23"/>
  <c r="C75" i="23"/>
  <c r="C44" i="23"/>
  <c r="E51" i="23"/>
  <c r="E219" i="23"/>
  <c r="J92" i="23"/>
  <c r="I42" i="21" s="1"/>
  <c r="J97" i="23"/>
  <c r="I43" i="21" s="1"/>
  <c r="J378" i="23"/>
  <c r="E273" i="23"/>
  <c r="E414" i="23"/>
  <c r="E226" i="23"/>
  <c r="G26" i="23"/>
  <c r="I220" i="23"/>
  <c r="I213" i="23"/>
  <c r="I440" i="23"/>
  <c r="G301" i="23"/>
  <c r="I29" i="23"/>
  <c r="I175" i="23"/>
  <c r="I429" i="23"/>
  <c r="I71" i="23"/>
  <c r="G437" i="23"/>
  <c r="E382" i="23"/>
  <c r="G413" i="23"/>
  <c r="I438" i="23"/>
  <c r="I10" i="23"/>
  <c r="C146" i="23"/>
  <c r="C119" i="23"/>
  <c r="I255" i="23"/>
  <c r="C121" i="23"/>
  <c r="I285" i="23"/>
  <c r="C353" i="23"/>
  <c r="C438" i="23"/>
  <c r="C351" i="23"/>
  <c r="G216" i="23"/>
  <c r="C281" i="23"/>
  <c r="C216" i="23"/>
  <c r="E230" i="23"/>
  <c r="C303" i="23"/>
  <c r="C364" i="23"/>
  <c r="C323" i="23"/>
  <c r="I274" i="23"/>
  <c r="C426" i="23"/>
  <c r="C404" i="23"/>
  <c r="C103" i="23"/>
  <c r="I153" i="23"/>
  <c r="G242" i="23"/>
  <c r="I423" i="23"/>
  <c r="C336" i="23"/>
  <c r="C412" i="23"/>
  <c r="C251" i="23"/>
  <c r="C225" i="23"/>
  <c r="C349" i="23"/>
  <c r="C171" i="23"/>
  <c r="C273" i="23"/>
  <c r="E119" i="23"/>
  <c r="C8" i="23"/>
  <c r="G306" i="23"/>
  <c r="C158" i="23"/>
  <c r="G25" i="23"/>
  <c r="E331" i="23"/>
  <c r="E72" i="23"/>
  <c r="C218" i="23"/>
  <c r="G409" i="23"/>
  <c r="E69" i="23"/>
  <c r="G422" i="23"/>
  <c r="E52" i="23"/>
  <c r="C289" i="23"/>
  <c r="G136" i="23"/>
  <c r="M88" i="23"/>
  <c r="M26" i="23"/>
  <c r="E96" i="23"/>
  <c r="M62" i="23"/>
  <c r="E181" i="23"/>
  <c r="M67" i="23"/>
  <c r="E418" i="23"/>
  <c r="C186" i="23"/>
  <c r="E225" i="23"/>
  <c r="C263" i="23"/>
  <c r="C307" i="23"/>
  <c r="O423" i="23"/>
  <c r="E13" i="23"/>
  <c r="E213" i="23"/>
  <c r="I331" i="23"/>
  <c r="I252" i="23"/>
  <c r="I281" i="23"/>
  <c r="I14" i="23"/>
  <c r="G253" i="23"/>
  <c r="G127" i="23"/>
  <c r="I268" i="23"/>
  <c r="G389" i="23"/>
  <c r="I399" i="23"/>
  <c r="I428" i="23"/>
  <c r="I258" i="23"/>
  <c r="C386" i="23"/>
  <c r="C435" i="23"/>
  <c r="C151" i="23"/>
  <c r="G169" i="23"/>
  <c r="C329" i="23"/>
  <c r="C51" i="23"/>
  <c r="I21" i="23"/>
  <c r="C110" i="23"/>
  <c r="G278" i="23"/>
  <c r="C184" i="23"/>
  <c r="C310" i="23"/>
  <c r="C408" i="23"/>
  <c r="I66" i="23"/>
  <c r="I277" i="23"/>
  <c r="C80" i="23"/>
  <c r="C164" i="23"/>
  <c r="I403" i="23"/>
  <c r="I139" i="23"/>
  <c r="C64" i="23"/>
  <c r="C338" i="23"/>
  <c r="I122" i="23"/>
  <c r="G385" i="23"/>
  <c r="C439" i="23"/>
  <c r="I238" i="23"/>
  <c r="I131" i="23"/>
  <c r="C278" i="23"/>
  <c r="C111" i="23"/>
  <c r="C18" i="23"/>
  <c r="G51" i="23"/>
  <c r="C279" i="23"/>
  <c r="C219" i="23"/>
  <c r="C152" i="23"/>
  <c r="E157" i="23"/>
  <c r="I128" i="23"/>
  <c r="C265" i="23"/>
  <c r="C286" i="23"/>
  <c r="C264" i="23"/>
  <c r="C296" i="23"/>
  <c r="C231" i="23"/>
  <c r="C116" i="23"/>
  <c r="C287" i="23"/>
  <c r="C230" i="23"/>
  <c r="C320" i="23"/>
  <c r="G211" i="23"/>
  <c r="M87" i="23"/>
  <c r="M31" i="23"/>
  <c r="M39" i="23"/>
  <c r="M60" i="23"/>
  <c r="M82" i="23"/>
  <c r="M28" i="23"/>
  <c r="M95" i="23"/>
  <c r="M86" i="23"/>
  <c r="M50" i="23"/>
  <c r="E194" i="23"/>
  <c r="C360" i="23"/>
  <c r="E160" i="23"/>
  <c r="C333" i="23"/>
  <c r="E38" i="23"/>
  <c r="E293" i="23"/>
  <c r="E142" i="23"/>
  <c r="E41" i="23"/>
  <c r="E102" i="23"/>
  <c r="E93" i="23"/>
  <c r="E403" i="23"/>
  <c r="E92" i="23"/>
  <c r="J30" i="23"/>
  <c r="D44" i="16" s="1"/>
  <c r="E262" i="23"/>
  <c r="E65" i="23"/>
  <c r="E118" i="23"/>
  <c r="E179" i="23"/>
  <c r="E235" i="23"/>
  <c r="G35" i="23"/>
  <c r="C272" i="23"/>
  <c r="E281" i="23"/>
  <c r="J241" i="23"/>
  <c r="E325" i="23"/>
  <c r="J311" i="23"/>
  <c r="E220" i="23"/>
  <c r="E48" i="23"/>
  <c r="E150" i="23"/>
  <c r="J439" i="23"/>
  <c r="M147" i="23"/>
  <c r="M292" i="23"/>
  <c r="M281" i="23"/>
  <c r="M218" i="23"/>
  <c r="M152" i="23"/>
  <c r="M393" i="23"/>
  <c r="M187" i="23"/>
  <c r="M264" i="23"/>
  <c r="M435" i="23"/>
  <c r="M378" i="23"/>
  <c r="M186" i="23"/>
  <c r="M258" i="23"/>
  <c r="M340" i="23"/>
  <c r="M180" i="23"/>
  <c r="M321" i="23"/>
  <c r="M113" i="23"/>
  <c r="M397" i="23"/>
  <c r="M317" i="23"/>
  <c r="M339" i="23"/>
  <c r="M334" i="23"/>
  <c r="M229" i="23"/>
  <c r="M240" i="23"/>
  <c r="M379" i="23"/>
  <c r="M364" i="23"/>
  <c r="M276" i="23"/>
  <c r="M8" i="23"/>
  <c r="M228" i="23"/>
  <c r="M164" i="23"/>
  <c r="M178" i="23"/>
  <c r="M420" i="23"/>
  <c r="M223" i="23"/>
  <c r="M143" i="23"/>
  <c r="M263" i="23"/>
  <c r="M224" i="23"/>
  <c r="M226" i="23"/>
  <c r="M391" i="23"/>
  <c r="M136" i="23"/>
  <c r="M348" i="23"/>
  <c r="M361" i="23"/>
  <c r="M413" i="23"/>
  <c r="M273" i="23"/>
  <c r="M97" i="23"/>
  <c r="M398" i="23"/>
  <c r="M402" i="23"/>
  <c r="M169" i="23"/>
  <c r="M118" i="23"/>
  <c r="M308" i="23"/>
  <c r="M270" i="23"/>
  <c r="M220" i="23"/>
  <c r="M443" i="23"/>
  <c r="M261" i="23"/>
  <c r="M138" i="23"/>
  <c r="M161" i="23"/>
  <c r="M412" i="23"/>
  <c r="M206" i="23"/>
  <c r="M288" i="23"/>
  <c r="M142" i="23"/>
  <c r="M282" i="23"/>
  <c r="M403" i="23"/>
  <c r="M394" i="23"/>
  <c r="M286" i="23"/>
  <c r="M221" i="23"/>
  <c r="M383" i="23"/>
  <c r="M395" i="23"/>
  <c r="M109" i="23"/>
  <c r="M255" i="23"/>
  <c r="M148" i="23"/>
  <c r="M359" i="23"/>
  <c r="M384" i="23"/>
  <c r="M121" i="23"/>
  <c r="M385" i="23"/>
  <c r="M331" i="23"/>
  <c r="M246" i="23"/>
  <c r="M423" i="23"/>
  <c r="M163" i="23"/>
  <c r="M357" i="23"/>
  <c r="M405" i="23"/>
  <c r="M367" i="23"/>
  <c r="M182" i="23"/>
  <c r="M410" i="23"/>
  <c r="M181" i="23"/>
  <c r="M333" i="23"/>
  <c r="M215" i="23"/>
  <c r="M426" i="23"/>
  <c r="M219" i="23"/>
  <c r="M108" i="23"/>
  <c r="M274" i="23"/>
  <c r="M301" i="23"/>
  <c r="M149" i="23"/>
  <c r="M408" i="23"/>
  <c r="M374" i="23"/>
  <c r="M2" i="23"/>
  <c r="M202" i="23"/>
  <c r="M316" i="23"/>
  <c r="M111" i="23"/>
  <c r="M414" i="23"/>
  <c r="M135" i="23"/>
  <c r="M310" i="23"/>
  <c r="M439" i="23"/>
  <c r="M166" i="23"/>
  <c r="M437" i="23"/>
  <c r="M236" i="23"/>
  <c r="M381" i="23"/>
  <c r="M294" i="23"/>
  <c r="M106" i="23"/>
  <c r="M432" i="23"/>
  <c r="M247" i="23"/>
  <c r="M98" i="23"/>
  <c r="M368" i="23"/>
  <c r="M114" i="23"/>
  <c r="M3" i="23"/>
  <c r="M244" i="23"/>
  <c r="M250" i="23"/>
  <c r="M430" i="23"/>
  <c r="M227" i="23"/>
  <c r="M431" i="23"/>
  <c r="M104" i="23"/>
  <c r="M389" i="23"/>
  <c r="M396" i="23"/>
  <c r="M234" i="23"/>
  <c r="M346" i="23"/>
  <c r="M212" i="23"/>
  <c r="M141" i="23"/>
  <c r="M266" i="23"/>
  <c r="M326" i="23"/>
  <c r="M119" i="23"/>
  <c r="M265" i="23"/>
  <c r="M388" i="23"/>
  <c r="M417" i="23"/>
  <c r="M337" i="23"/>
  <c r="M363" i="23"/>
  <c r="M424" i="23"/>
  <c r="M27" i="23"/>
  <c r="M267" i="23"/>
  <c r="M428" i="23"/>
  <c r="M183" i="23"/>
  <c r="M411" i="23"/>
  <c r="M171" i="23"/>
  <c r="M406" i="23"/>
  <c r="M441" i="23"/>
  <c r="M222" i="23"/>
  <c r="M110" i="23"/>
  <c r="M197" i="23"/>
  <c r="M259" i="23"/>
  <c r="M342" i="23"/>
  <c r="M209" i="23"/>
  <c r="M365" i="23"/>
  <c r="M195" i="23"/>
  <c r="M283" i="23"/>
  <c r="M172" i="23"/>
  <c r="M399" i="23"/>
  <c r="M312" i="23"/>
  <c r="M99" i="23"/>
  <c r="M198" i="23"/>
  <c r="M140" i="23"/>
  <c r="M123" i="23"/>
  <c r="M319" i="23"/>
  <c r="M300" i="23"/>
  <c r="M318" i="23"/>
  <c r="M353" i="23"/>
  <c r="M277" i="23"/>
  <c r="M401" i="23"/>
  <c r="M101" i="23"/>
  <c r="M323" i="23"/>
  <c r="M442" i="23"/>
  <c r="M433" i="23"/>
  <c r="M360" i="23"/>
  <c r="M328" i="23"/>
  <c r="M242" i="23"/>
  <c r="M125" i="23"/>
  <c r="M336" i="23"/>
  <c r="M211" i="23"/>
  <c r="M120" i="23"/>
  <c r="M238" i="23"/>
  <c r="M249" i="23"/>
  <c r="M304" i="23"/>
  <c r="M175" i="23"/>
  <c r="M421" i="23"/>
  <c r="M103" i="23"/>
  <c r="M322" i="23"/>
  <c r="M422" i="23"/>
  <c r="M155" i="23"/>
  <c r="M165" i="23"/>
  <c r="M332" i="23"/>
  <c r="M158" i="23"/>
  <c r="M127" i="23"/>
  <c r="M190" i="23"/>
  <c r="M116" i="23"/>
  <c r="M207" i="23"/>
  <c r="M299" i="23"/>
  <c r="M291" i="23"/>
  <c r="M419" i="23"/>
  <c r="M252" i="23"/>
  <c r="M185" i="23"/>
  <c r="M287" i="23"/>
  <c r="M366" i="23"/>
  <c r="M130" i="23"/>
  <c r="M297" i="23"/>
  <c r="M239" i="23"/>
  <c r="M150" i="23"/>
  <c r="M112" i="23"/>
  <c r="M203" i="23"/>
  <c r="M179" i="23"/>
  <c r="M257" i="23"/>
  <c r="M194" i="23"/>
  <c r="M177" i="23"/>
  <c r="M327" i="23"/>
  <c r="M356" i="23"/>
  <c r="M343" i="23"/>
  <c r="M201" i="23"/>
  <c r="M269" i="23"/>
  <c r="M262" i="23"/>
  <c r="M370" i="23"/>
  <c r="M425" i="23"/>
  <c r="M154" i="23"/>
  <c r="M315" i="23"/>
  <c r="M293" i="23"/>
  <c r="M173" i="23"/>
  <c r="M306" i="23"/>
  <c r="M302" i="23"/>
  <c r="M115" i="23"/>
  <c r="M241" i="23"/>
  <c r="M279" i="23"/>
  <c r="M144" i="23"/>
  <c r="M174" i="23"/>
  <c r="M189" i="23"/>
  <c r="M352" i="23"/>
  <c r="M436" i="23"/>
  <c r="M214" i="23"/>
  <c r="M102" i="23"/>
  <c r="M354" i="23"/>
  <c r="M145" i="23"/>
  <c r="M204" i="23"/>
  <c r="M45" i="23"/>
  <c r="M251" i="23"/>
  <c r="M438" i="23"/>
  <c r="M296" i="23"/>
  <c r="M275" i="23"/>
  <c r="M199" i="23"/>
  <c r="M415" i="23"/>
  <c r="M162" i="23"/>
  <c r="M231" i="23"/>
  <c r="M254" i="23"/>
  <c r="M416" i="23"/>
  <c r="M128" i="23"/>
  <c r="M372" i="23"/>
  <c r="M107" i="23"/>
  <c r="M329" i="23"/>
  <c r="M159" i="23"/>
  <c r="M392" i="23"/>
  <c r="M105" i="23"/>
  <c r="M341" i="23"/>
  <c r="M440" i="23"/>
  <c r="M153" i="23"/>
  <c r="M200" i="23"/>
  <c r="M134" i="23"/>
  <c r="M122" i="23"/>
  <c r="M260" i="23"/>
  <c r="M184" i="23"/>
  <c r="M290" i="23"/>
  <c r="M400" i="23"/>
  <c r="M237" i="23"/>
  <c r="M369" i="23"/>
  <c r="M151" i="23"/>
  <c r="M344" i="23"/>
  <c r="M217" i="23"/>
  <c r="M126" i="23"/>
  <c r="M298" i="23"/>
  <c r="M325" i="23"/>
  <c r="M434" i="23"/>
  <c r="M129" i="23"/>
  <c r="M124" i="23"/>
  <c r="M390" i="23"/>
  <c r="M188" i="23"/>
  <c r="M208" i="23"/>
  <c r="M349" i="23"/>
  <c r="M407" i="23"/>
  <c r="M137" i="23"/>
  <c r="M271" i="23"/>
  <c r="M167" i="23"/>
  <c r="M235" i="23"/>
  <c r="M192" i="23"/>
  <c r="M284" i="23"/>
  <c r="M160" i="23"/>
  <c r="M230" i="23"/>
  <c r="M216" i="23"/>
  <c r="M377" i="23"/>
  <c r="M117" i="23"/>
  <c r="M289" i="23"/>
  <c r="M170" i="23"/>
  <c r="M362" i="23"/>
  <c r="M338" i="23"/>
  <c r="M232" i="23"/>
  <c r="M320" i="23"/>
  <c r="M330" i="23"/>
  <c r="M156" i="23"/>
  <c r="M350" i="23"/>
  <c r="M307" i="23"/>
  <c r="M335" i="23"/>
  <c r="M100" i="23"/>
  <c r="M387" i="23"/>
  <c r="M285" i="23"/>
  <c r="M380" i="23"/>
  <c r="M427" i="23"/>
  <c r="M253" i="23"/>
  <c r="M96" i="23"/>
  <c r="M324" i="23"/>
  <c r="M146" i="23"/>
  <c r="M278" i="23"/>
  <c r="M409" i="23"/>
  <c r="M196" i="23"/>
  <c r="M355" i="23"/>
  <c r="M168" i="23"/>
  <c r="M347" i="23"/>
  <c r="M314" i="23"/>
  <c r="M375" i="23"/>
  <c r="M345" i="23"/>
  <c r="M256" i="23"/>
  <c r="M139" i="23"/>
  <c r="M303" i="23"/>
  <c r="M176" i="23"/>
  <c r="M305" i="23"/>
  <c r="M213" i="23"/>
  <c r="M386" i="23"/>
  <c r="M313" i="23"/>
  <c r="M404" i="23"/>
  <c r="M243" i="23"/>
  <c r="M11" i="23"/>
  <c r="M133" i="23"/>
  <c r="M233" i="23"/>
  <c r="M382" i="23"/>
  <c r="M358" i="23"/>
  <c r="M376" i="23"/>
  <c r="M191" i="23"/>
  <c r="M157" i="23"/>
  <c r="M429" i="23"/>
  <c r="M132" i="23"/>
  <c r="M295" i="23"/>
  <c r="M280" i="23"/>
  <c r="M210" i="23"/>
  <c r="M309" i="23"/>
  <c r="M205" i="23"/>
  <c r="M131" i="23"/>
  <c r="M193" i="23"/>
  <c r="M225" i="23"/>
  <c r="M248" i="23"/>
  <c r="M373" i="23"/>
  <c r="M245" i="23"/>
  <c r="M351" i="23"/>
  <c r="M311" i="23"/>
  <c r="M268" i="23"/>
  <c r="M272" i="23"/>
  <c r="M418" i="23"/>
  <c r="M371" i="23"/>
  <c r="K361" i="19"/>
  <c r="K42" i="19"/>
  <c r="K349" i="19"/>
  <c r="O407" i="19"/>
  <c r="K259" i="19"/>
  <c r="K28" i="19"/>
  <c r="O434" i="19"/>
  <c r="O433" i="19"/>
  <c r="K356" i="19"/>
  <c r="K350" i="19"/>
  <c r="K166" i="19"/>
  <c r="C2" i="23"/>
  <c r="O116" i="19"/>
  <c r="O261" i="19"/>
  <c r="O386" i="19"/>
  <c r="O128" i="19"/>
  <c r="O74" i="19"/>
  <c r="O21" i="19"/>
  <c r="O3" i="19"/>
  <c r="AK3" i="19" s="1"/>
  <c r="AL3" i="19" s="1"/>
  <c r="AM3" i="19" s="1"/>
  <c r="AN3" i="19" s="1"/>
  <c r="AO3" i="19" s="1"/>
  <c r="AP3" i="19" s="1"/>
  <c r="AQ3" i="19" s="1"/>
  <c r="AR3" i="19" s="1"/>
  <c r="AS3" i="19" s="1"/>
  <c r="AT3" i="19" s="1"/>
  <c r="O333" i="19"/>
  <c r="O189" i="19"/>
  <c r="O57" i="19"/>
  <c r="O63" i="19"/>
  <c r="O321" i="19"/>
  <c r="O275" i="19"/>
  <c r="O230" i="19"/>
  <c r="O391" i="19"/>
  <c r="O385" i="23" s="1"/>
  <c r="O70" i="19"/>
  <c r="O427" i="19"/>
  <c r="O90" i="19"/>
  <c r="O114" i="19"/>
  <c r="O233" i="19"/>
  <c r="O135" i="19"/>
  <c r="O276" i="19"/>
  <c r="O340" i="19"/>
  <c r="O335" i="19"/>
  <c r="O197" i="19"/>
  <c r="O192" i="19"/>
  <c r="O208" i="19"/>
  <c r="O375" i="19"/>
  <c r="AK375" i="19" s="1"/>
  <c r="AB375" i="19" s="1"/>
  <c r="O61" i="19"/>
  <c r="O247" i="19"/>
  <c r="O428" i="19"/>
  <c r="O396" i="23" s="1"/>
  <c r="O307" i="19"/>
  <c r="O420" i="19"/>
  <c r="O302" i="19"/>
  <c r="O288" i="19"/>
  <c r="O50" i="19"/>
  <c r="O69" i="19"/>
  <c r="O9" i="19"/>
  <c r="O159" i="19"/>
  <c r="G165" i="19"/>
  <c r="G165" i="23" s="1"/>
  <c r="O106" i="19"/>
  <c r="O38" i="19"/>
  <c r="O214" i="19"/>
  <c r="O303" i="19"/>
  <c r="O77" i="19"/>
  <c r="O52" i="19"/>
  <c r="O292" i="19"/>
  <c r="O195" i="19"/>
  <c r="O376" i="19"/>
  <c r="AK376" i="19" s="1"/>
  <c r="AB376" i="19" s="1"/>
  <c r="O325" i="19"/>
  <c r="O402" i="19"/>
  <c r="O310" i="19"/>
  <c r="O30" i="19"/>
  <c r="K416" i="19"/>
  <c r="K304" i="19"/>
  <c r="O304" i="19"/>
  <c r="O194" i="19"/>
  <c r="G321" i="19"/>
  <c r="G36" i="23" s="1"/>
  <c r="K70" i="19"/>
  <c r="K114" i="19"/>
  <c r="K61" i="19"/>
  <c r="O178" i="19"/>
  <c r="O317" i="19"/>
  <c r="O10" i="19"/>
  <c r="O372" i="19"/>
  <c r="O431" i="19"/>
  <c r="O153" i="19"/>
  <c r="K428" i="19"/>
  <c r="K132" i="19"/>
  <c r="O55" i="19"/>
  <c r="O311" i="19"/>
  <c r="K233" i="19"/>
  <c r="O401" i="19"/>
  <c r="K261" i="19"/>
  <c r="O99" i="19"/>
  <c r="K276" i="19"/>
  <c r="K375" i="19"/>
  <c r="O67" i="19"/>
  <c r="O295" i="19"/>
  <c r="O234" i="19"/>
  <c r="O369" i="19"/>
  <c r="O27" i="19"/>
  <c r="K10" i="19"/>
  <c r="K369" i="19"/>
  <c r="O232" i="19"/>
  <c r="O377" i="19"/>
  <c r="K333" i="19"/>
  <c r="O280" i="19"/>
  <c r="O164" i="19"/>
  <c r="O409" i="19"/>
  <c r="O388" i="23" s="1"/>
  <c r="O133" i="19"/>
  <c r="O132" i="19"/>
  <c r="O168" i="19"/>
  <c r="O382" i="19"/>
  <c r="O440" i="19"/>
  <c r="O389" i="23" s="1"/>
  <c r="O297" i="19"/>
  <c r="O415" i="19"/>
  <c r="O416" i="19"/>
  <c r="K110" i="19"/>
  <c r="K65" i="19"/>
  <c r="K72" i="19"/>
  <c r="K15" i="19"/>
  <c r="O112" i="19"/>
  <c r="O65" i="19"/>
  <c r="O289" i="19"/>
  <c r="O33" i="19"/>
  <c r="K275" i="19"/>
  <c r="K33" i="19"/>
  <c r="O43" i="19"/>
  <c r="O110" i="19"/>
  <c r="K340" i="19"/>
  <c r="K129" i="19"/>
  <c r="O80" i="19"/>
  <c r="K159" i="19"/>
  <c r="G22" i="19"/>
  <c r="G283" i="23" s="1"/>
  <c r="O174" i="19"/>
  <c r="O118" i="19"/>
  <c r="K73" i="19"/>
  <c r="K116" i="19"/>
  <c r="K63" i="19"/>
  <c r="K208" i="19"/>
  <c r="O142" i="19"/>
  <c r="O278" i="19"/>
  <c r="K69" i="19"/>
  <c r="O101" i="19"/>
  <c r="O64" i="19"/>
  <c r="O72" i="19"/>
  <c r="K258" i="19"/>
  <c r="O367" i="19"/>
  <c r="O122" i="19"/>
  <c r="K310" i="19"/>
  <c r="K192" i="19"/>
  <c r="K22" i="19"/>
  <c r="K118" i="19"/>
  <c r="K278" i="19"/>
  <c r="K133" i="19"/>
  <c r="O15" i="19"/>
  <c r="K21" i="19"/>
  <c r="O71" i="19"/>
  <c r="O73" i="19"/>
  <c r="O85" i="19"/>
  <c r="O354" i="19"/>
  <c r="O323" i="19"/>
  <c r="O274" i="19"/>
  <c r="O225" i="19"/>
  <c r="O36" i="19"/>
  <c r="O257" i="19"/>
  <c r="O190" i="19"/>
  <c r="O202" i="19"/>
  <c r="O146" i="19"/>
  <c r="O120" i="19"/>
  <c r="G351" i="19"/>
  <c r="G351" i="23" s="1"/>
  <c r="K149" i="19"/>
  <c r="K204" i="19"/>
  <c r="K364" i="19"/>
  <c r="K162" i="19"/>
  <c r="O298" i="19"/>
  <c r="O19" i="19"/>
  <c r="O301" i="19"/>
  <c r="O182" i="19"/>
  <c r="O223" i="19"/>
  <c r="O285" i="19"/>
  <c r="O124" i="19"/>
  <c r="O211" i="19"/>
  <c r="O364" i="19"/>
  <c r="O87" i="19"/>
  <c r="O17" i="19"/>
  <c r="O290" i="19"/>
  <c r="O413" i="19"/>
  <c r="O167" i="19"/>
  <c r="O286" i="19"/>
  <c r="O188" i="19"/>
  <c r="O363" i="19"/>
  <c r="K119" i="19"/>
  <c r="K316" i="19"/>
  <c r="O360" i="19"/>
  <c r="O411" i="19"/>
  <c r="O7" i="19"/>
  <c r="O138" i="19"/>
  <c r="O88" i="19"/>
  <c r="O320" i="19"/>
  <c r="O198" i="19"/>
  <c r="O170" i="19"/>
  <c r="O359" i="19"/>
  <c r="O236" i="19"/>
  <c r="O357" i="19"/>
  <c r="K373" i="19"/>
  <c r="K344" i="19"/>
  <c r="K329" i="19"/>
  <c r="O177" i="19"/>
  <c r="O95" i="19"/>
  <c r="O181" i="19"/>
  <c r="O150" i="19"/>
  <c r="O224" i="19"/>
  <c r="O352" i="19"/>
  <c r="O148" i="19"/>
  <c r="O371" i="19"/>
  <c r="O227" i="19"/>
  <c r="O119" i="19"/>
  <c r="O221" i="19"/>
  <c r="K111" i="19"/>
  <c r="K26" i="19"/>
  <c r="O341" i="19"/>
  <c r="O362" i="19"/>
  <c r="O240" i="19"/>
  <c r="O162" i="19"/>
  <c r="O345" i="19"/>
  <c r="O154" i="19"/>
  <c r="O378" i="19"/>
  <c r="O238" i="19"/>
  <c r="O366" i="19"/>
  <c r="K290" i="19"/>
  <c r="K348" i="19"/>
  <c r="K374" i="19"/>
  <c r="K40" i="19"/>
  <c r="O328" i="19"/>
  <c r="O344" i="19"/>
  <c r="O282" i="19"/>
  <c r="O293" i="19"/>
  <c r="O149" i="19"/>
  <c r="O140" i="19"/>
  <c r="O316" i="19"/>
  <c r="O45" i="19"/>
  <c r="O35" i="19"/>
  <c r="O348" i="19"/>
  <c r="O111" i="19"/>
  <c r="O81" i="19"/>
  <c r="O179" i="19"/>
  <c r="O68" i="19"/>
  <c r="O210" i="19"/>
  <c r="O355" i="19"/>
  <c r="O126" i="19"/>
  <c r="O258" i="19"/>
  <c r="O48" i="19"/>
  <c r="O26" i="19"/>
  <c r="K212" i="19"/>
  <c r="K312" i="19"/>
  <c r="K138" i="19"/>
  <c r="K190" i="19"/>
  <c r="K184" i="19"/>
  <c r="O172" i="19"/>
  <c r="O374" i="19"/>
  <c r="AK374" i="19" s="1"/>
  <c r="AB374" i="19" s="1"/>
  <c r="K140" i="19"/>
  <c r="K352" i="19"/>
  <c r="O200" i="19"/>
  <c r="O248" i="19"/>
  <c r="O46" i="19"/>
  <c r="O41" i="19"/>
  <c r="O129" i="19"/>
  <c r="O16" i="19"/>
  <c r="O207" i="19"/>
  <c r="O96" i="19"/>
  <c r="O222" i="19"/>
  <c r="O82" i="19"/>
  <c r="K148" i="19"/>
  <c r="K181" i="19"/>
  <c r="O157" i="19"/>
  <c r="O58" i="19"/>
  <c r="O212" i="19"/>
  <c r="O217" i="19"/>
  <c r="O220" i="19"/>
  <c r="O139" i="19"/>
  <c r="O287" i="19"/>
  <c r="O312" i="19"/>
  <c r="O40" i="19"/>
  <c r="O277" i="19"/>
  <c r="O115" i="19"/>
  <c r="K351" i="19"/>
  <c r="K200" i="19"/>
  <c r="O184" i="19"/>
  <c r="O319" i="19"/>
  <c r="O156" i="19"/>
  <c r="O235" i="19"/>
  <c r="O296" i="19"/>
  <c r="O191" i="19"/>
  <c r="O373" i="19"/>
  <c r="O204" i="19"/>
  <c r="O165" i="19"/>
  <c r="O299" i="19"/>
  <c r="O329" i="19"/>
  <c r="O20" i="19"/>
  <c r="O351" i="19"/>
  <c r="K319" i="19"/>
  <c r="K150" i="19"/>
  <c r="K16" i="19"/>
  <c r="O337" i="19"/>
  <c r="O22" i="19"/>
  <c r="O75" i="19"/>
  <c r="O215" i="19"/>
  <c r="O141" i="19"/>
  <c r="O109" i="19"/>
  <c r="O79" i="19"/>
  <c r="O163" i="19"/>
  <c r="O249" i="19"/>
  <c r="O130" i="19"/>
  <c r="O410" i="19"/>
  <c r="O379" i="23" s="1"/>
  <c r="O62" i="19"/>
  <c r="O121" i="19"/>
  <c r="O271" i="19"/>
  <c r="O343" i="19"/>
  <c r="O241" i="19"/>
  <c r="O47" i="19"/>
  <c r="O186" i="19"/>
  <c r="O93" i="19"/>
  <c r="AK93" i="19" s="1"/>
  <c r="AL93" i="19" s="1"/>
  <c r="AM93" i="19" s="1"/>
  <c r="AN93" i="19" s="1"/>
  <c r="AO93" i="19" s="1"/>
  <c r="AP93" i="19" s="1"/>
  <c r="AQ93" i="19" s="1"/>
  <c r="AR93" i="19" s="1"/>
  <c r="AS93" i="19" s="1"/>
  <c r="AT93" i="19" s="1"/>
  <c r="O117" i="19"/>
  <c r="O14" i="19"/>
  <c r="O5" i="19"/>
  <c r="O254" i="19"/>
  <c r="O11" i="19"/>
  <c r="O397" i="19"/>
  <c r="O251" i="19"/>
  <c r="O442" i="19"/>
  <c r="O395" i="19"/>
  <c r="O404" i="23" s="1"/>
  <c r="O400" i="19"/>
  <c r="O242" i="19"/>
  <c r="O8" i="19"/>
  <c r="O53" i="19"/>
  <c r="O44" i="19"/>
  <c r="O89" i="19"/>
  <c r="O255" i="19"/>
  <c r="O97" i="19"/>
  <c r="O279" i="19"/>
  <c r="O268" i="19"/>
  <c r="O424" i="19"/>
  <c r="O218" i="19"/>
  <c r="O403" i="19"/>
  <c r="O284" i="19"/>
  <c r="O32" i="19"/>
  <c r="O342" i="19"/>
  <c r="O86" i="19"/>
  <c r="O315" i="19"/>
  <c r="O91" i="19"/>
  <c r="O294" i="19"/>
  <c r="O173" i="19"/>
  <c r="O330" i="19"/>
  <c r="O358" i="19"/>
  <c r="O393" i="19"/>
  <c r="O273" i="19"/>
  <c r="O123" i="19"/>
  <c r="O265" i="19"/>
  <c r="O2" i="19"/>
  <c r="AK2" i="19" s="1"/>
  <c r="AL2" i="19" s="1"/>
  <c r="AM2" i="19" s="1"/>
  <c r="AN2" i="19" s="1"/>
  <c r="AO2" i="19" s="1"/>
  <c r="AP2" i="19" s="1"/>
  <c r="AQ2" i="19" s="1"/>
  <c r="AR2" i="19" s="1"/>
  <c r="AS2" i="19" s="1"/>
  <c r="AT2" i="19" s="1"/>
  <c r="O176" i="19"/>
  <c r="O421" i="19"/>
  <c r="O100" i="19"/>
  <c r="O131" i="19"/>
  <c r="O171" i="19"/>
  <c r="O365" i="19"/>
  <c r="O137" i="19"/>
  <c r="O272" i="19"/>
  <c r="O12" i="19"/>
  <c r="O105" i="19"/>
  <c r="O314" i="19"/>
  <c r="O66" i="19"/>
  <c r="O213" i="19"/>
  <c r="O305" i="19"/>
  <c r="O193" i="19"/>
  <c r="O147" i="19"/>
  <c r="O29" i="19"/>
  <c r="O180" i="19"/>
  <c r="O104" i="19"/>
  <c r="O187" i="19"/>
  <c r="O155" i="19"/>
  <c r="O201" i="19"/>
  <c r="O136" i="19"/>
  <c r="O347" i="19"/>
  <c r="O13" i="19"/>
  <c r="O92" i="19"/>
  <c r="O239" i="19"/>
  <c r="O368" i="19"/>
  <c r="O353" i="19"/>
  <c r="O246" i="19"/>
  <c r="O260" i="19"/>
  <c r="O169" i="19"/>
  <c r="O256" i="19"/>
  <c r="O83" i="19"/>
  <c r="O262" i="19"/>
  <c r="O102" i="19"/>
  <c r="O327" i="19"/>
  <c r="O300" i="19"/>
  <c r="O205" i="19"/>
  <c r="O322" i="19"/>
  <c r="O34" i="19"/>
  <c r="O243" i="19"/>
  <c r="O419" i="19"/>
  <c r="O309" i="19"/>
  <c r="O283" i="19"/>
  <c r="O263" i="19"/>
  <c r="O418" i="19"/>
  <c r="O78" i="19"/>
  <c r="O23" i="19"/>
  <c r="O336" i="19"/>
  <c r="O39" i="19"/>
  <c r="O152" i="19"/>
  <c r="O253" i="19"/>
  <c r="O250" i="19"/>
  <c r="O370" i="19"/>
  <c r="O216" i="19"/>
  <c r="O125" i="19"/>
  <c r="O24" i="19"/>
  <c r="O113" i="19"/>
  <c r="O229" i="19"/>
  <c r="O158" i="19"/>
  <c r="O143" i="19"/>
  <c r="O264" i="19"/>
  <c r="O219" i="19"/>
  <c r="O151" i="19"/>
  <c r="O54" i="19"/>
  <c r="O4" i="19"/>
  <c r="O245" i="19"/>
  <c r="O252" i="19"/>
  <c r="O6" i="19"/>
  <c r="O209" i="19"/>
  <c r="O60" i="19"/>
  <c r="O59" i="19"/>
  <c r="O324" i="19"/>
  <c r="O244" i="19"/>
  <c r="O107" i="19"/>
  <c r="O318" i="19"/>
  <c r="O51" i="19"/>
  <c r="O435" i="19"/>
  <c r="O326" i="19"/>
  <c r="O144" i="19"/>
  <c r="O237" i="19"/>
  <c r="O134" i="19"/>
  <c r="O267" i="19"/>
  <c r="O443" i="19"/>
  <c r="O408" i="23" s="1"/>
  <c r="O183" i="19"/>
  <c r="O145" i="19"/>
  <c r="O160" i="19"/>
  <c r="O56" i="19"/>
  <c r="O387" i="19"/>
  <c r="O422" i="23" s="1"/>
  <c r="O231" i="19"/>
  <c r="O103" i="19"/>
  <c r="O270" i="19"/>
  <c r="O98" i="19"/>
  <c r="O308" i="19"/>
  <c r="O94" i="19"/>
  <c r="O331" i="19"/>
  <c r="O228" i="19"/>
  <c r="O84" i="19"/>
  <c r="O281" i="19"/>
  <c r="G402" i="19"/>
  <c r="G419" i="23" s="1"/>
  <c r="K408" i="19"/>
  <c r="K399" i="19"/>
  <c r="K427" i="19"/>
  <c r="K430" i="19"/>
  <c r="K381" i="19"/>
  <c r="K139" i="19"/>
  <c r="K379" i="19"/>
  <c r="K431" i="19"/>
  <c r="K386" i="19"/>
  <c r="K288" i="19"/>
  <c r="K389" i="19"/>
  <c r="K420" i="19"/>
  <c r="K423" i="19"/>
  <c r="K406" i="19"/>
  <c r="K302" i="19"/>
  <c r="K214" i="19"/>
  <c r="K380" i="19"/>
  <c r="K432" i="19"/>
  <c r="K142" i="19"/>
  <c r="K178" i="19"/>
  <c r="K334" i="19"/>
  <c r="K13" i="19"/>
  <c r="K120" i="19"/>
  <c r="K34" i="19"/>
  <c r="K3" i="19"/>
  <c r="K264" i="19"/>
  <c r="K372" i="19"/>
  <c r="K238" i="19"/>
  <c r="K154" i="19"/>
  <c r="K99" i="19"/>
  <c r="K232" i="19"/>
  <c r="K41" i="19"/>
  <c r="K127" i="19"/>
  <c r="K167" i="19"/>
  <c r="K280" i="19"/>
  <c r="K246" i="19"/>
  <c r="K161" i="19"/>
  <c r="K87" i="19"/>
  <c r="K281" i="19"/>
  <c r="K38" i="19"/>
  <c r="K106" i="19"/>
  <c r="K256" i="19"/>
  <c r="K301" i="19"/>
  <c r="K277" i="19"/>
  <c r="K194" i="19"/>
  <c r="K168" i="19"/>
  <c r="K18" i="19"/>
  <c r="K370" i="19"/>
  <c r="K235" i="19"/>
  <c r="K11" i="19"/>
  <c r="K123" i="19"/>
  <c r="K234" i="19"/>
  <c r="K122" i="19"/>
  <c r="K188" i="19"/>
  <c r="K57" i="19"/>
  <c r="K153" i="19"/>
  <c r="K101" i="19"/>
  <c r="K367" i="19"/>
  <c r="K183" i="19"/>
  <c r="K197" i="19"/>
  <c r="K274" i="19"/>
  <c r="K44" i="19"/>
  <c r="K182" i="19"/>
  <c r="K245" i="19"/>
  <c r="K203" i="19"/>
  <c r="K115" i="19"/>
  <c r="K231" i="19"/>
  <c r="K107" i="19"/>
  <c r="K253" i="19"/>
  <c r="K410" i="19"/>
  <c r="K196" i="19"/>
  <c r="K324" i="19"/>
  <c r="K55" i="19"/>
  <c r="K12" i="19"/>
  <c r="K402" i="19"/>
  <c r="K362" i="19"/>
  <c r="K279" i="19"/>
  <c r="K263" i="19"/>
  <c r="K171" i="19"/>
  <c r="K134" i="19"/>
  <c r="K155" i="19"/>
  <c r="K331" i="19"/>
  <c r="K217" i="19"/>
  <c r="K2" i="19"/>
  <c r="K52" i="19"/>
  <c r="K8" i="19"/>
  <c r="K88" i="19"/>
  <c r="K353" i="19"/>
  <c r="K86" i="19"/>
  <c r="K104" i="19"/>
  <c r="K24" i="19"/>
  <c r="K78" i="19"/>
  <c r="K205" i="19"/>
  <c r="K219" i="19"/>
  <c r="K151" i="19"/>
  <c r="K23" i="19"/>
  <c r="K67" i="19"/>
  <c r="K56" i="19"/>
  <c r="K17" i="19"/>
  <c r="K32" i="19"/>
  <c r="K144" i="19"/>
  <c r="K4" i="19"/>
  <c r="K71" i="19"/>
  <c r="K215" i="19"/>
  <c r="K92" i="19"/>
  <c r="K237" i="19"/>
  <c r="K163" i="19"/>
  <c r="K249" i="19"/>
  <c r="K307" i="19"/>
  <c r="K112" i="19"/>
  <c r="K357" i="19"/>
  <c r="K305" i="19"/>
  <c r="K109" i="19"/>
  <c r="K62" i="19"/>
  <c r="K325" i="19"/>
  <c r="K77" i="19"/>
  <c r="K315" i="19"/>
  <c r="K211" i="19"/>
  <c r="K218" i="19"/>
  <c r="K165" i="19"/>
  <c r="K136" i="19"/>
  <c r="K51" i="19"/>
  <c r="K207" i="19"/>
  <c r="A228" i="19"/>
  <c r="K309" i="19"/>
  <c r="K343" i="19"/>
  <c r="K152" i="19"/>
  <c r="K424" i="19"/>
  <c r="K228" i="19"/>
  <c r="K358" i="19"/>
  <c r="K177" i="19"/>
  <c r="K308" i="19"/>
  <c r="K187" i="19"/>
  <c r="K268" i="19"/>
  <c r="K300" i="19"/>
  <c r="K318" i="19"/>
  <c r="K131" i="19"/>
  <c r="K169" i="19"/>
  <c r="K6" i="19"/>
  <c r="K355" i="19"/>
  <c r="K29" i="19"/>
  <c r="K5" i="19"/>
  <c r="K244" i="19"/>
  <c r="K272" i="19"/>
  <c r="K250" i="19"/>
  <c r="K158" i="19"/>
  <c r="G205" i="19"/>
  <c r="G16" i="23" s="1"/>
  <c r="K378" i="19"/>
  <c r="K105" i="19"/>
  <c r="K117" i="19"/>
  <c r="K437" i="19"/>
  <c r="K39" i="19"/>
  <c r="K265" i="19"/>
  <c r="K14" i="19"/>
  <c r="K60" i="19"/>
  <c r="K413" i="19"/>
  <c r="K418" i="19"/>
  <c r="K326" i="19"/>
  <c r="K294" i="19"/>
  <c r="K271" i="19"/>
  <c r="K330" i="19"/>
  <c r="K193" i="19"/>
  <c r="K254" i="19"/>
  <c r="K323" i="19"/>
  <c r="K126" i="19"/>
  <c r="K137" i="19"/>
  <c r="K229" i="19"/>
  <c r="K242" i="19"/>
  <c r="K317" i="19"/>
  <c r="K198" i="19"/>
  <c r="K282" i="19"/>
  <c r="K125" i="19"/>
  <c r="K45" i="19"/>
  <c r="K311" i="19"/>
  <c r="K160" i="19"/>
  <c r="K363" i="19"/>
  <c r="K252" i="19"/>
  <c r="K179" i="19"/>
  <c r="K360" i="19"/>
  <c r="K297" i="19"/>
  <c r="K174" i="19"/>
  <c r="K59" i="19"/>
  <c r="K227" i="19"/>
  <c r="K7" i="19"/>
  <c r="K255" i="19"/>
  <c r="K216" i="19"/>
  <c r="K224" i="19"/>
  <c r="K36" i="19"/>
  <c r="K157" i="19"/>
  <c r="K58" i="19"/>
  <c r="K371" i="19"/>
  <c r="K189" i="19"/>
  <c r="K295" i="19"/>
  <c r="K421" i="19"/>
  <c r="K354" i="19"/>
  <c r="K20" i="19"/>
  <c r="K226" i="19"/>
  <c r="K97" i="19"/>
  <c r="K121" i="19"/>
  <c r="K66" i="19"/>
  <c r="K100" i="19"/>
  <c r="K170" i="19"/>
  <c r="K285" i="19"/>
  <c r="K376" i="19"/>
  <c r="K225" i="19"/>
  <c r="K338" i="19"/>
  <c r="K240" i="19"/>
  <c r="K95" i="19"/>
  <c r="K230" i="19"/>
  <c r="K43" i="19"/>
  <c r="K292" i="19"/>
  <c r="K81" i="19"/>
  <c r="K128" i="19"/>
  <c r="K243" i="19"/>
  <c r="K172" i="19"/>
  <c r="K103" i="19"/>
  <c r="K220" i="19"/>
  <c r="K74" i="19"/>
  <c r="K135" i="19"/>
  <c r="K293" i="19"/>
  <c r="K251" i="19"/>
  <c r="K173" i="19"/>
  <c r="K124" i="19"/>
  <c r="K345" i="19"/>
  <c r="K359" i="19"/>
  <c r="K287" i="19"/>
  <c r="K257" i="19"/>
  <c r="K299" i="19"/>
  <c r="K328" i="19"/>
  <c r="K201" i="19"/>
  <c r="K64" i="19"/>
  <c r="K221" i="19"/>
  <c r="K260" i="19"/>
  <c r="K262" i="19"/>
  <c r="K283" i="19"/>
  <c r="K335" i="19"/>
  <c r="K236" i="19"/>
  <c r="K202" i="19"/>
  <c r="K320" i="19"/>
  <c r="K273" i="19"/>
  <c r="K337" i="19"/>
  <c r="K83" i="19"/>
  <c r="K342" i="19"/>
  <c r="K289" i="19"/>
  <c r="K113" i="19"/>
  <c r="K269" i="19"/>
  <c r="K176" i="19"/>
  <c r="K186" i="19"/>
  <c r="K366" i="19"/>
  <c r="K50" i="19"/>
  <c r="K321" i="19"/>
  <c r="K25" i="19"/>
  <c r="K213" i="19"/>
  <c r="K30" i="19"/>
  <c r="K195" i="19"/>
  <c r="K270" i="19"/>
  <c r="K35" i="19"/>
  <c r="K94" i="19"/>
  <c r="K53" i="19"/>
  <c r="K102" i="19"/>
  <c r="K191" i="19"/>
  <c r="K332" i="19"/>
  <c r="K27" i="19"/>
  <c r="K347" i="19"/>
  <c r="K267" i="19"/>
  <c r="K68" i="19"/>
  <c r="K222" i="19"/>
  <c r="K147" i="19"/>
  <c r="K19" i="19"/>
  <c r="K130" i="19"/>
  <c r="K93" i="19"/>
  <c r="K98" i="19"/>
  <c r="K248" i="19"/>
  <c r="K180" i="19"/>
  <c r="K175" i="19"/>
  <c r="A300" i="19"/>
  <c r="A152" i="19"/>
  <c r="A3" i="19"/>
  <c r="A188" i="19"/>
  <c r="A149" i="19"/>
  <c r="K314" i="19"/>
  <c r="K327" i="19"/>
  <c r="K164" i="19"/>
  <c r="K286" i="19"/>
  <c r="K209" i="19"/>
  <c r="K341" i="19"/>
  <c r="K322" i="19"/>
  <c r="K365" i="19"/>
  <c r="K296" i="19"/>
  <c r="K336" i="19"/>
  <c r="K346" i="19"/>
  <c r="K313" i="19"/>
  <c r="K143" i="19"/>
  <c r="K368" i="19"/>
  <c r="K298" i="19"/>
  <c r="K47" i="19"/>
  <c r="K291" i="19"/>
  <c r="K247" i="19"/>
  <c r="A16" i="19"/>
  <c r="K405" i="19"/>
  <c r="K419" i="19"/>
  <c r="K409" i="19"/>
  <c r="K440" i="19"/>
  <c r="R162" i="18"/>
  <c r="K75" i="19"/>
  <c r="K429" i="19"/>
  <c r="K403" i="19"/>
  <c r="R83" i="18"/>
  <c r="K108" i="19"/>
  <c r="K391" i="19"/>
  <c r="K284" i="19"/>
  <c r="K385" i="19"/>
  <c r="K377" i="19"/>
  <c r="K390" i="19"/>
  <c r="K443" i="19"/>
  <c r="K415" i="19"/>
  <c r="K414" i="19"/>
  <c r="K90" i="19"/>
  <c r="K384" i="19"/>
  <c r="R71" i="18"/>
  <c r="K84" i="19"/>
  <c r="K426" i="19"/>
  <c r="K210" i="19"/>
  <c r="K48" i="19"/>
  <c r="K54" i="19"/>
  <c r="K417" i="19"/>
  <c r="K396" i="19"/>
  <c r="K393" i="19"/>
  <c r="K146" i="19"/>
  <c r="K145" i="19"/>
  <c r="K425" i="19"/>
  <c r="K400" i="19"/>
  <c r="K411" i="19"/>
  <c r="R61" i="18"/>
  <c r="K82" i="19"/>
  <c r="K436" i="19"/>
  <c r="K442" i="19"/>
  <c r="K441" i="19"/>
  <c r="R203" i="18"/>
  <c r="K239" i="19"/>
  <c r="R148" i="18"/>
  <c r="K156" i="19"/>
  <c r="K85" i="19"/>
  <c r="K434" i="19"/>
  <c r="R70" i="18"/>
  <c r="K339" i="19"/>
  <c r="K79" i="19"/>
  <c r="K395" i="19"/>
  <c r="K398" i="19"/>
  <c r="K401" i="19"/>
  <c r="R102" i="18"/>
  <c r="K241" i="19"/>
  <c r="K404" i="19"/>
  <c r="K382" i="19"/>
  <c r="K422" i="19"/>
  <c r="K303" i="19"/>
  <c r="R169" i="18"/>
  <c r="K223" i="19"/>
  <c r="K394" i="19"/>
  <c r="K397" i="19"/>
  <c r="R247" i="18"/>
  <c r="K96" i="19"/>
  <c r="K383" i="19"/>
  <c r="K91" i="19"/>
  <c r="K407" i="19"/>
  <c r="K433" i="19"/>
  <c r="K141" i="19"/>
  <c r="K435" i="19"/>
  <c r="K89" i="19"/>
  <c r="K9" i="19"/>
  <c r="K387" i="19"/>
  <c r="K80" i="19"/>
  <c r="A207" i="19"/>
  <c r="A181" i="19"/>
  <c r="A186" i="19"/>
  <c r="A138" i="19"/>
  <c r="A4" i="19"/>
  <c r="A112" i="19"/>
  <c r="A172" i="19"/>
  <c r="A104" i="19"/>
  <c r="A241" i="19"/>
  <c r="A59" i="19"/>
  <c r="G377" i="19"/>
  <c r="G377" i="23" s="1"/>
  <c r="A50" i="19"/>
  <c r="R226" i="18"/>
  <c r="A266" i="19"/>
  <c r="A45" i="19"/>
  <c r="A213" i="19"/>
  <c r="A288" i="19"/>
  <c r="A238" i="19"/>
  <c r="A173" i="19"/>
  <c r="A20" i="19"/>
  <c r="A183" i="19"/>
  <c r="A267" i="19"/>
  <c r="A140" i="19"/>
  <c r="A222" i="19"/>
  <c r="A395" i="19"/>
  <c r="A378" i="19"/>
  <c r="A386" i="19"/>
  <c r="A442" i="19"/>
  <c r="A382" i="19"/>
  <c r="A393" i="19"/>
  <c r="A158" i="19"/>
  <c r="A353" i="19"/>
  <c r="A73" i="19"/>
  <c r="A21" i="19"/>
  <c r="A77" i="19"/>
  <c r="A121" i="19"/>
  <c r="A87" i="19"/>
  <c r="A52" i="19"/>
  <c r="A308" i="19"/>
  <c r="A120" i="19"/>
  <c r="A280" i="19"/>
  <c r="A117" i="19"/>
  <c r="R377" i="18"/>
  <c r="A335" i="19"/>
  <c r="A225" i="19"/>
  <c r="A116" i="19"/>
  <c r="A37" i="19"/>
  <c r="A246" i="19"/>
  <c r="A96" i="19"/>
  <c r="A363" i="19"/>
  <c r="A193" i="19"/>
  <c r="A204" i="19"/>
  <c r="A38" i="19"/>
  <c r="A60" i="19"/>
  <c r="A26" i="19"/>
  <c r="A93" i="19"/>
  <c r="A14" i="19"/>
  <c r="A340" i="19"/>
  <c r="A375" i="19"/>
  <c r="A329" i="19"/>
  <c r="R204" i="18"/>
  <c r="R40" i="18"/>
  <c r="R392" i="18"/>
  <c r="A274" i="19"/>
  <c r="A28" i="19"/>
  <c r="A178" i="19"/>
  <c r="A129" i="19"/>
  <c r="R50" i="18"/>
  <c r="A203" i="19"/>
  <c r="A216" i="19"/>
  <c r="R103" i="18"/>
  <c r="R176" i="18"/>
  <c r="A61" i="19"/>
  <c r="R216" i="18"/>
  <c r="A263" i="19"/>
  <c r="A54" i="19"/>
  <c r="A33" i="19"/>
  <c r="A7" i="19"/>
  <c r="A18" i="19"/>
  <c r="A198" i="19"/>
  <c r="R322" i="18"/>
  <c r="R190" i="18"/>
  <c r="A320" i="19"/>
  <c r="A134" i="19"/>
  <c r="A196" i="19"/>
  <c r="A107" i="19"/>
  <c r="A72" i="19"/>
  <c r="A74" i="19"/>
  <c r="A10" i="19"/>
  <c r="A136" i="19"/>
  <c r="A356" i="19"/>
  <c r="A150" i="19"/>
  <c r="A325" i="19"/>
  <c r="A40" i="19"/>
  <c r="R406" i="18"/>
  <c r="A310" i="19"/>
  <c r="A342" i="19"/>
  <c r="A68" i="19"/>
  <c r="A169" i="19"/>
  <c r="R197" i="18"/>
  <c r="A256" i="19"/>
  <c r="A157" i="19"/>
  <c r="A276" i="19"/>
  <c r="A67" i="19"/>
  <c r="A343" i="19"/>
  <c r="R394" i="18"/>
  <c r="R32" i="18"/>
  <c r="R326" i="18"/>
  <c r="A287" i="19"/>
  <c r="A171" i="19"/>
  <c r="A23" i="19"/>
  <c r="A34" i="19"/>
  <c r="A167" i="19"/>
  <c r="R10" i="18"/>
  <c r="R239" i="18"/>
  <c r="A338" i="19"/>
  <c r="A64" i="19"/>
  <c r="A69" i="19"/>
  <c r="A84" i="19"/>
  <c r="A323" i="19"/>
  <c r="A156" i="19"/>
  <c r="A100" i="19"/>
  <c r="A312" i="19"/>
  <c r="A233" i="19"/>
  <c r="A374" i="19"/>
  <c r="A253" i="19"/>
  <c r="A264" i="19"/>
  <c r="A351" i="19"/>
  <c r="A324" i="19"/>
  <c r="G181" i="19"/>
  <c r="G126" i="23" s="1"/>
  <c r="A202" i="19"/>
  <c r="A201" i="19"/>
  <c r="A270" i="19"/>
  <c r="A24" i="19"/>
  <c r="A42" i="19"/>
  <c r="A195" i="19"/>
  <c r="A301" i="19"/>
  <c r="A355" i="19"/>
  <c r="A208" i="19"/>
  <c r="A275" i="19"/>
  <c r="A177" i="19"/>
  <c r="A114" i="19"/>
  <c r="A328" i="19"/>
  <c r="A257" i="19"/>
  <c r="A318" i="19"/>
  <c r="A27" i="19"/>
  <c r="A244" i="19"/>
  <c r="A281" i="19"/>
  <c r="A272" i="19"/>
  <c r="A17" i="19"/>
  <c r="A248" i="19"/>
  <c r="A70" i="19"/>
  <c r="A321" i="19"/>
  <c r="A221" i="19"/>
  <c r="A111" i="19"/>
  <c r="A113" i="19"/>
  <c r="A95" i="19"/>
  <c r="A71" i="19"/>
  <c r="A254" i="19"/>
  <c r="A119" i="19"/>
  <c r="A347" i="19"/>
  <c r="A217" i="19"/>
  <c r="A189" i="19"/>
  <c r="A12" i="19"/>
  <c r="A127" i="19"/>
  <c r="A294" i="19"/>
  <c r="A105" i="19"/>
  <c r="A304" i="19"/>
  <c r="A239" i="19"/>
  <c r="A194" i="19"/>
  <c r="A215" i="19"/>
  <c r="A214" i="19"/>
  <c r="A223" i="19"/>
  <c r="A240" i="19"/>
  <c r="A81" i="19"/>
  <c r="A108" i="19"/>
  <c r="A271" i="19"/>
  <c r="A175" i="19"/>
  <c r="A166" i="19"/>
  <c r="A65" i="19"/>
  <c r="A63" i="19"/>
  <c r="A299" i="19"/>
  <c r="A433" i="19"/>
  <c r="A252" i="19"/>
  <c r="A237" i="19"/>
  <c r="A400" i="19"/>
  <c r="A200" i="19"/>
  <c r="A62" i="19"/>
  <c r="A99" i="19"/>
  <c r="A86" i="19"/>
  <c r="A128" i="19"/>
  <c r="A36" i="19"/>
  <c r="A66" i="19"/>
  <c r="A106" i="19"/>
  <c r="G55" i="19"/>
  <c r="G195" i="23" s="1"/>
  <c r="A144" i="19"/>
  <c r="A184" i="19"/>
  <c r="A53" i="19"/>
  <c r="A199" i="19"/>
  <c r="A285" i="19"/>
  <c r="A268" i="19"/>
  <c r="A255" i="19"/>
  <c r="A219" i="19"/>
  <c r="A197" i="19"/>
  <c r="A358" i="19"/>
  <c r="A2" i="19"/>
  <c r="A440" i="19"/>
  <c r="A109" i="19"/>
  <c r="A110" i="19"/>
  <c r="A258" i="19"/>
  <c r="A227" i="19"/>
  <c r="A339" i="19"/>
  <c r="A8" i="19"/>
  <c r="A277" i="19"/>
  <c r="A230" i="19"/>
  <c r="A161" i="19"/>
  <c r="A191" i="19"/>
  <c r="A205" i="19"/>
  <c r="A278" i="19"/>
  <c r="A47" i="19"/>
  <c r="A159" i="19"/>
  <c r="A394" i="19"/>
  <c r="A101" i="19"/>
  <c r="A357" i="19"/>
  <c r="A292" i="19"/>
  <c r="A43" i="19"/>
  <c r="A349" i="19"/>
  <c r="A376" i="19"/>
  <c r="A260" i="19"/>
  <c r="A220" i="19"/>
  <c r="A137" i="19"/>
  <c r="A330" i="19"/>
  <c r="A262" i="19"/>
  <c r="A307" i="19"/>
  <c r="A211" i="19"/>
  <c r="A261" i="19"/>
  <c r="A78" i="19"/>
  <c r="A145" i="19"/>
  <c r="A56" i="19"/>
  <c r="A302" i="19"/>
  <c r="A44" i="19"/>
  <c r="A160" i="19"/>
  <c r="A118" i="19"/>
  <c r="A443" i="19"/>
  <c r="A174" i="19"/>
  <c r="A259" i="19"/>
  <c r="A360" i="19"/>
  <c r="A269" i="19"/>
  <c r="A179" i="19"/>
  <c r="A30" i="19"/>
  <c r="A13" i="19"/>
  <c r="A115" i="19"/>
  <c r="A55" i="19"/>
  <c r="A103" i="19"/>
  <c r="A265" i="19"/>
  <c r="A352" i="19"/>
  <c r="A361" i="19"/>
  <c r="A396" i="19"/>
  <c r="A387" i="19"/>
  <c r="A131" i="19"/>
  <c r="A126" i="19"/>
  <c r="A315" i="19"/>
  <c r="A332" i="19"/>
  <c r="A421" i="19"/>
  <c r="A82" i="19"/>
  <c r="A289" i="19"/>
  <c r="A182" i="19"/>
  <c r="A336" i="19"/>
  <c r="A371" i="19"/>
  <c r="A130" i="19"/>
  <c r="A147" i="19"/>
  <c r="A25" i="19"/>
  <c r="A354" i="19"/>
  <c r="A98" i="19"/>
  <c r="A366" i="19"/>
  <c r="A243" i="19"/>
  <c r="A192" i="19"/>
  <c r="A170" i="19"/>
  <c r="A58" i="19"/>
  <c r="A133" i="19"/>
  <c r="A226" i="19"/>
  <c r="A132" i="19"/>
  <c r="A224" i="19"/>
  <c r="A305" i="19"/>
  <c r="A344" i="19"/>
  <c r="A165" i="19"/>
  <c r="A279" i="19"/>
  <c r="A153" i="19"/>
  <c r="A232" i="19"/>
  <c r="A341" i="19"/>
  <c r="A168" i="19"/>
  <c r="A102" i="19"/>
  <c r="A206" i="19"/>
  <c r="A309" i="19"/>
  <c r="A350" i="19"/>
  <c r="A83" i="19"/>
  <c r="A331" i="19"/>
  <c r="A185" i="19"/>
  <c r="A283" i="19"/>
  <c r="A359" i="19"/>
  <c r="A124" i="19"/>
  <c r="A297" i="19"/>
  <c r="A368" i="19"/>
  <c r="A293" i="19"/>
  <c r="A162" i="19"/>
  <c r="A249" i="19"/>
  <c r="A273" i="19"/>
  <c r="A234" i="19"/>
  <c r="A46" i="19"/>
  <c r="A97" i="19"/>
  <c r="A362" i="19"/>
  <c r="A5" i="19"/>
  <c r="A282" i="19"/>
  <c r="A229" i="19"/>
  <c r="A187" i="19"/>
  <c r="A333" i="19"/>
  <c r="A236" i="19"/>
  <c r="A155" i="19"/>
  <c r="A369" i="19"/>
  <c r="A231" i="19"/>
  <c r="A235" i="19"/>
  <c r="A76" i="19"/>
  <c r="A190" i="19"/>
  <c r="A163" i="19"/>
  <c r="A176" i="19"/>
  <c r="A122" i="19"/>
  <c r="A180" i="19"/>
  <c r="A345" i="19"/>
  <c r="A218" i="19"/>
  <c r="A75" i="19"/>
  <c r="A90" i="19"/>
  <c r="A422" i="19"/>
  <c r="A390" i="19"/>
  <c r="A80" i="19"/>
  <c r="A402" i="19"/>
  <c r="A319" i="19"/>
  <c r="A92" i="19"/>
  <c r="A383" i="19"/>
  <c r="A437" i="19"/>
  <c r="A39" i="19"/>
  <c r="A434" i="19"/>
  <c r="A212" i="19"/>
  <c r="A146" i="19"/>
  <c r="A389" i="19"/>
  <c r="A313" i="19"/>
  <c r="A295" i="19"/>
  <c r="A143" i="19"/>
  <c r="A430" i="19"/>
  <c r="A251" i="19"/>
  <c r="A57" i="19"/>
  <c r="A413" i="19"/>
  <c r="A135" i="19"/>
  <c r="A436" i="19"/>
  <c r="A372" i="19"/>
  <c r="A125" i="19"/>
  <c r="A414" i="19"/>
  <c r="A370" i="19"/>
  <c r="A415" i="19"/>
  <c r="A406" i="19"/>
  <c r="A367" i="19"/>
  <c r="A432" i="19"/>
  <c r="A427" i="19"/>
  <c r="A164" i="19"/>
  <c r="A15" i="19"/>
  <c r="A247" i="19"/>
  <c r="A322" i="19"/>
  <c r="A401" i="19"/>
  <c r="A392" i="19"/>
  <c r="A306" i="19"/>
  <c r="A250" i="19"/>
  <c r="A210" i="19"/>
  <c r="A438" i="19"/>
  <c r="A419" i="19"/>
  <c r="A334" i="19"/>
  <c r="A316" i="19"/>
  <c r="A19" i="19"/>
  <c r="A89" i="19"/>
  <c r="A41" i="19"/>
  <c r="A286" i="19"/>
  <c r="A364" i="19"/>
  <c r="A317" i="19"/>
  <c r="A407" i="19"/>
  <c r="A399" i="19"/>
  <c r="A79" i="19"/>
  <c r="A35" i="19"/>
  <c r="A365" i="19"/>
  <c r="A154" i="19"/>
  <c r="A348" i="19"/>
  <c r="A290" i="19"/>
  <c r="A423" i="19"/>
  <c r="A327" i="19"/>
  <c r="A337" i="19"/>
  <c r="A384" i="19"/>
  <c r="A381" i="19"/>
  <c r="A404" i="19"/>
  <c r="A388" i="19"/>
  <c r="A6" i="19"/>
  <c r="A151" i="19"/>
  <c r="A298" i="19"/>
  <c r="A242" i="19"/>
  <c r="A29" i="19"/>
  <c r="A428" i="19"/>
  <c r="A346" i="19"/>
  <c r="A424" i="19"/>
  <c r="A439" i="19"/>
  <c r="A391" i="19"/>
  <c r="A284" i="19"/>
  <c r="A380" i="19"/>
  <c r="A441" i="19"/>
  <c r="A373" i="19"/>
  <c r="A405" i="19"/>
  <c r="A48" i="19"/>
  <c r="A123" i="19"/>
  <c r="A314" i="19"/>
  <c r="A245" i="19"/>
  <c r="A425" i="19"/>
  <c r="A403" i="19"/>
  <c r="A326" i="19"/>
  <c r="A209" i="19"/>
  <c r="A94" i="19"/>
  <c r="A32" i="19"/>
  <c r="A409" i="19"/>
  <c r="A418" i="19"/>
  <c r="A88" i="19"/>
  <c r="A398" i="19"/>
  <c r="A435" i="19"/>
  <c r="A417" i="19"/>
  <c r="A379" i="19"/>
  <c r="A139" i="19"/>
  <c r="A412" i="19"/>
  <c r="A420" i="19"/>
  <c r="A377" i="19"/>
  <c r="A410" i="19"/>
  <c r="A91" i="19"/>
  <c r="A9" i="19"/>
  <c r="A429" i="19"/>
  <c r="A411" i="19"/>
  <c r="A431" i="19"/>
  <c r="A416" i="19"/>
  <c r="A141" i="19"/>
  <c r="A397" i="19"/>
  <c r="A426" i="19"/>
  <c r="A303" i="19"/>
  <c r="A385" i="19"/>
  <c r="A85" i="19"/>
  <c r="A408" i="19"/>
  <c r="G414" i="19"/>
  <c r="G406" i="23" s="1"/>
  <c r="G188" i="19"/>
  <c r="G300" i="23" s="1"/>
  <c r="H107" i="19"/>
  <c r="H273" i="19"/>
  <c r="H373" i="19"/>
  <c r="G347" i="19"/>
  <c r="G325" i="23" s="1"/>
  <c r="H51" i="19"/>
  <c r="H382" i="19"/>
  <c r="H75" i="19"/>
  <c r="H187" i="19"/>
  <c r="H184" i="19"/>
  <c r="G200" i="19"/>
  <c r="G33" i="23" s="1"/>
  <c r="H46" i="19"/>
  <c r="H350" i="19"/>
  <c r="H48" i="19"/>
  <c r="H426" i="19"/>
  <c r="H272" i="19"/>
  <c r="H84" i="19"/>
  <c r="H289" i="19"/>
  <c r="H120" i="19"/>
  <c r="H422" i="19"/>
  <c r="H198" i="19"/>
  <c r="H267" i="19"/>
  <c r="H398" i="19"/>
  <c r="H77" i="19"/>
  <c r="H74" i="19"/>
  <c r="H369" i="19"/>
  <c r="H337" i="19"/>
  <c r="H199" i="19"/>
  <c r="H49" i="19"/>
  <c r="H119" i="19"/>
  <c r="H137" i="19"/>
  <c r="H65" i="19"/>
  <c r="H358" i="19"/>
  <c r="H157" i="19"/>
  <c r="H294" i="19"/>
  <c r="H396" i="19"/>
  <c r="H109" i="19"/>
  <c r="R265" i="18"/>
  <c r="H310" i="19"/>
  <c r="H24" i="19"/>
  <c r="H121" i="19"/>
  <c r="H434" i="19"/>
  <c r="H380" i="19"/>
  <c r="G415" i="19"/>
  <c r="G426" i="23" s="1"/>
  <c r="H312" i="19"/>
  <c r="H86" i="19"/>
  <c r="H32" i="19"/>
  <c r="H364" i="19"/>
  <c r="H275" i="19"/>
  <c r="H36" i="19"/>
  <c r="H314" i="19"/>
  <c r="H255" i="19"/>
  <c r="H208" i="19"/>
  <c r="H104" i="19"/>
  <c r="H218" i="19"/>
  <c r="H54" i="19"/>
  <c r="H171" i="19"/>
  <c r="R259" i="18"/>
  <c r="H224" i="19"/>
  <c r="R284" i="18"/>
  <c r="H439" i="19"/>
  <c r="H306" i="19"/>
  <c r="H374" i="19"/>
  <c r="H68" i="19"/>
  <c r="H150" i="19"/>
  <c r="H39" i="19"/>
  <c r="H392" i="19"/>
  <c r="H166" i="19"/>
  <c r="H257" i="19"/>
  <c r="H87" i="19"/>
  <c r="H429" i="19"/>
  <c r="R286" i="18"/>
  <c r="H417" i="19"/>
  <c r="H202" i="19"/>
  <c r="H76" i="19"/>
  <c r="H128" i="19"/>
  <c r="H437" i="19"/>
  <c r="H156" i="19"/>
  <c r="H328" i="19"/>
  <c r="H189" i="19"/>
  <c r="H279" i="19"/>
  <c r="H59" i="19"/>
  <c r="H66" i="19"/>
  <c r="H41" i="19"/>
  <c r="H192" i="19"/>
  <c r="H118" i="19"/>
  <c r="H360" i="19"/>
  <c r="H355" i="19"/>
  <c r="H180" i="19"/>
  <c r="H44" i="19"/>
  <c r="H147" i="19"/>
  <c r="H94" i="19"/>
  <c r="H14" i="19"/>
  <c r="H177" i="19"/>
  <c r="H10" i="19"/>
  <c r="H368" i="19"/>
  <c r="R140" i="18"/>
  <c r="H89" i="19"/>
  <c r="H92" i="19"/>
  <c r="H11" i="19"/>
  <c r="H127" i="19"/>
  <c r="H371" i="19"/>
  <c r="H278" i="19"/>
  <c r="H193" i="19"/>
  <c r="H401" i="19"/>
  <c r="H179" i="19"/>
  <c r="H220" i="19"/>
  <c r="H23" i="19"/>
  <c r="H243" i="19"/>
  <c r="H99" i="19"/>
  <c r="H428" i="19"/>
  <c r="H244" i="19"/>
  <c r="H31" i="19"/>
  <c r="H191" i="19"/>
  <c r="H391" i="19"/>
  <c r="H204" i="19"/>
  <c r="H441" i="19"/>
  <c r="H152" i="19"/>
  <c r="H108" i="19"/>
  <c r="R242" i="18"/>
  <c r="R84" i="18"/>
  <c r="H34" i="19"/>
  <c r="H63" i="19"/>
  <c r="H170" i="19"/>
  <c r="H91" i="19"/>
  <c r="H253" i="19"/>
  <c r="H117" i="19"/>
  <c r="H397" i="19"/>
  <c r="G336" i="19"/>
  <c r="G154" i="23" s="1"/>
  <c r="H196" i="19"/>
  <c r="H431" i="19"/>
  <c r="H331" i="19"/>
  <c r="H262" i="19"/>
  <c r="H155" i="19"/>
  <c r="H227" i="19"/>
  <c r="H102" i="19"/>
  <c r="H201" i="19"/>
  <c r="H316" i="19"/>
  <c r="H309" i="19"/>
  <c r="H143" i="19"/>
  <c r="H405" i="19"/>
  <c r="R313" i="18"/>
  <c r="H433" i="19"/>
  <c r="H420" i="19"/>
  <c r="H106" i="19"/>
  <c r="H370" i="19"/>
  <c r="H317" i="19"/>
  <c r="H432" i="19"/>
  <c r="H307" i="19"/>
  <c r="H50" i="19"/>
  <c r="H9" i="19"/>
  <c r="H190" i="19"/>
  <c r="H30" i="19"/>
  <c r="H195" i="19"/>
  <c r="H427" i="19"/>
  <c r="H4" i="19"/>
  <c r="H83" i="19"/>
  <c r="H79" i="19"/>
  <c r="H304" i="19"/>
  <c r="H168" i="19"/>
  <c r="H27" i="19"/>
  <c r="H60" i="19"/>
  <c r="H340" i="19"/>
  <c r="H303" i="19"/>
  <c r="H47" i="19"/>
  <c r="H73" i="19"/>
  <c r="H325" i="19"/>
  <c r="H395" i="19"/>
  <c r="H249" i="19"/>
  <c r="H133" i="19"/>
  <c r="H410" i="19"/>
  <c r="H139" i="19"/>
  <c r="H135" i="19"/>
  <c r="H393" i="19"/>
  <c r="H90" i="19"/>
  <c r="H211" i="19"/>
  <c r="H213" i="19"/>
  <c r="H225" i="19"/>
  <c r="H344" i="19"/>
  <c r="H313" i="19"/>
  <c r="H232" i="19"/>
  <c r="H256" i="19"/>
  <c r="H70" i="19"/>
  <c r="H320" i="19"/>
  <c r="R317" i="18"/>
  <c r="R399" i="18"/>
  <c r="R224" i="18"/>
  <c r="H15" i="19"/>
  <c r="H20" i="19"/>
  <c r="H174" i="19"/>
  <c r="H216" i="19"/>
  <c r="H62" i="19"/>
  <c r="H386" i="19"/>
  <c r="H144" i="19"/>
  <c r="H276" i="19"/>
  <c r="H416" i="19"/>
  <c r="H435" i="19"/>
  <c r="H285" i="19"/>
  <c r="H407" i="19"/>
  <c r="H286" i="19"/>
  <c r="H197" i="19"/>
  <c r="H56" i="19"/>
  <c r="H436" i="19"/>
  <c r="H146" i="19"/>
  <c r="H38" i="19"/>
  <c r="H45" i="19"/>
  <c r="H409" i="19"/>
  <c r="H284" i="19"/>
  <c r="H264" i="19"/>
  <c r="H6" i="19"/>
  <c r="H341" i="19"/>
  <c r="H105" i="19"/>
  <c r="H335" i="19"/>
  <c r="H385" i="19"/>
  <c r="H332" i="19"/>
  <c r="H123" i="19"/>
  <c r="H231" i="19"/>
  <c r="H148" i="19"/>
  <c r="H7" i="19"/>
  <c r="H122" i="19"/>
  <c r="H296" i="19"/>
  <c r="H359" i="19"/>
  <c r="H241" i="19"/>
  <c r="H182" i="19"/>
  <c r="H138" i="19"/>
  <c r="R314" i="18"/>
  <c r="R219" i="18"/>
  <c r="R171" i="18"/>
  <c r="H361" i="19"/>
  <c r="H25" i="19"/>
  <c r="H356" i="19"/>
  <c r="H258" i="19"/>
  <c r="H404" i="19"/>
  <c r="H131" i="19"/>
  <c r="H440" i="19"/>
  <c r="H375" i="19"/>
  <c r="R150" i="18"/>
  <c r="H96" i="19"/>
  <c r="H141" i="19"/>
  <c r="H246" i="19"/>
  <c r="H238" i="19"/>
  <c r="H295" i="19"/>
  <c r="H366" i="19"/>
  <c r="H315" i="19"/>
  <c r="H129" i="19"/>
  <c r="H270" i="19"/>
  <c r="H442" i="19"/>
  <c r="H5" i="19"/>
  <c r="H103" i="19"/>
  <c r="H394" i="19"/>
  <c r="H80" i="19"/>
  <c r="H8" i="19"/>
  <c r="H93" i="19"/>
  <c r="H424" i="19"/>
  <c r="H408" i="19"/>
  <c r="H17" i="19"/>
  <c r="H234" i="19"/>
  <c r="H330" i="19"/>
  <c r="H101" i="19"/>
  <c r="H72" i="19"/>
  <c r="H176" i="19"/>
  <c r="H186" i="19"/>
  <c r="H98" i="19"/>
  <c r="H388" i="19"/>
  <c r="R319" i="18"/>
  <c r="R57" i="18"/>
  <c r="R3" i="18"/>
  <c r="R30" i="18"/>
  <c r="R106" i="18"/>
  <c r="R418" i="18"/>
  <c r="R38" i="18"/>
  <c r="R111" i="18"/>
  <c r="R168" i="18"/>
  <c r="R2" i="18"/>
  <c r="R232" i="18"/>
  <c r="R307" i="18"/>
  <c r="R186" i="18"/>
  <c r="R262" i="18"/>
  <c r="R318" i="18"/>
  <c r="R295" i="18"/>
  <c r="R192" i="18"/>
  <c r="R287" i="18"/>
  <c r="R271" i="18"/>
  <c r="R48" i="18"/>
  <c r="R422" i="18"/>
  <c r="R258" i="18"/>
  <c r="R81" i="18"/>
  <c r="R78" i="18"/>
  <c r="R252" i="18"/>
  <c r="R86" i="18"/>
  <c r="R426" i="18"/>
  <c r="R260" i="18"/>
  <c r="R298" i="18"/>
  <c r="R304" i="18"/>
  <c r="R311" i="18"/>
  <c r="H142" i="19"/>
  <c r="H164" i="19"/>
  <c r="R272" i="18"/>
  <c r="H209" i="19"/>
  <c r="H418" i="19"/>
  <c r="H327" i="19"/>
  <c r="H61" i="19"/>
  <c r="H217" i="19"/>
  <c r="H248" i="19"/>
  <c r="R325" i="18"/>
  <c r="H222" i="19"/>
  <c r="H266" i="19"/>
  <c r="H381" i="19"/>
  <c r="H134" i="19"/>
  <c r="H287" i="19"/>
  <c r="R257" i="18"/>
  <c r="H153" i="19"/>
  <c r="H219" i="19"/>
  <c r="H389" i="19"/>
  <c r="H82" i="19"/>
  <c r="R241" i="18"/>
  <c r="H259" i="19"/>
  <c r="H261" i="19"/>
  <c r="H288" i="19"/>
  <c r="H237" i="19"/>
  <c r="H425" i="19"/>
  <c r="H311" i="19"/>
  <c r="H367" i="19"/>
  <c r="H19" i="19"/>
  <c r="H399" i="19"/>
  <c r="H251" i="19"/>
  <c r="H329" i="19"/>
  <c r="H301" i="19"/>
  <c r="H226" i="19"/>
  <c r="H67" i="19"/>
  <c r="H348" i="19"/>
  <c r="H242" i="19"/>
  <c r="H149" i="19"/>
  <c r="H160" i="19"/>
  <c r="H250" i="19"/>
  <c r="H430" i="19"/>
  <c r="H233" i="19"/>
  <c r="H81" i="19"/>
  <c r="H18" i="19"/>
  <c r="H352" i="19"/>
  <c r="H162" i="19"/>
  <c r="H263" i="19"/>
  <c r="H282" i="19"/>
  <c r="G71" i="19"/>
  <c r="G119" i="23" s="1"/>
  <c r="G151" i="19"/>
  <c r="G105" i="23" s="1"/>
  <c r="R64" i="18"/>
  <c r="H21" i="19"/>
  <c r="H12" i="19"/>
  <c r="H58" i="19"/>
  <c r="H28" i="19"/>
  <c r="H223" i="19"/>
  <c r="H403" i="19"/>
  <c r="H210" i="19"/>
  <c r="H64" i="19"/>
  <c r="H334" i="19"/>
  <c r="H245" i="19"/>
  <c r="H319" i="19"/>
  <c r="H338" i="19"/>
  <c r="H357" i="19"/>
  <c r="H228" i="19"/>
  <c r="H113" i="19"/>
  <c r="H384" i="19"/>
  <c r="H26" i="19"/>
  <c r="H362" i="19"/>
  <c r="H43" i="19"/>
  <c r="H419" i="19"/>
  <c r="H97" i="19"/>
  <c r="H183" i="19"/>
  <c r="H343" i="19"/>
  <c r="H443" i="19"/>
  <c r="H229" i="19"/>
  <c r="H132" i="19"/>
  <c r="H265" i="19"/>
  <c r="H173" i="19"/>
  <c r="H3" i="19"/>
  <c r="H378" i="19"/>
  <c r="H163" i="19"/>
  <c r="H354" i="19"/>
  <c r="H158" i="19"/>
  <c r="H40" i="19"/>
  <c r="H53" i="19"/>
  <c r="H353" i="19"/>
  <c r="H207" i="19"/>
  <c r="H345" i="19"/>
  <c r="H240" i="19"/>
  <c r="H178" i="19"/>
  <c r="H290" i="19"/>
  <c r="H185" i="19"/>
  <c r="H52" i="19"/>
  <c r="H283" i="19"/>
  <c r="H2" i="19"/>
  <c r="H299" i="19"/>
  <c r="H342" i="19"/>
  <c r="H333" i="19"/>
  <c r="H349" i="19"/>
  <c r="H281" i="19"/>
  <c r="H363" i="19"/>
  <c r="H35" i="19"/>
  <c r="H95" i="19"/>
  <c r="H235" i="19"/>
  <c r="H239" i="19"/>
  <c r="H291" i="19"/>
  <c r="H411" i="19"/>
  <c r="H175" i="19"/>
  <c r="H29" i="19"/>
  <c r="H154" i="19"/>
  <c r="H268" i="19"/>
  <c r="H365" i="19"/>
  <c r="H406" i="19"/>
  <c r="H271" i="19"/>
  <c r="H305" i="19"/>
  <c r="H69" i="19"/>
  <c r="H379" i="19"/>
  <c r="H383" i="19"/>
  <c r="H421" i="19"/>
  <c r="H167" i="19"/>
  <c r="H376" i="19"/>
  <c r="H116" i="19"/>
  <c r="H206" i="19"/>
  <c r="H100" i="19"/>
  <c r="H297" i="19"/>
  <c r="H236" i="19"/>
  <c r="H85" i="19"/>
  <c r="H57" i="19"/>
  <c r="H387" i="19"/>
  <c r="H400" i="19"/>
  <c r="H169" i="19"/>
  <c r="H159" i="19"/>
  <c r="H126" i="19"/>
  <c r="H78" i="19"/>
  <c r="H42" i="19"/>
  <c r="H298" i="19"/>
  <c r="H194" i="19"/>
  <c r="H130" i="19"/>
  <c r="H111" i="19"/>
  <c r="H37" i="19"/>
  <c r="H214" i="19"/>
  <c r="H140" i="19"/>
  <c r="H124" i="19"/>
  <c r="H323" i="19"/>
  <c r="H324" i="19"/>
  <c r="H292" i="19"/>
  <c r="H413" i="19"/>
  <c r="H277" i="19"/>
  <c r="H88" i="19"/>
  <c r="H115" i="19"/>
  <c r="H412" i="19"/>
  <c r="H372" i="19"/>
  <c r="H13" i="19"/>
  <c r="H280" i="19"/>
  <c r="H300" i="19"/>
  <c r="H302" i="19"/>
  <c r="H125" i="19"/>
  <c r="H112" i="19"/>
  <c r="H260" i="19"/>
  <c r="H172" i="19"/>
  <c r="H269" i="19"/>
  <c r="H110" i="19"/>
  <c r="H221" i="19"/>
  <c r="H230" i="19"/>
  <c r="H326" i="19"/>
  <c r="H438" i="19"/>
  <c r="H293" i="19"/>
  <c r="H161" i="19"/>
  <c r="H390" i="19"/>
  <c r="H215" i="19"/>
  <c r="H33" i="19"/>
  <c r="H308" i="19"/>
  <c r="H247" i="19"/>
  <c r="H322" i="19"/>
  <c r="H16" i="19"/>
  <c r="H203" i="19"/>
  <c r="H254" i="19"/>
  <c r="H212" i="19"/>
  <c r="H136" i="19"/>
  <c r="H274" i="19"/>
  <c r="H339" i="19"/>
  <c r="H145" i="19"/>
  <c r="H346" i="19"/>
  <c r="H318" i="19"/>
  <c r="H114" i="19"/>
  <c r="H423" i="19"/>
  <c r="R96" i="18"/>
  <c r="R277" i="18"/>
  <c r="R208" i="18"/>
  <c r="R211" i="18"/>
  <c r="R408" i="18"/>
  <c r="R117" i="18"/>
  <c r="R240" i="18"/>
  <c r="R15" i="18"/>
  <c r="R119" i="18"/>
  <c r="R381" i="18"/>
  <c r="R310" i="18"/>
  <c r="R121" i="18"/>
  <c r="R157" i="18"/>
  <c r="R191" i="18"/>
  <c r="R278" i="18"/>
  <c r="R210" i="18"/>
  <c r="R378" i="18"/>
  <c r="R321" i="18"/>
  <c r="R139" i="18"/>
  <c r="R411" i="18"/>
  <c r="R407" i="18"/>
  <c r="J2" i="18"/>
  <c r="H22" i="19" s="1"/>
  <c r="R145" i="18"/>
  <c r="R126" i="18"/>
  <c r="R223" i="18"/>
  <c r="R195" i="18"/>
  <c r="R54" i="18"/>
  <c r="R175" i="18"/>
  <c r="R127" i="18"/>
  <c r="R283" i="18"/>
  <c r="R36" i="18"/>
  <c r="R187" i="18"/>
  <c r="R18" i="18"/>
  <c r="R181" i="18"/>
  <c r="R42" i="18"/>
  <c r="R137" i="18"/>
  <c r="R300" i="18"/>
  <c r="R248" i="18"/>
  <c r="R274" i="18"/>
  <c r="R256" i="18"/>
  <c r="R47" i="18"/>
  <c r="R266" i="18"/>
  <c r="R205" i="18"/>
  <c r="R43" i="18"/>
  <c r="R233" i="18"/>
  <c r="R294" i="18"/>
  <c r="R12" i="18"/>
  <c r="R390" i="18"/>
  <c r="R218" i="18"/>
  <c r="R228" i="18"/>
  <c r="R312" i="18"/>
  <c r="R270" i="18"/>
  <c r="R423" i="18"/>
  <c r="R244" i="18"/>
  <c r="R85" i="18"/>
  <c r="R246" i="18"/>
  <c r="R164" i="18"/>
  <c r="R279" i="18"/>
  <c r="R253" i="18"/>
  <c r="R237" i="18"/>
  <c r="R417" i="18"/>
  <c r="R267" i="18"/>
  <c r="R120" i="18"/>
  <c r="R153" i="18"/>
  <c r="R254" i="18"/>
  <c r="R152" i="18"/>
  <c r="R425" i="18"/>
  <c r="R289" i="18"/>
  <c r="R421" i="18"/>
  <c r="R420" i="18"/>
  <c r="R308" i="18"/>
  <c r="R323" i="18"/>
  <c r="R301" i="18"/>
  <c r="R276" i="18"/>
  <c r="R393" i="18"/>
  <c r="R67" i="18"/>
  <c r="R4" i="18"/>
  <c r="R379" i="18"/>
  <c r="R188" i="18"/>
  <c r="R52" i="18"/>
  <c r="R306" i="18"/>
  <c r="R315" i="18"/>
  <c r="R305" i="18"/>
  <c r="R275" i="18"/>
  <c r="R128" i="18"/>
  <c r="R263" i="18"/>
  <c r="R419" i="18"/>
  <c r="R297" i="18"/>
  <c r="R288" i="18"/>
  <c r="R243" i="18"/>
  <c r="R309" i="18"/>
  <c r="R285" i="18"/>
  <c r="R122" i="18"/>
  <c r="R158" i="18"/>
  <c r="R264" i="18"/>
  <c r="R268" i="18"/>
  <c r="R249" i="18"/>
  <c r="R255" i="18"/>
  <c r="R296" i="18"/>
  <c r="R236" i="18"/>
  <c r="R398" i="18"/>
  <c r="R316" i="18"/>
  <c r="R424" i="18"/>
  <c r="R107" i="18"/>
  <c r="R299" i="18"/>
  <c r="R400" i="18"/>
  <c r="R29" i="18"/>
  <c r="R303" i="18"/>
  <c r="R251" i="18"/>
  <c r="R291" i="18"/>
  <c r="R320" i="18"/>
  <c r="R124" i="18"/>
  <c r="R206" i="18"/>
  <c r="R273" i="18"/>
  <c r="R302" i="18"/>
  <c r="R293" i="18"/>
  <c r="R261" i="18"/>
  <c r="R324" i="18"/>
  <c r="R89" i="18"/>
  <c r="R281" i="18"/>
  <c r="R245" i="18"/>
  <c r="R282" i="18"/>
  <c r="R290" i="18"/>
  <c r="AL375" i="19" l="1"/>
  <c r="AM375" i="19" s="1"/>
  <c r="AN375" i="19" s="1"/>
  <c r="AO375" i="19" s="1"/>
  <c r="AP375" i="19" s="1"/>
  <c r="AQ375" i="19" s="1"/>
  <c r="AR375" i="19" s="1"/>
  <c r="AS375" i="19" s="1"/>
  <c r="AT375" i="19" s="1"/>
  <c r="AL374" i="19"/>
  <c r="AM374" i="19" s="1"/>
  <c r="AN374" i="19" s="1"/>
  <c r="AO374" i="19" s="1"/>
  <c r="AP374" i="19" s="1"/>
  <c r="AQ374" i="19" s="1"/>
  <c r="AR374" i="19" s="1"/>
  <c r="AS374" i="19" s="1"/>
  <c r="AT374" i="19" s="1"/>
  <c r="AL376" i="19"/>
  <c r="AM376" i="19" s="1"/>
  <c r="AN376" i="19" s="1"/>
  <c r="AO376" i="19" s="1"/>
  <c r="AP376" i="19" s="1"/>
  <c r="AQ376" i="19" s="1"/>
  <c r="AR376" i="19" s="1"/>
  <c r="AS376" i="19" s="1"/>
  <c r="AT376" i="19" s="1"/>
  <c r="E40" i="21"/>
  <c r="I40" i="21"/>
  <c r="J44" i="21"/>
  <c r="E41" i="24"/>
  <c r="L44" i="21"/>
  <c r="I44" i="24"/>
  <c r="I44" i="21"/>
  <c r="E44" i="24"/>
  <c r="I41" i="21"/>
  <c r="H44" i="21"/>
  <c r="E44" i="21"/>
  <c r="L44" i="24"/>
  <c r="E41" i="21"/>
  <c r="J44" i="24"/>
  <c r="I41" i="24"/>
  <c r="H44" i="24"/>
  <c r="L40" i="21"/>
  <c r="I43" i="24"/>
  <c r="I42" i="24"/>
  <c r="H42" i="24"/>
  <c r="L40" i="24"/>
  <c r="H42" i="21"/>
  <c r="H39" i="24"/>
  <c r="L43" i="21"/>
  <c r="J43" i="16"/>
  <c r="L42" i="24"/>
  <c r="D39" i="16"/>
  <c r="G40" i="24"/>
  <c r="G40" i="21"/>
  <c r="J39" i="11"/>
  <c r="J35" i="11" s="1"/>
  <c r="J42" i="16"/>
  <c r="J40" i="21"/>
  <c r="I39" i="11"/>
  <c r="I40" i="11"/>
  <c r="L43" i="24"/>
  <c r="L42" i="21"/>
  <c r="J40" i="24"/>
  <c r="G50" i="16"/>
  <c r="G38" i="16"/>
  <c r="F50" i="16"/>
  <c r="F38" i="16"/>
  <c r="G42" i="21"/>
  <c r="E42" i="24"/>
  <c r="E42" i="21"/>
  <c r="J42" i="21"/>
  <c r="G42" i="24"/>
  <c r="J42" i="24"/>
  <c r="F47" i="11"/>
  <c r="G47" i="11"/>
  <c r="E43" i="24"/>
  <c r="E43" i="21"/>
  <c r="E39" i="21"/>
  <c r="C40" i="16"/>
  <c r="L44" i="16"/>
  <c r="L38" i="16" s="1"/>
  <c r="J43" i="21"/>
  <c r="J43" i="24"/>
  <c r="G40" i="11"/>
  <c r="G35" i="11" s="1"/>
  <c r="H43" i="16"/>
  <c r="H38" i="16" s="1"/>
  <c r="L39" i="24"/>
  <c r="O175" i="23"/>
  <c r="A16" i="23"/>
  <c r="K41" i="24"/>
  <c r="H39" i="11"/>
  <c r="D50" i="16"/>
  <c r="H61" i="23"/>
  <c r="A262" i="23"/>
  <c r="A10" i="23"/>
  <c r="H236" i="23"/>
  <c r="A348" i="23"/>
  <c r="H386" i="23"/>
  <c r="K7" i="23"/>
  <c r="O437" i="23"/>
  <c r="O185" i="23"/>
  <c r="F43" i="24"/>
  <c r="C40" i="11"/>
  <c r="K40" i="11"/>
  <c r="E43" i="16"/>
  <c r="A423" i="23"/>
  <c r="A17" i="23"/>
  <c r="A9" i="23"/>
  <c r="A169" i="23"/>
  <c r="K37" i="11"/>
  <c r="L37" i="11"/>
  <c r="J50" i="16"/>
  <c r="C50" i="16"/>
  <c r="H36" i="11"/>
  <c r="B36" i="11" s="1"/>
  <c r="K39" i="11"/>
  <c r="O75" i="23"/>
  <c r="AK75" i="23" s="1"/>
  <c r="AL75" i="23" s="1"/>
  <c r="AM75" i="23" s="1"/>
  <c r="AN75" i="23" s="1"/>
  <c r="AO75" i="23" s="1"/>
  <c r="AP75" i="23" s="1"/>
  <c r="AQ75" i="23" s="1"/>
  <c r="AR75" i="23" s="1"/>
  <c r="AS75" i="23" s="1"/>
  <c r="AT75" i="23" s="1"/>
  <c r="H145" i="23"/>
  <c r="K38" i="16"/>
  <c r="I50" i="16"/>
  <c r="H149" i="23"/>
  <c r="K347" i="23"/>
  <c r="K165" i="23"/>
  <c r="O57" i="23"/>
  <c r="AK57" i="23" s="1"/>
  <c r="AL57" i="23" s="1"/>
  <c r="AM57" i="23" s="1"/>
  <c r="AN57" i="23" s="1"/>
  <c r="AO57" i="23" s="1"/>
  <c r="AP57" i="23" s="1"/>
  <c r="AQ57" i="23" s="1"/>
  <c r="AR57" i="23" s="1"/>
  <c r="AS57" i="23" s="1"/>
  <c r="AT57" i="23" s="1"/>
  <c r="O412" i="23"/>
  <c r="G224" i="23"/>
  <c r="I41" i="16"/>
  <c r="I38" i="16" s="1"/>
  <c r="G53" i="23"/>
  <c r="B56" i="16"/>
  <c r="K9" i="23"/>
  <c r="K41" i="21"/>
  <c r="B34" i="11"/>
  <c r="G259" i="23"/>
  <c r="K143" i="23"/>
  <c r="K24" i="23"/>
  <c r="G95" i="23"/>
  <c r="G123" i="23"/>
  <c r="G252" i="23"/>
  <c r="G345" i="23"/>
  <c r="C39" i="11"/>
  <c r="G183" i="23"/>
  <c r="G362" i="23"/>
  <c r="A13" i="23"/>
  <c r="K82" i="23"/>
  <c r="K172" i="23"/>
  <c r="K151" i="23"/>
  <c r="O11" i="23"/>
  <c r="L41" i="11"/>
  <c r="A377" i="23"/>
  <c r="K385" i="23"/>
  <c r="O56" i="23"/>
  <c r="AK56" i="23" s="1"/>
  <c r="AL56" i="23" s="1"/>
  <c r="AM56" i="23" s="1"/>
  <c r="AN56" i="23" s="1"/>
  <c r="AO56" i="23" s="1"/>
  <c r="AP56" i="23" s="1"/>
  <c r="AQ56" i="23" s="1"/>
  <c r="AR56" i="23" s="1"/>
  <c r="AS56" i="23" s="1"/>
  <c r="AT56" i="23" s="1"/>
  <c r="O398" i="23"/>
  <c r="A14" i="23"/>
  <c r="K386" i="23"/>
  <c r="G273" i="23"/>
  <c r="O432" i="23"/>
  <c r="A163" i="23"/>
  <c r="O7" i="23"/>
  <c r="H387" i="23"/>
  <c r="A12" i="23"/>
  <c r="K434" i="23"/>
  <c r="O14" i="23"/>
  <c r="G196" i="23"/>
  <c r="H37" i="23"/>
  <c r="A11" i="23"/>
  <c r="K141" i="23"/>
  <c r="O78" i="23"/>
  <c r="AK78" i="23" s="1"/>
  <c r="AL78" i="23" s="1"/>
  <c r="AM78" i="23" s="1"/>
  <c r="AN78" i="23" s="1"/>
  <c r="AO78" i="23" s="1"/>
  <c r="AP78" i="23" s="1"/>
  <c r="AQ78" i="23" s="1"/>
  <c r="AR78" i="23" s="1"/>
  <c r="AS78" i="23" s="1"/>
  <c r="AT78" i="23" s="1"/>
  <c r="O399" i="23"/>
  <c r="G401" i="23"/>
  <c r="G395" i="23"/>
  <c r="G342" i="23"/>
  <c r="K31" i="23"/>
  <c r="K238" i="23"/>
  <c r="O9" i="23"/>
  <c r="K185" i="23"/>
  <c r="C39" i="24"/>
  <c r="F39" i="21"/>
  <c r="H308" i="23"/>
  <c r="C40" i="24"/>
  <c r="H365" i="23"/>
  <c r="A91" i="23"/>
  <c r="A151" i="23"/>
  <c r="A2" i="23"/>
  <c r="K401" i="23"/>
  <c r="K11" i="23"/>
  <c r="K184" i="23"/>
  <c r="C39" i="21"/>
  <c r="H115" i="23"/>
  <c r="H298" i="23"/>
  <c r="H430" i="23"/>
  <c r="H174" i="23"/>
  <c r="A251" i="23"/>
  <c r="K377" i="23"/>
  <c r="K250" i="23"/>
  <c r="O51" i="23"/>
  <c r="AK51" i="23" s="1"/>
  <c r="AL51" i="23" s="1"/>
  <c r="AM51" i="23" s="1"/>
  <c r="AN51" i="23" s="1"/>
  <c r="AO51" i="23" s="1"/>
  <c r="AP51" i="23" s="1"/>
  <c r="AQ51" i="23" s="1"/>
  <c r="AR51" i="23" s="1"/>
  <c r="AS51" i="23" s="1"/>
  <c r="AT51" i="23" s="1"/>
  <c r="O81" i="23"/>
  <c r="AK81" i="23" s="1"/>
  <c r="AL81" i="23" s="1"/>
  <c r="AM81" i="23" s="1"/>
  <c r="AN81" i="23" s="1"/>
  <c r="AO81" i="23" s="1"/>
  <c r="AP81" i="23" s="1"/>
  <c r="AQ81" i="23" s="1"/>
  <c r="AR81" i="23" s="1"/>
  <c r="AS81" i="23" s="1"/>
  <c r="AT81" i="23" s="1"/>
  <c r="F39" i="24"/>
  <c r="E44" i="16"/>
  <c r="H40" i="11"/>
  <c r="G425" i="23"/>
  <c r="K331" i="23"/>
  <c r="O84" i="23"/>
  <c r="AK84" i="23" s="1"/>
  <c r="AL84" i="23" s="1"/>
  <c r="AM84" i="23" s="1"/>
  <c r="AN84" i="23" s="1"/>
  <c r="AO84" i="23" s="1"/>
  <c r="AP84" i="23" s="1"/>
  <c r="AQ84" i="23" s="1"/>
  <c r="AR84" i="23" s="1"/>
  <c r="AS84" i="23" s="1"/>
  <c r="AT84" i="23" s="1"/>
  <c r="H82" i="23"/>
  <c r="K99" i="23"/>
  <c r="O32" i="23"/>
  <c r="C40" i="21"/>
  <c r="K404" i="23"/>
  <c r="B37" i="24"/>
  <c r="H47" i="11"/>
  <c r="K50" i="16"/>
  <c r="E50" i="16"/>
  <c r="H50" i="16"/>
  <c r="C41" i="21"/>
  <c r="F41" i="21"/>
  <c r="E42" i="16"/>
  <c r="C41" i="24"/>
  <c r="J39" i="16"/>
  <c r="H43" i="24"/>
  <c r="F41" i="24"/>
  <c r="K43" i="24"/>
  <c r="D43" i="16"/>
  <c r="F50" i="24"/>
  <c r="C44" i="16"/>
  <c r="B56" i="21"/>
  <c r="K43" i="21"/>
  <c r="L47" i="11"/>
  <c r="H43" i="21"/>
  <c r="B53" i="11"/>
  <c r="B55" i="16"/>
  <c r="I50" i="21"/>
  <c r="B52" i="11"/>
  <c r="J50" i="24"/>
  <c r="B53" i="24"/>
  <c r="C43" i="21"/>
  <c r="D38" i="21"/>
  <c r="K40" i="21"/>
  <c r="B52" i="24"/>
  <c r="I50" i="24"/>
  <c r="L50" i="16"/>
  <c r="J50" i="21"/>
  <c r="B55" i="21"/>
  <c r="L50" i="24"/>
  <c r="L50" i="21"/>
  <c r="E47" i="11"/>
  <c r="B51" i="24"/>
  <c r="C42" i="21"/>
  <c r="G50" i="24"/>
  <c r="B51" i="11"/>
  <c r="C50" i="24"/>
  <c r="B56" i="24"/>
  <c r="B54" i="21"/>
  <c r="G50" i="21"/>
  <c r="C42" i="16"/>
  <c r="B50" i="11"/>
  <c r="E50" i="21"/>
  <c r="F43" i="21"/>
  <c r="B37" i="21"/>
  <c r="B53" i="16"/>
  <c r="E50" i="24"/>
  <c r="H50" i="24"/>
  <c r="B55" i="24"/>
  <c r="B53" i="21"/>
  <c r="F50" i="21"/>
  <c r="K50" i="21"/>
  <c r="E35" i="11"/>
  <c r="B52" i="16"/>
  <c r="B49" i="11"/>
  <c r="B54" i="24"/>
  <c r="D50" i="21"/>
  <c r="H50" i="21"/>
  <c r="K47" i="11"/>
  <c r="D47" i="11"/>
  <c r="B38" i="11"/>
  <c r="C43" i="24"/>
  <c r="B52" i="21"/>
  <c r="J47" i="11"/>
  <c r="D50" i="24"/>
  <c r="K50" i="24"/>
  <c r="B51" i="16"/>
  <c r="B48" i="11"/>
  <c r="C47" i="11"/>
  <c r="B51" i="21"/>
  <c r="C50" i="21"/>
  <c r="I47" i="11"/>
  <c r="B54" i="16"/>
  <c r="B37" i="16"/>
  <c r="D38" i="24"/>
  <c r="F40" i="24"/>
  <c r="H40" i="24"/>
  <c r="F40" i="21"/>
  <c r="H40" i="21"/>
  <c r="D40" i="16"/>
  <c r="A385" i="23"/>
  <c r="K130" i="23"/>
  <c r="H7" i="23"/>
  <c r="H210" i="23"/>
  <c r="K270" i="23"/>
  <c r="K431" i="23"/>
  <c r="A131" i="23"/>
  <c r="K115" i="23"/>
  <c r="A234" i="23"/>
  <c r="K280" i="23"/>
  <c r="K110" i="23"/>
  <c r="A349" i="23"/>
  <c r="A344" i="23"/>
  <c r="H116" i="23"/>
  <c r="A100" i="23"/>
  <c r="H156" i="23"/>
  <c r="O151" i="23"/>
  <c r="O220" i="23"/>
  <c r="O129" i="23"/>
  <c r="O118" i="23"/>
  <c r="O168" i="23"/>
  <c r="O193" i="23"/>
  <c r="O255" i="23"/>
  <c r="O410" i="23"/>
  <c r="O305" i="23"/>
  <c r="O124" i="23"/>
  <c r="O184" i="23"/>
  <c r="O164" i="23"/>
  <c r="O308" i="23"/>
  <c r="O203" i="23"/>
  <c r="O262" i="23"/>
  <c r="O76" i="23"/>
  <c r="AK76" i="23" s="1"/>
  <c r="AL76" i="23" s="1"/>
  <c r="AM76" i="23" s="1"/>
  <c r="AN76" i="23" s="1"/>
  <c r="AO76" i="23" s="1"/>
  <c r="AP76" i="23" s="1"/>
  <c r="AQ76" i="23" s="1"/>
  <c r="AR76" i="23" s="1"/>
  <c r="AS76" i="23" s="1"/>
  <c r="AT76" i="23" s="1"/>
  <c r="O334" i="23"/>
  <c r="O98" i="23"/>
  <c r="O237" i="23"/>
  <c r="O105" i="23"/>
  <c r="O170" i="23"/>
  <c r="O402" i="23"/>
  <c r="O407" i="23"/>
  <c r="O403" i="23"/>
  <c r="O400" i="23"/>
  <c r="O165" i="23"/>
  <c r="O277" i="23"/>
  <c r="O377" i="23"/>
  <c r="O395" i="23"/>
  <c r="O172" i="23"/>
  <c r="O240" i="23"/>
  <c r="O413" i="23"/>
  <c r="O116" i="23"/>
  <c r="O387" i="23"/>
  <c r="O250" i="23"/>
  <c r="O251" i="23"/>
  <c r="H330" i="23"/>
  <c r="O322" i="23"/>
  <c r="A180" i="23"/>
  <c r="K54" i="23"/>
  <c r="K57" i="23"/>
  <c r="O47" i="23"/>
  <c r="AK47" i="23" s="1"/>
  <c r="AL47" i="23" s="1"/>
  <c r="AM47" i="23" s="1"/>
  <c r="AN47" i="23" s="1"/>
  <c r="AO47" i="23" s="1"/>
  <c r="AP47" i="23" s="1"/>
  <c r="AQ47" i="23" s="1"/>
  <c r="AR47" i="23" s="1"/>
  <c r="AS47" i="23" s="1"/>
  <c r="AT47" i="23" s="1"/>
  <c r="A48" i="23"/>
  <c r="K95" i="23"/>
  <c r="A397" i="23"/>
  <c r="A145" i="23"/>
  <c r="H228" i="23"/>
  <c r="A164" i="23"/>
  <c r="K346" i="23"/>
  <c r="O229" i="23"/>
  <c r="H221" i="23"/>
  <c r="K395" i="23"/>
  <c r="H412" i="23"/>
  <c r="H417" i="23"/>
  <c r="H350" i="23"/>
  <c r="A345" i="23"/>
  <c r="O270" i="23"/>
  <c r="O82" i="23"/>
  <c r="AK82" i="23" s="1"/>
  <c r="AL82" i="23" s="1"/>
  <c r="AM82" i="23" s="1"/>
  <c r="AN82" i="23" s="1"/>
  <c r="AO82" i="23" s="1"/>
  <c r="AP82" i="23" s="1"/>
  <c r="AQ82" i="23" s="1"/>
  <c r="AR82" i="23" s="1"/>
  <c r="AS82" i="23" s="1"/>
  <c r="AT82" i="23" s="1"/>
  <c r="H318" i="23"/>
  <c r="H277" i="23"/>
  <c r="H100" i="23"/>
  <c r="H12" i="23"/>
  <c r="H246" i="23"/>
  <c r="H420" i="23"/>
  <c r="H331" i="23"/>
  <c r="H368" i="23"/>
  <c r="H41" i="23"/>
  <c r="H77" i="23"/>
  <c r="A298" i="23"/>
  <c r="A154" i="23"/>
  <c r="A413" i="23"/>
  <c r="A265" i="23"/>
  <c r="A215" i="23"/>
  <c r="A244" i="23"/>
  <c r="A263" i="23"/>
  <c r="A193" i="23"/>
  <c r="K383" i="23"/>
  <c r="K396" i="23"/>
  <c r="K443" i="23"/>
  <c r="K222" i="23"/>
  <c r="K195" i="23"/>
  <c r="K342" i="23"/>
  <c r="K227" i="23"/>
  <c r="K294" i="23"/>
  <c r="K402" i="23"/>
  <c r="K182" i="23"/>
  <c r="O103" i="23"/>
  <c r="O169" i="23"/>
  <c r="O187" i="23"/>
  <c r="O272" i="23"/>
  <c r="O215" i="23"/>
  <c r="O40" i="23"/>
  <c r="O320" i="23"/>
  <c r="O298" i="23"/>
  <c r="O225" i="23"/>
  <c r="K208" i="23"/>
  <c r="O376" i="23"/>
  <c r="AK376" i="23" s="1"/>
  <c r="AL376" i="23" s="1"/>
  <c r="O69" i="23"/>
  <c r="AK69" i="23" s="1"/>
  <c r="AL69" i="23" s="1"/>
  <c r="AM69" i="23" s="1"/>
  <c r="AN69" i="23" s="1"/>
  <c r="AO69" i="23" s="1"/>
  <c r="AP69" i="23" s="1"/>
  <c r="AQ69" i="23" s="1"/>
  <c r="AR69" i="23" s="1"/>
  <c r="AS69" i="23" s="1"/>
  <c r="AT69" i="23" s="1"/>
  <c r="H103" i="23"/>
  <c r="K242" i="23"/>
  <c r="K246" i="23"/>
  <c r="O171" i="23"/>
  <c r="O177" i="23"/>
  <c r="H390" i="23"/>
  <c r="H134" i="23"/>
  <c r="K405" i="23"/>
  <c r="K103" i="23"/>
  <c r="O279" i="23"/>
  <c r="H143" i="23"/>
  <c r="A303" i="23"/>
  <c r="A209" i="23"/>
  <c r="A406" i="23"/>
  <c r="A190" i="23"/>
  <c r="A332" i="23"/>
  <c r="K321" i="23"/>
  <c r="O294" i="23"/>
  <c r="H400" i="23"/>
  <c r="A78" i="23"/>
  <c r="K108" i="23"/>
  <c r="K236" i="23"/>
  <c r="A331" i="23"/>
  <c r="A325" i="23"/>
  <c r="O89" i="23"/>
  <c r="AK89" i="23" s="1"/>
  <c r="AL89" i="23" s="1"/>
  <c r="AM89" i="23" s="1"/>
  <c r="AN89" i="23" s="1"/>
  <c r="AO89" i="23" s="1"/>
  <c r="AP89" i="23" s="1"/>
  <c r="AQ89" i="23" s="1"/>
  <c r="AR89" i="23" s="1"/>
  <c r="AS89" i="23" s="1"/>
  <c r="AT89" i="23" s="1"/>
  <c r="A321" i="23"/>
  <c r="K155" i="23"/>
  <c r="O46" i="23"/>
  <c r="AK46" i="23" s="1"/>
  <c r="AL46" i="23" s="1"/>
  <c r="AM46" i="23" s="1"/>
  <c r="AN46" i="23" s="1"/>
  <c r="AO46" i="23" s="1"/>
  <c r="AP46" i="23" s="1"/>
  <c r="AQ46" i="23" s="1"/>
  <c r="AR46" i="23" s="1"/>
  <c r="AS46" i="23" s="1"/>
  <c r="AT46" i="23" s="1"/>
  <c r="K81" i="23"/>
  <c r="K393" i="23"/>
  <c r="K221" i="23"/>
  <c r="K353" i="23"/>
  <c r="O110" i="23"/>
  <c r="H19" i="23"/>
  <c r="A418" i="23"/>
  <c r="A118" i="23"/>
  <c r="K300" i="23"/>
  <c r="O326" i="23"/>
  <c r="A316" i="23"/>
  <c r="A437" i="23"/>
  <c r="A42" i="23"/>
  <c r="K64" i="23"/>
  <c r="K357" i="23"/>
  <c r="K88" i="23"/>
  <c r="K281" i="23"/>
  <c r="H153" i="23"/>
  <c r="H313" i="23"/>
  <c r="A405" i="23"/>
  <c r="A254" i="23"/>
  <c r="A312" i="23"/>
  <c r="A72" i="23"/>
  <c r="A188" i="23"/>
  <c r="K135" i="23"/>
  <c r="K282" i="23"/>
  <c r="K372" i="23"/>
  <c r="O204" i="23"/>
  <c r="O421" i="23"/>
  <c r="A45" i="23"/>
  <c r="H274" i="23"/>
  <c r="H299" i="23"/>
  <c r="H237" i="23"/>
  <c r="H65" i="23"/>
  <c r="K387" i="23"/>
  <c r="K175" i="23"/>
  <c r="K60" i="23"/>
  <c r="K217" i="23"/>
  <c r="K183" i="23"/>
  <c r="K120" i="23"/>
  <c r="O97" i="23"/>
  <c r="O62" i="23"/>
  <c r="AK62" i="23" s="1"/>
  <c r="AL62" i="23" s="1"/>
  <c r="AM62" i="23" s="1"/>
  <c r="AN62" i="23" s="1"/>
  <c r="AO62" i="23" s="1"/>
  <c r="AP62" i="23" s="1"/>
  <c r="AQ62" i="23" s="1"/>
  <c r="AR62" i="23" s="1"/>
  <c r="AS62" i="23" s="1"/>
  <c r="AT62" i="23" s="1"/>
  <c r="K237" i="23"/>
  <c r="H364" i="23"/>
  <c r="O309" i="23"/>
  <c r="H292" i="23"/>
  <c r="H302" i="23"/>
  <c r="H159" i="23"/>
  <c r="H375" i="23"/>
  <c r="H104" i="23"/>
  <c r="A235" i="23"/>
  <c r="A324" i="23"/>
  <c r="K253" i="23"/>
  <c r="A137" i="23"/>
  <c r="A306" i="23"/>
  <c r="A99" i="23"/>
  <c r="K209" i="23"/>
  <c r="K319" i="23"/>
  <c r="H379" i="23"/>
  <c r="H43" i="23"/>
  <c r="H264" i="23"/>
  <c r="H307" i="23"/>
  <c r="H201" i="23"/>
  <c r="H208" i="23"/>
  <c r="H49" i="23"/>
  <c r="A141" i="23"/>
  <c r="A425" i="23"/>
  <c r="A150" i="23"/>
  <c r="K303" i="23"/>
  <c r="K47" i="23"/>
  <c r="K98" i="23"/>
  <c r="K186" i="23"/>
  <c r="K335" i="23"/>
  <c r="K77" i="23"/>
  <c r="K78" i="23"/>
  <c r="K107" i="23"/>
  <c r="K277" i="23"/>
  <c r="O443" i="23"/>
  <c r="O23" i="23"/>
  <c r="O58" i="23"/>
  <c r="O238" i="23"/>
  <c r="K119" i="23"/>
  <c r="O64" i="23"/>
  <c r="AK64" i="23" s="1"/>
  <c r="AL64" i="23" s="1"/>
  <c r="AM64" i="23" s="1"/>
  <c r="AN64" i="23" s="1"/>
  <c r="AO64" i="23" s="1"/>
  <c r="AP64" i="23" s="1"/>
  <c r="AQ64" i="23" s="1"/>
  <c r="AR64" i="23" s="1"/>
  <c r="AS64" i="23" s="1"/>
  <c r="AT64" i="23" s="1"/>
  <c r="O247" i="23"/>
  <c r="H148" i="23"/>
  <c r="H202" i="23"/>
  <c r="A159" i="23"/>
  <c r="O284" i="23"/>
  <c r="O286" i="23"/>
  <c r="O257" i="23"/>
  <c r="H297" i="23"/>
  <c r="H399" i="23"/>
  <c r="H83" i="23"/>
  <c r="H262" i="23"/>
  <c r="A102" i="23"/>
  <c r="A336" i="23"/>
  <c r="A281" i="23"/>
  <c r="K91" i="23"/>
  <c r="K239" i="23"/>
  <c r="O144" i="23"/>
  <c r="O155" i="23"/>
  <c r="O162" i="23"/>
  <c r="H22" i="23"/>
  <c r="A368" i="23"/>
  <c r="H46" i="23"/>
  <c r="O232" i="23"/>
  <c r="O275" i="23"/>
  <c r="H184" i="23"/>
  <c r="A82" i="23"/>
  <c r="K408" i="23"/>
  <c r="H172" i="23"/>
  <c r="A32" i="23"/>
  <c r="A282" i="23"/>
  <c r="O246" i="23"/>
  <c r="H319" i="23"/>
  <c r="H197" i="23"/>
  <c r="H20" i="23"/>
  <c r="H405" i="23"/>
  <c r="H441" i="23"/>
  <c r="A79" i="23"/>
  <c r="A5" i="23"/>
  <c r="A376" i="23"/>
  <c r="A161" i="23"/>
  <c r="A65" i="23"/>
  <c r="A201" i="23"/>
  <c r="A310" i="23"/>
  <c r="A329" i="23"/>
  <c r="K273" i="23"/>
  <c r="K189" i="23"/>
  <c r="K308" i="23"/>
  <c r="K249" i="23"/>
  <c r="K324" i="23"/>
  <c r="O121" i="23"/>
  <c r="O16" i="23"/>
  <c r="K204" i="23"/>
  <c r="K17" i="23"/>
  <c r="O344" i="23"/>
  <c r="K22" i="23"/>
  <c r="H190" i="23"/>
  <c r="H54" i="23"/>
  <c r="A283" i="23"/>
  <c r="A140" i="23"/>
  <c r="K284" i="23"/>
  <c r="K229" i="23"/>
  <c r="O281" i="23"/>
  <c r="H242" i="23"/>
  <c r="A210" i="23"/>
  <c r="A366" i="23"/>
  <c r="A420" i="23"/>
  <c r="H322" i="23"/>
  <c r="H35" i="23"/>
  <c r="H178" i="23"/>
  <c r="H173" i="23"/>
  <c r="H384" i="23"/>
  <c r="H81" i="23"/>
  <c r="H251" i="23"/>
  <c r="H25" i="23"/>
  <c r="H45" i="23"/>
  <c r="H144" i="23"/>
  <c r="H256" i="23"/>
  <c r="H133" i="23"/>
  <c r="H79" i="23"/>
  <c r="H370" i="23"/>
  <c r="H155" i="23"/>
  <c r="H34" i="23"/>
  <c r="H118" i="23"/>
  <c r="H306" i="23"/>
  <c r="H48" i="23"/>
  <c r="A411" i="23"/>
  <c r="A398" i="23"/>
  <c r="A123" i="23"/>
  <c r="A290" i="23"/>
  <c r="A89" i="23"/>
  <c r="A434" i="23"/>
  <c r="A162" i="23"/>
  <c r="A206" i="23"/>
  <c r="A361" i="23"/>
  <c r="A110" i="23"/>
  <c r="A184" i="23"/>
  <c r="A223" i="23"/>
  <c r="A347" i="23"/>
  <c r="A167" i="23"/>
  <c r="A256" i="23"/>
  <c r="A33" i="23"/>
  <c r="A38" i="23"/>
  <c r="A280" i="23"/>
  <c r="A4" i="23"/>
  <c r="K407" i="23"/>
  <c r="K75" i="23"/>
  <c r="K19" i="23"/>
  <c r="K35" i="23"/>
  <c r="K251" i="23"/>
  <c r="K230" i="23"/>
  <c r="K255" i="23"/>
  <c r="K45" i="23"/>
  <c r="K330" i="23"/>
  <c r="K105" i="23"/>
  <c r="K131" i="23"/>
  <c r="K309" i="23"/>
  <c r="K86" i="23"/>
  <c r="H146" i="23"/>
  <c r="O43" i="23"/>
  <c r="H388" i="23"/>
  <c r="H23" i="23"/>
  <c r="K354" i="23"/>
  <c r="K302" i="23"/>
  <c r="O241" i="23"/>
  <c r="H346" i="23"/>
  <c r="H349" i="23"/>
  <c r="H367" i="23"/>
  <c r="H436" i="23"/>
  <c r="H433" i="23"/>
  <c r="H220" i="23"/>
  <c r="H32" i="23"/>
  <c r="A160" i="23"/>
  <c r="A299" i="23"/>
  <c r="K30" i="23"/>
  <c r="K421" i="23"/>
  <c r="K406" i="23"/>
  <c r="O4" i="23"/>
  <c r="O260" i="23"/>
  <c r="O312" i="23"/>
  <c r="O290" i="23"/>
  <c r="K192" i="23"/>
  <c r="K233" i="23"/>
  <c r="O195" i="23"/>
  <c r="H396" i="23"/>
  <c r="A187" i="23"/>
  <c r="A23" i="23"/>
  <c r="K440" i="23"/>
  <c r="K240" i="23"/>
  <c r="H108" i="23"/>
  <c r="A427" i="23"/>
  <c r="A266" i="23"/>
  <c r="K68" i="23"/>
  <c r="K201" i="23"/>
  <c r="K198" i="23"/>
  <c r="K399" i="23"/>
  <c r="O435" i="23"/>
  <c r="O373" i="23"/>
  <c r="H215" i="23"/>
  <c r="H112" i="23"/>
  <c r="H333" i="23"/>
  <c r="H353" i="23"/>
  <c r="H443" i="23"/>
  <c r="H338" i="23"/>
  <c r="H160" i="23"/>
  <c r="H287" i="23"/>
  <c r="H186" i="23"/>
  <c r="H96" i="23"/>
  <c r="H56" i="23"/>
  <c r="H225" i="23"/>
  <c r="H73" i="23"/>
  <c r="H179" i="23"/>
  <c r="H177" i="23"/>
  <c r="H59" i="23"/>
  <c r="H87" i="23"/>
  <c r="O397" i="23"/>
  <c r="K349" i="23"/>
  <c r="A359" i="23"/>
  <c r="A50" i="23"/>
  <c r="O139" i="23"/>
  <c r="K18" i="23"/>
  <c r="O160" i="23"/>
  <c r="O364" i="23"/>
  <c r="O77" i="23"/>
  <c r="AK77" i="23" s="1"/>
  <c r="AL77" i="23" s="1"/>
  <c r="AM77" i="23" s="1"/>
  <c r="AN77" i="23" s="1"/>
  <c r="AO77" i="23" s="1"/>
  <c r="AP77" i="23" s="1"/>
  <c r="AQ77" i="23" s="1"/>
  <c r="AR77" i="23" s="1"/>
  <c r="AS77" i="23" s="1"/>
  <c r="AT77" i="23" s="1"/>
  <c r="A399" i="23"/>
  <c r="K163" i="23"/>
  <c r="H334" i="23"/>
  <c r="K179" i="23"/>
  <c r="K358" i="23"/>
  <c r="K13" i="23"/>
  <c r="O35" i="23"/>
  <c r="O234" i="23"/>
  <c r="K361" i="23"/>
  <c r="H286" i="23"/>
  <c r="A404" i="23"/>
  <c r="A279" i="23"/>
  <c r="K257" i="23"/>
  <c r="O131" i="23"/>
  <c r="A426" i="23"/>
  <c r="O244" i="23"/>
  <c r="H212" i="23"/>
  <c r="H438" i="23"/>
  <c r="H280" i="23"/>
  <c r="H140" i="23"/>
  <c r="H383" i="23"/>
  <c r="H291" i="23"/>
  <c r="H283" i="23"/>
  <c r="H354" i="23"/>
  <c r="H64" i="23"/>
  <c r="H263" i="23"/>
  <c r="H67" i="23"/>
  <c r="H261" i="23"/>
  <c r="H222" i="23"/>
  <c r="H270" i="23"/>
  <c r="H131" i="23"/>
  <c r="H359" i="23"/>
  <c r="H6" i="23"/>
  <c r="H285" i="23"/>
  <c r="H393" i="23"/>
  <c r="H60" i="23"/>
  <c r="H50" i="23"/>
  <c r="H316" i="23"/>
  <c r="H371" i="23"/>
  <c r="H44" i="23"/>
  <c r="H434" i="23"/>
  <c r="H51" i="23"/>
  <c r="A139" i="23"/>
  <c r="A403" i="23"/>
  <c r="A439" i="23"/>
  <c r="A384" i="23"/>
  <c r="A317" i="23"/>
  <c r="A370" i="23"/>
  <c r="A390" i="23"/>
  <c r="A46" i="23"/>
  <c r="A354" i="23"/>
  <c r="A126" i="23"/>
  <c r="A179" i="23"/>
  <c r="A292" i="23"/>
  <c r="A268" i="23"/>
  <c r="A127" i="23"/>
  <c r="A177" i="23"/>
  <c r="A64" i="23"/>
  <c r="A343" i="23"/>
  <c r="A203" i="23"/>
  <c r="A73" i="23"/>
  <c r="K89" i="23"/>
  <c r="K411" i="23"/>
  <c r="K84" i="23"/>
  <c r="K291" i="23"/>
  <c r="K248" i="23"/>
  <c r="K191" i="23"/>
  <c r="K366" i="23"/>
  <c r="K100" i="23"/>
  <c r="K157" i="23"/>
  <c r="K252" i="23"/>
  <c r="K126" i="23"/>
  <c r="K265" i="23"/>
  <c r="K29" i="23"/>
  <c r="K228" i="23"/>
  <c r="K315" i="23"/>
  <c r="K92" i="23"/>
  <c r="K194" i="23"/>
  <c r="K127" i="23"/>
  <c r="K376" i="23"/>
  <c r="H175" i="23"/>
  <c r="A128" i="23"/>
  <c r="K371" i="23"/>
  <c r="O235" i="23"/>
  <c r="H214" i="23"/>
  <c r="H163" i="23"/>
  <c r="H226" i="23"/>
  <c r="H234" i="23"/>
  <c r="H27" i="23"/>
  <c r="H180" i="23"/>
  <c r="A414" i="23"/>
  <c r="A422" i="23"/>
  <c r="A25" i="23"/>
  <c r="A269" i="23"/>
  <c r="A357" i="23"/>
  <c r="A108" i="23"/>
  <c r="A275" i="23"/>
  <c r="A338" i="23"/>
  <c r="A93" i="23"/>
  <c r="A353" i="23"/>
  <c r="A20" i="23"/>
  <c r="K345" i="23"/>
  <c r="K36" i="23"/>
  <c r="K323" i="23"/>
  <c r="K153" i="23"/>
  <c r="O59" i="23"/>
  <c r="AK59" i="23" s="1"/>
  <c r="AL59" i="23" s="1"/>
  <c r="AM59" i="23" s="1"/>
  <c r="AN59" i="23" s="1"/>
  <c r="AO59" i="23" s="1"/>
  <c r="AP59" i="23" s="1"/>
  <c r="AQ59" i="23" s="1"/>
  <c r="AR59" i="23" s="1"/>
  <c r="AS59" i="23" s="1"/>
  <c r="AT59" i="23" s="1"/>
  <c r="O176" i="23"/>
  <c r="O44" i="23"/>
  <c r="O249" i="23"/>
  <c r="O248" i="23"/>
  <c r="O227" i="23"/>
  <c r="O90" i="23"/>
  <c r="AK90" i="23" s="1"/>
  <c r="AL90" i="23" s="1"/>
  <c r="AM90" i="23" s="1"/>
  <c r="AN90" i="23" s="1"/>
  <c r="AO90" i="23" s="1"/>
  <c r="AP90" i="23" s="1"/>
  <c r="AQ90" i="23" s="1"/>
  <c r="AR90" i="23" s="1"/>
  <c r="AS90" i="23" s="1"/>
  <c r="AT90" i="23" s="1"/>
  <c r="H335" i="23"/>
  <c r="H167" i="23"/>
  <c r="A284" i="23"/>
  <c r="A111" i="23"/>
  <c r="K285" i="23"/>
  <c r="K218" i="23"/>
  <c r="O107" i="23"/>
  <c r="O147" i="23"/>
  <c r="H239" i="23"/>
  <c r="H162" i="23"/>
  <c r="H129" i="23"/>
  <c r="H135" i="23"/>
  <c r="H127" i="23"/>
  <c r="H437" i="23"/>
  <c r="H121" i="23"/>
  <c r="H84" i="23"/>
  <c r="A389" i="23"/>
  <c r="A231" i="23"/>
  <c r="A83" i="23"/>
  <c r="A305" i="23"/>
  <c r="A261" i="23"/>
  <c r="A339" i="23"/>
  <c r="A351" i="23"/>
  <c r="A67" i="23"/>
  <c r="A198" i="23"/>
  <c r="A335" i="23"/>
  <c r="A104" i="23"/>
  <c r="K286" i="23"/>
  <c r="K102" i="23"/>
  <c r="K363" i="23"/>
  <c r="K215" i="23"/>
  <c r="K134" i="23"/>
  <c r="O158" i="23"/>
  <c r="O327" i="23"/>
  <c r="O213" i="23"/>
  <c r="O86" i="23"/>
  <c r="AK86" i="23" s="1"/>
  <c r="AL86" i="23" s="1"/>
  <c r="AM86" i="23" s="1"/>
  <c r="AN86" i="23" s="1"/>
  <c r="AO86" i="23" s="1"/>
  <c r="AP86" i="23" s="1"/>
  <c r="AQ86" i="23" s="1"/>
  <c r="AR86" i="23" s="1"/>
  <c r="AS86" i="23" s="1"/>
  <c r="AT86" i="23" s="1"/>
  <c r="O48" i="23"/>
  <c r="AK48" i="23" s="1"/>
  <c r="AL48" i="23" s="1"/>
  <c r="AM48" i="23" s="1"/>
  <c r="AN48" i="23" s="1"/>
  <c r="AO48" i="23" s="1"/>
  <c r="AP48" i="23" s="1"/>
  <c r="AQ48" i="23" s="1"/>
  <c r="AR48" i="23" s="1"/>
  <c r="AS48" i="23" s="1"/>
  <c r="AT48" i="23" s="1"/>
  <c r="O357" i="23"/>
  <c r="O146" i="23"/>
  <c r="K159" i="23"/>
  <c r="O431" i="23"/>
  <c r="K166" i="23"/>
  <c r="K279" i="23"/>
  <c r="K154" i="23"/>
  <c r="O6" i="23"/>
  <c r="O83" i="23"/>
  <c r="AK83" i="23" s="1"/>
  <c r="AL83" i="23" s="1"/>
  <c r="AM83" i="23" s="1"/>
  <c r="AN83" i="23" s="1"/>
  <c r="AO83" i="23" s="1"/>
  <c r="AP83" i="23" s="1"/>
  <c r="AQ83" i="23" s="1"/>
  <c r="AR83" i="23" s="1"/>
  <c r="AS83" i="23" s="1"/>
  <c r="AT83" i="23" s="1"/>
  <c r="O123" i="23"/>
  <c r="O109" i="23"/>
  <c r="O115" i="23"/>
  <c r="K148" i="23"/>
  <c r="O293" i="23"/>
  <c r="O301" i="23"/>
  <c r="K278" i="23"/>
  <c r="K340" i="23"/>
  <c r="O99" i="23"/>
  <c r="O159" i="23"/>
  <c r="H86" i="23"/>
  <c r="H157" i="23"/>
  <c r="A85" i="23"/>
  <c r="A410" i="23"/>
  <c r="A441" i="23"/>
  <c r="A6" i="23"/>
  <c r="A35" i="23"/>
  <c r="A419" i="23"/>
  <c r="A432" i="23"/>
  <c r="A92" i="23"/>
  <c r="A176" i="23"/>
  <c r="A124" i="23"/>
  <c r="A232" i="23"/>
  <c r="A192" i="23"/>
  <c r="A44" i="23"/>
  <c r="A260" i="23"/>
  <c r="A191" i="23"/>
  <c r="A358" i="23"/>
  <c r="A66" i="23"/>
  <c r="A63" i="23"/>
  <c r="A239" i="23"/>
  <c r="A95" i="23"/>
  <c r="A270" i="23"/>
  <c r="A156" i="23"/>
  <c r="A287" i="23"/>
  <c r="A342" i="23"/>
  <c r="A196" i="23"/>
  <c r="A61" i="23"/>
  <c r="A96" i="23"/>
  <c r="A395" i="23"/>
  <c r="A207" i="23"/>
  <c r="K398" i="23"/>
  <c r="K442" i="23"/>
  <c r="K419" i="23"/>
  <c r="K296" i="23"/>
  <c r="A152" i="23"/>
  <c r="K267" i="23"/>
  <c r="K213" i="23"/>
  <c r="K337" i="23"/>
  <c r="K328" i="23"/>
  <c r="K220" i="23"/>
  <c r="K225" i="23"/>
  <c r="K174" i="23"/>
  <c r="K317" i="23"/>
  <c r="K418" i="23"/>
  <c r="K187" i="23"/>
  <c r="K136" i="23"/>
  <c r="K307" i="23"/>
  <c r="K67" i="23"/>
  <c r="K52" i="23"/>
  <c r="K55" i="23"/>
  <c r="K274" i="23"/>
  <c r="K235" i="23"/>
  <c r="K161" i="23"/>
  <c r="K3" i="23"/>
  <c r="K423" i="23"/>
  <c r="O54" i="23"/>
  <c r="AK54" i="23" s="1"/>
  <c r="AL54" i="23" s="1"/>
  <c r="AM54" i="23" s="1"/>
  <c r="AN54" i="23" s="1"/>
  <c r="AO54" i="23" s="1"/>
  <c r="AP54" i="23" s="1"/>
  <c r="AQ54" i="23" s="1"/>
  <c r="AR54" i="23" s="1"/>
  <c r="AS54" i="23" s="1"/>
  <c r="AT54" i="23" s="1"/>
  <c r="O243" i="23"/>
  <c r="O180" i="23"/>
  <c r="O365" i="23"/>
  <c r="O330" i="23"/>
  <c r="O268" i="23"/>
  <c r="O271" i="23"/>
  <c r="O22" i="23"/>
  <c r="O191" i="23"/>
  <c r="O287" i="23"/>
  <c r="O207" i="23"/>
  <c r="K190" i="23"/>
  <c r="K40" i="23"/>
  <c r="O341" i="23"/>
  <c r="O95" i="23"/>
  <c r="AK95" i="23" s="1"/>
  <c r="AL95" i="23" s="1"/>
  <c r="AM95" i="23" s="1"/>
  <c r="AN95" i="23" s="1"/>
  <c r="AO95" i="23" s="1"/>
  <c r="AP95" i="23" s="1"/>
  <c r="AQ95" i="23" s="1"/>
  <c r="AR95" i="23" s="1"/>
  <c r="AS95" i="23" s="1"/>
  <c r="AT95" i="23" s="1"/>
  <c r="O138" i="23"/>
  <c r="O17" i="23"/>
  <c r="K364" i="23"/>
  <c r="O323" i="23"/>
  <c r="K310" i="23"/>
  <c r="K116" i="23"/>
  <c r="K275" i="23"/>
  <c r="O440" i="23"/>
  <c r="K10" i="23"/>
  <c r="O311" i="23"/>
  <c r="K70" i="23"/>
  <c r="O292" i="23"/>
  <c r="O288" i="23"/>
  <c r="O63" i="23"/>
  <c r="AK63" i="23" s="1"/>
  <c r="AL63" i="23" s="1"/>
  <c r="AM63" i="23" s="1"/>
  <c r="AN63" i="23" s="1"/>
  <c r="AO63" i="23" s="1"/>
  <c r="AP63" i="23" s="1"/>
  <c r="AQ63" i="23" s="1"/>
  <c r="AR63" i="23" s="1"/>
  <c r="AS63" i="23" s="1"/>
  <c r="AT63" i="23" s="1"/>
  <c r="O228" i="23"/>
  <c r="O183" i="23"/>
  <c r="O324" i="23"/>
  <c r="O336" i="23"/>
  <c r="O300" i="23"/>
  <c r="O92" i="23"/>
  <c r="AK92" i="23" s="1"/>
  <c r="AL92" i="23" s="1"/>
  <c r="AM92" i="23" s="1"/>
  <c r="AN92" i="23" s="1"/>
  <c r="AO92" i="23" s="1"/>
  <c r="AP92" i="23" s="1"/>
  <c r="AQ92" i="23" s="1"/>
  <c r="AR92" i="23" s="1"/>
  <c r="AS92" i="23" s="1"/>
  <c r="AT92" i="23" s="1"/>
  <c r="O5" i="23"/>
  <c r="O130" i="23"/>
  <c r="O319" i="23"/>
  <c r="O26" i="23"/>
  <c r="O45" i="23"/>
  <c r="AK45" i="23" s="1"/>
  <c r="AL45" i="23" s="1"/>
  <c r="AM45" i="23" s="1"/>
  <c r="AN45" i="23" s="1"/>
  <c r="AO45" i="23" s="1"/>
  <c r="AP45" i="23" s="1"/>
  <c r="AQ45" i="23" s="1"/>
  <c r="AR45" i="23" s="1"/>
  <c r="AS45" i="23" s="1"/>
  <c r="AT45" i="23" s="1"/>
  <c r="O119" i="23"/>
  <c r="K373" i="23"/>
  <c r="K316" i="23"/>
  <c r="O120" i="23"/>
  <c r="O71" i="23"/>
  <c r="AK71" i="23" s="1"/>
  <c r="AL71" i="23" s="1"/>
  <c r="AM71" i="23" s="1"/>
  <c r="AN71" i="23" s="1"/>
  <c r="AO71" i="23" s="1"/>
  <c r="AP71" i="23" s="1"/>
  <c r="AQ71" i="23" s="1"/>
  <c r="AR71" i="23" s="1"/>
  <c r="AS71" i="23" s="1"/>
  <c r="AT71" i="23" s="1"/>
  <c r="O72" i="23"/>
  <c r="AK72" i="23" s="1"/>
  <c r="AL72" i="23" s="1"/>
  <c r="AM72" i="23" s="1"/>
  <c r="AN72" i="23" s="1"/>
  <c r="AO72" i="23" s="1"/>
  <c r="AP72" i="23" s="1"/>
  <c r="AQ72" i="23" s="1"/>
  <c r="AR72" i="23" s="1"/>
  <c r="AS72" i="23" s="1"/>
  <c r="AT72" i="23" s="1"/>
  <c r="O133" i="23"/>
  <c r="O153" i="23"/>
  <c r="O114" i="23"/>
  <c r="O3" i="23"/>
  <c r="H203" i="23"/>
  <c r="H57" i="23"/>
  <c r="H69" i="23"/>
  <c r="H235" i="23"/>
  <c r="H185" i="23"/>
  <c r="H403" i="23"/>
  <c r="H352" i="23"/>
  <c r="H301" i="23"/>
  <c r="H315" i="23"/>
  <c r="H258" i="23"/>
  <c r="H122" i="23"/>
  <c r="H284" i="23"/>
  <c r="H102" i="23"/>
  <c r="H373" i="23"/>
  <c r="A416" i="23"/>
  <c r="A417" i="23"/>
  <c r="A245" i="23"/>
  <c r="A346" i="23"/>
  <c r="A327" i="23"/>
  <c r="A286" i="23"/>
  <c r="A125" i="23"/>
  <c r="A90" i="23"/>
  <c r="A369" i="23"/>
  <c r="A360" i="23"/>
  <c r="A211" i="23"/>
  <c r="A101" i="23"/>
  <c r="A227" i="23"/>
  <c r="A248" i="23"/>
  <c r="A276" i="23"/>
  <c r="A356" i="23"/>
  <c r="A129" i="23"/>
  <c r="K422" i="23"/>
  <c r="K85" i="23"/>
  <c r="K298" i="23"/>
  <c r="K164" i="23"/>
  <c r="K121" i="23"/>
  <c r="K437" i="23"/>
  <c r="K301" i="23"/>
  <c r="K232" i="23"/>
  <c r="K142" i="23"/>
  <c r="K379" i="23"/>
  <c r="O267" i="23"/>
  <c r="O53" i="23"/>
  <c r="AK53" i="23" s="1"/>
  <c r="AL53" i="23" s="1"/>
  <c r="AM53" i="23" s="1"/>
  <c r="AN53" i="23" s="1"/>
  <c r="AO53" i="23" s="1"/>
  <c r="AP53" i="23" s="1"/>
  <c r="AQ53" i="23" s="1"/>
  <c r="AR53" i="23" s="1"/>
  <c r="AS53" i="23" s="1"/>
  <c r="AT53" i="23" s="1"/>
  <c r="O20" i="23"/>
  <c r="O140" i="23"/>
  <c r="O363" i="23"/>
  <c r="O202" i="23"/>
  <c r="O101" i="23"/>
  <c r="O372" i="23"/>
  <c r="O106" i="23"/>
  <c r="O61" i="23"/>
  <c r="AK61" i="23" s="1"/>
  <c r="AL61" i="23" s="1"/>
  <c r="AM61" i="23" s="1"/>
  <c r="AN61" i="23" s="1"/>
  <c r="AO61" i="23" s="1"/>
  <c r="AP61" i="23" s="1"/>
  <c r="AQ61" i="23" s="1"/>
  <c r="AR61" i="23" s="1"/>
  <c r="AS61" i="23" s="1"/>
  <c r="AT61" i="23" s="1"/>
  <c r="H385" i="23"/>
  <c r="H253" i="23"/>
  <c r="H326" i="23"/>
  <c r="H404" i="23"/>
  <c r="G347" i="23"/>
  <c r="G85" i="23"/>
  <c r="A424" i="23"/>
  <c r="A70" i="23"/>
  <c r="K435" i="23"/>
  <c r="K66" i="23"/>
  <c r="K306" i="23"/>
  <c r="K39" i="23"/>
  <c r="O285" i="23"/>
  <c r="H130" i="23"/>
  <c r="H271" i="23"/>
  <c r="H28" i="23"/>
  <c r="H295" i="23"/>
  <c r="H89" i="23"/>
  <c r="A29" i="23"/>
  <c r="A436" i="23"/>
  <c r="A218" i="23"/>
  <c r="A371" i="23"/>
  <c r="A174" i="23"/>
  <c r="A301" i="23"/>
  <c r="A28" i="23"/>
  <c r="A288" i="23"/>
  <c r="K146" i="23"/>
  <c r="K314" i="23"/>
  <c r="K260" i="23"/>
  <c r="K144" i="23"/>
  <c r="K122" i="23"/>
  <c r="K106" i="23"/>
  <c r="K380" i="23"/>
  <c r="K412" i="23"/>
  <c r="O24" i="23"/>
  <c r="O339" i="23"/>
  <c r="O242" i="23"/>
  <c r="K140" i="23"/>
  <c r="O345" i="23"/>
  <c r="K333" i="23"/>
  <c r="O317" i="23"/>
  <c r="O208" i="23"/>
  <c r="O391" i="23"/>
  <c r="O406" i="23"/>
  <c r="O386" i="23"/>
  <c r="O414" i="23"/>
  <c r="H114" i="23"/>
  <c r="H247" i="23"/>
  <c r="H269" i="23"/>
  <c r="H88" i="23"/>
  <c r="H194" i="23"/>
  <c r="H363" i="23"/>
  <c r="H240" i="23"/>
  <c r="H265" i="23"/>
  <c r="H113" i="23"/>
  <c r="H58" i="23"/>
  <c r="H233" i="23"/>
  <c r="H219" i="23"/>
  <c r="H327" i="23"/>
  <c r="H93" i="23"/>
  <c r="H238" i="23"/>
  <c r="H361" i="23"/>
  <c r="H231" i="23"/>
  <c r="H38" i="23"/>
  <c r="H232" i="23"/>
  <c r="H249" i="23"/>
  <c r="H106" i="23"/>
  <c r="H243" i="23"/>
  <c r="H281" i="23"/>
  <c r="H132" i="23"/>
  <c r="H418" i="23"/>
  <c r="H8" i="23"/>
  <c r="H62" i="23"/>
  <c r="H4" i="23"/>
  <c r="A168" i="23"/>
  <c r="A182" i="23"/>
  <c r="A440" i="23"/>
  <c r="A433" i="23"/>
  <c r="A308" i="23"/>
  <c r="K427" i="23"/>
  <c r="O216" i="23"/>
  <c r="O218" i="23"/>
  <c r="O350" i="23"/>
  <c r="O222" i="23"/>
  <c r="O68" i="23"/>
  <c r="AK68" i="23" s="1"/>
  <c r="AL68" i="23" s="1"/>
  <c r="AM68" i="23" s="1"/>
  <c r="AN68" i="23" s="1"/>
  <c r="AO68" i="23" s="1"/>
  <c r="AP68" i="23" s="1"/>
  <c r="AQ68" i="23" s="1"/>
  <c r="AR68" i="23" s="1"/>
  <c r="AS68" i="23" s="1"/>
  <c r="AT68" i="23" s="1"/>
  <c r="O150" i="23"/>
  <c r="O42" i="23"/>
  <c r="G414" i="23"/>
  <c r="G432" i="23"/>
  <c r="A58" i="23"/>
  <c r="A278" i="23"/>
  <c r="G55" i="23"/>
  <c r="G241" i="23"/>
  <c r="A386" i="23"/>
  <c r="A186" i="23"/>
  <c r="G205" i="23"/>
  <c r="G310" i="23"/>
  <c r="K207" i="23"/>
  <c r="K123" i="23"/>
  <c r="O245" i="23"/>
  <c r="O18" i="23"/>
  <c r="O393" i="23"/>
  <c r="O426" i="23"/>
  <c r="O415" i="23"/>
  <c r="O439" i="23"/>
  <c r="O401" i="23"/>
  <c r="O380" i="23"/>
  <c r="K61" i="23"/>
  <c r="O197" i="23"/>
  <c r="H260" i="23"/>
  <c r="H413" i="23"/>
  <c r="H42" i="23"/>
  <c r="H206" i="23"/>
  <c r="H268" i="23"/>
  <c r="H357" i="23"/>
  <c r="H21" i="23"/>
  <c r="H250" i="23"/>
  <c r="H209" i="23"/>
  <c r="H98" i="23"/>
  <c r="H267" i="23"/>
  <c r="K295" i="23"/>
  <c r="K49" i="23"/>
  <c r="O340" i="23"/>
  <c r="O108" i="23"/>
  <c r="H152" i="23"/>
  <c r="A55" i="23"/>
  <c r="A318" i="23"/>
  <c r="A31" i="23"/>
  <c r="H339" i="23"/>
  <c r="H125" i="23"/>
  <c r="H324" i="23"/>
  <c r="H376" i="23"/>
  <c r="H29" i="23"/>
  <c r="H343" i="23"/>
  <c r="G151" i="23"/>
  <c r="G372" i="23"/>
  <c r="H164" i="23"/>
  <c r="H176" i="23"/>
  <c r="H138" i="23"/>
  <c r="H213" i="23"/>
  <c r="H47" i="23"/>
  <c r="G336" i="23"/>
  <c r="G223" i="23"/>
  <c r="H14" i="23"/>
  <c r="H279" i="23"/>
  <c r="H257" i="23"/>
  <c r="H171" i="23"/>
  <c r="H312" i="23"/>
  <c r="H358" i="23"/>
  <c r="H198" i="23"/>
  <c r="H187" i="23"/>
  <c r="A94" i="23"/>
  <c r="A380" i="23"/>
  <c r="A388" i="23"/>
  <c r="A438" i="23"/>
  <c r="A367" i="23"/>
  <c r="A430" i="23"/>
  <c r="A319" i="23"/>
  <c r="A153" i="23"/>
  <c r="A243" i="23"/>
  <c r="A421" i="23"/>
  <c r="A115" i="23"/>
  <c r="A302" i="23"/>
  <c r="A197" i="23"/>
  <c r="A36" i="23"/>
  <c r="A304" i="23"/>
  <c r="A113" i="23"/>
  <c r="A257" i="23"/>
  <c r="A323" i="23"/>
  <c r="A134" i="23"/>
  <c r="A246" i="23"/>
  <c r="A121" i="23"/>
  <c r="A222" i="23"/>
  <c r="K80" i="23"/>
  <c r="K397" i="23"/>
  <c r="K436" i="23"/>
  <c r="K48" i="23"/>
  <c r="K365" i="23"/>
  <c r="A300" i="23"/>
  <c r="K25" i="23"/>
  <c r="K299" i="23"/>
  <c r="K297" i="23"/>
  <c r="K413" i="23"/>
  <c r="K272" i="23"/>
  <c r="K23" i="23"/>
  <c r="K2" i="23"/>
  <c r="K197" i="23"/>
  <c r="K370" i="23"/>
  <c r="K34" i="23"/>
  <c r="K420" i="23"/>
  <c r="G402" i="23"/>
  <c r="G378" i="23"/>
  <c r="O318" i="23"/>
  <c r="O31" i="23"/>
  <c r="AK31" i="23" s="1"/>
  <c r="O253" i="23"/>
  <c r="O34" i="23"/>
  <c r="O259" i="23"/>
  <c r="O353" i="23"/>
  <c r="O29" i="23"/>
  <c r="O173" i="23"/>
  <c r="O337" i="23"/>
  <c r="O296" i="23"/>
  <c r="K138" i="23"/>
  <c r="O111" i="23"/>
  <c r="O338" i="23"/>
  <c r="K374" i="23"/>
  <c r="K26" i="23"/>
  <c r="O87" i="23"/>
  <c r="AK87" i="23" s="1"/>
  <c r="AL87" i="23" s="1"/>
  <c r="AM87" i="23" s="1"/>
  <c r="AN87" i="23" s="1"/>
  <c r="AO87" i="23" s="1"/>
  <c r="AP87" i="23" s="1"/>
  <c r="AQ87" i="23" s="1"/>
  <c r="AR87" i="23" s="1"/>
  <c r="AS87" i="23" s="1"/>
  <c r="AT87" i="23" s="1"/>
  <c r="O354" i="23"/>
  <c r="O122" i="23"/>
  <c r="K73" i="23"/>
  <c r="O33" i="23"/>
  <c r="O382" i="23"/>
  <c r="O417" i="23"/>
  <c r="O27" i="23"/>
  <c r="O55" i="23"/>
  <c r="AK55" i="23" s="1"/>
  <c r="AL55" i="23" s="1"/>
  <c r="AM55" i="23" s="1"/>
  <c r="AN55" i="23" s="1"/>
  <c r="AO55" i="23" s="1"/>
  <c r="AP55" i="23" s="1"/>
  <c r="AQ55" i="23" s="1"/>
  <c r="AR55" i="23" s="1"/>
  <c r="AS55" i="23" s="1"/>
  <c r="AT55" i="23" s="1"/>
  <c r="G321" i="23"/>
  <c r="G97" i="23"/>
  <c r="O52" i="23"/>
  <c r="AK52" i="23" s="1"/>
  <c r="AL52" i="23" s="1"/>
  <c r="AM52" i="23" s="1"/>
  <c r="AN52" i="23" s="1"/>
  <c r="AO52" i="23" s="1"/>
  <c r="AP52" i="23" s="1"/>
  <c r="AQ52" i="23" s="1"/>
  <c r="AR52" i="23" s="1"/>
  <c r="AS52" i="23" s="1"/>
  <c r="AT52" i="23" s="1"/>
  <c r="O269" i="23"/>
  <c r="O302" i="23"/>
  <c r="O276" i="23"/>
  <c r="A87" i="23"/>
  <c r="H245" i="23"/>
  <c r="H142" i="23"/>
  <c r="H72" i="23"/>
  <c r="H211" i="23"/>
  <c r="H397" i="23"/>
  <c r="H193" i="23"/>
  <c r="H189" i="23"/>
  <c r="H75" i="23"/>
  <c r="A143" i="23"/>
  <c r="A219" i="23"/>
  <c r="A166" i="23"/>
  <c r="A328" i="23"/>
  <c r="A84" i="23"/>
  <c r="A375" i="23"/>
  <c r="A77" i="23"/>
  <c r="K394" i="23"/>
  <c r="K322" i="23"/>
  <c r="K27" i="23"/>
  <c r="K320" i="23"/>
  <c r="K244" i="23"/>
  <c r="K37" i="23"/>
  <c r="K196" i="23"/>
  <c r="O152" i="23"/>
  <c r="O28" i="23"/>
  <c r="AK28" i="23" s="1"/>
  <c r="O368" i="23"/>
  <c r="O348" i="23"/>
  <c r="K329" i="23"/>
  <c r="O85" i="23"/>
  <c r="AK85" i="23" s="1"/>
  <c r="AL85" i="23" s="1"/>
  <c r="AM85" i="23" s="1"/>
  <c r="AN85" i="23" s="1"/>
  <c r="AO85" i="23" s="1"/>
  <c r="AP85" i="23" s="1"/>
  <c r="AQ85" i="23" s="1"/>
  <c r="AR85" i="23" s="1"/>
  <c r="AS85" i="23" s="1"/>
  <c r="AT85" i="23" s="1"/>
  <c r="O289" i="23"/>
  <c r="K132" i="23"/>
  <c r="K206" i="23"/>
  <c r="O420" i="23"/>
  <c r="O430" i="23"/>
  <c r="H161" i="23"/>
  <c r="H323" i="23"/>
  <c r="H40" i="23"/>
  <c r="G71" i="23"/>
  <c r="G305" i="23"/>
  <c r="H381" i="23"/>
  <c r="H5" i="23"/>
  <c r="H15" i="23"/>
  <c r="H303" i="23"/>
  <c r="H204" i="23"/>
  <c r="H94" i="23"/>
  <c r="H166" i="23"/>
  <c r="G415" i="23"/>
  <c r="G439" i="23"/>
  <c r="H422" i="23"/>
  <c r="A402" i="23"/>
  <c r="A362" i="23"/>
  <c r="A56" i="23"/>
  <c r="A296" i="23"/>
  <c r="A230" i="23"/>
  <c r="A105" i="23"/>
  <c r="A202" i="23"/>
  <c r="A320" i="23"/>
  <c r="A37" i="23"/>
  <c r="K79" i="23"/>
  <c r="K210" i="23"/>
  <c r="K360" i="23"/>
  <c r="K177" i="23"/>
  <c r="K389" i="23"/>
  <c r="O219" i="23"/>
  <c r="O349" i="23"/>
  <c r="K16" i="23"/>
  <c r="K312" i="23"/>
  <c r="K348" i="23"/>
  <c r="K111" i="23"/>
  <c r="O411" i="23"/>
  <c r="O436" i="23"/>
  <c r="K149" i="23"/>
  <c r="O367" i="23"/>
  <c r="O369" i="23"/>
  <c r="O199" i="23"/>
  <c r="O194" i="23"/>
  <c r="O135" i="23"/>
  <c r="O189" i="23"/>
  <c r="A313" i="23"/>
  <c r="A51" i="23"/>
  <c r="A225" i="23"/>
  <c r="A183" i="23"/>
  <c r="A241" i="23"/>
  <c r="K359" i="23"/>
  <c r="K76" i="23"/>
  <c r="K128" i="23"/>
  <c r="K205" i="23"/>
  <c r="K101" i="23"/>
  <c r="K334" i="23"/>
  <c r="O143" i="23"/>
  <c r="O25" i="23"/>
  <c r="O315" i="23"/>
  <c r="O332" i="23"/>
  <c r="O212" i="23"/>
  <c r="O361" i="23"/>
  <c r="O366" i="23"/>
  <c r="G22" i="23"/>
  <c r="G2" i="23"/>
  <c r="O112" i="23"/>
  <c r="O295" i="23"/>
  <c r="O49" i="23"/>
  <c r="AK49" i="23" s="1"/>
  <c r="AL49" i="23" s="1"/>
  <c r="AM49" i="23" s="1"/>
  <c r="AN49" i="23" s="1"/>
  <c r="AO49" i="23" s="1"/>
  <c r="AP49" i="23" s="1"/>
  <c r="AQ49" i="23" s="1"/>
  <c r="AR49" i="23" s="1"/>
  <c r="AS49" i="23" s="1"/>
  <c r="AT49" i="23" s="1"/>
  <c r="K304" i="23"/>
  <c r="O214" i="23"/>
  <c r="O428" i="23"/>
  <c r="O405" i="23"/>
  <c r="H31" i="23"/>
  <c r="K424" i="23"/>
  <c r="K392" i="23"/>
  <c r="O13" i="23"/>
  <c r="O351" i="23"/>
  <c r="O316" i="23"/>
  <c r="K15" i="23"/>
  <c r="O409" i="23"/>
  <c r="O383" i="23"/>
  <c r="O67" i="23"/>
  <c r="AK67" i="23" s="1"/>
  <c r="AL67" i="23" s="1"/>
  <c r="AM67" i="23" s="1"/>
  <c r="AN67" i="23" s="1"/>
  <c r="AO67" i="23" s="1"/>
  <c r="AP67" i="23" s="1"/>
  <c r="AQ67" i="23" s="1"/>
  <c r="AR67" i="23" s="1"/>
  <c r="AS67" i="23" s="1"/>
  <c r="AT67" i="23" s="1"/>
  <c r="K416" i="23"/>
  <c r="O38" i="23"/>
  <c r="H39" i="23"/>
  <c r="A8" i="23"/>
  <c r="A271" i="23"/>
  <c r="A142" i="23"/>
  <c r="H13" i="23"/>
  <c r="H435" i="23"/>
  <c r="H150" i="23"/>
  <c r="A364" i="23"/>
  <c r="A62" i="23"/>
  <c r="K178" i="23"/>
  <c r="O331" i="23"/>
  <c r="O21" i="23"/>
  <c r="O266" i="23"/>
  <c r="H17" i="23"/>
  <c r="H416" i="23"/>
  <c r="H139" i="23"/>
  <c r="H244" i="23"/>
  <c r="H355" i="23"/>
  <c r="H68" i="23"/>
  <c r="H24" i="23"/>
  <c r="H199" i="23"/>
  <c r="A401" i="23"/>
  <c r="A146" i="23"/>
  <c r="A350" i="23"/>
  <c r="A224" i="23"/>
  <c r="A387" i="23"/>
  <c r="A199" i="23"/>
  <c r="A81" i="23"/>
  <c r="A264" i="23"/>
  <c r="A18" i="23"/>
  <c r="A158" i="23"/>
  <c r="A173" i="23"/>
  <c r="K384" i="23"/>
  <c r="K53" i="23"/>
  <c r="K283" i="23"/>
  <c r="K124" i="23"/>
  <c r="K160" i="23"/>
  <c r="K254" i="23"/>
  <c r="K6" i="23"/>
  <c r="K325" i="23"/>
  <c r="K231" i="23"/>
  <c r="O94" i="23"/>
  <c r="AK94" i="23" s="1"/>
  <c r="AL94" i="23" s="1"/>
  <c r="AM94" i="23" s="1"/>
  <c r="AN94" i="23" s="1"/>
  <c r="AO94" i="23" s="1"/>
  <c r="AP94" i="23" s="1"/>
  <c r="AQ94" i="23" s="1"/>
  <c r="AR94" i="23" s="1"/>
  <c r="AS94" i="23" s="1"/>
  <c r="AT94" i="23" s="1"/>
  <c r="O60" i="23"/>
  <c r="AK60" i="23" s="1"/>
  <c r="AL60" i="23" s="1"/>
  <c r="AM60" i="23" s="1"/>
  <c r="AN60" i="23" s="1"/>
  <c r="AO60" i="23" s="1"/>
  <c r="AP60" i="23" s="1"/>
  <c r="AQ60" i="23" s="1"/>
  <c r="AR60" i="23" s="1"/>
  <c r="AS60" i="23" s="1"/>
  <c r="AT60" i="23" s="1"/>
  <c r="O347" i="23"/>
  <c r="O2" i="23"/>
  <c r="O117" i="23"/>
  <c r="O127" i="23"/>
  <c r="O163" i="23"/>
  <c r="O313" i="23"/>
  <c r="O157" i="23"/>
  <c r="O161" i="23"/>
  <c r="O200" i="23"/>
  <c r="O371" i="23"/>
  <c r="O196" i="23"/>
  <c r="O236" i="23"/>
  <c r="O223" i="23"/>
  <c r="O15" i="23"/>
  <c r="O291" i="23"/>
  <c r="K72" i="23"/>
  <c r="K375" i="23"/>
  <c r="O427" i="23"/>
  <c r="O384" i="23"/>
  <c r="O74" i="23"/>
  <c r="AK74" i="23" s="1"/>
  <c r="AL74" i="23" s="1"/>
  <c r="AM74" i="23" s="1"/>
  <c r="AN74" i="23" s="1"/>
  <c r="AO74" i="23" s="1"/>
  <c r="AP74" i="23" s="1"/>
  <c r="AQ74" i="23" s="1"/>
  <c r="AR74" i="23" s="1"/>
  <c r="AS74" i="23" s="1"/>
  <c r="AT74" i="23" s="1"/>
  <c r="H289" i="23"/>
  <c r="H52" i="23"/>
  <c r="A379" i="23"/>
  <c r="A337" i="23"/>
  <c r="A285" i="23"/>
  <c r="K400" i="23"/>
  <c r="K355" i="23"/>
  <c r="K41" i="23"/>
  <c r="H230" i="23"/>
  <c r="H248" i="23"/>
  <c r="H320" i="23"/>
  <c r="H168" i="23"/>
  <c r="H170" i="23"/>
  <c r="H11" i="23"/>
  <c r="H128" i="23"/>
  <c r="H272" i="23"/>
  <c r="A273" i="23"/>
  <c r="A147" i="23"/>
  <c r="A200" i="23"/>
  <c r="A189" i="23"/>
  <c r="A208" i="23"/>
  <c r="A26" i="23"/>
  <c r="A172" i="23"/>
  <c r="K425" i="23"/>
  <c r="K388" i="23"/>
  <c r="K403" i="23"/>
  <c r="K93" i="23"/>
  <c r="K176" i="23"/>
  <c r="K292" i="23"/>
  <c r="K224" i="23"/>
  <c r="K152" i="23"/>
  <c r="K71" i="23"/>
  <c r="K171" i="23"/>
  <c r="O102" i="23"/>
  <c r="O66" i="23"/>
  <c r="AK66" i="23" s="1"/>
  <c r="AL66" i="23" s="1"/>
  <c r="AM66" i="23" s="1"/>
  <c r="AN66" i="23" s="1"/>
  <c r="AO66" i="23" s="1"/>
  <c r="AP66" i="23" s="1"/>
  <c r="AQ66" i="23" s="1"/>
  <c r="AR66" i="23" s="1"/>
  <c r="AS66" i="23" s="1"/>
  <c r="AT66" i="23" s="1"/>
  <c r="O306" i="23"/>
  <c r="O342" i="23"/>
  <c r="O226" i="23"/>
  <c r="K200" i="23"/>
  <c r="O258" i="23"/>
  <c r="O378" i="23"/>
  <c r="O425" i="23"/>
  <c r="O80" i="23"/>
  <c r="AK80" i="23" s="1"/>
  <c r="AL80" i="23" s="1"/>
  <c r="AM80" i="23" s="1"/>
  <c r="AN80" i="23" s="1"/>
  <c r="AO80" i="23" s="1"/>
  <c r="AP80" i="23" s="1"/>
  <c r="AQ80" i="23" s="1"/>
  <c r="AR80" i="23" s="1"/>
  <c r="AS80" i="23" s="1"/>
  <c r="AT80" i="23" s="1"/>
  <c r="O30" i="23"/>
  <c r="AK30" i="23" s="1"/>
  <c r="H191" i="23"/>
  <c r="H254" i="23"/>
  <c r="H296" i="23"/>
  <c r="A392" i="23"/>
  <c r="K21" i="23"/>
  <c r="K266" i="23"/>
  <c r="H423" i="23"/>
  <c r="H110" i="23"/>
  <c r="H389" i="23"/>
  <c r="H424" i="23"/>
  <c r="H99" i="23"/>
  <c r="H369" i="23"/>
  <c r="H107" i="23"/>
  <c r="A247" i="23"/>
  <c r="A236" i="23"/>
  <c r="A226" i="23"/>
  <c r="A237" i="23"/>
  <c r="A272" i="23"/>
  <c r="A148" i="23"/>
  <c r="A374" i="23"/>
  <c r="A382" i="23"/>
  <c r="K414" i="23"/>
  <c r="K113" i="23"/>
  <c r="K226" i="23"/>
  <c r="K109" i="23"/>
  <c r="K203" i="23"/>
  <c r="K381" i="23"/>
  <c r="O263" i="23"/>
  <c r="O201" i="23"/>
  <c r="O186" i="23"/>
  <c r="O299" i="23"/>
  <c r="O355" i="23"/>
  <c r="O352" i="23"/>
  <c r="O278" i="23"/>
  <c r="H192" i="23"/>
  <c r="H275" i="23"/>
  <c r="H109" i="23"/>
  <c r="H74" i="23"/>
  <c r="G188" i="23"/>
  <c r="G92" i="23"/>
  <c r="A429" i="23"/>
  <c r="A88" i="23"/>
  <c r="A242" i="23"/>
  <c r="A19" i="23"/>
  <c r="A15" i="23"/>
  <c r="A291" i="23"/>
  <c r="A135" i="23"/>
  <c r="A39" i="23"/>
  <c r="A333" i="23"/>
  <c r="A293" i="23"/>
  <c r="A133" i="23"/>
  <c r="A352" i="23"/>
  <c r="A443" i="23"/>
  <c r="A330" i="23"/>
  <c r="A47" i="23"/>
  <c r="A109" i="23"/>
  <c r="A144" i="23"/>
  <c r="A252" i="23"/>
  <c r="A214" i="23"/>
  <c r="A119" i="23"/>
  <c r="A195" i="23"/>
  <c r="A233" i="23"/>
  <c r="A34" i="23"/>
  <c r="A74" i="23"/>
  <c r="A54" i="23"/>
  <c r="A274" i="23"/>
  <c r="A204" i="23"/>
  <c r="A120" i="23"/>
  <c r="A442" i="23"/>
  <c r="A213" i="23"/>
  <c r="A138" i="23"/>
  <c r="K241" i="23"/>
  <c r="K415" i="23"/>
  <c r="K439" i="23"/>
  <c r="K313" i="23"/>
  <c r="A149" i="23"/>
  <c r="K147" i="23"/>
  <c r="K289" i="23"/>
  <c r="K293" i="23"/>
  <c r="K20" i="23"/>
  <c r="H80" i="23"/>
  <c r="H141" i="23"/>
  <c r="H332" i="23"/>
  <c r="H216" i="23"/>
  <c r="H344" i="23"/>
  <c r="H427" i="23"/>
  <c r="H431" i="23"/>
  <c r="H10" i="23"/>
  <c r="H66" i="23"/>
  <c r="H429" i="23"/>
  <c r="H294" i="23"/>
  <c r="H398" i="23"/>
  <c r="G200" i="23"/>
  <c r="G229" i="23"/>
  <c r="A408" i="23"/>
  <c r="A409" i="23"/>
  <c r="A373" i="23"/>
  <c r="A365" i="23"/>
  <c r="A334" i="23"/>
  <c r="A57" i="23"/>
  <c r="A22" i="23"/>
  <c r="A383" i="23"/>
  <c r="A122" i="23"/>
  <c r="A229" i="23"/>
  <c r="A297" i="23"/>
  <c r="A341" i="23"/>
  <c r="A170" i="23"/>
  <c r="A289" i="23"/>
  <c r="A103" i="23"/>
  <c r="A220" i="23"/>
  <c r="A205" i="23"/>
  <c r="A106" i="23"/>
  <c r="A194" i="23"/>
  <c r="A71" i="23"/>
  <c r="A27" i="23"/>
  <c r="A24" i="23"/>
  <c r="A171" i="23"/>
  <c r="A68" i="23"/>
  <c r="A107" i="23"/>
  <c r="A363" i="23"/>
  <c r="A52" i="23"/>
  <c r="A378" i="23"/>
  <c r="A181" i="23"/>
  <c r="K96" i="23"/>
  <c r="K441" i="23"/>
  <c r="K417" i="23"/>
  <c r="K438" i="23"/>
  <c r="K390" i="23"/>
  <c r="K409" i="23"/>
  <c r="K336" i="23"/>
  <c r="A3" i="23"/>
  <c r="K83" i="23"/>
  <c r="K74" i="23"/>
  <c r="K338" i="23"/>
  <c r="K59" i="23"/>
  <c r="K326" i="23"/>
  <c r="K158" i="23"/>
  <c r="K268" i="23"/>
  <c r="K51" i="23"/>
  <c r="K112" i="23"/>
  <c r="K56" i="23"/>
  <c r="K8" i="23"/>
  <c r="K12" i="23"/>
  <c r="K44" i="23"/>
  <c r="K87" i="23"/>
  <c r="K264" i="23"/>
  <c r="O231" i="23"/>
  <c r="O370" i="23"/>
  <c r="O419" i="23"/>
  <c r="O429" i="23"/>
  <c r="O104" i="23"/>
  <c r="O137" i="23"/>
  <c r="O358" i="23"/>
  <c r="O424" i="23"/>
  <c r="O392" i="23"/>
  <c r="O442" i="23"/>
  <c r="O343" i="23"/>
  <c r="O96" i="23"/>
  <c r="O179" i="23"/>
  <c r="O328" i="23"/>
  <c r="O362" i="23"/>
  <c r="O181" i="23"/>
  <c r="O88" i="23"/>
  <c r="AK88" i="23" s="1"/>
  <c r="AL88" i="23" s="1"/>
  <c r="AM88" i="23" s="1"/>
  <c r="AN88" i="23" s="1"/>
  <c r="AO88" i="23" s="1"/>
  <c r="AP88" i="23" s="1"/>
  <c r="AQ88" i="23" s="1"/>
  <c r="AR88" i="23" s="1"/>
  <c r="AS88" i="23" s="1"/>
  <c r="AT88" i="23" s="1"/>
  <c r="K162" i="23"/>
  <c r="O274" i="23"/>
  <c r="K63" i="23"/>
  <c r="K33" i="23"/>
  <c r="O297" i="23"/>
  <c r="K369" i="23"/>
  <c r="K199" i="23"/>
  <c r="K114" i="23"/>
  <c r="O50" i="23"/>
  <c r="AK50" i="23" s="1"/>
  <c r="AL50" i="23" s="1"/>
  <c r="AM50" i="23" s="1"/>
  <c r="AN50" i="23" s="1"/>
  <c r="AO50" i="23" s="1"/>
  <c r="AP50" i="23" s="1"/>
  <c r="AQ50" i="23" s="1"/>
  <c r="AR50" i="23" s="1"/>
  <c r="AS50" i="23" s="1"/>
  <c r="AT50" i="23" s="1"/>
  <c r="O335" i="23"/>
  <c r="O321" i="23"/>
  <c r="K356" i="23"/>
  <c r="H136" i="23"/>
  <c r="H293" i="23"/>
  <c r="H124" i="23"/>
  <c r="H169" i="23"/>
  <c r="H421" i="23"/>
  <c r="H411" i="23"/>
  <c r="H2" i="23"/>
  <c r="H158" i="23"/>
  <c r="H282" i="23"/>
  <c r="H348" i="23"/>
  <c r="H288" i="23"/>
  <c r="H266" i="23"/>
  <c r="H101" i="23"/>
  <c r="H442" i="23"/>
  <c r="H440" i="23"/>
  <c r="H341" i="23"/>
  <c r="H407" i="23"/>
  <c r="H90" i="23"/>
  <c r="H340" i="23"/>
  <c r="H9" i="23"/>
  <c r="H309" i="23"/>
  <c r="H117" i="23"/>
  <c r="H391" i="23"/>
  <c r="H278" i="23"/>
  <c r="H147" i="23"/>
  <c r="H328" i="23"/>
  <c r="H392" i="23"/>
  <c r="H218" i="23"/>
  <c r="H380" i="23"/>
  <c r="H137" i="23"/>
  <c r="H120" i="23"/>
  <c r="H382" i="23"/>
  <c r="A412" i="23"/>
  <c r="A326" i="23"/>
  <c r="A391" i="23"/>
  <c r="A381" i="23"/>
  <c r="A407" i="23"/>
  <c r="A250" i="23"/>
  <c r="A415" i="23"/>
  <c r="A295" i="23"/>
  <c r="A49" i="23"/>
  <c r="A80" i="23"/>
  <c r="A76" i="23"/>
  <c r="A97" i="23"/>
  <c r="A185" i="23"/>
  <c r="A165" i="23"/>
  <c r="A311" i="23"/>
  <c r="A98" i="23"/>
  <c r="A315" i="23"/>
  <c r="A30" i="23"/>
  <c r="A43" i="23"/>
  <c r="A277" i="23"/>
  <c r="A255" i="23"/>
  <c r="A86" i="23"/>
  <c r="A175" i="23"/>
  <c r="A294" i="23"/>
  <c r="A221" i="23"/>
  <c r="A114" i="23"/>
  <c r="G181" i="23"/>
  <c r="G91" i="23"/>
  <c r="A69" i="23"/>
  <c r="A40" i="23"/>
  <c r="A216" i="23"/>
  <c r="A340" i="23"/>
  <c r="A116" i="23"/>
  <c r="A21" i="23"/>
  <c r="A267" i="23"/>
  <c r="A59" i="23"/>
  <c r="K223" i="23"/>
  <c r="K339" i="23"/>
  <c r="K426" i="23"/>
  <c r="K391" i="23"/>
  <c r="K247" i="23"/>
  <c r="K341" i="23"/>
  <c r="K180" i="23"/>
  <c r="K332" i="23"/>
  <c r="K50" i="23"/>
  <c r="K202" i="23"/>
  <c r="K287" i="23"/>
  <c r="O434" i="23"/>
  <c r="O381" i="23"/>
  <c r="K28" i="23"/>
  <c r="K259" i="23"/>
  <c r="H111" i="23"/>
  <c r="H95" i="23"/>
  <c r="H290" i="23"/>
  <c r="H3" i="23"/>
  <c r="H26" i="23"/>
  <c r="H329" i="23"/>
  <c r="H217" i="23"/>
  <c r="H408" i="23"/>
  <c r="H366" i="23"/>
  <c r="H356" i="23"/>
  <c r="H409" i="23"/>
  <c r="H276" i="23"/>
  <c r="H70" i="23"/>
  <c r="H410" i="23"/>
  <c r="H304" i="23"/>
  <c r="H317" i="23"/>
  <c r="H227" i="23"/>
  <c r="H63" i="23"/>
  <c r="H428" i="23"/>
  <c r="H76" i="23"/>
  <c r="H374" i="23"/>
  <c r="H314" i="23"/>
  <c r="H337" i="23"/>
  <c r="A431" i="23"/>
  <c r="A435" i="23"/>
  <c r="A314" i="23"/>
  <c r="A428" i="23"/>
  <c r="A41" i="23"/>
  <c r="A322" i="23"/>
  <c r="A372" i="23"/>
  <c r="A212" i="23"/>
  <c r="A75" i="23"/>
  <c r="A155" i="23"/>
  <c r="A249" i="23"/>
  <c r="A309" i="23"/>
  <c r="A132" i="23"/>
  <c r="A130" i="23"/>
  <c r="A396" i="23"/>
  <c r="A259" i="23"/>
  <c r="A307" i="23"/>
  <c r="G30" i="23"/>
  <c r="K350" i="23"/>
  <c r="O390" i="23"/>
  <c r="G311" i="23"/>
  <c r="K243" i="23"/>
  <c r="K170" i="23"/>
  <c r="K58" i="23"/>
  <c r="K137" i="23"/>
  <c r="K14" i="23"/>
  <c r="K5" i="23"/>
  <c r="K211" i="23"/>
  <c r="K219" i="23"/>
  <c r="K410" i="23"/>
  <c r="K367" i="23"/>
  <c r="K168" i="23"/>
  <c r="K167" i="23"/>
  <c r="K288" i="23"/>
  <c r="O145" i="23"/>
  <c r="O264" i="23"/>
  <c r="O39" i="23"/>
  <c r="O205" i="23"/>
  <c r="O239" i="23"/>
  <c r="O100" i="23"/>
  <c r="O91" i="23"/>
  <c r="AK91" i="23" s="1"/>
  <c r="AL91" i="23" s="1"/>
  <c r="AM91" i="23" s="1"/>
  <c r="AN91" i="23" s="1"/>
  <c r="AO91" i="23" s="1"/>
  <c r="AP91" i="23" s="1"/>
  <c r="AQ91" i="23" s="1"/>
  <c r="AR91" i="23" s="1"/>
  <c r="AS91" i="23" s="1"/>
  <c r="AT91" i="23" s="1"/>
  <c r="O254" i="23"/>
  <c r="K150" i="23"/>
  <c r="O156" i="23"/>
  <c r="O217" i="23"/>
  <c r="O41" i="23"/>
  <c r="K212" i="23"/>
  <c r="K290" i="23"/>
  <c r="O221" i="23"/>
  <c r="K344" i="23"/>
  <c r="O360" i="23"/>
  <c r="O211" i="23"/>
  <c r="O73" i="23"/>
  <c r="AK73" i="23" s="1"/>
  <c r="AL73" i="23" s="1"/>
  <c r="AM73" i="23" s="1"/>
  <c r="AN73" i="23" s="1"/>
  <c r="AO73" i="23" s="1"/>
  <c r="AP73" i="23" s="1"/>
  <c r="AQ73" i="23" s="1"/>
  <c r="AR73" i="23" s="1"/>
  <c r="AS73" i="23" s="1"/>
  <c r="AT73" i="23" s="1"/>
  <c r="K258" i="23"/>
  <c r="O174" i="23"/>
  <c r="O65" i="23"/>
  <c r="AK65" i="23" s="1"/>
  <c r="AL65" i="23" s="1"/>
  <c r="AM65" i="23" s="1"/>
  <c r="AN65" i="23" s="1"/>
  <c r="AO65" i="23" s="1"/>
  <c r="AP65" i="23" s="1"/>
  <c r="AQ65" i="23" s="1"/>
  <c r="AR65" i="23" s="1"/>
  <c r="AS65" i="23" s="1"/>
  <c r="AT65" i="23" s="1"/>
  <c r="O132" i="23"/>
  <c r="K428" i="23"/>
  <c r="O304" i="23"/>
  <c r="O303" i="23"/>
  <c r="O307" i="23"/>
  <c r="O233" i="23"/>
  <c r="O333" i="23"/>
  <c r="O433" i="23"/>
  <c r="O166" i="23"/>
  <c r="O37" i="23"/>
  <c r="O206" i="23"/>
  <c r="A394" i="23"/>
  <c r="A258" i="23"/>
  <c r="A53" i="23"/>
  <c r="A400" i="23"/>
  <c r="A240" i="23"/>
  <c r="A217" i="23"/>
  <c r="A355" i="23"/>
  <c r="A253" i="23"/>
  <c r="A157" i="23"/>
  <c r="A136" i="23"/>
  <c r="A7" i="23"/>
  <c r="A178" i="23"/>
  <c r="A60" i="23"/>
  <c r="A117" i="23"/>
  <c r="A393" i="23"/>
  <c r="A238" i="23"/>
  <c r="A112" i="23"/>
  <c r="K433" i="23"/>
  <c r="K382" i="23"/>
  <c r="K156" i="23"/>
  <c r="K145" i="23"/>
  <c r="K90" i="23"/>
  <c r="K429" i="23"/>
  <c r="K368" i="23"/>
  <c r="K327" i="23"/>
  <c r="K94" i="23"/>
  <c r="K269" i="23"/>
  <c r="K262" i="23"/>
  <c r="K173" i="23"/>
  <c r="K43" i="23"/>
  <c r="K97" i="23"/>
  <c r="K216" i="23"/>
  <c r="K311" i="23"/>
  <c r="K193" i="23"/>
  <c r="K117" i="23"/>
  <c r="K169" i="23"/>
  <c r="K343" i="23"/>
  <c r="K62" i="23"/>
  <c r="K4" i="23"/>
  <c r="K104" i="23"/>
  <c r="K263" i="23"/>
  <c r="K188" i="23"/>
  <c r="K256" i="23"/>
  <c r="K432" i="23"/>
  <c r="K139" i="23"/>
  <c r="O134" i="23"/>
  <c r="O209" i="23"/>
  <c r="O113" i="23"/>
  <c r="O418" i="23"/>
  <c r="O136" i="23"/>
  <c r="O314" i="23"/>
  <c r="O265" i="23"/>
  <c r="O8" i="23"/>
  <c r="O93" i="23"/>
  <c r="AK93" i="23" s="1"/>
  <c r="AL93" i="23" s="1"/>
  <c r="AM93" i="23" s="1"/>
  <c r="AN93" i="23" s="1"/>
  <c r="AO93" i="23" s="1"/>
  <c r="AP93" i="23" s="1"/>
  <c r="AQ93" i="23" s="1"/>
  <c r="AR93" i="23" s="1"/>
  <c r="AS93" i="23" s="1"/>
  <c r="AT93" i="23" s="1"/>
  <c r="O79" i="23"/>
  <c r="AK79" i="23" s="1"/>
  <c r="AL79" i="23" s="1"/>
  <c r="AM79" i="23" s="1"/>
  <c r="AN79" i="23" s="1"/>
  <c r="AO79" i="23" s="1"/>
  <c r="AP79" i="23" s="1"/>
  <c r="AQ79" i="23" s="1"/>
  <c r="AR79" i="23" s="1"/>
  <c r="AS79" i="23" s="1"/>
  <c r="AT79" i="23" s="1"/>
  <c r="O329" i="23"/>
  <c r="K351" i="23"/>
  <c r="K181" i="23"/>
  <c r="K352" i="23"/>
  <c r="O126" i="23"/>
  <c r="O149" i="23"/>
  <c r="O154" i="23"/>
  <c r="O148" i="23"/>
  <c r="O359" i="23"/>
  <c r="O188" i="23"/>
  <c r="O182" i="23"/>
  <c r="O190" i="23"/>
  <c r="K133" i="23"/>
  <c r="K69" i="23"/>
  <c r="K129" i="23"/>
  <c r="K65" i="23"/>
  <c r="O280" i="23"/>
  <c r="K276" i="23"/>
  <c r="O10" i="23"/>
  <c r="AK10" i="23" s="1"/>
  <c r="O310" i="23"/>
  <c r="O375" i="23"/>
  <c r="AK375" i="23" s="1"/>
  <c r="AL375" i="23" s="1"/>
  <c r="O70" i="23"/>
  <c r="AK70" i="23" s="1"/>
  <c r="AL70" i="23" s="1"/>
  <c r="AM70" i="23" s="1"/>
  <c r="AN70" i="23" s="1"/>
  <c r="AO70" i="23" s="1"/>
  <c r="AP70" i="23" s="1"/>
  <c r="AQ70" i="23" s="1"/>
  <c r="AR70" i="23" s="1"/>
  <c r="AS70" i="23" s="1"/>
  <c r="AT70" i="23" s="1"/>
  <c r="O128" i="23"/>
  <c r="K46" i="23"/>
  <c r="K125" i="23"/>
  <c r="K271" i="23"/>
  <c r="K378" i="23"/>
  <c r="K318" i="23"/>
  <c r="A228" i="23"/>
  <c r="K305" i="23"/>
  <c r="K32" i="23"/>
  <c r="K362" i="23"/>
  <c r="K245" i="23"/>
  <c r="K234" i="23"/>
  <c r="K38" i="23"/>
  <c r="K214" i="23"/>
  <c r="K430" i="23"/>
  <c r="O252" i="23"/>
  <c r="O125" i="23"/>
  <c r="O283" i="23"/>
  <c r="O256" i="23"/>
  <c r="O12" i="23"/>
  <c r="O273" i="23"/>
  <c r="O141" i="23"/>
  <c r="O374" i="23"/>
  <c r="O210" i="23"/>
  <c r="O282" i="23"/>
  <c r="O224" i="23"/>
  <c r="O198" i="23"/>
  <c r="O167" i="23"/>
  <c r="O19" i="23"/>
  <c r="O36" i="23"/>
  <c r="K118" i="23"/>
  <c r="O142" i="23"/>
  <c r="O416" i="23"/>
  <c r="K261" i="23"/>
  <c r="O178" i="23"/>
  <c r="O325" i="23"/>
  <c r="O192" i="23"/>
  <c r="O230" i="23"/>
  <c r="O261" i="23"/>
  <c r="K42" i="23"/>
  <c r="O346" i="23"/>
  <c r="O356" i="23"/>
  <c r="E4" i="11"/>
  <c r="E75" i="22" s="1"/>
  <c r="F4" i="16"/>
  <c r="F73" i="22" s="1"/>
  <c r="N22" i="19"/>
  <c r="H165" i="19"/>
  <c r="H165" i="23" s="1"/>
  <c r="H351" i="19"/>
  <c r="H351" i="23" s="1"/>
  <c r="N386" i="19"/>
  <c r="H321" i="19"/>
  <c r="H321" i="23" s="1"/>
  <c r="N73" i="19"/>
  <c r="H252" i="19"/>
  <c r="N228" i="19"/>
  <c r="N171" i="19"/>
  <c r="H402" i="19"/>
  <c r="H402" i="23" s="1"/>
  <c r="H205" i="19"/>
  <c r="H205" i="23" s="1"/>
  <c r="N41" i="19"/>
  <c r="N254" i="19"/>
  <c r="N188" i="19"/>
  <c r="N158" i="19"/>
  <c r="N269" i="19"/>
  <c r="N417" i="19"/>
  <c r="N354" i="19"/>
  <c r="N398" i="19"/>
  <c r="H377" i="19"/>
  <c r="H377" i="23" s="1"/>
  <c r="N385" i="19"/>
  <c r="N263" i="19"/>
  <c r="N373" i="19"/>
  <c r="H181" i="19"/>
  <c r="H181" i="23" s="1"/>
  <c r="N79" i="19"/>
  <c r="H55" i="19"/>
  <c r="H55" i="23" s="1"/>
  <c r="N383" i="19"/>
  <c r="N304" i="19"/>
  <c r="N380" i="19"/>
  <c r="N28" i="19"/>
  <c r="N324" i="19"/>
  <c r="N369" i="19"/>
  <c r="N236" i="19"/>
  <c r="N76" i="19"/>
  <c r="N306" i="19"/>
  <c r="N60" i="19"/>
  <c r="N204" i="19"/>
  <c r="N110" i="19"/>
  <c r="N200" i="19"/>
  <c r="N134" i="19"/>
  <c r="N75" i="19"/>
  <c r="N371" i="19"/>
  <c r="N216" i="19"/>
  <c r="N326" i="19"/>
  <c r="N213" i="19"/>
  <c r="H414" i="19"/>
  <c r="H414" i="23" s="1"/>
  <c r="N416" i="19"/>
  <c r="N309" i="19"/>
  <c r="N343" i="19"/>
  <c r="N418" i="19"/>
  <c r="N280" i="19"/>
  <c r="N159" i="19"/>
  <c r="N339" i="19"/>
  <c r="H188" i="19"/>
  <c r="H188" i="23" s="1"/>
  <c r="N115" i="19"/>
  <c r="N175" i="19"/>
  <c r="N317" i="19"/>
  <c r="N117" i="19"/>
  <c r="N251" i="19"/>
  <c r="N258" i="19"/>
  <c r="N224" i="19"/>
  <c r="N26" i="19"/>
  <c r="N356" i="19"/>
  <c r="N2" i="19"/>
  <c r="N169" i="19"/>
  <c r="N259" i="19"/>
  <c r="N410" i="19"/>
  <c r="N11" i="19"/>
  <c r="N362" i="19"/>
  <c r="N318" i="19"/>
  <c r="N348" i="19"/>
  <c r="H347" i="19"/>
  <c r="H347" i="23" s="1"/>
  <c r="N266" i="19"/>
  <c r="N336" i="19"/>
  <c r="N198" i="19"/>
  <c r="N150" i="19"/>
  <c r="N352" i="19"/>
  <c r="N245" i="19"/>
  <c r="N351" i="19"/>
  <c r="N375" i="19"/>
  <c r="N149" i="19"/>
  <c r="N340" i="19"/>
  <c r="N374" i="19"/>
  <c r="N5" i="19"/>
  <c r="N271" i="19"/>
  <c r="N108" i="19"/>
  <c r="N53" i="19"/>
  <c r="N361" i="19"/>
  <c r="N126" i="19"/>
  <c r="N279" i="19"/>
  <c r="N277" i="19"/>
  <c r="N184" i="19"/>
  <c r="H200" i="19"/>
  <c r="H200" i="23" s="1"/>
  <c r="N282" i="19"/>
  <c r="N156" i="19"/>
  <c r="N122" i="19"/>
  <c r="N103" i="19"/>
  <c r="N322" i="19"/>
  <c r="N152" i="19"/>
  <c r="N300" i="19"/>
  <c r="N119" i="19"/>
  <c r="N428" i="19"/>
  <c r="N135" i="19"/>
  <c r="N255" i="19"/>
  <c r="N392" i="19"/>
  <c r="N441" i="19"/>
  <c r="N415" i="19"/>
  <c r="N389" i="19"/>
  <c r="N294" i="19"/>
  <c r="N357" i="19"/>
  <c r="N130" i="19"/>
  <c r="N358" i="19"/>
  <c r="N37" i="19"/>
  <c r="N155" i="19"/>
  <c r="N84" i="19"/>
  <c r="N350" i="19"/>
  <c r="N168" i="19"/>
  <c r="N192" i="19"/>
  <c r="N353" i="19"/>
  <c r="N62" i="19"/>
  <c r="N303" i="19"/>
  <c r="N94" i="19"/>
  <c r="N420" i="19"/>
  <c r="N40" i="19"/>
  <c r="N187" i="19"/>
  <c r="N310" i="19"/>
  <c r="N323" i="19"/>
  <c r="N312" i="19"/>
  <c r="N21" i="19"/>
  <c r="N181" i="19"/>
  <c r="N395" i="19"/>
  <c r="N308" i="19"/>
  <c r="N82" i="19"/>
  <c r="N7" i="19"/>
  <c r="N114" i="19"/>
  <c r="N137" i="19"/>
  <c r="N196" i="19"/>
  <c r="N33" i="19"/>
  <c r="N331" i="19"/>
  <c r="N101" i="19"/>
  <c r="N344" i="19"/>
  <c r="N161" i="19"/>
  <c r="N408" i="19"/>
  <c r="N9" i="19"/>
  <c r="N193" i="19"/>
  <c r="N278" i="19"/>
  <c r="N434" i="19"/>
  <c r="N55" i="19"/>
  <c r="N182" i="19"/>
  <c r="N45" i="19"/>
  <c r="N314" i="19"/>
  <c r="N430" i="19"/>
  <c r="N275" i="19"/>
  <c r="N424" i="19"/>
  <c r="N99" i="19"/>
  <c r="N206" i="19"/>
  <c r="H415" i="19"/>
  <c r="H415" i="23" s="1"/>
  <c r="N302" i="19"/>
  <c r="N18" i="19"/>
  <c r="N210" i="19"/>
  <c r="N231" i="19"/>
  <c r="N423" i="19"/>
  <c r="N34" i="19"/>
  <c r="N411" i="19"/>
  <c r="N429" i="19"/>
  <c r="N132" i="19"/>
  <c r="N388" i="19"/>
  <c r="N409" i="19"/>
  <c r="N436" i="19"/>
  <c r="N419" i="19"/>
  <c r="N143" i="19"/>
  <c r="N190" i="19"/>
  <c r="N267" i="19"/>
  <c r="N173" i="19"/>
  <c r="N260" i="19"/>
  <c r="N384" i="19"/>
  <c r="N297" i="19"/>
  <c r="N273" i="19"/>
  <c r="N14" i="19"/>
  <c r="N219" i="19"/>
  <c r="N201" i="19"/>
  <c r="N209" i="19"/>
  <c r="N435" i="19"/>
  <c r="N270" i="19"/>
  <c r="N172" i="19"/>
  <c r="N365" i="19"/>
  <c r="N321" i="19"/>
  <c r="N283" i="19"/>
  <c r="N281" i="19"/>
  <c r="N360" i="19"/>
  <c r="N329" i="19"/>
  <c r="N30" i="19"/>
  <c r="N197" i="19"/>
  <c r="N72" i="19"/>
  <c r="N56" i="19"/>
  <c r="N284" i="19"/>
  <c r="N51" i="19"/>
  <c r="N364" i="19"/>
  <c r="N177" i="19"/>
  <c r="N217" i="19"/>
  <c r="N211" i="19"/>
  <c r="N63" i="19"/>
  <c r="N146" i="19"/>
  <c r="N286" i="19"/>
  <c r="N163" i="19"/>
  <c r="N215" i="19"/>
  <c r="N154" i="19"/>
  <c r="N142" i="19"/>
  <c r="N4" i="19"/>
  <c r="N330" i="19"/>
  <c r="N229" i="19"/>
  <c r="N109" i="19"/>
  <c r="N272" i="19"/>
  <c r="N111" i="19"/>
  <c r="N226" i="19"/>
  <c r="N320" i="19"/>
  <c r="N414" i="19"/>
  <c r="N121" i="19"/>
  <c r="N337" i="19"/>
  <c r="N195" i="19"/>
  <c r="N104" i="19"/>
  <c r="N191" i="19"/>
  <c r="N52" i="19"/>
  <c r="N253" i="19"/>
  <c r="N46" i="19"/>
  <c r="N10" i="19"/>
  <c r="N87" i="19"/>
  <c r="N244" i="19"/>
  <c r="N372" i="19"/>
  <c r="N71" i="19"/>
  <c r="N129" i="19"/>
  <c r="N80" i="19"/>
  <c r="N405" i="19"/>
  <c r="N70" i="19"/>
  <c r="N301" i="19"/>
  <c r="N250" i="19"/>
  <c r="N264" i="19"/>
  <c r="N123" i="19"/>
  <c r="N425" i="19"/>
  <c r="N16" i="19"/>
  <c r="N234" i="19"/>
  <c r="N225" i="19"/>
  <c r="N165" i="19"/>
  <c r="N36" i="19"/>
  <c r="N432" i="19"/>
  <c r="N77" i="19"/>
  <c r="N205" i="19"/>
  <c r="N6" i="19"/>
  <c r="N44" i="19"/>
  <c r="N8" i="19"/>
  <c r="H336" i="19"/>
  <c r="H336" i="23" s="1"/>
  <c r="N66" i="19"/>
  <c r="N349" i="19"/>
  <c r="N83" i="19"/>
  <c r="N140" i="19"/>
  <c r="N61" i="19"/>
  <c r="N233" i="19"/>
  <c r="N153" i="19"/>
  <c r="N246" i="19"/>
  <c r="N238" i="19"/>
  <c r="N12" i="19"/>
  <c r="N92" i="19"/>
  <c r="N347" i="19"/>
  <c r="N285" i="19"/>
  <c r="N39" i="19"/>
  <c r="N167" i="19"/>
  <c r="N38" i="19"/>
  <c r="N151" i="19"/>
  <c r="N96" i="19"/>
  <c r="N133" i="19"/>
  <c r="N274" i="19"/>
  <c r="N15" i="19"/>
  <c r="N65" i="19"/>
  <c r="N85" i="19"/>
  <c r="N325" i="19"/>
  <c r="N293" i="19"/>
  <c r="N427" i="19"/>
  <c r="N23" i="19"/>
  <c r="N334" i="19"/>
  <c r="N319" i="19"/>
  <c r="N116" i="19"/>
  <c r="N239" i="19"/>
  <c r="N141" i="19"/>
  <c r="N160" i="19"/>
  <c r="N106" i="19"/>
  <c r="N49" i="19"/>
  <c r="N183" i="19"/>
  <c r="N54" i="19"/>
  <c r="N241" i="19"/>
  <c r="N91" i="19"/>
  <c r="N276" i="19"/>
  <c r="N88" i="19"/>
  <c r="N235" i="19"/>
  <c r="N346" i="19"/>
  <c r="N363" i="19"/>
  <c r="N288" i="19"/>
  <c r="N136" i="19"/>
  <c r="N422" i="19"/>
  <c r="N402" i="19"/>
  <c r="N367" i="19"/>
  <c r="N102" i="19"/>
  <c r="N148" i="19"/>
  <c r="N199" i="19"/>
  <c r="N170" i="19"/>
  <c r="N78" i="19"/>
  <c r="N208" i="19"/>
  <c r="N162" i="19"/>
  <c r="N138" i="19"/>
  <c r="N438" i="19"/>
  <c r="N305" i="19"/>
  <c r="N437" i="19"/>
  <c r="N404" i="19"/>
  <c r="N223" i="19"/>
  <c r="N13" i="19"/>
  <c r="N232" i="19"/>
  <c r="N3" i="19"/>
  <c r="N43" i="19"/>
  <c r="N67" i="19"/>
  <c r="N268" i="19"/>
  <c r="N105" i="19"/>
  <c r="N31" i="19"/>
  <c r="N194" i="19"/>
  <c r="N242" i="19"/>
  <c r="N355" i="19"/>
  <c r="N261" i="19"/>
  <c r="N42" i="19"/>
  <c r="N401" i="19"/>
  <c r="N370" i="19"/>
  <c r="N442" i="19"/>
  <c r="N178" i="19"/>
  <c r="N127" i="19"/>
  <c r="N124" i="19"/>
  <c r="N107" i="19"/>
  <c r="N333" i="19"/>
  <c r="N214" i="19"/>
  <c r="N120" i="19"/>
  <c r="N147" i="19"/>
  <c r="N207" i="19"/>
  <c r="N368" i="19"/>
  <c r="N299" i="19"/>
  <c r="N218" i="19"/>
  <c r="N413" i="19"/>
  <c r="N359" i="19"/>
  <c r="N32" i="19"/>
  <c r="N176" i="19"/>
  <c r="N174" i="19"/>
  <c r="N20" i="19"/>
  <c r="N93" i="19"/>
  <c r="N394" i="19"/>
  <c r="N212" i="19"/>
  <c r="N144" i="19"/>
  <c r="N396" i="19"/>
  <c r="N243" i="19"/>
  <c r="N399" i="19"/>
  <c r="N440" i="19"/>
  <c r="N287" i="19"/>
  <c r="N412" i="19"/>
  <c r="N421" i="19"/>
  <c r="N382" i="19"/>
  <c r="N295" i="19"/>
  <c r="N249" i="19"/>
  <c r="N433" i="19"/>
  <c r="N95" i="19"/>
  <c r="N378" i="19"/>
  <c r="N298" i="19"/>
  <c r="N50" i="19"/>
  <c r="N379" i="19"/>
  <c r="N81" i="19"/>
  <c r="N393" i="19"/>
  <c r="N19" i="19"/>
  <c r="N180" i="19"/>
  <c r="N292" i="19"/>
  <c r="N397" i="19"/>
  <c r="N366" i="19"/>
  <c r="N47" i="19"/>
  <c r="N289" i="19"/>
  <c r="N439" i="19"/>
  <c r="N185" i="19"/>
  <c r="N332" i="19"/>
  <c r="N290" i="19"/>
  <c r="N98" i="19"/>
  <c r="N86" i="19"/>
  <c r="N345" i="19"/>
  <c r="N17" i="19"/>
  <c r="N48" i="19"/>
  <c r="N25" i="19"/>
  <c r="N69" i="19"/>
  <c r="N240" i="19"/>
  <c r="N166" i="19"/>
  <c r="N64" i="19"/>
  <c r="N220" i="19"/>
  <c r="N68" i="19"/>
  <c r="N296" i="19"/>
  <c r="N227" i="19"/>
  <c r="N237" i="19"/>
  <c r="N189" i="19"/>
  <c r="N338" i="19"/>
  <c r="N203" i="19"/>
  <c r="N113" i="19"/>
  <c r="N139" i="19"/>
  <c r="N29" i="19"/>
  <c r="N186" i="19"/>
  <c r="N100" i="19"/>
  <c r="N335" i="19"/>
  <c r="N24" i="19"/>
  <c r="N391" i="19"/>
  <c r="H71" i="19"/>
  <c r="H71" i="23" s="1"/>
  <c r="H151" i="19"/>
  <c r="H151" i="23" s="1"/>
  <c r="N406" i="19"/>
  <c r="N89" i="19"/>
  <c r="N222" i="19"/>
  <c r="N426" i="19"/>
  <c r="N128" i="19"/>
  <c r="N407" i="19"/>
  <c r="N145" i="19"/>
  <c r="N164" i="19"/>
  <c r="N328" i="19"/>
  <c r="N59" i="19"/>
  <c r="N390" i="19"/>
  <c r="N27" i="19"/>
  <c r="N256" i="19"/>
  <c r="N257" i="19"/>
  <c r="N307" i="19"/>
  <c r="N381" i="19"/>
  <c r="N376" i="19"/>
  <c r="N400" i="19"/>
  <c r="N403" i="19"/>
  <c r="N179" i="19"/>
  <c r="N311" i="19"/>
  <c r="N262" i="19"/>
  <c r="N341" i="19"/>
  <c r="N58" i="19"/>
  <c r="N265" i="19"/>
  <c r="N230" i="19"/>
  <c r="N387" i="19"/>
  <c r="N221" i="19"/>
  <c r="N118" i="19"/>
  <c r="N342" i="19"/>
  <c r="N327" i="19"/>
  <c r="N35" i="19"/>
  <c r="N202" i="19"/>
  <c r="N57" i="19"/>
  <c r="N377" i="19"/>
  <c r="N131" i="19"/>
  <c r="N157" i="19"/>
  <c r="N431" i="19"/>
  <c r="N97" i="19"/>
  <c r="N315" i="19"/>
  <c r="N313" i="19"/>
  <c r="N125" i="19"/>
  <c r="N74" i="19"/>
  <c r="N112" i="19"/>
  <c r="N291" i="19"/>
  <c r="N248" i="19"/>
  <c r="N90" i="19"/>
  <c r="N247" i="19"/>
  <c r="N252" i="19"/>
  <c r="N316" i="19"/>
  <c r="N443" i="19"/>
  <c r="AC3" i="4"/>
  <c r="AC4" i="4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43" i="4"/>
  <c r="AC44" i="4"/>
  <c r="AL28" i="23" l="1"/>
  <c r="AM28" i="23" s="1"/>
  <c r="AN28" i="23" s="1"/>
  <c r="AO28" i="23" s="1"/>
  <c r="AP28" i="23" s="1"/>
  <c r="AQ28" i="23" s="1"/>
  <c r="AR28" i="23" s="1"/>
  <c r="AS28" i="23" s="1"/>
  <c r="AT28" i="23" s="1"/>
  <c r="AB28" i="23"/>
  <c r="AM375" i="23"/>
  <c r="AN375" i="23" s="1"/>
  <c r="AO375" i="23" s="1"/>
  <c r="AP375" i="23" s="1"/>
  <c r="AQ375" i="23" s="1"/>
  <c r="AR375" i="23" s="1"/>
  <c r="AS375" i="23" s="1"/>
  <c r="AT375" i="23" s="1"/>
  <c r="AC375" i="23"/>
  <c r="AL10" i="23"/>
  <c r="AM10" i="23" s="1"/>
  <c r="AN10" i="23" s="1"/>
  <c r="AO10" i="23" s="1"/>
  <c r="AP10" i="23" s="1"/>
  <c r="AQ10" i="23" s="1"/>
  <c r="AR10" i="23" s="1"/>
  <c r="AS10" i="23" s="1"/>
  <c r="AT10" i="23" s="1"/>
  <c r="AB10" i="23"/>
  <c r="AM376" i="23"/>
  <c r="AN376" i="23" s="1"/>
  <c r="AO376" i="23" s="1"/>
  <c r="AP376" i="23" s="1"/>
  <c r="AQ376" i="23" s="1"/>
  <c r="AR376" i="23" s="1"/>
  <c r="AS376" i="23" s="1"/>
  <c r="AT376" i="23" s="1"/>
  <c r="AC376" i="23"/>
  <c r="AL30" i="23"/>
  <c r="AM30" i="23" s="1"/>
  <c r="AN30" i="23" s="1"/>
  <c r="AO30" i="23" s="1"/>
  <c r="AP30" i="23" s="1"/>
  <c r="AQ30" i="23" s="1"/>
  <c r="AR30" i="23" s="1"/>
  <c r="AS30" i="23" s="1"/>
  <c r="AT30" i="23" s="1"/>
  <c r="AB30" i="23"/>
  <c r="AL31" i="23"/>
  <c r="AM31" i="23" s="1"/>
  <c r="AN31" i="23" s="1"/>
  <c r="AO31" i="23" s="1"/>
  <c r="AP31" i="23" s="1"/>
  <c r="AQ31" i="23" s="1"/>
  <c r="AR31" i="23" s="1"/>
  <c r="AS31" i="23" s="1"/>
  <c r="AT31" i="23" s="1"/>
  <c r="AB31" i="23"/>
  <c r="I38" i="21"/>
  <c r="I38" i="24"/>
  <c r="B44" i="21"/>
  <c r="B44" i="24"/>
  <c r="G38" i="21"/>
  <c r="L38" i="21"/>
  <c r="J38" i="16"/>
  <c r="L38" i="24"/>
  <c r="I35" i="11"/>
  <c r="G38" i="24"/>
  <c r="J38" i="21"/>
  <c r="J38" i="24"/>
  <c r="E38" i="24"/>
  <c r="B42" i="21"/>
  <c r="K38" i="24"/>
  <c r="B42" i="24"/>
  <c r="E38" i="21"/>
  <c r="B43" i="16"/>
  <c r="B39" i="21"/>
  <c r="K35" i="11"/>
  <c r="B37" i="11"/>
  <c r="L35" i="11"/>
  <c r="N391" i="23"/>
  <c r="B41" i="16"/>
  <c r="D38" i="16"/>
  <c r="H35" i="11"/>
  <c r="B44" i="16"/>
  <c r="N71" i="23"/>
  <c r="N400" i="23"/>
  <c r="B41" i="21"/>
  <c r="B39" i="24"/>
  <c r="H252" i="23"/>
  <c r="E38" i="16"/>
  <c r="H123" i="23"/>
  <c r="H38" i="24"/>
  <c r="H224" i="23"/>
  <c r="B39" i="16"/>
  <c r="H345" i="23"/>
  <c r="B41" i="24"/>
  <c r="H196" i="23"/>
  <c r="B40" i="11"/>
  <c r="H360" i="23"/>
  <c r="H183" i="23"/>
  <c r="N72" i="23"/>
  <c r="H362" i="23"/>
  <c r="H401" i="23"/>
  <c r="N377" i="23"/>
  <c r="N262" i="23"/>
  <c r="H259" i="23"/>
  <c r="H300" i="23"/>
  <c r="H53" i="23"/>
  <c r="H273" i="23"/>
  <c r="H342" i="23"/>
  <c r="N118" i="23"/>
  <c r="H426" i="23"/>
  <c r="H395" i="23"/>
  <c r="H406" i="23"/>
  <c r="H425" i="23"/>
  <c r="N298" i="23"/>
  <c r="N243" i="23"/>
  <c r="N43" i="23"/>
  <c r="N307" i="23"/>
  <c r="H16" i="23"/>
  <c r="H126" i="23"/>
  <c r="H195" i="23"/>
  <c r="N102" i="23"/>
  <c r="H182" i="23"/>
  <c r="H119" i="23"/>
  <c r="H154" i="23"/>
  <c r="B40" i="16"/>
  <c r="B43" i="24"/>
  <c r="B50" i="16"/>
  <c r="H33" i="23"/>
  <c r="H78" i="23"/>
  <c r="H105" i="23"/>
  <c r="N176" i="23"/>
  <c r="H18" i="23"/>
  <c r="H394" i="23"/>
  <c r="H325" i="23"/>
  <c r="H255" i="23"/>
  <c r="N335" i="23"/>
  <c r="H419" i="23"/>
  <c r="H36" i="23"/>
  <c r="D35" i="11"/>
  <c r="C35" i="11"/>
  <c r="B39" i="11"/>
  <c r="B40" i="24"/>
  <c r="J4" i="24"/>
  <c r="J74" i="22" s="1"/>
  <c r="G4" i="21"/>
  <c r="G76" i="22" s="1"/>
  <c r="G4" i="11"/>
  <c r="G75" i="22" s="1"/>
  <c r="L4" i="21"/>
  <c r="L76" i="22" s="1"/>
  <c r="F4" i="11"/>
  <c r="F75" i="22" s="1"/>
  <c r="H4" i="24"/>
  <c r="H74" i="22" s="1"/>
  <c r="I4" i="11"/>
  <c r="I75" i="22" s="1"/>
  <c r="H38" i="21"/>
  <c r="B50" i="21"/>
  <c r="F38" i="21"/>
  <c r="B41" i="11"/>
  <c r="J4" i="11"/>
  <c r="J75" i="22" s="1"/>
  <c r="K38" i="21"/>
  <c r="B43" i="21"/>
  <c r="C4" i="11"/>
  <c r="D4" i="21"/>
  <c r="D76" i="22" s="1"/>
  <c r="C4" i="24"/>
  <c r="F38" i="24"/>
  <c r="L4" i="24"/>
  <c r="L74" i="22" s="1"/>
  <c r="D4" i="11"/>
  <c r="D75" i="22" s="1"/>
  <c r="H4" i="21"/>
  <c r="H76" i="22" s="1"/>
  <c r="K4" i="24"/>
  <c r="K74" i="22" s="1"/>
  <c r="B42" i="16"/>
  <c r="C38" i="16"/>
  <c r="E4" i="21"/>
  <c r="E76" i="22" s="1"/>
  <c r="K4" i="21"/>
  <c r="K76" i="22" s="1"/>
  <c r="L4" i="11"/>
  <c r="L75" i="22" s="1"/>
  <c r="I4" i="21"/>
  <c r="I76" i="22" s="1"/>
  <c r="C4" i="21"/>
  <c r="H4" i="11"/>
  <c r="H75" i="22" s="1"/>
  <c r="C38" i="21"/>
  <c r="D4" i="24"/>
  <c r="D74" i="22" s="1"/>
  <c r="I4" i="24"/>
  <c r="I74" i="22" s="1"/>
  <c r="J4" i="21"/>
  <c r="J76" i="22" s="1"/>
  <c r="B40" i="21"/>
  <c r="E4" i="24"/>
  <c r="E74" i="22" s="1"/>
  <c r="K4" i="11"/>
  <c r="K75" i="22" s="1"/>
  <c r="G4" i="24"/>
  <c r="G74" i="22" s="1"/>
  <c r="B47" i="11"/>
  <c r="F4" i="24"/>
  <c r="F74" i="22" s="1"/>
  <c r="C38" i="24"/>
  <c r="F4" i="21"/>
  <c r="F76" i="22" s="1"/>
  <c r="B50" i="24"/>
  <c r="N351" i="23"/>
  <c r="N370" i="23"/>
  <c r="N68" i="23"/>
  <c r="N202" i="23"/>
  <c r="N412" i="23"/>
  <c r="N438" i="23"/>
  <c r="N106" i="23"/>
  <c r="N12" i="23"/>
  <c r="N44" i="23"/>
  <c r="N46" i="23"/>
  <c r="N145" i="23"/>
  <c r="N379" i="23"/>
  <c r="N180" i="23"/>
  <c r="N433" i="23"/>
  <c r="N342" i="23"/>
  <c r="N440" i="23"/>
  <c r="N334" i="23"/>
  <c r="N39" i="23"/>
  <c r="N234" i="23"/>
  <c r="N265" i="23"/>
  <c r="N120" i="23"/>
  <c r="N390" i="23"/>
  <c r="N157" i="23"/>
  <c r="N247" i="23"/>
  <c r="N437" i="23"/>
  <c r="N226" i="23"/>
  <c r="N138" i="23"/>
  <c r="N27" i="23"/>
  <c r="N302" i="23"/>
  <c r="N34" i="23"/>
  <c r="N20" i="23"/>
  <c r="N131" i="23"/>
  <c r="N203" i="23"/>
  <c r="N25" i="23"/>
  <c r="N42" i="23"/>
  <c r="N83" i="23"/>
  <c r="N241" i="23"/>
  <c r="N372" i="23"/>
  <c r="N414" i="23"/>
  <c r="N103" i="23"/>
  <c r="N248" i="23"/>
  <c r="N112" i="23"/>
  <c r="N81" i="23"/>
  <c r="N175" i="23"/>
  <c r="N23" i="23"/>
  <c r="N225" i="23"/>
  <c r="N17" i="23"/>
  <c r="N292" i="23"/>
  <c r="N325" i="23"/>
  <c r="N31" i="23"/>
  <c r="N363" i="23"/>
  <c r="N301" i="23"/>
  <c r="N309" i="23"/>
  <c r="N127" i="23"/>
  <c r="N141" i="23"/>
  <c r="N229" i="23"/>
  <c r="N91" i="23"/>
  <c r="N7" i="23"/>
  <c r="N338" i="23"/>
  <c r="N147" i="23"/>
  <c r="N252" i="23"/>
  <c r="N367" i="23"/>
  <c r="N293" i="23"/>
  <c r="N206" i="23"/>
  <c r="N60" i="23"/>
  <c r="N316" i="23"/>
  <c r="N402" i="23"/>
  <c r="N183" i="23"/>
  <c r="N93" i="23"/>
  <c r="N87" i="23"/>
  <c r="N99" i="23"/>
  <c r="N403" i="23"/>
  <c r="N52" i="23"/>
  <c r="N327" i="23"/>
  <c r="N220" i="23"/>
  <c r="N332" i="23"/>
  <c r="N413" i="23"/>
  <c r="N443" i="23"/>
  <c r="N129" i="23"/>
  <c r="N130" i="23"/>
  <c r="N9" i="23"/>
  <c r="N308" i="23"/>
  <c r="N425" i="23"/>
  <c r="N251" i="23"/>
  <c r="N205" i="23"/>
  <c r="N18" i="23"/>
  <c r="N431" i="23"/>
  <c r="N48" i="23"/>
  <c r="N189" i="23"/>
  <c r="N295" i="23"/>
  <c r="N404" i="23"/>
  <c r="N285" i="23"/>
  <c r="N320" i="23"/>
  <c r="N219" i="23"/>
  <c r="N258" i="23"/>
  <c r="N59" i="23"/>
  <c r="N227" i="23"/>
  <c r="N194" i="23"/>
  <c r="N111" i="23"/>
  <c r="N360" i="23"/>
  <c r="N132" i="23"/>
  <c r="N263" i="23"/>
  <c r="N393" i="23"/>
  <c r="N65" i="23"/>
  <c r="N264" i="23"/>
  <c r="N344" i="23"/>
  <c r="N323" i="23"/>
  <c r="N277" i="23"/>
  <c r="N216" i="23"/>
  <c r="N324" i="23"/>
  <c r="N218" i="23"/>
  <c r="N96" i="23"/>
  <c r="N74" i="23"/>
  <c r="N268" i="23"/>
  <c r="N274" i="23"/>
  <c r="N113" i="23"/>
  <c r="N95" i="23"/>
  <c r="N199" i="23"/>
  <c r="N114" i="23"/>
  <c r="N152" i="23"/>
  <c r="N53" i="23"/>
  <c r="N230" i="23"/>
  <c r="N366" i="23"/>
  <c r="N209" i="23"/>
  <c r="N436" i="23"/>
  <c r="N193" i="23"/>
  <c r="N58" i="23"/>
  <c r="N122" i="23"/>
  <c r="N66" i="23"/>
  <c r="N347" i="23"/>
  <c r="N408" i="23"/>
  <c r="N19" i="23"/>
  <c r="N174" i="23"/>
  <c r="N422" i="23"/>
  <c r="N8" i="23"/>
  <c r="N10" i="23"/>
  <c r="N395" i="23"/>
  <c r="N57" i="23"/>
  <c r="N291" i="23"/>
  <c r="N328" i="23"/>
  <c r="N24" i="23"/>
  <c r="N107" i="23"/>
  <c r="N21" i="23"/>
  <c r="N162" i="23"/>
  <c r="N84" i="23"/>
  <c r="N398" i="23"/>
  <c r="N346" i="23"/>
  <c r="N160" i="23"/>
  <c r="N314" i="23"/>
  <c r="N331" i="23"/>
  <c r="N178" i="23"/>
  <c r="N77" i="23"/>
  <c r="N89" i="23"/>
  <c r="N427" i="23"/>
  <c r="N201" i="23"/>
  <c r="N117" i="23"/>
  <c r="N5" i="23"/>
  <c r="N98" i="23"/>
  <c r="N272" i="23"/>
  <c r="N211" i="23"/>
  <c r="N281" i="23"/>
  <c r="N297" i="23"/>
  <c r="N429" i="23"/>
  <c r="N275" i="23"/>
  <c r="N392" i="23"/>
  <c r="N149" i="23"/>
  <c r="N317" i="23"/>
  <c r="N213" i="23"/>
  <c r="N236" i="23"/>
  <c r="N171" i="23"/>
  <c r="N311" i="23"/>
  <c r="N296" i="23"/>
  <c r="N136" i="23"/>
  <c r="N32" i="23"/>
  <c r="N288" i="23"/>
  <c r="N260" i="23"/>
  <c r="N115" i="23"/>
  <c r="N359" i="23"/>
  <c r="N313" i="23"/>
  <c r="N376" i="23"/>
  <c r="N128" i="23"/>
  <c r="N29" i="23"/>
  <c r="N166" i="23"/>
  <c r="N439" i="23"/>
  <c r="N442" i="23"/>
  <c r="N78" i="23"/>
  <c r="N235" i="23"/>
  <c r="N116" i="23"/>
  <c r="N233" i="23"/>
  <c r="N432" i="23"/>
  <c r="N405" i="23"/>
  <c r="N104" i="23"/>
  <c r="N4" i="23"/>
  <c r="N172" i="23"/>
  <c r="N196" i="23"/>
  <c r="N187" i="23"/>
  <c r="N37" i="23"/>
  <c r="N126" i="23"/>
  <c r="N352" i="23"/>
  <c r="N169" i="23"/>
  <c r="N380" i="23"/>
  <c r="N381" i="23"/>
  <c r="N88" i="23"/>
  <c r="N151" i="23"/>
  <c r="N61" i="23"/>
  <c r="N36" i="23"/>
  <c r="N142" i="23"/>
  <c r="N257" i="23"/>
  <c r="N212" i="23"/>
  <c r="N207" i="23"/>
  <c r="N121" i="23"/>
  <c r="N215" i="23"/>
  <c r="N322" i="23"/>
  <c r="N108" i="23"/>
  <c r="N336" i="23"/>
  <c r="N418" i="23"/>
  <c r="N110" i="23"/>
  <c r="N100" i="23"/>
  <c r="N90" i="23"/>
  <c r="N341" i="23"/>
  <c r="N242" i="23"/>
  <c r="N146" i="23"/>
  <c r="N329" i="23"/>
  <c r="N14" i="23"/>
  <c r="N388" i="23"/>
  <c r="N353" i="23"/>
  <c r="N415" i="23"/>
  <c r="N156" i="23"/>
  <c r="N374" i="23"/>
  <c r="N348" i="23"/>
  <c r="N416" i="23"/>
  <c r="N306" i="23"/>
  <c r="N373" i="23"/>
  <c r="H223" i="23"/>
  <c r="N148" i="23"/>
  <c r="N237" i="23"/>
  <c r="N345" i="23"/>
  <c r="N382" i="23"/>
  <c r="N214" i="23"/>
  <c r="N86" i="23"/>
  <c r="N421" i="23"/>
  <c r="N333" i="23"/>
  <c r="N305" i="23"/>
  <c r="N49" i="23"/>
  <c r="N85" i="23"/>
  <c r="N92" i="23"/>
  <c r="N123" i="23"/>
  <c r="N63" i="23"/>
  <c r="N273" i="23"/>
  <c r="N424" i="23"/>
  <c r="N161" i="23"/>
  <c r="N181" i="23"/>
  <c r="N192" i="23"/>
  <c r="N441" i="23"/>
  <c r="N282" i="23"/>
  <c r="N340" i="23"/>
  <c r="N318" i="23"/>
  <c r="N76" i="23"/>
  <c r="H97" i="23"/>
  <c r="H229" i="23"/>
  <c r="N168" i="23"/>
  <c r="H207" i="23"/>
  <c r="N362" i="23"/>
  <c r="N385" i="23"/>
  <c r="N35" i="23"/>
  <c r="N179" i="23"/>
  <c r="N164" i="23"/>
  <c r="N290" i="23"/>
  <c r="N287" i="23"/>
  <c r="N124" i="23"/>
  <c r="N105" i="23"/>
  <c r="N15" i="23"/>
  <c r="N238" i="23"/>
  <c r="N6" i="23"/>
  <c r="N250" i="23"/>
  <c r="N253" i="23"/>
  <c r="N109" i="23"/>
  <c r="N217" i="23"/>
  <c r="N283" i="23"/>
  <c r="N384" i="23"/>
  <c r="N411" i="23"/>
  <c r="N430" i="23"/>
  <c r="N101" i="23"/>
  <c r="N312" i="23"/>
  <c r="N350" i="23"/>
  <c r="N255" i="23"/>
  <c r="N184" i="23"/>
  <c r="N375" i="23"/>
  <c r="N11" i="23"/>
  <c r="N326" i="23"/>
  <c r="N369" i="23"/>
  <c r="N228" i="23"/>
  <c r="H310" i="23"/>
  <c r="H432" i="23"/>
  <c r="N246" i="23"/>
  <c r="N177" i="23"/>
  <c r="N321" i="23"/>
  <c r="N135" i="23"/>
  <c r="N410" i="23"/>
  <c r="N125" i="23"/>
  <c r="N407" i="23"/>
  <c r="N186" i="23"/>
  <c r="N64" i="23"/>
  <c r="N185" i="23"/>
  <c r="N50" i="23"/>
  <c r="N399" i="23"/>
  <c r="N67" i="23"/>
  <c r="N208" i="23"/>
  <c r="N239" i="23"/>
  <c r="N133" i="23"/>
  <c r="N153" i="23"/>
  <c r="N70" i="23"/>
  <c r="N191" i="23"/>
  <c r="N330" i="23"/>
  <c r="N364" i="23"/>
  <c r="N365" i="23"/>
  <c r="N173" i="23"/>
  <c r="N423" i="23"/>
  <c r="N45" i="23"/>
  <c r="N33" i="23"/>
  <c r="N310" i="23"/>
  <c r="N155" i="23"/>
  <c r="N428" i="23"/>
  <c r="N279" i="23"/>
  <c r="N245" i="23"/>
  <c r="N259" i="23"/>
  <c r="N371" i="23"/>
  <c r="N28" i="23"/>
  <c r="N354" i="23"/>
  <c r="N73" i="23"/>
  <c r="H305" i="23"/>
  <c r="H241" i="23"/>
  <c r="H85" i="23"/>
  <c r="H30" i="23"/>
  <c r="H91" i="23"/>
  <c r="N51" i="23"/>
  <c r="N267" i="23"/>
  <c r="N182" i="23"/>
  <c r="N75" i="23"/>
  <c r="N417" i="23"/>
  <c r="N315" i="23"/>
  <c r="N221" i="23"/>
  <c r="N426" i="23"/>
  <c r="N139" i="23"/>
  <c r="N240" i="23"/>
  <c r="N289" i="23"/>
  <c r="N378" i="23"/>
  <c r="N396" i="23"/>
  <c r="N299" i="23"/>
  <c r="N3" i="23"/>
  <c r="N170" i="23"/>
  <c r="N319" i="23"/>
  <c r="N80" i="23"/>
  <c r="N195" i="23"/>
  <c r="N284" i="23"/>
  <c r="N270" i="23"/>
  <c r="N190" i="23"/>
  <c r="N210" i="23"/>
  <c r="N55" i="23"/>
  <c r="N137" i="23"/>
  <c r="N40" i="23"/>
  <c r="N358" i="23"/>
  <c r="N300" i="23"/>
  <c r="N361" i="23"/>
  <c r="N150" i="23"/>
  <c r="N2" i="23"/>
  <c r="N159" i="23"/>
  <c r="N134" i="23"/>
  <c r="N304" i="23"/>
  <c r="N269" i="23"/>
  <c r="N386" i="23"/>
  <c r="H378" i="23"/>
  <c r="N231" i="23"/>
  <c r="N119" i="23"/>
  <c r="N339" i="23"/>
  <c r="N97" i="23"/>
  <c r="N387" i="23"/>
  <c r="N222" i="23"/>
  <c r="N69" i="23"/>
  <c r="N47" i="23"/>
  <c r="N144" i="23"/>
  <c r="N368" i="23"/>
  <c r="N401" i="23"/>
  <c r="N232" i="23"/>
  <c r="N276" i="23"/>
  <c r="N38" i="23"/>
  <c r="N140" i="23"/>
  <c r="N165" i="23"/>
  <c r="N337" i="23"/>
  <c r="N154" i="23"/>
  <c r="N56" i="23"/>
  <c r="N435" i="23"/>
  <c r="N143" i="23"/>
  <c r="N434" i="23"/>
  <c r="N420" i="23"/>
  <c r="N198" i="23"/>
  <c r="N356" i="23"/>
  <c r="N280" i="23"/>
  <c r="N200" i="23"/>
  <c r="N383" i="23"/>
  <c r="N158" i="23"/>
  <c r="H92" i="23"/>
  <c r="H439" i="23"/>
  <c r="N419" i="23"/>
  <c r="N278" i="23"/>
  <c r="N94" i="23"/>
  <c r="N26" i="23"/>
  <c r="N188" i="23"/>
  <c r="H372" i="23"/>
  <c r="N13" i="23"/>
  <c r="N167" i="23"/>
  <c r="N357" i="23"/>
  <c r="N256" i="23"/>
  <c r="N406" i="23"/>
  <c r="N397" i="23"/>
  <c r="N249" i="23"/>
  <c r="N394" i="23"/>
  <c r="N261" i="23"/>
  <c r="N223" i="23"/>
  <c r="N349" i="23"/>
  <c r="N163" i="23"/>
  <c r="N197" i="23"/>
  <c r="N82" i="23"/>
  <c r="N303" i="23"/>
  <c r="N294" i="23"/>
  <c r="N271" i="23"/>
  <c r="N266" i="23"/>
  <c r="N224" i="23"/>
  <c r="N343" i="23"/>
  <c r="N204" i="23"/>
  <c r="N79" i="23"/>
  <c r="N254" i="23"/>
  <c r="N22" i="23"/>
  <c r="N355" i="23"/>
  <c r="N54" i="23"/>
  <c r="N16" i="23"/>
  <c r="N244" i="23"/>
  <c r="N286" i="23"/>
  <c r="N30" i="23"/>
  <c r="N409" i="23"/>
  <c r="N62" i="23"/>
  <c r="N389" i="23"/>
  <c r="N41" i="23"/>
  <c r="H311" i="23"/>
  <c r="E8" i="21"/>
  <c r="J9" i="11"/>
  <c r="K9" i="16"/>
  <c r="H8" i="11"/>
  <c r="I8" i="16"/>
  <c r="K8" i="24"/>
  <c r="L8" i="11"/>
  <c r="D7" i="11"/>
  <c r="E9" i="11"/>
  <c r="I6" i="24"/>
  <c r="D8" i="16"/>
  <c r="J8" i="21"/>
  <c r="G8" i="24"/>
  <c r="G7" i="11"/>
  <c r="H7" i="16"/>
  <c r="L9" i="11"/>
  <c r="C7" i="11"/>
  <c r="K11" i="16"/>
  <c r="K8" i="11"/>
  <c r="L8" i="16"/>
  <c r="K6" i="16"/>
  <c r="I6" i="21"/>
  <c r="D6" i="11"/>
  <c r="E6" i="16"/>
  <c r="I8" i="11"/>
  <c r="L8" i="24"/>
  <c r="L7" i="24"/>
  <c r="L6" i="11"/>
  <c r="D10" i="11"/>
  <c r="F9" i="16"/>
  <c r="C8" i="24"/>
  <c r="H8" i="24"/>
  <c r="J11" i="11" l="1"/>
  <c r="G7" i="21"/>
  <c r="C9" i="21"/>
  <c r="J8" i="24"/>
  <c r="G9" i="21"/>
  <c r="K7" i="24"/>
  <c r="H9" i="24"/>
  <c r="D9" i="24"/>
  <c r="D11" i="24"/>
  <c r="D6" i="24"/>
  <c r="E11" i="11"/>
  <c r="E5" i="11" s="1"/>
  <c r="E101" i="22" s="1"/>
  <c r="E6" i="21"/>
  <c r="C6" i="11"/>
  <c r="L11" i="11"/>
  <c r="I8" i="21"/>
  <c r="C6" i="21"/>
  <c r="G6" i="24"/>
  <c r="G6" i="21"/>
  <c r="F10" i="16"/>
  <c r="F11" i="16"/>
  <c r="C10" i="21"/>
  <c r="C7" i="21"/>
  <c r="C11" i="21"/>
  <c r="D10" i="24"/>
  <c r="J7" i="24"/>
  <c r="I6" i="11"/>
  <c r="C11" i="11"/>
  <c r="H11" i="11"/>
  <c r="J7" i="16"/>
  <c r="G10" i="24"/>
  <c r="K10" i="21"/>
  <c r="I11" i="24"/>
  <c r="D6" i="16"/>
  <c r="B38" i="16"/>
  <c r="B8" i="11"/>
  <c r="B38" i="24"/>
  <c r="B35" i="11"/>
  <c r="K6" i="24"/>
  <c r="L6" i="24"/>
  <c r="J6" i="24"/>
  <c r="J10" i="24"/>
  <c r="K11" i="11"/>
  <c r="H11" i="24"/>
  <c r="H6" i="24"/>
  <c r="H6" i="16"/>
  <c r="H10" i="16"/>
  <c r="E9" i="24"/>
  <c r="L10" i="24"/>
  <c r="E8" i="24"/>
  <c r="F7" i="24"/>
  <c r="I10" i="11"/>
  <c r="G10" i="11"/>
  <c r="F7" i="21"/>
  <c r="C7" i="24"/>
  <c r="I7" i="11"/>
  <c r="K9" i="21"/>
  <c r="G9" i="11"/>
  <c r="G6" i="11"/>
  <c r="C10" i="16"/>
  <c r="E7" i="24"/>
  <c r="I6" i="16"/>
  <c r="F9" i="21"/>
  <c r="E11" i="24"/>
  <c r="F11" i="24"/>
  <c r="D6" i="21"/>
  <c r="G7" i="24"/>
  <c r="K6" i="11"/>
  <c r="E7" i="16"/>
  <c r="J7" i="21"/>
  <c r="C6" i="16"/>
  <c r="H6" i="21"/>
  <c r="F6" i="24"/>
  <c r="E7" i="21"/>
  <c r="K9" i="24"/>
  <c r="L9" i="21"/>
  <c r="C11" i="24"/>
  <c r="B38" i="21"/>
  <c r="H10" i="21"/>
  <c r="I9" i="16"/>
  <c r="C11" i="16"/>
  <c r="H9" i="16"/>
  <c r="E9" i="16"/>
  <c r="H7" i="21"/>
  <c r="H9" i="11"/>
  <c r="H6" i="11"/>
  <c r="F8" i="24"/>
  <c r="I7" i="16"/>
  <c r="L10" i="21"/>
  <c r="L8" i="21"/>
  <c r="H7" i="24"/>
  <c r="H10" i="24"/>
  <c r="L9" i="24"/>
  <c r="D9" i="11"/>
  <c r="D10" i="21"/>
  <c r="H7" i="11"/>
  <c r="D7" i="24"/>
  <c r="D8" i="24"/>
  <c r="C8" i="16"/>
  <c r="L7" i="11"/>
  <c r="L9" i="16"/>
  <c r="F10" i="24"/>
  <c r="K7" i="21"/>
  <c r="K9" i="11"/>
  <c r="K7" i="16"/>
  <c r="K11" i="24"/>
  <c r="E10" i="24"/>
  <c r="I9" i="21"/>
  <c r="J7" i="11"/>
  <c r="L7" i="21"/>
  <c r="I10" i="24"/>
  <c r="I9" i="24"/>
  <c r="I9" i="11"/>
  <c r="E10" i="21"/>
  <c r="J9" i="16"/>
  <c r="G11" i="21"/>
  <c r="G10" i="21"/>
  <c r="C9" i="11"/>
  <c r="G9" i="24"/>
  <c r="J9" i="24"/>
  <c r="I7" i="24"/>
  <c r="I8" i="24"/>
  <c r="D9" i="21"/>
  <c r="K10" i="24"/>
  <c r="L6" i="21"/>
  <c r="E11" i="21"/>
  <c r="K8" i="21"/>
  <c r="G11" i="11"/>
  <c r="L11" i="24"/>
  <c r="J9" i="21"/>
  <c r="C9" i="24"/>
  <c r="D11" i="11"/>
  <c r="D7" i="21"/>
  <c r="I11" i="16"/>
  <c r="I11" i="21"/>
  <c r="L10" i="11"/>
  <c r="F10" i="21"/>
  <c r="E6" i="24"/>
  <c r="H9" i="21"/>
  <c r="K7" i="11"/>
  <c r="I7" i="21"/>
  <c r="F11" i="21"/>
  <c r="J11" i="21"/>
  <c r="F8" i="21"/>
  <c r="J10" i="11"/>
  <c r="F6" i="21"/>
  <c r="I11" i="11"/>
  <c r="K6" i="21"/>
  <c r="E9" i="21"/>
  <c r="K11" i="21"/>
  <c r="C10" i="24"/>
  <c r="C9" i="16"/>
  <c r="C7" i="16"/>
  <c r="J10" i="21"/>
  <c r="C76" i="22"/>
  <c r="B4" i="21"/>
  <c r="K10" i="11"/>
  <c r="C10" i="11"/>
  <c r="G11" i="24"/>
  <c r="C74" i="22"/>
  <c r="B4" i="24"/>
  <c r="J11" i="24"/>
  <c r="L11" i="21"/>
  <c r="D11" i="21"/>
  <c r="H11" i="21"/>
  <c r="J6" i="21"/>
  <c r="C75" i="22"/>
  <c r="B4" i="11"/>
  <c r="C6" i="24"/>
  <c r="I10" i="21"/>
  <c r="H10" i="11"/>
  <c r="AO12" i="4"/>
  <c r="Q11" i="4"/>
  <c r="BC4" i="4"/>
  <c r="BC5" i="4"/>
  <c r="BC6" i="4"/>
  <c r="BC7" i="4"/>
  <c r="BC8" i="4"/>
  <c r="BC9" i="4"/>
  <c r="BC10" i="4"/>
  <c r="BC11" i="4"/>
  <c r="BC12" i="4"/>
  <c r="BC1" i="4"/>
  <c r="AO13" i="4"/>
  <c r="AO14" i="4"/>
  <c r="AO15" i="4"/>
  <c r="AO16" i="4"/>
  <c r="AO17" i="4"/>
  <c r="AO18" i="4"/>
  <c r="AO19" i="4"/>
  <c r="AO20" i="4"/>
  <c r="AO21" i="4"/>
  <c r="AO22" i="4"/>
  <c r="AO23" i="4"/>
  <c r="AO24" i="4"/>
  <c r="AO25" i="4"/>
  <c r="AO26" i="4"/>
  <c r="AO27" i="4"/>
  <c r="AO28" i="4"/>
  <c r="AO29" i="4"/>
  <c r="AO30" i="4"/>
  <c r="AO31" i="4"/>
  <c r="AO32" i="4"/>
  <c r="AO33" i="4"/>
  <c r="AO34" i="4"/>
  <c r="AO35" i="4"/>
  <c r="AO36" i="4"/>
  <c r="AO37" i="4"/>
  <c r="AO38" i="4"/>
  <c r="AO39" i="4"/>
  <c r="AP39" i="4"/>
  <c r="AO40" i="4"/>
  <c r="AP40" i="4"/>
  <c r="AO41" i="4"/>
  <c r="AP41" i="4"/>
  <c r="AO42" i="4"/>
  <c r="AP42" i="4"/>
  <c r="AO43" i="4"/>
  <c r="AP43" i="4"/>
  <c r="AO44" i="4"/>
  <c r="AP44" i="4"/>
  <c r="AO45" i="4"/>
  <c r="AP45" i="4"/>
  <c r="AO46" i="4"/>
  <c r="AP46" i="4"/>
  <c r="AO47" i="4"/>
  <c r="AP47" i="4"/>
  <c r="AO48" i="4"/>
  <c r="AP48" i="4"/>
  <c r="AO49" i="4"/>
  <c r="AP49" i="4"/>
  <c r="AO50" i="4"/>
  <c r="AP50" i="4"/>
  <c r="AO51" i="4"/>
  <c r="AP51" i="4"/>
  <c r="AO52" i="4"/>
  <c r="AP52" i="4"/>
  <c r="AO53" i="4"/>
  <c r="AP53" i="4"/>
  <c r="AO54" i="4"/>
  <c r="AP54" i="4"/>
  <c r="AQ54" i="4"/>
  <c r="L5" i="24" l="1"/>
  <c r="L100" i="22" s="1"/>
  <c r="E5" i="24"/>
  <c r="E100" i="22" s="1"/>
  <c r="G5" i="24"/>
  <c r="G100" i="22" s="1"/>
  <c r="C5" i="21"/>
  <c r="C102" i="22" s="1"/>
  <c r="B6" i="11"/>
  <c r="F5" i="24"/>
  <c r="F100" i="22" s="1"/>
  <c r="G5" i="11"/>
  <c r="G101" i="22" s="1"/>
  <c r="H5" i="21"/>
  <c r="H102" i="22" s="1"/>
  <c r="J5" i="11"/>
  <c r="J101" i="22" s="1"/>
  <c r="B10" i="24"/>
  <c r="B8" i="21"/>
  <c r="D5" i="11"/>
  <c r="D101" i="22" s="1"/>
  <c r="I5" i="24"/>
  <c r="I100" i="22" s="1"/>
  <c r="B8" i="24"/>
  <c r="L5" i="11"/>
  <c r="L101" i="22" s="1"/>
  <c r="B7" i="11"/>
  <c r="I5" i="11"/>
  <c r="I101" i="22" s="1"/>
  <c r="K5" i="24"/>
  <c r="K100" i="22" s="1"/>
  <c r="J5" i="21"/>
  <c r="J102" i="22" s="1"/>
  <c r="B7" i="24"/>
  <c r="G5" i="21"/>
  <c r="G102" i="22" s="1"/>
  <c r="D5" i="24"/>
  <c r="D100" i="22" s="1"/>
  <c r="H5" i="11"/>
  <c r="H101" i="22" s="1"/>
  <c r="J5" i="24"/>
  <c r="J100" i="22" s="1"/>
  <c r="B9" i="21"/>
  <c r="B9" i="24"/>
  <c r="B9" i="11"/>
  <c r="E5" i="21"/>
  <c r="E102" i="22" s="1"/>
  <c r="H5" i="24"/>
  <c r="H100" i="22" s="1"/>
  <c r="B10" i="21"/>
  <c r="B11" i="24"/>
  <c r="K5" i="21"/>
  <c r="K102" i="22" s="1"/>
  <c r="B6" i="24"/>
  <c r="C5" i="24"/>
  <c r="B10" i="11"/>
  <c r="C5" i="11"/>
  <c r="L5" i="21"/>
  <c r="L102" i="22" s="1"/>
  <c r="B6" i="21"/>
  <c r="I5" i="21"/>
  <c r="I102" i="22" s="1"/>
  <c r="B7" i="21"/>
  <c r="D5" i="21"/>
  <c r="B11" i="21"/>
  <c r="K5" i="11"/>
  <c r="K101" i="22" s="1"/>
  <c r="B11" i="11"/>
  <c r="F5" i="21"/>
  <c r="F102" i="22" s="1"/>
  <c r="BD11" i="4"/>
  <c r="BE12" i="4"/>
  <c r="BD12" i="4"/>
  <c r="BD9" i="4"/>
  <c r="BD10" i="4"/>
  <c r="L14" i="24" l="1"/>
  <c r="L14" i="11"/>
  <c r="B5" i="24"/>
  <c r="L13" i="24" s="1"/>
  <c r="C100" i="22"/>
  <c r="D102" i="22"/>
  <c r="L14" i="21"/>
  <c r="B5" i="21"/>
  <c r="L13" i="21" s="1"/>
  <c r="B5" i="11"/>
  <c r="L13" i="11" s="1"/>
  <c r="C101" i="22"/>
  <c r="P8" i="4"/>
  <c r="P9" i="4"/>
  <c r="P10" i="4"/>
  <c r="P11" i="4"/>
  <c r="B1" i="4"/>
  <c r="C1" i="4"/>
  <c r="A1" i="3"/>
  <c r="B2" i="3" l="1"/>
  <c r="C2" i="3"/>
  <c r="D2" i="3"/>
  <c r="E2" i="3"/>
  <c r="F2" i="3"/>
  <c r="G2" i="3"/>
  <c r="H2" i="3"/>
  <c r="I2" i="3"/>
  <c r="J2" i="3"/>
  <c r="K2" i="3"/>
  <c r="P29" i="4"/>
  <c r="AO1" i="4"/>
  <c r="AC2" i="4"/>
  <c r="Q1" i="4"/>
  <c r="BE1" i="4" s="1"/>
  <c r="AQ1" i="4"/>
  <c r="P1" i="4"/>
  <c r="BD1" i="4" s="1"/>
  <c r="AP1" i="4"/>
  <c r="L2" i="11" l="1"/>
  <c r="L32" i="11" s="1"/>
  <c r="L44" i="11" s="1"/>
  <c r="L2" i="24"/>
  <c r="L35" i="24" s="1"/>
  <c r="L47" i="24" s="1"/>
  <c r="L2" i="21"/>
  <c r="L35" i="21" s="1"/>
  <c r="L47" i="21" s="1"/>
  <c r="K2" i="24"/>
  <c r="K35" i="24" s="1"/>
  <c r="K47" i="24" s="1"/>
  <c r="K2" i="11"/>
  <c r="K32" i="11" s="1"/>
  <c r="K44" i="11" s="1"/>
  <c r="K2" i="21"/>
  <c r="K35" i="21" s="1"/>
  <c r="K47" i="21" s="1"/>
  <c r="J2" i="11"/>
  <c r="J32" i="11" s="1"/>
  <c r="J44" i="11" s="1"/>
  <c r="J2" i="24"/>
  <c r="J35" i="24" s="1"/>
  <c r="J47" i="24" s="1"/>
  <c r="J2" i="21"/>
  <c r="J35" i="21" s="1"/>
  <c r="J47" i="21" s="1"/>
  <c r="I2" i="11"/>
  <c r="I32" i="11" s="1"/>
  <c r="I44" i="11" s="1"/>
  <c r="I2" i="24"/>
  <c r="I35" i="24" s="1"/>
  <c r="I47" i="24" s="1"/>
  <c r="I2" i="21"/>
  <c r="I35" i="21" s="1"/>
  <c r="I47" i="21" s="1"/>
  <c r="H2" i="21"/>
  <c r="H35" i="21" s="1"/>
  <c r="H47" i="21" s="1"/>
  <c r="H2" i="11"/>
  <c r="H32" i="11" s="1"/>
  <c r="H44" i="11" s="1"/>
  <c r="H2" i="24"/>
  <c r="H35" i="24" s="1"/>
  <c r="H47" i="24" s="1"/>
  <c r="G2" i="21"/>
  <c r="G35" i="21" s="1"/>
  <c r="G47" i="21" s="1"/>
  <c r="G2" i="11"/>
  <c r="G32" i="11" s="1"/>
  <c r="G44" i="11" s="1"/>
  <c r="G2" i="24"/>
  <c r="G35" i="24" s="1"/>
  <c r="G47" i="24" s="1"/>
  <c r="F2" i="21"/>
  <c r="F35" i="21" s="1"/>
  <c r="F47" i="21" s="1"/>
  <c r="F2" i="11"/>
  <c r="F32" i="11" s="1"/>
  <c r="F44" i="11" s="1"/>
  <c r="F2" i="24"/>
  <c r="F35" i="24" s="1"/>
  <c r="F47" i="24" s="1"/>
  <c r="E2" i="21"/>
  <c r="E35" i="21" s="1"/>
  <c r="E47" i="21" s="1"/>
  <c r="E2" i="11"/>
  <c r="E32" i="11" s="1"/>
  <c r="E44" i="11" s="1"/>
  <c r="E2" i="24"/>
  <c r="E35" i="24" s="1"/>
  <c r="E47" i="24" s="1"/>
  <c r="E1" i="4"/>
  <c r="D2" i="21"/>
  <c r="D35" i="21" s="1"/>
  <c r="D47" i="21" s="1"/>
  <c r="D2" i="11"/>
  <c r="D32" i="11" s="1"/>
  <c r="D44" i="11" s="1"/>
  <c r="D2" i="24"/>
  <c r="D35" i="24" s="1"/>
  <c r="D47" i="24" s="1"/>
  <c r="C2" i="21"/>
  <c r="C35" i="21" s="1"/>
  <c r="C47" i="21" s="1"/>
  <c r="C2" i="24"/>
  <c r="C35" i="24" s="1"/>
  <c r="C47" i="24" s="1"/>
  <c r="C2" i="11"/>
  <c r="C32" i="11" s="1"/>
  <c r="C44" i="11" s="1"/>
  <c r="AK34" i="23"/>
  <c r="AK15" i="23"/>
  <c r="AK14" i="23"/>
  <c r="AK20" i="23"/>
  <c r="AK23" i="23"/>
  <c r="AK2" i="23"/>
  <c r="AK39" i="23"/>
  <c r="AK58" i="23"/>
  <c r="AK12" i="23"/>
  <c r="AK17" i="23"/>
  <c r="AK33" i="23"/>
  <c r="AK32" i="23"/>
  <c r="AK21" i="23"/>
  <c r="AK6" i="23"/>
  <c r="AK8" i="23"/>
  <c r="AK7" i="23"/>
  <c r="AK38" i="23"/>
  <c r="AK27" i="23"/>
  <c r="AK13" i="23"/>
  <c r="AK42" i="23"/>
  <c r="AL42" i="23" s="1"/>
  <c r="AM42" i="23" s="1"/>
  <c r="AN42" i="23" s="1"/>
  <c r="AO42" i="23" s="1"/>
  <c r="AP42" i="23" s="1"/>
  <c r="AQ42" i="23" s="1"/>
  <c r="AR42" i="23" s="1"/>
  <c r="AS42" i="23" s="1"/>
  <c r="AT42" i="23" s="1"/>
  <c r="AK24" i="23"/>
  <c r="AK29" i="23"/>
  <c r="AK22" i="23"/>
  <c r="AK44" i="23"/>
  <c r="AL44" i="23" s="1"/>
  <c r="AM44" i="23" s="1"/>
  <c r="AN44" i="23" s="1"/>
  <c r="AO44" i="23" s="1"/>
  <c r="AP44" i="23" s="1"/>
  <c r="AQ44" i="23" s="1"/>
  <c r="AR44" i="23" s="1"/>
  <c r="AS44" i="23" s="1"/>
  <c r="AT44" i="23" s="1"/>
  <c r="AK5" i="23"/>
  <c r="AK36" i="23"/>
  <c r="AK16" i="23"/>
  <c r="AK43" i="23"/>
  <c r="AL43" i="23" s="1"/>
  <c r="AM43" i="23" s="1"/>
  <c r="AN43" i="23" s="1"/>
  <c r="AO43" i="23" s="1"/>
  <c r="AP43" i="23" s="1"/>
  <c r="AQ43" i="23" s="1"/>
  <c r="AR43" i="23" s="1"/>
  <c r="AS43" i="23" s="1"/>
  <c r="AT43" i="23" s="1"/>
  <c r="AK37" i="23"/>
  <c r="AK40" i="23"/>
  <c r="AK35" i="23"/>
  <c r="AK25" i="23"/>
  <c r="AK26" i="23"/>
  <c r="AK11" i="23"/>
  <c r="AK4" i="23"/>
  <c r="AK3" i="23"/>
  <c r="AK41" i="23"/>
  <c r="AK19" i="23"/>
  <c r="AK9" i="23"/>
  <c r="AK18" i="23"/>
  <c r="AO421" i="18"/>
  <c r="AP421" i="18" s="1"/>
  <c r="AQ421" i="18" s="1"/>
  <c r="AR421" i="18" s="1"/>
  <c r="AS421" i="18" s="1"/>
  <c r="AT421" i="18" s="1"/>
  <c r="AU421" i="18" s="1"/>
  <c r="AV421" i="18" s="1"/>
  <c r="AW421" i="18" s="1"/>
  <c r="AX421" i="18" s="1"/>
  <c r="AO385" i="18"/>
  <c r="AP385" i="18" s="1"/>
  <c r="AQ385" i="18" s="1"/>
  <c r="AR385" i="18" s="1"/>
  <c r="AS385" i="18" s="1"/>
  <c r="AT385" i="18" s="1"/>
  <c r="AU385" i="18" s="1"/>
  <c r="AV385" i="18" s="1"/>
  <c r="AW385" i="18" s="1"/>
  <c r="AX385" i="18" s="1"/>
  <c r="AO371" i="18"/>
  <c r="AP371" i="18" s="1"/>
  <c r="AQ371" i="18" s="1"/>
  <c r="AR371" i="18" s="1"/>
  <c r="AS371" i="18" s="1"/>
  <c r="AT371" i="18" s="1"/>
  <c r="AU371" i="18" s="1"/>
  <c r="AV371" i="18" s="1"/>
  <c r="AW371" i="18" s="1"/>
  <c r="AX371" i="18" s="1"/>
  <c r="AO375" i="18"/>
  <c r="AP375" i="18" s="1"/>
  <c r="AQ375" i="18" s="1"/>
  <c r="AR375" i="18" s="1"/>
  <c r="AS375" i="18" s="1"/>
  <c r="AT375" i="18" s="1"/>
  <c r="AU375" i="18" s="1"/>
  <c r="AV375" i="18" s="1"/>
  <c r="AW375" i="18" s="1"/>
  <c r="AX375" i="18" s="1"/>
  <c r="AO159" i="18"/>
  <c r="AP159" i="18" s="1"/>
  <c r="AQ159" i="18" s="1"/>
  <c r="AR159" i="18" s="1"/>
  <c r="AS159" i="18" s="1"/>
  <c r="AT159" i="18" s="1"/>
  <c r="AU159" i="18" s="1"/>
  <c r="AV159" i="18" s="1"/>
  <c r="AW159" i="18" s="1"/>
  <c r="AX159" i="18" s="1"/>
  <c r="AO34" i="18"/>
  <c r="AP34" i="18" s="1"/>
  <c r="AQ34" i="18" s="1"/>
  <c r="AR34" i="18" s="1"/>
  <c r="AS34" i="18" s="1"/>
  <c r="AT34" i="18" s="1"/>
  <c r="AU34" i="18" s="1"/>
  <c r="AV34" i="18" s="1"/>
  <c r="AW34" i="18" s="1"/>
  <c r="AX34" i="18" s="1"/>
  <c r="AO442" i="18"/>
  <c r="AP442" i="18" s="1"/>
  <c r="AQ442" i="18" s="1"/>
  <c r="AR442" i="18" s="1"/>
  <c r="AS442" i="18" s="1"/>
  <c r="AT442" i="18" s="1"/>
  <c r="AU442" i="18" s="1"/>
  <c r="AV442" i="18" s="1"/>
  <c r="AW442" i="18" s="1"/>
  <c r="AX442" i="18" s="1"/>
  <c r="AO178" i="18"/>
  <c r="AP178" i="18" s="1"/>
  <c r="AQ178" i="18" s="1"/>
  <c r="AR178" i="18" s="1"/>
  <c r="AS178" i="18" s="1"/>
  <c r="AT178" i="18" s="1"/>
  <c r="AU178" i="18" s="1"/>
  <c r="AV178" i="18" s="1"/>
  <c r="AW178" i="18" s="1"/>
  <c r="AX178" i="18" s="1"/>
  <c r="AO368" i="18"/>
  <c r="AP368" i="18" s="1"/>
  <c r="AQ368" i="18" s="1"/>
  <c r="AR368" i="18" s="1"/>
  <c r="AS368" i="18" s="1"/>
  <c r="AT368" i="18" s="1"/>
  <c r="AU368" i="18" s="1"/>
  <c r="AV368" i="18" s="1"/>
  <c r="AW368" i="18" s="1"/>
  <c r="AX368" i="18" s="1"/>
  <c r="AO353" i="18"/>
  <c r="AP353" i="18" s="1"/>
  <c r="AQ353" i="18" s="1"/>
  <c r="AR353" i="18" s="1"/>
  <c r="AS353" i="18" s="1"/>
  <c r="AT353" i="18" s="1"/>
  <c r="AU353" i="18" s="1"/>
  <c r="AV353" i="18" s="1"/>
  <c r="AW353" i="18" s="1"/>
  <c r="AX353" i="18" s="1"/>
  <c r="AO128" i="18"/>
  <c r="AP128" i="18" s="1"/>
  <c r="AQ128" i="18" s="1"/>
  <c r="AR128" i="18" s="1"/>
  <c r="AS128" i="18" s="1"/>
  <c r="AT128" i="18" s="1"/>
  <c r="AU128" i="18" s="1"/>
  <c r="AV128" i="18" s="1"/>
  <c r="AW128" i="18" s="1"/>
  <c r="AX128" i="18" s="1"/>
  <c r="AO170" i="18"/>
  <c r="AP170" i="18" s="1"/>
  <c r="AQ170" i="18" s="1"/>
  <c r="AR170" i="18" s="1"/>
  <c r="AS170" i="18" s="1"/>
  <c r="AT170" i="18" s="1"/>
  <c r="AU170" i="18" s="1"/>
  <c r="AV170" i="18" s="1"/>
  <c r="AW170" i="18" s="1"/>
  <c r="AX170" i="18" s="1"/>
  <c r="AO199" i="18"/>
  <c r="AP199" i="18" s="1"/>
  <c r="AQ199" i="18" s="1"/>
  <c r="AR199" i="18" s="1"/>
  <c r="AS199" i="18" s="1"/>
  <c r="AT199" i="18" s="1"/>
  <c r="AU199" i="18" s="1"/>
  <c r="AV199" i="18" s="1"/>
  <c r="AW199" i="18" s="1"/>
  <c r="AX199" i="18" s="1"/>
  <c r="AO19" i="18"/>
  <c r="AP19" i="18" s="1"/>
  <c r="AQ19" i="18" s="1"/>
  <c r="AR19" i="18" s="1"/>
  <c r="AS19" i="18" s="1"/>
  <c r="AT19" i="18" s="1"/>
  <c r="AU19" i="18" s="1"/>
  <c r="AV19" i="18" s="1"/>
  <c r="AW19" i="18" s="1"/>
  <c r="AX19" i="18" s="1"/>
  <c r="AO193" i="18"/>
  <c r="AP193" i="18" s="1"/>
  <c r="AQ193" i="18" s="1"/>
  <c r="AR193" i="18" s="1"/>
  <c r="AS193" i="18" s="1"/>
  <c r="AT193" i="18" s="1"/>
  <c r="AU193" i="18" s="1"/>
  <c r="AV193" i="18" s="1"/>
  <c r="AW193" i="18" s="1"/>
  <c r="AX193" i="18" s="1"/>
  <c r="AO154" i="18"/>
  <c r="AP154" i="18" s="1"/>
  <c r="AQ154" i="18" s="1"/>
  <c r="AR154" i="18" s="1"/>
  <c r="AS154" i="18" s="1"/>
  <c r="AT154" i="18" s="1"/>
  <c r="AU154" i="18" s="1"/>
  <c r="AV154" i="18" s="1"/>
  <c r="AW154" i="18" s="1"/>
  <c r="AX154" i="18" s="1"/>
  <c r="AO74" i="18"/>
  <c r="AP74" i="18" s="1"/>
  <c r="AQ74" i="18" s="1"/>
  <c r="AR74" i="18" s="1"/>
  <c r="AS74" i="18" s="1"/>
  <c r="AT74" i="18" s="1"/>
  <c r="AU74" i="18" s="1"/>
  <c r="AV74" i="18" s="1"/>
  <c r="AW74" i="18" s="1"/>
  <c r="AX74" i="18" s="1"/>
  <c r="AO393" i="18"/>
  <c r="AP393" i="18" s="1"/>
  <c r="AQ393" i="18" s="1"/>
  <c r="AR393" i="18" s="1"/>
  <c r="AS393" i="18" s="1"/>
  <c r="AT393" i="18" s="1"/>
  <c r="AU393" i="18" s="1"/>
  <c r="AV393" i="18" s="1"/>
  <c r="AW393" i="18" s="1"/>
  <c r="AX393" i="18" s="1"/>
  <c r="AO101" i="18"/>
  <c r="AP101" i="18" s="1"/>
  <c r="AQ101" i="18" s="1"/>
  <c r="AR101" i="18" s="1"/>
  <c r="AS101" i="18" s="1"/>
  <c r="AT101" i="18" s="1"/>
  <c r="AU101" i="18" s="1"/>
  <c r="AV101" i="18" s="1"/>
  <c r="AW101" i="18" s="1"/>
  <c r="AX101" i="18" s="1"/>
  <c r="AO9" i="18"/>
  <c r="AP9" i="18" s="1"/>
  <c r="AQ9" i="18" s="1"/>
  <c r="AR9" i="18" s="1"/>
  <c r="AS9" i="18" s="1"/>
  <c r="AT9" i="18" s="1"/>
  <c r="AU9" i="18" s="1"/>
  <c r="AV9" i="18" s="1"/>
  <c r="AW9" i="18" s="1"/>
  <c r="AX9" i="18" s="1"/>
  <c r="AO341" i="18"/>
  <c r="AP341" i="18" s="1"/>
  <c r="AQ341" i="18" s="1"/>
  <c r="AR341" i="18" s="1"/>
  <c r="AS341" i="18" s="1"/>
  <c r="AT341" i="18" s="1"/>
  <c r="AU341" i="18" s="1"/>
  <c r="AV341" i="18" s="1"/>
  <c r="AW341" i="18" s="1"/>
  <c r="AX341" i="18" s="1"/>
  <c r="AO158" i="18"/>
  <c r="AP158" i="18" s="1"/>
  <c r="AQ158" i="18" s="1"/>
  <c r="AR158" i="18" s="1"/>
  <c r="AS158" i="18" s="1"/>
  <c r="AT158" i="18" s="1"/>
  <c r="AU158" i="18" s="1"/>
  <c r="AV158" i="18" s="1"/>
  <c r="AW158" i="18" s="1"/>
  <c r="AX158" i="18" s="1"/>
  <c r="AO73" i="18"/>
  <c r="AP73" i="18" s="1"/>
  <c r="AQ73" i="18" s="1"/>
  <c r="AR73" i="18" s="1"/>
  <c r="AS73" i="18" s="1"/>
  <c r="AT73" i="18" s="1"/>
  <c r="AU73" i="18" s="1"/>
  <c r="AV73" i="18" s="1"/>
  <c r="AW73" i="18" s="1"/>
  <c r="AX73" i="18" s="1"/>
  <c r="AO163" i="18"/>
  <c r="AP163" i="18" s="1"/>
  <c r="AQ163" i="18" s="1"/>
  <c r="AR163" i="18" s="1"/>
  <c r="AS163" i="18" s="1"/>
  <c r="AT163" i="18" s="1"/>
  <c r="AU163" i="18" s="1"/>
  <c r="AV163" i="18" s="1"/>
  <c r="AW163" i="18" s="1"/>
  <c r="AX163" i="18" s="1"/>
  <c r="AO428" i="18"/>
  <c r="AP428" i="18" s="1"/>
  <c r="AQ428" i="18" s="1"/>
  <c r="AR428" i="18" s="1"/>
  <c r="AS428" i="18" s="1"/>
  <c r="AT428" i="18" s="1"/>
  <c r="AU428" i="18" s="1"/>
  <c r="AV428" i="18" s="1"/>
  <c r="AW428" i="18" s="1"/>
  <c r="AX428" i="18" s="1"/>
  <c r="AO429" i="18"/>
  <c r="AP429" i="18" s="1"/>
  <c r="AQ429" i="18" s="1"/>
  <c r="AR429" i="18" s="1"/>
  <c r="AS429" i="18" s="1"/>
  <c r="AT429" i="18" s="1"/>
  <c r="AU429" i="18" s="1"/>
  <c r="AV429" i="18" s="1"/>
  <c r="AW429" i="18" s="1"/>
  <c r="AX429" i="18" s="1"/>
  <c r="AO350" i="18"/>
  <c r="AP350" i="18" s="1"/>
  <c r="AQ350" i="18" s="1"/>
  <c r="AR350" i="18" s="1"/>
  <c r="AS350" i="18" s="1"/>
  <c r="AT350" i="18" s="1"/>
  <c r="AU350" i="18" s="1"/>
  <c r="AV350" i="18" s="1"/>
  <c r="AW350" i="18" s="1"/>
  <c r="AX350" i="18" s="1"/>
  <c r="AO66" i="18"/>
  <c r="AP66" i="18" s="1"/>
  <c r="AQ66" i="18" s="1"/>
  <c r="AR66" i="18" s="1"/>
  <c r="AS66" i="18" s="1"/>
  <c r="AT66" i="18" s="1"/>
  <c r="AU66" i="18" s="1"/>
  <c r="AV66" i="18" s="1"/>
  <c r="AW66" i="18" s="1"/>
  <c r="AX66" i="18" s="1"/>
  <c r="AO230" i="18"/>
  <c r="AP230" i="18" s="1"/>
  <c r="AQ230" i="18" s="1"/>
  <c r="AR230" i="18" s="1"/>
  <c r="AS230" i="18" s="1"/>
  <c r="AT230" i="18" s="1"/>
  <c r="AU230" i="18" s="1"/>
  <c r="AV230" i="18" s="1"/>
  <c r="AW230" i="18" s="1"/>
  <c r="AX230" i="18" s="1"/>
  <c r="AO179" i="18"/>
  <c r="AP179" i="18" s="1"/>
  <c r="AQ179" i="18" s="1"/>
  <c r="AR179" i="18" s="1"/>
  <c r="AS179" i="18" s="1"/>
  <c r="AT179" i="18" s="1"/>
  <c r="AU179" i="18" s="1"/>
  <c r="AV179" i="18" s="1"/>
  <c r="AW179" i="18" s="1"/>
  <c r="AX179" i="18" s="1"/>
  <c r="AO97" i="18"/>
  <c r="AP97" i="18" s="1"/>
  <c r="AQ97" i="18" s="1"/>
  <c r="AR97" i="18" s="1"/>
  <c r="AS97" i="18" s="1"/>
  <c r="AT97" i="18" s="1"/>
  <c r="AU97" i="18" s="1"/>
  <c r="AV97" i="18" s="1"/>
  <c r="AW97" i="18" s="1"/>
  <c r="AX97" i="18" s="1"/>
  <c r="AO349" i="18"/>
  <c r="AP349" i="18" s="1"/>
  <c r="AQ349" i="18" s="1"/>
  <c r="AR349" i="18" s="1"/>
  <c r="AS349" i="18" s="1"/>
  <c r="AT349" i="18" s="1"/>
  <c r="AU349" i="18" s="1"/>
  <c r="AV349" i="18" s="1"/>
  <c r="AW349" i="18" s="1"/>
  <c r="AX349" i="18" s="1"/>
  <c r="AO39" i="18"/>
  <c r="AP39" i="18" s="1"/>
  <c r="AQ39" i="18" s="1"/>
  <c r="AR39" i="18" s="1"/>
  <c r="AS39" i="18" s="1"/>
  <c r="AT39" i="18" s="1"/>
  <c r="AU39" i="18" s="1"/>
  <c r="AV39" i="18" s="1"/>
  <c r="AW39" i="18" s="1"/>
  <c r="AX39" i="18" s="1"/>
  <c r="AO63" i="18"/>
  <c r="AP63" i="18" s="1"/>
  <c r="AQ63" i="18" s="1"/>
  <c r="AR63" i="18" s="1"/>
  <c r="AS63" i="18" s="1"/>
  <c r="AT63" i="18" s="1"/>
  <c r="AU63" i="18" s="1"/>
  <c r="AV63" i="18" s="1"/>
  <c r="AW63" i="18" s="1"/>
  <c r="AX63" i="18" s="1"/>
  <c r="AO118" i="18"/>
  <c r="AP118" i="18" s="1"/>
  <c r="AQ118" i="18" s="1"/>
  <c r="AR118" i="18" s="1"/>
  <c r="AS118" i="18" s="1"/>
  <c r="AT118" i="18" s="1"/>
  <c r="AU118" i="18" s="1"/>
  <c r="AV118" i="18" s="1"/>
  <c r="AW118" i="18" s="1"/>
  <c r="AX118" i="18" s="1"/>
  <c r="AO202" i="18"/>
  <c r="AP202" i="18" s="1"/>
  <c r="AQ202" i="18" s="1"/>
  <c r="AR202" i="18" s="1"/>
  <c r="AS202" i="18" s="1"/>
  <c r="AT202" i="18" s="1"/>
  <c r="AU202" i="18" s="1"/>
  <c r="AV202" i="18" s="1"/>
  <c r="AW202" i="18" s="1"/>
  <c r="AX202" i="18" s="1"/>
  <c r="AO328" i="18"/>
  <c r="AP328" i="18" s="1"/>
  <c r="AQ328" i="18" s="1"/>
  <c r="AR328" i="18" s="1"/>
  <c r="AS328" i="18" s="1"/>
  <c r="AT328" i="18" s="1"/>
  <c r="AU328" i="18" s="1"/>
  <c r="AV328" i="18" s="1"/>
  <c r="AW328" i="18" s="1"/>
  <c r="AX328" i="18" s="1"/>
  <c r="AO142" i="18"/>
  <c r="AP142" i="18" s="1"/>
  <c r="AQ142" i="18" s="1"/>
  <c r="AR142" i="18" s="1"/>
  <c r="AS142" i="18" s="1"/>
  <c r="AT142" i="18" s="1"/>
  <c r="AU142" i="18" s="1"/>
  <c r="AV142" i="18" s="1"/>
  <c r="AW142" i="18" s="1"/>
  <c r="AX142" i="18" s="1"/>
  <c r="AO409" i="18"/>
  <c r="AP409" i="18" s="1"/>
  <c r="AQ409" i="18" s="1"/>
  <c r="AR409" i="18" s="1"/>
  <c r="AS409" i="18" s="1"/>
  <c r="AT409" i="18" s="1"/>
  <c r="AU409" i="18" s="1"/>
  <c r="AV409" i="18" s="1"/>
  <c r="AW409" i="18" s="1"/>
  <c r="AX409" i="18" s="1"/>
  <c r="AO288" i="18"/>
  <c r="AP288" i="18" s="1"/>
  <c r="AQ288" i="18" s="1"/>
  <c r="AR288" i="18" s="1"/>
  <c r="AS288" i="18" s="1"/>
  <c r="AT288" i="18" s="1"/>
  <c r="AU288" i="18" s="1"/>
  <c r="AV288" i="18" s="1"/>
  <c r="AW288" i="18" s="1"/>
  <c r="AX288" i="18" s="1"/>
  <c r="AO414" i="18"/>
  <c r="AP414" i="18" s="1"/>
  <c r="AQ414" i="18" s="1"/>
  <c r="AR414" i="18" s="1"/>
  <c r="AS414" i="18" s="1"/>
  <c r="AT414" i="18" s="1"/>
  <c r="AU414" i="18" s="1"/>
  <c r="AV414" i="18" s="1"/>
  <c r="AW414" i="18" s="1"/>
  <c r="AX414" i="18" s="1"/>
  <c r="AO37" i="18"/>
  <c r="AP37" i="18" s="1"/>
  <c r="AQ37" i="18" s="1"/>
  <c r="AR37" i="18" s="1"/>
  <c r="AS37" i="18" s="1"/>
  <c r="AT37" i="18" s="1"/>
  <c r="AU37" i="18" s="1"/>
  <c r="AV37" i="18" s="1"/>
  <c r="AW37" i="18" s="1"/>
  <c r="AX37" i="18" s="1"/>
  <c r="AO20" i="18"/>
  <c r="AP20" i="18" s="1"/>
  <c r="AQ20" i="18" s="1"/>
  <c r="AR20" i="18" s="1"/>
  <c r="AS20" i="18" s="1"/>
  <c r="AT20" i="18" s="1"/>
  <c r="AU20" i="18" s="1"/>
  <c r="AV20" i="18" s="1"/>
  <c r="AW20" i="18" s="1"/>
  <c r="AX20" i="18" s="1"/>
  <c r="AO359" i="18"/>
  <c r="AP359" i="18" s="1"/>
  <c r="AQ359" i="18" s="1"/>
  <c r="AR359" i="18" s="1"/>
  <c r="AS359" i="18" s="1"/>
  <c r="AT359" i="18" s="1"/>
  <c r="AU359" i="18" s="1"/>
  <c r="AV359" i="18" s="1"/>
  <c r="AW359" i="18" s="1"/>
  <c r="AX359" i="18" s="1"/>
  <c r="AO133" i="18"/>
  <c r="AP133" i="18" s="1"/>
  <c r="AQ133" i="18" s="1"/>
  <c r="AR133" i="18" s="1"/>
  <c r="AS133" i="18" s="1"/>
  <c r="AT133" i="18" s="1"/>
  <c r="AU133" i="18" s="1"/>
  <c r="AV133" i="18" s="1"/>
  <c r="AW133" i="18" s="1"/>
  <c r="AX133" i="18" s="1"/>
  <c r="AO280" i="18"/>
  <c r="AP280" i="18" s="1"/>
  <c r="AQ280" i="18" s="1"/>
  <c r="AR280" i="18" s="1"/>
  <c r="AS280" i="18" s="1"/>
  <c r="AT280" i="18" s="1"/>
  <c r="AU280" i="18" s="1"/>
  <c r="AV280" i="18" s="1"/>
  <c r="AW280" i="18" s="1"/>
  <c r="AX280" i="18" s="1"/>
  <c r="AO413" i="18"/>
  <c r="AP413" i="18" s="1"/>
  <c r="AQ413" i="18" s="1"/>
  <c r="AR413" i="18" s="1"/>
  <c r="AS413" i="18" s="1"/>
  <c r="AT413" i="18" s="1"/>
  <c r="AU413" i="18" s="1"/>
  <c r="AV413" i="18" s="1"/>
  <c r="AW413" i="18" s="1"/>
  <c r="AX413" i="18" s="1"/>
  <c r="AO379" i="18"/>
  <c r="AP379" i="18" s="1"/>
  <c r="AQ379" i="18" s="1"/>
  <c r="AR379" i="18" s="1"/>
  <c r="AS379" i="18" s="1"/>
  <c r="AT379" i="18" s="1"/>
  <c r="AU379" i="18" s="1"/>
  <c r="AV379" i="18" s="1"/>
  <c r="AW379" i="18" s="1"/>
  <c r="AX379" i="18" s="1"/>
  <c r="AO165" i="18"/>
  <c r="AP165" i="18" s="1"/>
  <c r="AQ165" i="18" s="1"/>
  <c r="AR165" i="18" s="1"/>
  <c r="AS165" i="18" s="1"/>
  <c r="AT165" i="18" s="1"/>
  <c r="AU165" i="18" s="1"/>
  <c r="AV165" i="18" s="1"/>
  <c r="AW165" i="18" s="1"/>
  <c r="AX165" i="18" s="1"/>
  <c r="AO361" i="18"/>
  <c r="AP361" i="18" s="1"/>
  <c r="AQ361" i="18" s="1"/>
  <c r="AR361" i="18" s="1"/>
  <c r="AS361" i="18" s="1"/>
  <c r="AT361" i="18" s="1"/>
  <c r="AU361" i="18" s="1"/>
  <c r="AV361" i="18" s="1"/>
  <c r="AW361" i="18" s="1"/>
  <c r="AX361" i="18" s="1"/>
  <c r="AO342" i="18"/>
  <c r="AP342" i="18" s="1"/>
  <c r="AQ342" i="18" s="1"/>
  <c r="AR342" i="18" s="1"/>
  <c r="AS342" i="18" s="1"/>
  <c r="AT342" i="18" s="1"/>
  <c r="AU342" i="18" s="1"/>
  <c r="AV342" i="18" s="1"/>
  <c r="AW342" i="18" s="1"/>
  <c r="AX342" i="18" s="1"/>
  <c r="AO194" i="18"/>
  <c r="AP194" i="18" s="1"/>
  <c r="AQ194" i="18" s="1"/>
  <c r="AR194" i="18" s="1"/>
  <c r="AS194" i="18" s="1"/>
  <c r="AT194" i="18" s="1"/>
  <c r="AU194" i="18" s="1"/>
  <c r="AV194" i="18" s="1"/>
  <c r="AW194" i="18" s="1"/>
  <c r="AX194" i="18" s="1"/>
  <c r="AO358" i="18"/>
  <c r="AP358" i="18" s="1"/>
  <c r="AQ358" i="18" s="1"/>
  <c r="AR358" i="18" s="1"/>
  <c r="AS358" i="18" s="1"/>
  <c r="AT358" i="18" s="1"/>
  <c r="AU358" i="18" s="1"/>
  <c r="AV358" i="18" s="1"/>
  <c r="AW358" i="18" s="1"/>
  <c r="AX358" i="18" s="1"/>
  <c r="AO11" i="18"/>
  <c r="AP11" i="18" s="1"/>
  <c r="AQ11" i="18" s="1"/>
  <c r="AR11" i="18" s="1"/>
  <c r="AS11" i="18" s="1"/>
  <c r="AT11" i="18" s="1"/>
  <c r="AU11" i="18" s="1"/>
  <c r="AV11" i="18" s="1"/>
  <c r="AW11" i="18" s="1"/>
  <c r="AX11" i="18" s="1"/>
  <c r="AO41" i="18"/>
  <c r="AP41" i="18" s="1"/>
  <c r="AQ41" i="18" s="1"/>
  <c r="AR41" i="18" s="1"/>
  <c r="AS41" i="18" s="1"/>
  <c r="AT41" i="18" s="1"/>
  <c r="AU41" i="18" s="1"/>
  <c r="AV41" i="18" s="1"/>
  <c r="AW41" i="18" s="1"/>
  <c r="AX41" i="18" s="1"/>
  <c r="AO95" i="18"/>
  <c r="AP95" i="18" s="1"/>
  <c r="AQ95" i="18" s="1"/>
  <c r="AR95" i="18" s="1"/>
  <c r="AS95" i="18" s="1"/>
  <c r="AT95" i="18" s="1"/>
  <c r="AU95" i="18" s="1"/>
  <c r="AV95" i="18" s="1"/>
  <c r="AW95" i="18" s="1"/>
  <c r="AX95" i="18" s="1"/>
  <c r="AO5" i="18"/>
  <c r="AP5" i="18" s="1"/>
  <c r="AQ5" i="18" s="1"/>
  <c r="AR5" i="18" s="1"/>
  <c r="AS5" i="18" s="1"/>
  <c r="AT5" i="18" s="1"/>
  <c r="AU5" i="18" s="1"/>
  <c r="AV5" i="18" s="1"/>
  <c r="AW5" i="18" s="1"/>
  <c r="AX5" i="18" s="1"/>
  <c r="AO396" i="18"/>
  <c r="AP396" i="18" s="1"/>
  <c r="AQ396" i="18" s="1"/>
  <c r="AR396" i="18" s="1"/>
  <c r="AS396" i="18" s="1"/>
  <c r="AT396" i="18" s="1"/>
  <c r="AU396" i="18" s="1"/>
  <c r="AV396" i="18" s="1"/>
  <c r="AW396" i="18" s="1"/>
  <c r="AX396" i="18" s="1"/>
  <c r="AO172" i="18"/>
  <c r="AP172" i="18" s="1"/>
  <c r="AQ172" i="18" s="1"/>
  <c r="AR172" i="18" s="1"/>
  <c r="AS172" i="18" s="1"/>
  <c r="AT172" i="18" s="1"/>
  <c r="AU172" i="18" s="1"/>
  <c r="AV172" i="18" s="1"/>
  <c r="AW172" i="18" s="1"/>
  <c r="AX172" i="18" s="1"/>
  <c r="AO337" i="18"/>
  <c r="AP337" i="18" s="1"/>
  <c r="AQ337" i="18" s="1"/>
  <c r="AR337" i="18" s="1"/>
  <c r="AS337" i="18" s="1"/>
  <c r="AT337" i="18" s="1"/>
  <c r="AU337" i="18" s="1"/>
  <c r="AV337" i="18" s="1"/>
  <c r="AW337" i="18" s="1"/>
  <c r="AX337" i="18" s="1"/>
  <c r="AO123" i="18"/>
  <c r="AP123" i="18" s="1"/>
  <c r="AQ123" i="18" s="1"/>
  <c r="AR123" i="18" s="1"/>
  <c r="AS123" i="18" s="1"/>
  <c r="AT123" i="18" s="1"/>
  <c r="AU123" i="18" s="1"/>
  <c r="AV123" i="18" s="1"/>
  <c r="AW123" i="18" s="1"/>
  <c r="AX123" i="18" s="1"/>
  <c r="AO369" i="18"/>
  <c r="AP369" i="18" s="1"/>
  <c r="AQ369" i="18" s="1"/>
  <c r="AR369" i="18" s="1"/>
  <c r="AS369" i="18" s="1"/>
  <c r="AT369" i="18" s="1"/>
  <c r="AU369" i="18" s="1"/>
  <c r="AV369" i="18" s="1"/>
  <c r="AW369" i="18" s="1"/>
  <c r="AX369" i="18" s="1"/>
  <c r="AO339" i="18"/>
  <c r="AP339" i="18" s="1"/>
  <c r="AQ339" i="18" s="1"/>
  <c r="AR339" i="18" s="1"/>
  <c r="AS339" i="18" s="1"/>
  <c r="AT339" i="18" s="1"/>
  <c r="AU339" i="18" s="1"/>
  <c r="AV339" i="18" s="1"/>
  <c r="AW339" i="18" s="1"/>
  <c r="AX339" i="18" s="1"/>
  <c r="AO59" i="18"/>
  <c r="AP59" i="18" s="1"/>
  <c r="AQ59" i="18" s="1"/>
  <c r="AR59" i="18" s="1"/>
  <c r="AS59" i="18" s="1"/>
  <c r="AT59" i="18" s="1"/>
  <c r="AU59" i="18" s="1"/>
  <c r="AV59" i="18" s="1"/>
  <c r="AW59" i="18" s="1"/>
  <c r="AX59" i="18" s="1"/>
  <c r="AO333" i="18"/>
  <c r="AP333" i="18" s="1"/>
  <c r="AQ333" i="18" s="1"/>
  <c r="AR333" i="18" s="1"/>
  <c r="AS333" i="18" s="1"/>
  <c r="AT333" i="18" s="1"/>
  <c r="AU333" i="18" s="1"/>
  <c r="AV333" i="18" s="1"/>
  <c r="AW333" i="18" s="1"/>
  <c r="AX333" i="18" s="1"/>
  <c r="AO135" i="18"/>
  <c r="AP135" i="18" s="1"/>
  <c r="AQ135" i="18" s="1"/>
  <c r="AR135" i="18" s="1"/>
  <c r="AS135" i="18" s="1"/>
  <c r="AT135" i="18" s="1"/>
  <c r="AU135" i="18" s="1"/>
  <c r="AV135" i="18" s="1"/>
  <c r="AW135" i="18" s="1"/>
  <c r="AX135" i="18" s="1"/>
  <c r="AO143" i="18"/>
  <c r="AP143" i="18" s="1"/>
  <c r="AQ143" i="18" s="1"/>
  <c r="AR143" i="18" s="1"/>
  <c r="AS143" i="18" s="1"/>
  <c r="AT143" i="18" s="1"/>
  <c r="AU143" i="18" s="1"/>
  <c r="AV143" i="18" s="1"/>
  <c r="AW143" i="18" s="1"/>
  <c r="AX143" i="18" s="1"/>
  <c r="AO382" i="18"/>
  <c r="AP382" i="18" s="1"/>
  <c r="AQ382" i="18" s="1"/>
  <c r="AR382" i="18" s="1"/>
  <c r="AS382" i="18" s="1"/>
  <c r="AT382" i="18" s="1"/>
  <c r="AU382" i="18" s="1"/>
  <c r="AV382" i="18" s="1"/>
  <c r="AW382" i="18" s="1"/>
  <c r="AX382" i="18" s="1"/>
  <c r="AO198" i="18"/>
  <c r="AP198" i="18" s="1"/>
  <c r="AQ198" i="18" s="1"/>
  <c r="AR198" i="18" s="1"/>
  <c r="AS198" i="18" s="1"/>
  <c r="AT198" i="18" s="1"/>
  <c r="AU198" i="18" s="1"/>
  <c r="AV198" i="18" s="1"/>
  <c r="AW198" i="18" s="1"/>
  <c r="AX198" i="18" s="1"/>
  <c r="AO105" i="18"/>
  <c r="AP105" i="18" s="1"/>
  <c r="AQ105" i="18" s="1"/>
  <c r="AR105" i="18" s="1"/>
  <c r="AS105" i="18" s="1"/>
  <c r="AT105" i="18" s="1"/>
  <c r="AU105" i="18" s="1"/>
  <c r="AV105" i="18" s="1"/>
  <c r="AW105" i="18" s="1"/>
  <c r="AX105" i="18" s="1"/>
  <c r="AO332" i="18"/>
  <c r="AP332" i="18" s="1"/>
  <c r="AQ332" i="18" s="1"/>
  <c r="AR332" i="18" s="1"/>
  <c r="AS332" i="18" s="1"/>
  <c r="AT332" i="18" s="1"/>
  <c r="AU332" i="18" s="1"/>
  <c r="AV332" i="18" s="1"/>
  <c r="AW332" i="18" s="1"/>
  <c r="AX332" i="18" s="1"/>
  <c r="AO381" i="18"/>
  <c r="AP381" i="18" s="1"/>
  <c r="AQ381" i="18" s="1"/>
  <c r="AR381" i="18" s="1"/>
  <c r="AS381" i="18" s="1"/>
  <c r="AT381" i="18" s="1"/>
  <c r="AU381" i="18" s="1"/>
  <c r="AV381" i="18" s="1"/>
  <c r="AW381" i="18" s="1"/>
  <c r="AX381" i="18" s="1"/>
  <c r="AO419" i="18"/>
  <c r="AP419" i="18" s="1"/>
  <c r="AQ419" i="18" s="1"/>
  <c r="AR419" i="18" s="1"/>
  <c r="AS419" i="18" s="1"/>
  <c r="AT419" i="18" s="1"/>
  <c r="AU419" i="18" s="1"/>
  <c r="AV419" i="18" s="1"/>
  <c r="AW419" i="18" s="1"/>
  <c r="AX419" i="18" s="1"/>
  <c r="AO430" i="18"/>
  <c r="AP430" i="18" s="1"/>
  <c r="AQ430" i="18" s="1"/>
  <c r="AR430" i="18" s="1"/>
  <c r="AS430" i="18" s="1"/>
  <c r="AT430" i="18" s="1"/>
  <c r="AU430" i="18" s="1"/>
  <c r="AV430" i="18" s="1"/>
  <c r="AW430" i="18" s="1"/>
  <c r="AX430" i="18" s="1"/>
  <c r="AO113" i="18"/>
  <c r="AP113" i="18" s="1"/>
  <c r="AQ113" i="18" s="1"/>
  <c r="AR113" i="18" s="1"/>
  <c r="AS113" i="18" s="1"/>
  <c r="AT113" i="18" s="1"/>
  <c r="AU113" i="18" s="1"/>
  <c r="AV113" i="18" s="1"/>
  <c r="AW113" i="18" s="1"/>
  <c r="AX113" i="18" s="1"/>
  <c r="AO292" i="18"/>
  <c r="AP292" i="18" s="1"/>
  <c r="AQ292" i="18" s="1"/>
  <c r="AR292" i="18" s="1"/>
  <c r="AS292" i="18" s="1"/>
  <c r="AT292" i="18" s="1"/>
  <c r="AU292" i="18" s="1"/>
  <c r="AV292" i="18" s="1"/>
  <c r="AW292" i="18" s="1"/>
  <c r="AX292" i="18" s="1"/>
  <c r="AO129" i="18"/>
  <c r="AP129" i="18" s="1"/>
  <c r="AQ129" i="18" s="1"/>
  <c r="AR129" i="18" s="1"/>
  <c r="AS129" i="18" s="1"/>
  <c r="AT129" i="18" s="1"/>
  <c r="AU129" i="18" s="1"/>
  <c r="AV129" i="18" s="1"/>
  <c r="AW129" i="18" s="1"/>
  <c r="AX129" i="18" s="1"/>
  <c r="AO174" i="18"/>
  <c r="AP174" i="18" s="1"/>
  <c r="AQ174" i="18" s="1"/>
  <c r="AR174" i="18" s="1"/>
  <c r="AS174" i="18" s="1"/>
  <c r="AT174" i="18" s="1"/>
  <c r="AU174" i="18" s="1"/>
  <c r="AV174" i="18" s="1"/>
  <c r="AW174" i="18" s="1"/>
  <c r="AX174" i="18" s="1"/>
  <c r="AO222" i="18"/>
  <c r="AP222" i="18" s="1"/>
  <c r="AQ222" i="18" s="1"/>
  <c r="AR222" i="18" s="1"/>
  <c r="AS222" i="18" s="1"/>
  <c r="AT222" i="18" s="1"/>
  <c r="AU222" i="18" s="1"/>
  <c r="AV222" i="18" s="1"/>
  <c r="AW222" i="18" s="1"/>
  <c r="AX222" i="18" s="1"/>
  <c r="AO76" i="18"/>
  <c r="AP76" i="18" s="1"/>
  <c r="AQ76" i="18" s="1"/>
  <c r="AR76" i="18" s="1"/>
  <c r="AS76" i="18" s="1"/>
  <c r="AT76" i="18" s="1"/>
  <c r="AU76" i="18" s="1"/>
  <c r="AV76" i="18" s="1"/>
  <c r="AW76" i="18" s="1"/>
  <c r="AX76" i="18" s="1"/>
  <c r="AO79" i="18"/>
  <c r="AP79" i="18" s="1"/>
  <c r="AQ79" i="18" s="1"/>
  <c r="AR79" i="18" s="1"/>
  <c r="AS79" i="18" s="1"/>
  <c r="AT79" i="18" s="1"/>
  <c r="AU79" i="18" s="1"/>
  <c r="AV79" i="18" s="1"/>
  <c r="AW79" i="18" s="1"/>
  <c r="AX79" i="18" s="1"/>
  <c r="AO14" i="18"/>
  <c r="AP14" i="18" s="1"/>
  <c r="AQ14" i="18" s="1"/>
  <c r="AR14" i="18" s="1"/>
  <c r="AS14" i="18" s="1"/>
  <c r="AT14" i="18" s="1"/>
  <c r="AU14" i="18" s="1"/>
  <c r="AV14" i="18" s="1"/>
  <c r="AW14" i="18" s="1"/>
  <c r="AX14" i="18" s="1"/>
  <c r="AO130" i="18"/>
  <c r="AP130" i="18" s="1"/>
  <c r="AQ130" i="18" s="1"/>
  <c r="AR130" i="18" s="1"/>
  <c r="AS130" i="18" s="1"/>
  <c r="AT130" i="18" s="1"/>
  <c r="AU130" i="18" s="1"/>
  <c r="AV130" i="18" s="1"/>
  <c r="AW130" i="18" s="1"/>
  <c r="AX130" i="18" s="1"/>
  <c r="AO107" i="18"/>
  <c r="AP107" i="18" s="1"/>
  <c r="AQ107" i="18" s="1"/>
  <c r="AR107" i="18" s="1"/>
  <c r="AS107" i="18" s="1"/>
  <c r="AT107" i="18" s="1"/>
  <c r="AU107" i="18" s="1"/>
  <c r="AV107" i="18" s="1"/>
  <c r="AW107" i="18" s="1"/>
  <c r="AX107" i="18" s="1"/>
  <c r="AO189" i="18"/>
  <c r="AP189" i="18" s="1"/>
  <c r="AQ189" i="18" s="1"/>
  <c r="AR189" i="18" s="1"/>
  <c r="AS189" i="18" s="1"/>
  <c r="AT189" i="18" s="1"/>
  <c r="AU189" i="18" s="1"/>
  <c r="AV189" i="18" s="1"/>
  <c r="AW189" i="18" s="1"/>
  <c r="AX189" i="18" s="1"/>
  <c r="AO51" i="18"/>
  <c r="AP51" i="18" s="1"/>
  <c r="AQ51" i="18" s="1"/>
  <c r="AR51" i="18" s="1"/>
  <c r="AS51" i="18" s="1"/>
  <c r="AT51" i="18" s="1"/>
  <c r="AU51" i="18" s="1"/>
  <c r="AV51" i="18" s="1"/>
  <c r="AW51" i="18" s="1"/>
  <c r="AX51" i="18" s="1"/>
  <c r="AO200" i="18"/>
  <c r="AP200" i="18" s="1"/>
  <c r="AQ200" i="18" s="1"/>
  <c r="AR200" i="18" s="1"/>
  <c r="AS200" i="18" s="1"/>
  <c r="AT200" i="18" s="1"/>
  <c r="AU200" i="18" s="1"/>
  <c r="AV200" i="18" s="1"/>
  <c r="AW200" i="18" s="1"/>
  <c r="AX200" i="18" s="1"/>
  <c r="AO250" i="18"/>
  <c r="AP250" i="18" s="1"/>
  <c r="AQ250" i="18" s="1"/>
  <c r="AR250" i="18" s="1"/>
  <c r="AS250" i="18" s="1"/>
  <c r="AT250" i="18" s="1"/>
  <c r="AU250" i="18" s="1"/>
  <c r="AV250" i="18" s="1"/>
  <c r="AW250" i="18" s="1"/>
  <c r="AX250" i="18" s="1"/>
  <c r="AO82" i="18"/>
  <c r="AP82" i="18" s="1"/>
  <c r="AQ82" i="18" s="1"/>
  <c r="AR82" i="18" s="1"/>
  <c r="AS82" i="18" s="1"/>
  <c r="AT82" i="18" s="1"/>
  <c r="AU82" i="18" s="1"/>
  <c r="AV82" i="18" s="1"/>
  <c r="AW82" i="18" s="1"/>
  <c r="AX82" i="18" s="1"/>
  <c r="AO201" i="18"/>
  <c r="AP201" i="18" s="1"/>
  <c r="AQ201" i="18" s="1"/>
  <c r="AR201" i="18" s="1"/>
  <c r="AS201" i="18" s="1"/>
  <c r="AT201" i="18" s="1"/>
  <c r="AU201" i="18" s="1"/>
  <c r="AV201" i="18" s="1"/>
  <c r="AW201" i="18" s="1"/>
  <c r="AX201" i="18" s="1"/>
  <c r="AO146" i="18"/>
  <c r="AP146" i="18" s="1"/>
  <c r="AQ146" i="18" s="1"/>
  <c r="AR146" i="18" s="1"/>
  <c r="AS146" i="18" s="1"/>
  <c r="AT146" i="18" s="1"/>
  <c r="AU146" i="18" s="1"/>
  <c r="AV146" i="18" s="1"/>
  <c r="AW146" i="18" s="1"/>
  <c r="AX146" i="18" s="1"/>
  <c r="AO185" i="18"/>
  <c r="AP185" i="18" s="1"/>
  <c r="AQ185" i="18" s="1"/>
  <c r="AR185" i="18" s="1"/>
  <c r="AS185" i="18" s="1"/>
  <c r="AT185" i="18" s="1"/>
  <c r="AU185" i="18" s="1"/>
  <c r="AV185" i="18" s="1"/>
  <c r="AW185" i="18" s="1"/>
  <c r="AX185" i="18" s="1"/>
  <c r="AO6" i="18"/>
  <c r="AP6" i="18" s="1"/>
  <c r="AQ6" i="18" s="1"/>
  <c r="AR6" i="18" s="1"/>
  <c r="AS6" i="18" s="1"/>
  <c r="AT6" i="18" s="1"/>
  <c r="AU6" i="18" s="1"/>
  <c r="AV6" i="18" s="1"/>
  <c r="AW6" i="18" s="1"/>
  <c r="AX6" i="18" s="1"/>
  <c r="AO387" i="18"/>
  <c r="AP387" i="18" s="1"/>
  <c r="AQ387" i="18" s="1"/>
  <c r="AR387" i="18" s="1"/>
  <c r="AS387" i="18" s="1"/>
  <c r="AT387" i="18" s="1"/>
  <c r="AU387" i="18" s="1"/>
  <c r="AV387" i="18" s="1"/>
  <c r="AW387" i="18" s="1"/>
  <c r="AX387" i="18" s="1"/>
  <c r="AO327" i="18"/>
  <c r="AP327" i="18" s="1"/>
  <c r="AQ327" i="18" s="1"/>
  <c r="AR327" i="18" s="1"/>
  <c r="AS327" i="18" s="1"/>
  <c r="AT327" i="18" s="1"/>
  <c r="AU327" i="18" s="1"/>
  <c r="AV327" i="18" s="1"/>
  <c r="AW327" i="18" s="1"/>
  <c r="AX327" i="18" s="1"/>
  <c r="AO77" i="18"/>
  <c r="AP77" i="18" s="1"/>
  <c r="AQ77" i="18" s="1"/>
  <c r="AR77" i="18" s="1"/>
  <c r="AS77" i="18" s="1"/>
  <c r="AT77" i="18" s="1"/>
  <c r="AU77" i="18" s="1"/>
  <c r="AV77" i="18" s="1"/>
  <c r="AW77" i="18" s="1"/>
  <c r="AX77" i="18" s="1"/>
  <c r="AO209" i="18"/>
  <c r="AP209" i="18" s="1"/>
  <c r="AQ209" i="18" s="1"/>
  <c r="AR209" i="18" s="1"/>
  <c r="AS209" i="18" s="1"/>
  <c r="AT209" i="18" s="1"/>
  <c r="AU209" i="18" s="1"/>
  <c r="AV209" i="18" s="1"/>
  <c r="AW209" i="18" s="1"/>
  <c r="AX209" i="18" s="1"/>
  <c r="AO383" i="18"/>
  <c r="AP383" i="18" s="1"/>
  <c r="AQ383" i="18" s="1"/>
  <c r="AR383" i="18" s="1"/>
  <c r="AS383" i="18" s="1"/>
  <c r="AT383" i="18" s="1"/>
  <c r="AU383" i="18" s="1"/>
  <c r="AV383" i="18" s="1"/>
  <c r="AW383" i="18" s="1"/>
  <c r="AX383" i="18" s="1"/>
  <c r="AO23" i="18"/>
  <c r="AP23" i="18" s="1"/>
  <c r="AQ23" i="18" s="1"/>
  <c r="AR23" i="18" s="1"/>
  <c r="AS23" i="18" s="1"/>
  <c r="AT23" i="18" s="1"/>
  <c r="AU23" i="18" s="1"/>
  <c r="AV23" i="18" s="1"/>
  <c r="AW23" i="18" s="1"/>
  <c r="AX23" i="18" s="1"/>
  <c r="AO24" i="18"/>
  <c r="AP24" i="18" s="1"/>
  <c r="AQ24" i="18" s="1"/>
  <c r="AR24" i="18" s="1"/>
  <c r="AS24" i="18" s="1"/>
  <c r="AT24" i="18" s="1"/>
  <c r="AU24" i="18" s="1"/>
  <c r="AV24" i="18" s="1"/>
  <c r="AW24" i="18" s="1"/>
  <c r="AX24" i="18" s="1"/>
  <c r="AO335" i="18"/>
  <c r="AP335" i="18" s="1"/>
  <c r="AQ335" i="18" s="1"/>
  <c r="AR335" i="18" s="1"/>
  <c r="AS335" i="18" s="1"/>
  <c r="AT335" i="18" s="1"/>
  <c r="AU335" i="18" s="1"/>
  <c r="AV335" i="18" s="1"/>
  <c r="AW335" i="18" s="1"/>
  <c r="AX335" i="18" s="1"/>
  <c r="AO443" i="18"/>
  <c r="AP443" i="18" s="1"/>
  <c r="AQ443" i="18" s="1"/>
  <c r="AR443" i="18" s="1"/>
  <c r="AS443" i="18" s="1"/>
  <c r="AT443" i="18" s="1"/>
  <c r="AU443" i="18" s="1"/>
  <c r="AV443" i="18" s="1"/>
  <c r="AW443" i="18" s="1"/>
  <c r="AX443" i="18" s="1"/>
  <c r="AO132" i="18"/>
  <c r="AP132" i="18" s="1"/>
  <c r="AQ132" i="18" s="1"/>
  <c r="AR132" i="18" s="1"/>
  <c r="AS132" i="18" s="1"/>
  <c r="AT132" i="18" s="1"/>
  <c r="AU132" i="18" s="1"/>
  <c r="AV132" i="18" s="1"/>
  <c r="AW132" i="18" s="1"/>
  <c r="AX132" i="18" s="1"/>
  <c r="AO180" i="18"/>
  <c r="AP180" i="18" s="1"/>
  <c r="AQ180" i="18" s="1"/>
  <c r="AR180" i="18" s="1"/>
  <c r="AS180" i="18" s="1"/>
  <c r="AT180" i="18" s="1"/>
  <c r="AU180" i="18" s="1"/>
  <c r="AV180" i="18" s="1"/>
  <c r="AW180" i="18" s="1"/>
  <c r="AX180" i="18" s="1"/>
  <c r="AO235" i="18"/>
  <c r="AP235" i="18" s="1"/>
  <c r="AQ235" i="18" s="1"/>
  <c r="AR235" i="18" s="1"/>
  <c r="AS235" i="18" s="1"/>
  <c r="AT235" i="18" s="1"/>
  <c r="AU235" i="18" s="1"/>
  <c r="AV235" i="18" s="1"/>
  <c r="AW235" i="18" s="1"/>
  <c r="AX235" i="18" s="1"/>
  <c r="AO156" i="18"/>
  <c r="AP156" i="18" s="1"/>
  <c r="AQ156" i="18" s="1"/>
  <c r="AR156" i="18" s="1"/>
  <c r="AS156" i="18" s="1"/>
  <c r="AT156" i="18" s="1"/>
  <c r="AU156" i="18" s="1"/>
  <c r="AV156" i="18" s="1"/>
  <c r="AW156" i="18" s="1"/>
  <c r="AX156" i="18" s="1"/>
  <c r="AO356" i="18"/>
  <c r="AP356" i="18" s="1"/>
  <c r="AQ356" i="18" s="1"/>
  <c r="AR356" i="18" s="1"/>
  <c r="AS356" i="18" s="1"/>
  <c r="AT356" i="18" s="1"/>
  <c r="AU356" i="18" s="1"/>
  <c r="AV356" i="18" s="1"/>
  <c r="AW356" i="18" s="1"/>
  <c r="AX356" i="18" s="1"/>
  <c r="AO329" i="18"/>
  <c r="AP329" i="18" s="1"/>
  <c r="AQ329" i="18" s="1"/>
  <c r="AR329" i="18" s="1"/>
  <c r="AS329" i="18" s="1"/>
  <c r="AT329" i="18" s="1"/>
  <c r="AU329" i="18" s="1"/>
  <c r="AV329" i="18" s="1"/>
  <c r="AW329" i="18" s="1"/>
  <c r="AX329" i="18" s="1"/>
  <c r="AO90" i="18"/>
  <c r="AP90" i="18" s="1"/>
  <c r="AQ90" i="18" s="1"/>
  <c r="AR90" i="18" s="1"/>
  <c r="AS90" i="18" s="1"/>
  <c r="AT90" i="18" s="1"/>
  <c r="AU90" i="18" s="1"/>
  <c r="AV90" i="18" s="1"/>
  <c r="AW90" i="18" s="1"/>
  <c r="AX90" i="18" s="1"/>
  <c r="AO206" i="18"/>
  <c r="AP206" i="18" s="1"/>
  <c r="AQ206" i="18" s="1"/>
  <c r="AR206" i="18" s="1"/>
  <c r="AS206" i="18" s="1"/>
  <c r="AT206" i="18" s="1"/>
  <c r="AU206" i="18" s="1"/>
  <c r="AV206" i="18" s="1"/>
  <c r="AW206" i="18" s="1"/>
  <c r="AX206" i="18" s="1"/>
  <c r="AO330" i="18"/>
  <c r="AP330" i="18" s="1"/>
  <c r="AQ330" i="18" s="1"/>
  <c r="AR330" i="18" s="1"/>
  <c r="AS330" i="18" s="1"/>
  <c r="AT330" i="18" s="1"/>
  <c r="AU330" i="18" s="1"/>
  <c r="AV330" i="18" s="1"/>
  <c r="AW330" i="18" s="1"/>
  <c r="AX330" i="18" s="1"/>
  <c r="AO269" i="18"/>
  <c r="AP269" i="18" s="1"/>
  <c r="AQ269" i="18" s="1"/>
  <c r="AR269" i="18" s="1"/>
  <c r="AS269" i="18" s="1"/>
  <c r="AT269" i="18" s="1"/>
  <c r="AU269" i="18" s="1"/>
  <c r="AV269" i="18" s="1"/>
  <c r="AW269" i="18" s="1"/>
  <c r="AX269" i="18" s="1"/>
  <c r="AO338" i="18"/>
  <c r="AP338" i="18" s="1"/>
  <c r="AQ338" i="18" s="1"/>
  <c r="AR338" i="18" s="1"/>
  <c r="AS338" i="18" s="1"/>
  <c r="AT338" i="18" s="1"/>
  <c r="AU338" i="18" s="1"/>
  <c r="AV338" i="18" s="1"/>
  <c r="AW338" i="18" s="1"/>
  <c r="AX338" i="18" s="1"/>
  <c r="AO124" i="18"/>
  <c r="AP124" i="18" s="1"/>
  <c r="AQ124" i="18" s="1"/>
  <c r="AR124" i="18" s="1"/>
  <c r="AS124" i="18" s="1"/>
  <c r="AT124" i="18" s="1"/>
  <c r="AU124" i="18" s="1"/>
  <c r="AV124" i="18" s="1"/>
  <c r="AW124" i="18" s="1"/>
  <c r="AX124" i="18" s="1"/>
  <c r="AO402" i="18"/>
  <c r="AP402" i="18" s="1"/>
  <c r="AQ402" i="18" s="1"/>
  <c r="AR402" i="18" s="1"/>
  <c r="AS402" i="18" s="1"/>
  <c r="AT402" i="18" s="1"/>
  <c r="AU402" i="18" s="1"/>
  <c r="AV402" i="18" s="1"/>
  <c r="AW402" i="18" s="1"/>
  <c r="AX402" i="18" s="1"/>
  <c r="AO351" i="18"/>
  <c r="AP351" i="18" s="1"/>
  <c r="AQ351" i="18" s="1"/>
  <c r="AR351" i="18" s="1"/>
  <c r="AS351" i="18" s="1"/>
  <c r="AT351" i="18" s="1"/>
  <c r="AU351" i="18" s="1"/>
  <c r="AV351" i="18" s="1"/>
  <c r="AW351" i="18" s="1"/>
  <c r="AX351" i="18" s="1"/>
  <c r="AO26" i="18"/>
  <c r="AP26" i="18" s="1"/>
  <c r="AQ26" i="18" s="1"/>
  <c r="AR26" i="18" s="1"/>
  <c r="AS26" i="18" s="1"/>
  <c r="AT26" i="18" s="1"/>
  <c r="AU26" i="18" s="1"/>
  <c r="AV26" i="18" s="1"/>
  <c r="AW26" i="18" s="1"/>
  <c r="AX26" i="18" s="1"/>
  <c r="AO75" i="18"/>
  <c r="AP75" i="18" s="1"/>
  <c r="AQ75" i="18" s="1"/>
  <c r="AR75" i="18" s="1"/>
  <c r="AS75" i="18" s="1"/>
  <c r="AT75" i="18" s="1"/>
  <c r="AU75" i="18" s="1"/>
  <c r="AV75" i="18" s="1"/>
  <c r="AW75" i="18" s="1"/>
  <c r="AX75" i="18" s="1"/>
  <c r="AO373" i="18"/>
  <c r="AP373" i="18" s="1"/>
  <c r="AQ373" i="18" s="1"/>
  <c r="AR373" i="18" s="1"/>
  <c r="AS373" i="18" s="1"/>
  <c r="AT373" i="18" s="1"/>
  <c r="AU373" i="18" s="1"/>
  <c r="AV373" i="18" s="1"/>
  <c r="AW373" i="18" s="1"/>
  <c r="AX373" i="18" s="1"/>
  <c r="AO58" i="18"/>
  <c r="AP58" i="18" s="1"/>
  <c r="AQ58" i="18" s="1"/>
  <c r="AR58" i="18" s="1"/>
  <c r="AS58" i="18" s="1"/>
  <c r="AT58" i="18" s="1"/>
  <c r="AU58" i="18" s="1"/>
  <c r="AV58" i="18" s="1"/>
  <c r="AW58" i="18" s="1"/>
  <c r="AX58" i="18" s="1"/>
  <c r="AO149" i="18"/>
  <c r="AP149" i="18" s="1"/>
  <c r="AQ149" i="18" s="1"/>
  <c r="AR149" i="18" s="1"/>
  <c r="AS149" i="18" s="1"/>
  <c r="AT149" i="18" s="1"/>
  <c r="AU149" i="18" s="1"/>
  <c r="AV149" i="18" s="1"/>
  <c r="AW149" i="18" s="1"/>
  <c r="AX149" i="18" s="1"/>
  <c r="AO380" i="18"/>
  <c r="AP380" i="18" s="1"/>
  <c r="AQ380" i="18" s="1"/>
  <c r="AR380" i="18" s="1"/>
  <c r="AS380" i="18" s="1"/>
  <c r="AT380" i="18" s="1"/>
  <c r="AU380" i="18" s="1"/>
  <c r="AV380" i="18" s="1"/>
  <c r="AW380" i="18" s="1"/>
  <c r="AX380" i="18" s="1"/>
  <c r="AO49" i="18"/>
  <c r="AP49" i="18" s="1"/>
  <c r="AQ49" i="18" s="1"/>
  <c r="AR49" i="18" s="1"/>
  <c r="AS49" i="18" s="1"/>
  <c r="AT49" i="18" s="1"/>
  <c r="AU49" i="18" s="1"/>
  <c r="AV49" i="18" s="1"/>
  <c r="AW49" i="18" s="1"/>
  <c r="AX49" i="18" s="1"/>
  <c r="AO72" i="18"/>
  <c r="AP72" i="18" s="1"/>
  <c r="AQ72" i="18" s="1"/>
  <c r="AR72" i="18" s="1"/>
  <c r="AS72" i="18" s="1"/>
  <c r="AT72" i="18" s="1"/>
  <c r="AU72" i="18" s="1"/>
  <c r="AV72" i="18" s="1"/>
  <c r="AW72" i="18" s="1"/>
  <c r="AX72" i="18" s="1"/>
  <c r="AO21" i="18"/>
  <c r="AP21" i="18" s="1"/>
  <c r="AQ21" i="18" s="1"/>
  <c r="AR21" i="18" s="1"/>
  <c r="AS21" i="18" s="1"/>
  <c r="AT21" i="18" s="1"/>
  <c r="AU21" i="18" s="1"/>
  <c r="AV21" i="18" s="1"/>
  <c r="AW21" i="18" s="1"/>
  <c r="AX21" i="18" s="1"/>
  <c r="AO352" i="18"/>
  <c r="AP352" i="18" s="1"/>
  <c r="AQ352" i="18" s="1"/>
  <c r="AR352" i="18" s="1"/>
  <c r="AS352" i="18" s="1"/>
  <c r="AT352" i="18" s="1"/>
  <c r="AU352" i="18" s="1"/>
  <c r="AV352" i="18" s="1"/>
  <c r="AW352" i="18" s="1"/>
  <c r="AX352" i="18" s="1"/>
  <c r="AO441" i="18"/>
  <c r="AP441" i="18" s="1"/>
  <c r="AQ441" i="18" s="1"/>
  <c r="AR441" i="18" s="1"/>
  <c r="AS441" i="18" s="1"/>
  <c r="AT441" i="18" s="1"/>
  <c r="AU441" i="18" s="1"/>
  <c r="AV441" i="18" s="1"/>
  <c r="AW441" i="18" s="1"/>
  <c r="AX441" i="18" s="1"/>
  <c r="AO98" i="18"/>
  <c r="AP98" i="18" s="1"/>
  <c r="AQ98" i="18" s="1"/>
  <c r="AR98" i="18" s="1"/>
  <c r="AS98" i="18" s="1"/>
  <c r="AT98" i="18" s="1"/>
  <c r="AU98" i="18" s="1"/>
  <c r="AV98" i="18" s="1"/>
  <c r="AW98" i="18" s="1"/>
  <c r="AX98" i="18" s="1"/>
  <c r="AO389" i="18"/>
  <c r="AP389" i="18" s="1"/>
  <c r="AQ389" i="18" s="1"/>
  <c r="AR389" i="18" s="1"/>
  <c r="AS389" i="18" s="1"/>
  <c r="AT389" i="18" s="1"/>
  <c r="AU389" i="18" s="1"/>
  <c r="AV389" i="18" s="1"/>
  <c r="AW389" i="18" s="1"/>
  <c r="AX389" i="18" s="1"/>
  <c r="AO217" i="18"/>
  <c r="AP217" i="18" s="1"/>
  <c r="AQ217" i="18" s="1"/>
  <c r="AR217" i="18" s="1"/>
  <c r="AS217" i="18" s="1"/>
  <c r="AT217" i="18" s="1"/>
  <c r="AU217" i="18" s="1"/>
  <c r="AV217" i="18" s="1"/>
  <c r="AW217" i="18" s="1"/>
  <c r="AX217" i="18" s="1"/>
  <c r="AO340" i="18"/>
  <c r="AP340" i="18" s="1"/>
  <c r="AQ340" i="18" s="1"/>
  <c r="AR340" i="18" s="1"/>
  <c r="AS340" i="18" s="1"/>
  <c r="AT340" i="18" s="1"/>
  <c r="AU340" i="18" s="1"/>
  <c r="AV340" i="18" s="1"/>
  <c r="AW340" i="18" s="1"/>
  <c r="AX340" i="18" s="1"/>
  <c r="AO370" i="18"/>
  <c r="AP370" i="18" s="1"/>
  <c r="AQ370" i="18" s="1"/>
  <c r="AR370" i="18" s="1"/>
  <c r="AS370" i="18" s="1"/>
  <c r="AT370" i="18" s="1"/>
  <c r="AU370" i="18" s="1"/>
  <c r="AV370" i="18" s="1"/>
  <c r="AW370" i="18" s="1"/>
  <c r="AX370" i="18" s="1"/>
  <c r="AO94" i="18"/>
  <c r="AP94" i="18" s="1"/>
  <c r="AQ94" i="18" s="1"/>
  <c r="AR94" i="18" s="1"/>
  <c r="AS94" i="18" s="1"/>
  <c r="AT94" i="18" s="1"/>
  <c r="AU94" i="18" s="1"/>
  <c r="AV94" i="18" s="1"/>
  <c r="AW94" i="18" s="1"/>
  <c r="AX94" i="18" s="1"/>
  <c r="AO229" i="18"/>
  <c r="AP229" i="18" s="1"/>
  <c r="AQ229" i="18" s="1"/>
  <c r="AR229" i="18" s="1"/>
  <c r="AS229" i="18" s="1"/>
  <c r="AT229" i="18" s="1"/>
  <c r="AU229" i="18" s="1"/>
  <c r="AV229" i="18" s="1"/>
  <c r="AW229" i="18" s="1"/>
  <c r="AX229" i="18" s="1"/>
  <c r="AO437" i="18"/>
  <c r="AP437" i="18" s="1"/>
  <c r="AQ437" i="18" s="1"/>
  <c r="AR437" i="18" s="1"/>
  <c r="AS437" i="18" s="1"/>
  <c r="AT437" i="18" s="1"/>
  <c r="AU437" i="18" s="1"/>
  <c r="AV437" i="18" s="1"/>
  <c r="AW437" i="18" s="1"/>
  <c r="AX437" i="18" s="1"/>
  <c r="AO386" i="18"/>
  <c r="AP386" i="18" s="1"/>
  <c r="AQ386" i="18" s="1"/>
  <c r="AR386" i="18" s="1"/>
  <c r="AS386" i="18" s="1"/>
  <c r="AT386" i="18" s="1"/>
  <c r="AU386" i="18" s="1"/>
  <c r="AV386" i="18" s="1"/>
  <c r="AW386" i="18" s="1"/>
  <c r="AX386" i="18" s="1"/>
  <c r="AO360" i="18"/>
  <c r="AP360" i="18" s="1"/>
  <c r="AQ360" i="18" s="1"/>
  <c r="AR360" i="18" s="1"/>
  <c r="AS360" i="18" s="1"/>
  <c r="AT360" i="18" s="1"/>
  <c r="AU360" i="18" s="1"/>
  <c r="AV360" i="18" s="1"/>
  <c r="AW360" i="18" s="1"/>
  <c r="AX360" i="18" s="1"/>
  <c r="AO151" i="18"/>
  <c r="AP151" i="18" s="1"/>
  <c r="AQ151" i="18" s="1"/>
  <c r="AR151" i="18" s="1"/>
  <c r="AS151" i="18" s="1"/>
  <c r="AT151" i="18" s="1"/>
  <c r="AU151" i="18" s="1"/>
  <c r="AV151" i="18" s="1"/>
  <c r="AW151" i="18" s="1"/>
  <c r="AX151" i="18" s="1"/>
  <c r="AO415" i="18"/>
  <c r="AP415" i="18" s="1"/>
  <c r="AQ415" i="18" s="1"/>
  <c r="AR415" i="18" s="1"/>
  <c r="AS415" i="18" s="1"/>
  <c r="AT415" i="18" s="1"/>
  <c r="AU415" i="18" s="1"/>
  <c r="AV415" i="18" s="1"/>
  <c r="AW415" i="18" s="1"/>
  <c r="AX415" i="18" s="1"/>
  <c r="AO55" i="18"/>
  <c r="AP55" i="18" s="1"/>
  <c r="AQ55" i="18" s="1"/>
  <c r="AR55" i="18" s="1"/>
  <c r="AS55" i="18" s="1"/>
  <c r="AT55" i="18" s="1"/>
  <c r="AU55" i="18" s="1"/>
  <c r="AV55" i="18" s="1"/>
  <c r="AW55" i="18" s="1"/>
  <c r="AX55" i="18" s="1"/>
  <c r="AO141" i="18"/>
  <c r="AP141" i="18" s="1"/>
  <c r="AQ141" i="18" s="1"/>
  <c r="AR141" i="18" s="1"/>
  <c r="AS141" i="18" s="1"/>
  <c r="AT141" i="18" s="1"/>
  <c r="AU141" i="18" s="1"/>
  <c r="AV141" i="18" s="1"/>
  <c r="AW141" i="18" s="1"/>
  <c r="AX141" i="18" s="1"/>
  <c r="AO391" i="18"/>
  <c r="AP391" i="18" s="1"/>
  <c r="AQ391" i="18" s="1"/>
  <c r="AR391" i="18" s="1"/>
  <c r="AS391" i="18" s="1"/>
  <c r="AT391" i="18" s="1"/>
  <c r="AU391" i="18" s="1"/>
  <c r="AV391" i="18" s="1"/>
  <c r="AW391" i="18" s="1"/>
  <c r="AX391" i="18" s="1"/>
  <c r="AO138" i="18"/>
  <c r="AP138" i="18" s="1"/>
  <c r="AQ138" i="18" s="1"/>
  <c r="AR138" i="18" s="1"/>
  <c r="AS138" i="18" s="1"/>
  <c r="AT138" i="18" s="1"/>
  <c r="AU138" i="18" s="1"/>
  <c r="AV138" i="18" s="1"/>
  <c r="AW138" i="18" s="1"/>
  <c r="AX138" i="18" s="1"/>
  <c r="AO400" i="18"/>
  <c r="AP400" i="18" s="1"/>
  <c r="AQ400" i="18" s="1"/>
  <c r="AR400" i="18" s="1"/>
  <c r="AS400" i="18" s="1"/>
  <c r="AT400" i="18" s="1"/>
  <c r="AU400" i="18" s="1"/>
  <c r="AV400" i="18" s="1"/>
  <c r="AW400" i="18" s="1"/>
  <c r="AX400" i="18" s="1"/>
  <c r="AO412" i="18"/>
  <c r="AP412" i="18" s="1"/>
  <c r="AQ412" i="18" s="1"/>
  <c r="AR412" i="18" s="1"/>
  <c r="AS412" i="18" s="1"/>
  <c r="AT412" i="18" s="1"/>
  <c r="AU412" i="18" s="1"/>
  <c r="AV412" i="18" s="1"/>
  <c r="AW412" i="18" s="1"/>
  <c r="AX412" i="18" s="1"/>
  <c r="AO144" i="18"/>
  <c r="AP144" i="18" s="1"/>
  <c r="AQ144" i="18" s="1"/>
  <c r="AR144" i="18" s="1"/>
  <c r="AS144" i="18" s="1"/>
  <c r="AT144" i="18" s="1"/>
  <c r="AU144" i="18" s="1"/>
  <c r="AV144" i="18" s="1"/>
  <c r="AW144" i="18" s="1"/>
  <c r="AX144" i="18" s="1"/>
  <c r="AO173" i="18"/>
  <c r="AP173" i="18" s="1"/>
  <c r="AQ173" i="18" s="1"/>
  <c r="AR173" i="18" s="1"/>
  <c r="AS173" i="18" s="1"/>
  <c r="AT173" i="18" s="1"/>
  <c r="AU173" i="18" s="1"/>
  <c r="AV173" i="18" s="1"/>
  <c r="AW173" i="18" s="1"/>
  <c r="AX173" i="18" s="1"/>
  <c r="AO92" i="18"/>
  <c r="AP92" i="18" s="1"/>
  <c r="AQ92" i="18" s="1"/>
  <c r="AR92" i="18" s="1"/>
  <c r="AS92" i="18" s="1"/>
  <c r="AT92" i="18" s="1"/>
  <c r="AU92" i="18" s="1"/>
  <c r="AV92" i="18" s="1"/>
  <c r="AW92" i="18" s="1"/>
  <c r="AX92" i="18" s="1"/>
  <c r="AO225" i="18"/>
  <c r="AP225" i="18" s="1"/>
  <c r="AQ225" i="18" s="1"/>
  <c r="AR225" i="18" s="1"/>
  <c r="AS225" i="18" s="1"/>
  <c r="AT225" i="18" s="1"/>
  <c r="AU225" i="18" s="1"/>
  <c r="AV225" i="18" s="1"/>
  <c r="AW225" i="18" s="1"/>
  <c r="AX225" i="18" s="1"/>
  <c r="AO167" i="18"/>
  <c r="AP167" i="18" s="1"/>
  <c r="AQ167" i="18" s="1"/>
  <c r="AR167" i="18" s="1"/>
  <c r="AS167" i="18" s="1"/>
  <c r="AT167" i="18" s="1"/>
  <c r="AU167" i="18" s="1"/>
  <c r="AV167" i="18" s="1"/>
  <c r="AW167" i="18" s="1"/>
  <c r="AX167" i="18" s="1"/>
  <c r="AO346" i="18"/>
  <c r="AP346" i="18" s="1"/>
  <c r="AQ346" i="18" s="1"/>
  <c r="AR346" i="18" s="1"/>
  <c r="AS346" i="18" s="1"/>
  <c r="AT346" i="18" s="1"/>
  <c r="AU346" i="18" s="1"/>
  <c r="AV346" i="18" s="1"/>
  <c r="AW346" i="18" s="1"/>
  <c r="AX346" i="18" s="1"/>
  <c r="AO45" i="18"/>
  <c r="AP45" i="18" s="1"/>
  <c r="AQ45" i="18" s="1"/>
  <c r="AR45" i="18" s="1"/>
  <c r="AS45" i="18" s="1"/>
  <c r="AT45" i="18" s="1"/>
  <c r="AU45" i="18" s="1"/>
  <c r="AV45" i="18" s="1"/>
  <c r="AW45" i="18" s="1"/>
  <c r="AX45" i="18" s="1"/>
  <c r="AO53" i="18"/>
  <c r="AP53" i="18" s="1"/>
  <c r="AQ53" i="18" s="1"/>
  <c r="AR53" i="18" s="1"/>
  <c r="AS53" i="18" s="1"/>
  <c r="AT53" i="18" s="1"/>
  <c r="AU53" i="18" s="1"/>
  <c r="AV53" i="18" s="1"/>
  <c r="AW53" i="18" s="1"/>
  <c r="AX53" i="18" s="1"/>
  <c r="AO221" i="18"/>
  <c r="AP221" i="18" s="1"/>
  <c r="AQ221" i="18" s="1"/>
  <c r="AR221" i="18" s="1"/>
  <c r="AS221" i="18" s="1"/>
  <c r="AT221" i="18" s="1"/>
  <c r="AU221" i="18" s="1"/>
  <c r="AV221" i="18" s="1"/>
  <c r="AW221" i="18" s="1"/>
  <c r="AX221" i="18" s="1"/>
  <c r="AO434" i="18"/>
  <c r="AP434" i="18" s="1"/>
  <c r="AQ434" i="18" s="1"/>
  <c r="AR434" i="18" s="1"/>
  <c r="AS434" i="18" s="1"/>
  <c r="AT434" i="18" s="1"/>
  <c r="AU434" i="18" s="1"/>
  <c r="AV434" i="18" s="1"/>
  <c r="AW434" i="18" s="1"/>
  <c r="AX434" i="18" s="1"/>
  <c r="AO388" i="18"/>
  <c r="AP388" i="18" s="1"/>
  <c r="AQ388" i="18" s="1"/>
  <c r="AR388" i="18" s="1"/>
  <c r="AS388" i="18" s="1"/>
  <c r="AT388" i="18" s="1"/>
  <c r="AU388" i="18" s="1"/>
  <c r="AV388" i="18" s="1"/>
  <c r="AW388" i="18" s="1"/>
  <c r="AX388" i="18" s="1"/>
  <c r="AO395" i="18"/>
  <c r="AP395" i="18" s="1"/>
  <c r="AQ395" i="18" s="1"/>
  <c r="AR395" i="18" s="1"/>
  <c r="AS395" i="18" s="1"/>
  <c r="AT395" i="18" s="1"/>
  <c r="AU395" i="18" s="1"/>
  <c r="AV395" i="18" s="1"/>
  <c r="AW395" i="18" s="1"/>
  <c r="AX395" i="18" s="1"/>
  <c r="AO362" i="18"/>
  <c r="AP362" i="18" s="1"/>
  <c r="AQ362" i="18" s="1"/>
  <c r="AR362" i="18" s="1"/>
  <c r="AS362" i="18" s="1"/>
  <c r="AT362" i="18" s="1"/>
  <c r="AU362" i="18" s="1"/>
  <c r="AV362" i="18" s="1"/>
  <c r="AW362" i="18" s="1"/>
  <c r="AX362" i="18" s="1"/>
  <c r="AO16" i="18"/>
  <c r="AP16" i="18" s="1"/>
  <c r="AQ16" i="18" s="1"/>
  <c r="AR16" i="18" s="1"/>
  <c r="AS16" i="18" s="1"/>
  <c r="AT16" i="18" s="1"/>
  <c r="AU16" i="18" s="1"/>
  <c r="AV16" i="18" s="1"/>
  <c r="AW16" i="18" s="1"/>
  <c r="AX16" i="18" s="1"/>
  <c r="AO7" i="18"/>
  <c r="AP7" i="18" s="1"/>
  <c r="AQ7" i="18" s="1"/>
  <c r="AR7" i="18" s="1"/>
  <c r="AS7" i="18" s="1"/>
  <c r="AT7" i="18" s="1"/>
  <c r="AU7" i="18" s="1"/>
  <c r="AV7" i="18" s="1"/>
  <c r="AW7" i="18" s="1"/>
  <c r="AX7" i="18" s="1"/>
  <c r="AO114" i="18"/>
  <c r="AP114" i="18" s="1"/>
  <c r="AQ114" i="18" s="1"/>
  <c r="AR114" i="18" s="1"/>
  <c r="AS114" i="18" s="1"/>
  <c r="AT114" i="18" s="1"/>
  <c r="AU114" i="18" s="1"/>
  <c r="AV114" i="18" s="1"/>
  <c r="AW114" i="18" s="1"/>
  <c r="AX114" i="18" s="1"/>
  <c r="AO436" i="18"/>
  <c r="AP436" i="18" s="1"/>
  <c r="AQ436" i="18" s="1"/>
  <c r="AR436" i="18" s="1"/>
  <c r="AS436" i="18" s="1"/>
  <c r="AT436" i="18" s="1"/>
  <c r="AU436" i="18" s="1"/>
  <c r="AV436" i="18" s="1"/>
  <c r="AW436" i="18" s="1"/>
  <c r="AX436" i="18" s="1"/>
  <c r="AO108" i="18"/>
  <c r="AP108" i="18" s="1"/>
  <c r="AQ108" i="18" s="1"/>
  <c r="AR108" i="18" s="1"/>
  <c r="AS108" i="18" s="1"/>
  <c r="AT108" i="18" s="1"/>
  <c r="AU108" i="18" s="1"/>
  <c r="AV108" i="18" s="1"/>
  <c r="AW108" i="18" s="1"/>
  <c r="AX108" i="18" s="1"/>
  <c r="AO374" i="18"/>
  <c r="AP374" i="18" s="1"/>
  <c r="AQ374" i="18" s="1"/>
  <c r="AR374" i="18" s="1"/>
  <c r="AS374" i="18" s="1"/>
  <c r="AT374" i="18" s="1"/>
  <c r="AU374" i="18" s="1"/>
  <c r="AV374" i="18" s="1"/>
  <c r="AW374" i="18" s="1"/>
  <c r="AX374" i="18" s="1"/>
  <c r="AO87" i="18"/>
  <c r="AP87" i="18" s="1"/>
  <c r="AQ87" i="18" s="1"/>
  <c r="AR87" i="18" s="1"/>
  <c r="AS87" i="18" s="1"/>
  <c r="AT87" i="18" s="1"/>
  <c r="AU87" i="18" s="1"/>
  <c r="AV87" i="18" s="1"/>
  <c r="AW87" i="18" s="1"/>
  <c r="AX87" i="18" s="1"/>
  <c r="AO215" i="18"/>
  <c r="AP215" i="18" s="1"/>
  <c r="AQ215" i="18" s="1"/>
  <c r="AR215" i="18" s="1"/>
  <c r="AS215" i="18" s="1"/>
  <c r="AT215" i="18" s="1"/>
  <c r="AU215" i="18" s="1"/>
  <c r="AV215" i="18" s="1"/>
  <c r="AW215" i="18" s="1"/>
  <c r="AX215" i="18" s="1"/>
  <c r="AO398" i="18"/>
  <c r="AP398" i="18" s="1"/>
  <c r="AQ398" i="18" s="1"/>
  <c r="AR398" i="18" s="1"/>
  <c r="AS398" i="18" s="1"/>
  <c r="AT398" i="18" s="1"/>
  <c r="AU398" i="18" s="1"/>
  <c r="AV398" i="18" s="1"/>
  <c r="AW398" i="18" s="1"/>
  <c r="AX398" i="18" s="1"/>
  <c r="AO432" i="18"/>
  <c r="AP432" i="18" s="1"/>
  <c r="AQ432" i="18" s="1"/>
  <c r="AR432" i="18" s="1"/>
  <c r="AS432" i="18" s="1"/>
  <c r="AT432" i="18" s="1"/>
  <c r="AU432" i="18" s="1"/>
  <c r="AV432" i="18" s="1"/>
  <c r="AW432" i="18" s="1"/>
  <c r="AX432" i="18" s="1"/>
  <c r="AO372" i="18"/>
  <c r="AP372" i="18" s="1"/>
  <c r="AQ372" i="18" s="1"/>
  <c r="AR372" i="18" s="1"/>
  <c r="AS372" i="18" s="1"/>
  <c r="AT372" i="18" s="1"/>
  <c r="AU372" i="18" s="1"/>
  <c r="AV372" i="18" s="1"/>
  <c r="AW372" i="18" s="1"/>
  <c r="AX372" i="18" s="1"/>
  <c r="AO354" i="18"/>
  <c r="AP354" i="18" s="1"/>
  <c r="AQ354" i="18" s="1"/>
  <c r="AR354" i="18" s="1"/>
  <c r="AS354" i="18" s="1"/>
  <c r="AT354" i="18" s="1"/>
  <c r="AU354" i="18" s="1"/>
  <c r="AV354" i="18" s="1"/>
  <c r="AW354" i="18" s="1"/>
  <c r="AX354" i="18" s="1"/>
  <c r="AO104" i="18"/>
  <c r="AP104" i="18" s="1"/>
  <c r="AQ104" i="18" s="1"/>
  <c r="AR104" i="18" s="1"/>
  <c r="AS104" i="18" s="1"/>
  <c r="AT104" i="18" s="1"/>
  <c r="AU104" i="18" s="1"/>
  <c r="AV104" i="18" s="1"/>
  <c r="AW104" i="18" s="1"/>
  <c r="AX104" i="18" s="1"/>
  <c r="AO13" i="18"/>
  <c r="AP13" i="18" s="1"/>
  <c r="AQ13" i="18" s="1"/>
  <c r="AR13" i="18" s="1"/>
  <c r="AS13" i="18" s="1"/>
  <c r="AT13" i="18" s="1"/>
  <c r="AU13" i="18" s="1"/>
  <c r="AV13" i="18" s="1"/>
  <c r="AW13" i="18" s="1"/>
  <c r="AX13" i="18" s="1"/>
  <c r="AO405" i="18"/>
  <c r="AP405" i="18" s="1"/>
  <c r="AQ405" i="18" s="1"/>
  <c r="AR405" i="18" s="1"/>
  <c r="AS405" i="18" s="1"/>
  <c r="AT405" i="18" s="1"/>
  <c r="AU405" i="18" s="1"/>
  <c r="AV405" i="18" s="1"/>
  <c r="AW405" i="18" s="1"/>
  <c r="AX405" i="18" s="1"/>
  <c r="AO183" i="18"/>
  <c r="AP183" i="18" s="1"/>
  <c r="AQ183" i="18" s="1"/>
  <c r="AR183" i="18" s="1"/>
  <c r="AS183" i="18" s="1"/>
  <c r="AT183" i="18" s="1"/>
  <c r="AU183" i="18" s="1"/>
  <c r="AV183" i="18" s="1"/>
  <c r="AW183" i="18" s="1"/>
  <c r="AX183" i="18" s="1"/>
  <c r="AO112" i="18"/>
  <c r="AP112" i="18" s="1"/>
  <c r="AQ112" i="18" s="1"/>
  <c r="AR112" i="18" s="1"/>
  <c r="AS112" i="18" s="1"/>
  <c r="AT112" i="18" s="1"/>
  <c r="AU112" i="18" s="1"/>
  <c r="AV112" i="18" s="1"/>
  <c r="AW112" i="18" s="1"/>
  <c r="AX112" i="18" s="1"/>
  <c r="AO68" i="18"/>
  <c r="AP68" i="18" s="1"/>
  <c r="AQ68" i="18" s="1"/>
  <c r="AR68" i="18" s="1"/>
  <c r="AS68" i="18" s="1"/>
  <c r="AT68" i="18" s="1"/>
  <c r="AU68" i="18" s="1"/>
  <c r="AV68" i="18" s="1"/>
  <c r="AW68" i="18" s="1"/>
  <c r="AX68" i="18" s="1"/>
  <c r="AO166" i="18"/>
  <c r="AP166" i="18" s="1"/>
  <c r="AQ166" i="18" s="1"/>
  <c r="AR166" i="18" s="1"/>
  <c r="AS166" i="18" s="1"/>
  <c r="AT166" i="18" s="1"/>
  <c r="AU166" i="18" s="1"/>
  <c r="AV166" i="18" s="1"/>
  <c r="AW166" i="18" s="1"/>
  <c r="AX166" i="18" s="1"/>
  <c r="AO416" i="18"/>
  <c r="AP416" i="18" s="1"/>
  <c r="AQ416" i="18" s="1"/>
  <c r="AR416" i="18" s="1"/>
  <c r="AS416" i="18" s="1"/>
  <c r="AT416" i="18" s="1"/>
  <c r="AU416" i="18" s="1"/>
  <c r="AV416" i="18" s="1"/>
  <c r="AW416" i="18" s="1"/>
  <c r="AX416" i="18" s="1"/>
  <c r="AO331" i="18"/>
  <c r="AP331" i="18" s="1"/>
  <c r="AQ331" i="18" s="1"/>
  <c r="AR331" i="18" s="1"/>
  <c r="AS331" i="18" s="1"/>
  <c r="AT331" i="18" s="1"/>
  <c r="AU331" i="18" s="1"/>
  <c r="AV331" i="18" s="1"/>
  <c r="AW331" i="18" s="1"/>
  <c r="AX331" i="18" s="1"/>
  <c r="AO136" i="18"/>
  <c r="AP136" i="18" s="1"/>
  <c r="AQ136" i="18" s="1"/>
  <c r="AR136" i="18" s="1"/>
  <c r="AS136" i="18" s="1"/>
  <c r="AT136" i="18" s="1"/>
  <c r="AU136" i="18" s="1"/>
  <c r="AV136" i="18" s="1"/>
  <c r="AW136" i="18" s="1"/>
  <c r="AX136" i="18" s="1"/>
  <c r="AO125" i="18"/>
  <c r="AP125" i="18" s="1"/>
  <c r="AQ125" i="18" s="1"/>
  <c r="AR125" i="18" s="1"/>
  <c r="AS125" i="18" s="1"/>
  <c r="AT125" i="18" s="1"/>
  <c r="AU125" i="18" s="1"/>
  <c r="AV125" i="18" s="1"/>
  <c r="AW125" i="18" s="1"/>
  <c r="AX125" i="18" s="1"/>
  <c r="AO438" i="18"/>
  <c r="AP438" i="18" s="1"/>
  <c r="AQ438" i="18" s="1"/>
  <c r="AR438" i="18" s="1"/>
  <c r="AS438" i="18" s="1"/>
  <c r="AT438" i="18" s="1"/>
  <c r="AU438" i="18" s="1"/>
  <c r="AV438" i="18" s="1"/>
  <c r="AW438" i="18" s="1"/>
  <c r="AX438" i="18" s="1"/>
  <c r="AO160" i="18"/>
  <c r="AP160" i="18" s="1"/>
  <c r="AQ160" i="18" s="1"/>
  <c r="AR160" i="18" s="1"/>
  <c r="AS160" i="18" s="1"/>
  <c r="AT160" i="18" s="1"/>
  <c r="AU160" i="18" s="1"/>
  <c r="AV160" i="18" s="1"/>
  <c r="AW160" i="18" s="1"/>
  <c r="AX160" i="18" s="1"/>
  <c r="AO236" i="18"/>
  <c r="AP236" i="18" s="1"/>
  <c r="AQ236" i="18" s="1"/>
  <c r="AR236" i="18" s="1"/>
  <c r="AS236" i="18" s="1"/>
  <c r="AT236" i="18" s="1"/>
  <c r="AU236" i="18" s="1"/>
  <c r="AV236" i="18" s="1"/>
  <c r="AW236" i="18" s="1"/>
  <c r="AX236" i="18" s="1"/>
  <c r="AO116" i="18"/>
  <c r="AP116" i="18" s="1"/>
  <c r="AQ116" i="18" s="1"/>
  <c r="AR116" i="18" s="1"/>
  <c r="AS116" i="18" s="1"/>
  <c r="AT116" i="18" s="1"/>
  <c r="AU116" i="18" s="1"/>
  <c r="AV116" i="18" s="1"/>
  <c r="AW116" i="18" s="1"/>
  <c r="AX116" i="18" s="1"/>
  <c r="AO212" i="18"/>
  <c r="AP212" i="18" s="1"/>
  <c r="AQ212" i="18" s="1"/>
  <c r="AR212" i="18" s="1"/>
  <c r="AS212" i="18" s="1"/>
  <c r="AT212" i="18" s="1"/>
  <c r="AU212" i="18" s="1"/>
  <c r="AV212" i="18" s="1"/>
  <c r="AW212" i="18" s="1"/>
  <c r="AX212" i="18" s="1"/>
  <c r="AO60" i="18"/>
  <c r="AP60" i="18" s="1"/>
  <c r="AQ60" i="18" s="1"/>
  <c r="AR60" i="18" s="1"/>
  <c r="AS60" i="18" s="1"/>
  <c r="AT60" i="18" s="1"/>
  <c r="AU60" i="18" s="1"/>
  <c r="AV60" i="18" s="1"/>
  <c r="AW60" i="18" s="1"/>
  <c r="AX60" i="18" s="1"/>
  <c r="AO227" i="18"/>
  <c r="AP227" i="18" s="1"/>
  <c r="AQ227" i="18" s="1"/>
  <c r="AR227" i="18" s="1"/>
  <c r="AS227" i="18" s="1"/>
  <c r="AT227" i="18" s="1"/>
  <c r="AU227" i="18" s="1"/>
  <c r="AV227" i="18" s="1"/>
  <c r="AW227" i="18" s="1"/>
  <c r="AX227" i="18" s="1"/>
  <c r="AO89" i="18"/>
  <c r="AP89" i="18" s="1"/>
  <c r="AQ89" i="18" s="1"/>
  <c r="AR89" i="18" s="1"/>
  <c r="AS89" i="18" s="1"/>
  <c r="AT89" i="18" s="1"/>
  <c r="AU89" i="18" s="1"/>
  <c r="AV89" i="18" s="1"/>
  <c r="AW89" i="18" s="1"/>
  <c r="AX89" i="18" s="1"/>
  <c r="AO110" i="18"/>
  <c r="AP110" i="18" s="1"/>
  <c r="AQ110" i="18" s="1"/>
  <c r="AR110" i="18" s="1"/>
  <c r="AS110" i="18" s="1"/>
  <c r="AT110" i="18" s="1"/>
  <c r="AU110" i="18" s="1"/>
  <c r="AV110" i="18" s="1"/>
  <c r="AW110" i="18" s="1"/>
  <c r="AX110" i="18" s="1"/>
  <c r="AO35" i="18"/>
  <c r="AP35" i="18" s="1"/>
  <c r="AQ35" i="18" s="1"/>
  <c r="AR35" i="18" s="1"/>
  <c r="AS35" i="18" s="1"/>
  <c r="AT35" i="18" s="1"/>
  <c r="AU35" i="18" s="1"/>
  <c r="AV35" i="18" s="1"/>
  <c r="AW35" i="18" s="1"/>
  <c r="AX35" i="18" s="1"/>
  <c r="AO231" i="18"/>
  <c r="AP231" i="18" s="1"/>
  <c r="AQ231" i="18" s="1"/>
  <c r="AR231" i="18" s="1"/>
  <c r="AS231" i="18" s="1"/>
  <c r="AT231" i="18" s="1"/>
  <c r="AU231" i="18" s="1"/>
  <c r="AV231" i="18" s="1"/>
  <c r="AW231" i="18" s="1"/>
  <c r="AX231" i="18" s="1"/>
  <c r="AO131" i="18"/>
  <c r="AP131" i="18" s="1"/>
  <c r="AQ131" i="18" s="1"/>
  <c r="AR131" i="18" s="1"/>
  <c r="AS131" i="18" s="1"/>
  <c r="AT131" i="18" s="1"/>
  <c r="AU131" i="18" s="1"/>
  <c r="AV131" i="18" s="1"/>
  <c r="AW131" i="18" s="1"/>
  <c r="AX131" i="18" s="1"/>
  <c r="AO147" i="18"/>
  <c r="AP147" i="18" s="1"/>
  <c r="AQ147" i="18" s="1"/>
  <c r="AR147" i="18" s="1"/>
  <c r="AS147" i="18" s="1"/>
  <c r="AT147" i="18" s="1"/>
  <c r="AU147" i="18" s="1"/>
  <c r="AV147" i="18" s="1"/>
  <c r="AW147" i="18" s="1"/>
  <c r="AX147" i="18" s="1"/>
  <c r="AO404" i="18"/>
  <c r="AP404" i="18" s="1"/>
  <c r="AQ404" i="18" s="1"/>
  <c r="AR404" i="18" s="1"/>
  <c r="AS404" i="18" s="1"/>
  <c r="AT404" i="18" s="1"/>
  <c r="AU404" i="18" s="1"/>
  <c r="AV404" i="18" s="1"/>
  <c r="AW404" i="18" s="1"/>
  <c r="AX404" i="18" s="1"/>
  <c r="AO29" i="18"/>
  <c r="AP29" i="18" s="1"/>
  <c r="AQ29" i="18" s="1"/>
  <c r="AR29" i="18" s="1"/>
  <c r="AS29" i="18" s="1"/>
  <c r="AT29" i="18" s="1"/>
  <c r="AU29" i="18" s="1"/>
  <c r="AV29" i="18" s="1"/>
  <c r="AW29" i="18" s="1"/>
  <c r="AX29" i="18" s="1"/>
  <c r="AO196" i="18"/>
  <c r="AP196" i="18" s="1"/>
  <c r="AQ196" i="18" s="1"/>
  <c r="AR196" i="18" s="1"/>
  <c r="AS196" i="18" s="1"/>
  <c r="AT196" i="18" s="1"/>
  <c r="AU196" i="18" s="1"/>
  <c r="AV196" i="18" s="1"/>
  <c r="AW196" i="18" s="1"/>
  <c r="AX196" i="18" s="1"/>
  <c r="AO80" i="18"/>
  <c r="AP80" i="18" s="1"/>
  <c r="AQ80" i="18" s="1"/>
  <c r="AR80" i="18" s="1"/>
  <c r="AS80" i="18" s="1"/>
  <c r="AT80" i="18" s="1"/>
  <c r="AU80" i="18" s="1"/>
  <c r="AV80" i="18" s="1"/>
  <c r="AW80" i="18" s="1"/>
  <c r="AX80" i="18" s="1"/>
  <c r="AO427" i="18"/>
  <c r="AP427" i="18" s="1"/>
  <c r="AQ427" i="18" s="1"/>
  <c r="AR427" i="18" s="1"/>
  <c r="AS427" i="18" s="1"/>
  <c r="AT427" i="18" s="1"/>
  <c r="AU427" i="18" s="1"/>
  <c r="AV427" i="18" s="1"/>
  <c r="AW427" i="18" s="1"/>
  <c r="AX427" i="18" s="1"/>
  <c r="AO345" i="18"/>
  <c r="AP345" i="18" s="1"/>
  <c r="AQ345" i="18" s="1"/>
  <c r="AR345" i="18" s="1"/>
  <c r="AS345" i="18" s="1"/>
  <c r="AT345" i="18" s="1"/>
  <c r="AU345" i="18" s="1"/>
  <c r="AV345" i="18" s="1"/>
  <c r="AW345" i="18" s="1"/>
  <c r="AX345" i="18" s="1"/>
  <c r="AO44" i="18"/>
  <c r="AP44" i="18" s="1"/>
  <c r="AQ44" i="18" s="1"/>
  <c r="AR44" i="18" s="1"/>
  <c r="AS44" i="18" s="1"/>
  <c r="AT44" i="18" s="1"/>
  <c r="AU44" i="18" s="1"/>
  <c r="AV44" i="18" s="1"/>
  <c r="AW44" i="18" s="1"/>
  <c r="AX44" i="18" s="1"/>
  <c r="AO366" i="18"/>
  <c r="AP366" i="18" s="1"/>
  <c r="AQ366" i="18" s="1"/>
  <c r="AR366" i="18" s="1"/>
  <c r="AS366" i="18" s="1"/>
  <c r="AT366" i="18" s="1"/>
  <c r="AU366" i="18" s="1"/>
  <c r="AV366" i="18" s="1"/>
  <c r="AW366" i="18" s="1"/>
  <c r="AX366" i="18" s="1"/>
  <c r="AO93" i="18"/>
  <c r="AP93" i="18" s="1"/>
  <c r="AQ93" i="18" s="1"/>
  <c r="AR93" i="18" s="1"/>
  <c r="AS93" i="18" s="1"/>
  <c r="AT93" i="18" s="1"/>
  <c r="AU93" i="18" s="1"/>
  <c r="AV93" i="18" s="1"/>
  <c r="AW93" i="18" s="1"/>
  <c r="AX93" i="18" s="1"/>
  <c r="AO67" i="18"/>
  <c r="AP67" i="18" s="1"/>
  <c r="AQ67" i="18" s="1"/>
  <c r="AR67" i="18" s="1"/>
  <c r="AS67" i="18" s="1"/>
  <c r="AT67" i="18" s="1"/>
  <c r="AU67" i="18" s="1"/>
  <c r="AV67" i="18" s="1"/>
  <c r="AW67" i="18" s="1"/>
  <c r="AX67" i="18" s="1"/>
  <c r="AO52" i="18"/>
  <c r="AP52" i="18" s="1"/>
  <c r="AQ52" i="18" s="1"/>
  <c r="AR52" i="18" s="1"/>
  <c r="AS52" i="18" s="1"/>
  <c r="AT52" i="18" s="1"/>
  <c r="AU52" i="18" s="1"/>
  <c r="AV52" i="18" s="1"/>
  <c r="AW52" i="18" s="1"/>
  <c r="AX52" i="18" s="1"/>
  <c r="AO435" i="18"/>
  <c r="AP435" i="18" s="1"/>
  <c r="AQ435" i="18" s="1"/>
  <c r="AR435" i="18" s="1"/>
  <c r="AS435" i="18" s="1"/>
  <c r="AT435" i="18" s="1"/>
  <c r="AU435" i="18" s="1"/>
  <c r="AV435" i="18" s="1"/>
  <c r="AW435" i="18" s="1"/>
  <c r="AX435" i="18" s="1"/>
  <c r="AO344" i="18"/>
  <c r="AP344" i="18" s="1"/>
  <c r="AQ344" i="18" s="1"/>
  <c r="AR344" i="18" s="1"/>
  <c r="AS344" i="18" s="1"/>
  <c r="AT344" i="18" s="1"/>
  <c r="AU344" i="18" s="1"/>
  <c r="AV344" i="18" s="1"/>
  <c r="AW344" i="18" s="1"/>
  <c r="AX344" i="18" s="1"/>
  <c r="AO410" i="18"/>
  <c r="AP410" i="18" s="1"/>
  <c r="AQ410" i="18" s="1"/>
  <c r="AR410" i="18" s="1"/>
  <c r="AS410" i="18" s="1"/>
  <c r="AT410" i="18" s="1"/>
  <c r="AU410" i="18" s="1"/>
  <c r="AV410" i="18" s="1"/>
  <c r="AW410" i="18" s="1"/>
  <c r="AX410" i="18" s="1"/>
  <c r="AO99" i="18"/>
  <c r="AP99" i="18" s="1"/>
  <c r="AQ99" i="18" s="1"/>
  <c r="AR99" i="18" s="1"/>
  <c r="AS99" i="18" s="1"/>
  <c r="AT99" i="18" s="1"/>
  <c r="AU99" i="18" s="1"/>
  <c r="AV99" i="18" s="1"/>
  <c r="AW99" i="18" s="1"/>
  <c r="AX99" i="18" s="1"/>
  <c r="AO214" i="18"/>
  <c r="AP214" i="18" s="1"/>
  <c r="AQ214" i="18" s="1"/>
  <c r="AR214" i="18" s="1"/>
  <c r="AS214" i="18" s="1"/>
  <c r="AT214" i="18" s="1"/>
  <c r="AU214" i="18" s="1"/>
  <c r="AV214" i="18" s="1"/>
  <c r="AW214" i="18" s="1"/>
  <c r="AX214" i="18" s="1"/>
  <c r="AO238" i="18"/>
  <c r="AP238" i="18" s="1"/>
  <c r="AQ238" i="18" s="1"/>
  <c r="AR238" i="18" s="1"/>
  <c r="AS238" i="18" s="1"/>
  <c r="AT238" i="18" s="1"/>
  <c r="AU238" i="18" s="1"/>
  <c r="AV238" i="18" s="1"/>
  <c r="AW238" i="18" s="1"/>
  <c r="AX238" i="18" s="1"/>
  <c r="AO403" i="18"/>
  <c r="AP403" i="18" s="1"/>
  <c r="AQ403" i="18" s="1"/>
  <c r="AR403" i="18" s="1"/>
  <c r="AS403" i="18" s="1"/>
  <c r="AT403" i="18" s="1"/>
  <c r="AU403" i="18" s="1"/>
  <c r="AV403" i="18" s="1"/>
  <c r="AW403" i="18" s="1"/>
  <c r="AX403" i="18" s="1"/>
  <c r="AO4" i="18"/>
  <c r="AP4" i="18" s="1"/>
  <c r="AQ4" i="18" s="1"/>
  <c r="AR4" i="18" s="1"/>
  <c r="AS4" i="18" s="1"/>
  <c r="AT4" i="18" s="1"/>
  <c r="AU4" i="18" s="1"/>
  <c r="AV4" i="18" s="1"/>
  <c r="AW4" i="18" s="1"/>
  <c r="AX4" i="18" s="1"/>
  <c r="AO62" i="18"/>
  <c r="AP62" i="18" s="1"/>
  <c r="AQ62" i="18" s="1"/>
  <c r="AR62" i="18" s="1"/>
  <c r="AS62" i="18" s="1"/>
  <c r="AT62" i="18" s="1"/>
  <c r="AU62" i="18" s="1"/>
  <c r="AV62" i="18" s="1"/>
  <c r="AW62" i="18" s="1"/>
  <c r="AX62" i="18" s="1"/>
  <c r="AO115" i="18"/>
  <c r="AP115" i="18" s="1"/>
  <c r="AQ115" i="18" s="1"/>
  <c r="AR115" i="18" s="1"/>
  <c r="AS115" i="18" s="1"/>
  <c r="AT115" i="18" s="1"/>
  <c r="AU115" i="18" s="1"/>
  <c r="AV115" i="18" s="1"/>
  <c r="AW115" i="18" s="1"/>
  <c r="AX115" i="18" s="1"/>
  <c r="AO401" i="18"/>
  <c r="AP401" i="18" s="1"/>
  <c r="AQ401" i="18" s="1"/>
  <c r="AR401" i="18" s="1"/>
  <c r="AS401" i="18" s="1"/>
  <c r="AT401" i="18" s="1"/>
  <c r="AU401" i="18" s="1"/>
  <c r="AV401" i="18" s="1"/>
  <c r="AW401" i="18" s="1"/>
  <c r="AX401" i="18" s="1"/>
  <c r="AO155" i="18"/>
  <c r="AP155" i="18" s="1"/>
  <c r="AQ155" i="18" s="1"/>
  <c r="AR155" i="18" s="1"/>
  <c r="AS155" i="18" s="1"/>
  <c r="AT155" i="18" s="1"/>
  <c r="AU155" i="18" s="1"/>
  <c r="AV155" i="18" s="1"/>
  <c r="AW155" i="18" s="1"/>
  <c r="AX155" i="18" s="1"/>
  <c r="AO17" i="18"/>
  <c r="AP17" i="18" s="1"/>
  <c r="AQ17" i="18" s="1"/>
  <c r="AR17" i="18" s="1"/>
  <c r="AS17" i="18" s="1"/>
  <c r="AT17" i="18" s="1"/>
  <c r="AU17" i="18" s="1"/>
  <c r="AV17" i="18" s="1"/>
  <c r="AW17" i="18" s="1"/>
  <c r="AX17" i="18" s="1"/>
  <c r="AO91" i="18"/>
  <c r="AP91" i="18" s="1"/>
  <c r="AQ91" i="18" s="1"/>
  <c r="AR91" i="18" s="1"/>
  <c r="AS91" i="18" s="1"/>
  <c r="AT91" i="18" s="1"/>
  <c r="AU91" i="18" s="1"/>
  <c r="AV91" i="18" s="1"/>
  <c r="AW91" i="18" s="1"/>
  <c r="AX91" i="18" s="1"/>
  <c r="AO420" i="18"/>
  <c r="AP420" i="18" s="1"/>
  <c r="AQ420" i="18" s="1"/>
  <c r="AR420" i="18" s="1"/>
  <c r="AS420" i="18" s="1"/>
  <c r="AT420" i="18" s="1"/>
  <c r="AU420" i="18" s="1"/>
  <c r="AV420" i="18" s="1"/>
  <c r="AW420" i="18" s="1"/>
  <c r="AX420" i="18" s="1"/>
  <c r="AO365" i="18"/>
  <c r="AP365" i="18" s="1"/>
  <c r="AQ365" i="18" s="1"/>
  <c r="AR365" i="18" s="1"/>
  <c r="AS365" i="18" s="1"/>
  <c r="AT365" i="18" s="1"/>
  <c r="AU365" i="18" s="1"/>
  <c r="AV365" i="18" s="1"/>
  <c r="AW365" i="18" s="1"/>
  <c r="AX365" i="18" s="1"/>
  <c r="AO334" i="18"/>
  <c r="AP334" i="18" s="1"/>
  <c r="AQ334" i="18" s="1"/>
  <c r="AR334" i="18" s="1"/>
  <c r="AS334" i="18" s="1"/>
  <c r="AT334" i="18" s="1"/>
  <c r="AU334" i="18" s="1"/>
  <c r="AV334" i="18" s="1"/>
  <c r="AW334" i="18" s="1"/>
  <c r="AX334" i="18" s="1"/>
  <c r="AO177" i="18"/>
  <c r="AP177" i="18" s="1"/>
  <c r="AQ177" i="18" s="1"/>
  <c r="AR177" i="18" s="1"/>
  <c r="AS177" i="18" s="1"/>
  <c r="AT177" i="18" s="1"/>
  <c r="AU177" i="18" s="1"/>
  <c r="AV177" i="18" s="1"/>
  <c r="AW177" i="18" s="1"/>
  <c r="AX177" i="18" s="1"/>
  <c r="AO88" i="18"/>
  <c r="AP88" i="18" s="1"/>
  <c r="AQ88" i="18" s="1"/>
  <c r="AR88" i="18" s="1"/>
  <c r="AS88" i="18" s="1"/>
  <c r="AT88" i="18" s="1"/>
  <c r="AU88" i="18" s="1"/>
  <c r="AV88" i="18" s="1"/>
  <c r="AW88" i="18" s="1"/>
  <c r="AX88" i="18" s="1"/>
  <c r="AO220" i="18"/>
  <c r="AP220" i="18" s="1"/>
  <c r="AQ220" i="18" s="1"/>
  <c r="AR220" i="18" s="1"/>
  <c r="AS220" i="18" s="1"/>
  <c r="AT220" i="18" s="1"/>
  <c r="AU220" i="18" s="1"/>
  <c r="AV220" i="18" s="1"/>
  <c r="AW220" i="18" s="1"/>
  <c r="AX220" i="18" s="1"/>
  <c r="AO8" i="18"/>
  <c r="AP8" i="18" s="1"/>
  <c r="AQ8" i="18" s="1"/>
  <c r="AR8" i="18" s="1"/>
  <c r="AS8" i="18" s="1"/>
  <c r="AT8" i="18" s="1"/>
  <c r="AU8" i="18" s="1"/>
  <c r="AV8" i="18" s="1"/>
  <c r="AW8" i="18" s="1"/>
  <c r="AX8" i="18" s="1"/>
  <c r="AO182" i="18"/>
  <c r="AP182" i="18" s="1"/>
  <c r="AQ182" i="18" s="1"/>
  <c r="AR182" i="18" s="1"/>
  <c r="AS182" i="18" s="1"/>
  <c r="AT182" i="18" s="1"/>
  <c r="AU182" i="18" s="1"/>
  <c r="AV182" i="18" s="1"/>
  <c r="AW182" i="18" s="1"/>
  <c r="AX182" i="18" s="1"/>
  <c r="AO234" i="18"/>
  <c r="AP234" i="18" s="1"/>
  <c r="AQ234" i="18" s="1"/>
  <c r="AR234" i="18" s="1"/>
  <c r="AS234" i="18" s="1"/>
  <c r="AT234" i="18" s="1"/>
  <c r="AU234" i="18" s="1"/>
  <c r="AV234" i="18" s="1"/>
  <c r="AW234" i="18" s="1"/>
  <c r="AX234" i="18" s="1"/>
  <c r="AO25" i="18"/>
  <c r="AP25" i="18" s="1"/>
  <c r="AQ25" i="18" s="1"/>
  <c r="AR25" i="18" s="1"/>
  <c r="AS25" i="18" s="1"/>
  <c r="AT25" i="18" s="1"/>
  <c r="AU25" i="18" s="1"/>
  <c r="AV25" i="18" s="1"/>
  <c r="AW25" i="18" s="1"/>
  <c r="AX25" i="18" s="1"/>
  <c r="AO100" i="18"/>
  <c r="AP100" i="18" s="1"/>
  <c r="AQ100" i="18" s="1"/>
  <c r="AR100" i="18" s="1"/>
  <c r="AS100" i="18" s="1"/>
  <c r="AT100" i="18" s="1"/>
  <c r="AU100" i="18" s="1"/>
  <c r="AV100" i="18" s="1"/>
  <c r="AW100" i="18" s="1"/>
  <c r="AX100" i="18" s="1"/>
  <c r="AO184" i="18"/>
  <c r="AP184" i="18" s="1"/>
  <c r="AQ184" i="18" s="1"/>
  <c r="AR184" i="18" s="1"/>
  <c r="AS184" i="18" s="1"/>
  <c r="AT184" i="18" s="1"/>
  <c r="AU184" i="18" s="1"/>
  <c r="AV184" i="18" s="1"/>
  <c r="AW184" i="18" s="1"/>
  <c r="AX184" i="18" s="1"/>
  <c r="AO431" i="18"/>
  <c r="AP431" i="18" s="1"/>
  <c r="AQ431" i="18" s="1"/>
  <c r="AR431" i="18" s="1"/>
  <c r="AS431" i="18" s="1"/>
  <c r="AT431" i="18" s="1"/>
  <c r="AU431" i="18" s="1"/>
  <c r="AV431" i="18" s="1"/>
  <c r="AW431" i="18" s="1"/>
  <c r="AX431" i="18" s="1"/>
  <c r="AO355" i="18"/>
  <c r="AP355" i="18" s="1"/>
  <c r="AQ355" i="18" s="1"/>
  <c r="AR355" i="18" s="1"/>
  <c r="AS355" i="18" s="1"/>
  <c r="AT355" i="18" s="1"/>
  <c r="AU355" i="18" s="1"/>
  <c r="AV355" i="18" s="1"/>
  <c r="AW355" i="18" s="1"/>
  <c r="AX355" i="18" s="1"/>
  <c r="AO376" i="18"/>
  <c r="AP376" i="18" s="1"/>
  <c r="AQ376" i="18" s="1"/>
  <c r="AR376" i="18" s="1"/>
  <c r="AS376" i="18" s="1"/>
  <c r="AT376" i="18" s="1"/>
  <c r="AU376" i="18" s="1"/>
  <c r="AV376" i="18" s="1"/>
  <c r="AW376" i="18" s="1"/>
  <c r="AX376" i="18" s="1"/>
  <c r="AO122" i="18"/>
  <c r="AP122" i="18" s="1"/>
  <c r="AQ122" i="18" s="1"/>
  <c r="AR122" i="18" s="1"/>
  <c r="AS122" i="18" s="1"/>
  <c r="AT122" i="18" s="1"/>
  <c r="AU122" i="18" s="1"/>
  <c r="AV122" i="18" s="1"/>
  <c r="AW122" i="18" s="1"/>
  <c r="AX122" i="18" s="1"/>
  <c r="AO109" i="18"/>
  <c r="AP109" i="18" s="1"/>
  <c r="AQ109" i="18" s="1"/>
  <c r="AR109" i="18" s="1"/>
  <c r="AS109" i="18" s="1"/>
  <c r="AT109" i="18" s="1"/>
  <c r="AU109" i="18" s="1"/>
  <c r="AV109" i="18" s="1"/>
  <c r="AW109" i="18" s="1"/>
  <c r="AX109" i="18" s="1"/>
  <c r="AO348" i="18"/>
  <c r="AP348" i="18" s="1"/>
  <c r="AQ348" i="18" s="1"/>
  <c r="AR348" i="18" s="1"/>
  <c r="AS348" i="18" s="1"/>
  <c r="AT348" i="18" s="1"/>
  <c r="AU348" i="18" s="1"/>
  <c r="AV348" i="18" s="1"/>
  <c r="AW348" i="18" s="1"/>
  <c r="AX348" i="18" s="1"/>
  <c r="AO433" i="18"/>
  <c r="AP433" i="18" s="1"/>
  <c r="AQ433" i="18" s="1"/>
  <c r="AR433" i="18" s="1"/>
  <c r="AS433" i="18" s="1"/>
  <c r="AT433" i="18" s="1"/>
  <c r="AU433" i="18" s="1"/>
  <c r="AV433" i="18" s="1"/>
  <c r="AW433" i="18" s="1"/>
  <c r="AX433" i="18" s="1"/>
  <c r="AO440" i="18"/>
  <c r="AP440" i="18" s="1"/>
  <c r="AQ440" i="18" s="1"/>
  <c r="AR440" i="18" s="1"/>
  <c r="AS440" i="18" s="1"/>
  <c r="AT440" i="18" s="1"/>
  <c r="AU440" i="18" s="1"/>
  <c r="AV440" i="18" s="1"/>
  <c r="AW440" i="18" s="1"/>
  <c r="AX440" i="18" s="1"/>
  <c r="AO367" i="18"/>
  <c r="AP367" i="18" s="1"/>
  <c r="AQ367" i="18" s="1"/>
  <c r="AR367" i="18" s="1"/>
  <c r="AS367" i="18" s="1"/>
  <c r="AT367" i="18" s="1"/>
  <c r="AU367" i="18" s="1"/>
  <c r="AV367" i="18" s="1"/>
  <c r="AW367" i="18" s="1"/>
  <c r="AX367" i="18" s="1"/>
  <c r="AO347" i="18"/>
  <c r="AP347" i="18" s="1"/>
  <c r="AQ347" i="18" s="1"/>
  <c r="AR347" i="18" s="1"/>
  <c r="AS347" i="18" s="1"/>
  <c r="AT347" i="18" s="1"/>
  <c r="AU347" i="18" s="1"/>
  <c r="AV347" i="18" s="1"/>
  <c r="AW347" i="18" s="1"/>
  <c r="AX347" i="18" s="1"/>
  <c r="AO162" i="18"/>
  <c r="AP162" i="18" s="1"/>
  <c r="AQ162" i="18" s="1"/>
  <c r="AR162" i="18" s="1"/>
  <c r="AS162" i="18" s="1"/>
  <c r="AT162" i="18" s="1"/>
  <c r="AU162" i="18" s="1"/>
  <c r="AV162" i="18" s="1"/>
  <c r="AW162" i="18" s="1"/>
  <c r="AX162" i="18" s="1"/>
  <c r="AO357" i="18"/>
  <c r="AP357" i="18" s="1"/>
  <c r="AQ357" i="18" s="1"/>
  <c r="AR357" i="18" s="1"/>
  <c r="AS357" i="18" s="1"/>
  <c r="AT357" i="18" s="1"/>
  <c r="AU357" i="18" s="1"/>
  <c r="AV357" i="18" s="1"/>
  <c r="AW357" i="18" s="1"/>
  <c r="AX357" i="18" s="1"/>
  <c r="AO439" i="18"/>
  <c r="AP439" i="18" s="1"/>
  <c r="AQ439" i="18" s="1"/>
  <c r="AR439" i="18" s="1"/>
  <c r="AS439" i="18" s="1"/>
  <c r="AT439" i="18" s="1"/>
  <c r="AU439" i="18" s="1"/>
  <c r="AV439" i="18" s="1"/>
  <c r="AW439" i="18" s="1"/>
  <c r="AX439" i="18" s="1"/>
  <c r="AO336" i="18"/>
  <c r="AP336" i="18" s="1"/>
  <c r="AQ336" i="18" s="1"/>
  <c r="AR336" i="18" s="1"/>
  <c r="AS336" i="18" s="1"/>
  <c r="AT336" i="18" s="1"/>
  <c r="AU336" i="18" s="1"/>
  <c r="AV336" i="18" s="1"/>
  <c r="AW336" i="18" s="1"/>
  <c r="AX336" i="18" s="1"/>
  <c r="AO299" i="18"/>
  <c r="AP299" i="18" s="1"/>
  <c r="AQ299" i="18" s="1"/>
  <c r="AR299" i="18" s="1"/>
  <c r="AS299" i="18" s="1"/>
  <c r="AT299" i="18" s="1"/>
  <c r="AU299" i="18" s="1"/>
  <c r="AV299" i="18" s="1"/>
  <c r="AW299" i="18" s="1"/>
  <c r="AX299" i="18" s="1"/>
  <c r="AO213" i="18"/>
  <c r="AP213" i="18" s="1"/>
  <c r="AQ213" i="18" s="1"/>
  <c r="AR213" i="18" s="1"/>
  <c r="AS213" i="18" s="1"/>
  <c r="AT213" i="18" s="1"/>
  <c r="AU213" i="18" s="1"/>
  <c r="AV213" i="18" s="1"/>
  <c r="AW213" i="18" s="1"/>
  <c r="AX213" i="18" s="1"/>
  <c r="AO343" i="18"/>
  <c r="AP343" i="18" s="1"/>
  <c r="AQ343" i="18" s="1"/>
  <c r="AR343" i="18" s="1"/>
  <c r="AS343" i="18" s="1"/>
  <c r="AT343" i="18" s="1"/>
  <c r="AU343" i="18" s="1"/>
  <c r="AV343" i="18" s="1"/>
  <c r="AW343" i="18" s="1"/>
  <c r="AX343" i="18" s="1"/>
  <c r="AO46" i="18"/>
  <c r="AP46" i="18" s="1"/>
  <c r="AQ46" i="18" s="1"/>
  <c r="AR46" i="18" s="1"/>
  <c r="AS46" i="18" s="1"/>
  <c r="AT46" i="18" s="1"/>
  <c r="AU46" i="18" s="1"/>
  <c r="AV46" i="18" s="1"/>
  <c r="AW46" i="18" s="1"/>
  <c r="AX46" i="18" s="1"/>
  <c r="AO28" i="18"/>
  <c r="AP28" i="18" s="1"/>
  <c r="AQ28" i="18" s="1"/>
  <c r="AR28" i="18" s="1"/>
  <c r="AS28" i="18" s="1"/>
  <c r="AT28" i="18" s="1"/>
  <c r="AU28" i="18" s="1"/>
  <c r="AV28" i="18" s="1"/>
  <c r="AW28" i="18" s="1"/>
  <c r="AX28" i="18" s="1"/>
  <c r="AO161" i="18"/>
  <c r="AP161" i="18" s="1"/>
  <c r="AQ161" i="18" s="1"/>
  <c r="AR161" i="18" s="1"/>
  <c r="AS161" i="18" s="1"/>
  <c r="AT161" i="18" s="1"/>
  <c r="AU161" i="18" s="1"/>
  <c r="AV161" i="18" s="1"/>
  <c r="AW161" i="18" s="1"/>
  <c r="AX161" i="18" s="1"/>
  <c r="AO69" i="18"/>
  <c r="AP69" i="18" s="1"/>
  <c r="AQ69" i="18" s="1"/>
  <c r="AR69" i="18" s="1"/>
  <c r="AS69" i="18" s="1"/>
  <c r="AT69" i="18" s="1"/>
  <c r="AU69" i="18" s="1"/>
  <c r="AV69" i="18" s="1"/>
  <c r="AW69" i="18" s="1"/>
  <c r="AX69" i="18" s="1"/>
  <c r="AO33" i="18"/>
  <c r="AP33" i="18" s="1"/>
  <c r="AQ33" i="18" s="1"/>
  <c r="AR33" i="18" s="1"/>
  <c r="AS33" i="18" s="1"/>
  <c r="AT33" i="18" s="1"/>
  <c r="AU33" i="18" s="1"/>
  <c r="AV33" i="18" s="1"/>
  <c r="AW33" i="18" s="1"/>
  <c r="AX33" i="18" s="1"/>
  <c r="AO397" i="18"/>
  <c r="AP397" i="18" s="1"/>
  <c r="AQ397" i="18" s="1"/>
  <c r="AR397" i="18" s="1"/>
  <c r="AS397" i="18" s="1"/>
  <c r="AT397" i="18" s="1"/>
  <c r="AU397" i="18" s="1"/>
  <c r="AV397" i="18" s="1"/>
  <c r="AW397" i="18" s="1"/>
  <c r="AX397" i="18" s="1"/>
  <c r="AO27" i="18"/>
  <c r="AP27" i="18" s="1"/>
  <c r="AQ27" i="18" s="1"/>
  <c r="AR27" i="18" s="1"/>
  <c r="AS27" i="18" s="1"/>
  <c r="AT27" i="18" s="1"/>
  <c r="AU27" i="18" s="1"/>
  <c r="AV27" i="18" s="1"/>
  <c r="AW27" i="18" s="1"/>
  <c r="AX27" i="18" s="1"/>
  <c r="AO65" i="18"/>
  <c r="AP65" i="18" s="1"/>
  <c r="AQ65" i="18" s="1"/>
  <c r="AR65" i="18" s="1"/>
  <c r="AS65" i="18" s="1"/>
  <c r="AT65" i="18" s="1"/>
  <c r="AU65" i="18" s="1"/>
  <c r="AV65" i="18" s="1"/>
  <c r="AW65" i="18" s="1"/>
  <c r="AX65" i="18" s="1"/>
  <c r="AO384" i="18"/>
  <c r="AP384" i="18" s="1"/>
  <c r="AQ384" i="18" s="1"/>
  <c r="AR384" i="18" s="1"/>
  <c r="AS384" i="18" s="1"/>
  <c r="AT384" i="18" s="1"/>
  <c r="AU384" i="18" s="1"/>
  <c r="AV384" i="18" s="1"/>
  <c r="AW384" i="18" s="1"/>
  <c r="AX384" i="18" s="1"/>
  <c r="AO364" i="18"/>
  <c r="AP364" i="18" s="1"/>
  <c r="AQ364" i="18" s="1"/>
  <c r="AR364" i="18" s="1"/>
  <c r="AS364" i="18" s="1"/>
  <c r="AT364" i="18" s="1"/>
  <c r="AU364" i="18" s="1"/>
  <c r="AV364" i="18" s="1"/>
  <c r="AW364" i="18" s="1"/>
  <c r="AX364" i="18" s="1"/>
  <c r="AO363" i="18"/>
  <c r="AP363" i="18" s="1"/>
  <c r="AQ363" i="18" s="1"/>
  <c r="AR363" i="18" s="1"/>
  <c r="AS363" i="18" s="1"/>
  <c r="AT363" i="18" s="1"/>
  <c r="AU363" i="18" s="1"/>
  <c r="AV363" i="18" s="1"/>
  <c r="AW363" i="18" s="1"/>
  <c r="AX363" i="18" s="1"/>
  <c r="AO134" i="18"/>
  <c r="AP134" i="18" s="1"/>
  <c r="AQ134" i="18" s="1"/>
  <c r="AR134" i="18" s="1"/>
  <c r="AS134" i="18" s="1"/>
  <c r="AT134" i="18" s="1"/>
  <c r="AU134" i="18" s="1"/>
  <c r="AV134" i="18" s="1"/>
  <c r="AW134" i="18" s="1"/>
  <c r="AX134" i="18" s="1"/>
  <c r="AO56" i="18"/>
  <c r="AP56" i="18" s="1"/>
  <c r="AQ56" i="18" s="1"/>
  <c r="AR56" i="18" s="1"/>
  <c r="AS56" i="18" s="1"/>
  <c r="AT56" i="18" s="1"/>
  <c r="AU56" i="18" s="1"/>
  <c r="AV56" i="18" s="1"/>
  <c r="AW56" i="18" s="1"/>
  <c r="AX56" i="18" s="1"/>
  <c r="AO207" i="18"/>
  <c r="AP207" i="18" s="1"/>
  <c r="AQ207" i="18" s="1"/>
  <c r="AR207" i="18" s="1"/>
  <c r="AS207" i="18" s="1"/>
  <c r="AT207" i="18" s="1"/>
  <c r="AU207" i="18" s="1"/>
  <c r="AV207" i="18" s="1"/>
  <c r="AW207" i="18" s="1"/>
  <c r="AX207" i="18" s="1"/>
  <c r="AO31" i="18"/>
  <c r="AP31" i="18" s="1"/>
  <c r="AQ31" i="18" s="1"/>
  <c r="AR31" i="18" s="1"/>
  <c r="AS31" i="18" s="1"/>
  <c r="AT31" i="18" s="1"/>
  <c r="AU31" i="18" s="1"/>
  <c r="AV31" i="18" s="1"/>
  <c r="AW31" i="18" s="1"/>
  <c r="AX31" i="18" s="1"/>
  <c r="AO22" i="18"/>
  <c r="AP22" i="18" s="1"/>
  <c r="AQ22" i="18" s="1"/>
  <c r="AR22" i="18" s="1"/>
  <c r="AS22" i="18" s="1"/>
  <c r="AT22" i="18" s="1"/>
  <c r="AU22" i="18" s="1"/>
  <c r="AV22" i="18" s="1"/>
  <c r="AW22" i="18" s="1"/>
  <c r="AX22" i="18" s="1"/>
  <c r="AO259" i="18"/>
  <c r="AP259" i="18" s="1"/>
  <c r="AQ259" i="18" s="1"/>
  <c r="AR259" i="18" s="1"/>
  <c r="AS259" i="18" s="1"/>
  <c r="AT259" i="18" s="1"/>
  <c r="AU259" i="18" s="1"/>
  <c r="AV259" i="18" s="1"/>
  <c r="AW259" i="18" s="1"/>
  <c r="AX259" i="18" s="1"/>
  <c r="AO145" i="18"/>
  <c r="AP145" i="18" s="1"/>
  <c r="AQ145" i="18" s="1"/>
  <c r="AR145" i="18" s="1"/>
  <c r="AS145" i="18" s="1"/>
  <c r="AT145" i="18" s="1"/>
  <c r="AU145" i="18" s="1"/>
  <c r="AV145" i="18" s="1"/>
  <c r="AW145" i="18" s="1"/>
  <c r="AX145" i="18" s="1"/>
  <c r="AO61" i="18"/>
  <c r="AP61" i="18" s="1"/>
  <c r="AQ61" i="18" s="1"/>
  <c r="AR61" i="18" s="1"/>
  <c r="AS61" i="18" s="1"/>
  <c r="AT61" i="18" s="1"/>
  <c r="AU61" i="18" s="1"/>
  <c r="AV61" i="18" s="1"/>
  <c r="AW61" i="18" s="1"/>
  <c r="AX61" i="18" s="1"/>
  <c r="AO153" i="18"/>
  <c r="AP153" i="18" s="1"/>
  <c r="AQ153" i="18" s="1"/>
  <c r="AR153" i="18" s="1"/>
  <c r="AS153" i="18" s="1"/>
  <c r="AT153" i="18" s="1"/>
  <c r="AU153" i="18" s="1"/>
  <c r="AV153" i="18" s="1"/>
  <c r="AW153" i="18" s="1"/>
  <c r="AX153" i="18" s="1"/>
  <c r="AO36" i="18"/>
  <c r="AP36" i="18" s="1"/>
  <c r="AQ36" i="18" s="1"/>
  <c r="AR36" i="18" s="1"/>
  <c r="AS36" i="18" s="1"/>
  <c r="AT36" i="18" s="1"/>
  <c r="AU36" i="18" s="1"/>
  <c r="AV36" i="18" s="1"/>
  <c r="AW36" i="18" s="1"/>
  <c r="AX36" i="18" s="1"/>
  <c r="AO251" i="18"/>
  <c r="AP251" i="18" s="1"/>
  <c r="AQ251" i="18" s="1"/>
  <c r="AR251" i="18" s="1"/>
  <c r="AS251" i="18" s="1"/>
  <c r="AT251" i="18" s="1"/>
  <c r="AU251" i="18" s="1"/>
  <c r="AV251" i="18" s="1"/>
  <c r="AW251" i="18" s="1"/>
  <c r="AX251" i="18" s="1"/>
  <c r="AO305" i="18"/>
  <c r="AP305" i="18" s="1"/>
  <c r="AQ305" i="18" s="1"/>
  <c r="AR305" i="18" s="1"/>
  <c r="AS305" i="18" s="1"/>
  <c r="AT305" i="18" s="1"/>
  <c r="AU305" i="18" s="1"/>
  <c r="AV305" i="18" s="1"/>
  <c r="AW305" i="18" s="1"/>
  <c r="AX305" i="18" s="1"/>
  <c r="AO301" i="18"/>
  <c r="AP301" i="18" s="1"/>
  <c r="AQ301" i="18" s="1"/>
  <c r="AR301" i="18" s="1"/>
  <c r="AS301" i="18" s="1"/>
  <c r="AT301" i="18" s="1"/>
  <c r="AU301" i="18" s="1"/>
  <c r="AV301" i="18" s="1"/>
  <c r="AW301" i="18" s="1"/>
  <c r="AX301" i="18" s="1"/>
  <c r="AO70" i="18"/>
  <c r="AP70" i="18" s="1"/>
  <c r="AQ70" i="18" s="1"/>
  <c r="AR70" i="18" s="1"/>
  <c r="AS70" i="18" s="1"/>
  <c r="AT70" i="18" s="1"/>
  <c r="AU70" i="18" s="1"/>
  <c r="AV70" i="18" s="1"/>
  <c r="AW70" i="18" s="1"/>
  <c r="AX70" i="18" s="1"/>
  <c r="AO233" i="18"/>
  <c r="AP233" i="18" s="1"/>
  <c r="AQ233" i="18" s="1"/>
  <c r="AR233" i="18" s="1"/>
  <c r="AS233" i="18" s="1"/>
  <c r="AT233" i="18" s="1"/>
  <c r="AU233" i="18" s="1"/>
  <c r="AV233" i="18" s="1"/>
  <c r="AW233" i="18" s="1"/>
  <c r="AX233" i="18" s="1"/>
  <c r="AO181" i="18"/>
  <c r="AP181" i="18" s="1"/>
  <c r="AQ181" i="18" s="1"/>
  <c r="AR181" i="18" s="1"/>
  <c r="AS181" i="18" s="1"/>
  <c r="AT181" i="18" s="1"/>
  <c r="AU181" i="18" s="1"/>
  <c r="AV181" i="18" s="1"/>
  <c r="AW181" i="18" s="1"/>
  <c r="AX181" i="18" s="1"/>
  <c r="AO307" i="18"/>
  <c r="AP307" i="18" s="1"/>
  <c r="AQ307" i="18" s="1"/>
  <c r="AR307" i="18" s="1"/>
  <c r="AS307" i="18" s="1"/>
  <c r="AT307" i="18" s="1"/>
  <c r="AU307" i="18" s="1"/>
  <c r="AV307" i="18" s="1"/>
  <c r="AW307" i="18" s="1"/>
  <c r="AX307" i="18" s="1"/>
  <c r="AO406" i="18"/>
  <c r="AP406" i="18" s="1"/>
  <c r="AQ406" i="18" s="1"/>
  <c r="AR406" i="18" s="1"/>
  <c r="AS406" i="18" s="1"/>
  <c r="AT406" i="18" s="1"/>
  <c r="AU406" i="18" s="1"/>
  <c r="AV406" i="18" s="1"/>
  <c r="AW406" i="18" s="1"/>
  <c r="AX406" i="18" s="1"/>
  <c r="AO277" i="18"/>
  <c r="AP277" i="18" s="1"/>
  <c r="AQ277" i="18" s="1"/>
  <c r="AR277" i="18" s="1"/>
  <c r="AS277" i="18" s="1"/>
  <c r="AT277" i="18" s="1"/>
  <c r="AU277" i="18" s="1"/>
  <c r="AV277" i="18" s="1"/>
  <c r="AW277" i="18" s="1"/>
  <c r="AX277" i="18" s="1"/>
  <c r="AO394" i="18"/>
  <c r="AP394" i="18" s="1"/>
  <c r="AQ394" i="18" s="1"/>
  <c r="AR394" i="18" s="1"/>
  <c r="AS394" i="18" s="1"/>
  <c r="AT394" i="18" s="1"/>
  <c r="AU394" i="18" s="1"/>
  <c r="AV394" i="18" s="1"/>
  <c r="AW394" i="18" s="1"/>
  <c r="AX394" i="18" s="1"/>
  <c r="AO286" i="18"/>
  <c r="AP286" i="18" s="1"/>
  <c r="AQ286" i="18" s="1"/>
  <c r="AR286" i="18" s="1"/>
  <c r="AS286" i="18" s="1"/>
  <c r="AT286" i="18" s="1"/>
  <c r="AU286" i="18" s="1"/>
  <c r="AV286" i="18" s="1"/>
  <c r="AW286" i="18" s="1"/>
  <c r="AX286" i="18" s="1"/>
  <c r="AO50" i="18"/>
  <c r="AP50" i="18" s="1"/>
  <c r="AQ50" i="18" s="1"/>
  <c r="AR50" i="18" s="1"/>
  <c r="AS50" i="18" s="1"/>
  <c r="AT50" i="18" s="1"/>
  <c r="AU50" i="18" s="1"/>
  <c r="AV50" i="18" s="1"/>
  <c r="AW50" i="18" s="1"/>
  <c r="AX50" i="18" s="1"/>
  <c r="AO224" i="18"/>
  <c r="AP224" i="18" s="1"/>
  <c r="AQ224" i="18" s="1"/>
  <c r="AR224" i="18" s="1"/>
  <c r="AS224" i="18" s="1"/>
  <c r="AT224" i="18" s="1"/>
  <c r="AU224" i="18" s="1"/>
  <c r="AV224" i="18" s="1"/>
  <c r="AW224" i="18" s="1"/>
  <c r="AX224" i="18" s="1"/>
  <c r="AO271" i="18"/>
  <c r="AP271" i="18" s="1"/>
  <c r="AQ271" i="18" s="1"/>
  <c r="AR271" i="18" s="1"/>
  <c r="AS271" i="18" s="1"/>
  <c r="AT271" i="18" s="1"/>
  <c r="AU271" i="18" s="1"/>
  <c r="AV271" i="18" s="1"/>
  <c r="AW271" i="18" s="1"/>
  <c r="AX271" i="18" s="1"/>
  <c r="AO245" i="18"/>
  <c r="AP245" i="18" s="1"/>
  <c r="AQ245" i="18" s="1"/>
  <c r="AR245" i="18" s="1"/>
  <c r="AS245" i="18" s="1"/>
  <c r="AT245" i="18" s="1"/>
  <c r="AU245" i="18" s="1"/>
  <c r="AV245" i="18" s="1"/>
  <c r="AW245" i="18" s="1"/>
  <c r="AX245" i="18" s="1"/>
  <c r="AO247" i="18"/>
  <c r="AP247" i="18" s="1"/>
  <c r="AQ247" i="18" s="1"/>
  <c r="AR247" i="18" s="1"/>
  <c r="AS247" i="18" s="1"/>
  <c r="AT247" i="18" s="1"/>
  <c r="AU247" i="18" s="1"/>
  <c r="AV247" i="18" s="1"/>
  <c r="AW247" i="18" s="1"/>
  <c r="AX247" i="18" s="1"/>
  <c r="AO262" i="18"/>
  <c r="AP262" i="18" s="1"/>
  <c r="AQ262" i="18" s="1"/>
  <c r="AR262" i="18" s="1"/>
  <c r="AS262" i="18" s="1"/>
  <c r="AT262" i="18" s="1"/>
  <c r="AU262" i="18" s="1"/>
  <c r="AV262" i="18" s="1"/>
  <c r="AW262" i="18" s="1"/>
  <c r="AX262" i="18" s="1"/>
  <c r="AO268" i="18"/>
  <c r="AP268" i="18" s="1"/>
  <c r="AQ268" i="18" s="1"/>
  <c r="AR268" i="18" s="1"/>
  <c r="AS268" i="18" s="1"/>
  <c r="AT268" i="18" s="1"/>
  <c r="AU268" i="18" s="1"/>
  <c r="AV268" i="18" s="1"/>
  <c r="AW268" i="18" s="1"/>
  <c r="AX268" i="18" s="1"/>
  <c r="AO309" i="18"/>
  <c r="AP309" i="18" s="1"/>
  <c r="AQ309" i="18" s="1"/>
  <c r="AR309" i="18" s="1"/>
  <c r="AS309" i="18" s="1"/>
  <c r="AT309" i="18" s="1"/>
  <c r="AU309" i="18" s="1"/>
  <c r="AV309" i="18" s="1"/>
  <c r="AW309" i="18" s="1"/>
  <c r="AX309" i="18" s="1"/>
  <c r="AO54" i="18"/>
  <c r="AP54" i="18" s="1"/>
  <c r="AQ54" i="18" s="1"/>
  <c r="AR54" i="18" s="1"/>
  <c r="AS54" i="18" s="1"/>
  <c r="AT54" i="18" s="1"/>
  <c r="AU54" i="18" s="1"/>
  <c r="AV54" i="18" s="1"/>
  <c r="AW54" i="18" s="1"/>
  <c r="AX54" i="18" s="1"/>
  <c r="AO417" i="18"/>
  <c r="AP417" i="18" s="1"/>
  <c r="AQ417" i="18" s="1"/>
  <c r="AR417" i="18" s="1"/>
  <c r="AS417" i="18" s="1"/>
  <c r="AT417" i="18" s="1"/>
  <c r="AU417" i="18" s="1"/>
  <c r="AV417" i="18" s="1"/>
  <c r="AW417" i="18" s="1"/>
  <c r="AX417" i="18" s="1"/>
  <c r="AO205" i="18"/>
  <c r="AP205" i="18" s="1"/>
  <c r="AQ205" i="18" s="1"/>
  <c r="AR205" i="18" s="1"/>
  <c r="AS205" i="18" s="1"/>
  <c r="AT205" i="18" s="1"/>
  <c r="AU205" i="18" s="1"/>
  <c r="AV205" i="18" s="1"/>
  <c r="AW205" i="18" s="1"/>
  <c r="AX205" i="18" s="1"/>
  <c r="AO140" i="18"/>
  <c r="AP140" i="18" s="1"/>
  <c r="AQ140" i="18" s="1"/>
  <c r="AR140" i="18" s="1"/>
  <c r="AS140" i="18" s="1"/>
  <c r="AT140" i="18" s="1"/>
  <c r="AU140" i="18" s="1"/>
  <c r="AV140" i="18" s="1"/>
  <c r="AW140" i="18" s="1"/>
  <c r="AX140" i="18" s="1"/>
  <c r="AO423" i="18"/>
  <c r="AP423" i="18" s="1"/>
  <c r="AQ423" i="18" s="1"/>
  <c r="AR423" i="18" s="1"/>
  <c r="AS423" i="18" s="1"/>
  <c r="AT423" i="18" s="1"/>
  <c r="AU423" i="18" s="1"/>
  <c r="AV423" i="18" s="1"/>
  <c r="AW423" i="18" s="1"/>
  <c r="AX423" i="18" s="1"/>
  <c r="AO407" i="18"/>
  <c r="AP407" i="18" s="1"/>
  <c r="AQ407" i="18" s="1"/>
  <c r="AR407" i="18" s="1"/>
  <c r="AS407" i="18" s="1"/>
  <c r="AT407" i="18" s="1"/>
  <c r="AU407" i="18" s="1"/>
  <c r="AV407" i="18" s="1"/>
  <c r="AW407" i="18" s="1"/>
  <c r="AX407" i="18" s="1"/>
  <c r="AO261" i="18"/>
  <c r="AP261" i="18" s="1"/>
  <c r="AQ261" i="18" s="1"/>
  <c r="AR261" i="18" s="1"/>
  <c r="AS261" i="18" s="1"/>
  <c r="AT261" i="18" s="1"/>
  <c r="AU261" i="18" s="1"/>
  <c r="AV261" i="18" s="1"/>
  <c r="AW261" i="18" s="1"/>
  <c r="AX261" i="18" s="1"/>
  <c r="AO311" i="18"/>
  <c r="AP311" i="18" s="1"/>
  <c r="AQ311" i="18" s="1"/>
  <c r="AR311" i="18" s="1"/>
  <c r="AS311" i="18" s="1"/>
  <c r="AT311" i="18" s="1"/>
  <c r="AU311" i="18" s="1"/>
  <c r="AV311" i="18" s="1"/>
  <c r="AW311" i="18" s="1"/>
  <c r="AX311" i="18" s="1"/>
  <c r="AO48" i="18"/>
  <c r="AP48" i="18" s="1"/>
  <c r="AQ48" i="18" s="1"/>
  <c r="AR48" i="18" s="1"/>
  <c r="AS48" i="18" s="1"/>
  <c r="AT48" i="18" s="1"/>
  <c r="AU48" i="18" s="1"/>
  <c r="AV48" i="18" s="1"/>
  <c r="AW48" i="18" s="1"/>
  <c r="AX48" i="18" s="1"/>
  <c r="AO302" i="18"/>
  <c r="AP302" i="18" s="1"/>
  <c r="AQ302" i="18" s="1"/>
  <c r="AR302" i="18" s="1"/>
  <c r="AS302" i="18" s="1"/>
  <c r="AT302" i="18" s="1"/>
  <c r="AU302" i="18" s="1"/>
  <c r="AV302" i="18" s="1"/>
  <c r="AW302" i="18" s="1"/>
  <c r="AX302" i="18" s="1"/>
  <c r="AO106" i="18"/>
  <c r="AP106" i="18" s="1"/>
  <c r="AQ106" i="18" s="1"/>
  <c r="AR106" i="18" s="1"/>
  <c r="AS106" i="18" s="1"/>
  <c r="AT106" i="18" s="1"/>
  <c r="AU106" i="18" s="1"/>
  <c r="AV106" i="18" s="1"/>
  <c r="AW106" i="18" s="1"/>
  <c r="AX106" i="18" s="1"/>
  <c r="AO310" i="18"/>
  <c r="AP310" i="18" s="1"/>
  <c r="AQ310" i="18" s="1"/>
  <c r="AR310" i="18" s="1"/>
  <c r="AS310" i="18" s="1"/>
  <c r="AT310" i="18" s="1"/>
  <c r="AU310" i="18" s="1"/>
  <c r="AV310" i="18" s="1"/>
  <c r="AW310" i="18" s="1"/>
  <c r="AX310" i="18" s="1"/>
  <c r="AO293" i="18"/>
  <c r="AP293" i="18" s="1"/>
  <c r="AQ293" i="18" s="1"/>
  <c r="AR293" i="18" s="1"/>
  <c r="AS293" i="18" s="1"/>
  <c r="AT293" i="18" s="1"/>
  <c r="AU293" i="18" s="1"/>
  <c r="AV293" i="18" s="1"/>
  <c r="AW293" i="18" s="1"/>
  <c r="AX293" i="18" s="1"/>
  <c r="AO265" i="18"/>
  <c r="AP265" i="18" s="1"/>
  <c r="AQ265" i="18" s="1"/>
  <c r="AR265" i="18" s="1"/>
  <c r="AS265" i="18" s="1"/>
  <c r="AT265" i="18" s="1"/>
  <c r="AU265" i="18" s="1"/>
  <c r="AV265" i="18" s="1"/>
  <c r="AW265" i="18" s="1"/>
  <c r="AX265" i="18" s="1"/>
  <c r="AO195" i="18"/>
  <c r="AP195" i="18" s="1"/>
  <c r="AQ195" i="18" s="1"/>
  <c r="AR195" i="18" s="1"/>
  <c r="AS195" i="18" s="1"/>
  <c r="AT195" i="18" s="1"/>
  <c r="AU195" i="18" s="1"/>
  <c r="AV195" i="18" s="1"/>
  <c r="AW195" i="18" s="1"/>
  <c r="AX195" i="18" s="1"/>
  <c r="AO169" i="18"/>
  <c r="AP169" i="18" s="1"/>
  <c r="AQ169" i="18" s="1"/>
  <c r="AR169" i="18" s="1"/>
  <c r="AS169" i="18" s="1"/>
  <c r="AT169" i="18" s="1"/>
  <c r="AU169" i="18" s="1"/>
  <c r="AV169" i="18" s="1"/>
  <c r="AW169" i="18" s="1"/>
  <c r="AX169" i="18" s="1"/>
  <c r="AO273" i="18"/>
  <c r="AP273" i="18" s="1"/>
  <c r="AQ273" i="18" s="1"/>
  <c r="AR273" i="18" s="1"/>
  <c r="AS273" i="18" s="1"/>
  <c r="AT273" i="18" s="1"/>
  <c r="AU273" i="18" s="1"/>
  <c r="AV273" i="18" s="1"/>
  <c r="AW273" i="18" s="1"/>
  <c r="AX273" i="18" s="1"/>
  <c r="AO246" i="18"/>
  <c r="AP246" i="18" s="1"/>
  <c r="AQ246" i="18" s="1"/>
  <c r="AR246" i="18" s="1"/>
  <c r="AS246" i="18" s="1"/>
  <c r="AT246" i="18" s="1"/>
  <c r="AU246" i="18" s="1"/>
  <c r="AV246" i="18" s="1"/>
  <c r="AW246" i="18" s="1"/>
  <c r="AX246" i="18" s="1"/>
  <c r="AO378" i="18"/>
  <c r="AP378" i="18" s="1"/>
  <c r="AQ378" i="18" s="1"/>
  <c r="AR378" i="18" s="1"/>
  <c r="AS378" i="18" s="1"/>
  <c r="AT378" i="18" s="1"/>
  <c r="AU378" i="18" s="1"/>
  <c r="AV378" i="18" s="1"/>
  <c r="AW378" i="18" s="1"/>
  <c r="AX378" i="18" s="1"/>
  <c r="AO32" i="18"/>
  <c r="AP32" i="18" s="1"/>
  <c r="AQ32" i="18" s="1"/>
  <c r="AR32" i="18" s="1"/>
  <c r="AS32" i="18" s="1"/>
  <c r="AT32" i="18" s="1"/>
  <c r="AU32" i="18" s="1"/>
  <c r="AV32" i="18" s="1"/>
  <c r="AW32" i="18" s="1"/>
  <c r="AX32" i="18" s="1"/>
  <c r="AO188" i="18"/>
  <c r="AP188" i="18" s="1"/>
  <c r="AQ188" i="18" s="1"/>
  <c r="AR188" i="18" s="1"/>
  <c r="AS188" i="18" s="1"/>
  <c r="AT188" i="18" s="1"/>
  <c r="AU188" i="18" s="1"/>
  <c r="AV188" i="18" s="1"/>
  <c r="AW188" i="18" s="1"/>
  <c r="AX188" i="18" s="1"/>
  <c r="AO270" i="18"/>
  <c r="AP270" i="18" s="1"/>
  <c r="AQ270" i="18" s="1"/>
  <c r="AR270" i="18" s="1"/>
  <c r="AS270" i="18" s="1"/>
  <c r="AT270" i="18" s="1"/>
  <c r="AU270" i="18" s="1"/>
  <c r="AV270" i="18" s="1"/>
  <c r="AW270" i="18" s="1"/>
  <c r="AX270" i="18" s="1"/>
  <c r="AO83" i="18"/>
  <c r="AP83" i="18" s="1"/>
  <c r="AQ83" i="18" s="1"/>
  <c r="AR83" i="18" s="1"/>
  <c r="AS83" i="18" s="1"/>
  <c r="AT83" i="18" s="1"/>
  <c r="AU83" i="18" s="1"/>
  <c r="AV83" i="18" s="1"/>
  <c r="AW83" i="18" s="1"/>
  <c r="AX83" i="18" s="1"/>
  <c r="AO192" i="18"/>
  <c r="AP192" i="18" s="1"/>
  <c r="AQ192" i="18" s="1"/>
  <c r="AR192" i="18" s="1"/>
  <c r="AS192" i="18" s="1"/>
  <c r="AT192" i="18" s="1"/>
  <c r="AU192" i="18" s="1"/>
  <c r="AV192" i="18" s="1"/>
  <c r="AW192" i="18" s="1"/>
  <c r="AX192" i="18" s="1"/>
  <c r="AO210" i="18"/>
  <c r="AP210" i="18" s="1"/>
  <c r="AQ210" i="18" s="1"/>
  <c r="AR210" i="18" s="1"/>
  <c r="AS210" i="18" s="1"/>
  <c r="AT210" i="18" s="1"/>
  <c r="AU210" i="18" s="1"/>
  <c r="AV210" i="18" s="1"/>
  <c r="AW210" i="18" s="1"/>
  <c r="AX210" i="18" s="1"/>
  <c r="AO316" i="18"/>
  <c r="AP316" i="18" s="1"/>
  <c r="AQ316" i="18" s="1"/>
  <c r="AR316" i="18" s="1"/>
  <c r="AS316" i="18" s="1"/>
  <c r="AT316" i="18" s="1"/>
  <c r="AU316" i="18" s="1"/>
  <c r="AV316" i="18" s="1"/>
  <c r="AW316" i="18" s="1"/>
  <c r="AX316" i="18" s="1"/>
  <c r="AO12" i="18"/>
  <c r="AP12" i="18" s="1"/>
  <c r="AQ12" i="18" s="1"/>
  <c r="AR12" i="18" s="1"/>
  <c r="AS12" i="18" s="1"/>
  <c r="AT12" i="18" s="1"/>
  <c r="AU12" i="18" s="1"/>
  <c r="AV12" i="18" s="1"/>
  <c r="AW12" i="18" s="1"/>
  <c r="AX12" i="18" s="1"/>
  <c r="AO317" i="18"/>
  <c r="AP317" i="18" s="1"/>
  <c r="AQ317" i="18" s="1"/>
  <c r="AR317" i="18" s="1"/>
  <c r="AS317" i="18" s="1"/>
  <c r="AT317" i="18" s="1"/>
  <c r="AU317" i="18" s="1"/>
  <c r="AV317" i="18" s="1"/>
  <c r="AW317" i="18" s="1"/>
  <c r="AX317" i="18" s="1"/>
  <c r="AO137" i="18"/>
  <c r="AP137" i="18" s="1"/>
  <c r="AQ137" i="18" s="1"/>
  <c r="AR137" i="18" s="1"/>
  <c r="AS137" i="18" s="1"/>
  <c r="AT137" i="18" s="1"/>
  <c r="AU137" i="18" s="1"/>
  <c r="AV137" i="18" s="1"/>
  <c r="AW137" i="18" s="1"/>
  <c r="AX137" i="18" s="1"/>
  <c r="AO321" i="18"/>
  <c r="AP321" i="18" s="1"/>
  <c r="AQ321" i="18" s="1"/>
  <c r="AR321" i="18" s="1"/>
  <c r="AS321" i="18" s="1"/>
  <c r="AT321" i="18" s="1"/>
  <c r="AU321" i="18" s="1"/>
  <c r="AV321" i="18" s="1"/>
  <c r="AW321" i="18" s="1"/>
  <c r="AX321" i="18" s="1"/>
  <c r="AO300" i="18"/>
  <c r="AP300" i="18" s="1"/>
  <c r="AQ300" i="18" s="1"/>
  <c r="AR300" i="18" s="1"/>
  <c r="AS300" i="18" s="1"/>
  <c r="AT300" i="18" s="1"/>
  <c r="AU300" i="18" s="1"/>
  <c r="AV300" i="18" s="1"/>
  <c r="AW300" i="18" s="1"/>
  <c r="AX300" i="18" s="1"/>
  <c r="AO152" i="18"/>
  <c r="AP152" i="18" s="1"/>
  <c r="AQ152" i="18" s="1"/>
  <c r="AR152" i="18" s="1"/>
  <c r="AS152" i="18" s="1"/>
  <c r="AT152" i="18" s="1"/>
  <c r="AU152" i="18" s="1"/>
  <c r="AV152" i="18" s="1"/>
  <c r="AW152" i="18" s="1"/>
  <c r="AX152" i="18" s="1"/>
  <c r="AO326" i="18"/>
  <c r="AP326" i="18" s="1"/>
  <c r="AQ326" i="18" s="1"/>
  <c r="AR326" i="18" s="1"/>
  <c r="AS326" i="18" s="1"/>
  <c r="AT326" i="18" s="1"/>
  <c r="AU326" i="18" s="1"/>
  <c r="AV326" i="18" s="1"/>
  <c r="AW326" i="18" s="1"/>
  <c r="AX326" i="18" s="1"/>
  <c r="AO418" i="18"/>
  <c r="AP418" i="18" s="1"/>
  <c r="AQ418" i="18" s="1"/>
  <c r="AR418" i="18" s="1"/>
  <c r="AS418" i="18" s="1"/>
  <c r="AT418" i="18" s="1"/>
  <c r="AU418" i="18" s="1"/>
  <c r="AV418" i="18" s="1"/>
  <c r="AW418" i="18" s="1"/>
  <c r="AX418" i="18" s="1"/>
  <c r="AO168" i="18"/>
  <c r="AP168" i="18" s="1"/>
  <c r="AQ168" i="18" s="1"/>
  <c r="AR168" i="18" s="1"/>
  <c r="AS168" i="18" s="1"/>
  <c r="AT168" i="18" s="1"/>
  <c r="AU168" i="18" s="1"/>
  <c r="AV168" i="18" s="1"/>
  <c r="AW168" i="18" s="1"/>
  <c r="AX168" i="18" s="1"/>
  <c r="AO84" i="18"/>
  <c r="AP84" i="18" s="1"/>
  <c r="AQ84" i="18" s="1"/>
  <c r="AR84" i="18" s="1"/>
  <c r="AS84" i="18" s="1"/>
  <c r="AT84" i="18" s="1"/>
  <c r="AU84" i="18" s="1"/>
  <c r="AV84" i="18" s="1"/>
  <c r="AW84" i="18" s="1"/>
  <c r="AX84" i="18" s="1"/>
  <c r="AO187" i="18"/>
  <c r="AP187" i="18" s="1"/>
  <c r="AQ187" i="18" s="1"/>
  <c r="AR187" i="18" s="1"/>
  <c r="AS187" i="18" s="1"/>
  <c r="AT187" i="18" s="1"/>
  <c r="AU187" i="18" s="1"/>
  <c r="AV187" i="18" s="1"/>
  <c r="AW187" i="18" s="1"/>
  <c r="AX187" i="18" s="1"/>
  <c r="AO303" i="18"/>
  <c r="AP303" i="18" s="1"/>
  <c r="AQ303" i="18" s="1"/>
  <c r="AR303" i="18" s="1"/>
  <c r="AS303" i="18" s="1"/>
  <c r="AT303" i="18" s="1"/>
  <c r="AU303" i="18" s="1"/>
  <c r="AV303" i="18" s="1"/>
  <c r="AW303" i="18" s="1"/>
  <c r="AX303" i="18" s="1"/>
  <c r="AO244" i="18"/>
  <c r="AP244" i="18" s="1"/>
  <c r="AQ244" i="18" s="1"/>
  <c r="AR244" i="18" s="1"/>
  <c r="AS244" i="18" s="1"/>
  <c r="AT244" i="18" s="1"/>
  <c r="AU244" i="18" s="1"/>
  <c r="AV244" i="18" s="1"/>
  <c r="AW244" i="18" s="1"/>
  <c r="AX244" i="18" s="1"/>
  <c r="AO2" i="18"/>
  <c r="AP2" i="18" s="1"/>
  <c r="AQ2" i="18" s="1"/>
  <c r="AR2" i="18" s="1"/>
  <c r="AS2" i="18" s="1"/>
  <c r="AT2" i="18" s="1"/>
  <c r="AU2" i="18" s="1"/>
  <c r="AV2" i="18" s="1"/>
  <c r="AW2" i="18" s="1"/>
  <c r="AX2" i="18" s="1"/>
  <c r="AO228" i="18"/>
  <c r="AP228" i="18" s="1"/>
  <c r="AQ228" i="18" s="1"/>
  <c r="AR228" i="18" s="1"/>
  <c r="AS228" i="18" s="1"/>
  <c r="AT228" i="18" s="1"/>
  <c r="AU228" i="18" s="1"/>
  <c r="AV228" i="18" s="1"/>
  <c r="AW228" i="18" s="1"/>
  <c r="AX228" i="18" s="1"/>
  <c r="AO274" i="18"/>
  <c r="AP274" i="18" s="1"/>
  <c r="AQ274" i="18" s="1"/>
  <c r="AR274" i="18" s="1"/>
  <c r="AS274" i="18" s="1"/>
  <c r="AT274" i="18" s="1"/>
  <c r="AU274" i="18" s="1"/>
  <c r="AV274" i="18" s="1"/>
  <c r="AW274" i="18" s="1"/>
  <c r="AX274" i="18" s="1"/>
  <c r="AO287" i="18"/>
  <c r="AP287" i="18" s="1"/>
  <c r="AQ287" i="18" s="1"/>
  <c r="AR287" i="18" s="1"/>
  <c r="AS287" i="18" s="1"/>
  <c r="AT287" i="18" s="1"/>
  <c r="AU287" i="18" s="1"/>
  <c r="AV287" i="18" s="1"/>
  <c r="AW287" i="18" s="1"/>
  <c r="AX287" i="18" s="1"/>
  <c r="AO96" i="18"/>
  <c r="AP96" i="18" s="1"/>
  <c r="AQ96" i="18" s="1"/>
  <c r="AR96" i="18" s="1"/>
  <c r="AS96" i="18" s="1"/>
  <c r="AT96" i="18" s="1"/>
  <c r="AU96" i="18" s="1"/>
  <c r="AV96" i="18" s="1"/>
  <c r="AW96" i="18" s="1"/>
  <c r="AX96" i="18" s="1"/>
  <c r="AO258" i="18"/>
  <c r="AP258" i="18" s="1"/>
  <c r="AQ258" i="18" s="1"/>
  <c r="AR258" i="18" s="1"/>
  <c r="AS258" i="18" s="1"/>
  <c r="AT258" i="18" s="1"/>
  <c r="AU258" i="18" s="1"/>
  <c r="AV258" i="18" s="1"/>
  <c r="AW258" i="18" s="1"/>
  <c r="AX258" i="18" s="1"/>
  <c r="AO267" i="18"/>
  <c r="AP267" i="18" s="1"/>
  <c r="AQ267" i="18" s="1"/>
  <c r="AR267" i="18" s="1"/>
  <c r="AS267" i="18" s="1"/>
  <c r="AT267" i="18" s="1"/>
  <c r="AU267" i="18" s="1"/>
  <c r="AV267" i="18" s="1"/>
  <c r="AW267" i="18" s="1"/>
  <c r="AX267" i="18" s="1"/>
  <c r="AO252" i="18"/>
  <c r="AP252" i="18" s="1"/>
  <c r="AQ252" i="18" s="1"/>
  <c r="AR252" i="18" s="1"/>
  <c r="AS252" i="18" s="1"/>
  <c r="AT252" i="18" s="1"/>
  <c r="AU252" i="18" s="1"/>
  <c r="AV252" i="18" s="1"/>
  <c r="AW252" i="18" s="1"/>
  <c r="AX252" i="18" s="1"/>
  <c r="AO257" i="18"/>
  <c r="AP257" i="18" s="1"/>
  <c r="AQ257" i="18" s="1"/>
  <c r="AR257" i="18" s="1"/>
  <c r="AS257" i="18" s="1"/>
  <c r="AT257" i="18" s="1"/>
  <c r="AU257" i="18" s="1"/>
  <c r="AV257" i="18" s="1"/>
  <c r="AW257" i="18" s="1"/>
  <c r="AX257" i="18" s="1"/>
  <c r="AO226" i="18"/>
  <c r="AP226" i="18" s="1"/>
  <c r="AQ226" i="18" s="1"/>
  <c r="AR226" i="18" s="1"/>
  <c r="AS226" i="18" s="1"/>
  <c r="AT226" i="18" s="1"/>
  <c r="AU226" i="18" s="1"/>
  <c r="AV226" i="18" s="1"/>
  <c r="AW226" i="18" s="1"/>
  <c r="AX226" i="18" s="1"/>
  <c r="AO237" i="18"/>
  <c r="AP237" i="18" s="1"/>
  <c r="AQ237" i="18" s="1"/>
  <c r="AR237" i="18" s="1"/>
  <c r="AS237" i="18" s="1"/>
  <c r="AT237" i="18" s="1"/>
  <c r="AU237" i="18" s="1"/>
  <c r="AV237" i="18" s="1"/>
  <c r="AW237" i="18" s="1"/>
  <c r="AX237" i="18" s="1"/>
  <c r="AO392" i="18"/>
  <c r="AP392" i="18" s="1"/>
  <c r="AQ392" i="18" s="1"/>
  <c r="AR392" i="18" s="1"/>
  <c r="AS392" i="18" s="1"/>
  <c r="AT392" i="18" s="1"/>
  <c r="AU392" i="18" s="1"/>
  <c r="AV392" i="18" s="1"/>
  <c r="AW392" i="18" s="1"/>
  <c r="AX392" i="18" s="1"/>
  <c r="AO64" i="18"/>
  <c r="AP64" i="18" s="1"/>
  <c r="AQ64" i="18" s="1"/>
  <c r="AR64" i="18" s="1"/>
  <c r="AS64" i="18" s="1"/>
  <c r="AT64" i="18" s="1"/>
  <c r="AU64" i="18" s="1"/>
  <c r="AV64" i="18" s="1"/>
  <c r="AW64" i="18" s="1"/>
  <c r="AX64" i="18" s="1"/>
  <c r="AO86" i="18"/>
  <c r="AP86" i="18" s="1"/>
  <c r="AQ86" i="18" s="1"/>
  <c r="AR86" i="18" s="1"/>
  <c r="AS86" i="18" s="1"/>
  <c r="AT86" i="18" s="1"/>
  <c r="AU86" i="18" s="1"/>
  <c r="AV86" i="18" s="1"/>
  <c r="AW86" i="18" s="1"/>
  <c r="AX86" i="18" s="1"/>
  <c r="AO315" i="18"/>
  <c r="AP315" i="18" s="1"/>
  <c r="AQ315" i="18" s="1"/>
  <c r="AR315" i="18" s="1"/>
  <c r="AS315" i="18" s="1"/>
  <c r="AT315" i="18" s="1"/>
  <c r="AU315" i="18" s="1"/>
  <c r="AV315" i="18" s="1"/>
  <c r="AW315" i="18" s="1"/>
  <c r="AX315" i="18" s="1"/>
  <c r="AO204" i="18"/>
  <c r="AP204" i="18" s="1"/>
  <c r="AQ204" i="18" s="1"/>
  <c r="AR204" i="18" s="1"/>
  <c r="AS204" i="18" s="1"/>
  <c r="AT204" i="18" s="1"/>
  <c r="AU204" i="18" s="1"/>
  <c r="AV204" i="18" s="1"/>
  <c r="AW204" i="18" s="1"/>
  <c r="AX204" i="18" s="1"/>
  <c r="AO276" i="18"/>
  <c r="AP276" i="18" s="1"/>
  <c r="AQ276" i="18" s="1"/>
  <c r="AR276" i="18" s="1"/>
  <c r="AS276" i="18" s="1"/>
  <c r="AT276" i="18" s="1"/>
  <c r="AU276" i="18" s="1"/>
  <c r="AV276" i="18" s="1"/>
  <c r="AW276" i="18" s="1"/>
  <c r="AX276" i="18" s="1"/>
  <c r="AO15" i="18"/>
  <c r="AP15" i="18" s="1"/>
  <c r="AQ15" i="18" s="1"/>
  <c r="AR15" i="18" s="1"/>
  <c r="AS15" i="18" s="1"/>
  <c r="AT15" i="18" s="1"/>
  <c r="AU15" i="18" s="1"/>
  <c r="AV15" i="18" s="1"/>
  <c r="AW15" i="18" s="1"/>
  <c r="AX15" i="18" s="1"/>
  <c r="AO241" i="18"/>
  <c r="AP241" i="18" s="1"/>
  <c r="AQ241" i="18" s="1"/>
  <c r="AR241" i="18" s="1"/>
  <c r="AS241" i="18" s="1"/>
  <c r="AT241" i="18" s="1"/>
  <c r="AU241" i="18" s="1"/>
  <c r="AV241" i="18" s="1"/>
  <c r="AW241" i="18" s="1"/>
  <c r="AX241" i="18" s="1"/>
  <c r="AO308" i="18"/>
  <c r="AP308" i="18" s="1"/>
  <c r="AQ308" i="18" s="1"/>
  <c r="AR308" i="18" s="1"/>
  <c r="AS308" i="18" s="1"/>
  <c r="AT308" i="18" s="1"/>
  <c r="AU308" i="18" s="1"/>
  <c r="AV308" i="18" s="1"/>
  <c r="AW308" i="18" s="1"/>
  <c r="AX308" i="18" s="1"/>
  <c r="AO197" i="18"/>
  <c r="AP197" i="18" s="1"/>
  <c r="AQ197" i="18" s="1"/>
  <c r="AR197" i="18" s="1"/>
  <c r="AS197" i="18" s="1"/>
  <c r="AT197" i="18" s="1"/>
  <c r="AU197" i="18" s="1"/>
  <c r="AV197" i="18" s="1"/>
  <c r="AW197" i="18" s="1"/>
  <c r="AX197" i="18" s="1"/>
  <c r="AO248" i="18"/>
  <c r="AP248" i="18" s="1"/>
  <c r="AQ248" i="18" s="1"/>
  <c r="AR248" i="18" s="1"/>
  <c r="AS248" i="18" s="1"/>
  <c r="AT248" i="18" s="1"/>
  <c r="AU248" i="18" s="1"/>
  <c r="AV248" i="18" s="1"/>
  <c r="AW248" i="18" s="1"/>
  <c r="AX248" i="18" s="1"/>
  <c r="AO284" i="18"/>
  <c r="AP284" i="18" s="1"/>
  <c r="AQ284" i="18" s="1"/>
  <c r="AR284" i="18" s="1"/>
  <c r="AS284" i="18" s="1"/>
  <c r="AT284" i="18" s="1"/>
  <c r="AU284" i="18" s="1"/>
  <c r="AV284" i="18" s="1"/>
  <c r="AW284" i="18" s="1"/>
  <c r="AX284" i="18" s="1"/>
  <c r="AO279" i="18"/>
  <c r="AP279" i="18" s="1"/>
  <c r="AQ279" i="18" s="1"/>
  <c r="AR279" i="18" s="1"/>
  <c r="AS279" i="18" s="1"/>
  <c r="AT279" i="18" s="1"/>
  <c r="AU279" i="18" s="1"/>
  <c r="AV279" i="18" s="1"/>
  <c r="AW279" i="18" s="1"/>
  <c r="AX279" i="18" s="1"/>
  <c r="AO148" i="18"/>
  <c r="AP148" i="18" s="1"/>
  <c r="AQ148" i="18" s="1"/>
  <c r="AR148" i="18" s="1"/>
  <c r="AS148" i="18" s="1"/>
  <c r="AT148" i="18" s="1"/>
  <c r="AU148" i="18" s="1"/>
  <c r="AV148" i="18" s="1"/>
  <c r="AW148" i="18" s="1"/>
  <c r="AX148" i="18" s="1"/>
  <c r="AO81" i="18"/>
  <c r="AP81" i="18" s="1"/>
  <c r="AQ81" i="18" s="1"/>
  <c r="AR81" i="18" s="1"/>
  <c r="AS81" i="18" s="1"/>
  <c r="AT81" i="18" s="1"/>
  <c r="AU81" i="18" s="1"/>
  <c r="AV81" i="18" s="1"/>
  <c r="AW81" i="18" s="1"/>
  <c r="AX81" i="18" s="1"/>
  <c r="AO411" i="18"/>
  <c r="AP411" i="18" s="1"/>
  <c r="AQ411" i="18" s="1"/>
  <c r="AR411" i="18" s="1"/>
  <c r="AS411" i="18" s="1"/>
  <c r="AT411" i="18" s="1"/>
  <c r="AU411" i="18" s="1"/>
  <c r="AV411" i="18" s="1"/>
  <c r="AW411" i="18" s="1"/>
  <c r="AX411" i="18" s="1"/>
  <c r="AO266" i="18"/>
  <c r="AP266" i="18" s="1"/>
  <c r="AQ266" i="18" s="1"/>
  <c r="AR266" i="18" s="1"/>
  <c r="AS266" i="18" s="1"/>
  <c r="AT266" i="18" s="1"/>
  <c r="AU266" i="18" s="1"/>
  <c r="AV266" i="18" s="1"/>
  <c r="AW266" i="18" s="1"/>
  <c r="AX266" i="18" s="1"/>
  <c r="AO318" i="18"/>
  <c r="AP318" i="18" s="1"/>
  <c r="AQ318" i="18" s="1"/>
  <c r="AR318" i="18" s="1"/>
  <c r="AS318" i="18" s="1"/>
  <c r="AT318" i="18" s="1"/>
  <c r="AU318" i="18" s="1"/>
  <c r="AV318" i="18" s="1"/>
  <c r="AW318" i="18" s="1"/>
  <c r="AX318" i="18" s="1"/>
  <c r="AO40" i="18"/>
  <c r="AP40" i="18" s="1"/>
  <c r="AQ40" i="18" s="1"/>
  <c r="AR40" i="18" s="1"/>
  <c r="AS40" i="18" s="1"/>
  <c r="AT40" i="18" s="1"/>
  <c r="AU40" i="18" s="1"/>
  <c r="AV40" i="18" s="1"/>
  <c r="AW40" i="18" s="1"/>
  <c r="AX40" i="18" s="1"/>
  <c r="AO3" i="18"/>
  <c r="AP3" i="18" s="1"/>
  <c r="AQ3" i="18" s="1"/>
  <c r="AR3" i="18" s="1"/>
  <c r="AS3" i="18" s="1"/>
  <c r="AT3" i="18" s="1"/>
  <c r="AU3" i="18" s="1"/>
  <c r="AV3" i="18" s="1"/>
  <c r="AW3" i="18" s="1"/>
  <c r="AX3" i="18" s="1"/>
  <c r="AO208" i="18"/>
  <c r="AP208" i="18" s="1"/>
  <c r="AQ208" i="18" s="1"/>
  <c r="AR208" i="18" s="1"/>
  <c r="AS208" i="18" s="1"/>
  <c r="AT208" i="18" s="1"/>
  <c r="AU208" i="18" s="1"/>
  <c r="AV208" i="18" s="1"/>
  <c r="AW208" i="18" s="1"/>
  <c r="AX208" i="18" s="1"/>
  <c r="AO253" i="18"/>
  <c r="AP253" i="18" s="1"/>
  <c r="AQ253" i="18" s="1"/>
  <c r="AR253" i="18" s="1"/>
  <c r="AS253" i="18" s="1"/>
  <c r="AT253" i="18" s="1"/>
  <c r="AU253" i="18" s="1"/>
  <c r="AV253" i="18" s="1"/>
  <c r="AW253" i="18" s="1"/>
  <c r="AX253" i="18" s="1"/>
  <c r="AO30" i="18"/>
  <c r="AP30" i="18" s="1"/>
  <c r="AQ30" i="18" s="1"/>
  <c r="AR30" i="18" s="1"/>
  <c r="AS30" i="18" s="1"/>
  <c r="AT30" i="18" s="1"/>
  <c r="AU30" i="18" s="1"/>
  <c r="AV30" i="18" s="1"/>
  <c r="AW30" i="18" s="1"/>
  <c r="AX30" i="18" s="1"/>
  <c r="AO223" i="18"/>
  <c r="AP223" i="18" s="1"/>
  <c r="AQ223" i="18" s="1"/>
  <c r="AR223" i="18" s="1"/>
  <c r="AS223" i="18" s="1"/>
  <c r="AT223" i="18" s="1"/>
  <c r="AU223" i="18" s="1"/>
  <c r="AV223" i="18" s="1"/>
  <c r="AW223" i="18" s="1"/>
  <c r="AX223" i="18" s="1"/>
  <c r="AO47" i="18"/>
  <c r="AP47" i="18" s="1"/>
  <c r="AQ47" i="18" s="1"/>
  <c r="AR47" i="18" s="1"/>
  <c r="AS47" i="18" s="1"/>
  <c r="AT47" i="18" s="1"/>
  <c r="AU47" i="18" s="1"/>
  <c r="AV47" i="18" s="1"/>
  <c r="AW47" i="18" s="1"/>
  <c r="AX47" i="18" s="1"/>
  <c r="AO324" i="18"/>
  <c r="AP324" i="18" s="1"/>
  <c r="AQ324" i="18" s="1"/>
  <c r="AR324" i="18" s="1"/>
  <c r="AS324" i="18" s="1"/>
  <c r="AT324" i="18" s="1"/>
  <c r="AU324" i="18" s="1"/>
  <c r="AV324" i="18" s="1"/>
  <c r="AW324" i="18" s="1"/>
  <c r="AX324" i="18" s="1"/>
  <c r="AO263" i="18"/>
  <c r="AP263" i="18" s="1"/>
  <c r="AQ263" i="18" s="1"/>
  <c r="AR263" i="18" s="1"/>
  <c r="AS263" i="18" s="1"/>
  <c r="AT263" i="18" s="1"/>
  <c r="AU263" i="18" s="1"/>
  <c r="AV263" i="18" s="1"/>
  <c r="AW263" i="18" s="1"/>
  <c r="AX263" i="18" s="1"/>
  <c r="AO126" i="18"/>
  <c r="AP126" i="18" s="1"/>
  <c r="AQ126" i="18" s="1"/>
  <c r="AR126" i="18" s="1"/>
  <c r="AS126" i="18" s="1"/>
  <c r="AT126" i="18" s="1"/>
  <c r="AU126" i="18" s="1"/>
  <c r="AV126" i="18" s="1"/>
  <c r="AW126" i="18" s="1"/>
  <c r="AX126" i="18" s="1"/>
  <c r="AO298" i="18"/>
  <c r="AP298" i="18" s="1"/>
  <c r="AQ298" i="18" s="1"/>
  <c r="AR298" i="18" s="1"/>
  <c r="AS298" i="18" s="1"/>
  <c r="AT298" i="18" s="1"/>
  <c r="AU298" i="18" s="1"/>
  <c r="AV298" i="18" s="1"/>
  <c r="AW298" i="18" s="1"/>
  <c r="AX298" i="18" s="1"/>
  <c r="AO390" i="18"/>
  <c r="AP390" i="18" s="1"/>
  <c r="AQ390" i="18" s="1"/>
  <c r="AR390" i="18" s="1"/>
  <c r="AS390" i="18" s="1"/>
  <c r="AT390" i="18" s="1"/>
  <c r="AU390" i="18" s="1"/>
  <c r="AV390" i="18" s="1"/>
  <c r="AW390" i="18" s="1"/>
  <c r="AX390" i="18" s="1"/>
  <c r="AO57" i="18"/>
  <c r="AP57" i="18" s="1"/>
  <c r="AQ57" i="18" s="1"/>
  <c r="AR57" i="18" s="1"/>
  <c r="AS57" i="18" s="1"/>
  <c r="AT57" i="18" s="1"/>
  <c r="AU57" i="18" s="1"/>
  <c r="AV57" i="18" s="1"/>
  <c r="AW57" i="18" s="1"/>
  <c r="AX57" i="18" s="1"/>
  <c r="AO216" i="18"/>
  <c r="AP216" i="18" s="1"/>
  <c r="AQ216" i="18" s="1"/>
  <c r="AR216" i="18" s="1"/>
  <c r="AS216" i="18" s="1"/>
  <c r="AT216" i="18" s="1"/>
  <c r="AU216" i="18" s="1"/>
  <c r="AV216" i="18" s="1"/>
  <c r="AW216" i="18" s="1"/>
  <c r="AX216" i="18" s="1"/>
  <c r="AO242" i="18"/>
  <c r="AP242" i="18" s="1"/>
  <c r="AQ242" i="18" s="1"/>
  <c r="AR242" i="18" s="1"/>
  <c r="AS242" i="18" s="1"/>
  <c r="AT242" i="18" s="1"/>
  <c r="AU242" i="18" s="1"/>
  <c r="AV242" i="18" s="1"/>
  <c r="AW242" i="18" s="1"/>
  <c r="AX242" i="18" s="1"/>
  <c r="AO203" i="18"/>
  <c r="AP203" i="18" s="1"/>
  <c r="AQ203" i="18" s="1"/>
  <c r="AR203" i="18" s="1"/>
  <c r="AS203" i="18" s="1"/>
  <c r="AT203" i="18" s="1"/>
  <c r="AU203" i="18" s="1"/>
  <c r="AV203" i="18" s="1"/>
  <c r="AW203" i="18" s="1"/>
  <c r="AX203" i="18" s="1"/>
  <c r="AO256" i="18"/>
  <c r="AP256" i="18" s="1"/>
  <c r="AQ256" i="18" s="1"/>
  <c r="AR256" i="18" s="1"/>
  <c r="AS256" i="18" s="1"/>
  <c r="AT256" i="18" s="1"/>
  <c r="AU256" i="18" s="1"/>
  <c r="AV256" i="18" s="1"/>
  <c r="AW256" i="18" s="1"/>
  <c r="AX256" i="18" s="1"/>
  <c r="AO296" i="18"/>
  <c r="AP296" i="18" s="1"/>
  <c r="AQ296" i="18" s="1"/>
  <c r="AR296" i="18" s="1"/>
  <c r="AS296" i="18" s="1"/>
  <c r="AT296" i="18" s="1"/>
  <c r="AU296" i="18" s="1"/>
  <c r="AV296" i="18" s="1"/>
  <c r="AW296" i="18" s="1"/>
  <c r="AX296" i="18" s="1"/>
  <c r="AO85" i="18"/>
  <c r="AP85" i="18" s="1"/>
  <c r="AQ85" i="18" s="1"/>
  <c r="AR85" i="18" s="1"/>
  <c r="AS85" i="18" s="1"/>
  <c r="AT85" i="18" s="1"/>
  <c r="AU85" i="18" s="1"/>
  <c r="AV85" i="18" s="1"/>
  <c r="AW85" i="18" s="1"/>
  <c r="AX85" i="18" s="1"/>
  <c r="AO121" i="18"/>
  <c r="AP121" i="18" s="1"/>
  <c r="AQ121" i="18" s="1"/>
  <c r="AR121" i="18" s="1"/>
  <c r="AS121" i="18" s="1"/>
  <c r="AT121" i="18" s="1"/>
  <c r="AU121" i="18" s="1"/>
  <c r="AV121" i="18" s="1"/>
  <c r="AW121" i="18" s="1"/>
  <c r="AX121" i="18" s="1"/>
  <c r="AO119" i="18"/>
  <c r="AP119" i="18" s="1"/>
  <c r="AQ119" i="18" s="1"/>
  <c r="AR119" i="18" s="1"/>
  <c r="AS119" i="18" s="1"/>
  <c r="AT119" i="18" s="1"/>
  <c r="AU119" i="18" s="1"/>
  <c r="AV119" i="18" s="1"/>
  <c r="AW119" i="18" s="1"/>
  <c r="AX119" i="18" s="1"/>
  <c r="AO282" i="18"/>
  <c r="AP282" i="18" s="1"/>
  <c r="AQ282" i="18" s="1"/>
  <c r="AR282" i="18" s="1"/>
  <c r="AS282" i="18" s="1"/>
  <c r="AT282" i="18" s="1"/>
  <c r="AU282" i="18" s="1"/>
  <c r="AV282" i="18" s="1"/>
  <c r="AW282" i="18" s="1"/>
  <c r="AX282" i="18" s="1"/>
  <c r="AO272" i="18"/>
  <c r="AP272" i="18" s="1"/>
  <c r="AQ272" i="18" s="1"/>
  <c r="AR272" i="18" s="1"/>
  <c r="AS272" i="18" s="1"/>
  <c r="AT272" i="18" s="1"/>
  <c r="AU272" i="18" s="1"/>
  <c r="AV272" i="18" s="1"/>
  <c r="AW272" i="18" s="1"/>
  <c r="AX272" i="18" s="1"/>
  <c r="AO314" i="18"/>
  <c r="AP314" i="18" s="1"/>
  <c r="AQ314" i="18" s="1"/>
  <c r="AR314" i="18" s="1"/>
  <c r="AS314" i="18" s="1"/>
  <c r="AT314" i="18" s="1"/>
  <c r="AU314" i="18" s="1"/>
  <c r="AV314" i="18" s="1"/>
  <c r="AW314" i="18" s="1"/>
  <c r="AX314" i="18" s="1"/>
  <c r="AO319" i="18"/>
  <c r="AP319" i="18" s="1"/>
  <c r="AQ319" i="18" s="1"/>
  <c r="AR319" i="18" s="1"/>
  <c r="AS319" i="18" s="1"/>
  <c r="AT319" i="18" s="1"/>
  <c r="AU319" i="18" s="1"/>
  <c r="AV319" i="18" s="1"/>
  <c r="AW319" i="18" s="1"/>
  <c r="AX319" i="18" s="1"/>
  <c r="AO239" i="18"/>
  <c r="AP239" i="18" s="1"/>
  <c r="AQ239" i="18" s="1"/>
  <c r="AR239" i="18" s="1"/>
  <c r="AS239" i="18" s="1"/>
  <c r="AT239" i="18" s="1"/>
  <c r="AU239" i="18" s="1"/>
  <c r="AV239" i="18" s="1"/>
  <c r="AW239" i="18" s="1"/>
  <c r="AX239" i="18" s="1"/>
  <c r="AO255" i="18"/>
  <c r="AP255" i="18" s="1"/>
  <c r="AQ255" i="18" s="1"/>
  <c r="AR255" i="18" s="1"/>
  <c r="AS255" i="18" s="1"/>
  <c r="AT255" i="18" s="1"/>
  <c r="AU255" i="18" s="1"/>
  <c r="AV255" i="18" s="1"/>
  <c r="AW255" i="18" s="1"/>
  <c r="AX255" i="18" s="1"/>
  <c r="AO157" i="18"/>
  <c r="AP157" i="18" s="1"/>
  <c r="AQ157" i="18" s="1"/>
  <c r="AR157" i="18" s="1"/>
  <c r="AS157" i="18" s="1"/>
  <c r="AT157" i="18" s="1"/>
  <c r="AU157" i="18" s="1"/>
  <c r="AV157" i="18" s="1"/>
  <c r="AW157" i="18" s="1"/>
  <c r="AX157" i="18" s="1"/>
  <c r="AO243" i="18"/>
  <c r="AP243" i="18" s="1"/>
  <c r="AQ243" i="18" s="1"/>
  <c r="AR243" i="18" s="1"/>
  <c r="AS243" i="18" s="1"/>
  <c r="AT243" i="18" s="1"/>
  <c r="AU243" i="18" s="1"/>
  <c r="AV243" i="18" s="1"/>
  <c r="AW243" i="18" s="1"/>
  <c r="AX243" i="18" s="1"/>
  <c r="AO117" i="18"/>
  <c r="AP117" i="18" s="1"/>
  <c r="AQ117" i="18" s="1"/>
  <c r="AR117" i="18" s="1"/>
  <c r="AS117" i="18" s="1"/>
  <c r="AT117" i="18" s="1"/>
  <c r="AU117" i="18" s="1"/>
  <c r="AV117" i="18" s="1"/>
  <c r="AW117" i="18" s="1"/>
  <c r="AX117" i="18" s="1"/>
  <c r="AO38" i="18"/>
  <c r="AP38" i="18" s="1"/>
  <c r="AQ38" i="18" s="1"/>
  <c r="AR38" i="18" s="1"/>
  <c r="AS38" i="18" s="1"/>
  <c r="AT38" i="18" s="1"/>
  <c r="AU38" i="18" s="1"/>
  <c r="AV38" i="18" s="1"/>
  <c r="AW38" i="18" s="1"/>
  <c r="AX38" i="18" s="1"/>
  <c r="AO139" i="18"/>
  <c r="AP139" i="18" s="1"/>
  <c r="AQ139" i="18" s="1"/>
  <c r="AR139" i="18" s="1"/>
  <c r="AS139" i="18" s="1"/>
  <c r="AT139" i="18" s="1"/>
  <c r="AU139" i="18" s="1"/>
  <c r="AV139" i="18" s="1"/>
  <c r="AW139" i="18" s="1"/>
  <c r="AX139" i="18" s="1"/>
  <c r="AO275" i="18"/>
  <c r="AP275" i="18" s="1"/>
  <c r="AQ275" i="18" s="1"/>
  <c r="AR275" i="18" s="1"/>
  <c r="AS275" i="18" s="1"/>
  <c r="AT275" i="18" s="1"/>
  <c r="AU275" i="18" s="1"/>
  <c r="AV275" i="18" s="1"/>
  <c r="AW275" i="18" s="1"/>
  <c r="AX275" i="18" s="1"/>
  <c r="AO10" i="18"/>
  <c r="AP10" i="18" s="1"/>
  <c r="AQ10" i="18" s="1"/>
  <c r="AR10" i="18" s="1"/>
  <c r="AS10" i="18" s="1"/>
  <c r="AT10" i="18" s="1"/>
  <c r="AU10" i="18" s="1"/>
  <c r="AV10" i="18" s="1"/>
  <c r="AW10" i="18" s="1"/>
  <c r="AX10" i="18" s="1"/>
  <c r="AO232" i="18"/>
  <c r="AP232" i="18" s="1"/>
  <c r="AQ232" i="18" s="1"/>
  <c r="AR232" i="18" s="1"/>
  <c r="AS232" i="18" s="1"/>
  <c r="AT232" i="18" s="1"/>
  <c r="AU232" i="18" s="1"/>
  <c r="AV232" i="18" s="1"/>
  <c r="AW232" i="18" s="1"/>
  <c r="AX232" i="18" s="1"/>
  <c r="AO186" i="18"/>
  <c r="AP186" i="18" s="1"/>
  <c r="AQ186" i="18" s="1"/>
  <c r="AR186" i="18" s="1"/>
  <c r="AS186" i="18" s="1"/>
  <c r="AT186" i="18" s="1"/>
  <c r="AU186" i="18" s="1"/>
  <c r="AV186" i="18" s="1"/>
  <c r="AW186" i="18" s="1"/>
  <c r="AX186" i="18" s="1"/>
  <c r="AO278" i="18"/>
  <c r="AP278" i="18" s="1"/>
  <c r="AQ278" i="18" s="1"/>
  <c r="AR278" i="18" s="1"/>
  <c r="AS278" i="18" s="1"/>
  <c r="AT278" i="18" s="1"/>
  <c r="AU278" i="18" s="1"/>
  <c r="AV278" i="18" s="1"/>
  <c r="AW278" i="18" s="1"/>
  <c r="AX278" i="18" s="1"/>
  <c r="AO260" i="18"/>
  <c r="AP260" i="18" s="1"/>
  <c r="AQ260" i="18" s="1"/>
  <c r="AR260" i="18" s="1"/>
  <c r="AS260" i="18" s="1"/>
  <c r="AT260" i="18" s="1"/>
  <c r="AU260" i="18" s="1"/>
  <c r="AV260" i="18" s="1"/>
  <c r="AW260" i="18" s="1"/>
  <c r="AX260" i="18" s="1"/>
  <c r="AO219" i="18"/>
  <c r="AP219" i="18" s="1"/>
  <c r="AQ219" i="18" s="1"/>
  <c r="AR219" i="18" s="1"/>
  <c r="AS219" i="18" s="1"/>
  <c r="AT219" i="18" s="1"/>
  <c r="AU219" i="18" s="1"/>
  <c r="AV219" i="18" s="1"/>
  <c r="AW219" i="18" s="1"/>
  <c r="AX219" i="18" s="1"/>
  <c r="AO150" i="18"/>
  <c r="AP150" i="18" s="1"/>
  <c r="AQ150" i="18" s="1"/>
  <c r="AR150" i="18" s="1"/>
  <c r="AS150" i="18" s="1"/>
  <c r="AT150" i="18" s="1"/>
  <c r="AU150" i="18" s="1"/>
  <c r="AV150" i="18" s="1"/>
  <c r="AW150" i="18" s="1"/>
  <c r="AX150" i="18" s="1"/>
  <c r="AO176" i="18"/>
  <c r="AP176" i="18" s="1"/>
  <c r="AQ176" i="18" s="1"/>
  <c r="AR176" i="18" s="1"/>
  <c r="AS176" i="18" s="1"/>
  <c r="AT176" i="18" s="1"/>
  <c r="AU176" i="18" s="1"/>
  <c r="AV176" i="18" s="1"/>
  <c r="AW176" i="18" s="1"/>
  <c r="AX176" i="18" s="1"/>
  <c r="AO78" i="18"/>
  <c r="AP78" i="18" s="1"/>
  <c r="AQ78" i="18" s="1"/>
  <c r="AR78" i="18" s="1"/>
  <c r="AS78" i="18" s="1"/>
  <c r="AT78" i="18" s="1"/>
  <c r="AU78" i="18" s="1"/>
  <c r="AV78" i="18" s="1"/>
  <c r="AW78" i="18" s="1"/>
  <c r="AX78" i="18" s="1"/>
  <c r="AO422" i="18"/>
  <c r="AP422" i="18" s="1"/>
  <c r="AQ422" i="18" s="1"/>
  <c r="AR422" i="18" s="1"/>
  <c r="AS422" i="18" s="1"/>
  <c r="AT422" i="18" s="1"/>
  <c r="AU422" i="18" s="1"/>
  <c r="AV422" i="18" s="1"/>
  <c r="AW422" i="18" s="1"/>
  <c r="AX422" i="18" s="1"/>
  <c r="AO377" i="18"/>
  <c r="AP377" i="18" s="1"/>
  <c r="AQ377" i="18" s="1"/>
  <c r="AR377" i="18" s="1"/>
  <c r="AS377" i="18" s="1"/>
  <c r="AT377" i="18" s="1"/>
  <c r="AU377" i="18" s="1"/>
  <c r="AV377" i="18" s="1"/>
  <c r="AW377" i="18" s="1"/>
  <c r="AX377" i="18" s="1"/>
  <c r="AO297" i="18"/>
  <c r="AP297" i="18" s="1"/>
  <c r="AQ297" i="18" s="1"/>
  <c r="AR297" i="18" s="1"/>
  <c r="AS297" i="18" s="1"/>
  <c r="AT297" i="18" s="1"/>
  <c r="AU297" i="18" s="1"/>
  <c r="AV297" i="18" s="1"/>
  <c r="AW297" i="18" s="1"/>
  <c r="AX297" i="18" s="1"/>
  <c r="AO312" i="18"/>
  <c r="AP312" i="18" s="1"/>
  <c r="AQ312" i="18" s="1"/>
  <c r="AR312" i="18" s="1"/>
  <c r="AS312" i="18" s="1"/>
  <c r="AT312" i="18" s="1"/>
  <c r="AU312" i="18" s="1"/>
  <c r="AV312" i="18" s="1"/>
  <c r="AW312" i="18" s="1"/>
  <c r="AX312" i="18" s="1"/>
  <c r="AO42" i="18"/>
  <c r="AP42" i="18" s="1"/>
  <c r="AQ42" i="18" s="1"/>
  <c r="AR42" i="18" s="1"/>
  <c r="AS42" i="18" s="1"/>
  <c r="AT42" i="18" s="1"/>
  <c r="AU42" i="18" s="1"/>
  <c r="AV42" i="18" s="1"/>
  <c r="AW42" i="18" s="1"/>
  <c r="AX42" i="18" s="1"/>
  <c r="AO304" i="18"/>
  <c r="AP304" i="18" s="1"/>
  <c r="AQ304" i="18" s="1"/>
  <c r="AR304" i="18" s="1"/>
  <c r="AS304" i="18" s="1"/>
  <c r="AT304" i="18" s="1"/>
  <c r="AU304" i="18" s="1"/>
  <c r="AV304" i="18" s="1"/>
  <c r="AW304" i="18" s="1"/>
  <c r="AX304" i="18" s="1"/>
  <c r="AO43" i="18"/>
  <c r="AP43" i="18" s="1"/>
  <c r="AQ43" i="18" s="1"/>
  <c r="AR43" i="18" s="1"/>
  <c r="AS43" i="18" s="1"/>
  <c r="AT43" i="18" s="1"/>
  <c r="AU43" i="18" s="1"/>
  <c r="AV43" i="18" s="1"/>
  <c r="AW43" i="18" s="1"/>
  <c r="AX43" i="18" s="1"/>
  <c r="AO295" i="18"/>
  <c r="AP295" i="18" s="1"/>
  <c r="AQ295" i="18" s="1"/>
  <c r="AR295" i="18" s="1"/>
  <c r="AS295" i="18" s="1"/>
  <c r="AT295" i="18" s="1"/>
  <c r="AU295" i="18" s="1"/>
  <c r="AV295" i="18" s="1"/>
  <c r="AW295" i="18" s="1"/>
  <c r="AX295" i="18" s="1"/>
  <c r="AO322" i="18"/>
  <c r="AP322" i="18" s="1"/>
  <c r="AQ322" i="18" s="1"/>
  <c r="AR322" i="18" s="1"/>
  <c r="AS322" i="18" s="1"/>
  <c r="AT322" i="18" s="1"/>
  <c r="AU322" i="18" s="1"/>
  <c r="AV322" i="18" s="1"/>
  <c r="AW322" i="18" s="1"/>
  <c r="AX322" i="18" s="1"/>
  <c r="AO424" i="18"/>
  <c r="AP424" i="18" s="1"/>
  <c r="AQ424" i="18" s="1"/>
  <c r="AR424" i="18" s="1"/>
  <c r="AS424" i="18" s="1"/>
  <c r="AT424" i="18" s="1"/>
  <c r="AU424" i="18" s="1"/>
  <c r="AV424" i="18" s="1"/>
  <c r="AW424" i="18" s="1"/>
  <c r="AX424" i="18" s="1"/>
  <c r="AO254" i="18"/>
  <c r="AP254" i="18" s="1"/>
  <c r="AQ254" i="18" s="1"/>
  <c r="AR254" i="18" s="1"/>
  <c r="AS254" i="18" s="1"/>
  <c r="AT254" i="18" s="1"/>
  <c r="AU254" i="18" s="1"/>
  <c r="AV254" i="18" s="1"/>
  <c r="AW254" i="18" s="1"/>
  <c r="AX254" i="18" s="1"/>
  <c r="AO171" i="18"/>
  <c r="AP171" i="18" s="1"/>
  <c r="AQ171" i="18" s="1"/>
  <c r="AR171" i="18" s="1"/>
  <c r="AS171" i="18" s="1"/>
  <c r="AT171" i="18" s="1"/>
  <c r="AU171" i="18" s="1"/>
  <c r="AV171" i="18" s="1"/>
  <c r="AW171" i="18" s="1"/>
  <c r="AX171" i="18" s="1"/>
  <c r="AO323" i="18"/>
  <c r="AP323" i="18" s="1"/>
  <c r="AQ323" i="18" s="1"/>
  <c r="AR323" i="18" s="1"/>
  <c r="AS323" i="18" s="1"/>
  <c r="AT323" i="18" s="1"/>
  <c r="AU323" i="18" s="1"/>
  <c r="AV323" i="18" s="1"/>
  <c r="AW323" i="18" s="1"/>
  <c r="AX323" i="18" s="1"/>
  <c r="AO285" i="18"/>
  <c r="AP285" i="18" s="1"/>
  <c r="AQ285" i="18" s="1"/>
  <c r="AR285" i="18" s="1"/>
  <c r="AS285" i="18" s="1"/>
  <c r="AT285" i="18" s="1"/>
  <c r="AU285" i="18" s="1"/>
  <c r="AV285" i="18" s="1"/>
  <c r="AW285" i="18" s="1"/>
  <c r="AX285" i="18" s="1"/>
  <c r="AO240" i="18"/>
  <c r="AP240" i="18" s="1"/>
  <c r="AQ240" i="18" s="1"/>
  <c r="AR240" i="18" s="1"/>
  <c r="AS240" i="18" s="1"/>
  <c r="AT240" i="18" s="1"/>
  <c r="AU240" i="18" s="1"/>
  <c r="AV240" i="18" s="1"/>
  <c r="AW240" i="18" s="1"/>
  <c r="AX240" i="18" s="1"/>
  <c r="AO175" i="18"/>
  <c r="AP175" i="18" s="1"/>
  <c r="AQ175" i="18" s="1"/>
  <c r="AR175" i="18" s="1"/>
  <c r="AS175" i="18" s="1"/>
  <c r="AT175" i="18" s="1"/>
  <c r="AU175" i="18" s="1"/>
  <c r="AV175" i="18" s="1"/>
  <c r="AW175" i="18" s="1"/>
  <c r="AX175" i="18" s="1"/>
  <c r="AO325" i="18"/>
  <c r="AP325" i="18" s="1"/>
  <c r="AQ325" i="18" s="1"/>
  <c r="AR325" i="18" s="1"/>
  <c r="AS325" i="18" s="1"/>
  <c r="AT325" i="18" s="1"/>
  <c r="AU325" i="18" s="1"/>
  <c r="AV325" i="18" s="1"/>
  <c r="AW325" i="18" s="1"/>
  <c r="AX325" i="18" s="1"/>
  <c r="AO120" i="18"/>
  <c r="AP120" i="18" s="1"/>
  <c r="AQ120" i="18" s="1"/>
  <c r="AR120" i="18" s="1"/>
  <c r="AS120" i="18" s="1"/>
  <c r="AT120" i="18" s="1"/>
  <c r="AU120" i="18" s="1"/>
  <c r="AV120" i="18" s="1"/>
  <c r="AW120" i="18" s="1"/>
  <c r="AX120" i="18" s="1"/>
  <c r="AO111" i="18"/>
  <c r="AP111" i="18" s="1"/>
  <c r="AQ111" i="18" s="1"/>
  <c r="AR111" i="18" s="1"/>
  <c r="AS111" i="18" s="1"/>
  <c r="AT111" i="18" s="1"/>
  <c r="AU111" i="18" s="1"/>
  <c r="AV111" i="18" s="1"/>
  <c r="AW111" i="18" s="1"/>
  <c r="AX111" i="18" s="1"/>
  <c r="AO294" i="18"/>
  <c r="AP294" i="18" s="1"/>
  <c r="AQ294" i="18" s="1"/>
  <c r="AR294" i="18" s="1"/>
  <c r="AS294" i="18" s="1"/>
  <c r="AT294" i="18" s="1"/>
  <c r="AU294" i="18" s="1"/>
  <c r="AV294" i="18" s="1"/>
  <c r="AW294" i="18" s="1"/>
  <c r="AX294" i="18" s="1"/>
  <c r="AO71" i="18"/>
  <c r="AP71" i="18" s="1"/>
  <c r="AQ71" i="18" s="1"/>
  <c r="AR71" i="18" s="1"/>
  <c r="AS71" i="18" s="1"/>
  <c r="AT71" i="18" s="1"/>
  <c r="AU71" i="18" s="1"/>
  <c r="AV71" i="18" s="1"/>
  <c r="AW71" i="18" s="1"/>
  <c r="AX71" i="18" s="1"/>
  <c r="AO264" i="18"/>
  <c r="AP264" i="18" s="1"/>
  <c r="AQ264" i="18" s="1"/>
  <c r="AR264" i="18" s="1"/>
  <c r="AS264" i="18" s="1"/>
  <c r="AT264" i="18" s="1"/>
  <c r="AU264" i="18" s="1"/>
  <c r="AV264" i="18" s="1"/>
  <c r="AW264" i="18" s="1"/>
  <c r="AX264" i="18" s="1"/>
  <c r="AO211" i="18"/>
  <c r="AP211" i="18" s="1"/>
  <c r="AQ211" i="18" s="1"/>
  <c r="AR211" i="18" s="1"/>
  <c r="AS211" i="18" s="1"/>
  <c r="AT211" i="18" s="1"/>
  <c r="AU211" i="18" s="1"/>
  <c r="AV211" i="18" s="1"/>
  <c r="AW211" i="18" s="1"/>
  <c r="AX211" i="18" s="1"/>
  <c r="AO190" i="18"/>
  <c r="AP190" i="18" s="1"/>
  <c r="AQ190" i="18" s="1"/>
  <c r="AR190" i="18" s="1"/>
  <c r="AS190" i="18" s="1"/>
  <c r="AT190" i="18" s="1"/>
  <c r="AU190" i="18" s="1"/>
  <c r="AV190" i="18" s="1"/>
  <c r="AW190" i="18" s="1"/>
  <c r="AX190" i="18" s="1"/>
  <c r="AO289" i="18"/>
  <c r="AP289" i="18" s="1"/>
  <c r="AQ289" i="18" s="1"/>
  <c r="AR289" i="18" s="1"/>
  <c r="AS289" i="18" s="1"/>
  <c r="AT289" i="18" s="1"/>
  <c r="AU289" i="18" s="1"/>
  <c r="AV289" i="18" s="1"/>
  <c r="AW289" i="18" s="1"/>
  <c r="AX289" i="18" s="1"/>
  <c r="AO283" i="18"/>
  <c r="AP283" i="18" s="1"/>
  <c r="AQ283" i="18" s="1"/>
  <c r="AR283" i="18" s="1"/>
  <c r="AS283" i="18" s="1"/>
  <c r="AT283" i="18" s="1"/>
  <c r="AU283" i="18" s="1"/>
  <c r="AV283" i="18" s="1"/>
  <c r="AW283" i="18" s="1"/>
  <c r="AX283" i="18" s="1"/>
  <c r="AO191" i="18"/>
  <c r="AP191" i="18" s="1"/>
  <c r="AQ191" i="18" s="1"/>
  <c r="AR191" i="18" s="1"/>
  <c r="AS191" i="18" s="1"/>
  <c r="AT191" i="18" s="1"/>
  <c r="AU191" i="18" s="1"/>
  <c r="AV191" i="18" s="1"/>
  <c r="AW191" i="18" s="1"/>
  <c r="AX191" i="18" s="1"/>
  <c r="AO218" i="18"/>
  <c r="AP218" i="18" s="1"/>
  <c r="AQ218" i="18" s="1"/>
  <c r="AR218" i="18" s="1"/>
  <c r="AS218" i="18" s="1"/>
  <c r="AT218" i="18" s="1"/>
  <c r="AU218" i="18" s="1"/>
  <c r="AV218" i="18" s="1"/>
  <c r="AW218" i="18" s="1"/>
  <c r="AX218" i="18" s="1"/>
  <c r="AO291" i="18"/>
  <c r="AP291" i="18" s="1"/>
  <c r="AQ291" i="18" s="1"/>
  <c r="AR291" i="18" s="1"/>
  <c r="AS291" i="18" s="1"/>
  <c r="AT291" i="18" s="1"/>
  <c r="AU291" i="18" s="1"/>
  <c r="AV291" i="18" s="1"/>
  <c r="AW291" i="18" s="1"/>
  <c r="AX291" i="18" s="1"/>
  <c r="AO408" i="18"/>
  <c r="AP408" i="18" s="1"/>
  <c r="AQ408" i="18" s="1"/>
  <c r="AR408" i="18" s="1"/>
  <c r="AS408" i="18" s="1"/>
  <c r="AT408" i="18" s="1"/>
  <c r="AU408" i="18" s="1"/>
  <c r="AV408" i="18" s="1"/>
  <c r="AW408" i="18" s="1"/>
  <c r="AX408" i="18" s="1"/>
  <c r="AO164" i="18"/>
  <c r="AP164" i="18" s="1"/>
  <c r="AQ164" i="18" s="1"/>
  <c r="AR164" i="18" s="1"/>
  <c r="AS164" i="18" s="1"/>
  <c r="AT164" i="18" s="1"/>
  <c r="AU164" i="18" s="1"/>
  <c r="AV164" i="18" s="1"/>
  <c r="AW164" i="18" s="1"/>
  <c r="AX164" i="18" s="1"/>
  <c r="AO313" i="18"/>
  <c r="AP313" i="18" s="1"/>
  <c r="AQ313" i="18" s="1"/>
  <c r="AR313" i="18" s="1"/>
  <c r="AS313" i="18" s="1"/>
  <c r="AT313" i="18" s="1"/>
  <c r="AU313" i="18" s="1"/>
  <c r="AV313" i="18" s="1"/>
  <c r="AW313" i="18" s="1"/>
  <c r="AX313" i="18" s="1"/>
  <c r="AO281" i="18"/>
  <c r="AP281" i="18" s="1"/>
  <c r="AQ281" i="18" s="1"/>
  <c r="AR281" i="18" s="1"/>
  <c r="AS281" i="18" s="1"/>
  <c r="AT281" i="18" s="1"/>
  <c r="AU281" i="18" s="1"/>
  <c r="AV281" i="18" s="1"/>
  <c r="AW281" i="18" s="1"/>
  <c r="AX281" i="18" s="1"/>
  <c r="AO18" i="18"/>
  <c r="AP18" i="18" s="1"/>
  <c r="AQ18" i="18" s="1"/>
  <c r="AR18" i="18" s="1"/>
  <c r="AS18" i="18" s="1"/>
  <c r="AT18" i="18" s="1"/>
  <c r="AU18" i="18" s="1"/>
  <c r="AV18" i="18" s="1"/>
  <c r="AW18" i="18" s="1"/>
  <c r="AX18" i="18" s="1"/>
  <c r="AO425" i="18"/>
  <c r="AP425" i="18" s="1"/>
  <c r="AQ425" i="18" s="1"/>
  <c r="AR425" i="18" s="1"/>
  <c r="AS425" i="18" s="1"/>
  <c r="AT425" i="18" s="1"/>
  <c r="AU425" i="18" s="1"/>
  <c r="AV425" i="18" s="1"/>
  <c r="AW425" i="18" s="1"/>
  <c r="AX425" i="18" s="1"/>
  <c r="AO102" i="18"/>
  <c r="AP102" i="18" s="1"/>
  <c r="AQ102" i="18" s="1"/>
  <c r="AR102" i="18" s="1"/>
  <c r="AS102" i="18" s="1"/>
  <c r="AT102" i="18" s="1"/>
  <c r="AU102" i="18" s="1"/>
  <c r="AV102" i="18" s="1"/>
  <c r="AW102" i="18" s="1"/>
  <c r="AX102" i="18" s="1"/>
  <c r="AO290" i="18"/>
  <c r="AP290" i="18" s="1"/>
  <c r="AQ290" i="18" s="1"/>
  <c r="AR290" i="18" s="1"/>
  <c r="AS290" i="18" s="1"/>
  <c r="AT290" i="18" s="1"/>
  <c r="AU290" i="18" s="1"/>
  <c r="AV290" i="18" s="1"/>
  <c r="AW290" i="18" s="1"/>
  <c r="AX290" i="18" s="1"/>
  <c r="AO426" i="18"/>
  <c r="AP426" i="18" s="1"/>
  <c r="AQ426" i="18" s="1"/>
  <c r="AR426" i="18" s="1"/>
  <c r="AS426" i="18" s="1"/>
  <c r="AT426" i="18" s="1"/>
  <c r="AU426" i="18" s="1"/>
  <c r="AV426" i="18" s="1"/>
  <c r="AW426" i="18" s="1"/>
  <c r="AX426" i="18" s="1"/>
  <c r="AO320" i="18"/>
  <c r="AP320" i="18" s="1"/>
  <c r="AQ320" i="18" s="1"/>
  <c r="AR320" i="18" s="1"/>
  <c r="AS320" i="18" s="1"/>
  <c r="AT320" i="18" s="1"/>
  <c r="AU320" i="18" s="1"/>
  <c r="AV320" i="18" s="1"/>
  <c r="AW320" i="18" s="1"/>
  <c r="AX320" i="18" s="1"/>
  <c r="AO249" i="18"/>
  <c r="AP249" i="18" s="1"/>
  <c r="AQ249" i="18" s="1"/>
  <c r="AR249" i="18" s="1"/>
  <c r="AS249" i="18" s="1"/>
  <c r="AT249" i="18" s="1"/>
  <c r="AU249" i="18" s="1"/>
  <c r="AV249" i="18" s="1"/>
  <c r="AW249" i="18" s="1"/>
  <c r="AX249" i="18" s="1"/>
  <c r="AO306" i="18"/>
  <c r="AP306" i="18" s="1"/>
  <c r="AQ306" i="18" s="1"/>
  <c r="AR306" i="18" s="1"/>
  <c r="AS306" i="18" s="1"/>
  <c r="AT306" i="18" s="1"/>
  <c r="AU306" i="18" s="1"/>
  <c r="AV306" i="18" s="1"/>
  <c r="AW306" i="18" s="1"/>
  <c r="AX306" i="18" s="1"/>
  <c r="AO103" i="18"/>
  <c r="AP103" i="18" s="1"/>
  <c r="AQ103" i="18" s="1"/>
  <c r="AR103" i="18" s="1"/>
  <c r="AS103" i="18" s="1"/>
  <c r="AT103" i="18" s="1"/>
  <c r="AU103" i="18" s="1"/>
  <c r="AV103" i="18" s="1"/>
  <c r="AW103" i="18" s="1"/>
  <c r="AX103" i="18" s="1"/>
  <c r="AO127" i="18"/>
  <c r="AP127" i="18" s="1"/>
  <c r="AQ127" i="18" s="1"/>
  <c r="AR127" i="18" s="1"/>
  <c r="AS127" i="18" s="1"/>
  <c r="AT127" i="18" s="1"/>
  <c r="AU127" i="18" s="1"/>
  <c r="AV127" i="18" s="1"/>
  <c r="AW127" i="18" s="1"/>
  <c r="AX127" i="18" s="1"/>
  <c r="AO399" i="18"/>
  <c r="AP399" i="18" s="1"/>
  <c r="AQ399" i="18" s="1"/>
  <c r="AR399" i="18" s="1"/>
  <c r="AS399" i="18" s="1"/>
  <c r="AT399" i="18" s="1"/>
  <c r="AU399" i="18" s="1"/>
  <c r="AV399" i="18" s="1"/>
  <c r="AW399" i="18" s="1"/>
  <c r="AX399" i="18" s="1"/>
  <c r="AK370" i="19"/>
  <c r="AB370" i="19" s="1"/>
  <c r="AK373" i="19"/>
  <c r="AB373" i="19" s="1"/>
  <c r="AK368" i="19"/>
  <c r="AB368" i="19" s="1"/>
  <c r="AK367" i="19"/>
  <c r="AB367" i="19" s="1"/>
  <c r="AK369" i="19"/>
  <c r="AB369" i="19" s="1"/>
  <c r="AK366" i="19"/>
  <c r="AB366" i="19" s="1"/>
  <c r="AK371" i="19"/>
  <c r="AB371" i="19" s="1"/>
  <c r="AK372" i="19"/>
  <c r="AB372" i="19" s="1"/>
  <c r="AK374" i="23"/>
  <c r="AL374" i="23" s="1"/>
  <c r="AK371" i="23"/>
  <c r="AL371" i="23" s="1"/>
  <c r="AK370" i="23"/>
  <c r="AL370" i="23" s="1"/>
  <c r="AK369" i="23"/>
  <c r="AL369" i="23" s="1"/>
  <c r="AK368" i="23"/>
  <c r="AL368" i="23" s="1"/>
  <c r="AK367" i="23"/>
  <c r="AL367" i="23" s="1"/>
  <c r="AK366" i="23"/>
  <c r="AL366" i="23" s="1"/>
  <c r="AK373" i="23"/>
  <c r="AL373" i="23" s="1"/>
  <c r="AK372" i="23"/>
  <c r="AL372" i="23" s="1"/>
  <c r="AK430" i="19"/>
  <c r="AL430" i="19" s="1"/>
  <c r="AM430" i="19" s="1"/>
  <c r="AN430" i="19" s="1"/>
  <c r="AO430" i="19" s="1"/>
  <c r="AP430" i="19" s="1"/>
  <c r="AQ430" i="19" s="1"/>
  <c r="AR430" i="19" s="1"/>
  <c r="AS430" i="19" s="1"/>
  <c r="AT430" i="19" s="1"/>
  <c r="AK166" i="19"/>
  <c r="AL166" i="19" s="1"/>
  <c r="AM166" i="19" s="1"/>
  <c r="AN166" i="19" s="1"/>
  <c r="AO166" i="19" s="1"/>
  <c r="AP166" i="19" s="1"/>
  <c r="AQ166" i="19" s="1"/>
  <c r="AR166" i="19" s="1"/>
  <c r="AS166" i="19" s="1"/>
  <c r="AT166" i="19" s="1"/>
  <c r="AK361" i="19"/>
  <c r="AL361" i="19" s="1"/>
  <c r="AM361" i="19" s="1"/>
  <c r="AN361" i="19" s="1"/>
  <c r="AO361" i="19" s="1"/>
  <c r="AP361" i="19" s="1"/>
  <c r="AQ361" i="19" s="1"/>
  <c r="AH361" i="19" s="1"/>
  <c r="AK394" i="19"/>
  <c r="AL394" i="19" s="1"/>
  <c r="AM394" i="19" s="1"/>
  <c r="AN394" i="19" s="1"/>
  <c r="AO394" i="19" s="1"/>
  <c r="AP394" i="19" s="1"/>
  <c r="AQ394" i="19" s="1"/>
  <c r="AR394" i="19" s="1"/>
  <c r="AS394" i="19" s="1"/>
  <c r="AT394" i="19" s="1"/>
  <c r="AK379" i="19"/>
  <c r="AL379" i="19" s="1"/>
  <c r="AM379" i="19" s="1"/>
  <c r="AN379" i="19" s="1"/>
  <c r="AO379" i="19" s="1"/>
  <c r="AP379" i="19" s="1"/>
  <c r="AQ379" i="19" s="1"/>
  <c r="AR379" i="19" s="1"/>
  <c r="AS379" i="19" s="1"/>
  <c r="AT379" i="19" s="1"/>
  <c r="AK356" i="19"/>
  <c r="AL356" i="19" s="1"/>
  <c r="AM356" i="19" s="1"/>
  <c r="AN356" i="19" s="1"/>
  <c r="AO356" i="19" s="1"/>
  <c r="AP356" i="19" s="1"/>
  <c r="AQ356" i="19" s="1"/>
  <c r="AR356" i="19" s="1"/>
  <c r="AS356" i="19" s="1"/>
  <c r="AT356" i="19" s="1"/>
  <c r="AK425" i="19"/>
  <c r="AL425" i="19" s="1"/>
  <c r="AM425" i="19" s="1"/>
  <c r="AN425" i="19" s="1"/>
  <c r="AO425" i="19" s="1"/>
  <c r="AP425" i="19" s="1"/>
  <c r="AQ425" i="19" s="1"/>
  <c r="AR425" i="19" s="1"/>
  <c r="AS425" i="19" s="1"/>
  <c r="AT425" i="19" s="1"/>
  <c r="AK398" i="19"/>
  <c r="AL398" i="19" s="1"/>
  <c r="AM398" i="19" s="1"/>
  <c r="AN398" i="19" s="1"/>
  <c r="AO398" i="19" s="1"/>
  <c r="AP398" i="19" s="1"/>
  <c r="AQ398" i="19" s="1"/>
  <c r="AR398" i="19" s="1"/>
  <c r="AS398" i="19" s="1"/>
  <c r="AT398" i="19" s="1"/>
  <c r="AK259" i="19"/>
  <c r="AL259" i="19" s="1"/>
  <c r="AM259" i="19" s="1"/>
  <c r="AN259" i="19" s="1"/>
  <c r="AO259" i="19" s="1"/>
  <c r="AP259" i="19" s="1"/>
  <c r="AQ259" i="19" s="1"/>
  <c r="AR259" i="19" s="1"/>
  <c r="AS259" i="19" s="1"/>
  <c r="AJ259" i="19" s="1"/>
  <c r="AK381" i="19"/>
  <c r="AL381" i="19" s="1"/>
  <c r="AM381" i="19" s="1"/>
  <c r="AN381" i="19" s="1"/>
  <c r="AO381" i="19" s="1"/>
  <c r="AP381" i="19" s="1"/>
  <c r="AQ381" i="19" s="1"/>
  <c r="AR381" i="19" s="1"/>
  <c r="AS381" i="19" s="1"/>
  <c r="AT381" i="19" s="1"/>
  <c r="AK429" i="19"/>
  <c r="AL429" i="19" s="1"/>
  <c r="AM429" i="19" s="1"/>
  <c r="AN429" i="19" s="1"/>
  <c r="AO429" i="19" s="1"/>
  <c r="AP429" i="19" s="1"/>
  <c r="AQ429" i="19" s="1"/>
  <c r="AR429" i="19" s="1"/>
  <c r="AS429" i="19" s="1"/>
  <c r="AT429" i="19" s="1"/>
  <c r="AK339" i="19"/>
  <c r="AL339" i="19" s="1"/>
  <c r="AM339" i="19" s="1"/>
  <c r="AN339" i="19" s="1"/>
  <c r="AO339" i="19" s="1"/>
  <c r="AP339" i="19" s="1"/>
  <c r="AQ339" i="19" s="1"/>
  <c r="AR339" i="19" s="1"/>
  <c r="AS339" i="19" s="1"/>
  <c r="AT339" i="19" s="1"/>
  <c r="AK384" i="19"/>
  <c r="AL384" i="19" s="1"/>
  <c r="AM384" i="19" s="1"/>
  <c r="AN384" i="19" s="1"/>
  <c r="AO384" i="19" s="1"/>
  <c r="AP384" i="19" s="1"/>
  <c r="AQ384" i="19" s="1"/>
  <c r="AR384" i="19" s="1"/>
  <c r="AS384" i="19" s="1"/>
  <c r="AT384" i="19" s="1"/>
  <c r="AK334" i="19"/>
  <c r="AL334" i="19" s="1"/>
  <c r="AM334" i="19" s="1"/>
  <c r="AN334" i="19" s="1"/>
  <c r="AO334" i="19" s="1"/>
  <c r="AP334" i="19" s="1"/>
  <c r="AG334" i="19" s="1"/>
  <c r="AK408" i="19"/>
  <c r="AL408" i="19" s="1"/>
  <c r="AM408" i="19" s="1"/>
  <c r="AN408" i="19" s="1"/>
  <c r="AO408" i="19" s="1"/>
  <c r="AP408" i="19" s="1"/>
  <c r="AQ408" i="19" s="1"/>
  <c r="AR408" i="19" s="1"/>
  <c r="AS408" i="19" s="1"/>
  <c r="AT408" i="19" s="1"/>
  <c r="AK405" i="19"/>
  <c r="AL405" i="19" s="1"/>
  <c r="AM405" i="19" s="1"/>
  <c r="AN405" i="19" s="1"/>
  <c r="AO405" i="19" s="1"/>
  <c r="AP405" i="19" s="1"/>
  <c r="AQ405" i="19" s="1"/>
  <c r="AR405" i="19" s="1"/>
  <c r="AS405" i="19" s="1"/>
  <c r="AT405" i="19" s="1"/>
  <c r="AK269" i="19"/>
  <c r="AL269" i="19" s="1"/>
  <c r="AM269" i="19" s="1"/>
  <c r="AN269" i="19" s="1"/>
  <c r="AO269" i="19" s="1"/>
  <c r="AP269" i="19" s="1"/>
  <c r="AQ269" i="19" s="1"/>
  <c r="AR269" i="19" s="1"/>
  <c r="AS269" i="19" s="1"/>
  <c r="AT269" i="19" s="1"/>
  <c r="AK406" i="19"/>
  <c r="AL406" i="19" s="1"/>
  <c r="AM406" i="19" s="1"/>
  <c r="AN406" i="19" s="1"/>
  <c r="AO406" i="19" s="1"/>
  <c r="AP406" i="19" s="1"/>
  <c r="AQ406" i="19" s="1"/>
  <c r="AR406" i="19" s="1"/>
  <c r="AS406" i="19" s="1"/>
  <c r="AT406" i="19" s="1"/>
  <c r="AK338" i="19"/>
  <c r="AL338" i="19" s="1"/>
  <c r="AM338" i="19" s="1"/>
  <c r="AN338" i="19" s="1"/>
  <c r="AO338" i="19" s="1"/>
  <c r="AP338" i="19" s="1"/>
  <c r="AQ338" i="19" s="1"/>
  <c r="AR338" i="19" s="1"/>
  <c r="AS338" i="19" s="1"/>
  <c r="AT338" i="19" s="1"/>
  <c r="AK196" i="19"/>
  <c r="AL196" i="19" s="1"/>
  <c r="AM196" i="19" s="1"/>
  <c r="AN196" i="19" s="1"/>
  <c r="AO196" i="19" s="1"/>
  <c r="AP196" i="19" s="1"/>
  <c r="AQ196" i="19" s="1"/>
  <c r="AR196" i="19" s="1"/>
  <c r="AS196" i="19" s="1"/>
  <c r="AT196" i="19" s="1"/>
  <c r="AK127" i="19"/>
  <c r="AL127" i="19" s="1"/>
  <c r="AM127" i="19" s="1"/>
  <c r="AN127" i="19" s="1"/>
  <c r="AO127" i="19" s="1"/>
  <c r="AP127" i="19" s="1"/>
  <c r="AQ127" i="19" s="1"/>
  <c r="AR127" i="19" s="1"/>
  <c r="AS127" i="19" s="1"/>
  <c r="AT127" i="19" s="1"/>
  <c r="AK390" i="19"/>
  <c r="AL390" i="19" s="1"/>
  <c r="AM390" i="19" s="1"/>
  <c r="AN390" i="19" s="1"/>
  <c r="AO390" i="19" s="1"/>
  <c r="AP390" i="19" s="1"/>
  <c r="AQ390" i="19" s="1"/>
  <c r="AR390" i="19" s="1"/>
  <c r="AS390" i="19" s="1"/>
  <c r="AT390" i="19" s="1"/>
  <c r="AK399" i="19"/>
  <c r="AL399" i="19" s="1"/>
  <c r="AM399" i="19" s="1"/>
  <c r="AN399" i="19" s="1"/>
  <c r="AO399" i="19" s="1"/>
  <c r="AP399" i="19" s="1"/>
  <c r="AQ399" i="19" s="1"/>
  <c r="AR399" i="19" s="1"/>
  <c r="AS399" i="19" s="1"/>
  <c r="AT399" i="19" s="1"/>
  <c r="AK380" i="19"/>
  <c r="AL380" i="19" s="1"/>
  <c r="AM380" i="19" s="1"/>
  <c r="AN380" i="19" s="1"/>
  <c r="AO380" i="19" s="1"/>
  <c r="AP380" i="19" s="1"/>
  <c r="AQ380" i="19" s="1"/>
  <c r="AR380" i="19" s="1"/>
  <c r="AS380" i="19" s="1"/>
  <c r="AT380" i="19" s="1"/>
  <c r="AK332" i="19"/>
  <c r="AL332" i="19" s="1"/>
  <c r="AM332" i="19" s="1"/>
  <c r="AN332" i="19" s="1"/>
  <c r="AO332" i="19" s="1"/>
  <c r="AP332" i="19" s="1"/>
  <c r="AG332" i="19" s="1"/>
  <c r="AK346" i="19"/>
  <c r="AL346" i="19" s="1"/>
  <c r="AM346" i="19" s="1"/>
  <c r="AN346" i="19" s="1"/>
  <c r="AO346" i="19" s="1"/>
  <c r="AF346" i="19" s="1"/>
  <c r="AK396" i="19"/>
  <c r="AL396" i="19" s="1"/>
  <c r="AM396" i="19" s="1"/>
  <c r="AN396" i="19" s="1"/>
  <c r="AO396" i="19" s="1"/>
  <c r="AP396" i="19" s="1"/>
  <c r="AQ396" i="19" s="1"/>
  <c r="AR396" i="19" s="1"/>
  <c r="AS396" i="19" s="1"/>
  <c r="AT396" i="19" s="1"/>
  <c r="AK389" i="19"/>
  <c r="AL389" i="19" s="1"/>
  <c r="AM389" i="19" s="1"/>
  <c r="AN389" i="19" s="1"/>
  <c r="AO389" i="19" s="1"/>
  <c r="AP389" i="19" s="1"/>
  <c r="AQ389" i="19" s="1"/>
  <c r="AR389" i="19" s="1"/>
  <c r="AS389" i="19" s="1"/>
  <c r="AT389" i="19" s="1"/>
  <c r="AK439" i="19"/>
  <c r="AL439" i="19" s="1"/>
  <c r="AM439" i="19" s="1"/>
  <c r="AN439" i="19" s="1"/>
  <c r="AO439" i="19" s="1"/>
  <c r="AP439" i="19" s="1"/>
  <c r="AQ439" i="19" s="1"/>
  <c r="AR439" i="19" s="1"/>
  <c r="AS439" i="19" s="1"/>
  <c r="AT439" i="19" s="1"/>
  <c r="AK414" i="19"/>
  <c r="AL414" i="19" s="1"/>
  <c r="AM414" i="19" s="1"/>
  <c r="AN414" i="19" s="1"/>
  <c r="AO414" i="19" s="1"/>
  <c r="AP414" i="19" s="1"/>
  <c r="AQ414" i="19" s="1"/>
  <c r="AR414" i="19" s="1"/>
  <c r="AS414" i="19" s="1"/>
  <c r="AT414" i="19" s="1"/>
  <c r="AK161" i="19"/>
  <c r="AL161" i="19" s="1"/>
  <c r="AM161" i="19" s="1"/>
  <c r="AN161" i="19" s="1"/>
  <c r="AO161" i="19" s="1"/>
  <c r="AP161" i="19" s="1"/>
  <c r="AQ161" i="19" s="1"/>
  <c r="AR161" i="19" s="1"/>
  <c r="AS161" i="19" s="1"/>
  <c r="AT161" i="19" s="1"/>
  <c r="AK291" i="19"/>
  <c r="AL291" i="19" s="1"/>
  <c r="AM291" i="19" s="1"/>
  <c r="AN291" i="19" s="1"/>
  <c r="AO291" i="19" s="1"/>
  <c r="AP291" i="19" s="1"/>
  <c r="AQ291" i="19" s="1"/>
  <c r="AR291" i="19" s="1"/>
  <c r="AS291" i="19" s="1"/>
  <c r="AT291" i="19" s="1"/>
  <c r="AK203" i="19"/>
  <c r="AL203" i="19" s="1"/>
  <c r="AM203" i="19" s="1"/>
  <c r="AN203" i="19" s="1"/>
  <c r="AO203" i="19" s="1"/>
  <c r="AP203" i="19" s="1"/>
  <c r="AQ203" i="19" s="1"/>
  <c r="AR203" i="19" s="1"/>
  <c r="AS203" i="19" s="1"/>
  <c r="AT203" i="19" s="1"/>
  <c r="AK349" i="19"/>
  <c r="AL349" i="19" s="1"/>
  <c r="AM349" i="19" s="1"/>
  <c r="AN349" i="19" s="1"/>
  <c r="AO349" i="19" s="1"/>
  <c r="AP349" i="19" s="1"/>
  <c r="AQ349" i="19" s="1"/>
  <c r="AR349" i="19" s="1"/>
  <c r="AS349" i="19" s="1"/>
  <c r="AT349" i="19" s="1"/>
  <c r="AK385" i="19"/>
  <c r="AL385" i="19" s="1"/>
  <c r="AM385" i="19" s="1"/>
  <c r="AN385" i="19" s="1"/>
  <c r="AO385" i="19" s="1"/>
  <c r="AP385" i="19" s="1"/>
  <c r="AQ385" i="19" s="1"/>
  <c r="AR385" i="19" s="1"/>
  <c r="AS385" i="19" s="1"/>
  <c r="AT385" i="19" s="1"/>
  <c r="AK199" i="19"/>
  <c r="AL199" i="19" s="1"/>
  <c r="AM199" i="19" s="1"/>
  <c r="AN199" i="19" s="1"/>
  <c r="AO199" i="19" s="1"/>
  <c r="AP199" i="19" s="1"/>
  <c r="AQ199" i="19" s="1"/>
  <c r="AR199" i="19" s="1"/>
  <c r="AS199" i="19" s="1"/>
  <c r="AT199" i="19" s="1"/>
  <c r="AK108" i="19"/>
  <c r="AL108" i="19" s="1"/>
  <c r="AM108" i="19" s="1"/>
  <c r="AN108" i="19" s="1"/>
  <c r="AO108" i="19" s="1"/>
  <c r="AP108" i="19" s="1"/>
  <c r="AQ108" i="19" s="1"/>
  <c r="AR108" i="19" s="1"/>
  <c r="AS108" i="19" s="1"/>
  <c r="AT108" i="19" s="1"/>
  <c r="AK438" i="19"/>
  <c r="AL438" i="19" s="1"/>
  <c r="AM438" i="19" s="1"/>
  <c r="AN438" i="19" s="1"/>
  <c r="AO438" i="19" s="1"/>
  <c r="AP438" i="19" s="1"/>
  <c r="AQ438" i="19" s="1"/>
  <c r="AR438" i="19" s="1"/>
  <c r="AS438" i="19" s="1"/>
  <c r="AT438" i="19" s="1"/>
  <c r="AK306" i="19"/>
  <c r="AL306" i="19" s="1"/>
  <c r="AM306" i="19" s="1"/>
  <c r="AN306" i="19" s="1"/>
  <c r="AO306" i="19" s="1"/>
  <c r="AP306" i="19" s="1"/>
  <c r="AQ306" i="19" s="1"/>
  <c r="AR306" i="19" s="1"/>
  <c r="AS306" i="19" s="1"/>
  <c r="AT306" i="19" s="1"/>
  <c r="AK404" i="19"/>
  <c r="AL404" i="19" s="1"/>
  <c r="AM404" i="19" s="1"/>
  <c r="AN404" i="19" s="1"/>
  <c r="AO404" i="19" s="1"/>
  <c r="AP404" i="19" s="1"/>
  <c r="AQ404" i="19" s="1"/>
  <c r="AR404" i="19" s="1"/>
  <c r="AS404" i="19" s="1"/>
  <c r="AT404" i="19" s="1"/>
  <c r="AK383" i="19"/>
  <c r="AL383" i="19" s="1"/>
  <c r="AM383" i="19" s="1"/>
  <c r="AN383" i="19" s="1"/>
  <c r="AO383" i="19" s="1"/>
  <c r="AP383" i="19" s="1"/>
  <c r="AQ383" i="19" s="1"/>
  <c r="AR383" i="19" s="1"/>
  <c r="AS383" i="19" s="1"/>
  <c r="AT383" i="19" s="1"/>
  <c r="AK313" i="19"/>
  <c r="AL313" i="19" s="1"/>
  <c r="AM313" i="19" s="1"/>
  <c r="AN313" i="19" s="1"/>
  <c r="AO313" i="19" s="1"/>
  <c r="AP313" i="19" s="1"/>
  <c r="AQ313" i="19" s="1"/>
  <c r="AR313" i="19" s="1"/>
  <c r="AS313" i="19" s="1"/>
  <c r="AT313" i="19" s="1"/>
  <c r="AK426" i="19"/>
  <c r="AL426" i="19" s="1"/>
  <c r="AM426" i="19" s="1"/>
  <c r="AN426" i="19" s="1"/>
  <c r="AO426" i="19" s="1"/>
  <c r="AP426" i="19" s="1"/>
  <c r="AQ426" i="19" s="1"/>
  <c r="AR426" i="19" s="1"/>
  <c r="AS426" i="19" s="1"/>
  <c r="AT426" i="19" s="1"/>
  <c r="AK432" i="19"/>
  <c r="AL432" i="19" s="1"/>
  <c r="AM432" i="19" s="1"/>
  <c r="AN432" i="19" s="1"/>
  <c r="AO432" i="19" s="1"/>
  <c r="AP432" i="19" s="1"/>
  <c r="AQ432" i="19" s="1"/>
  <c r="AR432" i="19" s="1"/>
  <c r="AS432" i="19" s="1"/>
  <c r="AT432" i="19" s="1"/>
  <c r="AK417" i="19"/>
  <c r="AL417" i="19" s="1"/>
  <c r="AM417" i="19" s="1"/>
  <c r="AN417" i="19" s="1"/>
  <c r="AO417" i="19" s="1"/>
  <c r="AP417" i="19" s="1"/>
  <c r="AQ417" i="19" s="1"/>
  <c r="AR417" i="19" s="1"/>
  <c r="AS417" i="19" s="1"/>
  <c r="AT417" i="19" s="1"/>
  <c r="AK436" i="19"/>
  <c r="AL436" i="19" s="1"/>
  <c r="AM436" i="19" s="1"/>
  <c r="AN436" i="19" s="1"/>
  <c r="AO436" i="19" s="1"/>
  <c r="AP436" i="19" s="1"/>
  <c r="AQ436" i="19" s="1"/>
  <c r="AR436" i="19" s="1"/>
  <c r="AS436" i="19" s="1"/>
  <c r="AT436" i="19" s="1"/>
  <c r="AK226" i="19"/>
  <c r="AL226" i="19" s="1"/>
  <c r="AM226" i="19" s="1"/>
  <c r="AN226" i="19" s="1"/>
  <c r="AO226" i="19" s="1"/>
  <c r="AP226" i="19" s="1"/>
  <c r="AQ226" i="19" s="1"/>
  <c r="AR226" i="19" s="1"/>
  <c r="AS226" i="19" s="1"/>
  <c r="AT226" i="19" s="1"/>
  <c r="AK266" i="19"/>
  <c r="AL266" i="19" s="1"/>
  <c r="AM266" i="19" s="1"/>
  <c r="AN266" i="19" s="1"/>
  <c r="AO266" i="19" s="1"/>
  <c r="AP266" i="19" s="1"/>
  <c r="AQ266" i="19" s="1"/>
  <c r="AR266" i="19" s="1"/>
  <c r="AS266" i="19" s="1"/>
  <c r="AT266" i="19" s="1"/>
  <c r="AK350" i="19"/>
  <c r="AL350" i="19" s="1"/>
  <c r="AM350" i="19" s="1"/>
  <c r="AN350" i="19" s="1"/>
  <c r="AO350" i="19" s="1"/>
  <c r="AP350" i="19" s="1"/>
  <c r="AQ350" i="19" s="1"/>
  <c r="AR350" i="19" s="1"/>
  <c r="AS350" i="19" s="1"/>
  <c r="AT350" i="19" s="1"/>
  <c r="AK392" i="19"/>
  <c r="AL392" i="19" s="1"/>
  <c r="AM392" i="19" s="1"/>
  <c r="AN392" i="19" s="1"/>
  <c r="AO392" i="19" s="1"/>
  <c r="AP392" i="19" s="1"/>
  <c r="AQ392" i="19" s="1"/>
  <c r="AR392" i="19" s="1"/>
  <c r="AS392" i="19" s="1"/>
  <c r="AT392" i="19" s="1"/>
  <c r="AK175" i="19"/>
  <c r="AL175" i="19" s="1"/>
  <c r="AM175" i="19" s="1"/>
  <c r="AN175" i="19" s="1"/>
  <c r="AO175" i="19" s="1"/>
  <c r="AP175" i="19" s="1"/>
  <c r="AQ175" i="19" s="1"/>
  <c r="AR175" i="19" s="1"/>
  <c r="AS175" i="19" s="1"/>
  <c r="AT175" i="19" s="1"/>
  <c r="AK185" i="19"/>
  <c r="AL185" i="19" s="1"/>
  <c r="AM185" i="19" s="1"/>
  <c r="AN185" i="19" s="1"/>
  <c r="AO185" i="19" s="1"/>
  <c r="AP185" i="19" s="1"/>
  <c r="AQ185" i="19" s="1"/>
  <c r="AR185" i="19" s="1"/>
  <c r="AS185" i="19" s="1"/>
  <c r="AT185" i="19" s="1"/>
  <c r="AK441" i="19"/>
  <c r="AL441" i="19" s="1"/>
  <c r="AM441" i="19" s="1"/>
  <c r="AN441" i="19" s="1"/>
  <c r="AO441" i="19" s="1"/>
  <c r="AP441" i="19" s="1"/>
  <c r="AQ441" i="19" s="1"/>
  <c r="AR441" i="19" s="1"/>
  <c r="AS441" i="19" s="1"/>
  <c r="AT441" i="19" s="1"/>
  <c r="AK423" i="19"/>
  <c r="AL423" i="19" s="1"/>
  <c r="AM423" i="19" s="1"/>
  <c r="AN423" i="19" s="1"/>
  <c r="AO423" i="19" s="1"/>
  <c r="AP423" i="19" s="1"/>
  <c r="AQ423" i="19" s="1"/>
  <c r="AR423" i="19" s="1"/>
  <c r="AS423" i="19" s="1"/>
  <c r="AT423" i="19" s="1"/>
  <c r="AK422" i="19"/>
  <c r="AL422" i="19" s="1"/>
  <c r="AM422" i="19" s="1"/>
  <c r="AN422" i="19" s="1"/>
  <c r="AO422" i="19" s="1"/>
  <c r="AP422" i="19" s="1"/>
  <c r="AQ422" i="19" s="1"/>
  <c r="AR422" i="19" s="1"/>
  <c r="AS422" i="19" s="1"/>
  <c r="AT422" i="19" s="1"/>
  <c r="AK412" i="19"/>
  <c r="AL412" i="19" s="1"/>
  <c r="AM412" i="19" s="1"/>
  <c r="AN412" i="19" s="1"/>
  <c r="AO412" i="19" s="1"/>
  <c r="AP412" i="19" s="1"/>
  <c r="AQ412" i="19" s="1"/>
  <c r="AR412" i="19" s="1"/>
  <c r="AS412" i="19" s="1"/>
  <c r="AT412" i="19" s="1"/>
  <c r="AK437" i="19"/>
  <c r="AL437" i="19" s="1"/>
  <c r="AM437" i="19" s="1"/>
  <c r="AN437" i="19" s="1"/>
  <c r="AO437" i="19" s="1"/>
  <c r="AP437" i="19" s="1"/>
  <c r="AQ437" i="19" s="1"/>
  <c r="AR437" i="19" s="1"/>
  <c r="AS437" i="19" s="1"/>
  <c r="AT437" i="19" s="1"/>
  <c r="AK388" i="19"/>
  <c r="AL388" i="19" s="1"/>
  <c r="AM388" i="19" s="1"/>
  <c r="AN388" i="19" s="1"/>
  <c r="AO388" i="19" s="1"/>
  <c r="AP388" i="19" s="1"/>
  <c r="AQ388" i="19" s="1"/>
  <c r="AR388" i="19" s="1"/>
  <c r="AS388" i="19" s="1"/>
  <c r="AT388" i="19" s="1"/>
  <c r="AK206" i="19"/>
  <c r="AL206" i="19" s="1"/>
  <c r="AM206" i="19" s="1"/>
  <c r="AN206" i="19" s="1"/>
  <c r="AO206" i="19" s="1"/>
  <c r="AP206" i="19" s="1"/>
  <c r="AQ206" i="19" s="1"/>
  <c r="AR206" i="19" s="1"/>
  <c r="AS206" i="19" s="1"/>
  <c r="AT206" i="19" s="1"/>
  <c r="AK137" i="19"/>
  <c r="AL137" i="19" s="1"/>
  <c r="AM137" i="19" s="1"/>
  <c r="AN137" i="19" s="1"/>
  <c r="AO137" i="19" s="1"/>
  <c r="AP137" i="19" s="1"/>
  <c r="AQ137" i="19" s="1"/>
  <c r="AR137" i="19" s="1"/>
  <c r="AS137" i="19" s="1"/>
  <c r="AT137" i="19" s="1"/>
  <c r="AK296" i="19"/>
  <c r="AL296" i="19" s="1"/>
  <c r="AM296" i="19" s="1"/>
  <c r="AN296" i="19" s="1"/>
  <c r="AO296" i="19" s="1"/>
  <c r="AP296" i="19" s="1"/>
  <c r="AQ296" i="19" s="1"/>
  <c r="AR296" i="19" s="1"/>
  <c r="AS296" i="19" s="1"/>
  <c r="AT296" i="19" s="1"/>
  <c r="AK107" i="19"/>
  <c r="AL107" i="19" s="1"/>
  <c r="AM107" i="19" s="1"/>
  <c r="AN107" i="19" s="1"/>
  <c r="AO107" i="19" s="1"/>
  <c r="AP107" i="19" s="1"/>
  <c r="AQ107" i="19" s="1"/>
  <c r="AR107" i="19" s="1"/>
  <c r="AS107" i="19" s="1"/>
  <c r="AT107" i="19" s="1"/>
  <c r="AK129" i="19"/>
  <c r="AL129" i="19" s="1"/>
  <c r="AM129" i="19" s="1"/>
  <c r="AN129" i="19" s="1"/>
  <c r="AO129" i="19" s="1"/>
  <c r="AP129" i="19" s="1"/>
  <c r="AQ129" i="19" s="1"/>
  <c r="AR129" i="19" s="1"/>
  <c r="AS129" i="19" s="1"/>
  <c r="AT129" i="19" s="1"/>
  <c r="AK189" i="19"/>
  <c r="AL189" i="19" s="1"/>
  <c r="AM189" i="19" s="1"/>
  <c r="AN189" i="19" s="1"/>
  <c r="AO189" i="19" s="1"/>
  <c r="AP189" i="19" s="1"/>
  <c r="AQ189" i="19" s="1"/>
  <c r="AR189" i="19" s="1"/>
  <c r="AS189" i="19" s="1"/>
  <c r="AT189" i="19" s="1"/>
  <c r="AK254" i="19"/>
  <c r="AL254" i="19" s="1"/>
  <c r="AM254" i="19" s="1"/>
  <c r="AN254" i="19" s="1"/>
  <c r="AO254" i="19" s="1"/>
  <c r="AP254" i="19" s="1"/>
  <c r="AQ254" i="19" s="1"/>
  <c r="AR254" i="19" s="1"/>
  <c r="AI254" i="19" s="1"/>
  <c r="AK303" i="19"/>
  <c r="AL303" i="19" s="1"/>
  <c r="AM303" i="19" s="1"/>
  <c r="AN303" i="19" s="1"/>
  <c r="AO303" i="19" s="1"/>
  <c r="AP303" i="19" s="1"/>
  <c r="AQ303" i="19" s="1"/>
  <c r="AR303" i="19" s="1"/>
  <c r="AS303" i="19" s="1"/>
  <c r="AK305" i="19"/>
  <c r="AL305" i="19" s="1"/>
  <c r="AM305" i="19" s="1"/>
  <c r="AN305" i="19" s="1"/>
  <c r="AO305" i="19" s="1"/>
  <c r="AP305" i="19" s="1"/>
  <c r="AQ305" i="19" s="1"/>
  <c r="AR305" i="19" s="1"/>
  <c r="AS305" i="19" s="1"/>
  <c r="AT305" i="19" s="1"/>
  <c r="AK295" i="19"/>
  <c r="AL295" i="19" s="1"/>
  <c r="AM295" i="19" s="1"/>
  <c r="AN295" i="19" s="1"/>
  <c r="AO295" i="19" s="1"/>
  <c r="AP295" i="19" s="1"/>
  <c r="AQ295" i="19" s="1"/>
  <c r="AR295" i="19" s="1"/>
  <c r="AS295" i="19" s="1"/>
  <c r="AT295" i="19" s="1"/>
  <c r="AK213" i="19"/>
  <c r="AL213" i="19" s="1"/>
  <c r="AM213" i="19" s="1"/>
  <c r="AN213" i="19" s="1"/>
  <c r="AO213" i="19" s="1"/>
  <c r="AP213" i="19" s="1"/>
  <c r="AQ213" i="19" s="1"/>
  <c r="AR213" i="19" s="1"/>
  <c r="AS213" i="19" s="1"/>
  <c r="AT213" i="19" s="1"/>
  <c r="AK146" i="19"/>
  <c r="AL146" i="19" s="1"/>
  <c r="AM146" i="19" s="1"/>
  <c r="AN146" i="19" s="1"/>
  <c r="AO146" i="19" s="1"/>
  <c r="AP146" i="19" s="1"/>
  <c r="AQ146" i="19" s="1"/>
  <c r="AR146" i="19" s="1"/>
  <c r="AS146" i="19" s="1"/>
  <c r="AT146" i="19" s="1"/>
  <c r="AK117" i="19"/>
  <c r="AL117" i="19" s="1"/>
  <c r="AM117" i="19" s="1"/>
  <c r="AN117" i="19" s="1"/>
  <c r="AO117" i="19" s="1"/>
  <c r="AP117" i="19" s="1"/>
  <c r="AQ117" i="19" s="1"/>
  <c r="AR117" i="19" s="1"/>
  <c r="AS117" i="19" s="1"/>
  <c r="AT117" i="19" s="1"/>
  <c r="AK418" i="19"/>
  <c r="AL418" i="19" s="1"/>
  <c r="AM418" i="19" s="1"/>
  <c r="AN418" i="19" s="1"/>
  <c r="AO418" i="19" s="1"/>
  <c r="AP418" i="19" s="1"/>
  <c r="AQ418" i="19" s="1"/>
  <c r="AR418" i="19" s="1"/>
  <c r="AS418" i="19" s="1"/>
  <c r="AT418" i="19" s="1"/>
  <c r="AK359" i="19"/>
  <c r="AL359" i="19" s="1"/>
  <c r="AM359" i="19" s="1"/>
  <c r="AN359" i="19" s="1"/>
  <c r="AO359" i="19" s="1"/>
  <c r="AP359" i="19" s="1"/>
  <c r="AQ359" i="19" s="1"/>
  <c r="AH359" i="19" s="1"/>
  <c r="AK237" i="19"/>
  <c r="AL237" i="19" s="1"/>
  <c r="AM237" i="19" s="1"/>
  <c r="AN237" i="19" s="1"/>
  <c r="AO237" i="19" s="1"/>
  <c r="AP237" i="19" s="1"/>
  <c r="AQ237" i="19" s="1"/>
  <c r="AR237" i="19" s="1"/>
  <c r="AS237" i="19" s="1"/>
  <c r="AT237" i="19" s="1"/>
  <c r="AK355" i="19"/>
  <c r="AL355" i="19" s="1"/>
  <c r="AM355" i="19" s="1"/>
  <c r="AN355" i="19" s="1"/>
  <c r="AO355" i="19" s="1"/>
  <c r="AP355" i="19" s="1"/>
  <c r="AQ355" i="19" s="1"/>
  <c r="AR355" i="19" s="1"/>
  <c r="AS355" i="19" s="1"/>
  <c r="AT355" i="19" s="1"/>
  <c r="AK125" i="19"/>
  <c r="AL125" i="19" s="1"/>
  <c r="AM125" i="19" s="1"/>
  <c r="AN125" i="19" s="1"/>
  <c r="AO125" i="19" s="1"/>
  <c r="AP125" i="19" s="1"/>
  <c r="AQ125" i="19" s="1"/>
  <c r="AR125" i="19" s="1"/>
  <c r="AS125" i="19" s="1"/>
  <c r="AT125" i="19" s="1"/>
  <c r="AK377" i="19"/>
  <c r="AK309" i="19"/>
  <c r="AL309" i="19" s="1"/>
  <c r="AM309" i="19" s="1"/>
  <c r="AN309" i="19" s="1"/>
  <c r="AO309" i="19" s="1"/>
  <c r="AP309" i="19" s="1"/>
  <c r="AQ309" i="19" s="1"/>
  <c r="AR309" i="19" s="1"/>
  <c r="AS309" i="19" s="1"/>
  <c r="AT309" i="19" s="1"/>
  <c r="AK232" i="19"/>
  <c r="AL232" i="19" s="1"/>
  <c r="AM232" i="19" s="1"/>
  <c r="AN232" i="19" s="1"/>
  <c r="AO232" i="19" s="1"/>
  <c r="AP232" i="19" s="1"/>
  <c r="AQ232" i="19" s="1"/>
  <c r="AR232" i="19" s="1"/>
  <c r="AS232" i="19" s="1"/>
  <c r="AT232" i="19" s="1"/>
  <c r="AK260" i="19"/>
  <c r="AL260" i="19" s="1"/>
  <c r="AM260" i="19" s="1"/>
  <c r="AN260" i="19" s="1"/>
  <c r="AO260" i="19" s="1"/>
  <c r="AP260" i="19" s="1"/>
  <c r="AQ260" i="19" s="1"/>
  <c r="AR260" i="19" s="1"/>
  <c r="AS260" i="19" s="1"/>
  <c r="AJ260" i="19" s="1"/>
  <c r="AK274" i="19"/>
  <c r="AL274" i="19" s="1"/>
  <c r="AM274" i="19" s="1"/>
  <c r="AN274" i="19" s="1"/>
  <c r="AO274" i="19" s="1"/>
  <c r="AP274" i="19" s="1"/>
  <c r="AQ274" i="19" s="1"/>
  <c r="AR274" i="19" s="1"/>
  <c r="AS274" i="19" s="1"/>
  <c r="AT274" i="19" s="1"/>
  <c r="AK246" i="19"/>
  <c r="AL246" i="19" s="1"/>
  <c r="AM246" i="19" s="1"/>
  <c r="AN246" i="19" s="1"/>
  <c r="AO246" i="19" s="1"/>
  <c r="AP246" i="19" s="1"/>
  <c r="AQ246" i="19" s="1"/>
  <c r="AR246" i="19" s="1"/>
  <c r="AS246" i="19" s="1"/>
  <c r="AT246" i="19" s="1"/>
  <c r="AK138" i="19"/>
  <c r="AL138" i="19" s="1"/>
  <c r="AM138" i="19" s="1"/>
  <c r="AN138" i="19" s="1"/>
  <c r="AO138" i="19" s="1"/>
  <c r="AP138" i="19" s="1"/>
  <c r="AQ138" i="19" s="1"/>
  <c r="AR138" i="19" s="1"/>
  <c r="AS138" i="19" s="1"/>
  <c r="AT138" i="19" s="1"/>
  <c r="AK318" i="19"/>
  <c r="AL318" i="19" s="1"/>
  <c r="AM318" i="19" s="1"/>
  <c r="AN318" i="19" s="1"/>
  <c r="AO318" i="19" s="1"/>
  <c r="AP318" i="19" s="1"/>
  <c r="AQ318" i="19" s="1"/>
  <c r="AR318" i="19" s="1"/>
  <c r="AS318" i="19" s="1"/>
  <c r="AT318" i="19" s="1"/>
  <c r="AK139" i="19"/>
  <c r="AL139" i="19" s="1"/>
  <c r="AM139" i="19" s="1"/>
  <c r="AN139" i="19" s="1"/>
  <c r="AO139" i="19" s="1"/>
  <c r="AP139" i="19" s="1"/>
  <c r="AQ139" i="19" s="1"/>
  <c r="AR139" i="19" s="1"/>
  <c r="AS139" i="19" s="1"/>
  <c r="AT139" i="19" s="1"/>
  <c r="AK219" i="19"/>
  <c r="AL219" i="19" s="1"/>
  <c r="AM219" i="19" s="1"/>
  <c r="AN219" i="19" s="1"/>
  <c r="AO219" i="19" s="1"/>
  <c r="AP219" i="19" s="1"/>
  <c r="AQ219" i="19" s="1"/>
  <c r="AR219" i="19" s="1"/>
  <c r="AS219" i="19" s="1"/>
  <c r="AT219" i="19" s="1"/>
  <c r="AK348" i="19"/>
  <c r="AL348" i="19" s="1"/>
  <c r="AM348" i="19" s="1"/>
  <c r="AN348" i="19" s="1"/>
  <c r="AO348" i="19" s="1"/>
  <c r="AP348" i="19" s="1"/>
  <c r="AQ348" i="19" s="1"/>
  <c r="AR348" i="19" s="1"/>
  <c r="AS348" i="19" s="1"/>
  <c r="AT348" i="19" s="1"/>
  <c r="AK437" i="23"/>
  <c r="AL437" i="23" s="1"/>
  <c r="AM437" i="23" s="1"/>
  <c r="AN437" i="23" s="1"/>
  <c r="AO437" i="23" s="1"/>
  <c r="AP437" i="23" s="1"/>
  <c r="AQ437" i="23" s="1"/>
  <c r="AR437" i="23" s="1"/>
  <c r="AS437" i="23" s="1"/>
  <c r="AT437" i="23" s="1"/>
  <c r="AK307" i="19"/>
  <c r="AL307" i="19" s="1"/>
  <c r="AM307" i="19" s="1"/>
  <c r="AN307" i="19" s="1"/>
  <c r="AO307" i="19" s="1"/>
  <c r="AP307" i="19" s="1"/>
  <c r="AQ307" i="19" s="1"/>
  <c r="AR307" i="19" s="1"/>
  <c r="AS307" i="19" s="1"/>
  <c r="AT307" i="19" s="1"/>
  <c r="AK421" i="19"/>
  <c r="AL421" i="19" s="1"/>
  <c r="AM421" i="19" s="1"/>
  <c r="AN421" i="19" s="1"/>
  <c r="AO421" i="19" s="1"/>
  <c r="AP421" i="19" s="1"/>
  <c r="AQ421" i="19" s="1"/>
  <c r="AR421" i="19" s="1"/>
  <c r="AS421" i="19" s="1"/>
  <c r="AT421" i="19" s="1"/>
  <c r="AK153" i="19"/>
  <c r="AL153" i="19" s="1"/>
  <c r="AM153" i="19" s="1"/>
  <c r="AN153" i="19" s="1"/>
  <c r="AO153" i="19" s="1"/>
  <c r="AP153" i="19" s="1"/>
  <c r="AQ153" i="19" s="1"/>
  <c r="AR153" i="19" s="1"/>
  <c r="AS153" i="19" s="1"/>
  <c r="AT153" i="19" s="1"/>
  <c r="AK176" i="19"/>
  <c r="AL176" i="19" s="1"/>
  <c r="AM176" i="19" s="1"/>
  <c r="AN176" i="19" s="1"/>
  <c r="AO176" i="19" s="1"/>
  <c r="AP176" i="19" s="1"/>
  <c r="AQ176" i="19" s="1"/>
  <c r="AR176" i="19" s="1"/>
  <c r="AS176" i="19" s="1"/>
  <c r="AT176" i="19" s="1"/>
  <c r="AK409" i="19"/>
  <c r="AL409" i="19" s="1"/>
  <c r="AM409" i="19" s="1"/>
  <c r="AN409" i="19" s="1"/>
  <c r="AO409" i="19" s="1"/>
  <c r="AP409" i="19" s="1"/>
  <c r="AQ409" i="19" s="1"/>
  <c r="AR409" i="19" s="1"/>
  <c r="AS409" i="19" s="1"/>
  <c r="AT409" i="19" s="1"/>
  <c r="AK163" i="19"/>
  <c r="AL163" i="19" s="1"/>
  <c r="AM163" i="19" s="1"/>
  <c r="AN163" i="19" s="1"/>
  <c r="AO163" i="19" s="1"/>
  <c r="AP163" i="19" s="1"/>
  <c r="AQ163" i="19" s="1"/>
  <c r="AR163" i="19" s="1"/>
  <c r="AS163" i="19" s="1"/>
  <c r="AT163" i="19" s="1"/>
  <c r="AK164" i="19"/>
  <c r="AL164" i="19" s="1"/>
  <c r="AM164" i="19" s="1"/>
  <c r="AN164" i="19" s="1"/>
  <c r="AO164" i="19" s="1"/>
  <c r="AP164" i="19" s="1"/>
  <c r="AQ164" i="19" s="1"/>
  <c r="AR164" i="19" s="1"/>
  <c r="AS164" i="19" s="1"/>
  <c r="AT164" i="19" s="1"/>
  <c r="AK188" i="19"/>
  <c r="AL188" i="19" s="1"/>
  <c r="AM188" i="19" s="1"/>
  <c r="AN188" i="19" s="1"/>
  <c r="AO188" i="19" s="1"/>
  <c r="AP188" i="19" s="1"/>
  <c r="AQ188" i="19" s="1"/>
  <c r="AR188" i="19" s="1"/>
  <c r="AS188" i="19" s="1"/>
  <c r="AT188" i="19" s="1"/>
  <c r="AK263" i="19"/>
  <c r="AL263" i="19" s="1"/>
  <c r="AM263" i="19" s="1"/>
  <c r="AN263" i="19" s="1"/>
  <c r="AO263" i="19" s="1"/>
  <c r="AP263" i="19" s="1"/>
  <c r="AQ263" i="19" s="1"/>
  <c r="AR263" i="19" s="1"/>
  <c r="AS263" i="19" s="1"/>
  <c r="AJ263" i="19" s="1"/>
  <c r="AK293" i="19"/>
  <c r="AL293" i="19" s="1"/>
  <c r="AM293" i="19" s="1"/>
  <c r="AN293" i="19" s="1"/>
  <c r="AO293" i="19" s="1"/>
  <c r="AP293" i="19" s="1"/>
  <c r="AQ293" i="19" s="1"/>
  <c r="AR293" i="19" s="1"/>
  <c r="AS293" i="19" s="1"/>
  <c r="AT293" i="19" s="1"/>
  <c r="AK402" i="19"/>
  <c r="AL402" i="19" s="1"/>
  <c r="AM402" i="19" s="1"/>
  <c r="AN402" i="19" s="1"/>
  <c r="AO402" i="19" s="1"/>
  <c r="AP402" i="19" s="1"/>
  <c r="AQ402" i="19" s="1"/>
  <c r="AR402" i="19" s="1"/>
  <c r="AS402" i="19" s="1"/>
  <c r="AT402" i="19" s="1"/>
  <c r="AK283" i="19"/>
  <c r="AL283" i="19" s="1"/>
  <c r="AM283" i="19" s="1"/>
  <c r="AN283" i="19" s="1"/>
  <c r="AO283" i="19" s="1"/>
  <c r="AP283" i="19" s="1"/>
  <c r="AQ283" i="19" s="1"/>
  <c r="AR283" i="19" s="1"/>
  <c r="AS283" i="19" s="1"/>
  <c r="AT283" i="19" s="1"/>
  <c r="AK277" i="19"/>
  <c r="AL277" i="19" s="1"/>
  <c r="AM277" i="19" s="1"/>
  <c r="AN277" i="19" s="1"/>
  <c r="AO277" i="19" s="1"/>
  <c r="AP277" i="19" s="1"/>
  <c r="AQ277" i="19" s="1"/>
  <c r="AR277" i="19" s="1"/>
  <c r="AS277" i="19" s="1"/>
  <c r="AT277" i="19" s="1"/>
  <c r="AK178" i="19"/>
  <c r="AL178" i="19" s="1"/>
  <c r="AM178" i="19" s="1"/>
  <c r="AN178" i="19" s="1"/>
  <c r="AO178" i="19" s="1"/>
  <c r="AP178" i="19" s="1"/>
  <c r="AQ178" i="19" s="1"/>
  <c r="AR178" i="19" s="1"/>
  <c r="AS178" i="19" s="1"/>
  <c r="AT178" i="19" s="1"/>
  <c r="AK169" i="19"/>
  <c r="AL169" i="19" s="1"/>
  <c r="AM169" i="19" s="1"/>
  <c r="AN169" i="19" s="1"/>
  <c r="AO169" i="19" s="1"/>
  <c r="AP169" i="19" s="1"/>
  <c r="AQ169" i="19" s="1"/>
  <c r="AR169" i="19" s="1"/>
  <c r="AS169" i="19" s="1"/>
  <c r="AT169" i="19" s="1"/>
  <c r="AK172" i="19"/>
  <c r="AL172" i="19" s="1"/>
  <c r="AM172" i="19" s="1"/>
  <c r="AN172" i="19" s="1"/>
  <c r="AO172" i="19" s="1"/>
  <c r="AP172" i="19" s="1"/>
  <c r="AQ172" i="19" s="1"/>
  <c r="AR172" i="19" s="1"/>
  <c r="AS172" i="19" s="1"/>
  <c r="AT172" i="19" s="1"/>
  <c r="AK401" i="19"/>
  <c r="AL401" i="19" s="1"/>
  <c r="AM401" i="19" s="1"/>
  <c r="AN401" i="19" s="1"/>
  <c r="AO401" i="19" s="1"/>
  <c r="AP401" i="19" s="1"/>
  <c r="AQ401" i="19" s="1"/>
  <c r="AR401" i="19" s="1"/>
  <c r="AS401" i="19" s="1"/>
  <c r="AT401" i="19" s="1"/>
  <c r="AK104" i="19"/>
  <c r="AL104" i="19" s="1"/>
  <c r="AM104" i="19" s="1"/>
  <c r="AN104" i="19" s="1"/>
  <c r="AO104" i="19" s="1"/>
  <c r="AP104" i="19" s="1"/>
  <c r="AQ104" i="19" s="1"/>
  <c r="AR104" i="19" s="1"/>
  <c r="AS104" i="19" s="1"/>
  <c r="AT104" i="19" s="1"/>
  <c r="AK297" i="19"/>
  <c r="AL297" i="19" s="1"/>
  <c r="AM297" i="19" s="1"/>
  <c r="AN297" i="19" s="1"/>
  <c r="AO297" i="19" s="1"/>
  <c r="AP297" i="19" s="1"/>
  <c r="AQ297" i="19" s="1"/>
  <c r="AR297" i="19" s="1"/>
  <c r="AS297" i="19" s="1"/>
  <c r="AT297" i="19" s="1"/>
  <c r="AK180" i="19"/>
  <c r="AL180" i="19" s="1"/>
  <c r="AM180" i="19" s="1"/>
  <c r="AN180" i="19" s="1"/>
  <c r="AO180" i="19" s="1"/>
  <c r="AP180" i="19" s="1"/>
  <c r="AQ180" i="19" s="1"/>
  <c r="AR180" i="19" s="1"/>
  <c r="AS180" i="19" s="1"/>
  <c r="AT180" i="19" s="1"/>
  <c r="AK323" i="19"/>
  <c r="AL323" i="19" s="1"/>
  <c r="AM323" i="19" s="1"/>
  <c r="AN323" i="19" s="1"/>
  <c r="AO323" i="19" s="1"/>
  <c r="AP323" i="19" s="1"/>
  <c r="AQ323" i="19" s="1"/>
  <c r="AR323" i="19" s="1"/>
  <c r="AS323" i="19" s="1"/>
  <c r="AT323" i="19" s="1"/>
  <c r="AK111" i="19"/>
  <c r="AL111" i="19" s="1"/>
  <c r="AM111" i="19" s="1"/>
  <c r="AN111" i="19" s="1"/>
  <c r="AO111" i="19" s="1"/>
  <c r="AP111" i="19" s="1"/>
  <c r="AQ111" i="19" s="1"/>
  <c r="AR111" i="19" s="1"/>
  <c r="AS111" i="19" s="1"/>
  <c r="AT111" i="19" s="1"/>
  <c r="AK152" i="19"/>
  <c r="AL152" i="19" s="1"/>
  <c r="AM152" i="19" s="1"/>
  <c r="AN152" i="19" s="1"/>
  <c r="AO152" i="19" s="1"/>
  <c r="AP152" i="19" s="1"/>
  <c r="AQ152" i="19" s="1"/>
  <c r="AR152" i="19" s="1"/>
  <c r="AS152" i="19" s="1"/>
  <c r="AT152" i="19" s="1"/>
  <c r="AK411" i="19"/>
  <c r="AL411" i="19" s="1"/>
  <c r="AM411" i="19" s="1"/>
  <c r="AN411" i="19" s="1"/>
  <c r="AO411" i="19" s="1"/>
  <c r="AP411" i="19" s="1"/>
  <c r="AQ411" i="19" s="1"/>
  <c r="AR411" i="19" s="1"/>
  <c r="AS411" i="19" s="1"/>
  <c r="AT411" i="19" s="1"/>
  <c r="AK145" i="19"/>
  <c r="AL145" i="19" s="1"/>
  <c r="AM145" i="19" s="1"/>
  <c r="AN145" i="19" s="1"/>
  <c r="AO145" i="19" s="1"/>
  <c r="AP145" i="19" s="1"/>
  <c r="AQ145" i="19" s="1"/>
  <c r="AR145" i="19" s="1"/>
  <c r="AS145" i="19" s="1"/>
  <c r="AT145" i="19" s="1"/>
  <c r="AK410" i="19"/>
  <c r="AL410" i="19" s="1"/>
  <c r="AM410" i="19" s="1"/>
  <c r="AN410" i="19" s="1"/>
  <c r="AO410" i="19" s="1"/>
  <c r="AP410" i="19" s="1"/>
  <c r="AQ410" i="19" s="1"/>
  <c r="AR410" i="19" s="1"/>
  <c r="AS410" i="19" s="1"/>
  <c r="AT410" i="19" s="1"/>
  <c r="AK233" i="19"/>
  <c r="AL233" i="19" s="1"/>
  <c r="AM233" i="19" s="1"/>
  <c r="AN233" i="19" s="1"/>
  <c r="AO233" i="19" s="1"/>
  <c r="AP233" i="19" s="1"/>
  <c r="AQ233" i="19" s="1"/>
  <c r="AR233" i="19" s="1"/>
  <c r="AS233" i="19" s="1"/>
  <c r="AT233" i="19" s="1"/>
  <c r="AK315" i="19"/>
  <c r="AL315" i="19" s="1"/>
  <c r="AM315" i="19" s="1"/>
  <c r="AN315" i="19" s="1"/>
  <c r="AO315" i="19" s="1"/>
  <c r="AP315" i="19" s="1"/>
  <c r="AQ315" i="19" s="1"/>
  <c r="AR315" i="19" s="1"/>
  <c r="AS315" i="19" s="1"/>
  <c r="AT315" i="19" s="1"/>
  <c r="AK214" i="19"/>
  <c r="AL214" i="19" s="1"/>
  <c r="AM214" i="19" s="1"/>
  <c r="AN214" i="19" s="1"/>
  <c r="AO214" i="19" s="1"/>
  <c r="AP214" i="19" s="1"/>
  <c r="AQ214" i="19" s="1"/>
  <c r="AR214" i="19" s="1"/>
  <c r="AS214" i="19" s="1"/>
  <c r="AT214" i="19" s="1"/>
  <c r="AK249" i="19"/>
  <c r="AL249" i="19" s="1"/>
  <c r="AM249" i="19" s="1"/>
  <c r="AN249" i="19" s="1"/>
  <c r="AO249" i="19" s="1"/>
  <c r="AP249" i="19" s="1"/>
  <c r="AQ249" i="19" s="1"/>
  <c r="AR249" i="19" s="1"/>
  <c r="AS249" i="19" s="1"/>
  <c r="AT249" i="19" s="1"/>
  <c r="AK431" i="19"/>
  <c r="AL431" i="19" s="1"/>
  <c r="AM431" i="19" s="1"/>
  <c r="AN431" i="19" s="1"/>
  <c r="AO431" i="19" s="1"/>
  <c r="AP431" i="19" s="1"/>
  <c r="AQ431" i="19" s="1"/>
  <c r="AR431" i="19" s="1"/>
  <c r="AS431" i="19" s="1"/>
  <c r="AT431" i="19" s="1"/>
  <c r="AK157" i="19"/>
  <c r="AL157" i="19" s="1"/>
  <c r="AM157" i="19" s="1"/>
  <c r="AN157" i="19" s="1"/>
  <c r="AO157" i="19" s="1"/>
  <c r="AP157" i="19" s="1"/>
  <c r="AQ157" i="19" s="1"/>
  <c r="AR157" i="19" s="1"/>
  <c r="AS157" i="19" s="1"/>
  <c r="AT157" i="19" s="1"/>
  <c r="AK106" i="19"/>
  <c r="AL106" i="19" s="1"/>
  <c r="AM106" i="19" s="1"/>
  <c r="AN106" i="19" s="1"/>
  <c r="AO106" i="19" s="1"/>
  <c r="AP106" i="19" s="1"/>
  <c r="AQ106" i="19" s="1"/>
  <c r="AR106" i="19" s="1"/>
  <c r="AS106" i="19" s="1"/>
  <c r="AT106" i="19" s="1"/>
  <c r="AK262" i="19"/>
  <c r="AL262" i="19" s="1"/>
  <c r="AM262" i="19" s="1"/>
  <c r="AN262" i="19" s="1"/>
  <c r="AO262" i="19" s="1"/>
  <c r="AP262" i="19" s="1"/>
  <c r="AQ262" i="19" s="1"/>
  <c r="AR262" i="19" s="1"/>
  <c r="AS262" i="19" s="1"/>
  <c r="AJ262" i="19" s="1"/>
  <c r="AK182" i="19"/>
  <c r="AL182" i="19" s="1"/>
  <c r="AM182" i="19" s="1"/>
  <c r="AN182" i="19" s="1"/>
  <c r="AO182" i="19" s="1"/>
  <c r="AP182" i="19" s="1"/>
  <c r="AQ182" i="19" s="1"/>
  <c r="AR182" i="19" s="1"/>
  <c r="AS182" i="19" s="1"/>
  <c r="AT182" i="19" s="1"/>
  <c r="AK201" i="19"/>
  <c r="AL201" i="19" s="1"/>
  <c r="AM201" i="19" s="1"/>
  <c r="AN201" i="19" s="1"/>
  <c r="AO201" i="19" s="1"/>
  <c r="AP201" i="19" s="1"/>
  <c r="AQ201" i="19" s="1"/>
  <c r="AR201" i="19" s="1"/>
  <c r="AS201" i="19" s="1"/>
  <c r="AT201" i="19" s="1"/>
  <c r="AK345" i="19"/>
  <c r="AL345" i="19" s="1"/>
  <c r="AM345" i="19" s="1"/>
  <c r="AN345" i="19" s="1"/>
  <c r="AO345" i="19" s="1"/>
  <c r="AF345" i="19" s="1"/>
  <c r="AK159" i="19"/>
  <c r="AL159" i="19" s="1"/>
  <c r="AM159" i="19" s="1"/>
  <c r="AN159" i="19" s="1"/>
  <c r="AO159" i="19" s="1"/>
  <c r="AP159" i="19" s="1"/>
  <c r="AQ159" i="19" s="1"/>
  <c r="AR159" i="19" s="1"/>
  <c r="AS159" i="19" s="1"/>
  <c r="AT159" i="19" s="1"/>
  <c r="AK256" i="19"/>
  <c r="AL256" i="19" s="1"/>
  <c r="AM256" i="19" s="1"/>
  <c r="AN256" i="19" s="1"/>
  <c r="AO256" i="19" s="1"/>
  <c r="AP256" i="19" s="1"/>
  <c r="AQ256" i="19" s="1"/>
  <c r="AR256" i="19" s="1"/>
  <c r="AS256" i="19" s="1"/>
  <c r="AJ256" i="19" s="1"/>
  <c r="AK210" i="19"/>
  <c r="AL210" i="19" s="1"/>
  <c r="AM210" i="19" s="1"/>
  <c r="AN210" i="19" s="1"/>
  <c r="AO210" i="19" s="1"/>
  <c r="AP210" i="19" s="1"/>
  <c r="AQ210" i="19" s="1"/>
  <c r="AR210" i="19" s="1"/>
  <c r="AS210" i="19" s="1"/>
  <c r="AT210" i="19" s="1"/>
  <c r="AK325" i="19"/>
  <c r="AL325" i="19" s="1"/>
  <c r="AM325" i="19" s="1"/>
  <c r="AN325" i="19" s="1"/>
  <c r="AO325" i="19" s="1"/>
  <c r="AP325" i="19" s="1"/>
  <c r="AQ325" i="19" s="1"/>
  <c r="AR325" i="19" s="1"/>
  <c r="AS325" i="19" s="1"/>
  <c r="AT325" i="19" s="1"/>
  <c r="AK187" i="19"/>
  <c r="AL187" i="19" s="1"/>
  <c r="AM187" i="19" s="1"/>
  <c r="AN187" i="19" s="1"/>
  <c r="AO187" i="19" s="1"/>
  <c r="AP187" i="19" s="1"/>
  <c r="AQ187" i="19" s="1"/>
  <c r="AR187" i="19" s="1"/>
  <c r="AS187" i="19" s="1"/>
  <c r="AT187" i="19" s="1"/>
  <c r="AK344" i="19"/>
  <c r="AL344" i="19" s="1"/>
  <c r="AM344" i="19" s="1"/>
  <c r="AN344" i="19" s="1"/>
  <c r="AO344" i="19" s="1"/>
  <c r="AF344" i="19" s="1"/>
  <c r="AK197" i="19"/>
  <c r="AL197" i="19" s="1"/>
  <c r="AM197" i="19" s="1"/>
  <c r="AN197" i="19" s="1"/>
  <c r="AO197" i="19" s="1"/>
  <c r="AP197" i="19" s="1"/>
  <c r="AQ197" i="19" s="1"/>
  <c r="AR197" i="19" s="1"/>
  <c r="AS197" i="19" s="1"/>
  <c r="AT197" i="19" s="1"/>
  <c r="AK424" i="19"/>
  <c r="AL424" i="19" s="1"/>
  <c r="AM424" i="19" s="1"/>
  <c r="AN424" i="19" s="1"/>
  <c r="AO424" i="19" s="1"/>
  <c r="AP424" i="19" s="1"/>
  <c r="AQ424" i="19" s="1"/>
  <c r="AR424" i="19" s="1"/>
  <c r="AS424" i="19" s="1"/>
  <c r="AT424" i="19" s="1"/>
  <c r="AK195" i="19"/>
  <c r="AL195" i="19" s="1"/>
  <c r="AM195" i="19" s="1"/>
  <c r="AN195" i="19" s="1"/>
  <c r="AO195" i="19" s="1"/>
  <c r="AP195" i="19" s="1"/>
  <c r="AQ195" i="19" s="1"/>
  <c r="AR195" i="19" s="1"/>
  <c r="AS195" i="19" s="1"/>
  <c r="AT195" i="19" s="1"/>
  <c r="AK365" i="19"/>
  <c r="AL365" i="19" s="1"/>
  <c r="AC365" i="19" s="1"/>
  <c r="AK440" i="19"/>
  <c r="AL440" i="19" s="1"/>
  <c r="AM440" i="19" s="1"/>
  <c r="AN440" i="19" s="1"/>
  <c r="AO440" i="19" s="1"/>
  <c r="AP440" i="19" s="1"/>
  <c r="AQ440" i="19" s="1"/>
  <c r="AR440" i="19" s="1"/>
  <c r="AS440" i="19" s="1"/>
  <c r="AT440" i="19" s="1"/>
  <c r="AK151" i="19"/>
  <c r="AL151" i="19" s="1"/>
  <c r="AM151" i="19" s="1"/>
  <c r="AN151" i="19" s="1"/>
  <c r="AO151" i="19" s="1"/>
  <c r="AP151" i="19" s="1"/>
  <c r="AQ151" i="19" s="1"/>
  <c r="AR151" i="19" s="1"/>
  <c r="AS151" i="19" s="1"/>
  <c r="AT151" i="19" s="1"/>
  <c r="AK177" i="19"/>
  <c r="AL177" i="19" s="1"/>
  <c r="AM177" i="19" s="1"/>
  <c r="AN177" i="19" s="1"/>
  <c r="AO177" i="19" s="1"/>
  <c r="AP177" i="19" s="1"/>
  <c r="AQ177" i="19" s="1"/>
  <c r="AR177" i="19" s="1"/>
  <c r="AS177" i="19" s="1"/>
  <c r="AT177" i="19" s="1"/>
  <c r="AK322" i="19"/>
  <c r="AL322" i="19" s="1"/>
  <c r="AM322" i="19" s="1"/>
  <c r="AN322" i="19" s="1"/>
  <c r="AO322" i="19" s="1"/>
  <c r="AP322" i="19" s="1"/>
  <c r="AQ322" i="19" s="1"/>
  <c r="AR322" i="19" s="1"/>
  <c r="AS322" i="19" s="1"/>
  <c r="AT322" i="19" s="1"/>
  <c r="AK364" i="19"/>
  <c r="AL364" i="19" s="1"/>
  <c r="AC364" i="19" s="1"/>
  <c r="AK244" i="19"/>
  <c r="AL244" i="19" s="1"/>
  <c r="AM244" i="19" s="1"/>
  <c r="AN244" i="19" s="1"/>
  <c r="AO244" i="19" s="1"/>
  <c r="AP244" i="19" s="1"/>
  <c r="AQ244" i="19" s="1"/>
  <c r="AR244" i="19" s="1"/>
  <c r="AS244" i="19" s="1"/>
  <c r="AT244" i="19" s="1"/>
  <c r="AK156" i="19"/>
  <c r="AL156" i="19" s="1"/>
  <c r="AM156" i="19" s="1"/>
  <c r="AN156" i="19" s="1"/>
  <c r="AO156" i="19" s="1"/>
  <c r="AP156" i="19" s="1"/>
  <c r="AQ156" i="19" s="1"/>
  <c r="AR156" i="19" s="1"/>
  <c r="AS156" i="19" s="1"/>
  <c r="AT156" i="19" s="1"/>
  <c r="AK333" i="19"/>
  <c r="AL333" i="19" s="1"/>
  <c r="AM333" i="19" s="1"/>
  <c r="AN333" i="19" s="1"/>
  <c r="AO333" i="19" s="1"/>
  <c r="AP333" i="19" s="1"/>
  <c r="AG333" i="19" s="1"/>
  <c r="AK130" i="19"/>
  <c r="AL130" i="19" s="1"/>
  <c r="AM130" i="19" s="1"/>
  <c r="AN130" i="19" s="1"/>
  <c r="AO130" i="19" s="1"/>
  <c r="AP130" i="19" s="1"/>
  <c r="AQ130" i="19" s="1"/>
  <c r="AR130" i="19" s="1"/>
  <c r="AS130" i="19" s="1"/>
  <c r="AT130" i="19" s="1"/>
  <c r="AK428" i="19"/>
  <c r="AL428" i="19" s="1"/>
  <c r="AM428" i="19" s="1"/>
  <c r="AN428" i="19" s="1"/>
  <c r="AO428" i="19" s="1"/>
  <c r="AP428" i="19" s="1"/>
  <c r="AQ428" i="19" s="1"/>
  <c r="AR428" i="19" s="1"/>
  <c r="AS428" i="19" s="1"/>
  <c r="AT428" i="19" s="1"/>
  <c r="AK351" i="19"/>
  <c r="AL351" i="19" s="1"/>
  <c r="AM351" i="19" s="1"/>
  <c r="AN351" i="19" s="1"/>
  <c r="AO351" i="19" s="1"/>
  <c r="AP351" i="19" s="1"/>
  <c r="AQ351" i="19" s="1"/>
  <c r="AR351" i="19" s="1"/>
  <c r="AS351" i="19" s="1"/>
  <c r="AT351" i="19" s="1"/>
  <c r="AK247" i="19"/>
  <c r="AL247" i="19" s="1"/>
  <c r="AM247" i="19" s="1"/>
  <c r="AN247" i="19" s="1"/>
  <c r="AO247" i="19" s="1"/>
  <c r="AP247" i="19" s="1"/>
  <c r="AQ247" i="19" s="1"/>
  <c r="AR247" i="19" s="1"/>
  <c r="AS247" i="19" s="1"/>
  <c r="AT247" i="19" s="1"/>
  <c r="AK200" i="19"/>
  <c r="AL200" i="19" s="1"/>
  <c r="AM200" i="19" s="1"/>
  <c r="AN200" i="19" s="1"/>
  <c r="AO200" i="19" s="1"/>
  <c r="AP200" i="19" s="1"/>
  <c r="AQ200" i="19" s="1"/>
  <c r="AR200" i="19" s="1"/>
  <c r="AS200" i="19" s="1"/>
  <c r="AT200" i="19" s="1"/>
  <c r="AK427" i="19"/>
  <c r="AL427" i="19" s="1"/>
  <c r="AM427" i="19" s="1"/>
  <c r="AN427" i="19" s="1"/>
  <c r="AO427" i="19" s="1"/>
  <c r="AP427" i="19" s="1"/>
  <c r="AQ427" i="19" s="1"/>
  <c r="AR427" i="19" s="1"/>
  <c r="AS427" i="19" s="1"/>
  <c r="AT427" i="19" s="1"/>
  <c r="AK136" i="19"/>
  <c r="AL136" i="19" s="1"/>
  <c r="AM136" i="19" s="1"/>
  <c r="AN136" i="19" s="1"/>
  <c r="AO136" i="19" s="1"/>
  <c r="AP136" i="19" s="1"/>
  <c r="AQ136" i="19" s="1"/>
  <c r="AR136" i="19" s="1"/>
  <c r="AS136" i="19" s="1"/>
  <c r="AT136" i="19" s="1"/>
  <c r="AK190" i="19"/>
  <c r="AL190" i="19" s="1"/>
  <c r="AM190" i="19" s="1"/>
  <c r="AN190" i="19" s="1"/>
  <c r="AO190" i="19" s="1"/>
  <c r="AP190" i="19" s="1"/>
  <c r="AQ190" i="19" s="1"/>
  <c r="AR190" i="19" s="1"/>
  <c r="AS190" i="19" s="1"/>
  <c r="AT190" i="19" s="1"/>
  <c r="AK352" i="19"/>
  <c r="AL352" i="19" s="1"/>
  <c r="AM352" i="19" s="1"/>
  <c r="AN352" i="19" s="1"/>
  <c r="AO352" i="19" s="1"/>
  <c r="AP352" i="19" s="1"/>
  <c r="AQ352" i="19" s="1"/>
  <c r="AR352" i="19" s="1"/>
  <c r="AS352" i="19" s="1"/>
  <c r="AT352" i="19" s="1"/>
  <c r="AK208" i="19"/>
  <c r="AL208" i="19" s="1"/>
  <c r="AM208" i="19" s="1"/>
  <c r="AN208" i="19" s="1"/>
  <c r="AO208" i="19" s="1"/>
  <c r="AP208" i="19" s="1"/>
  <c r="AQ208" i="19" s="1"/>
  <c r="AR208" i="19" s="1"/>
  <c r="AS208" i="19" s="1"/>
  <c r="AT208" i="19" s="1"/>
  <c r="AK155" i="19"/>
  <c r="AL155" i="19" s="1"/>
  <c r="AM155" i="19" s="1"/>
  <c r="AN155" i="19" s="1"/>
  <c r="AO155" i="19" s="1"/>
  <c r="AP155" i="19" s="1"/>
  <c r="AQ155" i="19" s="1"/>
  <c r="AR155" i="19" s="1"/>
  <c r="AS155" i="19" s="1"/>
  <c r="AT155" i="19" s="1"/>
  <c r="AK282" i="19"/>
  <c r="AL282" i="19" s="1"/>
  <c r="AM282" i="19" s="1"/>
  <c r="AN282" i="19" s="1"/>
  <c r="AO282" i="19" s="1"/>
  <c r="AP282" i="19" s="1"/>
  <c r="AQ282" i="19" s="1"/>
  <c r="AR282" i="19" s="1"/>
  <c r="AS282" i="19" s="1"/>
  <c r="AT282" i="19" s="1"/>
  <c r="AK192" i="19"/>
  <c r="AL192" i="19" s="1"/>
  <c r="AM192" i="19" s="1"/>
  <c r="AN192" i="19" s="1"/>
  <c r="AO192" i="19" s="1"/>
  <c r="AP192" i="19" s="1"/>
  <c r="AQ192" i="19" s="1"/>
  <c r="AR192" i="19" s="1"/>
  <c r="AS192" i="19" s="1"/>
  <c r="AT192" i="19" s="1"/>
  <c r="AK272" i="19"/>
  <c r="AL272" i="19" s="1"/>
  <c r="AM272" i="19" s="1"/>
  <c r="AN272" i="19" s="1"/>
  <c r="AO272" i="19" s="1"/>
  <c r="AP272" i="19" s="1"/>
  <c r="AQ272" i="19" s="1"/>
  <c r="AR272" i="19" s="1"/>
  <c r="AS272" i="19" s="1"/>
  <c r="AT272" i="19" s="1"/>
  <c r="AK275" i="19"/>
  <c r="AL275" i="19" s="1"/>
  <c r="AM275" i="19" s="1"/>
  <c r="AN275" i="19" s="1"/>
  <c r="AO275" i="19" s="1"/>
  <c r="AP275" i="19" s="1"/>
  <c r="AQ275" i="19" s="1"/>
  <c r="AR275" i="19" s="1"/>
  <c r="AS275" i="19" s="1"/>
  <c r="AT275" i="19" s="1"/>
  <c r="AK442" i="19"/>
  <c r="AL442" i="19" s="1"/>
  <c r="AM442" i="19" s="1"/>
  <c r="AN442" i="19" s="1"/>
  <c r="AO442" i="19" s="1"/>
  <c r="AP442" i="19" s="1"/>
  <c r="AQ442" i="19" s="1"/>
  <c r="AR442" i="19" s="1"/>
  <c r="AS442" i="19" s="1"/>
  <c r="AT442" i="19" s="1"/>
  <c r="AK335" i="19"/>
  <c r="AL335" i="19" s="1"/>
  <c r="AM335" i="19" s="1"/>
  <c r="AN335" i="19" s="1"/>
  <c r="AO335" i="19" s="1"/>
  <c r="AP335" i="19" s="1"/>
  <c r="AG335" i="19" s="1"/>
  <c r="AK330" i="19"/>
  <c r="AL330" i="19" s="1"/>
  <c r="AM330" i="19" s="1"/>
  <c r="AN330" i="19" s="1"/>
  <c r="AO330" i="19" s="1"/>
  <c r="AP330" i="19" s="1"/>
  <c r="AG330" i="19" s="1"/>
  <c r="AK311" i="19"/>
  <c r="AL311" i="19" s="1"/>
  <c r="AM311" i="19" s="1"/>
  <c r="AN311" i="19" s="1"/>
  <c r="AO311" i="19" s="1"/>
  <c r="AP311" i="19" s="1"/>
  <c r="AQ311" i="19" s="1"/>
  <c r="AR311" i="19" s="1"/>
  <c r="AS311" i="19" s="1"/>
  <c r="AT311" i="19" s="1"/>
  <c r="AK253" i="19"/>
  <c r="AL253" i="19" s="1"/>
  <c r="AM253" i="19" s="1"/>
  <c r="AN253" i="19" s="1"/>
  <c r="AO253" i="19" s="1"/>
  <c r="AP253" i="19" s="1"/>
  <c r="AQ253" i="19" s="1"/>
  <c r="AR253" i="19" s="1"/>
  <c r="AI253" i="19" s="1"/>
  <c r="AK354" i="19"/>
  <c r="AL354" i="19" s="1"/>
  <c r="AM354" i="19" s="1"/>
  <c r="AN354" i="19" s="1"/>
  <c r="AO354" i="19" s="1"/>
  <c r="AP354" i="19" s="1"/>
  <c r="AQ354" i="19" s="1"/>
  <c r="AR354" i="19" s="1"/>
  <c r="AS354" i="19" s="1"/>
  <c r="AT354" i="19" s="1"/>
  <c r="AK147" i="19"/>
  <c r="AL147" i="19" s="1"/>
  <c r="AM147" i="19" s="1"/>
  <c r="AN147" i="19" s="1"/>
  <c r="AO147" i="19" s="1"/>
  <c r="AP147" i="19" s="1"/>
  <c r="AQ147" i="19" s="1"/>
  <c r="AR147" i="19" s="1"/>
  <c r="AS147" i="19" s="1"/>
  <c r="AT147" i="19" s="1"/>
  <c r="AK264" i="19"/>
  <c r="AL264" i="19" s="1"/>
  <c r="AM264" i="19" s="1"/>
  <c r="AN264" i="19" s="1"/>
  <c r="AO264" i="19" s="1"/>
  <c r="AP264" i="19" s="1"/>
  <c r="AQ264" i="19" s="1"/>
  <c r="AR264" i="19" s="1"/>
  <c r="AS264" i="19" s="1"/>
  <c r="AK217" i="19"/>
  <c r="AL217" i="19" s="1"/>
  <c r="AM217" i="19" s="1"/>
  <c r="AN217" i="19" s="1"/>
  <c r="AO217" i="19" s="1"/>
  <c r="AP217" i="19" s="1"/>
  <c r="AQ217" i="19" s="1"/>
  <c r="AR217" i="19" s="1"/>
  <c r="AS217" i="19" s="1"/>
  <c r="AT217" i="19" s="1"/>
  <c r="AK422" i="23"/>
  <c r="AL422" i="23" s="1"/>
  <c r="AM422" i="23" s="1"/>
  <c r="AN422" i="23" s="1"/>
  <c r="AO422" i="23" s="1"/>
  <c r="AP422" i="23" s="1"/>
  <c r="AQ422" i="23" s="1"/>
  <c r="AR422" i="23" s="1"/>
  <c r="AS422" i="23" s="1"/>
  <c r="AT422" i="23" s="1"/>
  <c r="AK319" i="19"/>
  <c r="AL319" i="19" s="1"/>
  <c r="AM319" i="19" s="1"/>
  <c r="AN319" i="19" s="1"/>
  <c r="AO319" i="19" s="1"/>
  <c r="AP319" i="19" s="1"/>
  <c r="AQ319" i="19" s="1"/>
  <c r="AR319" i="19" s="1"/>
  <c r="AS319" i="19" s="1"/>
  <c r="AT319" i="19" s="1"/>
  <c r="AK114" i="19"/>
  <c r="AL114" i="19" s="1"/>
  <c r="AM114" i="19" s="1"/>
  <c r="AN114" i="19" s="1"/>
  <c r="AO114" i="19" s="1"/>
  <c r="AP114" i="19" s="1"/>
  <c r="AQ114" i="19" s="1"/>
  <c r="AR114" i="19" s="1"/>
  <c r="AS114" i="19" s="1"/>
  <c r="AT114" i="19" s="1"/>
  <c r="AK434" i="19"/>
  <c r="AL434" i="19" s="1"/>
  <c r="AM434" i="19" s="1"/>
  <c r="AN434" i="19" s="1"/>
  <c r="AO434" i="19" s="1"/>
  <c r="AP434" i="19" s="1"/>
  <c r="AQ434" i="19" s="1"/>
  <c r="AR434" i="19" s="1"/>
  <c r="AS434" i="19" s="1"/>
  <c r="AT434" i="19" s="1"/>
  <c r="AK258" i="19"/>
  <c r="AL258" i="19" s="1"/>
  <c r="AM258" i="19" s="1"/>
  <c r="AN258" i="19" s="1"/>
  <c r="AO258" i="19" s="1"/>
  <c r="AP258" i="19" s="1"/>
  <c r="AQ258" i="19" s="1"/>
  <c r="AR258" i="19" s="1"/>
  <c r="AS258" i="19" s="1"/>
  <c r="AJ258" i="19" s="1"/>
  <c r="AK379" i="23"/>
  <c r="AL379" i="23" s="1"/>
  <c r="AM379" i="23" s="1"/>
  <c r="AN379" i="23" s="1"/>
  <c r="AO379" i="23" s="1"/>
  <c r="AP379" i="23" s="1"/>
  <c r="AQ379" i="23" s="1"/>
  <c r="AR379" i="23" s="1"/>
  <c r="AS379" i="23" s="1"/>
  <c r="AT379" i="23" s="1"/>
  <c r="AK314" i="19"/>
  <c r="AL314" i="19" s="1"/>
  <c r="AM314" i="19" s="1"/>
  <c r="AN314" i="19" s="1"/>
  <c r="AO314" i="19" s="1"/>
  <c r="AP314" i="19" s="1"/>
  <c r="AQ314" i="19" s="1"/>
  <c r="AR314" i="19" s="1"/>
  <c r="AS314" i="19" s="1"/>
  <c r="AT314" i="19" s="1"/>
  <c r="AK280" i="19"/>
  <c r="AL280" i="19" s="1"/>
  <c r="AM280" i="19" s="1"/>
  <c r="AN280" i="19" s="1"/>
  <c r="AO280" i="19" s="1"/>
  <c r="AP280" i="19" s="1"/>
  <c r="AQ280" i="19" s="1"/>
  <c r="AR280" i="19" s="1"/>
  <c r="AS280" i="19" s="1"/>
  <c r="AT280" i="19" s="1"/>
  <c r="AK105" i="19"/>
  <c r="AL105" i="19" s="1"/>
  <c r="AM105" i="19" s="1"/>
  <c r="AN105" i="19" s="1"/>
  <c r="AO105" i="19" s="1"/>
  <c r="AP105" i="19" s="1"/>
  <c r="AQ105" i="19" s="1"/>
  <c r="AR105" i="19" s="1"/>
  <c r="AS105" i="19" s="1"/>
  <c r="AT105" i="19" s="1"/>
  <c r="AK391" i="19"/>
  <c r="AL391" i="19" s="1"/>
  <c r="AM391" i="19" s="1"/>
  <c r="AN391" i="19" s="1"/>
  <c r="AO391" i="19" s="1"/>
  <c r="AP391" i="19" s="1"/>
  <c r="AQ391" i="19" s="1"/>
  <c r="AR391" i="19" s="1"/>
  <c r="AS391" i="19" s="1"/>
  <c r="AT391" i="19" s="1"/>
  <c r="AK273" i="19"/>
  <c r="AL273" i="19" s="1"/>
  <c r="AM273" i="19" s="1"/>
  <c r="AN273" i="19" s="1"/>
  <c r="AO273" i="19" s="1"/>
  <c r="AP273" i="19" s="1"/>
  <c r="AQ273" i="19" s="1"/>
  <c r="AR273" i="19" s="1"/>
  <c r="AS273" i="19" s="1"/>
  <c r="AT273" i="19" s="1"/>
  <c r="AK162" i="19"/>
  <c r="AL162" i="19" s="1"/>
  <c r="AM162" i="19" s="1"/>
  <c r="AN162" i="19" s="1"/>
  <c r="AO162" i="19" s="1"/>
  <c r="AP162" i="19" s="1"/>
  <c r="AQ162" i="19" s="1"/>
  <c r="AR162" i="19" s="1"/>
  <c r="AS162" i="19" s="1"/>
  <c r="AT162" i="19" s="1"/>
  <c r="AK230" i="19"/>
  <c r="AL230" i="19" s="1"/>
  <c r="AM230" i="19" s="1"/>
  <c r="AN230" i="19" s="1"/>
  <c r="AO230" i="19" s="1"/>
  <c r="AP230" i="19" s="1"/>
  <c r="AQ230" i="19" s="1"/>
  <c r="AR230" i="19" s="1"/>
  <c r="AS230" i="19" s="1"/>
  <c r="AT230" i="19" s="1"/>
  <c r="AK393" i="19"/>
  <c r="AL393" i="19" s="1"/>
  <c r="AM393" i="19" s="1"/>
  <c r="AN393" i="19" s="1"/>
  <c r="AO393" i="19" s="1"/>
  <c r="AP393" i="19" s="1"/>
  <c r="AQ393" i="19" s="1"/>
  <c r="AR393" i="19" s="1"/>
  <c r="AS393" i="19" s="1"/>
  <c r="AT393" i="19" s="1"/>
  <c r="AK240" i="19"/>
  <c r="AL240" i="19" s="1"/>
  <c r="AM240" i="19" s="1"/>
  <c r="AN240" i="19" s="1"/>
  <c r="AO240" i="19" s="1"/>
  <c r="AP240" i="19" s="1"/>
  <c r="AQ240" i="19" s="1"/>
  <c r="AR240" i="19" s="1"/>
  <c r="AS240" i="19" s="1"/>
  <c r="AT240" i="19" s="1"/>
  <c r="AK343" i="19"/>
  <c r="AL343" i="19" s="1"/>
  <c r="AM343" i="19" s="1"/>
  <c r="AN343" i="19" s="1"/>
  <c r="AO343" i="19" s="1"/>
  <c r="AP343" i="19" s="1"/>
  <c r="AQ343" i="19" s="1"/>
  <c r="AR343" i="19" s="1"/>
  <c r="AS343" i="19" s="1"/>
  <c r="AT343" i="19" s="1"/>
  <c r="AK321" i="19"/>
  <c r="AL321" i="19" s="1"/>
  <c r="AM321" i="19" s="1"/>
  <c r="AN321" i="19" s="1"/>
  <c r="AO321" i="19" s="1"/>
  <c r="AP321" i="19" s="1"/>
  <c r="AQ321" i="19" s="1"/>
  <c r="AR321" i="19" s="1"/>
  <c r="AS321" i="19" s="1"/>
  <c r="AT321" i="19" s="1"/>
  <c r="AK268" i="19"/>
  <c r="AL268" i="19" s="1"/>
  <c r="AM268" i="19" s="1"/>
  <c r="AN268" i="19" s="1"/>
  <c r="AO268" i="19" s="1"/>
  <c r="AP268" i="19" s="1"/>
  <c r="AQ268" i="19" s="1"/>
  <c r="AR268" i="19" s="1"/>
  <c r="AS268" i="19" s="1"/>
  <c r="AT268" i="19" s="1"/>
  <c r="AK292" i="19"/>
  <c r="AL292" i="19" s="1"/>
  <c r="AM292" i="19" s="1"/>
  <c r="AN292" i="19" s="1"/>
  <c r="AO292" i="19" s="1"/>
  <c r="AP292" i="19" s="1"/>
  <c r="AQ292" i="19" s="1"/>
  <c r="AR292" i="19" s="1"/>
  <c r="AS292" i="19" s="1"/>
  <c r="AT292" i="19" s="1"/>
  <c r="AK353" i="19"/>
  <c r="AL353" i="19" s="1"/>
  <c r="AM353" i="19" s="1"/>
  <c r="AN353" i="19" s="1"/>
  <c r="AO353" i="19" s="1"/>
  <c r="AP353" i="19" s="1"/>
  <c r="AQ353" i="19" s="1"/>
  <c r="AR353" i="19" s="1"/>
  <c r="AS353" i="19" s="1"/>
  <c r="AT353" i="19" s="1"/>
  <c r="AK122" i="19"/>
  <c r="AL122" i="19" s="1"/>
  <c r="AM122" i="19" s="1"/>
  <c r="AN122" i="19" s="1"/>
  <c r="AO122" i="19" s="1"/>
  <c r="AP122" i="19" s="1"/>
  <c r="AQ122" i="19" s="1"/>
  <c r="AR122" i="19" s="1"/>
  <c r="AS122" i="19" s="1"/>
  <c r="AT122" i="19" s="1"/>
  <c r="AK131" i="19"/>
  <c r="AL131" i="19" s="1"/>
  <c r="AM131" i="19" s="1"/>
  <c r="AN131" i="19" s="1"/>
  <c r="AO131" i="19" s="1"/>
  <c r="AP131" i="19" s="1"/>
  <c r="AQ131" i="19" s="1"/>
  <c r="AR131" i="19" s="1"/>
  <c r="AS131" i="19" s="1"/>
  <c r="AT131" i="19" s="1"/>
  <c r="AK118" i="19"/>
  <c r="AL118" i="19" s="1"/>
  <c r="AM118" i="19" s="1"/>
  <c r="AN118" i="19" s="1"/>
  <c r="AO118" i="19" s="1"/>
  <c r="AP118" i="19" s="1"/>
  <c r="AQ118" i="19" s="1"/>
  <c r="AR118" i="19" s="1"/>
  <c r="AS118" i="19" s="1"/>
  <c r="AT118" i="19" s="1"/>
  <c r="AK205" i="19"/>
  <c r="AL205" i="19" s="1"/>
  <c r="AM205" i="19" s="1"/>
  <c r="AN205" i="19" s="1"/>
  <c r="AO205" i="19" s="1"/>
  <c r="AP205" i="19" s="1"/>
  <c r="AQ205" i="19" s="1"/>
  <c r="AR205" i="19" s="1"/>
  <c r="AS205" i="19" s="1"/>
  <c r="AT205" i="19" s="1"/>
  <c r="AK221" i="19"/>
  <c r="AL221" i="19" s="1"/>
  <c r="AM221" i="19" s="1"/>
  <c r="AN221" i="19" s="1"/>
  <c r="AO221" i="19" s="1"/>
  <c r="AP221" i="19" s="1"/>
  <c r="AQ221" i="19" s="1"/>
  <c r="AR221" i="19" s="1"/>
  <c r="AS221" i="19" s="1"/>
  <c r="AT221" i="19" s="1"/>
  <c r="AK228" i="19"/>
  <c r="AL228" i="19" s="1"/>
  <c r="AM228" i="19" s="1"/>
  <c r="AN228" i="19" s="1"/>
  <c r="AO228" i="19" s="1"/>
  <c r="AP228" i="19" s="1"/>
  <c r="AQ228" i="19" s="1"/>
  <c r="AR228" i="19" s="1"/>
  <c r="AS228" i="19" s="1"/>
  <c r="AT228" i="19" s="1"/>
  <c r="AK212" i="19"/>
  <c r="AL212" i="19" s="1"/>
  <c r="AM212" i="19" s="1"/>
  <c r="AN212" i="19" s="1"/>
  <c r="AO212" i="19" s="1"/>
  <c r="AP212" i="19" s="1"/>
  <c r="AQ212" i="19" s="1"/>
  <c r="AR212" i="19" s="1"/>
  <c r="AS212" i="19" s="1"/>
  <c r="AT212" i="19" s="1"/>
  <c r="AK433" i="19"/>
  <c r="AL433" i="19" s="1"/>
  <c r="AM433" i="19" s="1"/>
  <c r="AN433" i="19" s="1"/>
  <c r="AO433" i="19" s="1"/>
  <c r="AP433" i="19" s="1"/>
  <c r="AQ433" i="19" s="1"/>
  <c r="AR433" i="19" s="1"/>
  <c r="AS433" i="19" s="1"/>
  <c r="AT433" i="19" s="1"/>
  <c r="AK184" i="19"/>
  <c r="AL184" i="19" s="1"/>
  <c r="AM184" i="19" s="1"/>
  <c r="AN184" i="19" s="1"/>
  <c r="AO184" i="19" s="1"/>
  <c r="AP184" i="19" s="1"/>
  <c r="AQ184" i="19" s="1"/>
  <c r="AR184" i="19" s="1"/>
  <c r="AS184" i="19" s="1"/>
  <c r="AT184" i="19" s="1"/>
  <c r="AK389" i="23"/>
  <c r="AL389" i="23" s="1"/>
  <c r="AM389" i="23" s="1"/>
  <c r="AN389" i="23" s="1"/>
  <c r="AO389" i="23" s="1"/>
  <c r="AP389" i="23" s="1"/>
  <c r="AQ389" i="23" s="1"/>
  <c r="AR389" i="23" s="1"/>
  <c r="AS389" i="23" s="1"/>
  <c r="AT389" i="23" s="1"/>
  <c r="AK140" i="19"/>
  <c r="AL140" i="19" s="1"/>
  <c r="AM140" i="19" s="1"/>
  <c r="AN140" i="19" s="1"/>
  <c r="AO140" i="19" s="1"/>
  <c r="AP140" i="19" s="1"/>
  <c r="AQ140" i="19" s="1"/>
  <c r="AR140" i="19" s="1"/>
  <c r="AS140" i="19" s="1"/>
  <c r="AT140" i="19" s="1"/>
  <c r="AK394" i="23"/>
  <c r="AL394" i="23" s="1"/>
  <c r="AM394" i="23" s="1"/>
  <c r="AN394" i="23" s="1"/>
  <c r="AO394" i="23" s="1"/>
  <c r="AP394" i="23" s="1"/>
  <c r="AQ394" i="23" s="1"/>
  <c r="AR394" i="23" s="1"/>
  <c r="AS394" i="23" s="1"/>
  <c r="AT394" i="23" s="1"/>
  <c r="AK265" i="19"/>
  <c r="AL265" i="19" s="1"/>
  <c r="AM265" i="19" s="1"/>
  <c r="AN265" i="19" s="1"/>
  <c r="AO265" i="19" s="1"/>
  <c r="AP265" i="19" s="1"/>
  <c r="AQ265" i="19" s="1"/>
  <c r="AR265" i="19" s="1"/>
  <c r="AS265" i="19" s="1"/>
  <c r="AT265" i="19" s="1"/>
  <c r="AK123" i="19"/>
  <c r="AL123" i="19" s="1"/>
  <c r="AM123" i="19" s="1"/>
  <c r="AN123" i="19" s="1"/>
  <c r="AO123" i="19" s="1"/>
  <c r="AP123" i="19" s="1"/>
  <c r="AQ123" i="19" s="1"/>
  <c r="AR123" i="19" s="1"/>
  <c r="AS123" i="19" s="1"/>
  <c r="AT123" i="19" s="1"/>
  <c r="AK170" i="19"/>
  <c r="AL170" i="19" s="1"/>
  <c r="AM170" i="19" s="1"/>
  <c r="AN170" i="19" s="1"/>
  <c r="AO170" i="19" s="1"/>
  <c r="AP170" i="19" s="1"/>
  <c r="AQ170" i="19" s="1"/>
  <c r="AR170" i="19" s="1"/>
  <c r="AS170" i="19" s="1"/>
  <c r="AT170" i="19" s="1"/>
  <c r="AK386" i="19"/>
  <c r="AL386" i="19" s="1"/>
  <c r="AM386" i="19" s="1"/>
  <c r="AN386" i="19" s="1"/>
  <c r="AO386" i="19" s="1"/>
  <c r="AP386" i="19" s="1"/>
  <c r="AQ386" i="19" s="1"/>
  <c r="AR386" i="19" s="1"/>
  <c r="AS386" i="19" s="1"/>
  <c r="AT386" i="19" s="1"/>
  <c r="AK224" i="19"/>
  <c r="AL224" i="19" s="1"/>
  <c r="AM224" i="19" s="1"/>
  <c r="AN224" i="19" s="1"/>
  <c r="AO224" i="19" s="1"/>
  <c r="AP224" i="19" s="1"/>
  <c r="AQ224" i="19" s="1"/>
  <c r="AR224" i="19" s="1"/>
  <c r="AS224" i="19" s="1"/>
  <c r="AT224" i="19" s="1"/>
  <c r="AK261" i="19"/>
  <c r="AL261" i="19" s="1"/>
  <c r="AM261" i="19" s="1"/>
  <c r="AN261" i="19" s="1"/>
  <c r="AO261" i="19" s="1"/>
  <c r="AP261" i="19" s="1"/>
  <c r="AQ261" i="19" s="1"/>
  <c r="AR261" i="19" s="1"/>
  <c r="AS261" i="19" s="1"/>
  <c r="AJ261" i="19" s="1"/>
  <c r="AK218" i="19"/>
  <c r="AL218" i="19" s="1"/>
  <c r="AM218" i="19" s="1"/>
  <c r="AN218" i="19" s="1"/>
  <c r="AO218" i="19" s="1"/>
  <c r="AP218" i="19" s="1"/>
  <c r="AQ218" i="19" s="1"/>
  <c r="AR218" i="19" s="1"/>
  <c r="AS218" i="19" s="1"/>
  <c r="AT218" i="19" s="1"/>
  <c r="AK150" i="19"/>
  <c r="AL150" i="19" s="1"/>
  <c r="AM150" i="19" s="1"/>
  <c r="AN150" i="19" s="1"/>
  <c r="AO150" i="19" s="1"/>
  <c r="AP150" i="19" s="1"/>
  <c r="AQ150" i="19" s="1"/>
  <c r="AR150" i="19" s="1"/>
  <c r="AS150" i="19" s="1"/>
  <c r="AT150" i="19" s="1"/>
  <c r="AK116" i="19"/>
  <c r="AL116" i="19" s="1"/>
  <c r="AM116" i="19" s="1"/>
  <c r="AN116" i="19" s="1"/>
  <c r="AO116" i="19" s="1"/>
  <c r="AP116" i="19" s="1"/>
  <c r="AQ116" i="19" s="1"/>
  <c r="AR116" i="19" s="1"/>
  <c r="AS116" i="19" s="1"/>
  <c r="AT116" i="19" s="1"/>
  <c r="AK312" i="19"/>
  <c r="AL312" i="19" s="1"/>
  <c r="AM312" i="19" s="1"/>
  <c r="AN312" i="19" s="1"/>
  <c r="AO312" i="19" s="1"/>
  <c r="AP312" i="19" s="1"/>
  <c r="AQ312" i="19" s="1"/>
  <c r="AR312" i="19" s="1"/>
  <c r="AS312" i="19" s="1"/>
  <c r="AT312" i="19" s="1"/>
  <c r="AK408" i="23"/>
  <c r="AL408" i="23" s="1"/>
  <c r="AM408" i="23" s="1"/>
  <c r="AN408" i="23" s="1"/>
  <c r="AO408" i="23" s="1"/>
  <c r="AP408" i="23" s="1"/>
  <c r="AQ408" i="23" s="1"/>
  <c r="AR408" i="23" s="1"/>
  <c r="AS408" i="23" s="1"/>
  <c r="AT408" i="23" s="1"/>
  <c r="AK288" i="19"/>
  <c r="AL288" i="19" s="1"/>
  <c r="AM288" i="19" s="1"/>
  <c r="AN288" i="19" s="1"/>
  <c r="AO288" i="19" s="1"/>
  <c r="AP288" i="19" s="1"/>
  <c r="AQ288" i="19" s="1"/>
  <c r="AH288" i="19" s="1"/>
  <c r="AK171" i="19"/>
  <c r="AL171" i="19" s="1"/>
  <c r="AM171" i="19" s="1"/>
  <c r="AN171" i="19" s="1"/>
  <c r="AO171" i="19" s="1"/>
  <c r="AP171" i="19" s="1"/>
  <c r="AQ171" i="19" s="1"/>
  <c r="AR171" i="19" s="1"/>
  <c r="AS171" i="19" s="1"/>
  <c r="AT171" i="19" s="1"/>
  <c r="AK382" i="19"/>
  <c r="AL382" i="19" s="1"/>
  <c r="AM382" i="19" s="1"/>
  <c r="AN382" i="19" s="1"/>
  <c r="AO382" i="19" s="1"/>
  <c r="AP382" i="19" s="1"/>
  <c r="AQ382" i="19" s="1"/>
  <c r="AR382" i="19" s="1"/>
  <c r="AS382" i="19" s="1"/>
  <c r="AT382" i="19" s="1"/>
  <c r="AK294" i="19"/>
  <c r="AL294" i="19" s="1"/>
  <c r="AM294" i="19" s="1"/>
  <c r="AN294" i="19" s="1"/>
  <c r="AO294" i="19" s="1"/>
  <c r="AP294" i="19" s="1"/>
  <c r="AQ294" i="19" s="1"/>
  <c r="AR294" i="19" s="1"/>
  <c r="AS294" i="19" s="1"/>
  <c r="AT294" i="19" s="1"/>
  <c r="AK289" i="19"/>
  <c r="AL289" i="19" s="1"/>
  <c r="AM289" i="19" s="1"/>
  <c r="AN289" i="19" s="1"/>
  <c r="AO289" i="19" s="1"/>
  <c r="AP289" i="19" s="1"/>
  <c r="AQ289" i="19" s="1"/>
  <c r="AK239" i="19"/>
  <c r="AL239" i="19" s="1"/>
  <c r="AM239" i="19" s="1"/>
  <c r="AN239" i="19" s="1"/>
  <c r="AO239" i="19" s="1"/>
  <c r="AP239" i="19" s="1"/>
  <c r="AQ239" i="19" s="1"/>
  <c r="AR239" i="19" s="1"/>
  <c r="AS239" i="19" s="1"/>
  <c r="AT239" i="19" s="1"/>
  <c r="AK360" i="19"/>
  <c r="AL360" i="19" s="1"/>
  <c r="AM360" i="19" s="1"/>
  <c r="AN360" i="19" s="1"/>
  <c r="AO360" i="19" s="1"/>
  <c r="AP360" i="19" s="1"/>
  <c r="AQ360" i="19" s="1"/>
  <c r="AH360" i="19" s="1"/>
  <c r="AK183" i="19"/>
  <c r="AL183" i="19" s="1"/>
  <c r="AM183" i="19" s="1"/>
  <c r="AN183" i="19" s="1"/>
  <c r="AO183" i="19" s="1"/>
  <c r="AP183" i="19" s="1"/>
  <c r="AQ183" i="19" s="1"/>
  <c r="AR183" i="19" s="1"/>
  <c r="AS183" i="19" s="1"/>
  <c r="AT183" i="19" s="1"/>
  <c r="AK119" i="19"/>
  <c r="AL119" i="19" s="1"/>
  <c r="AM119" i="19" s="1"/>
  <c r="AN119" i="19" s="1"/>
  <c r="AO119" i="19" s="1"/>
  <c r="AP119" i="19" s="1"/>
  <c r="AQ119" i="19" s="1"/>
  <c r="AR119" i="19" s="1"/>
  <c r="AS119" i="19" s="1"/>
  <c r="AT119" i="19" s="1"/>
  <c r="AK404" i="23"/>
  <c r="AL404" i="23" s="1"/>
  <c r="AM404" i="23" s="1"/>
  <c r="AN404" i="23" s="1"/>
  <c r="AO404" i="23" s="1"/>
  <c r="AP404" i="23" s="1"/>
  <c r="AQ404" i="23" s="1"/>
  <c r="AR404" i="23" s="1"/>
  <c r="AS404" i="23" s="1"/>
  <c r="AT404" i="23" s="1"/>
  <c r="AK248" i="19"/>
  <c r="AL248" i="19" s="1"/>
  <c r="AM248" i="19" s="1"/>
  <c r="AN248" i="19" s="1"/>
  <c r="AO248" i="19" s="1"/>
  <c r="AP248" i="19" s="1"/>
  <c r="AQ248" i="19" s="1"/>
  <c r="AR248" i="19" s="1"/>
  <c r="AS248" i="19" s="1"/>
  <c r="AT248" i="19" s="1"/>
  <c r="AK432" i="23"/>
  <c r="AL432" i="23" s="1"/>
  <c r="AM432" i="23" s="1"/>
  <c r="AN432" i="23" s="1"/>
  <c r="AO432" i="23" s="1"/>
  <c r="AP432" i="23" s="1"/>
  <c r="AQ432" i="23" s="1"/>
  <c r="AR432" i="23" s="1"/>
  <c r="AS432" i="23" s="1"/>
  <c r="AT432" i="23" s="1"/>
  <c r="AK378" i="19"/>
  <c r="AL378" i="19" s="1"/>
  <c r="AM378" i="19" s="1"/>
  <c r="AN378" i="19" s="1"/>
  <c r="AO378" i="19" s="1"/>
  <c r="AP378" i="19" s="1"/>
  <c r="AQ378" i="19" s="1"/>
  <c r="AR378" i="19" s="1"/>
  <c r="AS378" i="19" s="1"/>
  <c r="AT378" i="19" s="1"/>
  <c r="AK329" i="19"/>
  <c r="AL329" i="19" s="1"/>
  <c r="AM329" i="19" s="1"/>
  <c r="AN329" i="19" s="1"/>
  <c r="AO329" i="19" s="1"/>
  <c r="AP329" i="19" s="1"/>
  <c r="AG329" i="19" s="1"/>
  <c r="AK310" i="19"/>
  <c r="AL310" i="19" s="1"/>
  <c r="AM310" i="19" s="1"/>
  <c r="AN310" i="19" s="1"/>
  <c r="AO310" i="19" s="1"/>
  <c r="AP310" i="19" s="1"/>
  <c r="AQ310" i="19" s="1"/>
  <c r="AR310" i="19" s="1"/>
  <c r="AS310" i="19" s="1"/>
  <c r="AT310" i="19" s="1"/>
  <c r="AK284" i="19"/>
  <c r="AL284" i="19" s="1"/>
  <c r="AM284" i="19" s="1"/>
  <c r="AN284" i="19" s="1"/>
  <c r="AO284" i="19" s="1"/>
  <c r="AP284" i="19" s="1"/>
  <c r="AQ284" i="19" s="1"/>
  <c r="AR284" i="19" s="1"/>
  <c r="AS284" i="19" s="1"/>
  <c r="AT284" i="19" s="1"/>
  <c r="AK286" i="19"/>
  <c r="AL286" i="19" s="1"/>
  <c r="AM286" i="19" s="1"/>
  <c r="AN286" i="19" s="1"/>
  <c r="AO286" i="19" s="1"/>
  <c r="AP286" i="19" s="1"/>
  <c r="AQ286" i="19" s="1"/>
  <c r="AR286" i="19" s="1"/>
  <c r="AS286" i="19" s="1"/>
  <c r="AT286" i="19" s="1"/>
  <c r="AK403" i="19"/>
  <c r="AL403" i="19" s="1"/>
  <c r="AM403" i="19" s="1"/>
  <c r="AN403" i="19" s="1"/>
  <c r="AO403" i="19" s="1"/>
  <c r="AP403" i="19" s="1"/>
  <c r="AQ403" i="19" s="1"/>
  <c r="AR403" i="19" s="1"/>
  <c r="AS403" i="19" s="1"/>
  <c r="AT403" i="19" s="1"/>
  <c r="AK198" i="19"/>
  <c r="AL198" i="19" s="1"/>
  <c r="AM198" i="19" s="1"/>
  <c r="AN198" i="19" s="1"/>
  <c r="AO198" i="19" s="1"/>
  <c r="AP198" i="19" s="1"/>
  <c r="AQ198" i="19" s="1"/>
  <c r="AR198" i="19" s="1"/>
  <c r="AS198" i="19" s="1"/>
  <c r="AT198" i="19" s="1"/>
  <c r="AK388" i="23"/>
  <c r="AL388" i="23" s="1"/>
  <c r="AM388" i="23" s="1"/>
  <c r="AN388" i="23" s="1"/>
  <c r="AO388" i="23" s="1"/>
  <c r="AP388" i="23" s="1"/>
  <c r="AQ388" i="23" s="1"/>
  <c r="AR388" i="23" s="1"/>
  <c r="AS388" i="23" s="1"/>
  <c r="AT388" i="23" s="1"/>
  <c r="AK320" i="19"/>
  <c r="AL320" i="19" s="1"/>
  <c r="AM320" i="19" s="1"/>
  <c r="AN320" i="19" s="1"/>
  <c r="AO320" i="19" s="1"/>
  <c r="AP320" i="19" s="1"/>
  <c r="AQ320" i="19" s="1"/>
  <c r="AR320" i="19" s="1"/>
  <c r="AS320" i="19" s="1"/>
  <c r="AT320" i="19" s="1"/>
  <c r="AK441" i="23"/>
  <c r="AL441" i="23" s="1"/>
  <c r="AM441" i="23" s="1"/>
  <c r="AN441" i="23" s="1"/>
  <c r="AO441" i="23" s="1"/>
  <c r="AP441" i="23" s="1"/>
  <c r="AQ441" i="23" s="1"/>
  <c r="AR441" i="23" s="1"/>
  <c r="AS441" i="23" s="1"/>
  <c r="AT441" i="23" s="1"/>
  <c r="AK96" i="19"/>
  <c r="AL96" i="19" s="1"/>
  <c r="AM96" i="19" s="1"/>
  <c r="AN96" i="19" s="1"/>
  <c r="AO96" i="19" s="1"/>
  <c r="AP96" i="19" s="1"/>
  <c r="AQ96" i="19" s="1"/>
  <c r="AR96" i="19" s="1"/>
  <c r="AS96" i="19" s="1"/>
  <c r="AT96" i="19" s="1"/>
  <c r="AK358" i="19"/>
  <c r="AL358" i="19" s="1"/>
  <c r="AM358" i="19" s="1"/>
  <c r="AN358" i="19" s="1"/>
  <c r="AO358" i="19" s="1"/>
  <c r="AP358" i="19" s="1"/>
  <c r="AQ358" i="19" s="1"/>
  <c r="AR358" i="19" s="1"/>
  <c r="AS358" i="19" s="1"/>
  <c r="AJ358" i="19" s="1"/>
  <c r="AK251" i="19"/>
  <c r="AL251" i="19" s="1"/>
  <c r="AM251" i="19" s="1"/>
  <c r="AN251" i="19" s="1"/>
  <c r="AO251" i="19" s="1"/>
  <c r="AP251" i="19" s="1"/>
  <c r="AQ251" i="19" s="1"/>
  <c r="AR251" i="19" s="1"/>
  <c r="AS251" i="19" s="1"/>
  <c r="AT251" i="19" s="1"/>
  <c r="AK340" i="19"/>
  <c r="AL340" i="19" s="1"/>
  <c r="AM340" i="19" s="1"/>
  <c r="AN340" i="19" s="1"/>
  <c r="AO340" i="19" s="1"/>
  <c r="AP340" i="19" s="1"/>
  <c r="AQ340" i="19" s="1"/>
  <c r="AR340" i="19" s="1"/>
  <c r="AS340" i="19" s="1"/>
  <c r="AT340" i="19" s="1"/>
  <c r="AK173" i="19"/>
  <c r="AL173" i="19" s="1"/>
  <c r="AM173" i="19" s="1"/>
  <c r="AN173" i="19" s="1"/>
  <c r="AO173" i="19" s="1"/>
  <c r="AP173" i="19" s="1"/>
  <c r="AQ173" i="19" s="1"/>
  <c r="AR173" i="19" s="1"/>
  <c r="AS173" i="19" s="1"/>
  <c r="AT173" i="19" s="1"/>
  <c r="AK302" i="19"/>
  <c r="AL302" i="19" s="1"/>
  <c r="AM302" i="19" s="1"/>
  <c r="AN302" i="19" s="1"/>
  <c r="AO302" i="19" s="1"/>
  <c r="AP302" i="19" s="1"/>
  <c r="AQ302" i="19" s="1"/>
  <c r="AK97" i="19"/>
  <c r="AL97" i="19" s="1"/>
  <c r="AM97" i="19" s="1"/>
  <c r="AN97" i="19" s="1"/>
  <c r="AO97" i="19" s="1"/>
  <c r="AP97" i="19" s="1"/>
  <c r="AQ97" i="19" s="1"/>
  <c r="AR97" i="19" s="1"/>
  <c r="AS97" i="19" s="1"/>
  <c r="AT97" i="19" s="1"/>
  <c r="AK211" i="19"/>
  <c r="AL211" i="19" s="1"/>
  <c r="AM211" i="19" s="1"/>
  <c r="AN211" i="19" s="1"/>
  <c r="AO211" i="19" s="1"/>
  <c r="AP211" i="19" s="1"/>
  <c r="AQ211" i="19" s="1"/>
  <c r="AR211" i="19" s="1"/>
  <c r="AS211" i="19" s="1"/>
  <c r="AT211" i="19" s="1"/>
  <c r="AK324" i="19"/>
  <c r="AL324" i="19" s="1"/>
  <c r="AM324" i="19" s="1"/>
  <c r="AN324" i="19" s="1"/>
  <c r="AO324" i="19" s="1"/>
  <c r="AP324" i="19" s="1"/>
  <c r="AQ324" i="19" s="1"/>
  <c r="AR324" i="19" s="1"/>
  <c r="AS324" i="19" s="1"/>
  <c r="AT324" i="19" s="1"/>
  <c r="AK175" i="23"/>
  <c r="AL175" i="23" s="1"/>
  <c r="AM175" i="23" s="1"/>
  <c r="AN175" i="23" s="1"/>
  <c r="AO175" i="23" s="1"/>
  <c r="AP175" i="23" s="1"/>
  <c r="AQ175" i="23" s="1"/>
  <c r="AR175" i="23" s="1"/>
  <c r="AS175" i="23" s="1"/>
  <c r="AT175" i="23" s="1"/>
  <c r="AK316" i="19"/>
  <c r="AL316" i="19" s="1"/>
  <c r="AM316" i="19" s="1"/>
  <c r="AN316" i="19" s="1"/>
  <c r="AO316" i="19" s="1"/>
  <c r="AP316" i="19" s="1"/>
  <c r="AQ316" i="19" s="1"/>
  <c r="AR316" i="19" s="1"/>
  <c r="AS316" i="19" s="1"/>
  <c r="AT316" i="19" s="1"/>
  <c r="AK267" i="19"/>
  <c r="AL267" i="19" s="1"/>
  <c r="AM267" i="19" s="1"/>
  <c r="AN267" i="19" s="1"/>
  <c r="AO267" i="19" s="1"/>
  <c r="AP267" i="19" s="1"/>
  <c r="AQ267" i="19" s="1"/>
  <c r="AR267" i="19" s="1"/>
  <c r="AS267" i="19" s="1"/>
  <c r="AT267" i="19" s="1"/>
  <c r="AK236" i="19"/>
  <c r="AL236" i="19" s="1"/>
  <c r="AM236" i="19" s="1"/>
  <c r="AN236" i="19" s="1"/>
  <c r="AO236" i="19" s="1"/>
  <c r="AP236" i="19" s="1"/>
  <c r="AQ236" i="19" s="1"/>
  <c r="AR236" i="19" s="1"/>
  <c r="AS236" i="19" s="1"/>
  <c r="AT236" i="19" s="1"/>
  <c r="AK308" i="19"/>
  <c r="AL308" i="19" s="1"/>
  <c r="AM308" i="19" s="1"/>
  <c r="AN308" i="19" s="1"/>
  <c r="AO308" i="19" s="1"/>
  <c r="AP308" i="19" s="1"/>
  <c r="AQ308" i="19" s="1"/>
  <c r="AR308" i="19" s="1"/>
  <c r="AS308" i="19" s="1"/>
  <c r="AT308" i="19" s="1"/>
  <c r="AK126" i="19"/>
  <c r="AL126" i="19" s="1"/>
  <c r="AM126" i="19" s="1"/>
  <c r="AN126" i="19" s="1"/>
  <c r="AO126" i="19" s="1"/>
  <c r="AP126" i="19" s="1"/>
  <c r="AQ126" i="19" s="1"/>
  <c r="AR126" i="19" s="1"/>
  <c r="AS126" i="19" s="1"/>
  <c r="AT126" i="19" s="1"/>
  <c r="AK128" i="19"/>
  <c r="AL128" i="19" s="1"/>
  <c r="AM128" i="19" s="1"/>
  <c r="AN128" i="19" s="1"/>
  <c r="AO128" i="19" s="1"/>
  <c r="AP128" i="19" s="1"/>
  <c r="AQ128" i="19" s="1"/>
  <c r="AR128" i="19" s="1"/>
  <c r="AS128" i="19" s="1"/>
  <c r="AT128" i="19" s="1"/>
  <c r="AK242" i="19"/>
  <c r="AL242" i="19" s="1"/>
  <c r="AM242" i="19" s="1"/>
  <c r="AN242" i="19" s="1"/>
  <c r="AO242" i="19" s="1"/>
  <c r="AP242" i="19" s="1"/>
  <c r="AQ242" i="19" s="1"/>
  <c r="AR242" i="19" s="1"/>
  <c r="AS242" i="19" s="1"/>
  <c r="AT242" i="19" s="1"/>
  <c r="AK301" i="19"/>
  <c r="AL301" i="19" s="1"/>
  <c r="AM301" i="19" s="1"/>
  <c r="AN301" i="19" s="1"/>
  <c r="AO301" i="19" s="1"/>
  <c r="AP301" i="19" s="1"/>
  <c r="AQ301" i="19" s="1"/>
  <c r="AH301" i="19" s="1"/>
  <c r="AK407" i="19"/>
  <c r="AL407" i="19" s="1"/>
  <c r="AM407" i="19" s="1"/>
  <c r="AN407" i="19" s="1"/>
  <c r="AO407" i="19" s="1"/>
  <c r="AP407" i="19" s="1"/>
  <c r="AQ407" i="19" s="1"/>
  <c r="AR407" i="19" s="1"/>
  <c r="AS407" i="19" s="1"/>
  <c r="AT407" i="19" s="1"/>
  <c r="AK167" i="19"/>
  <c r="AL167" i="19" s="1"/>
  <c r="AM167" i="19" s="1"/>
  <c r="AN167" i="19" s="1"/>
  <c r="AO167" i="19" s="1"/>
  <c r="AP167" i="19" s="1"/>
  <c r="AQ167" i="19" s="1"/>
  <c r="AR167" i="19" s="1"/>
  <c r="AS167" i="19" s="1"/>
  <c r="AT167" i="19" s="1"/>
  <c r="AK396" i="23"/>
  <c r="AL396" i="23" s="1"/>
  <c r="AM396" i="23" s="1"/>
  <c r="AN396" i="23" s="1"/>
  <c r="AO396" i="23" s="1"/>
  <c r="AP396" i="23" s="1"/>
  <c r="AQ396" i="23" s="1"/>
  <c r="AR396" i="23" s="1"/>
  <c r="AS396" i="23" s="1"/>
  <c r="AT396" i="23" s="1"/>
  <c r="AK395" i="19"/>
  <c r="AL395" i="19" s="1"/>
  <c r="AM395" i="19" s="1"/>
  <c r="AN395" i="19" s="1"/>
  <c r="AO395" i="19" s="1"/>
  <c r="AP395" i="19" s="1"/>
  <c r="AQ395" i="19" s="1"/>
  <c r="AR395" i="19" s="1"/>
  <c r="AS395" i="19" s="1"/>
  <c r="AT395" i="19" s="1"/>
  <c r="AK412" i="23"/>
  <c r="AL412" i="23" s="1"/>
  <c r="AM412" i="23" s="1"/>
  <c r="AN412" i="23" s="1"/>
  <c r="AO412" i="23" s="1"/>
  <c r="AP412" i="23" s="1"/>
  <c r="AQ412" i="23" s="1"/>
  <c r="AR412" i="23" s="1"/>
  <c r="AS412" i="23" s="1"/>
  <c r="AT412" i="23" s="1"/>
  <c r="AK179" i="19"/>
  <c r="AL179" i="19" s="1"/>
  <c r="AM179" i="19" s="1"/>
  <c r="AN179" i="19" s="1"/>
  <c r="AO179" i="19" s="1"/>
  <c r="AP179" i="19" s="1"/>
  <c r="AQ179" i="19" s="1"/>
  <c r="AR179" i="19" s="1"/>
  <c r="AS179" i="19" s="1"/>
  <c r="AT179" i="19" s="1"/>
  <c r="AK271" i="19"/>
  <c r="AL271" i="19" s="1"/>
  <c r="AM271" i="19" s="1"/>
  <c r="AN271" i="19" s="1"/>
  <c r="AO271" i="19" s="1"/>
  <c r="AP271" i="19" s="1"/>
  <c r="AQ271" i="19" s="1"/>
  <c r="AR271" i="19" s="1"/>
  <c r="AS271" i="19" s="1"/>
  <c r="AT271" i="19" s="1"/>
  <c r="AK423" i="23"/>
  <c r="AL423" i="23" s="1"/>
  <c r="AM423" i="23" s="1"/>
  <c r="AN423" i="23" s="1"/>
  <c r="AO423" i="23" s="1"/>
  <c r="AP423" i="23" s="1"/>
  <c r="AQ423" i="23" s="1"/>
  <c r="AR423" i="23" s="1"/>
  <c r="AS423" i="23" s="1"/>
  <c r="AT423" i="23" s="1"/>
  <c r="AK279" i="19"/>
  <c r="AL279" i="19" s="1"/>
  <c r="AM279" i="19" s="1"/>
  <c r="AN279" i="19" s="1"/>
  <c r="AO279" i="19" s="1"/>
  <c r="AP279" i="19" s="1"/>
  <c r="AQ279" i="19" s="1"/>
  <c r="AR279" i="19" s="1"/>
  <c r="AS279" i="19" s="1"/>
  <c r="AT279" i="19" s="1"/>
  <c r="AK276" i="19"/>
  <c r="AL276" i="19" s="1"/>
  <c r="AM276" i="19" s="1"/>
  <c r="AN276" i="19" s="1"/>
  <c r="AO276" i="19" s="1"/>
  <c r="AP276" i="19" s="1"/>
  <c r="AQ276" i="19" s="1"/>
  <c r="AR276" i="19" s="1"/>
  <c r="AS276" i="19" s="1"/>
  <c r="AT276" i="19" s="1"/>
  <c r="AK235" i="19"/>
  <c r="AL235" i="19" s="1"/>
  <c r="AM235" i="19" s="1"/>
  <c r="AN235" i="19" s="1"/>
  <c r="AO235" i="19" s="1"/>
  <c r="AP235" i="19" s="1"/>
  <c r="AQ235" i="19" s="1"/>
  <c r="AR235" i="19" s="1"/>
  <c r="AS235" i="19" s="1"/>
  <c r="AT235" i="19" s="1"/>
  <c r="AK168" i="19"/>
  <c r="AL168" i="19" s="1"/>
  <c r="AM168" i="19" s="1"/>
  <c r="AN168" i="19" s="1"/>
  <c r="AO168" i="19" s="1"/>
  <c r="AP168" i="19" s="1"/>
  <c r="AQ168" i="19" s="1"/>
  <c r="AR168" i="19" s="1"/>
  <c r="AS168" i="19" s="1"/>
  <c r="AT168" i="19" s="1"/>
  <c r="AK193" i="19"/>
  <c r="AL193" i="19" s="1"/>
  <c r="AM193" i="19" s="1"/>
  <c r="AN193" i="19" s="1"/>
  <c r="AO193" i="19" s="1"/>
  <c r="AP193" i="19" s="1"/>
  <c r="AQ193" i="19" s="1"/>
  <c r="AR193" i="19" s="1"/>
  <c r="AS193" i="19" s="1"/>
  <c r="AT193" i="19" s="1"/>
  <c r="AK174" i="19"/>
  <c r="AL174" i="19" s="1"/>
  <c r="AM174" i="19" s="1"/>
  <c r="AN174" i="19" s="1"/>
  <c r="AO174" i="19" s="1"/>
  <c r="AP174" i="19" s="1"/>
  <c r="AQ174" i="19" s="1"/>
  <c r="AR174" i="19" s="1"/>
  <c r="AS174" i="19" s="1"/>
  <c r="AT174" i="19" s="1"/>
  <c r="AK143" i="19"/>
  <c r="AL143" i="19" s="1"/>
  <c r="AM143" i="19" s="1"/>
  <c r="AN143" i="19" s="1"/>
  <c r="AO143" i="19" s="1"/>
  <c r="AP143" i="19" s="1"/>
  <c r="AQ143" i="19" s="1"/>
  <c r="AR143" i="19" s="1"/>
  <c r="AS143" i="19" s="1"/>
  <c r="AT143" i="19" s="1"/>
  <c r="AK124" i="19"/>
  <c r="AL124" i="19" s="1"/>
  <c r="AM124" i="19" s="1"/>
  <c r="AN124" i="19" s="1"/>
  <c r="AO124" i="19" s="1"/>
  <c r="AP124" i="19" s="1"/>
  <c r="AQ124" i="19" s="1"/>
  <c r="AR124" i="19" s="1"/>
  <c r="AS124" i="19" s="1"/>
  <c r="AT124" i="19" s="1"/>
  <c r="AK331" i="19"/>
  <c r="AL331" i="19" s="1"/>
  <c r="AM331" i="19" s="1"/>
  <c r="AN331" i="19" s="1"/>
  <c r="AO331" i="19" s="1"/>
  <c r="AP331" i="19" s="1"/>
  <c r="AG331" i="19" s="1"/>
  <c r="AK238" i="19"/>
  <c r="AL238" i="19" s="1"/>
  <c r="AM238" i="19" s="1"/>
  <c r="AN238" i="19" s="1"/>
  <c r="AO238" i="19" s="1"/>
  <c r="AP238" i="19" s="1"/>
  <c r="AQ238" i="19" s="1"/>
  <c r="AR238" i="19" s="1"/>
  <c r="AS238" i="19" s="1"/>
  <c r="AT238" i="19" s="1"/>
  <c r="AK229" i="19"/>
  <c r="AL229" i="19" s="1"/>
  <c r="AM229" i="19" s="1"/>
  <c r="AN229" i="19" s="1"/>
  <c r="AO229" i="19" s="1"/>
  <c r="AP229" i="19" s="1"/>
  <c r="AQ229" i="19" s="1"/>
  <c r="AR229" i="19" s="1"/>
  <c r="AS229" i="19" s="1"/>
  <c r="AT229" i="19" s="1"/>
  <c r="AK363" i="19"/>
  <c r="AL363" i="19" s="1"/>
  <c r="AC363" i="19" s="1"/>
  <c r="AK149" i="19"/>
  <c r="AL149" i="19" s="1"/>
  <c r="AM149" i="19" s="1"/>
  <c r="AN149" i="19" s="1"/>
  <c r="AO149" i="19" s="1"/>
  <c r="AP149" i="19" s="1"/>
  <c r="AQ149" i="19" s="1"/>
  <c r="AR149" i="19" s="1"/>
  <c r="AS149" i="19" s="1"/>
  <c r="AT149" i="19" s="1"/>
  <c r="AK385" i="23"/>
  <c r="AL385" i="23" s="1"/>
  <c r="AM385" i="23" s="1"/>
  <c r="AN385" i="23" s="1"/>
  <c r="AO385" i="23" s="1"/>
  <c r="AP385" i="23" s="1"/>
  <c r="AQ385" i="23" s="1"/>
  <c r="AR385" i="23" s="1"/>
  <c r="AS385" i="23" s="1"/>
  <c r="AT385" i="23" s="1"/>
  <c r="AK186" i="19"/>
  <c r="AL186" i="19" s="1"/>
  <c r="AM186" i="19" s="1"/>
  <c r="AN186" i="19" s="1"/>
  <c r="AO186" i="19" s="1"/>
  <c r="AP186" i="19" s="1"/>
  <c r="AQ186" i="19" s="1"/>
  <c r="AR186" i="19" s="1"/>
  <c r="AS186" i="19" s="1"/>
  <c r="AT186" i="19" s="1"/>
  <c r="AK257" i="19"/>
  <c r="AL257" i="19" s="1"/>
  <c r="AM257" i="19" s="1"/>
  <c r="AN257" i="19" s="1"/>
  <c r="AO257" i="19" s="1"/>
  <c r="AP257" i="19" s="1"/>
  <c r="AQ257" i="19" s="1"/>
  <c r="AR257" i="19" s="1"/>
  <c r="AS257" i="19" s="1"/>
  <c r="AJ257" i="19" s="1"/>
  <c r="AK399" i="23"/>
  <c r="AL399" i="23" s="1"/>
  <c r="AM399" i="23" s="1"/>
  <c r="AN399" i="23" s="1"/>
  <c r="AO399" i="23" s="1"/>
  <c r="AP399" i="23" s="1"/>
  <c r="AQ399" i="23" s="1"/>
  <c r="AR399" i="23" s="1"/>
  <c r="AS399" i="23" s="1"/>
  <c r="AT399" i="23" s="1"/>
  <c r="AK400" i="19"/>
  <c r="AL400" i="19" s="1"/>
  <c r="AM400" i="19" s="1"/>
  <c r="AN400" i="19" s="1"/>
  <c r="AO400" i="19" s="1"/>
  <c r="AP400" i="19" s="1"/>
  <c r="AQ400" i="19" s="1"/>
  <c r="AR400" i="19" s="1"/>
  <c r="AS400" i="19" s="1"/>
  <c r="AT400" i="19" s="1"/>
  <c r="AK142" i="19"/>
  <c r="AL142" i="19" s="1"/>
  <c r="AM142" i="19" s="1"/>
  <c r="AN142" i="19" s="1"/>
  <c r="AO142" i="19" s="1"/>
  <c r="AP142" i="19" s="1"/>
  <c r="AQ142" i="19" s="1"/>
  <c r="AR142" i="19" s="1"/>
  <c r="AS142" i="19" s="1"/>
  <c r="AT142" i="19" s="1"/>
  <c r="AK103" i="19"/>
  <c r="AL103" i="19" s="1"/>
  <c r="AM103" i="19" s="1"/>
  <c r="AN103" i="19" s="1"/>
  <c r="AO103" i="19" s="1"/>
  <c r="AP103" i="19" s="1"/>
  <c r="AQ103" i="19" s="1"/>
  <c r="AR103" i="19" s="1"/>
  <c r="AS103" i="19" s="1"/>
  <c r="AT103" i="19" s="1"/>
  <c r="AK241" i="19"/>
  <c r="AL241" i="19" s="1"/>
  <c r="AM241" i="19" s="1"/>
  <c r="AN241" i="19" s="1"/>
  <c r="AO241" i="19" s="1"/>
  <c r="AP241" i="19" s="1"/>
  <c r="AQ241" i="19" s="1"/>
  <c r="AR241" i="19" s="1"/>
  <c r="AS241" i="19" s="1"/>
  <c r="AT241" i="19" s="1"/>
  <c r="AK413" i="19"/>
  <c r="AL413" i="19" s="1"/>
  <c r="AM413" i="19" s="1"/>
  <c r="AN413" i="19" s="1"/>
  <c r="AO413" i="19" s="1"/>
  <c r="AP413" i="19" s="1"/>
  <c r="AQ413" i="19" s="1"/>
  <c r="AR413" i="19" s="1"/>
  <c r="AS413" i="19" s="1"/>
  <c r="AT413" i="19" s="1"/>
  <c r="AK438" i="23"/>
  <c r="AL438" i="23" s="1"/>
  <c r="AM438" i="23" s="1"/>
  <c r="AN438" i="23" s="1"/>
  <c r="AO438" i="23" s="1"/>
  <c r="AP438" i="23" s="1"/>
  <c r="AQ438" i="23" s="1"/>
  <c r="AR438" i="23" s="1"/>
  <c r="AS438" i="23" s="1"/>
  <c r="AT438" i="23" s="1"/>
  <c r="AK328" i="19"/>
  <c r="AL328" i="19" s="1"/>
  <c r="AM328" i="19" s="1"/>
  <c r="AN328" i="19" s="1"/>
  <c r="AO328" i="19" s="1"/>
  <c r="AP328" i="19" s="1"/>
  <c r="AG328" i="19" s="1"/>
  <c r="AK387" i="19"/>
  <c r="AL387" i="19" s="1"/>
  <c r="AM387" i="19" s="1"/>
  <c r="AN387" i="19" s="1"/>
  <c r="AO387" i="19" s="1"/>
  <c r="AP387" i="19" s="1"/>
  <c r="AQ387" i="19" s="1"/>
  <c r="AR387" i="19" s="1"/>
  <c r="AS387" i="19" s="1"/>
  <c r="AT387" i="19" s="1"/>
  <c r="AK191" i="19"/>
  <c r="AL191" i="19" s="1"/>
  <c r="AM191" i="19" s="1"/>
  <c r="AN191" i="19" s="1"/>
  <c r="AO191" i="19" s="1"/>
  <c r="AP191" i="19" s="1"/>
  <c r="AQ191" i="19" s="1"/>
  <c r="AR191" i="19" s="1"/>
  <c r="AS191" i="19" s="1"/>
  <c r="AT191" i="19" s="1"/>
  <c r="AK398" i="23"/>
  <c r="AL398" i="23" s="1"/>
  <c r="AM398" i="23" s="1"/>
  <c r="AN398" i="23" s="1"/>
  <c r="AO398" i="23" s="1"/>
  <c r="AP398" i="23" s="1"/>
  <c r="AQ398" i="23" s="1"/>
  <c r="AR398" i="23" s="1"/>
  <c r="AS398" i="23" s="1"/>
  <c r="AT398" i="23" s="1"/>
  <c r="AK397" i="19"/>
  <c r="AL397" i="19" s="1"/>
  <c r="AM397" i="19" s="1"/>
  <c r="AN397" i="19" s="1"/>
  <c r="AO397" i="19" s="1"/>
  <c r="AP397" i="19" s="1"/>
  <c r="AQ397" i="19" s="1"/>
  <c r="AR397" i="19" s="1"/>
  <c r="AS397" i="19" s="1"/>
  <c r="AT397" i="19" s="1"/>
  <c r="AK185" i="23"/>
  <c r="AL185" i="23" s="1"/>
  <c r="AM185" i="23" s="1"/>
  <c r="AN185" i="23" s="1"/>
  <c r="AO185" i="23" s="1"/>
  <c r="AP185" i="23" s="1"/>
  <c r="AQ185" i="23" s="1"/>
  <c r="AR185" i="23" s="1"/>
  <c r="AS185" i="23" s="1"/>
  <c r="AT185" i="23" s="1"/>
  <c r="AK194" i="19"/>
  <c r="AL194" i="19" s="1"/>
  <c r="AM194" i="19" s="1"/>
  <c r="AN194" i="19" s="1"/>
  <c r="AO194" i="19" s="1"/>
  <c r="AP194" i="19" s="1"/>
  <c r="AQ194" i="19" s="1"/>
  <c r="AR194" i="19" s="1"/>
  <c r="AS194" i="19" s="1"/>
  <c r="AT194" i="19" s="1"/>
  <c r="AK100" i="19"/>
  <c r="AL100" i="19" s="1"/>
  <c r="AM100" i="19" s="1"/>
  <c r="AN100" i="19" s="1"/>
  <c r="AO100" i="19" s="1"/>
  <c r="AP100" i="19" s="1"/>
  <c r="AQ100" i="19" s="1"/>
  <c r="AR100" i="19" s="1"/>
  <c r="AS100" i="19" s="1"/>
  <c r="AT100" i="19" s="1"/>
  <c r="AK132" i="19"/>
  <c r="AL132" i="19" s="1"/>
  <c r="AM132" i="19" s="1"/>
  <c r="AN132" i="19" s="1"/>
  <c r="AO132" i="19" s="1"/>
  <c r="AP132" i="19" s="1"/>
  <c r="AQ132" i="19" s="1"/>
  <c r="AR132" i="19" s="1"/>
  <c r="AS132" i="19" s="1"/>
  <c r="AT132" i="19" s="1"/>
  <c r="AK336" i="19"/>
  <c r="AL336" i="19" s="1"/>
  <c r="AM336" i="19" s="1"/>
  <c r="AN336" i="19" s="1"/>
  <c r="AO336" i="19" s="1"/>
  <c r="AP336" i="19" s="1"/>
  <c r="AG336" i="19" s="1"/>
  <c r="AK120" i="19"/>
  <c r="AL120" i="19" s="1"/>
  <c r="AM120" i="19" s="1"/>
  <c r="AN120" i="19" s="1"/>
  <c r="AO120" i="19" s="1"/>
  <c r="AP120" i="19" s="1"/>
  <c r="AQ120" i="19" s="1"/>
  <c r="AR120" i="19" s="1"/>
  <c r="AS120" i="19" s="1"/>
  <c r="AT120" i="19" s="1"/>
  <c r="AK443" i="19"/>
  <c r="AL443" i="19" s="1"/>
  <c r="AM443" i="19" s="1"/>
  <c r="AN443" i="19" s="1"/>
  <c r="AO443" i="19" s="1"/>
  <c r="AP443" i="19" s="1"/>
  <c r="AQ443" i="19" s="1"/>
  <c r="AR443" i="19" s="1"/>
  <c r="AS443" i="19" s="1"/>
  <c r="AT443" i="19" s="1"/>
  <c r="AK227" i="19"/>
  <c r="AL227" i="19" s="1"/>
  <c r="AM227" i="19" s="1"/>
  <c r="AN227" i="19" s="1"/>
  <c r="AO227" i="19" s="1"/>
  <c r="AP227" i="19" s="1"/>
  <c r="AQ227" i="19" s="1"/>
  <c r="AR227" i="19" s="1"/>
  <c r="AS227" i="19" s="1"/>
  <c r="AT227" i="19" s="1"/>
  <c r="AK102" i="19"/>
  <c r="AL102" i="19" s="1"/>
  <c r="AM102" i="19" s="1"/>
  <c r="AN102" i="19" s="1"/>
  <c r="AO102" i="19" s="1"/>
  <c r="AP102" i="19" s="1"/>
  <c r="AQ102" i="19" s="1"/>
  <c r="AR102" i="19" s="1"/>
  <c r="AS102" i="19" s="1"/>
  <c r="AT102" i="19" s="1"/>
  <c r="AK223" i="19"/>
  <c r="AL223" i="19" s="1"/>
  <c r="AM223" i="19" s="1"/>
  <c r="AN223" i="19" s="1"/>
  <c r="AO223" i="19" s="1"/>
  <c r="AP223" i="19" s="1"/>
  <c r="AQ223" i="19" s="1"/>
  <c r="AR223" i="19" s="1"/>
  <c r="AS223" i="19" s="1"/>
  <c r="AT223" i="19" s="1"/>
  <c r="AK134" i="19"/>
  <c r="AL134" i="19" s="1"/>
  <c r="AM134" i="19" s="1"/>
  <c r="AN134" i="19" s="1"/>
  <c r="AO134" i="19" s="1"/>
  <c r="AP134" i="19" s="1"/>
  <c r="AQ134" i="19" s="1"/>
  <c r="AR134" i="19" s="1"/>
  <c r="AS134" i="19" s="1"/>
  <c r="AT134" i="19" s="1"/>
  <c r="AK154" i="19"/>
  <c r="AL154" i="19" s="1"/>
  <c r="AM154" i="19" s="1"/>
  <c r="AN154" i="19" s="1"/>
  <c r="AO154" i="19" s="1"/>
  <c r="AP154" i="19" s="1"/>
  <c r="AQ154" i="19" s="1"/>
  <c r="AR154" i="19" s="1"/>
  <c r="AS154" i="19" s="1"/>
  <c r="AT154" i="19" s="1"/>
  <c r="AK109" i="19"/>
  <c r="AL109" i="19" s="1"/>
  <c r="AM109" i="19" s="1"/>
  <c r="AN109" i="19" s="1"/>
  <c r="AO109" i="19" s="1"/>
  <c r="AP109" i="19" s="1"/>
  <c r="AQ109" i="19" s="1"/>
  <c r="AR109" i="19" s="1"/>
  <c r="AS109" i="19" s="1"/>
  <c r="AT109" i="19" s="1"/>
  <c r="AK278" i="19"/>
  <c r="AL278" i="19" s="1"/>
  <c r="AM278" i="19" s="1"/>
  <c r="AN278" i="19" s="1"/>
  <c r="AO278" i="19" s="1"/>
  <c r="AP278" i="19" s="1"/>
  <c r="AQ278" i="19" s="1"/>
  <c r="AR278" i="19" s="1"/>
  <c r="AS278" i="19" s="1"/>
  <c r="AT278" i="19" s="1"/>
  <c r="AK270" i="19"/>
  <c r="AL270" i="19" s="1"/>
  <c r="AM270" i="19" s="1"/>
  <c r="AN270" i="19" s="1"/>
  <c r="AO270" i="19" s="1"/>
  <c r="AP270" i="19" s="1"/>
  <c r="AQ270" i="19" s="1"/>
  <c r="AR270" i="19" s="1"/>
  <c r="AS270" i="19" s="1"/>
  <c r="AT270" i="19" s="1"/>
  <c r="AK141" i="19"/>
  <c r="AL141" i="19" s="1"/>
  <c r="AM141" i="19" s="1"/>
  <c r="AN141" i="19" s="1"/>
  <c r="AO141" i="19" s="1"/>
  <c r="AP141" i="19" s="1"/>
  <c r="AQ141" i="19" s="1"/>
  <c r="AR141" i="19" s="1"/>
  <c r="AS141" i="19" s="1"/>
  <c r="AT141" i="19" s="1"/>
  <c r="AK110" i="19"/>
  <c r="AL110" i="19" s="1"/>
  <c r="AM110" i="19" s="1"/>
  <c r="AN110" i="19" s="1"/>
  <c r="AO110" i="19" s="1"/>
  <c r="AP110" i="19" s="1"/>
  <c r="AQ110" i="19" s="1"/>
  <c r="AR110" i="19" s="1"/>
  <c r="AS110" i="19" s="1"/>
  <c r="AT110" i="19" s="1"/>
  <c r="AK326" i="19"/>
  <c r="AL326" i="19" s="1"/>
  <c r="AM326" i="19" s="1"/>
  <c r="AN326" i="19" s="1"/>
  <c r="AO326" i="19" s="1"/>
  <c r="AP326" i="19" s="1"/>
  <c r="AQ326" i="19" s="1"/>
  <c r="AR326" i="19" s="1"/>
  <c r="AS326" i="19" s="1"/>
  <c r="AT326" i="19" s="1"/>
  <c r="AK215" i="19"/>
  <c r="AL215" i="19" s="1"/>
  <c r="AM215" i="19" s="1"/>
  <c r="AN215" i="19" s="1"/>
  <c r="AO215" i="19" s="1"/>
  <c r="AP215" i="19" s="1"/>
  <c r="AQ215" i="19" s="1"/>
  <c r="AR215" i="19" s="1"/>
  <c r="AS215" i="19" s="1"/>
  <c r="AT215" i="19" s="1"/>
  <c r="AK298" i="19"/>
  <c r="AL298" i="19" s="1"/>
  <c r="AM298" i="19" s="1"/>
  <c r="AN298" i="19" s="1"/>
  <c r="AO298" i="19" s="1"/>
  <c r="AP298" i="19" s="1"/>
  <c r="AQ298" i="19" s="1"/>
  <c r="AR298" i="19" s="1"/>
  <c r="AS298" i="19" s="1"/>
  <c r="AT298" i="19" s="1"/>
  <c r="AK231" i="19"/>
  <c r="AL231" i="19" s="1"/>
  <c r="AM231" i="19" s="1"/>
  <c r="AN231" i="19" s="1"/>
  <c r="AO231" i="19" s="1"/>
  <c r="AP231" i="19" s="1"/>
  <c r="AQ231" i="19" s="1"/>
  <c r="AR231" i="19" s="1"/>
  <c r="AS231" i="19" s="1"/>
  <c r="AT231" i="19" s="1"/>
  <c r="AK362" i="19"/>
  <c r="AL362" i="19" s="1"/>
  <c r="AM362" i="19" s="1"/>
  <c r="AN362" i="19" s="1"/>
  <c r="AO362" i="19" s="1"/>
  <c r="AP362" i="19" s="1"/>
  <c r="AQ362" i="19" s="1"/>
  <c r="AH362" i="19" s="1"/>
  <c r="AK287" i="19"/>
  <c r="AL287" i="19" s="1"/>
  <c r="AM287" i="19" s="1"/>
  <c r="AN287" i="19" s="1"/>
  <c r="AO287" i="19" s="1"/>
  <c r="AP287" i="19" s="1"/>
  <c r="AQ287" i="19" s="1"/>
  <c r="AR287" i="19" s="1"/>
  <c r="AS287" i="19" s="1"/>
  <c r="AT287" i="19" s="1"/>
  <c r="AK121" i="19"/>
  <c r="AL121" i="19" s="1"/>
  <c r="AM121" i="19" s="1"/>
  <c r="AN121" i="19" s="1"/>
  <c r="AO121" i="19" s="1"/>
  <c r="AP121" i="19" s="1"/>
  <c r="AQ121" i="19" s="1"/>
  <c r="AR121" i="19" s="1"/>
  <c r="AS121" i="19" s="1"/>
  <c r="AT121" i="19" s="1"/>
  <c r="AK281" i="19"/>
  <c r="AL281" i="19" s="1"/>
  <c r="AM281" i="19" s="1"/>
  <c r="AN281" i="19" s="1"/>
  <c r="AO281" i="19" s="1"/>
  <c r="AP281" i="19" s="1"/>
  <c r="AQ281" i="19" s="1"/>
  <c r="AR281" i="19" s="1"/>
  <c r="AS281" i="19" s="1"/>
  <c r="AT281" i="19" s="1"/>
  <c r="AK220" i="19"/>
  <c r="AL220" i="19" s="1"/>
  <c r="AM220" i="19" s="1"/>
  <c r="AN220" i="19" s="1"/>
  <c r="AO220" i="19" s="1"/>
  <c r="AP220" i="19" s="1"/>
  <c r="AQ220" i="19" s="1"/>
  <c r="AR220" i="19" s="1"/>
  <c r="AS220" i="19" s="1"/>
  <c r="AT220" i="19" s="1"/>
  <c r="AK420" i="19"/>
  <c r="AL420" i="19" s="1"/>
  <c r="AM420" i="19" s="1"/>
  <c r="AN420" i="19" s="1"/>
  <c r="AO420" i="19" s="1"/>
  <c r="AP420" i="19" s="1"/>
  <c r="AQ420" i="19" s="1"/>
  <c r="AR420" i="19" s="1"/>
  <c r="AS420" i="19" s="1"/>
  <c r="AT420" i="19" s="1"/>
  <c r="AK234" i="19"/>
  <c r="AL234" i="19" s="1"/>
  <c r="AM234" i="19" s="1"/>
  <c r="AN234" i="19" s="1"/>
  <c r="AO234" i="19" s="1"/>
  <c r="AP234" i="19" s="1"/>
  <c r="AQ234" i="19" s="1"/>
  <c r="AR234" i="19" s="1"/>
  <c r="AS234" i="19" s="1"/>
  <c r="AT234" i="19" s="1"/>
  <c r="AK300" i="19"/>
  <c r="AL300" i="19" s="1"/>
  <c r="AM300" i="19" s="1"/>
  <c r="AN300" i="19" s="1"/>
  <c r="AO300" i="19" s="1"/>
  <c r="AP300" i="19" s="1"/>
  <c r="AQ300" i="19" s="1"/>
  <c r="AR300" i="19" s="1"/>
  <c r="AS300" i="19" s="1"/>
  <c r="AT300" i="19" s="1"/>
  <c r="AK112" i="19"/>
  <c r="AL112" i="19" s="1"/>
  <c r="AM112" i="19" s="1"/>
  <c r="AN112" i="19" s="1"/>
  <c r="AO112" i="19" s="1"/>
  <c r="AP112" i="19" s="1"/>
  <c r="AQ112" i="19" s="1"/>
  <c r="AR112" i="19" s="1"/>
  <c r="AS112" i="19" s="1"/>
  <c r="AT112" i="19" s="1"/>
  <c r="AK158" i="19"/>
  <c r="AL158" i="19" s="1"/>
  <c r="AM158" i="19" s="1"/>
  <c r="AN158" i="19" s="1"/>
  <c r="AO158" i="19" s="1"/>
  <c r="AP158" i="19" s="1"/>
  <c r="AQ158" i="19" s="1"/>
  <c r="AR158" i="19" s="1"/>
  <c r="AS158" i="19" s="1"/>
  <c r="AT158" i="19" s="1"/>
  <c r="AK357" i="19"/>
  <c r="AL357" i="19" s="1"/>
  <c r="AM357" i="19" s="1"/>
  <c r="AN357" i="19" s="1"/>
  <c r="AO357" i="19" s="1"/>
  <c r="AP357" i="19" s="1"/>
  <c r="AQ357" i="19" s="1"/>
  <c r="AR357" i="19" s="1"/>
  <c r="AS357" i="19" s="1"/>
  <c r="AJ357" i="19" s="1"/>
  <c r="AK347" i="19"/>
  <c r="AL347" i="19" s="1"/>
  <c r="AM347" i="19" s="1"/>
  <c r="AN347" i="19" s="1"/>
  <c r="AO347" i="19" s="1"/>
  <c r="AK202" i="19"/>
  <c r="AL202" i="19" s="1"/>
  <c r="AM202" i="19" s="1"/>
  <c r="AN202" i="19" s="1"/>
  <c r="AO202" i="19" s="1"/>
  <c r="AP202" i="19" s="1"/>
  <c r="AQ202" i="19" s="1"/>
  <c r="AR202" i="19" s="1"/>
  <c r="AS202" i="19" s="1"/>
  <c r="AT202" i="19" s="1"/>
  <c r="AK209" i="19"/>
  <c r="AL209" i="19" s="1"/>
  <c r="AM209" i="19" s="1"/>
  <c r="AN209" i="19" s="1"/>
  <c r="AO209" i="19" s="1"/>
  <c r="AP209" i="19" s="1"/>
  <c r="AQ209" i="19" s="1"/>
  <c r="AR209" i="19" s="1"/>
  <c r="AS209" i="19" s="1"/>
  <c r="AT209" i="19" s="1"/>
  <c r="AK148" i="19"/>
  <c r="AL148" i="19" s="1"/>
  <c r="AM148" i="19" s="1"/>
  <c r="AN148" i="19" s="1"/>
  <c r="AO148" i="19" s="1"/>
  <c r="AP148" i="19" s="1"/>
  <c r="AQ148" i="19" s="1"/>
  <c r="AR148" i="19" s="1"/>
  <c r="AS148" i="19" s="1"/>
  <c r="AT148" i="19" s="1"/>
  <c r="AK98" i="19"/>
  <c r="AL98" i="19" s="1"/>
  <c r="AM98" i="19" s="1"/>
  <c r="AN98" i="19" s="1"/>
  <c r="AO98" i="19" s="1"/>
  <c r="AP98" i="19" s="1"/>
  <c r="AQ98" i="19" s="1"/>
  <c r="AR98" i="19" s="1"/>
  <c r="AS98" i="19" s="1"/>
  <c r="AT98" i="19" s="1"/>
  <c r="AK299" i="19"/>
  <c r="AL299" i="19" s="1"/>
  <c r="AM299" i="19" s="1"/>
  <c r="AN299" i="19" s="1"/>
  <c r="AO299" i="19" s="1"/>
  <c r="AP299" i="19" s="1"/>
  <c r="AQ299" i="19" s="1"/>
  <c r="AR299" i="19" s="1"/>
  <c r="AS299" i="19" s="1"/>
  <c r="AT299" i="19" s="1"/>
  <c r="AK99" i="19"/>
  <c r="AL99" i="19" s="1"/>
  <c r="AM99" i="19" s="1"/>
  <c r="AN99" i="19" s="1"/>
  <c r="AO99" i="19" s="1"/>
  <c r="AP99" i="19" s="1"/>
  <c r="AQ99" i="19" s="1"/>
  <c r="AR99" i="19" s="1"/>
  <c r="AS99" i="19" s="1"/>
  <c r="AT99" i="19" s="1"/>
  <c r="AK144" i="19"/>
  <c r="AL144" i="19" s="1"/>
  <c r="AM144" i="19" s="1"/>
  <c r="AN144" i="19" s="1"/>
  <c r="AO144" i="19" s="1"/>
  <c r="AP144" i="19" s="1"/>
  <c r="AQ144" i="19" s="1"/>
  <c r="AR144" i="19" s="1"/>
  <c r="AS144" i="19" s="1"/>
  <c r="AT144" i="19" s="1"/>
  <c r="AK416" i="19"/>
  <c r="AL416" i="19" s="1"/>
  <c r="AM416" i="19" s="1"/>
  <c r="AN416" i="19" s="1"/>
  <c r="AO416" i="19" s="1"/>
  <c r="AP416" i="19" s="1"/>
  <c r="AQ416" i="19" s="1"/>
  <c r="AR416" i="19" s="1"/>
  <c r="AS416" i="19" s="1"/>
  <c r="AT416" i="19" s="1"/>
  <c r="AK245" i="19"/>
  <c r="AL245" i="19" s="1"/>
  <c r="AM245" i="19" s="1"/>
  <c r="AN245" i="19" s="1"/>
  <c r="AO245" i="19" s="1"/>
  <c r="AP245" i="19" s="1"/>
  <c r="AQ245" i="19" s="1"/>
  <c r="AR245" i="19" s="1"/>
  <c r="AS245" i="19" s="1"/>
  <c r="AT245" i="19" s="1"/>
  <c r="AK204" i="19"/>
  <c r="AL204" i="19" s="1"/>
  <c r="AM204" i="19" s="1"/>
  <c r="AN204" i="19" s="1"/>
  <c r="AO204" i="19" s="1"/>
  <c r="AP204" i="19" s="1"/>
  <c r="AQ204" i="19" s="1"/>
  <c r="AR204" i="19" s="1"/>
  <c r="AS204" i="19" s="1"/>
  <c r="AT204" i="19" s="1"/>
  <c r="AK225" i="19"/>
  <c r="AL225" i="19" s="1"/>
  <c r="AM225" i="19" s="1"/>
  <c r="AN225" i="19" s="1"/>
  <c r="AO225" i="19" s="1"/>
  <c r="AP225" i="19" s="1"/>
  <c r="AQ225" i="19" s="1"/>
  <c r="AR225" i="19" s="1"/>
  <c r="AS225" i="19" s="1"/>
  <c r="AT225" i="19" s="1"/>
  <c r="AK435" i="19"/>
  <c r="AL435" i="19" s="1"/>
  <c r="AM435" i="19" s="1"/>
  <c r="AN435" i="19" s="1"/>
  <c r="AO435" i="19" s="1"/>
  <c r="AP435" i="19" s="1"/>
  <c r="AQ435" i="19" s="1"/>
  <c r="AR435" i="19" s="1"/>
  <c r="AS435" i="19" s="1"/>
  <c r="AT435" i="19" s="1"/>
  <c r="AK181" i="19"/>
  <c r="AL181" i="19" s="1"/>
  <c r="AM181" i="19" s="1"/>
  <c r="AN181" i="19" s="1"/>
  <c r="AO181" i="19" s="1"/>
  <c r="AP181" i="19" s="1"/>
  <c r="AQ181" i="19" s="1"/>
  <c r="AR181" i="19" s="1"/>
  <c r="AS181" i="19" s="1"/>
  <c r="AT181" i="19" s="1"/>
  <c r="AK250" i="19"/>
  <c r="AL250" i="19" s="1"/>
  <c r="AM250" i="19" s="1"/>
  <c r="AN250" i="19" s="1"/>
  <c r="AO250" i="19" s="1"/>
  <c r="AP250" i="19" s="1"/>
  <c r="AQ250" i="19" s="1"/>
  <c r="AR250" i="19" s="1"/>
  <c r="AS250" i="19" s="1"/>
  <c r="AT250" i="19" s="1"/>
  <c r="AK207" i="19"/>
  <c r="AL207" i="19" s="1"/>
  <c r="AM207" i="19" s="1"/>
  <c r="AN207" i="19" s="1"/>
  <c r="AO207" i="19" s="1"/>
  <c r="AP207" i="19" s="1"/>
  <c r="AQ207" i="19" s="1"/>
  <c r="AR207" i="19" s="1"/>
  <c r="AS207" i="19" s="1"/>
  <c r="AT207" i="19" s="1"/>
  <c r="AK337" i="19"/>
  <c r="AL337" i="19" s="1"/>
  <c r="AM337" i="19" s="1"/>
  <c r="AN337" i="19" s="1"/>
  <c r="AO337" i="19" s="1"/>
  <c r="AP337" i="19" s="1"/>
  <c r="AK160" i="19"/>
  <c r="AL160" i="19" s="1"/>
  <c r="AM160" i="19" s="1"/>
  <c r="AN160" i="19" s="1"/>
  <c r="AO160" i="19" s="1"/>
  <c r="AP160" i="19" s="1"/>
  <c r="AQ160" i="19" s="1"/>
  <c r="AR160" i="19" s="1"/>
  <c r="AS160" i="19" s="1"/>
  <c r="AT160" i="19" s="1"/>
  <c r="AK135" i="19"/>
  <c r="AL135" i="19" s="1"/>
  <c r="AM135" i="19" s="1"/>
  <c r="AN135" i="19" s="1"/>
  <c r="AO135" i="19" s="1"/>
  <c r="AP135" i="19" s="1"/>
  <c r="AQ135" i="19" s="1"/>
  <c r="AR135" i="19" s="1"/>
  <c r="AS135" i="19" s="1"/>
  <c r="AT135" i="19" s="1"/>
  <c r="AK255" i="19"/>
  <c r="AL255" i="19" s="1"/>
  <c r="AM255" i="19" s="1"/>
  <c r="AN255" i="19" s="1"/>
  <c r="AO255" i="19" s="1"/>
  <c r="AP255" i="19" s="1"/>
  <c r="AQ255" i="19" s="1"/>
  <c r="AR255" i="19" s="1"/>
  <c r="AK304" i="19"/>
  <c r="AL304" i="19" s="1"/>
  <c r="AM304" i="19" s="1"/>
  <c r="AN304" i="19" s="1"/>
  <c r="AO304" i="19" s="1"/>
  <c r="AP304" i="19" s="1"/>
  <c r="AQ304" i="19" s="1"/>
  <c r="AR304" i="19" s="1"/>
  <c r="AS304" i="19" s="1"/>
  <c r="AT304" i="19" s="1"/>
  <c r="AK133" i="19"/>
  <c r="AL133" i="19" s="1"/>
  <c r="AM133" i="19" s="1"/>
  <c r="AN133" i="19" s="1"/>
  <c r="AO133" i="19" s="1"/>
  <c r="AP133" i="19" s="1"/>
  <c r="AQ133" i="19" s="1"/>
  <c r="AR133" i="19" s="1"/>
  <c r="AS133" i="19" s="1"/>
  <c r="AT133" i="19" s="1"/>
  <c r="AK327" i="19"/>
  <c r="AL327" i="19" s="1"/>
  <c r="AM327" i="19" s="1"/>
  <c r="AN327" i="19" s="1"/>
  <c r="AO327" i="19" s="1"/>
  <c r="AP327" i="19" s="1"/>
  <c r="AG327" i="19" s="1"/>
  <c r="AK285" i="19"/>
  <c r="AL285" i="19" s="1"/>
  <c r="AM285" i="19" s="1"/>
  <c r="AN285" i="19" s="1"/>
  <c r="AO285" i="19" s="1"/>
  <c r="AP285" i="19" s="1"/>
  <c r="AQ285" i="19" s="1"/>
  <c r="AR285" i="19" s="1"/>
  <c r="AS285" i="19" s="1"/>
  <c r="AT285" i="19" s="1"/>
  <c r="AK342" i="19"/>
  <c r="AL342" i="19" s="1"/>
  <c r="AM342" i="19" s="1"/>
  <c r="AN342" i="19" s="1"/>
  <c r="AO342" i="19" s="1"/>
  <c r="AP342" i="19" s="1"/>
  <c r="AQ342" i="19" s="1"/>
  <c r="AR342" i="19" s="1"/>
  <c r="AS342" i="19" s="1"/>
  <c r="AT342" i="19" s="1"/>
  <c r="AK101" i="19"/>
  <c r="AL101" i="19" s="1"/>
  <c r="AM101" i="19" s="1"/>
  <c r="AN101" i="19" s="1"/>
  <c r="AO101" i="19" s="1"/>
  <c r="AP101" i="19" s="1"/>
  <c r="AQ101" i="19" s="1"/>
  <c r="AR101" i="19" s="1"/>
  <c r="AS101" i="19" s="1"/>
  <c r="AT101" i="19" s="1"/>
  <c r="AK113" i="19"/>
  <c r="AL113" i="19" s="1"/>
  <c r="AM113" i="19" s="1"/>
  <c r="AN113" i="19" s="1"/>
  <c r="AO113" i="19" s="1"/>
  <c r="AP113" i="19" s="1"/>
  <c r="AQ113" i="19" s="1"/>
  <c r="AR113" i="19" s="1"/>
  <c r="AS113" i="19" s="1"/>
  <c r="AT113" i="19" s="1"/>
  <c r="AK115" i="19"/>
  <c r="AL115" i="19" s="1"/>
  <c r="AM115" i="19" s="1"/>
  <c r="AN115" i="19" s="1"/>
  <c r="AO115" i="19" s="1"/>
  <c r="AP115" i="19" s="1"/>
  <c r="AQ115" i="19" s="1"/>
  <c r="AR115" i="19" s="1"/>
  <c r="AS115" i="19" s="1"/>
  <c r="AT115" i="19" s="1"/>
  <c r="AK317" i="19"/>
  <c r="AL317" i="19" s="1"/>
  <c r="AM317" i="19" s="1"/>
  <c r="AN317" i="19" s="1"/>
  <c r="AO317" i="19" s="1"/>
  <c r="AP317" i="19" s="1"/>
  <c r="AQ317" i="19" s="1"/>
  <c r="AR317" i="19" s="1"/>
  <c r="AS317" i="19" s="1"/>
  <c r="AT317" i="19" s="1"/>
  <c r="AK252" i="19"/>
  <c r="AL252" i="19" s="1"/>
  <c r="AM252" i="19" s="1"/>
  <c r="AN252" i="19" s="1"/>
  <c r="AO252" i="19" s="1"/>
  <c r="AP252" i="19" s="1"/>
  <c r="AQ252" i="19" s="1"/>
  <c r="AR252" i="19" s="1"/>
  <c r="AS252" i="19" s="1"/>
  <c r="AT252" i="19" s="1"/>
  <c r="AK165" i="19"/>
  <c r="AL165" i="19" s="1"/>
  <c r="AM165" i="19" s="1"/>
  <c r="AN165" i="19" s="1"/>
  <c r="AO165" i="19" s="1"/>
  <c r="AP165" i="19" s="1"/>
  <c r="AQ165" i="19" s="1"/>
  <c r="AR165" i="19" s="1"/>
  <c r="AS165" i="19" s="1"/>
  <c r="AT165" i="19" s="1"/>
  <c r="AK216" i="19"/>
  <c r="AL216" i="19" s="1"/>
  <c r="AM216" i="19" s="1"/>
  <c r="AN216" i="19" s="1"/>
  <c r="AO216" i="19" s="1"/>
  <c r="AP216" i="19" s="1"/>
  <c r="AQ216" i="19" s="1"/>
  <c r="AR216" i="19" s="1"/>
  <c r="AS216" i="19" s="1"/>
  <c r="AT216" i="19" s="1"/>
  <c r="AK222" i="19"/>
  <c r="AL222" i="19" s="1"/>
  <c r="AM222" i="19" s="1"/>
  <c r="AN222" i="19" s="1"/>
  <c r="AO222" i="19" s="1"/>
  <c r="AP222" i="19" s="1"/>
  <c r="AQ222" i="19" s="1"/>
  <c r="AR222" i="19" s="1"/>
  <c r="AS222" i="19" s="1"/>
  <c r="AT222" i="19" s="1"/>
  <c r="AK415" i="19"/>
  <c r="AL415" i="19" s="1"/>
  <c r="AM415" i="19" s="1"/>
  <c r="AN415" i="19" s="1"/>
  <c r="AO415" i="19" s="1"/>
  <c r="AP415" i="19" s="1"/>
  <c r="AQ415" i="19" s="1"/>
  <c r="AR415" i="19" s="1"/>
  <c r="AS415" i="19" s="1"/>
  <c r="AT415" i="19" s="1"/>
  <c r="AK419" i="19"/>
  <c r="AL419" i="19" s="1"/>
  <c r="AM419" i="19" s="1"/>
  <c r="AN419" i="19" s="1"/>
  <c r="AO419" i="19" s="1"/>
  <c r="AP419" i="19" s="1"/>
  <c r="AQ419" i="19" s="1"/>
  <c r="AR419" i="19" s="1"/>
  <c r="AS419" i="19" s="1"/>
  <c r="AT419" i="19" s="1"/>
  <c r="AK290" i="19"/>
  <c r="AL290" i="19" s="1"/>
  <c r="AM290" i="19" s="1"/>
  <c r="AN290" i="19" s="1"/>
  <c r="AO290" i="19" s="1"/>
  <c r="AP290" i="19" s="1"/>
  <c r="AQ290" i="19" s="1"/>
  <c r="AR290" i="19" s="1"/>
  <c r="AS290" i="19" s="1"/>
  <c r="AT290" i="19" s="1"/>
  <c r="AK243" i="19"/>
  <c r="AL243" i="19" s="1"/>
  <c r="AM243" i="19" s="1"/>
  <c r="AN243" i="19" s="1"/>
  <c r="AO243" i="19" s="1"/>
  <c r="AP243" i="19" s="1"/>
  <c r="AQ243" i="19" s="1"/>
  <c r="AR243" i="19" s="1"/>
  <c r="AS243" i="19" s="1"/>
  <c r="AT243" i="19" s="1"/>
  <c r="AK341" i="19"/>
  <c r="AL341" i="19" s="1"/>
  <c r="AM341" i="19" s="1"/>
  <c r="AN341" i="19" s="1"/>
  <c r="AO341" i="19" s="1"/>
  <c r="AP341" i="19" s="1"/>
  <c r="AQ341" i="19" s="1"/>
  <c r="AR341" i="19" s="1"/>
  <c r="AS341" i="19" s="1"/>
  <c r="AT341" i="19" s="1"/>
  <c r="AK261" i="23"/>
  <c r="AL261" i="23" s="1"/>
  <c r="AM261" i="23" s="1"/>
  <c r="AN261" i="23" s="1"/>
  <c r="AO261" i="23" s="1"/>
  <c r="AP261" i="23" s="1"/>
  <c r="AQ261" i="23" s="1"/>
  <c r="AR261" i="23" s="1"/>
  <c r="AS261" i="23" s="1"/>
  <c r="AT261" i="23" s="1"/>
  <c r="AK106" i="23"/>
  <c r="AL106" i="23" s="1"/>
  <c r="AM106" i="23" s="1"/>
  <c r="AN106" i="23" s="1"/>
  <c r="AO106" i="23" s="1"/>
  <c r="AP106" i="23" s="1"/>
  <c r="AQ106" i="23" s="1"/>
  <c r="AR106" i="23" s="1"/>
  <c r="AS106" i="23" s="1"/>
  <c r="AT106" i="23" s="1"/>
  <c r="AK224" i="23"/>
  <c r="AL224" i="23" s="1"/>
  <c r="AM224" i="23" s="1"/>
  <c r="AN224" i="23" s="1"/>
  <c r="AO224" i="23" s="1"/>
  <c r="AP224" i="23" s="1"/>
  <c r="AQ224" i="23" s="1"/>
  <c r="AR224" i="23" s="1"/>
  <c r="AS224" i="23" s="1"/>
  <c r="AT224" i="23" s="1"/>
  <c r="AK353" i="23"/>
  <c r="AL353" i="23" s="1"/>
  <c r="AM353" i="23" s="1"/>
  <c r="AN353" i="23" s="1"/>
  <c r="AO353" i="23" s="1"/>
  <c r="AP353" i="23" s="1"/>
  <c r="AQ353" i="23" s="1"/>
  <c r="AR353" i="23" s="1"/>
  <c r="AS353" i="23" s="1"/>
  <c r="AT353" i="23" s="1"/>
  <c r="AK435" i="23"/>
  <c r="AL435" i="23" s="1"/>
  <c r="AM435" i="23" s="1"/>
  <c r="AN435" i="23" s="1"/>
  <c r="AO435" i="23" s="1"/>
  <c r="AP435" i="23" s="1"/>
  <c r="AQ435" i="23" s="1"/>
  <c r="AR435" i="23" s="1"/>
  <c r="AS435" i="23" s="1"/>
  <c r="AT435" i="23" s="1"/>
  <c r="AK307" i="23"/>
  <c r="AL307" i="23" s="1"/>
  <c r="AM307" i="23" s="1"/>
  <c r="AN307" i="23" s="1"/>
  <c r="AO307" i="23" s="1"/>
  <c r="AP307" i="23" s="1"/>
  <c r="AQ307" i="23" s="1"/>
  <c r="AR307" i="23" s="1"/>
  <c r="AS307" i="23" s="1"/>
  <c r="AT307" i="23" s="1"/>
  <c r="AK439" i="23"/>
  <c r="AL439" i="23" s="1"/>
  <c r="AM439" i="23" s="1"/>
  <c r="AN439" i="23" s="1"/>
  <c r="AO439" i="23" s="1"/>
  <c r="AP439" i="23" s="1"/>
  <c r="AQ439" i="23" s="1"/>
  <c r="AR439" i="23" s="1"/>
  <c r="AS439" i="23" s="1"/>
  <c r="AT439" i="23" s="1"/>
  <c r="AK98" i="23"/>
  <c r="AL98" i="23" s="1"/>
  <c r="AM98" i="23" s="1"/>
  <c r="AN98" i="23" s="1"/>
  <c r="AO98" i="23" s="1"/>
  <c r="AP98" i="23" s="1"/>
  <c r="AQ98" i="23" s="1"/>
  <c r="AR98" i="23" s="1"/>
  <c r="AS98" i="23" s="1"/>
  <c r="AT98" i="23" s="1"/>
  <c r="AK269" i="23"/>
  <c r="AL269" i="23" s="1"/>
  <c r="AM269" i="23" s="1"/>
  <c r="AN269" i="23" s="1"/>
  <c r="AO269" i="23" s="1"/>
  <c r="AP269" i="23" s="1"/>
  <c r="AQ269" i="23" s="1"/>
  <c r="AR269" i="23" s="1"/>
  <c r="AS269" i="23" s="1"/>
  <c r="AT269" i="23" s="1"/>
  <c r="AK178" i="23"/>
  <c r="AL178" i="23" s="1"/>
  <c r="AM178" i="23" s="1"/>
  <c r="AN178" i="23" s="1"/>
  <c r="AO178" i="23" s="1"/>
  <c r="AP178" i="23" s="1"/>
  <c r="AQ178" i="23" s="1"/>
  <c r="AR178" i="23" s="1"/>
  <c r="AS178" i="23" s="1"/>
  <c r="AT178" i="23" s="1"/>
  <c r="AK426" i="23"/>
  <c r="AL426" i="23" s="1"/>
  <c r="AM426" i="23" s="1"/>
  <c r="AN426" i="23" s="1"/>
  <c r="AO426" i="23" s="1"/>
  <c r="AP426" i="23" s="1"/>
  <c r="AQ426" i="23" s="1"/>
  <c r="AR426" i="23" s="1"/>
  <c r="AS426" i="23" s="1"/>
  <c r="AT426" i="23" s="1"/>
  <c r="AK193" i="23"/>
  <c r="AL193" i="23" s="1"/>
  <c r="AM193" i="23" s="1"/>
  <c r="AN193" i="23" s="1"/>
  <c r="AO193" i="23" s="1"/>
  <c r="AP193" i="23" s="1"/>
  <c r="AQ193" i="23" s="1"/>
  <c r="AR193" i="23" s="1"/>
  <c r="AS193" i="23" s="1"/>
  <c r="AT193" i="23" s="1"/>
  <c r="AK208" i="23"/>
  <c r="AL208" i="23" s="1"/>
  <c r="AM208" i="23" s="1"/>
  <c r="AN208" i="23" s="1"/>
  <c r="AO208" i="23" s="1"/>
  <c r="AP208" i="23" s="1"/>
  <c r="AQ208" i="23" s="1"/>
  <c r="AR208" i="23" s="1"/>
  <c r="AS208" i="23" s="1"/>
  <c r="AT208" i="23" s="1"/>
  <c r="AK273" i="23"/>
  <c r="AL273" i="23" s="1"/>
  <c r="AM273" i="23" s="1"/>
  <c r="AN273" i="23" s="1"/>
  <c r="AO273" i="23" s="1"/>
  <c r="AP273" i="23" s="1"/>
  <c r="AQ273" i="23" s="1"/>
  <c r="AR273" i="23" s="1"/>
  <c r="AS273" i="23" s="1"/>
  <c r="AT273" i="23" s="1"/>
  <c r="AK189" i="23"/>
  <c r="AL189" i="23" s="1"/>
  <c r="AM189" i="23" s="1"/>
  <c r="AN189" i="23" s="1"/>
  <c r="AO189" i="23" s="1"/>
  <c r="AP189" i="23" s="1"/>
  <c r="AQ189" i="23" s="1"/>
  <c r="AR189" i="23" s="1"/>
  <c r="AS189" i="23" s="1"/>
  <c r="AT189" i="23" s="1"/>
  <c r="AK290" i="23"/>
  <c r="AL290" i="23" s="1"/>
  <c r="AM290" i="23" s="1"/>
  <c r="AN290" i="23" s="1"/>
  <c r="AO290" i="23" s="1"/>
  <c r="AP290" i="23" s="1"/>
  <c r="AQ290" i="23" s="1"/>
  <c r="AR290" i="23" s="1"/>
  <c r="AS290" i="23" s="1"/>
  <c r="AT290" i="23" s="1"/>
  <c r="AK104" i="23"/>
  <c r="AL104" i="23" s="1"/>
  <c r="AM104" i="23" s="1"/>
  <c r="AN104" i="23" s="1"/>
  <c r="AO104" i="23" s="1"/>
  <c r="AP104" i="23" s="1"/>
  <c r="AQ104" i="23" s="1"/>
  <c r="AR104" i="23" s="1"/>
  <c r="AS104" i="23" s="1"/>
  <c r="AT104" i="23" s="1"/>
  <c r="AK357" i="23"/>
  <c r="AL357" i="23" s="1"/>
  <c r="AM357" i="23" s="1"/>
  <c r="AN357" i="23" s="1"/>
  <c r="AO357" i="23" s="1"/>
  <c r="AP357" i="23" s="1"/>
  <c r="AQ357" i="23" s="1"/>
  <c r="AR357" i="23" s="1"/>
  <c r="AS357" i="23" s="1"/>
  <c r="AK113" i="23"/>
  <c r="AL113" i="23" s="1"/>
  <c r="AM113" i="23" s="1"/>
  <c r="AN113" i="23" s="1"/>
  <c r="AO113" i="23" s="1"/>
  <c r="AP113" i="23" s="1"/>
  <c r="AQ113" i="23" s="1"/>
  <c r="AR113" i="23" s="1"/>
  <c r="AS113" i="23" s="1"/>
  <c r="AT113" i="23" s="1"/>
  <c r="AK267" i="23"/>
  <c r="AL267" i="23" s="1"/>
  <c r="AM267" i="23" s="1"/>
  <c r="AN267" i="23" s="1"/>
  <c r="AO267" i="23" s="1"/>
  <c r="AP267" i="23" s="1"/>
  <c r="AQ267" i="23" s="1"/>
  <c r="AR267" i="23" s="1"/>
  <c r="AS267" i="23" s="1"/>
  <c r="AT267" i="23" s="1"/>
  <c r="AK356" i="23"/>
  <c r="AL356" i="23" s="1"/>
  <c r="AM356" i="23" s="1"/>
  <c r="AN356" i="23" s="1"/>
  <c r="AO356" i="23" s="1"/>
  <c r="AP356" i="23" s="1"/>
  <c r="AQ356" i="23" s="1"/>
  <c r="AR356" i="23" s="1"/>
  <c r="AS356" i="23" s="1"/>
  <c r="AT356" i="23" s="1"/>
  <c r="AK199" i="23"/>
  <c r="AL199" i="23" s="1"/>
  <c r="AM199" i="23" s="1"/>
  <c r="AN199" i="23" s="1"/>
  <c r="AO199" i="23" s="1"/>
  <c r="AP199" i="23" s="1"/>
  <c r="AQ199" i="23" s="1"/>
  <c r="AR199" i="23" s="1"/>
  <c r="AS199" i="23" s="1"/>
  <c r="AT199" i="23" s="1"/>
  <c r="AK286" i="23"/>
  <c r="AL286" i="23" s="1"/>
  <c r="AM286" i="23" s="1"/>
  <c r="AN286" i="23" s="1"/>
  <c r="AO286" i="23" s="1"/>
  <c r="AP286" i="23" s="1"/>
  <c r="AQ286" i="23" s="1"/>
  <c r="AR286" i="23" s="1"/>
  <c r="AS286" i="23" s="1"/>
  <c r="AT286" i="23" s="1"/>
  <c r="AK351" i="23"/>
  <c r="AL351" i="23" s="1"/>
  <c r="AM351" i="23" s="1"/>
  <c r="AN351" i="23" s="1"/>
  <c r="AO351" i="23" s="1"/>
  <c r="AP351" i="23" s="1"/>
  <c r="AQ351" i="23" s="1"/>
  <c r="AR351" i="23" s="1"/>
  <c r="AS351" i="23" s="1"/>
  <c r="AT351" i="23" s="1"/>
  <c r="AK241" i="23"/>
  <c r="AL241" i="23" s="1"/>
  <c r="AM241" i="23" s="1"/>
  <c r="AN241" i="23" s="1"/>
  <c r="AO241" i="23" s="1"/>
  <c r="AP241" i="23" s="1"/>
  <c r="AQ241" i="23" s="1"/>
  <c r="AR241" i="23" s="1"/>
  <c r="AS241" i="23" s="1"/>
  <c r="AT241" i="23" s="1"/>
  <c r="AK263" i="23"/>
  <c r="AL263" i="23" s="1"/>
  <c r="AM263" i="23" s="1"/>
  <c r="AN263" i="23" s="1"/>
  <c r="AO263" i="23" s="1"/>
  <c r="AP263" i="23" s="1"/>
  <c r="AQ263" i="23" s="1"/>
  <c r="AR263" i="23" s="1"/>
  <c r="AS263" i="23" s="1"/>
  <c r="AK421" i="23"/>
  <c r="AL421" i="23" s="1"/>
  <c r="AM421" i="23" s="1"/>
  <c r="AN421" i="23" s="1"/>
  <c r="AO421" i="23" s="1"/>
  <c r="AP421" i="23" s="1"/>
  <c r="AQ421" i="23" s="1"/>
  <c r="AR421" i="23" s="1"/>
  <c r="AS421" i="23" s="1"/>
  <c r="AT421" i="23" s="1"/>
  <c r="AK198" i="23"/>
  <c r="AL198" i="23" s="1"/>
  <c r="AM198" i="23" s="1"/>
  <c r="AN198" i="23" s="1"/>
  <c r="AO198" i="23" s="1"/>
  <c r="AP198" i="23" s="1"/>
  <c r="AQ198" i="23" s="1"/>
  <c r="AR198" i="23" s="1"/>
  <c r="AS198" i="23" s="1"/>
  <c r="AT198" i="23" s="1"/>
  <c r="AK119" i="23"/>
  <c r="AL119" i="23" s="1"/>
  <c r="AM119" i="23" s="1"/>
  <c r="AN119" i="23" s="1"/>
  <c r="AO119" i="23" s="1"/>
  <c r="AP119" i="23" s="1"/>
  <c r="AQ119" i="23" s="1"/>
  <c r="AR119" i="23" s="1"/>
  <c r="AS119" i="23" s="1"/>
  <c r="AT119" i="23" s="1"/>
  <c r="AK190" i="23"/>
  <c r="AL190" i="23" s="1"/>
  <c r="AM190" i="23" s="1"/>
  <c r="AN190" i="23" s="1"/>
  <c r="AO190" i="23" s="1"/>
  <c r="AP190" i="23" s="1"/>
  <c r="AQ190" i="23" s="1"/>
  <c r="AR190" i="23" s="1"/>
  <c r="AS190" i="23" s="1"/>
  <c r="AT190" i="23" s="1"/>
  <c r="AK401" i="23"/>
  <c r="AL401" i="23" s="1"/>
  <c r="AM401" i="23" s="1"/>
  <c r="AN401" i="23" s="1"/>
  <c r="AO401" i="23" s="1"/>
  <c r="AP401" i="23" s="1"/>
  <c r="AQ401" i="23" s="1"/>
  <c r="AR401" i="23" s="1"/>
  <c r="AS401" i="23" s="1"/>
  <c r="AT401" i="23" s="1"/>
  <c r="AK281" i="23"/>
  <c r="AL281" i="23" s="1"/>
  <c r="AM281" i="23" s="1"/>
  <c r="AN281" i="23" s="1"/>
  <c r="AO281" i="23" s="1"/>
  <c r="AP281" i="23" s="1"/>
  <c r="AQ281" i="23" s="1"/>
  <c r="AR281" i="23" s="1"/>
  <c r="AS281" i="23" s="1"/>
  <c r="AT281" i="23" s="1"/>
  <c r="AK221" i="23"/>
  <c r="AL221" i="23" s="1"/>
  <c r="AM221" i="23" s="1"/>
  <c r="AN221" i="23" s="1"/>
  <c r="AO221" i="23" s="1"/>
  <c r="AP221" i="23" s="1"/>
  <c r="AQ221" i="23" s="1"/>
  <c r="AR221" i="23" s="1"/>
  <c r="AS221" i="23" s="1"/>
  <c r="AT221" i="23" s="1"/>
  <c r="AK216" i="23"/>
  <c r="AL216" i="23" s="1"/>
  <c r="AM216" i="23" s="1"/>
  <c r="AN216" i="23" s="1"/>
  <c r="AO216" i="23" s="1"/>
  <c r="AP216" i="23" s="1"/>
  <c r="AQ216" i="23" s="1"/>
  <c r="AR216" i="23" s="1"/>
  <c r="AS216" i="23" s="1"/>
  <c r="AT216" i="23" s="1"/>
  <c r="AK220" i="23"/>
  <c r="AL220" i="23" s="1"/>
  <c r="AM220" i="23" s="1"/>
  <c r="AN220" i="23" s="1"/>
  <c r="AO220" i="23" s="1"/>
  <c r="AP220" i="23" s="1"/>
  <c r="AQ220" i="23" s="1"/>
  <c r="AR220" i="23" s="1"/>
  <c r="AS220" i="23" s="1"/>
  <c r="AT220" i="23" s="1"/>
  <c r="AK415" i="23"/>
  <c r="AL415" i="23" s="1"/>
  <c r="AM415" i="23" s="1"/>
  <c r="AN415" i="23" s="1"/>
  <c r="AO415" i="23" s="1"/>
  <c r="AP415" i="23" s="1"/>
  <c r="AQ415" i="23" s="1"/>
  <c r="AR415" i="23" s="1"/>
  <c r="AS415" i="23" s="1"/>
  <c r="AT415" i="23" s="1"/>
  <c r="AK359" i="23"/>
  <c r="AL359" i="23" s="1"/>
  <c r="AM359" i="23" s="1"/>
  <c r="AN359" i="23" s="1"/>
  <c r="AO359" i="23" s="1"/>
  <c r="AP359" i="23" s="1"/>
  <c r="AQ359" i="23" s="1"/>
  <c r="AK391" i="23"/>
  <c r="AL391" i="23" s="1"/>
  <c r="AM391" i="23" s="1"/>
  <c r="AN391" i="23" s="1"/>
  <c r="AO391" i="23" s="1"/>
  <c r="AP391" i="23" s="1"/>
  <c r="AQ391" i="23" s="1"/>
  <c r="AR391" i="23" s="1"/>
  <c r="AS391" i="23" s="1"/>
  <c r="AT391" i="23" s="1"/>
  <c r="AK168" i="23"/>
  <c r="AL168" i="23" s="1"/>
  <c r="AM168" i="23" s="1"/>
  <c r="AN168" i="23" s="1"/>
  <c r="AO168" i="23" s="1"/>
  <c r="AP168" i="23" s="1"/>
  <c r="AQ168" i="23" s="1"/>
  <c r="AR168" i="23" s="1"/>
  <c r="AS168" i="23" s="1"/>
  <c r="AT168" i="23" s="1"/>
  <c r="AK140" i="23"/>
  <c r="AL140" i="23" s="1"/>
  <c r="AM140" i="23" s="1"/>
  <c r="AN140" i="23" s="1"/>
  <c r="AO140" i="23" s="1"/>
  <c r="AP140" i="23" s="1"/>
  <c r="AQ140" i="23" s="1"/>
  <c r="AR140" i="23" s="1"/>
  <c r="AS140" i="23" s="1"/>
  <c r="AT140" i="23" s="1"/>
  <c r="AK154" i="23"/>
  <c r="AL154" i="23" s="1"/>
  <c r="AM154" i="23" s="1"/>
  <c r="AN154" i="23" s="1"/>
  <c r="AO154" i="23" s="1"/>
  <c r="AP154" i="23" s="1"/>
  <c r="AQ154" i="23" s="1"/>
  <c r="AR154" i="23" s="1"/>
  <c r="AS154" i="23" s="1"/>
  <c r="AT154" i="23" s="1"/>
  <c r="AK289" i="23"/>
  <c r="AL289" i="23" s="1"/>
  <c r="AM289" i="23" s="1"/>
  <c r="AN289" i="23" s="1"/>
  <c r="AO289" i="23" s="1"/>
  <c r="AP289" i="23" s="1"/>
  <c r="AQ289" i="23" s="1"/>
  <c r="AR289" i="23" s="1"/>
  <c r="AS289" i="23" s="1"/>
  <c r="AT289" i="23" s="1"/>
  <c r="AK326" i="23"/>
  <c r="AL326" i="23" s="1"/>
  <c r="AM326" i="23" s="1"/>
  <c r="AN326" i="23" s="1"/>
  <c r="AO326" i="23" s="1"/>
  <c r="AP326" i="23" s="1"/>
  <c r="AQ326" i="23" s="1"/>
  <c r="AR326" i="23" s="1"/>
  <c r="AS326" i="23" s="1"/>
  <c r="AT326" i="23" s="1"/>
  <c r="AK355" i="23"/>
  <c r="AL355" i="23" s="1"/>
  <c r="AM355" i="23" s="1"/>
  <c r="AN355" i="23" s="1"/>
  <c r="AO355" i="23" s="1"/>
  <c r="AP355" i="23" s="1"/>
  <c r="AQ355" i="23" s="1"/>
  <c r="AR355" i="23" s="1"/>
  <c r="AS355" i="23" s="1"/>
  <c r="AT355" i="23" s="1"/>
  <c r="AK160" i="23"/>
  <c r="AL160" i="23" s="1"/>
  <c r="AM160" i="23" s="1"/>
  <c r="AN160" i="23" s="1"/>
  <c r="AO160" i="23" s="1"/>
  <c r="AP160" i="23" s="1"/>
  <c r="AQ160" i="23" s="1"/>
  <c r="AR160" i="23" s="1"/>
  <c r="AS160" i="23" s="1"/>
  <c r="AT160" i="23" s="1"/>
  <c r="AK206" i="23"/>
  <c r="AL206" i="23" s="1"/>
  <c r="AM206" i="23" s="1"/>
  <c r="AN206" i="23" s="1"/>
  <c r="AO206" i="23" s="1"/>
  <c r="AP206" i="23" s="1"/>
  <c r="AQ206" i="23" s="1"/>
  <c r="AR206" i="23" s="1"/>
  <c r="AS206" i="23" s="1"/>
  <c r="AT206" i="23" s="1"/>
  <c r="AK336" i="23"/>
  <c r="AL336" i="23" s="1"/>
  <c r="AM336" i="23" s="1"/>
  <c r="AN336" i="23" s="1"/>
  <c r="AO336" i="23" s="1"/>
  <c r="AP336" i="23" s="1"/>
  <c r="AK283" i="23"/>
  <c r="AL283" i="23" s="1"/>
  <c r="AM283" i="23" s="1"/>
  <c r="AN283" i="23" s="1"/>
  <c r="AO283" i="23" s="1"/>
  <c r="AP283" i="23" s="1"/>
  <c r="AQ283" i="23" s="1"/>
  <c r="AR283" i="23" s="1"/>
  <c r="AS283" i="23" s="1"/>
  <c r="AT283" i="23" s="1"/>
  <c r="AK348" i="23"/>
  <c r="AL348" i="23" s="1"/>
  <c r="AM348" i="23" s="1"/>
  <c r="AN348" i="23" s="1"/>
  <c r="AO348" i="23" s="1"/>
  <c r="AP348" i="23" s="1"/>
  <c r="AQ348" i="23" s="1"/>
  <c r="AR348" i="23" s="1"/>
  <c r="AS348" i="23" s="1"/>
  <c r="AT348" i="23" s="1"/>
  <c r="AK103" i="23"/>
  <c r="AL103" i="23" s="1"/>
  <c r="AM103" i="23" s="1"/>
  <c r="AN103" i="23" s="1"/>
  <c r="AO103" i="23" s="1"/>
  <c r="AP103" i="23" s="1"/>
  <c r="AQ103" i="23" s="1"/>
  <c r="AR103" i="23" s="1"/>
  <c r="AS103" i="23" s="1"/>
  <c r="AT103" i="23" s="1"/>
  <c r="AK382" i="23"/>
  <c r="AL382" i="23" s="1"/>
  <c r="AM382" i="23" s="1"/>
  <c r="AN382" i="23" s="1"/>
  <c r="AO382" i="23" s="1"/>
  <c r="AP382" i="23" s="1"/>
  <c r="AQ382" i="23" s="1"/>
  <c r="AR382" i="23" s="1"/>
  <c r="AS382" i="23" s="1"/>
  <c r="AT382" i="23" s="1"/>
  <c r="AK144" i="23"/>
  <c r="AL144" i="23" s="1"/>
  <c r="AM144" i="23" s="1"/>
  <c r="AN144" i="23" s="1"/>
  <c r="AO144" i="23" s="1"/>
  <c r="AP144" i="23" s="1"/>
  <c r="AQ144" i="23" s="1"/>
  <c r="AR144" i="23" s="1"/>
  <c r="AS144" i="23" s="1"/>
  <c r="AT144" i="23" s="1"/>
  <c r="AK306" i="23"/>
  <c r="AL306" i="23" s="1"/>
  <c r="AM306" i="23" s="1"/>
  <c r="AN306" i="23" s="1"/>
  <c r="AO306" i="23" s="1"/>
  <c r="AP306" i="23" s="1"/>
  <c r="AQ306" i="23" s="1"/>
  <c r="AR306" i="23" s="1"/>
  <c r="AS306" i="23" s="1"/>
  <c r="AT306" i="23" s="1"/>
  <c r="AK279" i="23"/>
  <c r="AL279" i="23" s="1"/>
  <c r="AM279" i="23" s="1"/>
  <c r="AN279" i="23" s="1"/>
  <c r="AO279" i="23" s="1"/>
  <c r="AP279" i="23" s="1"/>
  <c r="AQ279" i="23" s="1"/>
  <c r="AR279" i="23" s="1"/>
  <c r="AS279" i="23" s="1"/>
  <c r="AT279" i="23" s="1"/>
  <c r="AK329" i="23"/>
  <c r="AL329" i="23" s="1"/>
  <c r="AM329" i="23" s="1"/>
  <c r="AN329" i="23" s="1"/>
  <c r="AO329" i="23" s="1"/>
  <c r="AP329" i="23" s="1"/>
  <c r="AQ329" i="23" s="1"/>
  <c r="AK330" i="23"/>
  <c r="AL330" i="23" s="1"/>
  <c r="AM330" i="23" s="1"/>
  <c r="AN330" i="23" s="1"/>
  <c r="AO330" i="23" s="1"/>
  <c r="AP330" i="23" s="1"/>
  <c r="AK233" i="23"/>
  <c r="AL233" i="23" s="1"/>
  <c r="AM233" i="23" s="1"/>
  <c r="AN233" i="23" s="1"/>
  <c r="AO233" i="23" s="1"/>
  <c r="AP233" i="23" s="1"/>
  <c r="AQ233" i="23" s="1"/>
  <c r="AR233" i="23" s="1"/>
  <c r="AS233" i="23" s="1"/>
  <c r="AT233" i="23" s="1"/>
  <c r="AK218" i="23"/>
  <c r="AL218" i="23" s="1"/>
  <c r="AM218" i="23" s="1"/>
  <c r="AN218" i="23" s="1"/>
  <c r="AO218" i="23" s="1"/>
  <c r="AP218" i="23" s="1"/>
  <c r="AQ218" i="23" s="1"/>
  <c r="AR218" i="23" s="1"/>
  <c r="AS218" i="23" s="1"/>
  <c r="AT218" i="23" s="1"/>
  <c r="AK121" i="23"/>
  <c r="AL121" i="23" s="1"/>
  <c r="AM121" i="23" s="1"/>
  <c r="AN121" i="23" s="1"/>
  <c r="AO121" i="23" s="1"/>
  <c r="AP121" i="23" s="1"/>
  <c r="AQ121" i="23" s="1"/>
  <c r="AR121" i="23" s="1"/>
  <c r="AS121" i="23" s="1"/>
  <c r="AT121" i="23" s="1"/>
  <c r="AK297" i="23"/>
  <c r="AL297" i="23" s="1"/>
  <c r="AM297" i="23" s="1"/>
  <c r="AN297" i="23" s="1"/>
  <c r="AO297" i="23" s="1"/>
  <c r="AP297" i="23" s="1"/>
  <c r="AQ297" i="23" s="1"/>
  <c r="AR297" i="23" s="1"/>
  <c r="AS297" i="23" s="1"/>
  <c r="AT297" i="23" s="1"/>
  <c r="AK386" i="23"/>
  <c r="AL386" i="23" s="1"/>
  <c r="AM386" i="23" s="1"/>
  <c r="AN386" i="23" s="1"/>
  <c r="AO386" i="23" s="1"/>
  <c r="AP386" i="23" s="1"/>
  <c r="AQ386" i="23" s="1"/>
  <c r="AR386" i="23" s="1"/>
  <c r="AS386" i="23" s="1"/>
  <c r="AT386" i="23" s="1"/>
  <c r="AK325" i="23"/>
  <c r="AL325" i="23" s="1"/>
  <c r="AM325" i="23" s="1"/>
  <c r="AN325" i="23" s="1"/>
  <c r="AO325" i="23" s="1"/>
  <c r="AP325" i="23" s="1"/>
  <c r="AQ325" i="23" s="1"/>
  <c r="AR325" i="23" s="1"/>
  <c r="AS325" i="23" s="1"/>
  <c r="AT325" i="23" s="1"/>
  <c r="AK406" i="23"/>
  <c r="AL406" i="23" s="1"/>
  <c r="AM406" i="23" s="1"/>
  <c r="AN406" i="23" s="1"/>
  <c r="AO406" i="23" s="1"/>
  <c r="AP406" i="23" s="1"/>
  <c r="AQ406" i="23" s="1"/>
  <c r="AR406" i="23" s="1"/>
  <c r="AS406" i="23" s="1"/>
  <c r="AT406" i="23" s="1"/>
  <c r="AK265" i="23"/>
  <c r="AL265" i="23" s="1"/>
  <c r="AM265" i="23" s="1"/>
  <c r="AN265" i="23" s="1"/>
  <c r="AO265" i="23" s="1"/>
  <c r="AP265" i="23" s="1"/>
  <c r="AQ265" i="23" s="1"/>
  <c r="AR265" i="23" s="1"/>
  <c r="AS265" i="23" s="1"/>
  <c r="AT265" i="23" s="1"/>
  <c r="AK363" i="23"/>
  <c r="AL363" i="23" s="1"/>
  <c r="AM363" i="23" s="1"/>
  <c r="AN363" i="23" s="1"/>
  <c r="AK141" i="23"/>
  <c r="AL141" i="23" s="1"/>
  <c r="AM141" i="23" s="1"/>
  <c r="AN141" i="23" s="1"/>
  <c r="AO141" i="23" s="1"/>
  <c r="AP141" i="23" s="1"/>
  <c r="AQ141" i="23" s="1"/>
  <c r="AR141" i="23" s="1"/>
  <c r="AS141" i="23" s="1"/>
  <c r="AT141" i="23" s="1"/>
  <c r="AK153" i="23"/>
  <c r="AL153" i="23" s="1"/>
  <c r="AM153" i="23" s="1"/>
  <c r="AN153" i="23" s="1"/>
  <c r="AO153" i="23" s="1"/>
  <c r="AP153" i="23" s="1"/>
  <c r="AQ153" i="23" s="1"/>
  <c r="AR153" i="23" s="1"/>
  <c r="AS153" i="23" s="1"/>
  <c r="AT153" i="23" s="1"/>
  <c r="AK136" i="23"/>
  <c r="AL136" i="23" s="1"/>
  <c r="AM136" i="23" s="1"/>
  <c r="AN136" i="23" s="1"/>
  <c r="AO136" i="23" s="1"/>
  <c r="AP136" i="23" s="1"/>
  <c r="AQ136" i="23" s="1"/>
  <c r="AR136" i="23" s="1"/>
  <c r="AS136" i="23" s="1"/>
  <c r="AT136" i="23" s="1"/>
  <c r="AK338" i="23"/>
  <c r="AL338" i="23" s="1"/>
  <c r="AM338" i="23" s="1"/>
  <c r="AN338" i="23" s="1"/>
  <c r="AO338" i="23" s="1"/>
  <c r="AP338" i="23" s="1"/>
  <c r="AQ338" i="23" s="1"/>
  <c r="AR338" i="23" s="1"/>
  <c r="AS338" i="23" s="1"/>
  <c r="AT338" i="23" s="1"/>
  <c r="AK171" i="23"/>
  <c r="AL171" i="23" s="1"/>
  <c r="AM171" i="23" s="1"/>
  <c r="AN171" i="23" s="1"/>
  <c r="AO171" i="23" s="1"/>
  <c r="AP171" i="23" s="1"/>
  <c r="AQ171" i="23" s="1"/>
  <c r="AR171" i="23" s="1"/>
  <c r="AS171" i="23" s="1"/>
  <c r="AT171" i="23" s="1"/>
  <c r="AK258" i="23"/>
  <c r="AL258" i="23" s="1"/>
  <c r="AM258" i="23" s="1"/>
  <c r="AN258" i="23" s="1"/>
  <c r="AO258" i="23" s="1"/>
  <c r="AP258" i="23" s="1"/>
  <c r="AQ258" i="23" s="1"/>
  <c r="AR258" i="23" s="1"/>
  <c r="AS258" i="23" s="1"/>
  <c r="AK312" i="23"/>
  <c r="AL312" i="23" s="1"/>
  <c r="AM312" i="23" s="1"/>
  <c r="AN312" i="23" s="1"/>
  <c r="AO312" i="23" s="1"/>
  <c r="AP312" i="23" s="1"/>
  <c r="AQ312" i="23" s="1"/>
  <c r="AR312" i="23" s="1"/>
  <c r="AS312" i="23" s="1"/>
  <c r="AT312" i="23" s="1"/>
  <c r="AK174" i="23"/>
  <c r="AL174" i="23" s="1"/>
  <c r="AM174" i="23" s="1"/>
  <c r="AN174" i="23" s="1"/>
  <c r="AO174" i="23" s="1"/>
  <c r="AP174" i="23" s="1"/>
  <c r="AQ174" i="23" s="1"/>
  <c r="AR174" i="23" s="1"/>
  <c r="AS174" i="23" s="1"/>
  <c r="AT174" i="23" s="1"/>
  <c r="AK191" i="23"/>
  <c r="AL191" i="23" s="1"/>
  <c r="AM191" i="23" s="1"/>
  <c r="AN191" i="23" s="1"/>
  <c r="AO191" i="23" s="1"/>
  <c r="AP191" i="23" s="1"/>
  <c r="AQ191" i="23" s="1"/>
  <c r="AR191" i="23" s="1"/>
  <c r="AS191" i="23" s="1"/>
  <c r="AT191" i="23" s="1"/>
  <c r="AK209" i="23"/>
  <c r="AL209" i="23" s="1"/>
  <c r="AM209" i="23" s="1"/>
  <c r="AN209" i="23" s="1"/>
  <c r="AO209" i="23" s="1"/>
  <c r="AP209" i="23" s="1"/>
  <c r="AQ209" i="23" s="1"/>
  <c r="AR209" i="23" s="1"/>
  <c r="AS209" i="23" s="1"/>
  <c r="AT209" i="23" s="1"/>
  <c r="AK417" i="23"/>
  <c r="AL417" i="23" s="1"/>
  <c r="AM417" i="23" s="1"/>
  <c r="AN417" i="23" s="1"/>
  <c r="AO417" i="23" s="1"/>
  <c r="AP417" i="23" s="1"/>
  <c r="AQ417" i="23" s="1"/>
  <c r="AR417" i="23" s="1"/>
  <c r="AS417" i="23" s="1"/>
  <c r="AT417" i="23" s="1"/>
  <c r="AK151" i="23"/>
  <c r="AL151" i="23" s="1"/>
  <c r="AM151" i="23" s="1"/>
  <c r="AN151" i="23" s="1"/>
  <c r="AO151" i="23" s="1"/>
  <c r="AP151" i="23" s="1"/>
  <c r="AQ151" i="23" s="1"/>
  <c r="AR151" i="23" s="1"/>
  <c r="AS151" i="23" s="1"/>
  <c r="AT151" i="23" s="1"/>
  <c r="AK337" i="23"/>
  <c r="AL337" i="23" s="1"/>
  <c r="AM337" i="23" s="1"/>
  <c r="AN337" i="23" s="1"/>
  <c r="AO337" i="23" s="1"/>
  <c r="AP337" i="23" s="1"/>
  <c r="AQ337" i="23" s="1"/>
  <c r="AR337" i="23" s="1"/>
  <c r="AS337" i="23" s="1"/>
  <c r="AT337" i="23" s="1"/>
  <c r="AK284" i="23"/>
  <c r="AL284" i="23" s="1"/>
  <c r="AM284" i="23" s="1"/>
  <c r="AN284" i="23" s="1"/>
  <c r="AO284" i="23" s="1"/>
  <c r="AP284" i="23" s="1"/>
  <c r="AQ284" i="23" s="1"/>
  <c r="AR284" i="23" s="1"/>
  <c r="AS284" i="23" s="1"/>
  <c r="AT284" i="23" s="1"/>
  <c r="AK161" i="23"/>
  <c r="AL161" i="23" s="1"/>
  <c r="AM161" i="23" s="1"/>
  <c r="AN161" i="23" s="1"/>
  <c r="AO161" i="23" s="1"/>
  <c r="AP161" i="23" s="1"/>
  <c r="AQ161" i="23" s="1"/>
  <c r="AR161" i="23" s="1"/>
  <c r="AS161" i="23" s="1"/>
  <c r="AT161" i="23" s="1"/>
  <c r="AK172" i="23"/>
  <c r="AL172" i="23" s="1"/>
  <c r="AM172" i="23" s="1"/>
  <c r="AN172" i="23" s="1"/>
  <c r="AO172" i="23" s="1"/>
  <c r="AP172" i="23" s="1"/>
  <c r="AQ172" i="23" s="1"/>
  <c r="AR172" i="23" s="1"/>
  <c r="AS172" i="23" s="1"/>
  <c r="AT172" i="23" s="1"/>
  <c r="AK333" i="23"/>
  <c r="AL333" i="23" s="1"/>
  <c r="AM333" i="23" s="1"/>
  <c r="AN333" i="23" s="1"/>
  <c r="AO333" i="23" s="1"/>
  <c r="AP333" i="23" s="1"/>
  <c r="AK158" i="23"/>
  <c r="AL158" i="23" s="1"/>
  <c r="AM158" i="23" s="1"/>
  <c r="AN158" i="23" s="1"/>
  <c r="AO158" i="23" s="1"/>
  <c r="AP158" i="23" s="1"/>
  <c r="AQ158" i="23" s="1"/>
  <c r="AR158" i="23" s="1"/>
  <c r="AS158" i="23" s="1"/>
  <c r="AT158" i="23" s="1"/>
  <c r="AK205" i="23"/>
  <c r="AL205" i="23" s="1"/>
  <c r="AM205" i="23" s="1"/>
  <c r="AN205" i="23" s="1"/>
  <c r="AO205" i="23" s="1"/>
  <c r="AP205" i="23" s="1"/>
  <c r="AQ205" i="23" s="1"/>
  <c r="AR205" i="23" s="1"/>
  <c r="AS205" i="23" s="1"/>
  <c r="AT205" i="23" s="1"/>
  <c r="AK414" i="23"/>
  <c r="AL414" i="23" s="1"/>
  <c r="AM414" i="23" s="1"/>
  <c r="AN414" i="23" s="1"/>
  <c r="AO414" i="23" s="1"/>
  <c r="AP414" i="23" s="1"/>
  <c r="AQ414" i="23" s="1"/>
  <c r="AR414" i="23" s="1"/>
  <c r="AS414" i="23" s="1"/>
  <c r="AT414" i="23" s="1"/>
  <c r="AK225" i="23"/>
  <c r="AL225" i="23" s="1"/>
  <c r="AM225" i="23" s="1"/>
  <c r="AN225" i="23" s="1"/>
  <c r="AO225" i="23" s="1"/>
  <c r="AP225" i="23" s="1"/>
  <c r="AQ225" i="23" s="1"/>
  <c r="AR225" i="23" s="1"/>
  <c r="AS225" i="23" s="1"/>
  <c r="AT225" i="23" s="1"/>
  <c r="AK442" i="23"/>
  <c r="AL442" i="23" s="1"/>
  <c r="AM442" i="23" s="1"/>
  <c r="AN442" i="23" s="1"/>
  <c r="AO442" i="23" s="1"/>
  <c r="AP442" i="23" s="1"/>
  <c r="AQ442" i="23" s="1"/>
  <c r="AR442" i="23" s="1"/>
  <c r="AS442" i="23" s="1"/>
  <c r="AT442" i="23" s="1"/>
  <c r="AK101" i="23"/>
  <c r="AL101" i="23" s="1"/>
  <c r="AM101" i="23" s="1"/>
  <c r="AN101" i="23" s="1"/>
  <c r="AO101" i="23" s="1"/>
  <c r="AP101" i="23" s="1"/>
  <c r="AQ101" i="23" s="1"/>
  <c r="AR101" i="23" s="1"/>
  <c r="AS101" i="23" s="1"/>
  <c r="AT101" i="23" s="1"/>
  <c r="AK210" i="23"/>
  <c r="AL210" i="23" s="1"/>
  <c r="AM210" i="23" s="1"/>
  <c r="AN210" i="23" s="1"/>
  <c r="AO210" i="23" s="1"/>
  <c r="AP210" i="23" s="1"/>
  <c r="AQ210" i="23" s="1"/>
  <c r="AR210" i="23" s="1"/>
  <c r="AS210" i="23" s="1"/>
  <c r="AT210" i="23" s="1"/>
  <c r="AK202" i="23"/>
  <c r="AL202" i="23" s="1"/>
  <c r="AM202" i="23" s="1"/>
  <c r="AN202" i="23" s="1"/>
  <c r="AO202" i="23" s="1"/>
  <c r="AP202" i="23" s="1"/>
  <c r="AQ202" i="23" s="1"/>
  <c r="AR202" i="23" s="1"/>
  <c r="AS202" i="23" s="1"/>
  <c r="AT202" i="23" s="1"/>
  <c r="AK304" i="23"/>
  <c r="AL304" i="23" s="1"/>
  <c r="AM304" i="23" s="1"/>
  <c r="AN304" i="23" s="1"/>
  <c r="AO304" i="23" s="1"/>
  <c r="AP304" i="23" s="1"/>
  <c r="AQ304" i="23" s="1"/>
  <c r="AR304" i="23" s="1"/>
  <c r="AS304" i="23" s="1"/>
  <c r="AT304" i="23" s="1"/>
  <c r="AK114" i="23"/>
  <c r="AL114" i="23" s="1"/>
  <c r="AM114" i="23" s="1"/>
  <c r="AN114" i="23" s="1"/>
  <c r="AO114" i="23" s="1"/>
  <c r="AP114" i="23" s="1"/>
  <c r="AQ114" i="23" s="1"/>
  <c r="AR114" i="23" s="1"/>
  <c r="AS114" i="23" s="1"/>
  <c r="AT114" i="23" s="1"/>
  <c r="AK310" i="23"/>
  <c r="AL310" i="23" s="1"/>
  <c r="AM310" i="23" s="1"/>
  <c r="AN310" i="23" s="1"/>
  <c r="AO310" i="23" s="1"/>
  <c r="AP310" i="23" s="1"/>
  <c r="AQ310" i="23" s="1"/>
  <c r="AR310" i="23" s="1"/>
  <c r="AS310" i="23" s="1"/>
  <c r="AT310" i="23" s="1"/>
  <c r="AK301" i="23"/>
  <c r="AL301" i="23" s="1"/>
  <c r="AM301" i="23" s="1"/>
  <c r="AN301" i="23" s="1"/>
  <c r="AO301" i="23" s="1"/>
  <c r="AP301" i="23" s="1"/>
  <c r="AQ301" i="23" s="1"/>
  <c r="AK132" i="23"/>
  <c r="AL132" i="23" s="1"/>
  <c r="AM132" i="23" s="1"/>
  <c r="AN132" i="23" s="1"/>
  <c r="AO132" i="23" s="1"/>
  <c r="AP132" i="23" s="1"/>
  <c r="AQ132" i="23" s="1"/>
  <c r="AR132" i="23" s="1"/>
  <c r="AS132" i="23" s="1"/>
  <c r="AT132" i="23" s="1"/>
  <c r="AK318" i="23"/>
  <c r="AL318" i="23" s="1"/>
  <c r="AM318" i="23" s="1"/>
  <c r="AN318" i="23" s="1"/>
  <c r="AO318" i="23" s="1"/>
  <c r="AP318" i="23" s="1"/>
  <c r="AQ318" i="23" s="1"/>
  <c r="AR318" i="23" s="1"/>
  <c r="AS318" i="23" s="1"/>
  <c r="AT318" i="23" s="1"/>
  <c r="AK272" i="23"/>
  <c r="AL272" i="23" s="1"/>
  <c r="AM272" i="23" s="1"/>
  <c r="AN272" i="23" s="1"/>
  <c r="AO272" i="23" s="1"/>
  <c r="AP272" i="23" s="1"/>
  <c r="AQ272" i="23" s="1"/>
  <c r="AR272" i="23" s="1"/>
  <c r="AS272" i="23" s="1"/>
  <c r="AT272" i="23" s="1"/>
  <c r="AK236" i="23"/>
  <c r="AL236" i="23" s="1"/>
  <c r="AM236" i="23" s="1"/>
  <c r="AN236" i="23" s="1"/>
  <c r="AO236" i="23" s="1"/>
  <c r="AP236" i="23" s="1"/>
  <c r="AQ236" i="23" s="1"/>
  <c r="AR236" i="23" s="1"/>
  <c r="AS236" i="23" s="1"/>
  <c r="AT236" i="23" s="1"/>
  <c r="AK309" i="23"/>
  <c r="AL309" i="23" s="1"/>
  <c r="AM309" i="23" s="1"/>
  <c r="AN309" i="23" s="1"/>
  <c r="AO309" i="23" s="1"/>
  <c r="AP309" i="23" s="1"/>
  <c r="AQ309" i="23" s="1"/>
  <c r="AR309" i="23" s="1"/>
  <c r="AS309" i="23" s="1"/>
  <c r="AT309" i="23" s="1"/>
  <c r="AK321" i="23"/>
  <c r="AL321" i="23" s="1"/>
  <c r="AM321" i="23" s="1"/>
  <c r="AN321" i="23" s="1"/>
  <c r="AO321" i="23" s="1"/>
  <c r="AP321" i="23" s="1"/>
  <c r="AQ321" i="23" s="1"/>
  <c r="AR321" i="23" s="1"/>
  <c r="AS321" i="23" s="1"/>
  <c r="AT321" i="23" s="1"/>
  <c r="AK115" i="23"/>
  <c r="AL115" i="23" s="1"/>
  <c r="AM115" i="23" s="1"/>
  <c r="AN115" i="23" s="1"/>
  <c r="AO115" i="23" s="1"/>
  <c r="AP115" i="23" s="1"/>
  <c r="AQ115" i="23" s="1"/>
  <c r="AR115" i="23" s="1"/>
  <c r="AS115" i="23" s="1"/>
  <c r="AT115" i="23" s="1"/>
  <c r="AK254" i="23"/>
  <c r="AL254" i="23" s="1"/>
  <c r="AM254" i="23" s="1"/>
  <c r="AN254" i="23" s="1"/>
  <c r="AO254" i="23" s="1"/>
  <c r="AP254" i="23" s="1"/>
  <c r="AQ254" i="23" s="1"/>
  <c r="AR254" i="23" s="1"/>
  <c r="AS254" i="23" s="1"/>
  <c r="AK296" i="23"/>
  <c r="AL296" i="23" s="1"/>
  <c r="AM296" i="23" s="1"/>
  <c r="AN296" i="23" s="1"/>
  <c r="AO296" i="23" s="1"/>
  <c r="AP296" i="23" s="1"/>
  <c r="AQ296" i="23" s="1"/>
  <c r="AR296" i="23" s="1"/>
  <c r="AS296" i="23" s="1"/>
  <c r="AT296" i="23" s="1"/>
  <c r="AK346" i="23"/>
  <c r="AL346" i="23" s="1"/>
  <c r="AM346" i="23" s="1"/>
  <c r="AN346" i="23" s="1"/>
  <c r="AO346" i="23" s="1"/>
  <c r="AK197" i="23"/>
  <c r="AL197" i="23" s="1"/>
  <c r="AM197" i="23" s="1"/>
  <c r="AN197" i="23" s="1"/>
  <c r="AO197" i="23" s="1"/>
  <c r="AP197" i="23" s="1"/>
  <c r="AQ197" i="23" s="1"/>
  <c r="AR197" i="23" s="1"/>
  <c r="AS197" i="23" s="1"/>
  <c r="AT197" i="23" s="1"/>
  <c r="AK262" i="23"/>
  <c r="AL262" i="23" s="1"/>
  <c r="AM262" i="23" s="1"/>
  <c r="AN262" i="23" s="1"/>
  <c r="AO262" i="23" s="1"/>
  <c r="AP262" i="23" s="1"/>
  <c r="AQ262" i="23" s="1"/>
  <c r="AR262" i="23" s="1"/>
  <c r="AS262" i="23" s="1"/>
  <c r="AK173" i="23"/>
  <c r="AL173" i="23" s="1"/>
  <c r="AM173" i="23" s="1"/>
  <c r="AN173" i="23" s="1"/>
  <c r="AO173" i="23" s="1"/>
  <c r="AP173" i="23" s="1"/>
  <c r="AQ173" i="23" s="1"/>
  <c r="AR173" i="23" s="1"/>
  <c r="AS173" i="23" s="1"/>
  <c r="AT173" i="23" s="1"/>
  <c r="AK277" i="23"/>
  <c r="AL277" i="23" s="1"/>
  <c r="AM277" i="23" s="1"/>
  <c r="AN277" i="23" s="1"/>
  <c r="AO277" i="23" s="1"/>
  <c r="AP277" i="23" s="1"/>
  <c r="AQ277" i="23" s="1"/>
  <c r="AR277" i="23" s="1"/>
  <c r="AS277" i="23" s="1"/>
  <c r="AT277" i="23" s="1"/>
  <c r="AK360" i="23"/>
  <c r="AL360" i="23" s="1"/>
  <c r="AM360" i="23" s="1"/>
  <c r="AN360" i="23" s="1"/>
  <c r="AO360" i="23" s="1"/>
  <c r="AP360" i="23" s="1"/>
  <c r="AQ360" i="23" s="1"/>
  <c r="AK249" i="23"/>
  <c r="AL249" i="23" s="1"/>
  <c r="AM249" i="23" s="1"/>
  <c r="AN249" i="23" s="1"/>
  <c r="AO249" i="23" s="1"/>
  <c r="AP249" i="23" s="1"/>
  <c r="AQ249" i="23" s="1"/>
  <c r="AR249" i="23" s="1"/>
  <c r="AS249" i="23" s="1"/>
  <c r="AT249" i="23" s="1"/>
  <c r="AK343" i="23"/>
  <c r="AL343" i="23" s="1"/>
  <c r="AM343" i="23" s="1"/>
  <c r="AN343" i="23" s="1"/>
  <c r="AO343" i="23" s="1"/>
  <c r="AP343" i="23" s="1"/>
  <c r="AQ343" i="23" s="1"/>
  <c r="AR343" i="23" s="1"/>
  <c r="AS343" i="23" s="1"/>
  <c r="AT343" i="23" s="1"/>
  <c r="AK288" i="23"/>
  <c r="AL288" i="23" s="1"/>
  <c r="AM288" i="23" s="1"/>
  <c r="AN288" i="23" s="1"/>
  <c r="AO288" i="23" s="1"/>
  <c r="AP288" i="23" s="1"/>
  <c r="AQ288" i="23" s="1"/>
  <c r="AK229" i="23"/>
  <c r="AL229" i="23" s="1"/>
  <c r="AM229" i="23" s="1"/>
  <c r="AN229" i="23" s="1"/>
  <c r="AO229" i="23" s="1"/>
  <c r="AP229" i="23" s="1"/>
  <c r="AQ229" i="23" s="1"/>
  <c r="AR229" i="23" s="1"/>
  <c r="AS229" i="23" s="1"/>
  <c r="AT229" i="23" s="1"/>
  <c r="AK163" i="23"/>
  <c r="AL163" i="23" s="1"/>
  <c r="AM163" i="23" s="1"/>
  <c r="AN163" i="23" s="1"/>
  <c r="AO163" i="23" s="1"/>
  <c r="AP163" i="23" s="1"/>
  <c r="AQ163" i="23" s="1"/>
  <c r="AR163" i="23" s="1"/>
  <c r="AS163" i="23" s="1"/>
  <c r="AT163" i="23" s="1"/>
  <c r="AK292" i="23"/>
  <c r="AL292" i="23" s="1"/>
  <c r="AM292" i="23" s="1"/>
  <c r="AN292" i="23" s="1"/>
  <c r="AO292" i="23" s="1"/>
  <c r="AP292" i="23" s="1"/>
  <c r="AQ292" i="23" s="1"/>
  <c r="AR292" i="23" s="1"/>
  <c r="AS292" i="23" s="1"/>
  <c r="AT292" i="23" s="1"/>
  <c r="AK188" i="23"/>
  <c r="AL188" i="23" s="1"/>
  <c r="AM188" i="23" s="1"/>
  <c r="AN188" i="23" s="1"/>
  <c r="AO188" i="23" s="1"/>
  <c r="AP188" i="23" s="1"/>
  <c r="AQ188" i="23" s="1"/>
  <c r="AR188" i="23" s="1"/>
  <c r="AS188" i="23" s="1"/>
  <c r="AT188" i="23" s="1"/>
  <c r="AK319" i="23"/>
  <c r="AL319" i="23" s="1"/>
  <c r="AM319" i="23" s="1"/>
  <c r="AN319" i="23" s="1"/>
  <c r="AO319" i="23" s="1"/>
  <c r="AP319" i="23" s="1"/>
  <c r="AQ319" i="23" s="1"/>
  <c r="AR319" i="23" s="1"/>
  <c r="AS319" i="23" s="1"/>
  <c r="AT319" i="23" s="1"/>
  <c r="AK145" i="23"/>
  <c r="AL145" i="23" s="1"/>
  <c r="AM145" i="23" s="1"/>
  <c r="AN145" i="23" s="1"/>
  <c r="AO145" i="23" s="1"/>
  <c r="AP145" i="23" s="1"/>
  <c r="AQ145" i="23" s="1"/>
  <c r="AR145" i="23" s="1"/>
  <c r="AS145" i="23" s="1"/>
  <c r="AT145" i="23" s="1"/>
  <c r="AK130" i="23"/>
  <c r="AL130" i="23" s="1"/>
  <c r="AM130" i="23" s="1"/>
  <c r="AN130" i="23" s="1"/>
  <c r="AO130" i="23" s="1"/>
  <c r="AP130" i="23" s="1"/>
  <c r="AQ130" i="23" s="1"/>
  <c r="AR130" i="23" s="1"/>
  <c r="AS130" i="23" s="1"/>
  <c r="AT130" i="23" s="1"/>
  <c r="AK148" i="23"/>
  <c r="AL148" i="23" s="1"/>
  <c r="AM148" i="23" s="1"/>
  <c r="AN148" i="23" s="1"/>
  <c r="AO148" i="23" s="1"/>
  <c r="AP148" i="23" s="1"/>
  <c r="AQ148" i="23" s="1"/>
  <c r="AR148" i="23" s="1"/>
  <c r="AS148" i="23" s="1"/>
  <c r="AT148" i="23" s="1"/>
  <c r="AK238" i="23"/>
  <c r="AL238" i="23" s="1"/>
  <c r="AM238" i="23" s="1"/>
  <c r="AN238" i="23" s="1"/>
  <c r="AO238" i="23" s="1"/>
  <c r="AP238" i="23" s="1"/>
  <c r="AQ238" i="23" s="1"/>
  <c r="AR238" i="23" s="1"/>
  <c r="AS238" i="23" s="1"/>
  <c r="AT238" i="23" s="1"/>
  <c r="AK217" i="23"/>
  <c r="AL217" i="23" s="1"/>
  <c r="AM217" i="23" s="1"/>
  <c r="AN217" i="23" s="1"/>
  <c r="AO217" i="23" s="1"/>
  <c r="AP217" i="23" s="1"/>
  <c r="AQ217" i="23" s="1"/>
  <c r="AR217" i="23" s="1"/>
  <c r="AS217" i="23" s="1"/>
  <c r="AT217" i="23" s="1"/>
  <c r="AK108" i="23"/>
  <c r="AL108" i="23" s="1"/>
  <c r="AM108" i="23" s="1"/>
  <c r="AN108" i="23" s="1"/>
  <c r="AO108" i="23" s="1"/>
  <c r="AP108" i="23" s="1"/>
  <c r="AQ108" i="23" s="1"/>
  <c r="AR108" i="23" s="1"/>
  <c r="AS108" i="23" s="1"/>
  <c r="AT108" i="23" s="1"/>
  <c r="AK251" i="23"/>
  <c r="AL251" i="23" s="1"/>
  <c r="AM251" i="23" s="1"/>
  <c r="AN251" i="23" s="1"/>
  <c r="AO251" i="23" s="1"/>
  <c r="AP251" i="23" s="1"/>
  <c r="AQ251" i="23" s="1"/>
  <c r="AR251" i="23" s="1"/>
  <c r="AS251" i="23" s="1"/>
  <c r="AT251" i="23" s="1"/>
  <c r="AK409" i="23"/>
  <c r="AL409" i="23" s="1"/>
  <c r="AM409" i="23" s="1"/>
  <c r="AN409" i="23" s="1"/>
  <c r="AO409" i="23" s="1"/>
  <c r="AP409" i="23" s="1"/>
  <c r="AQ409" i="23" s="1"/>
  <c r="AR409" i="23" s="1"/>
  <c r="AS409" i="23" s="1"/>
  <c r="AT409" i="23" s="1"/>
  <c r="AK187" i="23"/>
  <c r="AL187" i="23" s="1"/>
  <c r="AM187" i="23" s="1"/>
  <c r="AN187" i="23" s="1"/>
  <c r="AO187" i="23" s="1"/>
  <c r="AP187" i="23" s="1"/>
  <c r="AQ187" i="23" s="1"/>
  <c r="AR187" i="23" s="1"/>
  <c r="AS187" i="23" s="1"/>
  <c r="AT187" i="23" s="1"/>
  <c r="AK181" i="23"/>
  <c r="AL181" i="23" s="1"/>
  <c r="AM181" i="23" s="1"/>
  <c r="AN181" i="23" s="1"/>
  <c r="AO181" i="23" s="1"/>
  <c r="AP181" i="23" s="1"/>
  <c r="AQ181" i="23" s="1"/>
  <c r="AR181" i="23" s="1"/>
  <c r="AS181" i="23" s="1"/>
  <c r="AT181" i="23" s="1"/>
  <c r="AK260" i="23"/>
  <c r="AL260" i="23" s="1"/>
  <c r="AM260" i="23" s="1"/>
  <c r="AN260" i="23" s="1"/>
  <c r="AO260" i="23" s="1"/>
  <c r="AP260" i="23" s="1"/>
  <c r="AQ260" i="23" s="1"/>
  <c r="AR260" i="23" s="1"/>
  <c r="AS260" i="23" s="1"/>
  <c r="AK381" i="23"/>
  <c r="AL381" i="23" s="1"/>
  <c r="AM381" i="23" s="1"/>
  <c r="AN381" i="23" s="1"/>
  <c r="AO381" i="23" s="1"/>
  <c r="AP381" i="23" s="1"/>
  <c r="AQ381" i="23" s="1"/>
  <c r="AR381" i="23" s="1"/>
  <c r="AS381" i="23" s="1"/>
  <c r="AT381" i="23" s="1"/>
  <c r="AK150" i="23"/>
  <c r="AL150" i="23" s="1"/>
  <c r="AM150" i="23" s="1"/>
  <c r="AN150" i="23" s="1"/>
  <c r="AO150" i="23" s="1"/>
  <c r="AP150" i="23" s="1"/>
  <c r="AQ150" i="23" s="1"/>
  <c r="AR150" i="23" s="1"/>
  <c r="AS150" i="23" s="1"/>
  <c r="AT150" i="23" s="1"/>
  <c r="AK125" i="23"/>
  <c r="AL125" i="23" s="1"/>
  <c r="AM125" i="23" s="1"/>
  <c r="AN125" i="23" s="1"/>
  <c r="AO125" i="23" s="1"/>
  <c r="AP125" i="23" s="1"/>
  <c r="AQ125" i="23" s="1"/>
  <c r="AR125" i="23" s="1"/>
  <c r="AS125" i="23" s="1"/>
  <c r="AT125" i="23" s="1"/>
  <c r="AK242" i="23"/>
  <c r="AL242" i="23" s="1"/>
  <c r="AM242" i="23" s="1"/>
  <c r="AN242" i="23" s="1"/>
  <c r="AO242" i="23" s="1"/>
  <c r="AP242" i="23" s="1"/>
  <c r="AQ242" i="23" s="1"/>
  <c r="AR242" i="23" s="1"/>
  <c r="AS242" i="23" s="1"/>
  <c r="AT242" i="23" s="1"/>
  <c r="AK410" i="23"/>
  <c r="AL410" i="23" s="1"/>
  <c r="AM410" i="23" s="1"/>
  <c r="AN410" i="23" s="1"/>
  <c r="AO410" i="23" s="1"/>
  <c r="AP410" i="23" s="1"/>
  <c r="AQ410" i="23" s="1"/>
  <c r="AR410" i="23" s="1"/>
  <c r="AS410" i="23" s="1"/>
  <c r="AT410" i="23" s="1"/>
  <c r="AK222" i="23"/>
  <c r="AL222" i="23" s="1"/>
  <c r="AM222" i="23" s="1"/>
  <c r="AN222" i="23" s="1"/>
  <c r="AO222" i="23" s="1"/>
  <c r="AP222" i="23" s="1"/>
  <c r="AQ222" i="23" s="1"/>
  <c r="AR222" i="23" s="1"/>
  <c r="AS222" i="23" s="1"/>
  <c r="AT222" i="23" s="1"/>
  <c r="AK402" i="23"/>
  <c r="AL402" i="23" s="1"/>
  <c r="AM402" i="23" s="1"/>
  <c r="AN402" i="23" s="1"/>
  <c r="AO402" i="23" s="1"/>
  <c r="AP402" i="23" s="1"/>
  <c r="AQ402" i="23" s="1"/>
  <c r="AR402" i="23" s="1"/>
  <c r="AS402" i="23" s="1"/>
  <c r="AT402" i="23" s="1"/>
  <c r="AK239" i="23"/>
  <c r="AL239" i="23" s="1"/>
  <c r="AM239" i="23" s="1"/>
  <c r="AN239" i="23" s="1"/>
  <c r="AO239" i="23" s="1"/>
  <c r="AP239" i="23" s="1"/>
  <c r="AQ239" i="23" s="1"/>
  <c r="AR239" i="23" s="1"/>
  <c r="AS239" i="23" s="1"/>
  <c r="AT239" i="23" s="1"/>
  <c r="AK204" i="23"/>
  <c r="AL204" i="23" s="1"/>
  <c r="AM204" i="23" s="1"/>
  <c r="AN204" i="23" s="1"/>
  <c r="AO204" i="23" s="1"/>
  <c r="AP204" i="23" s="1"/>
  <c r="AQ204" i="23" s="1"/>
  <c r="AR204" i="23" s="1"/>
  <c r="AS204" i="23" s="1"/>
  <c r="AT204" i="23" s="1"/>
  <c r="AK102" i="23"/>
  <c r="AL102" i="23" s="1"/>
  <c r="AM102" i="23" s="1"/>
  <c r="AN102" i="23" s="1"/>
  <c r="AO102" i="23" s="1"/>
  <c r="AP102" i="23" s="1"/>
  <c r="AQ102" i="23" s="1"/>
  <c r="AR102" i="23" s="1"/>
  <c r="AS102" i="23" s="1"/>
  <c r="AT102" i="23" s="1"/>
  <c r="AK138" i="23"/>
  <c r="AL138" i="23" s="1"/>
  <c r="AM138" i="23" s="1"/>
  <c r="AN138" i="23" s="1"/>
  <c r="AO138" i="23" s="1"/>
  <c r="AP138" i="23" s="1"/>
  <c r="AQ138" i="23" s="1"/>
  <c r="AR138" i="23" s="1"/>
  <c r="AS138" i="23" s="1"/>
  <c r="AT138" i="23" s="1"/>
  <c r="AK322" i="23"/>
  <c r="AL322" i="23" s="1"/>
  <c r="AM322" i="23" s="1"/>
  <c r="AN322" i="23" s="1"/>
  <c r="AO322" i="23" s="1"/>
  <c r="AP322" i="23" s="1"/>
  <c r="AQ322" i="23" s="1"/>
  <c r="AR322" i="23" s="1"/>
  <c r="AS322" i="23" s="1"/>
  <c r="AT322" i="23" s="1"/>
  <c r="AK266" i="23"/>
  <c r="AL266" i="23" s="1"/>
  <c r="AM266" i="23" s="1"/>
  <c r="AN266" i="23" s="1"/>
  <c r="AO266" i="23" s="1"/>
  <c r="AP266" i="23" s="1"/>
  <c r="AQ266" i="23" s="1"/>
  <c r="AR266" i="23" s="1"/>
  <c r="AS266" i="23" s="1"/>
  <c r="AT266" i="23" s="1"/>
  <c r="AK180" i="23"/>
  <c r="AL180" i="23" s="1"/>
  <c r="AM180" i="23" s="1"/>
  <c r="AN180" i="23" s="1"/>
  <c r="AO180" i="23" s="1"/>
  <c r="AP180" i="23" s="1"/>
  <c r="AQ180" i="23" s="1"/>
  <c r="AR180" i="23" s="1"/>
  <c r="AS180" i="23" s="1"/>
  <c r="AT180" i="23" s="1"/>
  <c r="AK303" i="23"/>
  <c r="AL303" i="23" s="1"/>
  <c r="AM303" i="23" s="1"/>
  <c r="AN303" i="23" s="1"/>
  <c r="AO303" i="23" s="1"/>
  <c r="AP303" i="23" s="1"/>
  <c r="AQ303" i="23" s="1"/>
  <c r="AR303" i="23" s="1"/>
  <c r="AS303" i="23" s="1"/>
  <c r="AT303" i="23" s="1"/>
  <c r="AK341" i="23"/>
  <c r="AL341" i="23" s="1"/>
  <c r="AM341" i="23" s="1"/>
  <c r="AN341" i="23" s="1"/>
  <c r="AO341" i="23" s="1"/>
  <c r="AP341" i="23" s="1"/>
  <c r="AQ341" i="23" s="1"/>
  <c r="AR341" i="23" s="1"/>
  <c r="AS341" i="23" s="1"/>
  <c r="AT341" i="23" s="1"/>
  <c r="AK424" i="23"/>
  <c r="AL424" i="23" s="1"/>
  <c r="AM424" i="23" s="1"/>
  <c r="AN424" i="23" s="1"/>
  <c r="AO424" i="23" s="1"/>
  <c r="AP424" i="23" s="1"/>
  <c r="AQ424" i="23" s="1"/>
  <c r="AR424" i="23" s="1"/>
  <c r="AS424" i="23" s="1"/>
  <c r="AT424" i="23" s="1"/>
  <c r="AK311" i="23"/>
  <c r="AL311" i="23" s="1"/>
  <c r="AM311" i="23" s="1"/>
  <c r="AN311" i="23" s="1"/>
  <c r="AO311" i="23" s="1"/>
  <c r="AP311" i="23" s="1"/>
  <c r="AQ311" i="23" s="1"/>
  <c r="AR311" i="23" s="1"/>
  <c r="AS311" i="23" s="1"/>
  <c r="AT311" i="23" s="1"/>
  <c r="AK314" i="23"/>
  <c r="AL314" i="23" s="1"/>
  <c r="AM314" i="23" s="1"/>
  <c r="AN314" i="23" s="1"/>
  <c r="AO314" i="23" s="1"/>
  <c r="AP314" i="23" s="1"/>
  <c r="AQ314" i="23" s="1"/>
  <c r="AR314" i="23" s="1"/>
  <c r="AS314" i="23" s="1"/>
  <c r="AT314" i="23" s="1"/>
  <c r="AK177" i="23"/>
  <c r="AL177" i="23" s="1"/>
  <c r="AM177" i="23" s="1"/>
  <c r="AN177" i="23" s="1"/>
  <c r="AO177" i="23" s="1"/>
  <c r="AP177" i="23" s="1"/>
  <c r="AQ177" i="23" s="1"/>
  <c r="AR177" i="23" s="1"/>
  <c r="AS177" i="23" s="1"/>
  <c r="AT177" i="23" s="1"/>
  <c r="AK137" i="23"/>
  <c r="AL137" i="23" s="1"/>
  <c r="AM137" i="23" s="1"/>
  <c r="AN137" i="23" s="1"/>
  <c r="AO137" i="23" s="1"/>
  <c r="AP137" i="23" s="1"/>
  <c r="AQ137" i="23" s="1"/>
  <c r="AR137" i="23" s="1"/>
  <c r="AS137" i="23" s="1"/>
  <c r="AT137" i="23" s="1"/>
  <c r="AK317" i="23"/>
  <c r="AL317" i="23" s="1"/>
  <c r="AM317" i="23" s="1"/>
  <c r="AN317" i="23" s="1"/>
  <c r="AO317" i="23" s="1"/>
  <c r="AP317" i="23" s="1"/>
  <c r="AQ317" i="23" s="1"/>
  <c r="AR317" i="23" s="1"/>
  <c r="AS317" i="23" s="1"/>
  <c r="AT317" i="23" s="1"/>
  <c r="AK403" i="23"/>
  <c r="AL403" i="23" s="1"/>
  <c r="AM403" i="23" s="1"/>
  <c r="AN403" i="23" s="1"/>
  <c r="AO403" i="23" s="1"/>
  <c r="AP403" i="23" s="1"/>
  <c r="AQ403" i="23" s="1"/>
  <c r="AR403" i="23" s="1"/>
  <c r="AS403" i="23" s="1"/>
  <c r="AT403" i="23" s="1"/>
  <c r="AK135" i="23"/>
  <c r="AL135" i="23" s="1"/>
  <c r="AM135" i="23" s="1"/>
  <c r="AN135" i="23" s="1"/>
  <c r="AO135" i="23" s="1"/>
  <c r="AP135" i="23" s="1"/>
  <c r="AQ135" i="23" s="1"/>
  <c r="AR135" i="23" s="1"/>
  <c r="AS135" i="23" s="1"/>
  <c r="AT135" i="23" s="1"/>
  <c r="AK116" i="23"/>
  <c r="AL116" i="23" s="1"/>
  <c r="AM116" i="23" s="1"/>
  <c r="AN116" i="23" s="1"/>
  <c r="AO116" i="23" s="1"/>
  <c r="AP116" i="23" s="1"/>
  <c r="AQ116" i="23" s="1"/>
  <c r="AR116" i="23" s="1"/>
  <c r="AS116" i="23" s="1"/>
  <c r="AT116" i="23" s="1"/>
  <c r="AK429" i="23"/>
  <c r="AL429" i="23" s="1"/>
  <c r="AM429" i="23" s="1"/>
  <c r="AN429" i="23" s="1"/>
  <c r="AO429" i="23" s="1"/>
  <c r="AP429" i="23" s="1"/>
  <c r="AQ429" i="23" s="1"/>
  <c r="AR429" i="23" s="1"/>
  <c r="AS429" i="23" s="1"/>
  <c r="AT429" i="23" s="1"/>
  <c r="AK246" i="23"/>
  <c r="AL246" i="23" s="1"/>
  <c r="AM246" i="23" s="1"/>
  <c r="AN246" i="23" s="1"/>
  <c r="AO246" i="23" s="1"/>
  <c r="AP246" i="23" s="1"/>
  <c r="AQ246" i="23" s="1"/>
  <c r="AR246" i="23" s="1"/>
  <c r="AS246" i="23" s="1"/>
  <c r="AT246" i="23" s="1"/>
  <c r="AK335" i="23"/>
  <c r="AL335" i="23" s="1"/>
  <c r="AM335" i="23" s="1"/>
  <c r="AN335" i="23" s="1"/>
  <c r="AO335" i="23" s="1"/>
  <c r="AP335" i="23" s="1"/>
  <c r="AK120" i="23"/>
  <c r="AL120" i="23" s="1"/>
  <c r="AM120" i="23" s="1"/>
  <c r="AN120" i="23" s="1"/>
  <c r="AO120" i="23" s="1"/>
  <c r="AP120" i="23" s="1"/>
  <c r="AQ120" i="23" s="1"/>
  <c r="AR120" i="23" s="1"/>
  <c r="AS120" i="23" s="1"/>
  <c r="AT120" i="23" s="1"/>
  <c r="AK134" i="23"/>
  <c r="AL134" i="23" s="1"/>
  <c r="AM134" i="23" s="1"/>
  <c r="AN134" i="23" s="1"/>
  <c r="AO134" i="23" s="1"/>
  <c r="AP134" i="23" s="1"/>
  <c r="AQ134" i="23" s="1"/>
  <c r="AR134" i="23" s="1"/>
  <c r="AS134" i="23" s="1"/>
  <c r="AT134" i="23" s="1"/>
  <c r="AK285" i="23"/>
  <c r="AL285" i="23" s="1"/>
  <c r="AM285" i="23" s="1"/>
  <c r="AN285" i="23" s="1"/>
  <c r="AO285" i="23" s="1"/>
  <c r="AP285" i="23" s="1"/>
  <c r="AQ285" i="23" s="1"/>
  <c r="AR285" i="23" s="1"/>
  <c r="AS285" i="23" s="1"/>
  <c r="AT285" i="23" s="1"/>
  <c r="AK167" i="23"/>
  <c r="AL167" i="23" s="1"/>
  <c r="AM167" i="23" s="1"/>
  <c r="AN167" i="23" s="1"/>
  <c r="AO167" i="23" s="1"/>
  <c r="AP167" i="23" s="1"/>
  <c r="AQ167" i="23" s="1"/>
  <c r="AR167" i="23" s="1"/>
  <c r="AS167" i="23" s="1"/>
  <c r="AT167" i="23" s="1"/>
  <c r="AK339" i="23"/>
  <c r="AL339" i="23" s="1"/>
  <c r="AM339" i="23" s="1"/>
  <c r="AN339" i="23" s="1"/>
  <c r="AO339" i="23" s="1"/>
  <c r="AP339" i="23" s="1"/>
  <c r="AQ339" i="23" s="1"/>
  <c r="AR339" i="23" s="1"/>
  <c r="AS339" i="23" s="1"/>
  <c r="AT339" i="23" s="1"/>
  <c r="AK164" i="23"/>
  <c r="AL164" i="23" s="1"/>
  <c r="AM164" i="23" s="1"/>
  <c r="AN164" i="23" s="1"/>
  <c r="AO164" i="23" s="1"/>
  <c r="AP164" i="23" s="1"/>
  <c r="AQ164" i="23" s="1"/>
  <c r="AR164" i="23" s="1"/>
  <c r="AS164" i="23" s="1"/>
  <c r="AT164" i="23" s="1"/>
  <c r="AK96" i="23"/>
  <c r="AL96" i="23" s="1"/>
  <c r="AM96" i="23" s="1"/>
  <c r="AN96" i="23" s="1"/>
  <c r="AO96" i="23" s="1"/>
  <c r="AP96" i="23" s="1"/>
  <c r="AQ96" i="23" s="1"/>
  <c r="AR96" i="23" s="1"/>
  <c r="AS96" i="23" s="1"/>
  <c r="AT96" i="23" s="1"/>
  <c r="AK110" i="23"/>
  <c r="AL110" i="23" s="1"/>
  <c r="AM110" i="23" s="1"/>
  <c r="AN110" i="23" s="1"/>
  <c r="AO110" i="23" s="1"/>
  <c r="AP110" i="23" s="1"/>
  <c r="AQ110" i="23" s="1"/>
  <c r="AR110" i="23" s="1"/>
  <c r="AS110" i="23" s="1"/>
  <c r="AT110" i="23" s="1"/>
  <c r="AK427" i="23"/>
  <c r="AL427" i="23" s="1"/>
  <c r="AM427" i="23" s="1"/>
  <c r="AN427" i="23" s="1"/>
  <c r="AO427" i="23" s="1"/>
  <c r="AP427" i="23" s="1"/>
  <c r="AQ427" i="23" s="1"/>
  <c r="AR427" i="23" s="1"/>
  <c r="AS427" i="23" s="1"/>
  <c r="AT427" i="23" s="1"/>
  <c r="AK365" i="23"/>
  <c r="AL365" i="23" s="1"/>
  <c r="AK165" i="23"/>
  <c r="AL165" i="23" s="1"/>
  <c r="AM165" i="23" s="1"/>
  <c r="AN165" i="23" s="1"/>
  <c r="AO165" i="23" s="1"/>
  <c r="AP165" i="23" s="1"/>
  <c r="AQ165" i="23" s="1"/>
  <c r="AR165" i="23" s="1"/>
  <c r="AS165" i="23" s="1"/>
  <c r="AT165" i="23" s="1"/>
  <c r="AK212" i="23"/>
  <c r="AL212" i="23" s="1"/>
  <c r="AM212" i="23" s="1"/>
  <c r="AN212" i="23" s="1"/>
  <c r="AO212" i="23" s="1"/>
  <c r="AP212" i="23" s="1"/>
  <c r="AQ212" i="23" s="1"/>
  <c r="AR212" i="23" s="1"/>
  <c r="AS212" i="23" s="1"/>
  <c r="AT212" i="23" s="1"/>
  <c r="AK99" i="23"/>
  <c r="AL99" i="23" s="1"/>
  <c r="AM99" i="23" s="1"/>
  <c r="AN99" i="23" s="1"/>
  <c r="AO99" i="23" s="1"/>
  <c r="AP99" i="23" s="1"/>
  <c r="AQ99" i="23" s="1"/>
  <c r="AR99" i="23" s="1"/>
  <c r="AS99" i="23" s="1"/>
  <c r="AT99" i="23" s="1"/>
  <c r="AK264" i="23"/>
  <c r="AL264" i="23" s="1"/>
  <c r="AM264" i="23" s="1"/>
  <c r="AN264" i="23" s="1"/>
  <c r="AO264" i="23" s="1"/>
  <c r="AP264" i="23" s="1"/>
  <c r="AQ264" i="23" s="1"/>
  <c r="AR264" i="23" s="1"/>
  <c r="AS264" i="23" s="1"/>
  <c r="AT264" i="23" s="1"/>
  <c r="AK243" i="23"/>
  <c r="AL243" i="23" s="1"/>
  <c r="AM243" i="23" s="1"/>
  <c r="AN243" i="23" s="1"/>
  <c r="AO243" i="23" s="1"/>
  <c r="AP243" i="23" s="1"/>
  <c r="AQ243" i="23" s="1"/>
  <c r="AR243" i="23" s="1"/>
  <c r="AS243" i="23" s="1"/>
  <c r="AT243" i="23" s="1"/>
  <c r="AK291" i="23"/>
  <c r="AL291" i="23" s="1"/>
  <c r="AM291" i="23" s="1"/>
  <c r="AN291" i="23" s="1"/>
  <c r="AO291" i="23" s="1"/>
  <c r="AP291" i="23" s="1"/>
  <c r="AQ291" i="23" s="1"/>
  <c r="AR291" i="23" s="1"/>
  <c r="AS291" i="23" s="1"/>
  <c r="AT291" i="23" s="1"/>
  <c r="AK431" i="23"/>
  <c r="AL431" i="23" s="1"/>
  <c r="AM431" i="23" s="1"/>
  <c r="AN431" i="23" s="1"/>
  <c r="AO431" i="23" s="1"/>
  <c r="AP431" i="23" s="1"/>
  <c r="AQ431" i="23" s="1"/>
  <c r="AR431" i="23" s="1"/>
  <c r="AS431" i="23" s="1"/>
  <c r="AT431" i="23" s="1"/>
  <c r="AK274" i="23"/>
  <c r="AL274" i="23" s="1"/>
  <c r="AM274" i="23" s="1"/>
  <c r="AN274" i="23" s="1"/>
  <c r="AO274" i="23" s="1"/>
  <c r="AP274" i="23" s="1"/>
  <c r="AQ274" i="23" s="1"/>
  <c r="AR274" i="23" s="1"/>
  <c r="AS274" i="23" s="1"/>
  <c r="AT274" i="23" s="1"/>
  <c r="AK215" i="23"/>
  <c r="AL215" i="23" s="1"/>
  <c r="AM215" i="23" s="1"/>
  <c r="AN215" i="23" s="1"/>
  <c r="AO215" i="23" s="1"/>
  <c r="AP215" i="23" s="1"/>
  <c r="AQ215" i="23" s="1"/>
  <c r="AR215" i="23" s="1"/>
  <c r="AS215" i="23" s="1"/>
  <c r="AT215" i="23" s="1"/>
  <c r="AK352" i="23"/>
  <c r="AL352" i="23" s="1"/>
  <c r="AM352" i="23" s="1"/>
  <c r="AN352" i="23" s="1"/>
  <c r="AO352" i="23" s="1"/>
  <c r="AP352" i="23" s="1"/>
  <c r="AQ352" i="23" s="1"/>
  <c r="AR352" i="23" s="1"/>
  <c r="AS352" i="23" s="1"/>
  <c r="AT352" i="23" s="1"/>
  <c r="AK133" i="23"/>
  <c r="AL133" i="23" s="1"/>
  <c r="AM133" i="23" s="1"/>
  <c r="AN133" i="23" s="1"/>
  <c r="AO133" i="23" s="1"/>
  <c r="AP133" i="23" s="1"/>
  <c r="AQ133" i="23" s="1"/>
  <c r="AR133" i="23" s="1"/>
  <c r="AS133" i="23" s="1"/>
  <c r="AT133" i="23" s="1"/>
  <c r="AK334" i="23"/>
  <c r="AL334" i="23" s="1"/>
  <c r="AM334" i="23" s="1"/>
  <c r="AN334" i="23" s="1"/>
  <c r="AO334" i="23" s="1"/>
  <c r="AP334" i="23" s="1"/>
  <c r="AK349" i="23"/>
  <c r="AL349" i="23" s="1"/>
  <c r="AM349" i="23" s="1"/>
  <c r="AN349" i="23" s="1"/>
  <c r="AO349" i="23" s="1"/>
  <c r="AP349" i="23" s="1"/>
  <c r="AQ349" i="23" s="1"/>
  <c r="AR349" i="23" s="1"/>
  <c r="AS349" i="23" s="1"/>
  <c r="AT349" i="23" s="1"/>
  <c r="AK170" i="23"/>
  <c r="AL170" i="23" s="1"/>
  <c r="AM170" i="23" s="1"/>
  <c r="AN170" i="23" s="1"/>
  <c r="AO170" i="23" s="1"/>
  <c r="AP170" i="23" s="1"/>
  <c r="AQ170" i="23" s="1"/>
  <c r="AR170" i="23" s="1"/>
  <c r="AS170" i="23" s="1"/>
  <c r="AT170" i="23" s="1"/>
  <c r="AK299" i="23"/>
  <c r="AL299" i="23" s="1"/>
  <c r="AM299" i="23" s="1"/>
  <c r="AN299" i="23" s="1"/>
  <c r="AO299" i="23" s="1"/>
  <c r="AP299" i="23" s="1"/>
  <c r="AQ299" i="23" s="1"/>
  <c r="AR299" i="23" s="1"/>
  <c r="AS299" i="23" s="1"/>
  <c r="AT299" i="23" s="1"/>
  <c r="AK162" i="23"/>
  <c r="AL162" i="23" s="1"/>
  <c r="AM162" i="23" s="1"/>
  <c r="AN162" i="23" s="1"/>
  <c r="AO162" i="23" s="1"/>
  <c r="AP162" i="23" s="1"/>
  <c r="AQ162" i="23" s="1"/>
  <c r="AR162" i="23" s="1"/>
  <c r="AS162" i="23" s="1"/>
  <c r="AT162" i="23" s="1"/>
  <c r="AK362" i="23"/>
  <c r="AL362" i="23" s="1"/>
  <c r="AM362" i="23" s="1"/>
  <c r="AN362" i="23" s="1"/>
  <c r="AO362" i="23" s="1"/>
  <c r="AP362" i="23" s="1"/>
  <c r="AQ362" i="23" s="1"/>
  <c r="AK324" i="23"/>
  <c r="AL324" i="23" s="1"/>
  <c r="AM324" i="23" s="1"/>
  <c r="AN324" i="23" s="1"/>
  <c r="AO324" i="23" s="1"/>
  <c r="AP324" i="23" s="1"/>
  <c r="AQ324" i="23" s="1"/>
  <c r="AR324" i="23" s="1"/>
  <c r="AS324" i="23" s="1"/>
  <c r="AT324" i="23" s="1"/>
  <c r="AK166" i="23"/>
  <c r="AL166" i="23" s="1"/>
  <c r="AM166" i="23" s="1"/>
  <c r="AN166" i="23" s="1"/>
  <c r="AO166" i="23" s="1"/>
  <c r="AP166" i="23" s="1"/>
  <c r="AQ166" i="23" s="1"/>
  <c r="AR166" i="23" s="1"/>
  <c r="AS166" i="23" s="1"/>
  <c r="AT166" i="23" s="1"/>
  <c r="AK183" i="23"/>
  <c r="AL183" i="23" s="1"/>
  <c r="AM183" i="23" s="1"/>
  <c r="AN183" i="23" s="1"/>
  <c r="AO183" i="23" s="1"/>
  <c r="AP183" i="23" s="1"/>
  <c r="AQ183" i="23" s="1"/>
  <c r="AR183" i="23" s="1"/>
  <c r="AS183" i="23" s="1"/>
  <c r="AT183" i="23" s="1"/>
  <c r="AK252" i="23"/>
  <c r="AL252" i="23" s="1"/>
  <c r="AM252" i="23" s="1"/>
  <c r="AN252" i="23" s="1"/>
  <c r="AO252" i="23" s="1"/>
  <c r="AP252" i="23" s="1"/>
  <c r="AQ252" i="23" s="1"/>
  <c r="AR252" i="23" s="1"/>
  <c r="AS252" i="23" s="1"/>
  <c r="AT252" i="23" s="1"/>
  <c r="AK228" i="23"/>
  <c r="AL228" i="23" s="1"/>
  <c r="AM228" i="23" s="1"/>
  <c r="AN228" i="23" s="1"/>
  <c r="AO228" i="23" s="1"/>
  <c r="AP228" i="23" s="1"/>
  <c r="AQ228" i="23" s="1"/>
  <c r="AR228" i="23" s="1"/>
  <c r="AS228" i="23" s="1"/>
  <c r="AT228" i="23" s="1"/>
  <c r="AK384" i="23"/>
  <c r="AL384" i="23" s="1"/>
  <c r="AM384" i="23" s="1"/>
  <c r="AN384" i="23" s="1"/>
  <c r="AO384" i="23" s="1"/>
  <c r="AP384" i="23" s="1"/>
  <c r="AQ384" i="23" s="1"/>
  <c r="AR384" i="23" s="1"/>
  <c r="AS384" i="23" s="1"/>
  <c r="AT384" i="23" s="1"/>
  <c r="AK377" i="23"/>
  <c r="AL377" i="23" s="1"/>
  <c r="AM377" i="23" s="1"/>
  <c r="AN377" i="23" s="1"/>
  <c r="AO377" i="23" s="1"/>
  <c r="AP377" i="23" s="1"/>
  <c r="AQ377" i="23" s="1"/>
  <c r="AR377" i="23" s="1"/>
  <c r="AS377" i="23" s="1"/>
  <c r="AT377" i="23" s="1"/>
  <c r="AK313" i="23"/>
  <c r="AL313" i="23" s="1"/>
  <c r="AM313" i="23" s="1"/>
  <c r="AN313" i="23" s="1"/>
  <c r="AO313" i="23" s="1"/>
  <c r="AP313" i="23" s="1"/>
  <c r="AQ313" i="23" s="1"/>
  <c r="AR313" i="23" s="1"/>
  <c r="AS313" i="23" s="1"/>
  <c r="AT313" i="23" s="1"/>
  <c r="AK159" i="23"/>
  <c r="AL159" i="23" s="1"/>
  <c r="AM159" i="23" s="1"/>
  <c r="AN159" i="23" s="1"/>
  <c r="AO159" i="23" s="1"/>
  <c r="AP159" i="23" s="1"/>
  <c r="AQ159" i="23" s="1"/>
  <c r="AR159" i="23" s="1"/>
  <c r="AS159" i="23" s="1"/>
  <c r="AT159" i="23" s="1"/>
  <c r="AK255" i="23"/>
  <c r="AL255" i="23" s="1"/>
  <c r="AM255" i="23" s="1"/>
  <c r="AN255" i="23" s="1"/>
  <c r="AO255" i="23" s="1"/>
  <c r="AP255" i="23" s="1"/>
  <c r="AQ255" i="23" s="1"/>
  <c r="AR255" i="23" s="1"/>
  <c r="AS255" i="23" s="1"/>
  <c r="AK411" i="23"/>
  <c r="AL411" i="23" s="1"/>
  <c r="AM411" i="23" s="1"/>
  <c r="AN411" i="23" s="1"/>
  <c r="AO411" i="23" s="1"/>
  <c r="AP411" i="23" s="1"/>
  <c r="AQ411" i="23" s="1"/>
  <c r="AR411" i="23" s="1"/>
  <c r="AS411" i="23" s="1"/>
  <c r="AT411" i="23" s="1"/>
  <c r="AK107" i="23"/>
  <c r="AL107" i="23" s="1"/>
  <c r="AM107" i="23" s="1"/>
  <c r="AN107" i="23" s="1"/>
  <c r="AO107" i="23" s="1"/>
  <c r="AP107" i="23" s="1"/>
  <c r="AQ107" i="23" s="1"/>
  <c r="AR107" i="23" s="1"/>
  <c r="AS107" i="23" s="1"/>
  <c r="AT107" i="23" s="1"/>
  <c r="AK392" i="23"/>
  <c r="AL392" i="23" s="1"/>
  <c r="AM392" i="23" s="1"/>
  <c r="AN392" i="23" s="1"/>
  <c r="AO392" i="23" s="1"/>
  <c r="AP392" i="23" s="1"/>
  <c r="AQ392" i="23" s="1"/>
  <c r="AR392" i="23" s="1"/>
  <c r="AS392" i="23" s="1"/>
  <c r="AT392" i="23" s="1"/>
  <c r="AK195" i="23"/>
  <c r="AL195" i="23" s="1"/>
  <c r="AM195" i="23" s="1"/>
  <c r="AN195" i="23" s="1"/>
  <c r="AO195" i="23" s="1"/>
  <c r="AP195" i="23" s="1"/>
  <c r="AQ195" i="23" s="1"/>
  <c r="AR195" i="23" s="1"/>
  <c r="AS195" i="23" s="1"/>
  <c r="AT195" i="23" s="1"/>
  <c r="AK117" i="23"/>
  <c r="AL117" i="23" s="1"/>
  <c r="AM117" i="23" s="1"/>
  <c r="AN117" i="23" s="1"/>
  <c r="AO117" i="23" s="1"/>
  <c r="AP117" i="23" s="1"/>
  <c r="AQ117" i="23" s="1"/>
  <c r="AR117" i="23" s="1"/>
  <c r="AS117" i="23" s="1"/>
  <c r="AT117" i="23" s="1"/>
  <c r="AK232" i="23"/>
  <c r="AL232" i="23" s="1"/>
  <c r="AM232" i="23" s="1"/>
  <c r="AN232" i="23" s="1"/>
  <c r="AO232" i="23" s="1"/>
  <c r="AP232" i="23" s="1"/>
  <c r="AQ232" i="23" s="1"/>
  <c r="AR232" i="23" s="1"/>
  <c r="AS232" i="23" s="1"/>
  <c r="AT232" i="23" s="1"/>
  <c r="AK358" i="23"/>
  <c r="AL358" i="23" s="1"/>
  <c r="AM358" i="23" s="1"/>
  <c r="AN358" i="23" s="1"/>
  <c r="AO358" i="23" s="1"/>
  <c r="AP358" i="23" s="1"/>
  <c r="AQ358" i="23" s="1"/>
  <c r="AR358" i="23" s="1"/>
  <c r="AS358" i="23" s="1"/>
  <c r="AK270" i="23"/>
  <c r="AL270" i="23" s="1"/>
  <c r="AM270" i="23" s="1"/>
  <c r="AN270" i="23" s="1"/>
  <c r="AO270" i="23" s="1"/>
  <c r="AP270" i="23" s="1"/>
  <c r="AQ270" i="23" s="1"/>
  <c r="AR270" i="23" s="1"/>
  <c r="AS270" i="23" s="1"/>
  <c r="AT270" i="23" s="1"/>
  <c r="AK378" i="23"/>
  <c r="AL378" i="23" s="1"/>
  <c r="AM378" i="23" s="1"/>
  <c r="AN378" i="23" s="1"/>
  <c r="AO378" i="23" s="1"/>
  <c r="AP378" i="23" s="1"/>
  <c r="AQ378" i="23" s="1"/>
  <c r="AR378" i="23" s="1"/>
  <c r="AS378" i="23" s="1"/>
  <c r="AT378" i="23" s="1"/>
  <c r="AK440" i="23"/>
  <c r="AL440" i="23" s="1"/>
  <c r="AM440" i="23" s="1"/>
  <c r="AN440" i="23" s="1"/>
  <c r="AO440" i="23" s="1"/>
  <c r="AP440" i="23" s="1"/>
  <c r="AQ440" i="23" s="1"/>
  <c r="AR440" i="23" s="1"/>
  <c r="AS440" i="23" s="1"/>
  <c r="AT440" i="23" s="1"/>
  <c r="AK142" i="23"/>
  <c r="AL142" i="23" s="1"/>
  <c r="AM142" i="23" s="1"/>
  <c r="AN142" i="23" s="1"/>
  <c r="AO142" i="23" s="1"/>
  <c r="AP142" i="23" s="1"/>
  <c r="AQ142" i="23" s="1"/>
  <c r="AR142" i="23" s="1"/>
  <c r="AS142" i="23" s="1"/>
  <c r="AT142" i="23" s="1"/>
  <c r="AK111" i="23"/>
  <c r="AL111" i="23" s="1"/>
  <c r="AM111" i="23" s="1"/>
  <c r="AN111" i="23" s="1"/>
  <c r="AO111" i="23" s="1"/>
  <c r="AP111" i="23" s="1"/>
  <c r="AQ111" i="23" s="1"/>
  <c r="AR111" i="23" s="1"/>
  <c r="AS111" i="23" s="1"/>
  <c r="AT111" i="23" s="1"/>
  <c r="AK184" i="23"/>
  <c r="AL184" i="23" s="1"/>
  <c r="AM184" i="23" s="1"/>
  <c r="AN184" i="23" s="1"/>
  <c r="AO184" i="23" s="1"/>
  <c r="AP184" i="23" s="1"/>
  <c r="AQ184" i="23" s="1"/>
  <c r="AR184" i="23" s="1"/>
  <c r="AS184" i="23" s="1"/>
  <c r="AT184" i="23" s="1"/>
  <c r="AK196" i="23"/>
  <c r="AL196" i="23" s="1"/>
  <c r="AM196" i="23" s="1"/>
  <c r="AN196" i="23" s="1"/>
  <c r="AO196" i="23" s="1"/>
  <c r="AP196" i="23" s="1"/>
  <c r="AQ196" i="23" s="1"/>
  <c r="AR196" i="23" s="1"/>
  <c r="AS196" i="23" s="1"/>
  <c r="AT196" i="23" s="1"/>
  <c r="AK257" i="23"/>
  <c r="AL257" i="23" s="1"/>
  <c r="AM257" i="23" s="1"/>
  <c r="AN257" i="23" s="1"/>
  <c r="AO257" i="23" s="1"/>
  <c r="AP257" i="23" s="1"/>
  <c r="AQ257" i="23" s="1"/>
  <c r="AR257" i="23" s="1"/>
  <c r="AS257" i="23" s="1"/>
  <c r="AK419" i="23"/>
  <c r="AL419" i="23" s="1"/>
  <c r="AM419" i="23" s="1"/>
  <c r="AN419" i="23" s="1"/>
  <c r="AO419" i="23" s="1"/>
  <c r="AP419" i="23" s="1"/>
  <c r="AQ419" i="23" s="1"/>
  <c r="AR419" i="23" s="1"/>
  <c r="AS419" i="23" s="1"/>
  <c r="AT419" i="23" s="1"/>
  <c r="AK109" i="23"/>
  <c r="AL109" i="23" s="1"/>
  <c r="AM109" i="23" s="1"/>
  <c r="AN109" i="23" s="1"/>
  <c r="AO109" i="23" s="1"/>
  <c r="AP109" i="23" s="1"/>
  <c r="AQ109" i="23" s="1"/>
  <c r="AR109" i="23" s="1"/>
  <c r="AS109" i="23" s="1"/>
  <c r="AT109" i="23" s="1"/>
  <c r="AK434" i="23"/>
  <c r="AL434" i="23" s="1"/>
  <c r="AM434" i="23" s="1"/>
  <c r="AN434" i="23" s="1"/>
  <c r="AO434" i="23" s="1"/>
  <c r="AP434" i="23" s="1"/>
  <c r="AQ434" i="23" s="1"/>
  <c r="AR434" i="23" s="1"/>
  <c r="AS434" i="23" s="1"/>
  <c r="AT434" i="23" s="1"/>
  <c r="AK323" i="23"/>
  <c r="AL323" i="23" s="1"/>
  <c r="AM323" i="23" s="1"/>
  <c r="AN323" i="23" s="1"/>
  <c r="AO323" i="23" s="1"/>
  <c r="AP323" i="23" s="1"/>
  <c r="AQ323" i="23" s="1"/>
  <c r="AR323" i="23" s="1"/>
  <c r="AS323" i="23" s="1"/>
  <c r="AT323" i="23" s="1"/>
  <c r="AK433" i="23"/>
  <c r="AL433" i="23" s="1"/>
  <c r="AM433" i="23" s="1"/>
  <c r="AN433" i="23" s="1"/>
  <c r="AO433" i="23" s="1"/>
  <c r="AP433" i="23" s="1"/>
  <c r="AQ433" i="23" s="1"/>
  <c r="AR433" i="23" s="1"/>
  <c r="AS433" i="23" s="1"/>
  <c r="AT433" i="23" s="1"/>
  <c r="AK268" i="23"/>
  <c r="AL268" i="23" s="1"/>
  <c r="AM268" i="23" s="1"/>
  <c r="AN268" i="23" s="1"/>
  <c r="AO268" i="23" s="1"/>
  <c r="AP268" i="23" s="1"/>
  <c r="AQ268" i="23" s="1"/>
  <c r="AR268" i="23" s="1"/>
  <c r="AS268" i="23" s="1"/>
  <c r="AT268" i="23" s="1"/>
  <c r="AK157" i="23"/>
  <c r="AL157" i="23" s="1"/>
  <c r="AM157" i="23" s="1"/>
  <c r="AN157" i="23" s="1"/>
  <c r="AO157" i="23" s="1"/>
  <c r="AP157" i="23" s="1"/>
  <c r="AQ157" i="23" s="1"/>
  <c r="AR157" i="23" s="1"/>
  <c r="AS157" i="23" s="1"/>
  <c r="AT157" i="23" s="1"/>
  <c r="AK237" i="23"/>
  <c r="AL237" i="23" s="1"/>
  <c r="AM237" i="23" s="1"/>
  <c r="AN237" i="23" s="1"/>
  <c r="AO237" i="23" s="1"/>
  <c r="AP237" i="23" s="1"/>
  <c r="AQ237" i="23" s="1"/>
  <c r="AR237" i="23" s="1"/>
  <c r="AS237" i="23" s="1"/>
  <c r="AT237" i="23" s="1"/>
  <c r="AK361" i="23"/>
  <c r="AL361" i="23" s="1"/>
  <c r="AM361" i="23" s="1"/>
  <c r="AN361" i="23" s="1"/>
  <c r="AO361" i="23" s="1"/>
  <c r="AP361" i="23" s="1"/>
  <c r="AQ361" i="23" s="1"/>
  <c r="AR361" i="23" s="1"/>
  <c r="AS361" i="23" s="1"/>
  <c r="AK147" i="23"/>
  <c r="AL147" i="23" s="1"/>
  <c r="AM147" i="23" s="1"/>
  <c r="AN147" i="23" s="1"/>
  <c r="AO147" i="23" s="1"/>
  <c r="AP147" i="23" s="1"/>
  <c r="AQ147" i="23" s="1"/>
  <c r="AR147" i="23" s="1"/>
  <c r="AS147" i="23" s="1"/>
  <c r="AT147" i="23" s="1"/>
  <c r="AK192" i="23"/>
  <c r="AL192" i="23" s="1"/>
  <c r="AM192" i="23" s="1"/>
  <c r="AN192" i="23" s="1"/>
  <c r="AO192" i="23" s="1"/>
  <c r="AP192" i="23" s="1"/>
  <c r="AQ192" i="23" s="1"/>
  <c r="AR192" i="23" s="1"/>
  <c r="AS192" i="23" s="1"/>
  <c r="AT192" i="23" s="1"/>
  <c r="AK430" i="23"/>
  <c r="AL430" i="23" s="1"/>
  <c r="AM430" i="23" s="1"/>
  <c r="AN430" i="23" s="1"/>
  <c r="AO430" i="23" s="1"/>
  <c r="AP430" i="23" s="1"/>
  <c r="AQ430" i="23" s="1"/>
  <c r="AR430" i="23" s="1"/>
  <c r="AS430" i="23" s="1"/>
  <c r="AT430" i="23" s="1"/>
  <c r="AK176" i="23"/>
  <c r="AL176" i="23" s="1"/>
  <c r="AM176" i="23" s="1"/>
  <c r="AN176" i="23" s="1"/>
  <c r="AO176" i="23" s="1"/>
  <c r="AP176" i="23" s="1"/>
  <c r="AQ176" i="23" s="1"/>
  <c r="AR176" i="23" s="1"/>
  <c r="AS176" i="23" s="1"/>
  <c r="AT176" i="23" s="1"/>
  <c r="AK127" i="23"/>
  <c r="AL127" i="23" s="1"/>
  <c r="AM127" i="23" s="1"/>
  <c r="AN127" i="23" s="1"/>
  <c r="AO127" i="23" s="1"/>
  <c r="AP127" i="23" s="1"/>
  <c r="AQ127" i="23" s="1"/>
  <c r="AR127" i="23" s="1"/>
  <c r="AS127" i="23" s="1"/>
  <c r="AT127" i="23" s="1"/>
  <c r="AK275" i="23"/>
  <c r="AL275" i="23" s="1"/>
  <c r="AM275" i="23" s="1"/>
  <c r="AN275" i="23" s="1"/>
  <c r="AO275" i="23" s="1"/>
  <c r="AP275" i="23" s="1"/>
  <c r="AQ275" i="23" s="1"/>
  <c r="AR275" i="23" s="1"/>
  <c r="AS275" i="23" s="1"/>
  <c r="AT275" i="23" s="1"/>
  <c r="AK331" i="23"/>
  <c r="AL331" i="23" s="1"/>
  <c r="AM331" i="23" s="1"/>
  <c r="AN331" i="23" s="1"/>
  <c r="AO331" i="23" s="1"/>
  <c r="AP331" i="23" s="1"/>
  <c r="AK387" i="23"/>
  <c r="AL387" i="23" s="1"/>
  <c r="AM387" i="23" s="1"/>
  <c r="AN387" i="23" s="1"/>
  <c r="AO387" i="23" s="1"/>
  <c r="AP387" i="23" s="1"/>
  <c r="AQ387" i="23" s="1"/>
  <c r="AR387" i="23" s="1"/>
  <c r="AS387" i="23" s="1"/>
  <c r="AT387" i="23" s="1"/>
  <c r="AK278" i="23"/>
  <c r="AL278" i="23" s="1"/>
  <c r="AM278" i="23" s="1"/>
  <c r="AN278" i="23" s="1"/>
  <c r="AO278" i="23" s="1"/>
  <c r="AP278" i="23" s="1"/>
  <c r="AQ278" i="23" s="1"/>
  <c r="AR278" i="23" s="1"/>
  <c r="AS278" i="23" s="1"/>
  <c r="AT278" i="23" s="1"/>
  <c r="AK395" i="23"/>
  <c r="AL395" i="23" s="1"/>
  <c r="AM395" i="23" s="1"/>
  <c r="AN395" i="23" s="1"/>
  <c r="AO395" i="23" s="1"/>
  <c r="AP395" i="23" s="1"/>
  <c r="AQ395" i="23" s="1"/>
  <c r="AR395" i="23" s="1"/>
  <c r="AS395" i="23" s="1"/>
  <c r="AT395" i="23" s="1"/>
  <c r="AK223" i="23"/>
  <c r="AL223" i="23" s="1"/>
  <c r="AM223" i="23" s="1"/>
  <c r="AN223" i="23" s="1"/>
  <c r="AO223" i="23" s="1"/>
  <c r="AP223" i="23" s="1"/>
  <c r="AQ223" i="23" s="1"/>
  <c r="AR223" i="23" s="1"/>
  <c r="AS223" i="23" s="1"/>
  <c r="AT223" i="23" s="1"/>
  <c r="AK207" i="23"/>
  <c r="AL207" i="23" s="1"/>
  <c r="AM207" i="23" s="1"/>
  <c r="AN207" i="23" s="1"/>
  <c r="AO207" i="23" s="1"/>
  <c r="AP207" i="23" s="1"/>
  <c r="AQ207" i="23" s="1"/>
  <c r="AR207" i="23" s="1"/>
  <c r="AS207" i="23" s="1"/>
  <c r="AT207" i="23" s="1"/>
  <c r="AK149" i="23"/>
  <c r="AL149" i="23" s="1"/>
  <c r="AM149" i="23" s="1"/>
  <c r="AN149" i="23" s="1"/>
  <c r="AO149" i="23" s="1"/>
  <c r="AP149" i="23" s="1"/>
  <c r="AQ149" i="23" s="1"/>
  <c r="AR149" i="23" s="1"/>
  <c r="AS149" i="23" s="1"/>
  <c r="AT149" i="23" s="1"/>
  <c r="AK340" i="23"/>
  <c r="AL340" i="23" s="1"/>
  <c r="AM340" i="23" s="1"/>
  <c r="AN340" i="23" s="1"/>
  <c r="AO340" i="23" s="1"/>
  <c r="AP340" i="23" s="1"/>
  <c r="AQ340" i="23" s="1"/>
  <c r="AR340" i="23" s="1"/>
  <c r="AS340" i="23" s="1"/>
  <c r="AT340" i="23" s="1"/>
  <c r="AK118" i="23"/>
  <c r="AL118" i="23" s="1"/>
  <c r="AM118" i="23" s="1"/>
  <c r="AN118" i="23" s="1"/>
  <c r="AO118" i="23" s="1"/>
  <c r="AP118" i="23" s="1"/>
  <c r="AQ118" i="23" s="1"/>
  <c r="AR118" i="23" s="1"/>
  <c r="AS118" i="23" s="1"/>
  <c r="AT118" i="23" s="1"/>
  <c r="AK295" i="23"/>
  <c r="AL295" i="23" s="1"/>
  <c r="AM295" i="23" s="1"/>
  <c r="AN295" i="23" s="1"/>
  <c r="AO295" i="23" s="1"/>
  <c r="AP295" i="23" s="1"/>
  <c r="AQ295" i="23" s="1"/>
  <c r="AR295" i="23" s="1"/>
  <c r="AS295" i="23" s="1"/>
  <c r="AT295" i="23" s="1"/>
  <c r="AK443" i="23"/>
  <c r="AL443" i="23" s="1"/>
  <c r="AM443" i="23" s="1"/>
  <c r="AN443" i="23" s="1"/>
  <c r="AO443" i="23" s="1"/>
  <c r="AP443" i="23" s="1"/>
  <c r="AQ443" i="23" s="1"/>
  <c r="AR443" i="23" s="1"/>
  <c r="AS443" i="23" s="1"/>
  <c r="AT443" i="23" s="1"/>
  <c r="AK186" i="23"/>
  <c r="AL186" i="23" s="1"/>
  <c r="AM186" i="23" s="1"/>
  <c r="AN186" i="23" s="1"/>
  <c r="AO186" i="23" s="1"/>
  <c r="AP186" i="23" s="1"/>
  <c r="AQ186" i="23" s="1"/>
  <c r="AR186" i="23" s="1"/>
  <c r="AS186" i="23" s="1"/>
  <c r="AT186" i="23" s="1"/>
  <c r="AK234" i="23"/>
  <c r="AL234" i="23" s="1"/>
  <c r="AM234" i="23" s="1"/>
  <c r="AN234" i="23" s="1"/>
  <c r="AO234" i="23" s="1"/>
  <c r="AP234" i="23" s="1"/>
  <c r="AQ234" i="23" s="1"/>
  <c r="AR234" i="23" s="1"/>
  <c r="AS234" i="23" s="1"/>
  <c r="AT234" i="23" s="1"/>
  <c r="AK328" i="23"/>
  <c r="AL328" i="23" s="1"/>
  <c r="AM328" i="23" s="1"/>
  <c r="AN328" i="23" s="1"/>
  <c r="AO328" i="23" s="1"/>
  <c r="AP328" i="23" s="1"/>
  <c r="AQ328" i="23" s="1"/>
  <c r="AK271" i="23"/>
  <c r="AL271" i="23" s="1"/>
  <c r="AM271" i="23" s="1"/>
  <c r="AN271" i="23" s="1"/>
  <c r="AO271" i="23" s="1"/>
  <c r="AP271" i="23" s="1"/>
  <c r="AQ271" i="23" s="1"/>
  <c r="AR271" i="23" s="1"/>
  <c r="AS271" i="23" s="1"/>
  <c r="AT271" i="23" s="1"/>
  <c r="AK211" i="23"/>
  <c r="AL211" i="23" s="1"/>
  <c r="AM211" i="23" s="1"/>
  <c r="AN211" i="23" s="1"/>
  <c r="AO211" i="23" s="1"/>
  <c r="AP211" i="23" s="1"/>
  <c r="AQ211" i="23" s="1"/>
  <c r="AR211" i="23" s="1"/>
  <c r="AS211" i="23" s="1"/>
  <c r="AT211" i="23" s="1"/>
  <c r="AK327" i="23"/>
  <c r="AL327" i="23" s="1"/>
  <c r="AM327" i="23" s="1"/>
  <c r="AN327" i="23" s="1"/>
  <c r="AO327" i="23" s="1"/>
  <c r="AP327" i="23" s="1"/>
  <c r="AQ327" i="23" s="1"/>
  <c r="AK152" i="23"/>
  <c r="AL152" i="23" s="1"/>
  <c r="AM152" i="23" s="1"/>
  <c r="AN152" i="23" s="1"/>
  <c r="AO152" i="23" s="1"/>
  <c r="AP152" i="23" s="1"/>
  <c r="AQ152" i="23" s="1"/>
  <c r="AR152" i="23" s="1"/>
  <c r="AS152" i="23" s="1"/>
  <c r="AT152" i="23" s="1"/>
  <c r="AK305" i="23"/>
  <c r="AL305" i="23" s="1"/>
  <c r="AM305" i="23" s="1"/>
  <c r="AN305" i="23" s="1"/>
  <c r="AO305" i="23" s="1"/>
  <c r="AP305" i="23" s="1"/>
  <c r="AQ305" i="23" s="1"/>
  <c r="AR305" i="23" s="1"/>
  <c r="AS305" i="23" s="1"/>
  <c r="AT305" i="23" s="1"/>
  <c r="AK436" i="23"/>
  <c r="AL436" i="23" s="1"/>
  <c r="AM436" i="23" s="1"/>
  <c r="AN436" i="23" s="1"/>
  <c r="AO436" i="23" s="1"/>
  <c r="AP436" i="23" s="1"/>
  <c r="AQ436" i="23" s="1"/>
  <c r="AR436" i="23" s="1"/>
  <c r="AS436" i="23" s="1"/>
  <c r="AT436" i="23" s="1"/>
  <c r="AK235" i="23"/>
  <c r="AL235" i="23" s="1"/>
  <c r="AM235" i="23" s="1"/>
  <c r="AN235" i="23" s="1"/>
  <c r="AO235" i="23" s="1"/>
  <c r="AP235" i="23" s="1"/>
  <c r="AQ235" i="23" s="1"/>
  <c r="AR235" i="23" s="1"/>
  <c r="AS235" i="23" s="1"/>
  <c r="AT235" i="23" s="1"/>
  <c r="AK282" i="23"/>
  <c r="AL282" i="23" s="1"/>
  <c r="AM282" i="23" s="1"/>
  <c r="AN282" i="23" s="1"/>
  <c r="AO282" i="23" s="1"/>
  <c r="AP282" i="23" s="1"/>
  <c r="AQ282" i="23" s="1"/>
  <c r="AR282" i="23" s="1"/>
  <c r="AS282" i="23" s="1"/>
  <c r="AT282" i="23" s="1"/>
  <c r="AK302" i="23"/>
  <c r="AL302" i="23" s="1"/>
  <c r="AM302" i="23" s="1"/>
  <c r="AN302" i="23" s="1"/>
  <c r="AO302" i="23" s="1"/>
  <c r="AP302" i="23" s="1"/>
  <c r="AQ302" i="23" s="1"/>
  <c r="AR302" i="23" s="1"/>
  <c r="AS302" i="23" s="1"/>
  <c r="AK247" i="23"/>
  <c r="AL247" i="23" s="1"/>
  <c r="AM247" i="23" s="1"/>
  <c r="AN247" i="23" s="1"/>
  <c r="AO247" i="23" s="1"/>
  <c r="AP247" i="23" s="1"/>
  <c r="AQ247" i="23" s="1"/>
  <c r="AR247" i="23" s="1"/>
  <c r="AS247" i="23" s="1"/>
  <c r="AT247" i="23" s="1"/>
  <c r="AK405" i="23"/>
  <c r="AL405" i="23" s="1"/>
  <c r="AM405" i="23" s="1"/>
  <c r="AN405" i="23" s="1"/>
  <c r="AO405" i="23" s="1"/>
  <c r="AP405" i="23" s="1"/>
  <c r="AQ405" i="23" s="1"/>
  <c r="AR405" i="23" s="1"/>
  <c r="AS405" i="23" s="1"/>
  <c r="AT405" i="23" s="1"/>
  <c r="AK294" i="23"/>
  <c r="AL294" i="23" s="1"/>
  <c r="AM294" i="23" s="1"/>
  <c r="AN294" i="23" s="1"/>
  <c r="AO294" i="23" s="1"/>
  <c r="AP294" i="23" s="1"/>
  <c r="AQ294" i="23" s="1"/>
  <c r="AR294" i="23" s="1"/>
  <c r="AS294" i="23" s="1"/>
  <c r="AT294" i="23" s="1"/>
  <c r="AK428" i="23"/>
  <c r="AL428" i="23" s="1"/>
  <c r="AM428" i="23" s="1"/>
  <c r="AN428" i="23" s="1"/>
  <c r="AO428" i="23" s="1"/>
  <c r="AP428" i="23" s="1"/>
  <c r="AQ428" i="23" s="1"/>
  <c r="AR428" i="23" s="1"/>
  <c r="AS428" i="23" s="1"/>
  <c r="AT428" i="23" s="1"/>
  <c r="AK413" i="23"/>
  <c r="AL413" i="23" s="1"/>
  <c r="AM413" i="23" s="1"/>
  <c r="AN413" i="23" s="1"/>
  <c r="AO413" i="23" s="1"/>
  <c r="AP413" i="23" s="1"/>
  <c r="AQ413" i="23" s="1"/>
  <c r="AR413" i="23" s="1"/>
  <c r="AS413" i="23" s="1"/>
  <c r="AT413" i="23" s="1"/>
  <c r="AK425" i="23"/>
  <c r="AL425" i="23" s="1"/>
  <c r="AM425" i="23" s="1"/>
  <c r="AN425" i="23" s="1"/>
  <c r="AO425" i="23" s="1"/>
  <c r="AP425" i="23" s="1"/>
  <c r="AQ425" i="23" s="1"/>
  <c r="AR425" i="23" s="1"/>
  <c r="AS425" i="23" s="1"/>
  <c r="AT425" i="23" s="1"/>
  <c r="AK407" i="23"/>
  <c r="AL407" i="23" s="1"/>
  <c r="AM407" i="23" s="1"/>
  <c r="AN407" i="23" s="1"/>
  <c r="AO407" i="23" s="1"/>
  <c r="AP407" i="23" s="1"/>
  <c r="AQ407" i="23" s="1"/>
  <c r="AR407" i="23" s="1"/>
  <c r="AS407" i="23" s="1"/>
  <c r="AT407" i="23" s="1"/>
  <c r="AK347" i="23"/>
  <c r="AL347" i="23" s="1"/>
  <c r="AM347" i="23" s="1"/>
  <c r="AN347" i="23" s="1"/>
  <c r="AO347" i="23" s="1"/>
  <c r="AP347" i="23" s="1"/>
  <c r="AQ347" i="23" s="1"/>
  <c r="AR347" i="23" s="1"/>
  <c r="AS347" i="23" s="1"/>
  <c r="AT347" i="23" s="1"/>
  <c r="AK293" i="23"/>
  <c r="AL293" i="23" s="1"/>
  <c r="AM293" i="23" s="1"/>
  <c r="AN293" i="23" s="1"/>
  <c r="AO293" i="23" s="1"/>
  <c r="AP293" i="23" s="1"/>
  <c r="AQ293" i="23" s="1"/>
  <c r="AR293" i="23" s="1"/>
  <c r="AS293" i="23" s="1"/>
  <c r="AT293" i="23" s="1"/>
  <c r="AK418" i="23"/>
  <c r="AL418" i="23" s="1"/>
  <c r="AM418" i="23" s="1"/>
  <c r="AN418" i="23" s="1"/>
  <c r="AO418" i="23" s="1"/>
  <c r="AP418" i="23" s="1"/>
  <c r="AQ418" i="23" s="1"/>
  <c r="AR418" i="23" s="1"/>
  <c r="AS418" i="23" s="1"/>
  <c r="AT418" i="23" s="1"/>
  <c r="AK245" i="23"/>
  <c r="AL245" i="23" s="1"/>
  <c r="AM245" i="23" s="1"/>
  <c r="AN245" i="23" s="1"/>
  <c r="AO245" i="23" s="1"/>
  <c r="AP245" i="23" s="1"/>
  <c r="AQ245" i="23" s="1"/>
  <c r="AR245" i="23" s="1"/>
  <c r="AS245" i="23" s="1"/>
  <c r="AT245" i="23" s="1"/>
  <c r="AK256" i="23"/>
  <c r="AL256" i="23" s="1"/>
  <c r="AM256" i="23" s="1"/>
  <c r="AN256" i="23" s="1"/>
  <c r="AO256" i="23" s="1"/>
  <c r="AP256" i="23" s="1"/>
  <c r="AQ256" i="23" s="1"/>
  <c r="AR256" i="23" s="1"/>
  <c r="AS256" i="23" s="1"/>
  <c r="AK194" i="23"/>
  <c r="AL194" i="23" s="1"/>
  <c r="AM194" i="23" s="1"/>
  <c r="AN194" i="23" s="1"/>
  <c r="AO194" i="23" s="1"/>
  <c r="AP194" i="23" s="1"/>
  <c r="AQ194" i="23" s="1"/>
  <c r="AR194" i="23" s="1"/>
  <c r="AS194" i="23" s="1"/>
  <c r="AT194" i="23" s="1"/>
  <c r="AK169" i="23"/>
  <c r="AL169" i="23" s="1"/>
  <c r="AM169" i="23" s="1"/>
  <c r="AN169" i="23" s="1"/>
  <c r="AO169" i="23" s="1"/>
  <c r="AP169" i="23" s="1"/>
  <c r="AQ169" i="23" s="1"/>
  <c r="AR169" i="23" s="1"/>
  <c r="AS169" i="23" s="1"/>
  <c r="AT169" i="23" s="1"/>
  <c r="AK226" i="23"/>
  <c r="AL226" i="23" s="1"/>
  <c r="AM226" i="23" s="1"/>
  <c r="AN226" i="23" s="1"/>
  <c r="AO226" i="23" s="1"/>
  <c r="AP226" i="23" s="1"/>
  <c r="AQ226" i="23" s="1"/>
  <c r="AR226" i="23" s="1"/>
  <c r="AS226" i="23" s="1"/>
  <c r="AT226" i="23" s="1"/>
  <c r="AK139" i="23"/>
  <c r="AL139" i="23" s="1"/>
  <c r="AM139" i="23" s="1"/>
  <c r="AN139" i="23" s="1"/>
  <c r="AO139" i="23" s="1"/>
  <c r="AP139" i="23" s="1"/>
  <c r="AQ139" i="23" s="1"/>
  <c r="AR139" i="23" s="1"/>
  <c r="AS139" i="23" s="1"/>
  <c r="AT139" i="23" s="1"/>
  <c r="AK201" i="23"/>
  <c r="AL201" i="23" s="1"/>
  <c r="AM201" i="23" s="1"/>
  <c r="AN201" i="23" s="1"/>
  <c r="AO201" i="23" s="1"/>
  <c r="AP201" i="23" s="1"/>
  <c r="AQ201" i="23" s="1"/>
  <c r="AR201" i="23" s="1"/>
  <c r="AS201" i="23" s="1"/>
  <c r="AT201" i="23" s="1"/>
  <c r="AK123" i="23"/>
  <c r="AL123" i="23" s="1"/>
  <c r="AM123" i="23" s="1"/>
  <c r="AN123" i="23" s="1"/>
  <c r="AO123" i="23" s="1"/>
  <c r="AP123" i="23" s="1"/>
  <c r="AQ123" i="23" s="1"/>
  <c r="AR123" i="23" s="1"/>
  <c r="AS123" i="23" s="1"/>
  <c r="AT123" i="23" s="1"/>
  <c r="AK100" i="23"/>
  <c r="AL100" i="23" s="1"/>
  <c r="AM100" i="23" s="1"/>
  <c r="AN100" i="23" s="1"/>
  <c r="AO100" i="23" s="1"/>
  <c r="AP100" i="23" s="1"/>
  <c r="AQ100" i="23" s="1"/>
  <c r="AR100" i="23" s="1"/>
  <c r="AS100" i="23" s="1"/>
  <c r="AT100" i="23" s="1"/>
  <c r="AK248" i="23"/>
  <c r="AL248" i="23" s="1"/>
  <c r="AM248" i="23" s="1"/>
  <c r="AN248" i="23" s="1"/>
  <c r="AO248" i="23" s="1"/>
  <c r="AP248" i="23" s="1"/>
  <c r="AQ248" i="23" s="1"/>
  <c r="AR248" i="23" s="1"/>
  <c r="AS248" i="23" s="1"/>
  <c r="AT248" i="23" s="1"/>
  <c r="AK380" i="23"/>
  <c r="AL380" i="23" s="1"/>
  <c r="AM380" i="23" s="1"/>
  <c r="AN380" i="23" s="1"/>
  <c r="AO380" i="23" s="1"/>
  <c r="AP380" i="23" s="1"/>
  <c r="AQ380" i="23" s="1"/>
  <c r="AR380" i="23" s="1"/>
  <c r="AS380" i="23" s="1"/>
  <c r="AT380" i="23" s="1"/>
  <c r="AK129" i="23"/>
  <c r="AL129" i="23" s="1"/>
  <c r="AM129" i="23" s="1"/>
  <c r="AN129" i="23" s="1"/>
  <c r="AO129" i="23" s="1"/>
  <c r="AP129" i="23" s="1"/>
  <c r="AQ129" i="23" s="1"/>
  <c r="AR129" i="23" s="1"/>
  <c r="AS129" i="23" s="1"/>
  <c r="AT129" i="23" s="1"/>
  <c r="AK276" i="23"/>
  <c r="AL276" i="23" s="1"/>
  <c r="AM276" i="23" s="1"/>
  <c r="AN276" i="23" s="1"/>
  <c r="AO276" i="23" s="1"/>
  <c r="AP276" i="23" s="1"/>
  <c r="AQ276" i="23" s="1"/>
  <c r="AR276" i="23" s="1"/>
  <c r="AS276" i="23" s="1"/>
  <c r="AT276" i="23" s="1"/>
  <c r="AK131" i="23"/>
  <c r="AL131" i="23" s="1"/>
  <c r="AM131" i="23" s="1"/>
  <c r="AN131" i="23" s="1"/>
  <c r="AO131" i="23" s="1"/>
  <c r="AP131" i="23" s="1"/>
  <c r="AQ131" i="23" s="1"/>
  <c r="AR131" i="23" s="1"/>
  <c r="AS131" i="23" s="1"/>
  <c r="AT131" i="23" s="1"/>
  <c r="AK128" i="23"/>
  <c r="AL128" i="23" s="1"/>
  <c r="AM128" i="23" s="1"/>
  <c r="AN128" i="23" s="1"/>
  <c r="AO128" i="23" s="1"/>
  <c r="AP128" i="23" s="1"/>
  <c r="AQ128" i="23" s="1"/>
  <c r="AR128" i="23" s="1"/>
  <c r="AS128" i="23" s="1"/>
  <c r="AT128" i="23" s="1"/>
  <c r="AK354" i="23"/>
  <c r="AL354" i="23" s="1"/>
  <c r="AM354" i="23" s="1"/>
  <c r="AN354" i="23" s="1"/>
  <c r="AO354" i="23" s="1"/>
  <c r="AP354" i="23" s="1"/>
  <c r="AQ354" i="23" s="1"/>
  <c r="AR354" i="23" s="1"/>
  <c r="AS354" i="23" s="1"/>
  <c r="AT354" i="23" s="1"/>
  <c r="AK298" i="23"/>
  <c r="AL298" i="23" s="1"/>
  <c r="AM298" i="23" s="1"/>
  <c r="AN298" i="23" s="1"/>
  <c r="AO298" i="23" s="1"/>
  <c r="AP298" i="23" s="1"/>
  <c r="AQ298" i="23" s="1"/>
  <c r="AR298" i="23" s="1"/>
  <c r="AS298" i="23" s="1"/>
  <c r="AT298" i="23" s="1"/>
  <c r="AK332" i="23"/>
  <c r="AL332" i="23" s="1"/>
  <c r="AM332" i="23" s="1"/>
  <c r="AN332" i="23" s="1"/>
  <c r="AO332" i="23" s="1"/>
  <c r="AP332" i="23" s="1"/>
  <c r="AK320" i="23"/>
  <c r="AL320" i="23" s="1"/>
  <c r="AM320" i="23" s="1"/>
  <c r="AN320" i="23" s="1"/>
  <c r="AO320" i="23" s="1"/>
  <c r="AP320" i="23" s="1"/>
  <c r="AQ320" i="23" s="1"/>
  <c r="AR320" i="23" s="1"/>
  <c r="AS320" i="23" s="1"/>
  <c r="AT320" i="23" s="1"/>
  <c r="AK315" i="23"/>
  <c r="AL315" i="23" s="1"/>
  <c r="AM315" i="23" s="1"/>
  <c r="AN315" i="23" s="1"/>
  <c r="AO315" i="23" s="1"/>
  <c r="AP315" i="23" s="1"/>
  <c r="AQ315" i="23" s="1"/>
  <c r="AR315" i="23" s="1"/>
  <c r="AS315" i="23" s="1"/>
  <c r="AT315" i="23" s="1"/>
  <c r="AK400" i="23"/>
  <c r="AL400" i="23" s="1"/>
  <c r="AM400" i="23" s="1"/>
  <c r="AN400" i="23" s="1"/>
  <c r="AO400" i="23" s="1"/>
  <c r="AP400" i="23" s="1"/>
  <c r="AQ400" i="23" s="1"/>
  <c r="AR400" i="23" s="1"/>
  <c r="AS400" i="23" s="1"/>
  <c r="AT400" i="23" s="1"/>
  <c r="AK214" i="23"/>
  <c r="AL214" i="23" s="1"/>
  <c r="AM214" i="23" s="1"/>
  <c r="AN214" i="23" s="1"/>
  <c r="AO214" i="23" s="1"/>
  <c r="AP214" i="23" s="1"/>
  <c r="AQ214" i="23" s="1"/>
  <c r="AR214" i="23" s="1"/>
  <c r="AS214" i="23" s="1"/>
  <c r="AT214" i="23" s="1"/>
  <c r="AK308" i="23"/>
  <c r="AL308" i="23" s="1"/>
  <c r="AM308" i="23" s="1"/>
  <c r="AN308" i="23" s="1"/>
  <c r="AO308" i="23" s="1"/>
  <c r="AP308" i="23" s="1"/>
  <c r="AQ308" i="23" s="1"/>
  <c r="AR308" i="23" s="1"/>
  <c r="AS308" i="23" s="1"/>
  <c r="AT308" i="23" s="1"/>
  <c r="AK383" i="23"/>
  <c r="AL383" i="23" s="1"/>
  <c r="AM383" i="23" s="1"/>
  <c r="AN383" i="23" s="1"/>
  <c r="AO383" i="23" s="1"/>
  <c r="AP383" i="23" s="1"/>
  <c r="AQ383" i="23" s="1"/>
  <c r="AR383" i="23" s="1"/>
  <c r="AS383" i="23" s="1"/>
  <c r="AT383" i="23" s="1"/>
  <c r="AK146" i="23"/>
  <c r="AL146" i="23" s="1"/>
  <c r="AM146" i="23" s="1"/>
  <c r="AN146" i="23" s="1"/>
  <c r="AO146" i="23" s="1"/>
  <c r="AP146" i="23" s="1"/>
  <c r="AQ146" i="23" s="1"/>
  <c r="AR146" i="23" s="1"/>
  <c r="AS146" i="23" s="1"/>
  <c r="AT146" i="23" s="1"/>
  <c r="AK156" i="23"/>
  <c r="AL156" i="23" s="1"/>
  <c r="AM156" i="23" s="1"/>
  <c r="AN156" i="23" s="1"/>
  <c r="AO156" i="23" s="1"/>
  <c r="AP156" i="23" s="1"/>
  <c r="AQ156" i="23" s="1"/>
  <c r="AR156" i="23" s="1"/>
  <c r="AS156" i="23" s="1"/>
  <c r="AT156" i="23" s="1"/>
  <c r="AK300" i="23"/>
  <c r="AL300" i="23" s="1"/>
  <c r="AM300" i="23" s="1"/>
  <c r="AN300" i="23" s="1"/>
  <c r="AO300" i="23" s="1"/>
  <c r="AP300" i="23" s="1"/>
  <c r="AQ300" i="23" s="1"/>
  <c r="AR300" i="23" s="1"/>
  <c r="AS300" i="23" s="1"/>
  <c r="AT300" i="23" s="1"/>
  <c r="AK280" i="23"/>
  <c r="AL280" i="23" s="1"/>
  <c r="AM280" i="23" s="1"/>
  <c r="AN280" i="23" s="1"/>
  <c r="AO280" i="23" s="1"/>
  <c r="AP280" i="23" s="1"/>
  <c r="AQ280" i="23" s="1"/>
  <c r="AR280" i="23" s="1"/>
  <c r="AS280" i="23" s="1"/>
  <c r="AT280" i="23" s="1"/>
  <c r="AK219" i="23"/>
  <c r="AL219" i="23" s="1"/>
  <c r="AM219" i="23" s="1"/>
  <c r="AN219" i="23" s="1"/>
  <c r="AO219" i="23" s="1"/>
  <c r="AP219" i="23" s="1"/>
  <c r="AQ219" i="23" s="1"/>
  <c r="AR219" i="23" s="1"/>
  <c r="AS219" i="23" s="1"/>
  <c r="AT219" i="23" s="1"/>
  <c r="AK240" i="23"/>
  <c r="AL240" i="23" s="1"/>
  <c r="AM240" i="23" s="1"/>
  <c r="AN240" i="23" s="1"/>
  <c r="AO240" i="23" s="1"/>
  <c r="AP240" i="23" s="1"/>
  <c r="AQ240" i="23" s="1"/>
  <c r="AR240" i="23" s="1"/>
  <c r="AS240" i="23" s="1"/>
  <c r="AT240" i="23" s="1"/>
  <c r="AK316" i="23"/>
  <c r="AL316" i="23" s="1"/>
  <c r="AM316" i="23" s="1"/>
  <c r="AN316" i="23" s="1"/>
  <c r="AO316" i="23" s="1"/>
  <c r="AP316" i="23" s="1"/>
  <c r="AQ316" i="23" s="1"/>
  <c r="AR316" i="23" s="1"/>
  <c r="AS316" i="23" s="1"/>
  <c r="AT316" i="23" s="1"/>
  <c r="AK344" i="23"/>
  <c r="AL344" i="23" s="1"/>
  <c r="AM344" i="23" s="1"/>
  <c r="AN344" i="23" s="1"/>
  <c r="AO344" i="23" s="1"/>
  <c r="AK342" i="23"/>
  <c r="AL342" i="23" s="1"/>
  <c r="AM342" i="23" s="1"/>
  <c r="AN342" i="23" s="1"/>
  <c r="AO342" i="23" s="1"/>
  <c r="AP342" i="23" s="1"/>
  <c r="AQ342" i="23" s="1"/>
  <c r="AR342" i="23" s="1"/>
  <c r="AS342" i="23" s="1"/>
  <c r="AT342" i="23" s="1"/>
  <c r="AK213" i="23"/>
  <c r="AL213" i="23" s="1"/>
  <c r="AM213" i="23" s="1"/>
  <c r="AN213" i="23" s="1"/>
  <c r="AO213" i="23" s="1"/>
  <c r="AP213" i="23" s="1"/>
  <c r="AQ213" i="23" s="1"/>
  <c r="AR213" i="23" s="1"/>
  <c r="AS213" i="23" s="1"/>
  <c r="AT213" i="23" s="1"/>
  <c r="AK179" i="23"/>
  <c r="AL179" i="23" s="1"/>
  <c r="AM179" i="23" s="1"/>
  <c r="AN179" i="23" s="1"/>
  <c r="AO179" i="23" s="1"/>
  <c r="AP179" i="23" s="1"/>
  <c r="AQ179" i="23" s="1"/>
  <c r="AR179" i="23" s="1"/>
  <c r="AS179" i="23" s="1"/>
  <c r="AT179" i="23" s="1"/>
  <c r="AK244" i="23"/>
  <c r="AL244" i="23" s="1"/>
  <c r="AM244" i="23" s="1"/>
  <c r="AN244" i="23" s="1"/>
  <c r="AO244" i="23" s="1"/>
  <c r="AP244" i="23" s="1"/>
  <c r="AQ244" i="23" s="1"/>
  <c r="AR244" i="23" s="1"/>
  <c r="AS244" i="23" s="1"/>
  <c r="AT244" i="23" s="1"/>
  <c r="AK350" i="23"/>
  <c r="AL350" i="23" s="1"/>
  <c r="AM350" i="23" s="1"/>
  <c r="AN350" i="23" s="1"/>
  <c r="AO350" i="23" s="1"/>
  <c r="AP350" i="23" s="1"/>
  <c r="AQ350" i="23" s="1"/>
  <c r="AR350" i="23" s="1"/>
  <c r="AS350" i="23" s="1"/>
  <c r="AT350" i="23" s="1"/>
  <c r="AK230" i="23"/>
  <c r="AL230" i="23" s="1"/>
  <c r="AM230" i="23" s="1"/>
  <c r="AN230" i="23" s="1"/>
  <c r="AO230" i="23" s="1"/>
  <c r="AP230" i="23" s="1"/>
  <c r="AQ230" i="23" s="1"/>
  <c r="AR230" i="23" s="1"/>
  <c r="AS230" i="23" s="1"/>
  <c r="AT230" i="23" s="1"/>
  <c r="AK122" i="23"/>
  <c r="AL122" i="23" s="1"/>
  <c r="AM122" i="23" s="1"/>
  <c r="AN122" i="23" s="1"/>
  <c r="AO122" i="23" s="1"/>
  <c r="AP122" i="23" s="1"/>
  <c r="AQ122" i="23" s="1"/>
  <c r="AR122" i="23" s="1"/>
  <c r="AS122" i="23" s="1"/>
  <c r="AT122" i="23" s="1"/>
  <c r="AK397" i="23"/>
  <c r="AL397" i="23" s="1"/>
  <c r="AM397" i="23" s="1"/>
  <c r="AN397" i="23" s="1"/>
  <c r="AO397" i="23" s="1"/>
  <c r="AP397" i="23" s="1"/>
  <c r="AQ397" i="23" s="1"/>
  <c r="AR397" i="23" s="1"/>
  <c r="AS397" i="23" s="1"/>
  <c r="AT397" i="23" s="1"/>
  <c r="AK182" i="23"/>
  <c r="AL182" i="23" s="1"/>
  <c r="AM182" i="23" s="1"/>
  <c r="AN182" i="23" s="1"/>
  <c r="AO182" i="23" s="1"/>
  <c r="AP182" i="23" s="1"/>
  <c r="AQ182" i="23" s="1"/>
  <c r="AR182" i="23" s="1"/>
  <c r="AS182" i="23" s="1"/>
  <c r="AT182" i="23" s="1"/>
  <c r="AK259" i="23"/>
  <c r="AL259" i="23" s="1"/>
  <c r="AM259" i="23" s="1"/>
  <c r="AN259" i="23" s="1"/>
  <c r="AO259" i="23" s="1"/>
  <c r="AP259" i="23" s="1"/>
  <c r="AQ259" i="23" s="1"/>
  <c r="AR259" i="23" s="1"/>
  <c r="AS259" i="23" s="1"/>
  <c r="AK250" i="23"/>
  <c r="AL250" i="23" s="1"/>
  <c r="AM250" i="23" s="1"/>
  <c r="AN250" i="23" s="1"/>
  <c r="AO250" i="23" s="1"/>
  <c r="AP250" i="23" s="1"/>
  <c r="AQ250" i="23" s="1"/>
  <c r="AR250" i="23" s="1"/>
  <c r="AS250" i="23" s="1"/>
  <c r="AT250" i="23" s="1"/>
  <c r="AK420" i="23"/>
  <c r="AL420" i="23" s="1"/>
  <c r="AM420" i="23" s="1"/>
  <c r="AN420" i="23" s="1"/>
  <c r="AO420" i="23" s="1"/>
  <c r="AP420" i="23" s="1"/>
  <c r="AQ420" i="23" s="1"/>
  <c r="AR420" i="23" s="1"/>
  <c r="AS420" i="23" s="1"/>
  <c r="AT420" i="23" s="1"/>
  <c r="AK203" i="23"/>
  <c r="AL203" i="23" s="1"/>
  <c r="AM203" i="23" s="1"/>
  <c r="AN203" i="23" s="1"/>
  <c r="AO203" i="23" s="1"/>
  <c r="AP203" i="23" s="1"/>
  <c r="AQ203" i="23" s="1"/>
  <c r="AR203" i="23" s="1"/>
  <c r="AS203" i="23" s="1"/>
  <c r="AT203" i="23" s="1"/>
  <c r="AK253" i="23"/>
  <c r="AL253" i="23" s="1"/>
  <c r="AM253" i="23" s="1"/>
  <c r="AN253" i="23" s="1"/>
  <c r="AO253" i="23" s="1"/>
  <c r="AP253" i="23" s="1"/>
  <c r="AQ253" i="23" s="1"/>
  <c r="AR253" i="23" s="1"/>
  <c r="AK124" i="23"/>
  <c r="AL124" i="23" s="1"/>
  <c r="AM124" i="23" s="1"/>
  <c r="AN124" i="23" s="1"/>
  <c r="AO124" i="23" s="1"/>
  <c r="AP124" i="23" s="1"/>
  <c r="AQ124" i="23" s="1"/>
  <c r="AR124" i="23" s="1"/>
  <c r="AS124" i="23" s="1"/>
  <c r="AT124" i="23" s="1"/>
  <c r="AK393" i="23"/>
  <c r="AL393" i="23" s="1"/>
  <c r="AM393" i="23" s="1"/>
  <c r="AN393" i="23" s="1"/>
  <c r="AO393" i="23" s="1"/>
  <c r="AP393" i="23" s="1"/>
  <c r="AQ393" i="23" s="1"/>
  <c r="AR393" i="23" s="1"/>
  <c r="AS393" i="23" s="1"/>
  <c r="AT393" i="23" s="1"/>
  <c r="AK416" i="23"/>
  <c r="AL416" i="23" s="1"/>
  <c r="AM416" i="23" s="1"/>
  <c r="AN416" i="23" s="1"/>
  <c r="AO416" i="23" s="1"/>
  <c r="AP416" i="23" s="1"/>
  <c r="AQ416" i="23" s="1"/>
  <c r="AR416" i="23" s="1"/>
  <c r="AS416" i="23" s="1"/>
  <c r="AT416" i="23" s="1"/>
  <c r="AK143" i="23"/>
  <c r="AL143" i="23" s="1"/>
  <c r="AM143" i="23" s="1"/>
  <c r="AN143" i="23" s="1"/>
  <c r="AO143" i="23" s="1"/>
  <c r="AP143" i="23" s="1"/>
  <c r="AQ143" i="23" s="1"/>
  <c r="AR143" i="23" s="1"/>
  <c r="AS143" i="23" s="1"/>
  <c r="AT143" i="23" s="1"/>
  <c r="AK364" i="23"/>
  <c r="AL364" i="23" s="1"/>
  <c r="AK390" i="23"/>
  <c r="AL390" i="23" s="1"/>
  <c r="AM390" i="23" s="1"/>
  <c r="AN390" i="23" s="1"/>
  <c r="AO390" i="23" s="1"/>
  <c r="AP390" i="23" s="1"/>
  <c r="AQ390" i="23" s="1"/>
  <c r="AR390" i="23" s="1"/>
  <c r="AS390" i="23" s="1"/>
  <c r="AT390" i="23" s="1"/>
  <c r="AK287" i="23"/>
  <c r="AL287" i="23" s="1"/>
  <c r="AM287" i="23" s="1"/>
  <c r="AN287" i="23" s="1"/>
  <c r="AO287" i="23" s="1"/>
  <c r="AP287" i="23" s="1"/>
  <c r="AQ287" i="23" s="1"/>
  <c r="AR287" i="23" s="1"/>
  <c r="AS287" i="23" s="1"/>
  <c r="AT287" i="23" s="1"/>
  <c r="AK126" i="23"/>
  <c r="AL126" i="23" s="1"/>
  <c r="AM126" i="23" s="1"/>
  <c r="AN126" i="23" s="1"/>
  <c r="AO126" i="23" s="1"/>
  <c r="AP126" i="23" s="1"/>
  <c r="AQ126" i="23" s="1"/>
  <c r="AR126" i="23" s="1"/>
  <c r="AS126" i="23" s="1"/>
  <c r="AT126" i="23" s="1"/>
  <c r="AK345" i="23"/>
  <c r="AL345" i="23" s="1"/>
  <c r="AM345" i="23" s="1"/>
  <c r="AN345" i="23" s="1"/>
  <c r="AO345" i="23" s="1"/>
  <c r="AK105" i="23"/>
  <c r="AL105" i="23" s="1"/>
  <c r="AM105" i="23" s="1"/>
  <c r="AN105" i="23" s="1"/>
  <c r="AO105" i="23" s="1"/>
  <c r="AP105" i="23" s="1"/>
  <c r="AQ105" i="23" s="1"/>
  <c r="AR105" i="23" s="1"/>
  <c r="AS105" i="23" s="1"/>
  <c r="AT105" i="23" s="1"/>
  <c r="AK112" i="23"/>
  <c r="AL112" i="23" s="1"/>
  <c r="AM112" i="23" s="1"/>
  <c r="AN112" i="23" s="1"/>
  <c r="AO112" i="23" s="1"/>
  <c r="AP112" i="23" s="1"/>
  <c r="AQ112" i="23" s="1"/>
  <c r="AR112" i="23" s="1"/>
  <c r="AS112" i="23" s="1"/>
  <c r="AT112" i="23" s="1"/>
  <c r="AK155" i="23"/>
  <c r="AL155" i="23" s="1"/>
  <c r="AM155" i="23" s="1"/>
  <c r="AN155" i="23" s="1"/>
  <c r="AO155" i="23" s="1"/>
  <c r="AP155" i="23" s="1"/>
  <c r="AQ155" i="23" s="1"/>
  <c r="AR155" i="23" s="1"/>
  <c r="AS155" i="23" s="1"/>
  <c r="AT155" i="23" s="1"/>
  <c r="AK200" i="23"/>
  <c r="AL200" i="23" s="1"/>
  <c r="AM200" i="23" s="1"/>
  <c r="AN200" i="23" s="1"/>
  <c r="AO200" i="23" s="1"/>
  <c r="AP200" i="23" s="1"/>
  <c r="AQ200" i="23" s="1"/>
  <c r="AR200" i="23" s="1"/>
  <c r="AS200" i="23" s="1"/>
  <c r="AT200" i="23" s="1"/>
  <c r="AK227" i="23"/>
  <c r="AL227" i="23" s="1"/>
  <c r="AM227" i="23" s="1"/>
  <c r="AN227" i="23" s="1"/>
  <c r="AO227" i="23" s="1"/>
  <c r="AP227" i="23" s="1"/>
  <c r="AQ227" i="23" s="1"/>
  <c r="AR227" i="23" s="1"/>
  <c r="AS227" i="23" s="1"/>
  <c r="AT227" i="23" s="1"/>
  <c r="AK231" i="23"/>
  <c r="AL231" i="23" s="1"/>
  <c r="AM231" i="23" s="1"/>
  <c r="AN231" i="23" s="1"/>
  <c r="AO231" i="23" s="1"/>
  <c r="AP231" i="23" s="1"/>
  <c r="AQ231" i="23" s="1"/>
  <c r="AR231" i="23" s="1"/>
  <c r="AS231" i="23" s="1"/>
  <c r="AT231" i="23" s="1"/>
  <c r="AK97" i="23"/>
  <c r="AL97" i="23" s="1"/>
  <c r="AM97" i="23" s="1"/>
  <c r="AN97" i="23" s="1"/>
  <c r="AO97" i="23" s="1"/>
  <c r="AP97" i="23" s="1"/>
  <c r="AQ97" i="23" s="1"/>
  <c r="AR97" i="23" s="1"/>
  <c r="AS97" i="23" s="1"/>
  <c r="AT97" i="23" s="1"/>
  <c r="K1" i="4"/>
  <c r="I1" i="4"/>
  <c r="H1" i="4"/>
  <c r="G1" i="4"/>
  <c r="D1" i="4"/>
  <c r="M1" i="4"/>
  <c r="F1" i="4"/>
  <c r="L1" i="4"/>
  <c r="J1" i="4"/>
  <c r="U204" i="18"/>
  <c r="U368" i="18"/>
  <c r="U100" i="18"/>
  <c r="U92" i="18"/>
  <c r="U122" i="18"/>
  <c r="U135" i="18"/>
  <c r="U20" i="18"/>
  <c r="U341" i="18"/>
  <c r="U229" i="18"/>
  <c r="U350" i="18"/>
  <c r="U46" i="18"/>
  <c r="U39" i="18"/>
  <c r="U354" i="18"/>
  <c r="U364" i="18"/>
  <c r="U109" i="18"/>
  <c r="U82" i="18"/>
  <c r="U143" i="18"/>
  <c r="U56" i="18"/>
  <c r="U133" i="18"/>
  <c r="U166" i="18"/>
  <c r="U88" i="18"/>
  <c r="U162" i="18"/>
  <c r="U343" i="18"/>
  <c r="U95" i="18"/>
  <c r="U5" i="18"/>
  <c r="U74" i="18"/>
  <c r="U363" i="18"/>
  <c r="U201" i="18"/>
  <c r="U9" i="18"/>
  <c r="U198" i="18"/>
  <c r="U80" i="18"/>
  <c r="U213" i="18"/>
  <c r="U349" i="18"/>
  <c r="U222" i="18"/>
  <c r="U76" i="18"/>
  <c r="U132" i="18"/>
  <c r="U235" i="18"/>
  <c r="U238" i="18"/>
  <c r="U154" i="18"/>
  <c r="U359" i="18"/>
  <c r="U66" i="18"/>
  <c r="U44" i="18"/>
  <c r="U34" i="18"/>
  <c r="U97" i="18"/>
  <c r="U351" i="18"/>
  <c r="U362" i="18"/>
  <c r="U376" i="18"/>
  <c r="U288" i="18"/>
  <c r="U45" i="18"/>
  <c r="U146" i="18"/>
  <c r="U17" i="18"/>
  <c r="U194" i="18"/>
  <c r="U361" i="18"/>
  <c r="U41" i="18"/>
  <c r="U357" i="18"/>
  <c r="U24" i="18"/>
  <c r="U72" i="18"/>
  <c r="U130" i="18"/>
  <c r="U173" i="18"/>
  <c r="U65" i="18"/>
  <c r="U59" i="18"/>
  <c r="U147" i="18"/>
  <c r="U53" i="18"/>
  <c r="U269" i="18"/>
  <c r="U334" i="18"/>
  <c r="U299" i="18"/>
  <c r="U11" i="18"/>
  <c r="U196" i="18"/>
  <c r="U174" i="18"/>
  <c r="U79" i="18"/>
  <c r="U180" i="18"/>
  <c r="U89" i="18"/>
  <c r="U19" i="18"/>
  <c r="U250" i="18"/>
  <c r="U183" i="18"/>
  <c r="U31" i="18"/>
  <c r="U159" i="18"/>
  <c r="U108" i="18"/>
  <c r="U374" i="18"/>
  <c r="U142" i="18"/>
  <c r="U348" i="18"/>
  <c r="U236" i="18"/>
  <c r="U144" i="18"/>
  <c r="U369" i="18"/>
  <c r="U167" i="18"/>
  <c r="U134" i="18"/>
  <c r="U112" i="18"/>
  <c r="U55" i="18"/>
  <c r="U218" i="18"/>
  <c r="U141" i="18"/>
  <c r="U344" i="18"/>
  <c r="U345" i="18"/>
  <c r="U227" i="18"/>
  <c r="U51" i="18"/>
  <c r="U346" i="18"/>
  <c r="U101" i="18"/>
  <c r="U29" i="18"/>
  <c r="U105" i="18"/>
  <c r="U26" i="18"/>
  <c r="U292" i="18"/>
  <c r="U212" i="18"/>
  <c r="U182" i="18"/>
  <c r="U60" i="18"/>
  <c r="U13" i="18"/>
  <c r="U6" i="18"/>
  <c r="U151" i="18"/>
  <c r="U7" i="18"/>
  <c r="U184" i="18"/>
  <c r="U98" i="18"/>
  <c r="U4" i="18"/>
  <c r="U185" i="18"/>
  <c r="U124" i="18"/>
  <c r="U375" i="18"/>
  <c r="U287" i="18"/>
  <c r="U228" i="18"/>
  <c r="U319" i="18"/>
  <c r="U102" i="18"/>
  <c r="U224" i="18"/>
  <c r="U111" i="18"/>
  <c r="U316" i="18"/>
  <c r="U242" i="18"/>
  <c r="U276" i="18"/>
  <c r="U274" i="18"/>
  <c r="U78" i="18"/>
  <c r="U32" i="18"/>
  <c r="U277" i="18"/>
  <c r="U317" i="18"/>
  <c r="U153" i="18"/>
  <c r="U15" i="18"/>
  <c r="U186" i="18"/>
  <c r="U152" i="18"/>
  <c r="U148" i="18"/>
  <c r="U103" i="18"/>
  <c r="U61" i="18"/>
  <c r="U48" i="18"/>
  <c r="U258" i="18"/>
  <c r="U190" i="18"/>
  <c r="U169" i="18"/>
  <c r="U271" i="18"/>
  <c r="U43" i="18"/>
  <c r="U127" i="18"/>
  <c r="U311" i="18"/>
  <c r="U57" i="18"/>
  <c r="U64" i="18"/>
  <c r="U302" i="18"/>
  <c r="U296" i="18"/>
  <c r="U70" i="18"/>
  <c r="U40" i="18"/>
  <c r="U266" i="18"/>
  <c r="U237" i="18"/>
  <c r="U145" i="18"/>
  <c r="U318" i="18"/>
  <c r="U305" i="18"/>
  <c r="U195" i="18"/>
  <c r="U171" i="18"/>
  <c r="U140" i="18"/>
  <c r="U321" i="18"/>
  <c r="U38" i="18"/>
  <c r="U304" i="18"/>
  <c r="U272" i="18"/>
  <c r="U205" i="18"/>
  <c r="U300" i="18"/>
  <c r="U303" i="18"/>
  <c r="U325" i="18"/>
  <c r="U315" i="18"/>
  <c r="U246" i="18"/>
  <c r="U312" i="18"/>
  <c r="U121" i="18"/>
  <c r="U283" i="18"/>
  <c r="U298" i="18"/>
  <c r="U139" i="18"/>
  <c r="U301" i="18"/>
  <c r="U265" i="18"/>
  <c r="U232" i="18"/>
  <c r="U306" i="18"/>
  <c r="U96" i="18"/>
  <c r="U164" i="18"/>
  <c r="U324" i="18"/>
  <c r="U278" i="18"/>
  <c r="U294" i="18"/>
  <c r="U251" i="18"/>
  <c r="U282" i="18"/>
  <c r="U285" i="18"/>
  <c r="U117" i="18"/>
  <c r="U126" i="18"/>
  <c r="U175" i="18"/>
  <c r="U10" i="18"/>
  <c r="U249" i="18"/>
  <c r="U247" i="18"/>
  <c r="U314" i="18"/>
  <c r="U308" i="18"/>
  <c r="U83" i="18"/>
  <c r="U2" i="18"/>
  <c r="U291" i="18"/>
  <c r="U261" i="18"/>
  <c r="U120" i="18"/>
  <c r="U188" i="18"/>
  <c r="U255" i="18"/>
  <c r="U181" i="18"/>
  <c r="U42" i="18"/>
  <c r="U245" i="18"/>
  <c r="D43" i="22"/>
  <c r="C19" i="22" s="1"/>
  <c r="C43" i="22"/>
  <c r="C2" i="16"/>
  <c r="Q29" i="4"/>
  <c r="B29" i="3"/>
  <c r="AS253" i="23" l="1"/>
  <c r="AT253" i="23" s="1"/>
  <c r="AI253" i="23"/>
  <c r="K10" i="16" s="1"/>
  <c r="AT263" i="23"/>
  <c r="AJ263" i="23"/>
  <c r="AM366" i="23"/>
  <c r="AN366" i="23" s="1"/>
  <c r="AO366" i="23" s="1"/>
  <c r="AP366" i="23" s="1"/>
  <c r="AQ366" i="23" s="1"/>
  <c r="AR366" i="23" s="1"/>
  <c r="AS366" i="23" s="1"/>
  <c r="AT366" i="23" s="1"/>
  <c r="AC366" i="23"/>
  <c r="AL37" i="23"/>
  <c r="AM37" i="23" s="1"/>
  <c r="AN37" i="23" s="1"/>
  <c r="AO37" i="23" s="1"/>
  <c r="AP37" i="23" s="1"/>
  <c r="AQ37" i="23" s="1"/>
  <c r="AR37" i="23" s="1"/>
  <c r="AS37" i="23" s="1"/>
  <c r="AT37" i="23" s="1"/>
  <c r="AB37" i="23"/>
  <c r="AL38" i="23"/>
  <c r="AM38" i="23" s="1"/>
  <c r="AN38" i="23" s="1"/>
  <c r="AO38" i="23" s="1"/>
  <c r="AP38" i="23" s="1"/>
  <c r="AQ38" i="23" s="1"/>
  <c r="AR38" i="23" s="1"/>
  <c r="AS38" i="23" s="1"/>
  <c r="AT38" i="23" s="1"/>
  <c r="AB38" i="23"/>
  <c r="AL23" i="23"/>
  <c r="AM23" i="23" s="1"/>
  <c r="AN23" i="23" s="1"/>
  <c r="AO23" i="23" s="1"/>
  <c r="AP23" i="23" s="1"/>
  <c r="AQ23" i="23" s="1"/>
  <c r="AR23" i="23" s="1"/>
  <c r="AS23" i="23" s="1"/>
  <c r="AT23" i="23" s="1"/>
  <c r="AB23" i="23"/>
  <c r="AT361" i="23"/>
  <c r="AJ361" i="23"/>
  <c r="L11" i="16" s="1"/>
  <c r="AT255" i="23"/>
  <c r="AJ255" i="23"/>
  <c r="AR360" i="23"/>
  <c r="AS360" i="23" s="1"/>
  <c r="AT360" i="23" s="1"/>
  <c r="AH360" i="23"/>
  <c r="AR359" i="23"/>
  <c r="AS359" i="23" s="1"/>
  <c r="AT359" i="23" s="1"/>
  <c r="AH359" i="23"/>
  <c r="AM367" i="23"/>
  <c r="AN367" i="23" s="1"/>
  <c r="AO367" i="23" s="1"/>
  <c r="AP367" i="23" s="1"/>
  <c r="AQ367" i="23" s="1"/>
  <c r="AR367" i="23" s="1"/>
  <c r="AS367" i="23" s="1"/>
  <c r="AT367" i="23" s="1"/>
  <c r="AC367" i="23"/>
  <c r="AL18" i="23"/>
  <c r="AM18" i="23" s="1"/>
  <c r="AN18" i="23" s="1"/>
  <c r="AO18" i="23" s="1"/>
  <c r="AP18" i="23" s="1"/>
  <c r="AQ18" i="23" s="1"/>
  <c r="AR18" i="23" s="1"/>
  <c r="AS18" i="23" s="1"/>
  <c r="AT18" i="23" s="1"/>
  <c r="AB18" i="23"/>
  <c r="AL7" i="23"/>
  <c r="AM7" i="23" s="1"/>
  <c r="AN7" i="23" s="1"/>
  <c r="AO7" i="23" s="1"/>
  <c r="AP7" i="23" s="1"/>
  <c r="AQ7" i="23" s="1"/>
  <c r="AR7" i="23" s="1"/>
  <c r="AS7" i="23" s="1"/>
  <c r="AT7" i="23" s="1"/>
  <c r="AB7" i="23"/>
  <c r="AL20" i="23"/>
  <c r="AM20" i="23" s="1"/>
  <c r="AN20" i="23" s="1"/>
  <c r="AO20" i="23" s="1"/>
  <c r="AP20" i="23" s="1"/>
  <c r="AQ20" i="23" s="1"/>
  <c r="AR20" i="23" s="1"/>
  <c r="AS20" i="23" s="1"/>
  <c r="AT20" i="23" s="1"/>
  <c r="AB20" i="23"/>
  <c r="AP344" i="23"/>
  <c r="AQ344" i="23" s="1"/>
  <c r="AR344" i="23" s="1"/>
  <c r="AS344" i="23" s="1"/>
  <c r="AT344" i="23" s="1"/>
  <c r="AF344" i="23"/>
  <c r="AR327" i="23"/>
  <c r="AS327" i="23" s="1"/>
  <c r="AT327" i="23" s="1"/>
  <c r="AH327" i="23"/>
  <c r="AQ335" i="23"/>
  <c r="AR335" i="23" s="1"/>
  <c r="AS335" i="23" s="1"/>
  <c r="AT335" i="23" s="1"/>
  <c r="AG335" i="23"/>
  <c r="AM368" i="23"/>
  <c r="AN368" i="23" s="1"/>
  <c r="AO368" i="23" s="1"/>
  <c r="AP368" i="23" s="1"/>
  <c r="AQ368" i="23" s="1"/>
  <c r="AR368" i="23" s="1"/>
  <c r="AS368" i="23" s="1"/>
  <c r="AT368" i="23" s="1"/>
  <c r="AC368" i="23"/>
  <c r="AL9" i="23"/>
  <c r="AM9" i="23" s="1"/>
  <c r="AN9" i="23" s="1"/>
  <c r="AO9" i="23" s="1"/>
  <c r="AP9" i="23" s="1"/>
  <c r="AQ9" i="23" s="1"/>
  <c r="AR9" i="23" s="1"/>
  <c r="AS9" i="23" s="1"/>
  <c r="AT9" i="23" s="1"/>
  <c r="AB9" i="23"/>
  <c r="AL16" i="23"/>
  <c r="AM16" i="23" s="1"/>
  <c r="AN16" i="23" s="1"/>
  <c r="AO16" i="23" s="1"/>
  <c r="AP16" i="23" s="1"/>
  <c r="AQ16" i="23" s="1"/>
  <c r="AR16" i="23" s="1"/>
  <c r="AS16" i="23" s="1"/>
  <c r="AT16" i="23" s="1"/>
  <c r="AB16" i="23"/>
  <c r="AL8" i="23"/>
  <c r="AM8" i="23" s="1"/>
  <c r="AN8" i="23" s="1"/>
  <c r="AO8" i="23" s="1"/>
  <c r="AP8" i="23" s="1"/>
  <c r="AQ8" i="23" s="1"/>
  <c r="AR8" i="23" s="1"/>
  <c r="AS8" i="23" s="1"/>
  <c r="AT8" i="23" s="1"/>
  <c r="AB8" i="23"/>
  <c r="AL14" i="23"/>
  <c r="AM14" i="23" s="1"/>
  <c r="AN14" i="23" s="1"/>
  <c r="AO14" i="23" s="1"/>
  <c r="AP14" i="23" s="1"/>
  <c r="AQ14" i="23" s="1"/>
  <c r="AR14" i="23" s="1"/>
  <c r="AS14" i="23" s="1"/>
  <c r="AT14" i="23" s="1"/>
  <c r="AB14" i="23"/>
  <c r="AT258" i="23"/>
  <c r="AJ258" i="23"/>
  <c r="AQ336" i="23"/>
  <c r="AR336" i="23" s="1"/>
  <c r="AS336" i="23" s="1"/>
  <c r="AT336" i="23" s="1"/>
  <c r="AG336" i="23"/>
  <c r="AM369" i="23"/>
  <c r="AN369" i="23" s="1"/>
  <c r="AO369" i="23" s="1"/>
  <c r="AP369" i="23" s="1"/>
  <c r="AQ369" i="23" s="1"/>
  <c r="AR369" i="23" s="1"/>
  <c r="AS369" i="23" s="1"/>
  <c r="AT369" i="23" s="1"/>
  <c r="AC369" i="23"/>
  <c r="AL19" i="23"/>
  <c r="AM19" i="23" s="1"/>
  <c r="AN19" i="23" s="1"/>
  <c r="AO19" i="23" s="1"/>
  <c r="AP19" i="23" s="1"/>
  <c r="AQ19" i="23" s="1"/>
  <c r="AR19" i="23" s="1"/>
  <c r="AS19" i="23" s="1"/>
  <c r="AT19" i="23" s="1"/>
  <c r="AB19" i="23"/>
  <c r="AL36" i="23"/>
  <c r="AM36" i="23" s="1"/>
  <c r="AN36" i="23" s="1"/>
  <c r="AO36" i="23" s="1"/>
  <c r="AP36" i="23" s="1"/>
  <c r="AQ36" i="23" s="1"/>
  <c r="AR36" i="23" s="1"/>
  <c r="AS36" i="23" s="1"/>
  <c r="AT36" i="23" s="1"/>
  <c r="AB36" i="23"/>
  <c r="AL6" i="23"/>
  <c r="AM6" i="23" s="1"/>
  <c r="AN6" i="23" s="1"/>
  <c r="AO6" i="23" s="1"/>
  <c r="AP6" i="23" s="1"/>
  <c r="AQ6" i="23" s="1"/>
  <c r="AR6" i="23" s="1"/>
  <c r="AS6" i="23" s="1"/>
  <c r="AT6" i="23" s="1"/>
  <c r="AB6" i="23"/>
  <c r="AL15" i="23"/>
  <c r="AM15" i="23" s="1"/>
  <c r="AN15" i="23" s="1"/>
  <c r="AO15" i="23" s="1"/>
  <c r="AP15" i="23" s="1"/>
  <c r="AQ15" i="23" s="1"/>
  <c r="AR15" i="23" s="1"/>
  <c r="AS15" i="23" s="1"/>
  <c r="AT15" i="23" s="1"/>
  <c r="AB15" i="23"/>
  <c r="AP345" i="23"/>
  <c r="AQ345" i="23" s="1"/>
  <c r="AR345" i="23" s="1"/>
  <c r="AS345" i="23" s="1"/>
  <c r="AT345" i="23" s="1"/>
  <c r="AF345" i="23"/>
  <c r="AT259" i="23"/>
  <c r="AJ259" i="23"/>
  <c r="AQ332" i="23"/>
  <c r="AR332" i="23" s="1"/>
  <c r="AS332" i="23" s="1"/>
  <c r="AT332" i="23" s="1"/>
  <c r="AG332" i="23"/>
  <c r="AQ334" i="23"/>
  <c r="AR334" i="23" s="1"/>
  <c r="AS334" i="23" s="1"/>
  <c r="AT334" i="23" s="1"/>
  <c r="AG334" i="23"/>
  <c r="AM365" i="23"/>
  <c r="AN365" i="23" s="1"/>
  <c r="AO365" i="23" s="1"/>
  <c r="AP365" i="23" s="1"/>
  <c r="AQ365" i="23" s="1"/>
  <c r="AR365" i="23" s="1"/>
  <c r="AS365" i="23" s="1"/>
  <c r="AT365" i="23" s="1"/>
  <c r="AC365" i="23"/>
  <c r="AT262" i="23"/>
  <c r="AJ262" i="23"/>
  <c r="AR301" i="23"/>
  <c r="AS301" i="23" s="1"/>
  <c r="AT301" i="23" s="1"/>
  <c r="AH301" i="23"/>
  <c r="J8" i="16" s="1"/>
  <c r="B8" i="16" s="1"/>
  <c r="AQ333" i="23"/>
  <c r="AR333" i="23" s="1"/>
  <c r="AS333" i="23" s="1"/>
  <c r="AT333" i="23" s="1"/>
  <c r="AG333" i="23"/>
  <c r="AM370" i="23"/>
  <c r="AN370" i="23" s="1"/>
  <c r="AO370" i="23" s="1"/>
  <c r="AP370" i="23" s="1"/>
  <c r="AQ370" i="23" s="1"/>
  <c r="AR370" i="23" s="1"/>
  <c r="AS370" i="23" s="1"/>
  <c r="AT370" i="23" s="1"/>
  <c r="AC370" i="23"/>
  <c r="AL41" i="23"/>
  <c r="AM41" i="23" s="1"/>
  <c r="AN41" i="23" s="1"/>
  <c r="AO41" i="23" s="1"/>
  <c r="AP41" i="23" s="1"/>
  <c r="AQ41" i="23" s="1"/>
  <c r="AR41" i="23" s="1"/>
  <c r="AS41" i="23" s="1"/>
  <c r="AT41" i="23" s="1"/>
  <c r="AB41" i="23"/>
  <c r="AL5" i="23"/>
  <c r="AM5" i="23" s="1"/>
  <c r="AN5" i="23" s="1"/>
  <c r="AO5" i="23" s="1"/>
  <c r="AP5" i="23" s="1"/>
  <c r="AQ5" i="23" s="1"/>
  <c r="AR5" i="23" s="1"/>
  <c r="AS5" i="23" s="1"/>
  <c r="AT5" i="23" s="1"/>
  <c r="AB5" i="23"/>
  <c r="AL21" i="23"/>
  <c r="AM21" i="23" s="1"/>
  <c r="AN21" i="23" s="1"/>
  <c r="AO21" i="23" s="1"/>
  <c r="AP21" i="23" s="1"/>
  <c r="AQ21" i="23" s="1"/>
  <c r="AR21" i="23" s="1"/>
  <c r="AS21" i="23" s="1"/>
  <c r="AT21" i="23" s="1"/>
  <c r="AB21" i="23"/>
  <c r="AL34" i="23"/>
  <c r="AM34" i="23" s="1"/>
  <c r="AN34" i="23" s="1"/>
  <c r="AO34" i="23" s="1"/>
  <c r="AP34" i="23" s="1"/>
  <c r="AQ34" i="23" s="1"/>
  <c r="AR34" i="23" s="1"/>
  <c r="AS34" i="23" s="1"/>
  <c r="AT34" i="23" s="1"/>
  <c r="AB34" i="23"/>
  <c r="AR328" i="23"/>
  <c r="AS328" i="23" s="1"/>
  <c r="AT328" i="23" s="1"/>
  <c r="AH328" i="23"/>
  <c r="AM371" i="23"/>
  <c r="AN371" i="23" s="1"/>
  <c r="AO371" i="23" s="1"/>
  <c r="AP371" i="23" s="1"/>
  <c r="AQ371" i="23" s="1"/>
  <c r="AR371" i="23" s="1"/>
  <c r="AS371" i="23" s="1"/>
  <c r="AT371" i="23" s="1"/>
  <c r="AC371" i="23"/>
  <c r="AL3" i="23"/>
  <c r="AM3" i="23" s="1"/>
  <c r="AN3" i="23" s="1"/>
  <c r="AO3" i="23" s="1"/>
  <c r="AP3" i="23" s="1"/>
  <c r="AQ3" i="23" s="1"/>
  <c r="AR3" i="23" s="1"/>
  <c r="AS3" i="23" s="1"/>
  <c r="AT3" i="23" s="1"/>
  <c r="AB3" i="23"/>
  <c r="D11" i="16" s="1"/>
  <c r="AL32" i="23"/>
  <c r="AM32" i="23" s="1"/>
  <c r="AN32" i="23" s="1"/>
  <c r="AO32" i="23" s="1"/>
  <c r="AP32" i="23" s="1"/>
  <c r="AQ32" i="23" s="1"/>
  <c r="AR32" i="23" s="1"/>
  <c r="AS32" i="23" s="1"/>
  <c r="AT32" i="23" s="1"/>
  <c r="AB32" i="23"/>
  <c r="AQ331" i="23"/>
  <c r="AR331" i="23" s="1"/>
  <c r="AS331" i="23" s="1"/>
  <c r="AT331" i="23" s="1"/>
  <c r="AG331" i="23"/>
  <c r="AT358" i="23"/>
  <c r="AJ358" i="23"/>
  <c r="AT260" i="23"/>
  <c r="AJ260" i="23"/>
  <c r="AP346" i="23"/>
  <c r="AQ346" i="23" s="1"/>
  <c r="AR346" i="23" s="1"/>
  <c r="AS346" i="23" s="1"/>
  <c r="AT346" i="23" s="1"/>
  <c r="AF346" i="23"/>
  <c r="AQ330" i="23"/>
  <c r="AR330" i="23" s="1"/>
  <c r="AS330" i="23" s="1"/>
  <c r="AT330" i="23" s="1"/>
  <c r="AG330" i="23"/>
  <c r="AM374" i="23"/>
  <c r="AN374" i="23" s="1"/>
  <c r="AO374" i="23" s="1"/>
  <c r="AP374" i="23" s="1"/>
  <c r="AQ374" i="23" s="1"/>
  <c r="AR374" i="23" s="1"/>
  <c r="AS374" i="23" s="1"/>
  <c r="AT374" i="23" s="1"/>
  <c r="AC374" i="23"/>
  <c r="AL4" i="23"/>
  <c r="AM4" i="23" s="1"/>
  <c r="AN4" i="23" s="1"/>
  <c r="AO4" i="23" s="1"/>
  <c r="AP4" i="23" s="1"/>
  <c r="AQ4" i="23" s="1"/>
  <c r="AR4" i="23" s="1"/>
  <c r="AS4" i="23" s="1"/>
  <c r="AT4" i="23" s="1"/>
  <c r="AB4" i="23"/>
  <c r="AL22" i="23"/>
  <c r="AM22" i="23" s="1"/>
  <c r="AN22" i="23" s="1"/>
  <c r="AO22" i="23" s="1"/>
  <c r="AP22" i="23" s="1"/>
  <c r="AQ22" i="23" s="1"/>
  <c r="AR22" i="23" s="1"/>
  <c r="AS22" i="23" s="1"/>
  <c r="AT22" i="23" s="1"/>
  <c r="AB22" i="23"/>
  <c r="AL33" i="23"/>
  <c r="AM33" i="23" s="1"/>
  <c r="AN33" i="23" s="1"/>
  <c r="AO33" i="23" s="1"/>
  <c r="AP33" i="23" s="1"/>
  <c r="AQ33" i="23" s="1"/>
  <c r="AR33" i="23" s="1"/>
  <c r="AS33" i="23" s="1"/>
  <c r="AT33" i="23" s="1"/>
  <c r="AB33" i="23"/>
  <c r="AM364" i="23"/>
  <c r="AN364" i="23" s="1"/>
  <c r="AO364" i="23" s="1"/>
  <c r="AP364" i="23" s="1"/>
  <c r="AQ364" i="23" s="1"/>
  <c r="AR364" i="23" s="1"/>
  <c r="AS364" i="23" s="1"/>
  <c r="AT364" i="23" s="1"/>
  <c r="AC364" i="23"/>
  <c r="E11" i="16" s="1"/>
  <c r="AR329" i="23"/>
  <c r="AS329" i="23" s="1"/>
  <c r="AT329" i="23" s="1"/>
  <c r="AH329" i="23"/>
  <c r="AL11" i="23"/>
  <c r="AM11" i="23" s="1"/>
  <c r="AN11" i="23" s="1"/>
  <c r="AO11" i="23" s="1"/>
  <c r="AP11" i="23" s="1"/>
  <c r="AQ11" i="23" s="1"/>
  <c r="AR11" i="23" s="1"/>
  <c r="AS11" i="23" s="1"/>
  <c r="AT11" i="23" s="1"/>
  <c r="AB11" i="23"/>
  <c r="AL29" i="23"/>
  <c r="AM29" i="23" s="1"/>
  <c r="AN29" i="23" s="1"/>
  <c r="AO29" i="23" s="1"/>
  <c r="AP29" i="23" s="1"/>
  <c r="AQ29" i="23" s="1"/>
  <c r="AR29" i="23" s="1"/>
  <c r="AS29" i="23" s="1"/>
  <c r="AT29" i="23" s="1"/>
  <c r="AB29" i="23"/>
  <c r="AL17" i="23"/>
  <c r="AM17" i="23" s="1"/>
  <c r="AN17" i="23" s="1"/>
  <c r="AO17" i="23" s="1"/>
  <c r="AP17" i="23" s="1"/>
  <c r="AQ17" i="23" s="1"/>
  <c r="AR17" i="23" s="1"/>
  <c r="AS17" i="23" s="1"/>
  <c r="AT17" i="23" s="1"/>
  <c r="AB17" i="23"/>
  <c r="AT256" i="23"/>
  <c r="AJ256" i="23"/>
  <c r="AT302" i="23"/>
  <c r="AJ302" i="23"/>
  <c r="L6" i="16" s="1"/>
  <c r="AT254" i="23"/>
  <c r="AJ254" i="23"/>
  <c r="L10" i="16" s="1"/>
  <c r="AT357" i="23"/>
  <c r="AJ357" i="23"/>
  <c r="AL26" i="23"/>
  <c r="AM26" i="23" s="1"/>
  <c r="AN26" i="23" s="1"/>
  <c r="AO26" i="23" s="1"/>
  <c r="AP26" i="23" s="1"/>
  <c r="AQ26" i="23" s="1"/>
  <c r="AR26" i="23" s="1"/>
  <c r="AS26" i="23" s="1"/>
  <c r="AT26" i="23" s="1"/>
  <c r="AB26" i="23"/>
  <c r="AL24" i="23"/>
  <c r="AM24" i="23" s="1"/>
  <c r="AN24" i="23" s="1"/>
  <c r="AO24" i="23" s="1"/>
  <c r="AP24" i="23" s="1"/>
  <c r="AQ24" i="23" s="1"/>
  <c r="AR24" i="23" s="1"/>
  <c r="AS24" i="23" s="1"/>
  <c r="AT24" i="23" s="1"/>
  <c r="AB24" i="23"/>
  <c r="AL12" i="23"/>
  <c r="AM12" i="23" s="1"/>
  <c r="AN12" i="23" s="1"/>
  <c r="AO12" i="23" s="1"/>
  <c r="AP12" i="23" s="1"/>
  <c r="AQ12" i="23" s="1"/>
  <c r="AR12" i="23" s="1"/>
  <c r="AS12" i="23" s="1"/>
  <c r="AT12" i="23" s="1"/>
  <c r="AB12" i="23"/>
  <c r="AO363" i="23"/>
  <c r="AP363" i="23" s="1"/>
  <c r="AQ363" i="23" s="1"/>
  <c r="AR363" i="23" s="1"/>
  <c r="AS363" i="23" s="1"/>
  <c r="AT363" i="23" s="1"/>
  <c r="AE363" i="23"/>
  <c r="G11" i="16" s="1"/>
  <c r="AL25" i="23"/>
  <c r="AM25" i="23" s="1"/>
  <c r="AN25" i="23" s="1"/>
  <c r="AO25" i="23" s="1"/>
  <c r="AP25" i="23" s="1"/>
  <c r="AQ25" i="23" s="1"/>
  <c r="AR25" i="23" s="1"/>
  <c r="AS25" i="23" s="1"/>
  <c r="AT25" i="23" s="1"/>
  <c r="AB25" i="23"/>
  <c r="AL58" i="23"/>
  <c r="AM58" i="23" s="1"/>
  <c r="AN58" i="23" s="1"/>
  <c r="AO58" i="23" s="1"/>
  <c r="AP58" i="23" s="1"/>
  <c r="AQ58" i="23" s="1"/>
  <c r="AR58" i="23" s="1"/>
  <c r="AS58" i="23" s="1"/>
  <c r="AT58" i="23" s="1"/>
  <c r="AB58" i="23"/>
  <c r="AT257" i="23"/>
  <c r="AJ257" i="23"/>
  <c r="AR288" i="23"/>
  <c r="AS288" i="23" s="1"/>
  <c r="AT288" i="23" s="1"/>
  <c r="AH288" i="23"/>
  <c r="J6" i="16" s="1"/>
  <c r="AM372" i="23"/>
  <c r="AN372" i="23" s="1"/>
  <c r="AO372" i="23" s="1"/>
  <c r="AP372" i="23" s="1"/>
  <c r="AQ372" i="23" s="1"/>
  <c r="AR372" i="23" s="1"/>
  <c r="AS372" i="23" s="1"/>
  <c r="AT372" i="23" s="1"/>
  <c r="AC372" i="23"/>
  <c r="AL35" i="23"/>
  <c r="AM35" i="23" s="1"/>
  <c r="AN35" i="23" s="1"/>
  <c r="AO35" i="23" s="1"/>
  <c r="AP35" i="23" s="1"/>
  <c r="AQ35" i="23" s="1"/>
  <c r="AR35" i="23" s="1"/>
  <c r="AS35" i="23" s="1"/>
  <c r="AT35" i="23" s="1"/>
  <c r="AB35" i="23"/>
  <c r="AL13" i="23"/>
  <c r="AM13" i="23" s="1"/>
  <c r="AN13" i="23" s="1"/>
  <c r="AO13" i="23" s="1"/>
  <c r="AP13" i="23" s="1"/>
  <c r="AQ13" i="23" s="1"/>
  <c r="AR13" i="23" s="1"/>
  <c r="AS13" i="23" s="1"/>
  <c r="AT13" i="23" s="1"/>
  <c r="AB13" i="23"/>
  <c r="AL39" i="23"/>
  <c r="AM39" i="23" s="1"/>
  <c r="AN39" i="23" s="1"/>
  <c r="AO39" i="23" s="1"/>
  <c r="AP39" i="23" s="1"/>
  <c r="AQ39" i="23" s="1"/>
  <c r="AR39" i="23" s="1"/>
  <c r="AS39" i="23" s="1"/>
  <c r="AT39" i="23" s="1"/>
  <c r="AB39" i="23"/>
  <c r="AR362" i="23"/>
  <c r="AS362" i="23" s="1"/>
  <c r="AT362" i="23" s="1"/>
  <c r="AH362" i="23"/>
  <c r="AM373" i="23"/>
  <c r="AN373" i="23" s="1"/>
  <c r="AO373" i="23" s="1"/>
  <c r="AP373" i="23" s="1"/>
  <c r="AQ373" i="23" s="1"/>
  <c r="AR373" i="23" s="1"/>
  <c r="AS373" i="23" s="1"/>
  <c r="AT373" i="23" s="1"/>
  <c r="AC373" i="23"/>
  <c r="AL40" i="23"/>
  <c r="AM40" i="23" s="1"/>
  <c r="AN40" i="23" s="1"/>
  <c r="AO40" i="23" s="1"/>
  <c r="AP40" i="23" s="1"/>
  <c r="AQ40" i="23" s="1"/>
  <c r="AR40" i="23" s="1"/>
  <c r="AS40" i="23" s="1"/>
  <c r="AT40" i="23" s="1"/>
  <c r="AB40" i="23"/>
  <c r="AL27" i="23"/>
  <c r="AM27" i="23" s="1"/>
  <c r="AN27" i="23" s="1"/>
  <c r="AO27" i="23" s="1"/>
  <c r="AP27" i="23" s="1"/>
  <c r="AQ27" i="23" s="1"/>
  <c r="AR27" i="23" s="1"/>
  <c r="AS27" i="23" s="1"/>
  <c r="AT27" i="23" s="1"/>
  <c r="AB27" i="23"/>
  <c r="AL2" i="23"/>
  <c r="AM2" i="23" s="1"/>
  <c r="AN2" i="23" s="1"/>
  <c r="AO2" i="23" s="1"/>
  <c r="AP2" i="23" s="1"/>
  <c r="AQ2" i="23" s="1"/>
  <c r="AR2" i="23" s="1"/>
  <c r="AS2" i="23" s="1"/>
  <c r="AT2" i="23" s="1"/>
  <c r="AB2" i="23"/>
  <c r="AR301" i="19"/>
  <c r="AS301" i="19" s="1"/>
  <c r="AT301" i="19" s="1"/>
  <c r="AR288" i="19"/>
  <c r="AS288" i="19" s="1"/>
  <c r="AT288" i="19" s="1"/>
  <c r="AS253" i="19"/>
  <c r="AT253" i="19" s="1"/>
  <c r="AT357" i="19"/>
  <c r="AM363" i="19"/>
  <c r="AN363" i="19" s="1"/>
  <c r="AO363" i="19" s="1"/>
  <c r="AP363" i="19" s="1"/>
  <c r="AQ363" i="19" s="1"/>
  <c r="AR363" i="19" s="1"/>
  <c r="AS363" i="19" s="1"/>
  <c r="AT363" i="19" s="1"/>
  <c r="AQ327" i="19"/>
  <c r="AR327" i="19" s="1"/>
  <c r="AS327" i="19" s="1"/>
  <c r="AT327" i="19" s="1"/>
  <c r="AR359" i="19"/>
  <c r="AS359" i="19" s="1"/>
  <c r="AL366" i="19"/>
  <c r="AM366" i="19" s="1"/>
  <c r="AN366" i="19" s="1"/>
  <c r="AO366" i="19" s="1"/>
  <c r="AP366" i="19" s="1"/>
  <c r="AQ366" i="19" s="1"/>
  <c r="AR366" i="19" s="1"/>
  <c r="AS366" i="19" s="1"/>
  <c r="AT366" i="19" s="1"/>
  <c r="AP344" i="19"/>
  <c r="AQ344" i="19" s="1"/>
  <c r="AR344" i="19" s="1"/>
  <c r="AS344" i="19" s="1"/>
  <c r="AT344" i="19" s="1"/>
  <c r="AT257" i="19"/>
  <c r="AR302" i="19"/>
  <c r="AS302" i="19" s="1"/>
  <c r="AJ302" i="19" s="1"/>
  <c r="AT264" i="19"/>
  <c r="AT259" i="19"/>
  <c r="AR362" i="19"/>
  <c r="AS362" i="19" s="1"/>
  <c r="AT362" i="19" s="1"/>
  <c r="AQ329" i="19"/>
  <c r="AR329" i="19" s="1"/>
  <c r="AS329" i="19" s="1"/>
  <c r="AT329" i="19" s="1"/>
  <c r="AM364" i="19"/>
  <c r="AN364" i="19" s="1"/>
  <c r="AO364" i="19" s="1"/>
  <c r="AP364" i="19" s="1"/>
  <c r="AQ364" i="19" s="1"/>
  <c r="AR364" i="19" s="1"/>
  <c r="AS364" i="19" s="1"/>
  <c r="AT364" i="19" s="1"/>
  <c r="AT260" i="19"/>
  <c r="AP347" i="19"/>
  <c r="AQ347" i="19" s="1"/>
  <c r="AR347" i="19" s="1"/>
  <c r="AS347" i="19" s="1"/>
  <c r="AT347" i="19" s="1"/>
  <c r="AT256" i="19"/>
  <c r="AQ328" i="19"/>
  <c r="AR328" i="19" s="1"/>
  <c r="AS328" i="19" s="1"/>
  <c r="AT328" i="19" s="1"/>
  <c r="AT358" i="19"/>
  <c r="AT303" i="19"/>
  <c r="AQ330" i="19"/>
  <c r="AR330" i="19" s="1"/>
  <c r="AS330" i="19" s="1"/>
  <c r="AT330" i="19" s="1"/>
  <c r="AP345" i="19"/>
  <c r="AQ345" i="19" s="1"/>
  <c r="AR345" i="19" s="1"/>
  <c r="AS345" i="19" s="1"/>
  <c r="AT345" i="19" s="1"/>
  <c r="H4" i="16"/>
  <c r="H73" i="22" s="1"/>
  <c r="AS254" i="19"/>
  <c r="AT254" i="19" s="1"/>
  <c r="K4" i="16"/>
  <c r="K73" i="22" s="1"/>
  <c r="AT258" i="19"/>
  <c r="AQ335" i="19"/>
  <c r="AR335" i="19" s="1"/>
  <c r="AS335" i="19" s="1"/>
  <c r="AT335" i="19" s="1"/>
  <c r="AQ336" i="19"/>
  <c r="AR336" i="19" s="1"/>
  <c r="AS336" i="19" s="1"/>
  <c r="AT336" i="19" s="1"/>
  <c r="AQ331" i="19"/>
  <c r="AR331" i="19" s="1"/>
  <c r="AS331" i="19" s="1"/>
  <c r="AT331" i="19" s="1"/>
  <c r="AM365" i="19"/>
  <c r="AN365" i="19" s="1"/>
  <c r="AO365" i="19" s="1"/>
  <c r="AP365" i="19" s="1"/>
  <c r="AQ365" i="19" s="1"/>
  <c r="AR365" i="19" s="1"/>
  <c r="AS365" i="19" s="1"/>
  <c r="AT365" i="19" s="1"/>
  <c r="AR361" i="19"/>
  <c r="AS361" i="19" s="1"/>
  <c r="AT361" i="19" s="1"/>
  <c r="AS255" i="19"/>
  <c r="AJ255" i="19" s="1"/>
  <c r="AT262" i="19"/>
  <c r="AP346" i="19"/>
  <c r="AQ346" i="19" s="1"/>
  <c r="AR346" i="19" s="1"/>
  <c r="AS346" i="19" s="1"/>
  <c r="AT346" i="19" s="1"/>
  <c r="AQ334" i="19"/>
  <c r="AR334" i="19" s="1"/>
  <c r="AS334" i="19" s="1"/>
  <c r="AT334" i="19" s="1"/>
  <c r="AR360" i="19"/>
  <c r="AS360" i="19" s="1"/>
  <c r="AT360" i="19" s="1"/>
  <c r="AT261" i="19"/>
  <c r="AT263" i="19"/>
  <c r="AT359" i="19"/>
  <c r="AQ332" i="19"/>
  <c r="AR332" i="19" s="1"/>
  <c r="AS332" i="19" s="1"/>
  <c r="AT332" i="19" s="1"/>
  <c r="AQ337" i="19"/>
  <c r="AR337" i="19" s="1"/>
  <c r="AS337" i="19" s="1"/>
  <c r="AT337" i="19" s="1"/>
  <c r="AR289" i="19"/>
  <c r="AS289" i="19" s="1"/>
  <c r="AT289" i="19" s="1"/>
  <c r="AQ333" i="19"/>
  <c r="AR333" i="19" s="1"/>
  <c r="AS333" i="19" s="1"/>
  <c r="AT333" i="19" s="1"/>
  <c r="AL368" i="19"/>
  <c r="AM368" i="19" s="1"/>
  <c r="AN368" i="19" s="1"/>
  <c r="AO368" i="19" s="1"/>
  <c r="AP368" i="19" s="1"/>
  <c r="AQ368" i="19" s="1"/>
  <c r="AR368" i="19" s="1"/>
  <c r="AS368" i="19" s="1"/>
  <c r="AT368" i="19" s="1"/>
  <c r="AL373" i="19"/>
  <c r="AM373" i="19" s="1"/>
  <c r="AN373" i="19" s="1"/>
  <c r="AO373" i="19" s="1"/>
  <c r="AP373" i="19" s="1"/>
  <c r="AQ373" i="19" s="1"/>
  <c r="AR373" i="19" s="1"/>
  <c r="AS373" i="19" s="1"/>
  <c r="AT373" i="19" s="1"/>
  <c r="AL370" i="19"/>
  <c r="AM370" i="19" s="1"/>
  <c r="AN370" i="19" s="1"/>
  <c r="AO370" i="19" s="1"/>
  <c r="AP370" i="19" s="1"/>
  <c r="AQ370" i="19" s="1"/>
  <c r="AR370" i="19" s="1"/>
  <c r="AS370" i="19" s="1"/>
  <c r="AT370" i="19" s="1"/>
  <c r="AL377" i="19"/>
  <c r="AM377" i="19" s="1"/>
  <c r="AN377" i="19" s="1"/>
  <c r="AO377" i="19" s="1"/>
  <c r="AP377" i="19" s="1"/>
  <c r="AQ377" i="19" s="1"/>
  <c r="AR377" i="19" s="1"/>
  <c r="AS377" i="19" s="1"/>
  <c r="AT377" i="19" s="1"/>
  <c r="AL372" i="19"/>
  <c r="AM372" i="19" s="1"/>
  <c r="AN372" i="19" s="1"/>
  <c r="AO372" i="19" s="1"/>
  <c r="AP372" i="19" s="1"/>
  <c r="AQ372" i="19" s="1"/>
  <c r="AR372" i="19" s="1"/>
  <c r="AS372" i="19" s="1"/>
  <c r="AT372" i="19" s="1"/>
  <c r="AL371" i="19"/>
  <c r="AM371" i="19" s="1"/>
  <c r="AN371" i="19" s="1"/>
  <c r="AO371" i="19" s="1"/>
  <c r="AP371" i="19" s="1"/>
  <c r="AQ371" i="19" s="1"/>
  <c r="AR371" i="19" s="1"/>
  <c r="AS371" i="19" s="1"/>
  <c r="AT371" i="19" s="1"/>
  <c r="AL369" i="19"/>
  <c r="AM369" i="19" s="1"/>
  <c r="AN369" i="19" s="1"/>
  <c r="AO369" i="19" s="1"/>
  <c r="AP369" i="19" s="1"/>
  <c r="AQ369" i="19" s="1"/>
  <c r="AR369" i="19" s="1"/>
  <c r="AS369" i="19" s="1"/>
  <c r="AT369" i="19" s="1"/>
  <c r="AL367" i="19"/>
  <c r="AM367" i="19" s="1"/>
  <c r="AN367" i="19" s="1"/>
  <c r="AO367" i="19" s="1"/>
  <c r="AP367" i="19" s="1"/>
  <c r="AQ367" i="19" s="1"/>
  <c r="AR367" i="19" s="1"/>
  <c r="AS367" i="19" s="1"/>
  <c r="AT367" i="19" s="1"/>
  <c r="D4" i="16"/>
  <c r="D73" i="22" s="1"/>
  <c r="U165" i="18"/>
  <c r="U233" i="18"/>
  <c r="U75" i="18"/>
  <c r="U62" i="18"/>
  <c r="U3" i="18"/>
  <c r="U110" i="18"/>
  <c r="U221" i="18"/>
  <c r="U270" i="18"/>
  <c r="U353" i="18"/>
  <c r="U94" i="18"/>
  <c r="U25" i="18"/>
  <c r="U328" i="18"/>
  <c r="U199" i="18"/>
  <c r="U256" i="18"/>
  <c r="U243" i="18"/>
  <c r="U254" i="18"/>
  <c r="U52" i="18"/>
  <c r="U90" i="18"/>
  <c r="U54" i="18"/>
  <c r="U209" i="18"/>
  <c r="U248" i="18"/>
  <c r="U149" i="18"/>
  <c r="U372" i="18"/>
  <c r="U123" i="18"/>
  <c r="U155" i="18"/>
  <c r="U210" i="18"/>
  <c r="U293" i="18"/>
  <c r="U226" i="18"/>
  <c r="U125" i="18"/>
  <c r="U189" i="18"/>
  <c r="U347" i="18"/>
  <c r="U187" i="18"/>
  <c r="U176" i="18"/>
  <c r="U259" i="18"/>
  <c r="U30" i="18"/>
  <c r="U211" i="18"/>
  <c r="U280" i="18"/>
  <c r="U216" i="18"/>
  <c r="U260" i="18"/>
  <c r="U241" i="18"/>
  <c r="U262" i="18"/>
  <c r="U290" i="18"/>
  <c r="U323" i="18"/>
  <c r="U104" i="18"/>
  <c r="U49" i="18"/>
  <c r="U156" i="18"/>
  <c r="U267" i="18"/>
  <c r="U200" i="18"/>
  <c r="U295" i="18"/>
  <c r="U279" i="18"/>
  <c r="U239" i="18"/>
  <c r="U47" i="18"/>
  <c r="U207" i="18"/>
  <c r="U217" i="18"/>
  <c r="U91" i="18"/>
  <c r="U342" i="18"/>
  <c r="U289" i="18"/>
  <c r="U23" i="18"/>
  <c r="U371" i="18"/>
  <c r="U85" i="18"/>
  <c r="U244" i="18"/>
  <c r="U339" i="18"/>
  <c r="U330" i="18"/>
  <c r="U366" i="18"/>
  <c r="U8" i="18"/>
  <c r="U28" i="18"/>
  <c r="U113" i="18"/>
  <c r="C35" i="16"/>
  <c r="C47" i="16" s="1"/>
  <c r="U84" i="18"/>
  <c r="U257" i="18"/>
  <c r="U157" i="18"/>
  <c r="U309" i="18"/>
  <c r="U192" i="18"/>
  <c r="U71" i="18"/>
  <c r="U203" i="18"/>
  <c r="U163" i="18"/>
  <c r="U340" i="18"/>
  <c r="U136" i="18"/>
  <c r="U18" i="18"/>
  <c r="U115" i="18"/>
  <c r="U161" i="18"/>
  <c r="U307" i="18"/>
  <c r="U337" i="18"/>
  <c r="U281" i="18"/>
  <c r="U58" i="18"/>
  <c r="U367" i="18"/>
  <c r="U202" i="18"/>
  <c r="U253" i="18"/>
  <c r="U172" i="18"/>
  <c r="U252" i="18"/>
  <c r="U150" i="18"/>
  <c r="U118" i="18"/>
  <c r="U231" i="18"/>
  <c r="U327" i="18"/>
  <c r="U332" i="18"/>
  <c r="U331" i="18"/>
  <c r="U268" i="18"/>
  <c r="U310" i="18"/>
  <c r="U69" i="18"/>
  <c r="U356" i="18"/>
  <c r="U73" i="18"/>
  <c r="U373" i="18"/>
  <c r="U35" i="18"/>
  <c r="U197" i="18"/>
  <c r="U322" i="18"/>
  <c r="U106" i="18"/>
  <c r="U168" i="18"/>
  <c r="U77" i="18"/>
  <c r="U128" i="18"/>
  <c r="U67" i="18"/>
  <c r="U22" i="18"/>
  <c r="U107" i="18"/>
  <c r="U234" i="18"/>
  <c r="U264" i="18"/>
  <c r="U93" i="18"/>
  <c r="U138" i="18"/>
  <c r="U370" i="18"/>
  <c r="U170" i="18"/>
  <c r="U335" i="18"/>
  <c r="U50" i="18"/>
  <c r="U114" i="18"/>
  <c r="U129" i="18"/>
  <c r="U365" i="18"/>
  <c r="U263" i="18"/>
  <c r="U191" i="18"/>
  <c r="U275" i="18"/>
  <c r="U240" i="18"/>
  <c r="U338" i="18"/>
  <c r="U225" i="18"/>
  <c r="U333" i="18"/>
  <c r="U119" i="18"/>
  <c r="U273" i="18"/>
  <c r="U116" i="18"/>
  <c r="U21" i="18"/>
  <c r="U99" i="18"/>
  <c r="U358" i="18"/>
  <c r="U355" i="18"/>
  <c r="U360" i="18"/>
  <c r="U86" i="18"/>
  <c r="U36" i="18"/>
  <c r="U297" i="18"/>
  <c r="U320" i="18"/>
  <c r="U81" i="18"/>
  <c r="U230" i="18"/>
  <c r="U206" i="18"/>
  <c r="U68" i="18"/>
  <c r="U63" i="18"/>
  <c r="U178" i="18"/>
  <c r="U179" i="18"/>
  <c r="U193" i="18"/>
  <c r="U219" i="18"/>
  <c r="U177" i="18"/>
  <c r="U137" i="18"/>
  <c r="U208" i="18"/>
  <c r="U27" i="18"/>
  <c r="U214" i="18"/>
  <c r="U352" i="18"/>
  <c r="U286" i="18"/>
  <c r="U215" i="18"/>
  <c r="U131" i="18"/>
  <c r="U336" i="18"/>
  <c r="U87" i="18"/>
  <c r="U284" i="18"/>
  <c r="U158" i="18"/>
  <c r="U313" i="18"/>
  <c r="U12" i="18"/>
  <c r="U16" i="18"/>
  <c r="U33" i="18"/>
  <c r="U326" i="18"/>
  <c r="U14" i="18"/>
  <c r="U220" i="18"/>
  <c r="U160" i="18"/>
  <c r="U223" i="18"/>
  <c r="U37" i="18"/>
  <c r="U329" i="18"/>
  <c r="C70" i="22"/>
  <c r="C96" i="22" s="1"/>
  <c r="B19" i="22"/>
  <c r="D8" i="4"/>
  <c r="AD9" i="4" s="1"/>
  <c r="D14" i="4"/>
  <c r="AD15" i="4" s="1"/>
  <c r="D20" i="4"/>
  <c r="AD21" i="4" s="1"/>
  <c r="D26" i="4"/>
  <c r="AD27" i="4" s="1"/>
  <c r="D32" i="4"/>
  <c r="AD33" i="4" s="1"/>
  <c r="D38" i="4"/>
  <c r="AD39" i="4" s="1"/>
  <c r="D44" i="4"/>
  <c r="AD45" i="4" s="1"/>
  <c r="D7" i="4"/>
  <c r="AD8" i="4" s="1"/>
  <c r="D13" i="4"/>
  <c r="AD14" i="4" s="1"/>
  <c r="D19" i="4"/>
  <c r="AD20" i="4" s="1"/>
  <c r="D25" i="4"/>
  <c r="AD26" i="4" s="1"/>
  <c r="D31" i="4"/>
  <c r="AD32" i="4" s="1"/>
  <c r="D37" i="4"/>
  <c r="AD38" i="4" s="1"/>
  <c r="D43" i="4"/>
  <c r="AD44" i="4" s="1"/>
  <c r="D6" i="4"/>
  <c r="AD7" i="4" s="1"/>
  <c r="D12" i="4"/>
  <c r="AD13" i="4" s="1"/>
  <c r="D18" i="4"/>
  <c r="AD19" i="4" s="1"/>
  <c r="D24" i="4"/>
  <c r="AD25" i="4" s="1"/>
  <c r="D30" i="4"/>
  <c r="AD31" i="4" s="1"/>
  <c r="D36" i="4"/>
  <c r="AD37" i="4" s="1"/>
  <c r="D42" i="4"/>
  <c r="AD43" i="4" s="1"/>
  <c r="D5" i="4"/>
  <c r="AD6" i="4" s="1"/>
  <c r="D11" i="4"/>
  <c r="AD12" i="4" s="1"/>
  <c r="D17" i="4"/>
  <c r="AD18" i="4" s="1"/>
  <c r="D23" i="4"/>
  <c r="AD24" i="4" s="1"/>
  <c r="D29" i="4"/>
  <c r="AD30" i="4" s="1"/>
  <c r="D35" i="4"/>
  <c r="AD36" i="4" s="1"/>
  <c r="D41" i="4"/>
  <c r="AD42" i="4" s="1"/>
  <c r="D2" i="4"/>
  <c r="AD3" i="4" s="1"/>
  <c r="D4" i="4"/>
  <c r="AD5" i="4" s="1"/>
  <c r="D10" i="4"/>
  <c r="AD11" i="4" s="1"/>
  <c r="D16" i="4"/>
  <c r="AD17" i="4" s="1"/>
  <c r="D22" i="4"/>
  <c r="AD23" i="4" s="1"/>
  <c r="D28" i="4"/>
  <c r="AD29" i="4" s="1"/>
  <c r="D34" i="4"/>
  <c r="AD35" i="4" s="1"/>
  <c r="D40" i="4"/>
  <c r="AD41" i="4" s="1"/>
  <c r="D3" i="4"/>
  <c r="AD4" i="4" s="1"/>
  <c r="D9" i="4"/>
  <c r="AD10" i="4" s="1"/>
  <c r="D15" i="4"/>
  <c r="AD16" i="4" s="1"/>
  <c r="D21" i="4"/>
  <c r="AD22" i="4" s="1"/>
  <c r="D27" i="4"/>
  <c r="AD28" i="4" s="1"/>
  <c r="D33" i="4"/>
  <c r="AD34" i="4" s="1"/>
  <c r="D39" i="4"/>
  <c r="AD40" i="4" s="1"/>
  <c r="AE165" i="18"/>
  <c r="AE163" i="18"/>
  <c r="D2" i="16"/>
  <c r="R1" i="4"/>
  <c r="AD2" i="4"/>
  <c r="B4" i="4"/>
  <c r="AP14" i="4" s="1"/>
  <c r="AR1" i="4"/>
  <c r="BF1" i="4" s="1"/>
  <c r="C4" i="4"/>
  <c r="L7" i="16" l="1"/>
  <c r="D7" i="16"/>
  <c r="I10" i="16"/>
  <c r="H11" i="16"/>
  <c r="J11" i="16"/>
  <c r="B6" i="16"/>
  <c r="E10" i="16"/>
  <c r="D10" i="16"/>
  <c r="J10" i="16"/>
  <c r="D9" i="16"/>
  <c r="AT255" i="19"/>
  <c r="AT302" i="19"/>
  <c r="I4" i="16"/>
  <c r="I73" i="22" s="1"/>
  <c r="J4" i="16"/>
  <c r="J73" i="22" s="1"/>
  <c r="L4" i="16"/>
  <c r="L73" i="22" s="1"/>
  <c r="E4" i="16"/>
  <c r="E73" i="22" s="1"/>
  <c r="C33" i="11"/>
  <c r="C36" i="21"/>
  <c r="C45" i="11"/>
  <c r="C48" i="24"/>
  <c r="C48" i="21"/>
  <c r="C48" i="16"/>
  <c r="C36" i="16"/>
  <c r="C36" i="24"/>
  <c r="D35" i="16"/>
  <c r="D47" i="16" s="1"/>
  <c r="E32" i="4"/>
  <c r="AE33" i="4" s="1"/>
  <c r="E44" i="4"/>
  <c r="AE45" i="4" s="1"/>
  <c r="E8" i="4"/>
  <c r="AE9" i="4" s="1"/>
  <c r="E14" i="4"/>
  <c r="AE15" i="4" s="1"/>
  <c r="E20" i="4"/>
  <c r="AE21" i="4" s="1"/>
  <c r="E26" i="4"/>
  <c r="AE27" i="4" s="1"/>
  <c r="E38" i="4"/>
  <c r="AE39" i="4" s="1"/>
  <c r="E43" i="4"/>
  <c r="AE44" i="4" s="1"/>
  <c r="E7" i="4"/>
  <c r="AE8" i="4" s="1"/>
  <c r="E13" i="4"/>
  <c r="AE14" i="4" s="1"/>
  <c r="E19" i="4"/>
  <c r="AE20" i="4" s="1"/>
  <c r="E25" i="4"/>
  <c r="AE26" i="4" s="1"/>
  <c r="E31" i="4"/>
  <c r="AE32" i="4" s="1"/>
  <c r="E37" i="4"/>
  <c r="AE38" i="4" s="1"/>
  <c r="E39" i="4"/>
  <c r="AE40" i="4" s="1"/>
  <c r="E6" i="4"/>
  <c r="AE7" i="4" s="1"/>
  <c r="E12" i="4"/>
  <c r="AE13" i="4" s="1"/>
  <c r="E18" i="4"/>
  <c r="AE19" i="4" s="1"/>
  <c r="E24" i="4"/>
  <c r="AE25" i="4" s="1"/>
  <c r="E30" i="4"/>
  <c r="AE31" i="4" s="1"/>
  <c r="E36" i="4"/>
  <c r="AE37" i="4" s="1"/>
  <c r="E42" i="4"/>
  <c r="AE43" i="4" s="1"/>
  <c r="E27" i="4"/>
  <c r="AE28" i="4" s="1"/>
  <c r="E21" i="4"/>
  <c r="AE22" i="4" s="1"/>
  <c r="E5" i="4"/>
  <c r="AE6" i="4" s="1"/>
  <c r="E11" i="4"/>
  <c r="AE12" i="4" s="1"/>
  <c r="E17" i="4"/>
  <c r="AE18" i="4" s="1"/>
  <c r="E23" i="4"/>
  <c r="AE24" i="4" s="1"/>
  <c r="E29" i="4"/>
  <c r="AE30" i="4" s="1"/>
  <c r="E35" i="4"/>
  <c r="AE36" i="4" s="1"/>
  <c r="E41" i="4"/>
  <c r="AE42" i="4" s="1"/>
  <c r="E15" i="4"/>
  <c r="AE16" i="4" s="1"/>
  <c r="E4" i="4"/>
  <c r="AE5" i="4" s="1"/>
  <c r="E10" i="4"/>
  <c r="AE11" i="4" s="1"/>
  <c r="E16" i="4"/>
  <c r="AE17" i="4" s="1"/>
  <c r="E22" i="4"/>
  <c r="AE23" i="4" s="1"/>
  <c r="E28" i="4"/>
  <c r="AE29" i="4" s="1"/>
  <c r="E34" i="4"/>
  <c r="AE35" i="4" s="1"/>
  <c r="E40" i="4"/>
  <c r="AE41" i="4" s="1"/>
  <c r="E3" i="4"/>
  <c r="AE4" i="4" s="1"/>
  <c r="E33" i="4"/>
  <c r="AE34" i="4" s="1"/>
  <c r="E2" i="4"/>
  <c r="AE3" i="4" s="1"/>
  <c r="E9" i="4"/>
  <c r="AE10" i="4" s="1"/>
  <c r="V324" i="18"/>
  <c r="AF324" i="18" s="1"/>
  <c r="V122" i="18"/>
  <c r="AF122" i="18" s="1"/>
  <c r="V357" i="18"/>
  <c r="AF357" i="18" s="1"/>
  <c r="V87" i="18"/>
  <c r="AF87" i="18" s="1"/>
  <c r="V321" i="18"/>
  <c r="AF321" i="18" s="1"/>
  <c r="V2" i="18"/>
  <c r="V227" i="18"/>
  <c r="AF227" i="18" s="1"/>
  <c r="V64" i="18"/>
  <c r="AF64" i="18" s="1"/>
  <c r="V180" i="18"/>
  <c r="AF180" i="18" s="1"/>
  <c r="V153" i="18"/>
  <c r="AF153" i="18" s="1"/>
  <c r="V129" i="18"/>
  <c r="AF129" i="18" s="1"/>
  <c r="V343" i="18"/>
  <c r="AF343" i="18" s="1"/>
  <c r="V196" i="18"/>
  <c r="AF196" i="18" s="1"/>
  <c r="V6" i="18"/>
  <c r="AF6" i="18" s="1"/>
  <c r="V271" i="18"/>
  <c r="AF271" i="18" s="1"/>
  <c r="V294" i="18"/>
  <c r="AF294" i="18" s="1"/>
  <c r="V173" i="18"/>
  <c r="AF173" i="18" s="1"/>
  <c r="V65" i="18"/>
  <c r="AF65" i="18" s="1"/>
  <c r="V263" i="18"/>
  <c r="AF263" i="18" s="1"/>
  <c r="V136" i="18"/>
  <c r="AF136" i="18" s="1"/>
  <c r="V175" i="18"/>
  <c r="AF175" i="18" s="1"/>
  <c r="V174" i="18"/>
  <c r="AF174" i="18" s="1"/>
  <c r="V259" i="18"/>
  <c r="AF259" i="18" s="1"/>
  <c r="V60" i="18"/>
  <c r="AF60" i="18" s="1"/>
  <c r="V187" i="18"/>
  <c r="AF187" i="18" s="1"/>
  <c r="V313" i="18"/>
  <c r="AF313" i="18" s="1"/>
  <c r="V110" i="18"/>
  <c r="AF110" i="18" s="1"/>
  <c r="V374" i="18"/>
  <c r="AF374" i="18" s="1"/>
  <c r="V99" i="18"/>
  <c r="AF99" i="18" s="1"/>
  <c r="V311" i="18"/>
  <c r="AF311" i="18" s="1"/>
  <c r="V240" i="18"/>
  <c r="AF240" i="18" s="1"/>
  <c r="V197" i="18"/>
  <c r="AF197" i="18" s="1"/>
  <c r="V334" i="18"/>
  <c r="AF334" i="18" s="1"/>
  <c r="V117" i="18"/>
  <c r="AF117" i="18" s="1"/>
  <c r="V109" i="18"/>
  <c r="AF109" i="18" s="1"/>
  <c r="V189" i="18"/>
  <c r="AF189" i="18" s="1"/>
  <c r="V232" i="18"/>
  <c r="AF232" i="18" s="1"/>
  <c r="V8" i="18"/>
  <c r="AF8" i="18" s="1"/>
  <c r="V330" i="18"/>
  <c r="AF330" i="18" s="1"/>
  <c r="V13" i="18"/>
  <c r="AF13" i="18" s="1"/>
  <c r="V190" i="18"/>
  <c r="AF190" i="18" s="1"/>
  <c r="V306" i="18"/>
  <c r="AF306" i="18" s="1"/>
  <c r="V72" i="18"/>
  <c r="AF72" i="18" s="1"/>
  <c r="V155" i="18"/>
  <c r="AF155" i="18" s="1"/>
  <c r="V296" i="18"/>
  <c r="AF296" i="18" s="1"/>
  <c r="V297" i="18"/>
  <c r="AF297" i="18" s="1"/>
  <c r="V9" i="18"/>
  <c r="AF9" i="18" s="1"/>
  <c r="V95" i="18"/>
  <c r="AF95" i="18" s="1"/>
  <c r="V118" i="18"/>
  <c r="AF118" i="18" s="1"/>
  <c r="V223" i="18"/>
  <c r="AF223" i="18" s="1"/>
  <c r="V68" i="18"/>
  <c r="AF68" i="18" s="1"/>
  <c r="V151" i="18"/>
  <c r="AF151" i="18" s="1"/>
  <c r="V267" i="18"/>
  <c r="AF267" i="18" s="1"/>
  <c r="V199" i="18"/>
  <c r="AF199" i="18" s="1"/>
  <c r="V209" i="18"/>
  <c r="AF209" i="18" s="1"/>
  <c r="V322" i="18"/>
  <c r="AF322" i="18" s="1"/>
  <c r="V213" i="18"/>
  <c r="AF213" i="18" s="1"/>
  <c r="V141" i="18"/>
  <c r="AF141" i="18" s="1"/>
  <c r="V30" i="18"/>
  <c r="AF30" i="18" s="1"/>
  <c r="V291" i="18"/>
  <c r="AF291" i="18" s="1"/>
  <c r="V107" i="18"/>
  <c r="AF107" i="18" s="1"/>
  <c r="V94" i="18"/>
  <c r="AF94" i="18" s="1"/>
  <c r="V22" i="18"/>
  <c r="AF22" i="18" s="1"/>
  <c r="V266" i="18"/>
  <c r="AF266" i="18" s="1"/>
  <c r="V367" i="18"/>
  <c r="AF367" i="18" s="1"/>
  <c r="V81" i="18"/>
  <c r="AF81" i="18" s="1"/>
  <c r="V113" i="18"/>
  <c r="AF113" i="18" s="1"/>
  <c r="V145" i="18"/>
  <c r="AF145" i="18" s="1"/>
  <c r="V363" i="18"/>
  <c r="AF363" i="18" s="1"/>
  <c r="V114" i="18"/>
  <c r="AF114" i="18" s="1"/>
  <c r="V351" i="18"/>
  <c r="AF351" i="18" s="1"/>
  <c r="V214" i="18"/>
  <c r="AF214" i="18" s="1"/>
  <c r="V67" i="18"/>
  <c r="AF67" i="18" s="1"/>
  <c r="V278" i="18"/>
  <c r="AF278" i="18" s="1"/>
  <c r="V19" i="18"/>
  <c r="AF19" i="18" s="1"/>
  <c r="V290" i="18"/>
  <c r="AF290" i="18" s="1"/>
  <c r="V193" i="18"/>
  <c r="AF193" i="18" s="1"/>
  <c r="V264" i="18"/>
  <c r="AF264" i="18" s="1"/>
  <c r="V200" i="18"/>
  <c r="AF200" i="18" s="1"/>
  <c r="V250" i="18"/>
  <c r="AF250" i="18" s="1"/>
  <c r="V348" i="18"/>
  <c r="AF348" i="18" s="1"/>
  <c r="V184" i="18"/>
  <c r="AF184" i="18" s="1"/>
  <c r="V305" i="18"/>
  <c r="AF305" i="18" s="1"/>
  <c r="V235" i="18"/>
  <c r="AF235" i="18" s="1"/>
  <c r="V183" i="18"/>
  <c r="AF183" i="18" s="1"/>
  <c r="V105" i="18"/>
  <c r="AF105" i="18" s="1"/>
  <c r="V248" i="18"/>
  <c r="AF248" i="18" s="1"/>
  <c r="V93" i="18"/>
  <c r="AF93" i="18" s="1"/>
  <c r="V127" i="18"/>
  <c r="AF127" i="18" s="1"/>
  <c r="V45" i="18"/>
  <c r="AF45" i="18" s="1"/>
  <c r="V4" i="18"/>
  <c r="AF4" i="18" s="1"/>
  <c r="V285" i="18"/>
  <c r="AF285" i="18" s="1"/>
  <c r="V354" i="18"/>
  <c r="AF354" i="18" s="1"/>
  <c r="V336" i="18"/>
  <c r="AF336" i="18" s="1"/>
  <c r="V157" i="18"/>
  <c r="AF157" i="18" s="1"/>
  <c r="V205" i="18"/>
  <c r="AF205" i="18" s="1"/>
  <c r="V364" i="18"/>
  <c r="AF364" i="18" s="1"/>
  <c r="V356" i="18"/>
  <c r="AF356" i="18" s="1"/>
  <c r="V233" i="18"/>
  <c r="AF233" i="18" s="1"/>
  <c r="V159" i="18"/>
  <c r="AF159" i="18" s="1"/>
  <c r="V258" i="18"/>
  <c r="AF258" i="18" s="1"/>
  <c r="V176" i="18"/>
  <c r="AF176" i="18" s="1"/>
  <c r="V20" i="18"/>
  <c r="AF20" i="18" s="1"/>
  <c r="V302" i="18"/>
  <c r="AF302" i="18" s="1"/>
  <c r="V201" i="18"/>
  <c r="AF201" i="18" s="1"/>
  <c r="V28" i="18"/>
  <c r="AF28" i="18" s="1"/>
  <c r="V234" i="18"/>
  <c r="AF234" i="18" s="1"/>
  <c r="V222" i="18"/>
  <c r="AF222" i="18" s="1"/>
  <c r="V69" i="18"/>
  <c r="AF69" i="18" s="1"/>
  <c r="V126" i="18"/>
  <c r="AF126" i="18" s="1"/>
  <c r="V198" i="18"/>
  <c r="AF198" i="18" s="1"/>
  <c r="V125" i="18"/>
  <c r="AF125" i="18" s="1"/>
  <c r="V283" i="18"/>
  <c r="AF283" i="18" s="1"/>
  <c r="V5" i="18"/>
  <c r="AF5" i="18" s="1"/>
  <c r="V220" i="18"/>
  <c r="AF220" i="18" s="1"/>
  <c r="V275" i="18"/>
  <c r="AF275" i="18" s="1"/>
  <c r="V100" i="18"/>
  <c r="AF100" i="18" s="1"/>
  <c r="V202" i="18"/>
  <c r="AF202" i="18" s="1"/>
  <c r="V328" i="18"/>
  <c r="AF328" i="18" s="1"/>
  <c r="V103" i="18"/>
  <c r="AF103" i="18" s="1"/>
  <c r="V261" i="18"/>
  <c r="AF261" i="18" s="1"/>
  <c r="V238" i="18"/>
  <c r="AF238" i="18" s="1"/>
  <c r="V108" i="18"/>
  <c r="AF108" i="18" s="1"/>
  <c r="V268" i="18"/>
  <c r="AF268" i="18" s="1"/>
  <c r="V116" i="18"/>
  <c r="AF116" i="18" s="1"/>
  <c r="V308" i="18"/>
  <c r="AF308" i="18" s="1"/>
  <c r="V35" i="18"/>
  <c r="AF35" i="18" s="1"/>
  <c r="V345" i="18"/>
  <c r="AF345" i="18" s="1"/>
  <c r="V203" i="18"/>
  <c r="AF203" i="18" s="1"/>
  <c r="V255" i="18"/>
  <c r="AF255" i="18" s="1"/>
  <c r="V74" i="18"/>
  <c r="AF74" i="18" s="1"/>
  <c r="V38" i="18"/>
  <c r="AF38" i="18" s="1"/>
  <c r="V340" i="18"/>
  <c r="AF340" i="18" s="1"/>
  <c r="V21" i="18"/>
  <c r="AF21" i="18" s="1"/>
  <c r="V106" i="18"/>
  <c r="AF106" i="18" s="1"/>
  <c r="V36" i="18"/>
  <c r="AF36" i="18" s="1"/>
  <c r="V349" i="18"/>
  <c r="AF349" i="18" s="1"/>
  <c r="V165" i="18"/>
  <c r="AF165" i="18" s="1"/>
  <c r="V91" i="18"/>
  <c r="AF91" i="18" s="1"/>
  <c r="V339" i="18"/>
  <c r="AF339" i="18" s="1"/>
  <c r="V76" i="18"/>
  <c r="AF76" i="18" s="1"/>
  <c r="V80" i="18"/>
  <c r="AF80" i="18" s="1"/>
  <c r="V47" i="18"/>
  <c r="AF47" i="18" s="1"/>
  <c r="V287" i="18"/>
  <c r="AF287" i="18" s="1"/>
  <c r="V333" i="18"/>
  <c r="AF333" i="18" s="1"/>
  <c r="V23" i="18"/>
  <c r="AF23" i="18" s="1"/>
  <c r="V168" i="18"/>
  <c r="AF168" i="18" s="1"/>
  <c r="V245" i="18"/>
  <c r="AF245" i="18" s="1"/>
  <c r="V158" i="18"/>
  <c r="AF158" i="18" s="1"/>
  <c r="V41" i="18"/>
  <c r="AF41" i="18" s="1"/>
  <c r="V119" i="18"/>
  <c r="AF119" i="18" s="1"/>
  <c r="V140" i="18"/>
  <c r="AF140" i="18" s="1"/>
  <c r="V79" i="18"/>
  <c r="AF79" i="18" s="1"/>
  <c r="V301" i="18"/>
  <c r="AF301" i="18" s="1"/>
  <c r="V331" i="18"/>
  <c r="AF331" i="18" s="1"/>
  <c r="V319" i="18"/>
  <c r="AF319" i="18" s="1"/>
  <c r="V219" i="18"/>
  <c r="AF219" i="18" s="1"/>
  <c r="V231" i="18"/>
  <c r="AF231" i="18" s="1"/>
  <c r="V192" i="18"/>
  <c r="AF192" i="18" s="1"/>
  <c r="V352" i="18"/>
  <c r="AF352" i="18" s="1"/>
  <c r="V194" i="18"/>
  <c r="AF194" i="18" s="1"/>
  <c r="V27" i="18"/>
  <c r="AF27" i="18" s="1"/>
  <c r="V185" i="18"/>
  <c r="AF185" i="18" s="1"/>
  <c r="V318" i="18"/>
  <c r="AF318" i="18" s="1"/>
  <c r="V124" i="18"/>
  <c r="AF124" i="18" s="1"/>
  <c r="V210" i="18"/>
  <c r="AF210" i="18" s="1"/>
  <c r="V341" i="18"/>
  <c r="AF341" i="18" s="1"/>
  <c r="V375" i="18"/>
  <c r="AF375" i="18" s="1"/>
  <c r="V254" i="18"/>
  <c r="AF254" i="18" s="1"/>
  <c r="V128" i="18"/>
  <c r="AF128" i="18" s="1"/>
  <c r="V329" i="18"/>
  <c r="AF329" i="18" s="1"/>
  <c r="V224" i="18"/>
  <c r="AF224" i="18" s="1"/>
  <c r="V96" i="18"/>
  <c r="AF96" i="18" s="1"/>
  <c r="V90" i="18"/>
  <c r="AF90" i="18" s="1"/>
  <c r="V111" i="18"/>
  <c r="AF111" i="18" s="1"/>
  <c r="V350" i="18"/>
  <c r="AF350" i="18" s="1"/>
  <c r="V34" i="18"/>
  <c r="AF34" i="18" s="1"/>
  <c r="V327" i="18"/>
  <c r="AF327" i="18" s="1"/>
  <c r="V85" i="18"/>
  <c r="AF85" i="18" s="1"/>
  <c r="V366" i="18"/>
  <c r="AF366" i="18" s="1"/>
  <c r="V25" i="18"/>
  <c r="AF25" i="18" s="1"/>
  <c r="V252" i="18"/>
  <c r="AF252" i="18" s="1"/>
  <c r="V338" i="18"/>
  <c r="AF338" i="18" s="1"/>
  <c r="V98" i="18"/>
  <c r="AF98" i="18" s="1"/>
  <c r="V293" i="18"/>
  <c r="AF293" i="18" s="1"/>
  <c r="V249" i="18"/>
  <c r="AF249" i="18" s="1"/>
  <c r="V272" i="18"/>
  <c r="AF272" i="18" s="1"/>
  <c r="V347" i="18"/>
  <c r="AF347" i="18" s="1"/>
  <c r="V284" i="18"/>
  <c r="AF284" i="18" s="1"/>
  <c r="V273" i="18"/>
  <c r="AF273" i="18" s="1"/>
  <c r="V243" i="18"/>
  <c r="AF243" i="18" s="1"/>
  <c r="V373" i="18"/>
  <c r="AF373" i="18" s="1"/>
  <c r="V279" i="18"/>
  <c r="AF279" i="18" s="1"/>
  <c r="V82" i="18"/>
  <c r="AF82" i="18" s="1"/>
  <c r="V63" i="18"/>
  <c r="AF63" i="18" s="1"/>
  <c r="V368" i="18"/>
  <c r="AF368" i="18" s="1"/>
  <c r="V218" i="18"/>
  <c r="AF218" i="18" s="1"/>
  <c r="V66" i="18"/>
  <c r="AF66" i="18" s="1"/>
  <c r="V251" i="18"/>
  <c r="AF251" i="18" s="1"/>
  <c r="V150" i="18"/>
  <c r="AF150" i="18" s="1"/>
  <c r="V3" i="18"/>
  <c r="AF3" i="18" s="1"/>
  <c r="V134" i="18"/>
  <c r="AF134" i="18" s="1"/>
  <c r="V298" i="18"/>
  <c r="AF298" i="18" s="1"/>
  <c r="V376" i="18"/>
  <c r="AF376" i="18" s="1"/>
  <c r="V7" i="18"/>
  <c r="AF7" i="18" s="1"/>
  <c r="V40" i="18"/>
  <c r="AF40" i="18" s="1"/>
  <c r="V326" i="18"/>
  <c r="AF326" i="18" s="1"/>
  <c r="V92" i="18"/>
  <c r="AF92" i="18" s="1"/>
  <c r="V288" i="18"/>
  <c r="AF288" i="18" s="1"/>
  <c r="V236" i="18"/>
  <c r="AF236" i="18" s="1"/>
  <c r="V310" i="18"/>
  <c r="AF310" i="18" s="1"/>
  <c r="V314" i="18"/>
  <c r="AF314" i="18" s="1"/>
  <c r="V225" i="18"/>
  <c r="AF225" i="18" s="1"/>
  <c r="V269" i="18"/>
  <c r="AF269" i="18" s="1"/>
  <c r="V73" i="18"/>
  <c r="AF73" i="18" s="1"/>
  <c r="V242" i="18"/>
  <c r="AF242" i="18" s="1"/>
  <c r="V54" i="18"/>
  <c r="AF54" i="18" s="1"/>
  <c r="V211" i="18"/>
  <c r="AF211" i="18" s="1"/>
  <c r="V292" i="18"/>
  <c r="AF292" i="18" s="1"/>
  <c r="V48" i="18"/>
  <c r="AF48" i="18" s="1"/>
  <c r="V295" i="18"/>
  <c r="AF295" i="18" s="1"/>
  <c r="V97" i="18"/>
  <c r="AF97" i="18" s="1"/>
  <c r="V230" i="18"/>
  <c r="AF230" i="18" s="1"/>
  <c r="V257" i="18"/>
  <c r="AF257" i="18" s="1"/>
  <c r="V365" i="18"/>
  <c r="AF365" i="18" s="1"/>
  <c r="V207" i="18"/>
  <c r="AF207" i="18" s="1"/>
  <c r="V18" i="18"/>
  <c r="AF18" i="18" s="1"/>
  <c r="V55" i="18"/>
  <c r="AF55" i="18" s="1"/>
  <c r="V102" i="18"/>
  <c r="AF102" i="18" s="1"/>
  <c r="V244" i="18"/>
  <c r="AF244" i="18" s="1"/>
  <c r="V359" i="18"/>
  <c r="AF359" i="18" s="1"/>
  <c r="V142" i="18"/>
  <c r="AF142" i="18" s="1"/>
  <c r="V274" i="18"/>
  <c r="AF274" i="18" s="1"/>
  <c r="V325" i="18"/>
  <c r="AF325" i="18" s="1"/>
  <c r="V46" i="18"/>
  <c r="AF46" i="18" s="1"/>
  <c r="V353" i="18"/>
  <c r="AF353" i="18" s="1"/>
  <c r="V281" i="18"/>
  <c r="AF281" i="18" s="1"/>
  <c r="V253" i="18"/>
  <c r="AF253" i="18" s="1"/>
  <c r="V229" i="18"/>
  <c r="AF229" i="18" s="1"/>
  <c r="V167" i="18"/>
  <c r="AF167" i="18" s="1"/>
  <c r="V152" i="18"/>
  <c r="AF152" i="18" s="1"/>
  <c r="V132" i="18"/>
  <c r="AF132" i="18" s="1"/>
  <c r="V217" i="18"/>
  <c r="AF217" i="18" s="1"/>
  <c r="V172" i="18"/>
  <c r="AF172" i="18" s="1"/>
  <c r="V355" i="18"/>
  <c r="AF355" i="18" s="1"/>
  <c r="V316" i="18"/>
  <c r="AF316" i="18" s="1"/>
  <c r="V33" i="18"/>
  <c r="AF33" i="18" s="1"/>
  <c r="V221" i="18"/>
  <c r="AF221" i="18" s="1"/>
  <c r="V171" i="18"/>
  <c r="AF171" i="18" s="1"/>
  <c r="V277" i="18"/>
  <c r="AF277" i="18" s="1"/>
  <c r="V188" i="18"/>
  <c r="AF188" i="18" s="1"/>
  <c r="V57" i="18"/>
  <c r="AF57" i="18" s="1"/>
  <c r="V191" i="18"/>
  <c r="AF191" i="18" s="1"/>
  <c r="V215" i="18"/>
  <c r="AF215" i="18" s="1"/>
  <c r="V317" i="18"/>
  <c r="AF317" i="18" s="1"/>
  <c r="V17" i="18"/>
  <c r="AF17" i="18" s="1"/>
  <c r="V260" i="18"/>
  <c r="AF260" i="18" s="1"/>
  <c r="AE162" i="18"/>
  <c r="C3" i="11" s="1"/>
  <c r="V369" i="18"/>
  <c r="AF369" i="18" s="1"/>
  <c r="V15" i="18"/>
  <c r="AF15" i="18" s="1"/>
  <c r="V56" i="18"/>
  <c r="AF56" i="18" s="1"/>
  <c r="V346" i="18"/>
  <c r="AF346" i="18" s="1"/>
  <c r="V315" i="18"/>
  <c r="AF315" i="18" s="1"/>
  <c r="V37" i="18"/>
  <c r="AF37" i="18" s="1"/>
  <c r="V101" i="18"/>
  <c r="AF101" i="18" s="1"/>
  <c r="V50" i="18"/>
  <c r="AF50" i="18" s="1"/>
  <c r="V29" i="18"/>
  <c r="AF29" i="18" s="1"/>
  <c r="V164" i="18"/>
  <c r="AF164" i="18" s="1"/>
  <c r="V16" i="18"/>
  <c r="AF16" i="18" s="1"/>
  <c r="V216" i="18"/>
  <c r="AF216" i="18" s="1"/>
  <c r="V58" i="18"/>
  <c r="AF58" i="18" s="1"/>
  <c r="V195" i="18"/>
  <c r="AF195" i="18" s="1"/>
  <c r="V53" i="18"/>
  <c r="AF53" i="18" s="1"/>
  <c r="V86" i="18"/>
  <c r="AF86" i="18" s="1"/>
  <c r="V262" i="18"/>
  <c r="AF262" i="18" s="1"/>
  <c r="V371" i="18"/>
  <c r="AF371" i="18" s="1"/>
  <c r="V138" i="18"/>
  <c r="AF138" i="18" s="1"/>
  <c r="V344" i="18"/>
  <c r="AF344" i="18" s="1"/>
  <c r="V246" i="18"/>
  <c r="AF246" i="18" s="1"/>
  <c r="V154" i="18"/>
  <c r="AF154" i="18" s="1"/>
  <c r="V49" i="18"/>
  <c r="AF49" i="18" s="1"/>
  <c r="V156" i="18"/>
  <c r="AF156" i="18" s="1"/>
  <c r="V204" i="18"/>
  <c r="AF204" i="18" s="1"/>
  <c r="V146" i="18"/>
  <c r="AF146" i="18" s="1"/>
  <c r="V265" i="18"/>
  <c r="AF265" i="18" s="1"/>
  <c r="V181" i="18"/>
  <c r="AF181" i="18" s="1"/>
  <c r="V144" i="18"/>
  <c r="AF144" i="18" s="1"/>
  <c r="V286" i="18"/>
  <c r="AF286" i="18" s="1"/>
  <c r="V300" i="18"/>
  <c r="AF300" i="18" s="1"/>
  <c r="V162" i="18"/>
  <c r="V11" i="18"/>
  <c r="AF11" i="18" s="1"/>
  <c r="V51" i="18"/>
  <c r="AF51" i="18" s="1"/>
  <c r="V276" i="18"/>
  <c r="AF276" i="18" s="1"/>
  <c r="V303" i="18"/>
  <c r="AF303" i="18" s="1"/>
  <c r="V342" i="18"/>
  <c r="AF342" i="18" s="1"/>
  <c r="V335" i="18"/>
  <c r="AF335" i="18" s="1"/>
  <c r="V121" i="18"/>
  <c r="AF121" i="18" s="1"/>
  <c r="V179" i="18"/>
  <c r="AF179" i="18" s="1"/>
  <c r="V78" i="18"/>
  <c r="AF78" i="18" s="1"/>
  <c r="V39" i="18"/>
  <c r="AF39" i="18" s="1"/>
  <c r="V362" i="18"/>
  <c r="AF362" i="18" s="1"/>
  <c r="V70" i="18"/>
  <c r="AF70" i="18" s="1"/>
  <c r="V360" i="18"/>
  <c r="AF360" i="18" s="1"/>
  <c r="V44" i="18"/>
  <c r="AF44" i="18" s="1"/>
  <c r="V323" i="18"/>
  <c r="AF323" i="18" s="1"/>
  <c r="V166" i="18"/>
  <c r="AF166" i="18" s="1"/>
  <c r="V59" i="18"/>
  <c r="AF59" i="18" s="1"/>
  <c r="V32" i="18"/>
  <c r="AF32" i="18" s="1"/>
  <c r="V228" i="18"/>
  <c r="AF228" i="18" s="1"/>
  <c r="V10" i="18"/>
  <c r="AF10" i="18" s="1"/>
  <c r="V123" i="18"/>
  <c r="AF123" i="18" s="1"/>
  <c r="V280" i="18"/>
  <c r="AF280" i="18" s="1"/>
  <c r="V120" i="18"/>
  <c r="AF120" i="18" s="1"/>
  <c r="V372" i="18"/>
  <c r="AF372" i="18" s="1"/>
  <c r="V31" i="18"/>
  <c r="AF31" i="18" s="1"/>
  <c r="V61" i="18"/>
  <c r="AF61" i="18" s="1"/>
  <c r="V77" i="18"/>
  <c r="AF77" i="18" s="1"/>
  <c r="V237" i="18"/>
  <c r="AF237" i="18" s="1"/>
  <c r="V62" i="18"/>
  <c r="AF62" i="18" s="1"/>
  <c r="V358" i="18"/>
  <c r="AF358" i="18" s="1"/>
  <c r="V71" i="18"/>
  <c r="AF71" i="18" s="1"/>
  <c r="V226" i="18"/>
  <c r="AF226" i="18" s="1"/>
  <c r="V256" i="18"/>
  <c r="AF256" i="18" s="1"/>
  <c r="V42" i="18"/>
  <c r="AF42" i="18" s="1"/>
  <c r="V89" i="18"/>
  <c r="AF89" i="18" s="1"/>
  <c r="V208" i="18"/>
  <c r="AF208" i="18" s="1"/>
  <c r="V241" i="18"/>
  <c r="AF241" i="18" s="1"/>
  <c r="V143" i="18"/>
  <c r="AF143" i="18" s="1"/>
  <c r="V104" i="18"/>
  <c r="AF104" i="18" s="1"/>
  <c r="V137" i="18"/>
  <c r="AF137" i="18" s="1"/>
  <c r="V178" i="18"/>
  <c r="AF178" i="18" s="1"/>
  <c r="V186" i="18"/>
  <c r="AF186" i="18" s="1"/>
  <c r="V239" i="18"/>
  <c r="AF239" i="18" s="1"/>
  <c r="V133" i="18"/>
  <c r="AF133" i="18" s="1"/>
  <c r="V161" i="18"/>
  <c r="AF161" i="18" s="1"/>
  <c r="V337" i="18"/>
  <c r="AF337" i="18" s="1"/>
  <c r="V148" i="18"/>
  <c r="AF148" i="18" s="1"/>
  <c r="V282" i="18"/>
  <c r="AF282" i="18" s="1"/>
  <c r="V147" i="18"/>
  <c r="AF147" i="18" s="1"/>
  <c r="V112" i="18"/>
  <c r="AF112" i="18" s="1"/>
  <c r="V247" i="18"/>
  <c r="AF247" i="18" s="1"/>
  <c r="V88" i="18"/>
  <c r="AF88" i="18" s="1"/>
  <c r="V149" i="18"/>
  <c r="AF149" i="18" s="1"/>
  <c r="V270" i="18"/>
  <c r="AF270" i="18" s="1"/>
  <c r="V26" i="18"/>
  <c r="AF26" i="18" s="1"/>
  <c r="V139" i="18"/>
  <c r="AF139" i="18" s="1"/>
  <c r="V289" i="18"/>
  <c r="AF289" i="18" s="1"/>
  <c r="V370" i="18"/>
  <c r="AF370" i="18" s="1"/>
  <c r="V131" i="18"/>
  <c r="AF131" i="18" s="1"/>
  <c r="V83" i="18"/>
  <c r="AF83" i="18" s="1"/>
  <c r="V24" i="18"/>
  <c r="AF24" i="18" s="1"/>
  <c r="V135" i="18"/>
  <c r="AF135" i="18" s="1"/>
  <c r="V299" i="18"/>
  <c r="AF299" i="18" s="1"/>
  <c r="V75" i="18"/>
  <c r="AF75" i="18" s="1"/>
  <c r="V312" i="18"/>
  <c r="AF312" i="18" s="1"/>
  <c r="V206" i="18"/>
  <c r="AF206" i="18" s="1"/>
  <c r="V163" i="18"/>
  <c r="AF163" i="18" s="1"/>
  <c r="V177" i="18"/>
  <c r="AF177" i="18" s="1"/>
  <c r="V169" i="18"/>
  <c r="AF169" i="18" s="1"/>
  <c r="V130" i="18"/>
  <c r="AF130" i="18" s="1"/>
  <c r="V212" i="18"/>
  <c r="AF212" i="18" s="1"/>
  <c r="V361" i="18"/>
  <c r="AF361" i="18" s="1"/>
  <c r="V332" i="18"/>
  <c r="AF332" i="18" s="1"/>
  <c r="V84" i="18"/>
  <c r="AF84" i="18" s="1"/>
  <c r="V160" i="18"/>
  <c r="AF160" i="18" s="1"/>
  <c r="V43" i="18"/>
  <c r="AF43" i="18" s="1"/>
  <c r="V307" i="18"/>
  <c r="AF307" i="18" s="1"/>
  <c r="V14" i="18"/>
  <c r="AF14" i="18" s="1"/>
  <c r="V115" i="18"/>
  <c r="AF115" i="18" s="1"/>
  <c r="V182" i="18"/>
  <c r="AF182" i="18" s="1"/>
  <c r="V170" i="18"/>
  <c r="AF170" i="18" s="1"/>
  <c r="V12" i="18"/>
  <c r="AF12" i="18" s="1"/>
  <c r="V304" i="18"/>
  <c r="AF304" i="18" s="1"/>
  <c r="V52" i="18"/>
  <c r="AF52" i="18" s="1"/>
  <c r="V309" i="18"/>
  <c r="AF309" i="18" s="1"/>
  <c r="V320" i="18"/>
  <c r="AF320" i="18" s="1"/>
  <c r="D70" i="22"/>
  <c r="D96" i="22" s="1"/>
  <c r="E43" i="22"/>
  <c r="D19" i="22" s="1"/>
  <c r="E2" i="16"/>
  <c r="S1" i="4"/>
  <c r="AE2" i="4"/>
  <c r="B5" i="4"/>
  <c r="B6" i="4" s="1"/>
  <c r="B3" i="4"/>
  <c r="B2" i="4" s="1"/>
  <c r="P2" i="4" s="1"/>
  <c r="P26" i="4" s="1"/>
  <c r="AS1" i="4"/>
  <c r="AQ14" i="4"/>
  <c r="C3" i="4"/>
  <c r="C5" i="4"/>
  <c r="B10" i="16" l="1"/>
  <c r="D33" i="11"/>
  <c r="C48" i="22"/>
  <c r="D3" i="16"/>
  <c r="D46" i="22" s="1"/>
  <c r="D48" i="21"/>
  <c r="D3" i="21"/>
  <c r="D49" i="22" s="1"/>
  <c r="D3" i="11"/>
  <c r="D48" i="22" s="1"/>
  <c r="D36" i="16"/>
  <c r="D48" i="16"/>
  <c r="D3" i="24"/>
  <c r="D47" i="22" s="1"/>
  <c r="D36" i="24"/>
  <c r="D45" i="11"/>
  <c r="D36" i="21"/>
  <c r="D48" i="24"/>
  <c r="E35" i="16"/>
  <c r="E47" i="16" s="1"/>
  <c r="AF2" i="18"/>
  <c r="F3" i="4"/>
  <c r="AF4" i="4" s="1"/>
  <c r="F9" i="4"/>
  <c r="AF10" i="4" s="1"/>
  <c r="F15" i="4"/>
  <c r="AF16" i="4" s="1"/>
  <c r="F21" i="4"/>
  <c r="AF22" i="4" s="1"/>
  <c r="F27" i="4"/>
  <c r="AF28" i="4" s="1"/>
  <c r="F33" i="4"/>
  <c r="AF34" i="4" s="1"/>
  <c r="F39" i="4"/>
  <c r="AF40" i="4" s="1"/>
  <c r="F8" i="4"/>
  <c r="AF9" i="4" s="1"/>
  <c r="F14" i="4"/>
  <c r="AF15" i="4" s="1"/>
  <c r="F20" i="4"/>
  <c r="AF21" i="4" s="1"/>
  <c r="F26" i="4"/>
  <c r="AF27" i="4" s="1"/>
  <c r="F32" i="4"/>
  <c r="AF33" i="4" s="1"/>
  <c r="F38" i="4"/>
  <c r="AF39" i="4" s="1"/>
  <c r="F44" i="4"/>
  <c r="AF45" i="4" s="1"/>
  <c r="F2" i="4"/>
  <c r="AF3" i="4" s="1"/>
  <c r="F7" i="4"/>
  <c r="AF8" i="4" s="1"/>
  <c r="F13" i="4"/>
  <c r="AF14" i="4" s="1"/>
  <c r="F19" i="4"/>
  <c r="AF20" i="4" s="1"/>
  <c r="F25" i="4"/>
  <c r="AF26" i="4" s="1"/>
  <c r="F31" i="4"/>
  <c r="AF32" i="4" s="1"/>
  <c r="F37" i="4"/>
  <c r="AF38" i="4" s="1"/>
  <c r="F43" i="4"/>
  <c r="AF44" i="4" s="1"/>
  <c r="F6" i="4"/>
  <c r="AF7" i="4" s="1"/>
  <c r="F12" i="4"/>
  <c r="AF13" i="4" s="1"/>
  <c r="F18" i="4"/>
  <c r="AF19" i="4" s="1"/>
  <c r="F24" i="4"/>
  <c r="AF25" i="4" s="1"/>
  <c r="F30" i="4"/>
  <c r="AF31" i="4" s="1"/>
  <c r="F36" i="4"/>
  <c r="AF37" i="4" s="1"/>
  <c r="F42" i="4"/>
  <c r="AF43" i="4" s="1"/>
  <c r="F5" i="4"/>
  <c r="AF6" i="4" s="1"/>
  <c r="F11" i="4"/>
  <c r="AF12" i="4" s="1"/>
  <c r="F17" i="4"/>
  <c r="AF18" i="4" s="1"/>
  <c r="F23" i="4"/>
  <c r="AF24" i="4" s="1"/>
  <c r="F29" i="4"/>
  <c r="AF30" i="4" s="1"/>
  <c r="F35" i="4"/>
  <c r="AF36" i="4" s="1"/>
  <c r="F41" i="4"/>
  <c r="AF42" i="4" s="1"/>
  <c r="F4" i="4"/>
  <c r="AF5" i="4" s="1"/>
  <c r="F10" i="4"/>
  <c r="AF11" i="4" s="1"/>
  <c r="F16" i="4"/>
  <c r="AF17" i="4" s="1"/>
  <c r="F22" i="4"/>
  <c r="AF23" i="4" s="1"/>
  <c r="F28" i="4"/>
  <c r="AF29" i="4" s="1"/>
  <c r="F34" i="4"/>
  <c r="AF35" i="4" s="1"/>
  <c r="F40" i="4"/>
  <c r="AF41" i="4" s="1"/>
  <c r="W343" i="18"/>
  <c r="AG343" i="18" s="1"/>
  <c r="W75" i="18"/>
  <c r="AG75" i="18" s="1"/>
  <c r="W303" i="18"/>
  <c r="AG303" i="18" s="1"/>
  <c r="W170" i="18"/>
  <c r="AG170" i="18" s="1"/>
  <c r="W160" i="18"/>
  <c r="AG160" i="18" s="1"/>
  <c r="W169" i="18"/>
  <c r="AG169" i="18" s="1"/>
  <c r="W299" i="18"/>
  <c r="AG299" i="18" s="1"/>
  <c r="W289" i="18"/>
  <c r="AG289" i="18" s="1"/>
  <c r="W247" i="18"/>
  <c r="AG247" i="18" s="1"/>
  <c r="W104" i="18"/>
  <c r="AG104" i="18" s="1"/>
  <c r="W256" i="18"/>
  <c r="AG256" i="18" s="1"/>
  <c r="W123" i="18"/>
  <c r="AG123" i="18" s="1"/>
  <c r="W323" i="18"/>
  <c r="AG323" i="18" s="1"/>
  <c r="W78" i="18"/>
  <c r="AG78" i="18" s="1"/>
  <c r="W276" i="18"/>
  <c r="AG276" i="18" s="1"/>
  <c r="W144" i="18"/>
  <c r="AG144" i="18" s="1"/>
  <c r="W49" i="18"/>
  <c r="AG49" i="18" s="1"/>
  <c r="W262" i="18"/>
  <c r="AG262" i="18" s="1"/>
  <c r="W16" i="18"/>
  <c r="AG16" i="18" s="1"/>
  <c r="W315" i="18"/>
  <c r="AG315" i="18" s="1"/>
  <c r="W177" i="18"/>
  <c r="AG177" i="18" s="1"/>
  <c r="W181" i="18"/>
  <c r="AG181" i="18" s="1"/>
  <c r="W57" i="18"/>
  <c r="AG57" i="18" s="1"/>
  <c r="W316" i="18"/>
  <c r="AG316" i="18" s="1"/>
  <c r="W167" i="18"/>
  <c r="AG167" i="18" s="1"/>
  <c r="W325" i="18"/>
  <c r="AG325" i="18" s="1"/>
  <c r="W55" i="18"/>
  <c r="AG55" i="18" s="1"/>
  <c r="W97" i="18"/>
  <c r="AG97" i="18" s="1"/>
  <c r="W242" i="18"/>
  <c r="AG242" i="18" s="1"/>
  <c r="W236" i="18"/>
  <c r="AG236" i="18" s="1"/>
  <c r="W376" i="18"/>
  <c r="AG376" i="18" s="1"/>
  <c r="W66" i="18"/>
  <c r="AG66" i="18" s="1"/>
  <c r="W373" i="18"/>
  <c r="AG373" i="18" s="1"/>
  <c r="W249" i="18"/>
  <c r="AG249" i="18" s="1"/>
  <c r="W366" i="18"/>
  <c r="AG366" i="18" s="1"/>
  <c r="W90" i="18"/>
  <c r="AG90" i="18" s="1"/>
  <c r="W375" i="18"/>
  <c r="AG375" i="18" s="1"/>
  <c r="W27" i="18"/>
  <c r="AG27" i="18" s="1"/>
  <c r="W319" i="18"/>
  <c r="AG319" i="18" s="1"/>
  <c r="W41" i="18"/>
  <c r="AG41" i="18" s="1"/>
  <c r="W287" i="18"/>
  <c r="AG287" i="18" s="1"/>
  <c r="W165" i="18"/>
  <c r="AG165" i="18" s="1"/>
  <c r="W38" i="18"/>
  <c r="AG38" i="18" s="1"/>
  <c r="W308" i="18"/>
  <c r="AG308" i="18" s="1"/>
  <c r="W103" i="18"/>
  <c r="AG103" i="18" s="1"/>
  <c r="W5" i="18"/>
  <c r="AG5" i="18" s="1"/>
  <c r="W222" i="18"/>
  <c r="AG222" i="18" s="1"/>
  <c r="W176" i="18"/>
  <c r="AG176" i="18" s="1"/>
  <c r="W205" i="18"/>
  <c r="AG205" i="18" s="1"/>
  <c r="W45" i="18"/>
  <c r="AG45" i="18" s="1"/>
  <c r="W235" i="18"/>
  <c r="AG235" i="18" s="1"/>
  <c r="W264" i="18"/>
  <c r="AG264" i="18" s="1"/>
  <c r="W214" i="18"/>
  <c r="AG214" i="18" s="1"/>
  <c r="W81" i="18"/>
  <c r="AG81" i="18" s="1"/>
  <c r="W291" i="18"/>
  <c r="AG291" i="18" s="1"/>
  <c r="W199" i="18"/>
  <c r="AG199" i="18" s="1"/>
  <c r="W95" i="18"/>
  <c r="AG95" i="18" s="1"/>
  <c r="W306" i="18"/>
  <c r="AG306" i="18" s="1"/>
  <c r="W189" i="18"/>
  <c r="AG189" i="18" s="1"/>
  <c r="W311" i="18"/>
  <c r="AG311" i="18" s="1"/>
  <c r="W60" i="18"/>
  <c r="AG60" i="18" s="1"/>
  <c r="W65" i="18"/>
  <c r="AG65" i="18" s="1"/>
  <c r="W2" i="18"/>
  <c r="W130" i="18"/>
  <c r="AG130" i="18" s="1"/>
  <c r="W166" i="18"/>
  <c r="AG166" i="18" s="1"/>
  <c r="W320" i="18"/>
  <c r="AG320" i="18" s="1"/>
  <c r="W182" i="18"/>
  <c r="AG182" i="18" s="1"/>
  <c r="W84" i="18"/>
  <c r="AG84" i="18" s="1"/>
  <c r="W135" i="18"/>
  <c r="AG135" i="18" s="1"/>
  <c r="W139" i="18"/>
  <c r="AG139" i="18" s="1"/>
  <c r="W112" i="18"/>
  <c r="AG112" i="18" s="1"/>
  <c r="W133" i="18"/>
  <c r="AG133" i="18" s="1"/>
  <c r="W143" i="18"/>
  <c r="AG143" i="18" s="1"/>
  <c r="W226" i="18"/>
  <c r="AG226" i="18" s="1"/>
  <c r="W61" i="18"/>
  <c r="AG61" i="18" s="1"/>
  <c r="W10" i="18"/>
  <c r="AG10" i="18" s="1"/>
  <c r="W44" i="18"/>
  <c r="AG44" i="18" s="1"/>
  <c r="W179" i="18"/>
  <c r="AG179" i="18" s="1"/>
  <c r="W51" i="18"/>
  <c r="AG51" i="18" s="1"/>
  <c r="W154" i="18"/>
  <c r="AG154" i="18" s="1"/>
  <c r="W86" i="18"/>
  <c r="AG86" i="18" s="1"/>
  <c r="W164" i="18"/>
  <c r="AG164" i="18" s="1"/>
  <c r="W346" i="18"/>
  <c r="AG346" i="18" s="1"/>
  <c r="W188" i="18"/>
  <c r="AG188" i="18" s="1"/>
  <c r="W295" i="18"/>
  <c r="AG295" i="18" s="1"/>
  <c r="W243" i="18"/>
  <c r="AG243" i="18" s="1"/>
  <c r="W193" i="18"/>
  <c r="AG193" i="18" s="1"/>
  <c r="W351" i="18"/>
  <c r="AG351" i="18" s="1"/>
  <c r="W286" i="18"/>
  <c r="AG286" i="18" s="1"/>
  <c r="W260" i="18"/>
  <c r="AG260" i="18" s="1"/>
  <c r="W355" i="18"/>
  <c r="AG355" i="18" s="1"/>
  <c r="W229" i="18"/>
  <c r="AG229" i="18" s="1"/>
  <c r="W274" i="18"/>
  <c r="AG274" i="18" s="1"/>
  <c r="W18" i="18"/>
  <c r="AG18" i="18" s="1"/>
  <c r="W73" i="18"/>
  <c r="AG73" i="18" s="1"/>
  <c r="W288" i="18"/>
  <c r="AG288" i="18" s="1"/>
  <c r="W298" i="18"/>
  <c r="AG298" i="18" s="1"/>
  <c r="W218" i="18"/>
  <c r="AG218" i="18" s="1"/>
  <c r="W293" i="18"/>
  <c r="AG293" i="18" s="1"/>
  <c r="W85" i="18"/>
  <c r="AG85" i="18" s="1"/>
  <c r="W96" i="18"/>
  <c r="AG96" i="18" s="1"/>
  <c r="W341" i="18"/>
  <c r="AG341" i="18" s="1"/>
  <c r="W194" i="18"/>
  <c r="AG194" i="18" s="1"/>
  <c r="W331" i="18"/>
  <c r="AG331" i="18" s="1"/>
  <c r="W158" i="18"/>
  <c r="AG158" i="18" s="1"/>
  <c r="W47" i="18"/>
  <c r="AG47" i="18" s="1"/>
  <c r="W349" i="18"/>
  <c r="AG349" i="18" s="1"/>
  <c r="W74" i="18"/>
  <c r="AG74" i="18" s="1"/>
  <c r="W116" i="18"/>
  <c r="AG116" i="18" s="1"/>
  <c r="W328" i="18"/>
  <c r="AG328" i="18" s="1"/>
  <c r="W283" i="18"/>
  <c r="AG283" i="18" s="1"/>
  <c r="W234" i="18"/>
  <c r="AG234" i="18" s="1"/>
  <c r="W258" i="18"/>
  <c r="AG258" i="18" s="1"/>
  <c r="W157" i="18"/>
  <c r="AG157" i="18" s="1"/>
  <c r="W127" i="18"/>
  <c r="AG127" i="18" s="1"/>
  <c r="W305" i="18"/>
  <c r="AG305" i="18" s="1"/>
  <c r="W367" i="18"/>
  <c r="AG367" i="18" s="1"/>
  <c r="W30" i="18"/>
  <c r="AG30" i="18" s="1"/>
  <c r="W267" i="18"/>
  <c r="AG267" i="18" s="1"/>
  <c r="W9" i="18"/>
  <c r="AG9" i="18" s="1"/>
  <c r="W190" i="18"/>
  <c r="AG190" i="18" s="1"/>
  <c r="W109" i="18"/>
  <c r="AG109" i="18" s="1"/>
  <c r="W99" i="18"/>
  <c r="AG99" i="18" s="1"/>
  <c r="W259" i="18"/>
  <c r="AG259" i="18" s="1"/>
  <c r="W173" i="18"/>
  <c r="AG173" i="18" s="1"/>
  <c r="W129" i="18"/>
  <c r="AG129" i="18" s="1"/>
  <c r="W321" i="18"/>
  <c r="AG321" i="18" s="1"/>
  <c r="W156" i="18"/>
  <c r="AG156" i="18" s="1"/>
  <c r="W309" i="18"/>
  <c r="AG309" i="18" s="1"/>
  <c r="W115" i="18"/>
  <c r="AG115" i="18" s="1"/>
  <c r="W332" i="18"/>
  <c r="AG332" i="18" s="1"/>
  <c r="W24" i="18"/>
  <c r="AG24" i="18" s="1"/>
  <c r="W26" i="18"/>
  <c r="AG26" i="18" s="1"/>
  <c r="W147" i="18"/>
  <c r="AG147" i="18" s="1"/>
  <c r="W239" i="18"/>
  <c r="AG239" i="18" s="1"/>
  <c r="W241" i="18"/>
  <c r="AG241" i="18" s="1"/>
  <c r="W71" i="18"/>
  <c r="AG71" i="18" s="1"/>
  <c r="W31" i="18"/>
  <c r="AG31" i="18" s="1"/>
  <c r="W228" i="18"/>
  <c r="AG228" i="18" s="1"/>
  <c r="W360" i="18"/>
  <c r="AG360" i="18" s="1"/>
  <c r="W121" i="18"/>
  <c r="AG121" i="18" s="1"/>
  <c r="W11" i="18"/>
  <c r="AG11" i="18" s="1"/>
  <c r="W265" i="18"/>
  <c r="AG265" i="18" s="1"/>
  <c r="W246" i="18"/>
  <c r="AG246" i="18" s="1"/>
  <c r="W53" i="18"/>
  <c r="AG53" i="18" s="1"/>
  <c r="W29" i="18"/>
  <c r="AG29" i="18" s="1"/>
  <c r="W56" i="18"/>
  <c r="AG56" i="18" s="1"/>
  <c r="W253" i="18"/>
  <c r="AG253" i="18" s="1"/>
  <c r="W368" i="18"/>
  <c r="AG368" i="18" s="1"/>
  <c r="W125" i="18"/>
  <c r="AG125" i="18" s="1"/>
  <c r="W12" i="18"/>
  <c r="AG12" i="18" s="1"/>
  <c r="W337" i="18"/>
  <c r="AG337" i="18" s="1"/>
  <c r="W216" i="18"/>
  <c r="AG216" i="18" s="1"/>
  <c r="W163" i="18"/>
  <c r="AG163" i="18" s="1"/>
  <c r="AF162" i="18"/>
  <c r="W50" i="18"/>
  <c r="AG50" i="18" s="1"/>
  <c r="W17" i="18"/>
  <c r="AG17" i="18" s="1"/>
  <c r="W277" i="18"/>
  <c r="AG277" i="18" s="1"/>
  <c r="W172" i="18"/>
  <c r="AG172" i="18" s="1"/>
  <c r="W142" i="18"/>
  <c r="AG142" i="18" s="1"/>
  <c r="W207" i="18"/>
  <c r="AG207" i="18" s="1"/>
  <c r="W48" i="18"/>
  <c r="AG48" i="18" s="1"/>
  <c r="W269" i="18"/>
  <c r="AG269" i="18" s="1"/>
  <c r="W92" i="18"/>
  <c r="AG92" i="18" s="1"/>
  <c r="W134" i="18"/>
  <c r="AG134" i="18" s="1"/>
  <c r="W273" i="18"/>
  <c r="AG273" i="18" s="1"/>
  <c r="W98" i="18"/>
  <c r="AG98" i="18" s="1"/>
  <c r="W327" i="18"/>
  <c r="AG327" i="18" s="1"/>
  <c r="W224" i="18"/>
  <c r="AG224" i="18" s="1"/>
  <c r="W210" i="18"/>
  <c r="AG210" i="18" s="1"/>
  <c r="W352" i="18"/>
  <c r="AG352" i="18" s="1"/>
  <c r="W301" i="18"/>
  <c r="AG301" i="18" s="1"/>
  <c r="W245" i="18"/>
  <c r="AG245" i="18" s="1"/>
  <c r="W80" i="18"/>
  <c r="AG80" i="18" s="1"/>
  <c r="W36" i="18"/>
  <c r="AG36" i="18" s="1"/>
  <c r="W255" i="18"/>
  <c r="AG255" i="18" s="1"/>
  <c r="W268" i="18"/>
  <c r="AG268" i="18" s="1"/>
  <c r="W202" i="18"/>
  <c r="AG202" i="18" s="1"/>
  <c r="W28" i="18"/>
  <c r="AG28" i="18" s="1"/>
  <c r="W159" i="18"/>
  <c r="AG159" i="18" s="1"/>
  <c r="W336" i="18"/>
  <c r="AG336" i="18" s="1"/>
  <c r="W93" i="18"/>
  <c r="AG93" i="18" s="1"/>
  <c r="W184" i="18"/>
  <c r="AG184" i="18" s="1"/>
  <c r="W290" i="18"/>
  <c r="AG290" i="18" s="1"/>
  <c r="W114" i="18"/>
  <c r="AG114" i="18" s="1"/>
  <c r="W266" i="18"/>
  <c r="AG266" i="18" s="1"/>
  <c r="W141" i="18"/>
  <c r="AG141" i="18" s="1"/>
  <c r="W151" i="18"/>
  <c r="AG151" i="18" s="1"/>
  <c r="W297" i="18"/>
  <c r="AG297" i="18" s="1"/>
  <c r="W13" i="18"/>
  <c r="AG13" i="18" s="1"/>
  <c r="W117" i="18"/>
  <c r="AG117" i="18" s="1"/>
  <c r="W374" i="18"/>
  <c r="AG374" i="18" s="1"/>
  <c r="W174" i="18"/>
  <c r="AG174" i="18" s="1"/>
  <c r="W294" i="18"/>
  <c r="AG294" i="18" s="1"/>
  <c r="W153" i="18"/>
  <c r="AG153" i="18" s="1"/>
  <c r="W87" i="18"/>
  <c r="AG87" i="18" s="1"/>
  <c r="W280" i="18"/>
  <c r="AG280" i="18" s="1"/>
  <c r="W52" i="18"/>
  <c r="AG52" i="18" s="1"/>
  <c r="W14" i="18"/>
  <c r="AG14" i="18" s="1"/>
  <c r="W361" i="18"/>
  <c r="AG361" i="18" s="1"/>
  <c r="W206" i="18"/>
  <c r="AG206" i="18" s="1"/>
  <c r="W83" i="18"/>
  <c r="AG83" i="18" s="1"/>
  <c r="W270" i="18"/>
  <c r="AG270" i="18" s="1"/>
  <c r="W282" i="18"/>
  <c r="AG282" i="18" s="1"/>
  <c r="W186" i="18"/>
  <c r="AG186" i="18" s="1"/>
  <c r="W208" i="18"/>
  <c r="AG208" i="18" s="1"/>
  <c r="W358" i="18"/>
  <c r="AG358" i="18" s="1"/>
  <c r="W372" i="18"/>
  <c r="AG372" i="18" s="1"/>
  <c r="W32" i="18"/>
  <c r="AG32" i="18" s="1"/>
  <c r="W70" i="18"/>
  <c r="AG70" i="18" s="1"/>
  <c r="W335" i="18"/>
  <c r="AG335" i="18" s="1"/>
  <c r="W162" i="18"/>
  <c r="W146" i="18"/>
  <c r="AG146" i="18" s="1"/>
  <c r="W344" i="18"/>
  <c r="AG344" i="18" s="1"/>
  <c r="W195" i="18"/>
  <c r="AG195" i="18" s="1"/>
  <c r="W15" i="18"/>
  <c r="AG15" i="18" s="1"/>
  <c r="W203" i="18"/>
  <c r="AG203" i="18" s="1"/>
  <c r="W363" i="18"/>
  <c r="AG363" i="18" s="1"/>
  <c r="W371" i="18"/>
  <c r="AG371" i="18" s="1"/>
  <c r="W178" i="18"/>
  <c r="AG178" i="18" s="1"/>
  <c r="W317" i="18"/>
  <c r="AG317" i="18" s="1"/>
  <c r="W171" i="18"/>
  <c r="AG171" i="18" s="1"/>
  <c r="W217" i="18"/>
  <c r="AG217" i="18" s="1"/>
  <c r="W281" i="18"/>
  <c r="AG281" i="18" s="1"/>
  <c r="W359" i="18"/>
  <c r="AG359" i="18" s="1"/>
  <c r="W365" i="18"/>
  <c r="AG365" i="18" s="1"/>
  <c r="W292" i="18"/>
  <c r="AG292" i="18" s="1"/>
  <c r="W225" i="18"/>
  <c r="AG225" i="18" s="1"/>
  <c r="W326" i="18"/>
  <c r="AG326" i="18" s="1"/>
  <c r="W3" i="18"/>
  <c r="AG3" i="18" s="1"/>
  <c r="W63" i="18"/>
  <c r="AG63" i="18" s="1"/>
  <c r="W284" i="18"/>
  <c r="AG284" i="18" s="1"/>
  <c r="W338" i="18"/>
  <c r="AG338" i="18" s="1"/>
  <c r="W34" i="18"/>
  <c r="AG34" i="18" s="1"/>
  <c r="W329" i="18"/>
  <c r="AG329" i="18" s="1"/>
  <c r="W124" i="18"/>
  <c r="AG124" i="18" s="1"/>
  <c r="W192" i="18"/>
  <c r="AG192" i="18" s="1"/>
  <c r="W79" i="18"/>
  <c r="AG79" i="18" s="1"/>
  <c r="W168" i="18"/>
  <c r="AG168" i="18" s="1"/>
  <c r="W76" i="18"/>
  <c r="AG76" i="18" s="1"/>
  <c r="W106" i="18"/>
  <c r="AG106" i="18" s="1"/>
  <c r="W108" i="18"/>
  <c r="AG108" i="18" s="1"/>
  <c r="W100" i="18"/>
  <c r="AG100" i="18" s="1"/>
  <c r="W198" i="18"/>
  <c r="AG198" i="18" s="1"/>
  <c r="W201" i="18"/>
  <c r="AG201" i="18" s="1"/>
  <c r="W233" i="18"/>
  <c r="AG233" i="18" s="1"/>
  <c r="W354" i="18"/>
  <c r="AG354" i="18" s="1"/>
  <c r="W248" i="18"/>
  <c r="AG248" i="18" s="1"/>
  <c r="W348" i="18"/>
  <c r="AG348" i="18" s="1"/>
  <c r="W19" i="18"/>
  <c r="AG19" i="18" s="1"/>
  <c r="W22" i="18"/>
  <c r="AG22" i="18" s="1"/>
  <c r="W213" i="18"/>
  <c r="AG213" i="18" s="1"/>
  <c r="W68" i="18"/>
  <c r="AG68" i="18" s="1"/>
  <c r="W296" i="18"/>
  <c r="AG296" i="18" s="1"/>
  <c r="W330" i="18"/>
  <c r="AG330" i="18" s="1"/>
  <c r="W334" i="18"/>
  <c r="AG334" i="18" s="1"/>
  <c r="W110" i="18"/>
  <c r="AG110" i="18" s="1"/>
  <c r="W175" i="18"/>
  <c r="AG175" i="18" s="1"/>
  <c r="W271" i="18"/>
  <c r="AG271" i="18" s="1"/>
  <c r="W180" i="18"/>
  <c r="AG180" i="18" s="1"/>
  <c r="W357" i="18"/>
  <c r="AG357" i="18" s="1"/>
  <c r="W370" i="18"/>
  <c r="AG370" i="18" s="1"/>
  <c r="W39" i="18"/>
  <c r="AG39" i="18" s="1"/>
  <c r="W304" i="18"/>
  <c r="AG304" i="18" s="1"/>
  <c r="W307" i="18"/>
  <c r="AG307" i="18" s="1"/>
  <c r="W212" i="18"/>
  <c r="AG212" i="18" s="1"/>
  <c r="W312" i="18"/>
  <c r="AG312" i="18" s="1"/>
  <c r="W131" i="18"/>
  <c r="AG131" i="18" s="1"/>
  <c r="W149" i="18"/>
  <c r="AG149" i="18" s="1"/>
  <c r="W148" i="18"/>
  <c r="AG148" i="18" s="1"/>
  <c r="W89" i="18"/>
  <c r="AG89" i="18" s="1"/>
  <c r="W62" i="18"/>
  <c r="AG62" i="18" s="1"/>
  <c r="W120" i="18"/>
  <c r="AG120" i="18" s="1"/>
  <c r="W59" i="18"/>
  <c r="AG59" i="18" s="1"/>
  <c r="W362" i="18"/>
  <c r="AG362" i="18" s="1"/>
  <c r="W342" i="18"/>
  <c r="AG342" i="18" s="1"/>
  <c r="W300" i="18"/>
  <c r="AG300" i="18" s="1"/>
  <c r="W204" i="18"/>
  <c r="AG204" i="18" s="1"/>
  <c r="W138" i="18"/>
  <c r="AG138" i="18" s="1"/>
  <c r="W58" i="18"/>
  <c r="AG58" i="18" s="1"/>
  <c r="W101" i="18"/>
  <c r="AG101" i="18" s="1"/>
  <c r="W369" i="18"/>
  <c r="AG369" i="18" s="1"/>
  <c r="W318" i="18"/>
  <c r="AG318" i="18" s="1"/>
  <c r="W23" i="18"/>
  <c r="AG23" i="18" s="1"/>
  <c r="W275" i="18"/>
  <c r="AG275" i="18" s="1"/>
  <c r="W223" i="18"/>
  <c r="AG223" i="18" s="1"/>
  <c r="W313" i="18"/>
  <c r="AG313" i="18" s="1"/>
  <c r="W42" i="18"/>
  <c r="AG42" i="18" s="1"/>
  <c r="W43" i="18"/>
  <c r="AG43" i="18" s="1"/>
  <c r="W215" i="18"/>
  <c r="AG215" i="18" s="1"/>
  <c r="W221" i="18"/>
  <c r="AG221" i="18" s="1"/>
  <c r="W132" i="18"/>
  <c r="AG132" i="18" s="1"/>
  <c r="W353" i="18"/>
  <c r="AG353" i="18" s="1"/>
  <c r="W244" i="18"/>
  <c r="AG244" i="18" s="1"/>
  <c r="W257" i="18"/>
  <c r="AG257" i="18" s="1"/>
  <c r="W211" i="18"/>
  <c r="AG211" i="18" s="1"/>
  <c r="W314" i="18"/>
  <c r="AG314" i="18" s="1"/>
  <c r="W40" i="18"/>
  <c r="AG40" i="18" s="1"/>
  <c r="W150" i="18"/>
  <c r="AG150" i="18" s="1"/>
  <c r="W82" i="18"/>
  <c r="AG82" i="18" s="1"/>
  <c r="W347" i="18"/>
  <c r="AG347" i="18" s="1"/>
  <c r="W252" i="18"/>
  <c r="AG252" i="18" s="1"/>
  <c r="W350" i="18"/>
  <c r="AG350" i="18" s="1"/>
  <c r="W128" i="18"/>
  <c r="AG128" i="18" s="1"/>
  <c r="W231" i="18"/>
  <c r="AG231" i="18" s="1"/>
  <c r="W140" i="18"/>
  <c r="AG140" i="18" s="1"/>
  <c r="W339" i="18"/>
  <c r="AG339" i="18" s="1"/>
  <c r="W21" i="18"/>
  <c r="AG21" i="18" s="1"/>
  <c r="W345" i="18"/>
  <c r="AG345" i="18" s="1"/>
  <c r="W238" i="18"/>
  <c r="AG238" i="18" s="1"/>
  <c r="W126" i="18"/>
  <c r="AG126" i="18" s="1"/>
  <c r="W302" i="18"/>
  <c r="AG302" i="18" s="1"/>
  <c r="W356" i="18"/>
  <c r="AG356" i="18" s="1"/>
  <c r="W285" i="18"/>
  <c r="AG285" i="18" s="1"/>
  <c r="W105" i="18"/>
  <c r="AG105" i="18" s="1"/>
  <c r="W250" i="18"/>
  <c r="AG250" i="18" s="1"/>
  <c r="W278" i="18"/>
  <c r="AG278" i="18" s="1"/>
  <c r="W145" i="18"/>
  <c r="AG145" i="18" s="1"/>
  <c r="W94" i="18"/>
  <c r="AG94" i="18" s="1"/>
  <c r="W322" i="18"/>
  <c r="AG322" i="18" s="1"/>
  <c r="W155" i="18"/>
  <c r="AG155" i="18" s="1"/>
  <c r="W8" i="18"/>
  <c r="AG8" i="18" s="1"/>
  <c r="W197" i="18"/>
  <c r="AG197" i="18" s="1"/>
  <c r="W136" i="18"/>
  <c r="AG136" i="18" s="1"/>
  <c r="W6" i="18"/>
  <c r="AG6" i="18" s="1"/>
  <c r="W64" i="18"/>
  <c r="AG64" i="18" s="1"/>
  <c r="W122" i="18"/>
  <c r="AG122" i="18" s="1"/>
  <c r="W251" i="18"/>
  <c r="AG251" i="18" s="1"/>
  <c r="W279" i="18"/>
  <c r="AG279" i="18" s="1"/>
  <c r="W183" i="18"/>
  <c r="AG183" i="18" s="1"/>
  <c r="W67" i="18"/>
  <c r="AG67" i="18" s="1"/>
  <c r="W209" i="18"/>
  <c r="AG209" i="18" s="1"/>
  <c r="W187" i="18"/>
  <c r="AG187" i="18" s="1"/>
  <c r="W88" i="18"/>
  <c r="AG88" i="18" s="1"/>
  <c r="W137" i="18"/>
  <c r="AG137" i="18" s="1"/>
  <c r="W237" i="18"/>
  <c r="AG237" i="18" s="1"/>
  <c r="W37" i="18"/>
  <c r="AG37" i="18" s="1"/>
  <c r="W161" i="18"/>
  <c r="AG161" i="18" s="1"/>
  <c r="W77" i="18"/>
  <c r="AG77" i="18" s="1"/>
  <c r="W191" i="18"/>
  <c r="AG191" i="18" s="1"/>
  <c r="W33" i="18"/>
  <c r="AG33" i="18" s="1"/>
  <c r="W152" i="18"/>
  <c r="AG152" i="18" s="1"/>
  <c r="W46" i="18"/>
  <c r="AG46" i="18" s="1"/>
  <c r="W102" i="18"/>
  <c r="AG102" i="18" s="1"/>
  <c r="W230" i="18"/>
  <c r="AG230" i="18" s="1"/>
  <c r="W54" i="18"/>
  <c r="AG54" i="18" s="1"/>
  <c r="W310" i="18"/>
  <c r="AG310" i="18" s="1"/>
  <c r="W7" i="18"/>
  <c r="AG7" i="18" s="1"/>
  <c r="W272" i="18"/>
  <c r="AG272" i="18" s="1"/>
  <c r="W25" i="18"/>
  <c r="AG25" i="18" s="1"/>
  <c r="W111" i="18"/>
  <c r="AG111" i="18" s="1"/>
  <c r="W254" i="18"/>
  <c r="AG254" i="18" s="1"/>
  <c r="W185" i="18"/>
  <c r="AG185" i="18" s="1"/>
  <c r="W219" i="18"/>
  <c r="AG219" i="18" s="1"/>
  <c r="W119" i="18"/>
  <c r="AG119" i="18" s="1"/>
  <c r="W333" i="18"/>
  <c r="AG333" i="18" s="1"/>
  <c r="W91" i="18"/>
  <c r="AG91" i="18" s="1"/>
  <c r="W340" i="18"/>
  <c r="AG340" i="18" s="1"/>
  <c r="W35" i="18"/>
  <c r="AG35" i="18" s="1"/>
  <c r="W261" i="18"/>
  <c r="AG261" i="18" s="1"/>
  <c r="W220" i="18"/>
  <c r="AG220" i="18" s="1"/>
  <c r="W69" i="18"/>
  <c r="AG69" i="18" s="1"/>
  <c r="W20" i="18"/>
  <c r="AG20" i="18" s="1"/>
  <c r="W364" i="18"/>
  <c r="AG364" i="18" s="1"/>
  <c r="W4" i="18"/>
  <c r="AG4" i="18" s="1"/>
  <c r="W200" i="18"/>
  <c r="AG200" i="18" s="1"/>
  <c r="W113" i="18"/>
  <c r="AG113" i="18" s="1"/>
  <c r="W107" i="18"/>
  <c r="AG107" i="18" s="1"/>
  <c r="W118" i="18"/>
  <c r="AG118" i="18" s="1"/>
  <c r="W72" i="18"/>
  <c r="AG72" i="18" s="1"/>
  <c r="W232" i="18"/>
  <c r="AG232" i="18" s="1"/>
  <c r="W240" i="18"/>
  <c r="AG240" i="18" s="1"/>
  <c r="W263" i="18"/>
  <c r="AG263" i="18" s="1"/>
  <c r="W196" i="18"/>
  <c r="AG196" i="18" s="1"/>
  <c r="W227" i="18"/>
  <c r="AG227" i="18" s="1"/>
  <c r="W324" i="18"/>
  <c r="AG324" i="18" s="1"/>
  <c r="E70" i="22"/>
  <c r="E96" i="22" s="1"/>
  <c r="F2" i="16"/>
  <c r="F43" i="22"/>
  <c r="E19" i="22" s="1"/>
  <c r="C2" i="4"/>
  <c r="AQ12" i="4" s="1"/>
  <c r="AT1" i="4"/>
  <c r="AF2" i="4"/>
  <c r="AP12" i="4"/>
  <c r="AP15" i="4"/>
  <c r="AP13" i="4"/>
  <c r="T1" i="4"/>
  <c r="AQ13" i="4"/>
  <c r="C6" i="4"/>
  <c r="AQ15" i="4"/>
  <c r="B7" i="4"/>
  <c r="AP16" i="4"/>
  <c r="E33" i="11" l="1"/>
  <c r="D45" i="22"/>
  <c r="E48" i="21"/>
  <c r="E36" i="16"/>
  <c r="E3" i="21"/>
  <c r="E49" i="22" s="1"/>
  <c r="E3" i="11"/>
  <c r="E48" i="22" s="1"/>
  <c r="E48" i="16"/>
  <c r="E45" i="11"/>
  <c r="E36" i="24"/>
  <c r="E36" i="21"/>
  <c r="E48" i="24"/>
  <c r="F35" i="16"/>
  <c r="F47" i="16" s="1"/>
  <c r="AG2" i="18"/>
  <c r="E3" i="24" s="1"/>
  <c r="E47" i="22" s="1"/>
  <c r="G2" i="4"/>
  <c r="AG3" i="4" s="1"/>
  <c r="G39" i="4"/>
  <c r="AG40" i="4" s="1"/>
  <c r="G3" i="4"/>
  <c r="AG4" i="4" s="1"/>
  <c r="G9" i="4"/>
  <c r="AG10" i="4" s="1"/>
  <c r="G15" i="4"/>
  <c r="AG16" i="4" s="1"/>
  <c r="G21" i="4"/>
  <c r="AG22" i="4" s="1"/>
  <c r="G27" i="4"/>
  <c r="AG28" i="4" s="1"/>
  <c r="G33" i="4"/>
  <c r="AG34" i="4" s="1"/>
  <c r="G38" i="4"/>
  <c r="AG39" i="4" s="1"/>
  <c r="G8" i="4"/>
  <c r="AG9" i="4" s="1"/>
  <c r="G14" i="4"/>
  <c r="AG15" i="4" s="1"/>
  <c r="G20" i="4"/>
  <c r="AG21" i="4" s="1"/>
  <c r="G26" i="4"/>
  <c r="AG27" i="4" s="1"/>
  <c r="G32" i="4"/>
  <c r="AG33" i="4" s="1"/>
  <c r="G44" i="4"/>
  <c r="AG45" i="4" s="1"/>
  <c r="G4" i="4"/>
  <c r="AG5" i="4" s="1"/>
  <c r="G7" i="4"/>
  <c r="AG8" i="4" s="1"/>
  <c r="G13" i="4"/>
  <c r="AG14" i="4" s="1"/>
  <c r="G19" i="4"/>
  <c r="AG20" i="4" s="1"/>
  <c r="G25" i="4"/>
  <c r="AG26" i="4" s="1"/>
  <c r="G31" i="4"/>
  <c r="AG32" i="4" s="1"/>
  <c r="G37" i="4"/>
  <c r="AG38" i="4" s="1"/>
  <c r="G43" i="4"/>
  <c r="AG44" i="4" s="1"/>
  <c r="G34" i="4"/>
  <c r="AG35" i="4" s="1"/>
  <c r="G28" i="4"/>
  <c r="AG29" i="4" s="1"/>
  <c r="G6" i="4"/>
  <c r="AG7" i="4" s="1"/>
  <c r="G12" i="4"/>
  <c r="AG13" i="4" s="1"/>
  <c r="G18" i="4"/>
  <c r="AG19" i="4" s="1"/>
  <c r="G24" i="4"/>
  <c r="AG25" i="4" s="1"/>
  <c r="G30" i="4"/>
  <c r="AG31" i="4" s="1"/>
  <c r="G36" i="4"/>
  <c r="AG37" i="4" s="1"/>
  <c r="G42" i="4"/>
  <c r="AG43" i="4" s="1"/>
  <c r="G40" i="4"/>
  <c r="AG41" i="4" s="1"/>
  <c r="G10" i="4"/>
  <c r="AG11" i="4" s="1"/>
  <c r="G22" i="4"/>
  <c r="AG23" i="4" s="1"/>
  <c r="G5" i="4"/>
  <c r="AG6" i="4" s="1"/>
  <c r="G11" i="4"/>
  <c r="AG12" i="4" s="1"/>
  <c r="G17" i="4"/>
  <c r="AG18" i="4" s="1"/>
  <c r="G23" i="4"/>
  <c r="AG24" i="4" s="1"/>
  <c r="G29" i="4"/>
  <c r="AG30" i="4" s="1"/>
  <c r="G35" i="4"/>
  <c r="AG36" i="4" s="1"/>
  <c r="G41" i="4"/>
  <c r="AG42" i="4" s="1"/>
  <c r="G16" i="4"/>
  <c r="AG17" i="4" s="1"/>
  <c r="X4" i="18"/>
  <c r="AH4" i="18" s="1"/>
  <c r="X35" i="18"/>
  <c r="AH35" i="18" s="1"/>
  <c r="X185" i="18"/>
  <c r="AH185" i="18" s="1"/>
  <c r="X310" i="18"/>
  <c r="AH310" i="18" s="1"/>
  <c r="X33" i="18"/>
  <c r="AH33" i="18" s="1"/>
  <c r="X137" i="18"/>
  <c r="AH137" i="18" s="1"/>
  <c r="X279" i="18"/>
  <c r="AH279" i="18" s="1"/>
  <c r="X197" i="18"/>
  <c r="AH197" i="18" s="1"/>
  <c r="X278" i="18"/>
  <c r="AH278" i="18" s="1"/>
  <c r="X126" i="18"/>
  <c r="AH126" i="18" s="1"/>
  <c r="X150" i="18"/>
  <c r="AH150" i="18" s="1"/>
  <c r="X353" i="18"/>
  <c r="AH353" i="18" s="1"/>
  <c r="X313" i="18"/>
  <c r="AH313" i="18" s="1"/>
  <c r="X101" i="18"/>
  <c r="AH101" i="18" s="1"/>
  <c r="X362" i="18"/>
  <c r="AH362" i="18" s="1"/>
  <c r="X149" i="18"/>
  <c r="AH149" i="18" s="1"/>
  <c r="X39" i="18"/>
  <c r="AH39" i="18" s="1"/>
  <c r="X110" i="18"/>
  <c r="AH110" i="18" s="1"/>
  <c r="X22" i="18"/>
  <c r="AH22" i="18" s="1"/>
  <c r="X201" i="18"/>
  <c r="AH201" i="18" s="1"/>
  <c r="X168" i="18"/>
  <c r="AH168" i="18" s="1"/>
  <c r="X338" i="18"/>
  <c r="AH338" i="18" s="1"/>
  <c r="X292" i="18"/>
  <c r="AH292" i="18" s="1"/>
  <c r="X317" i="18"/>
  <c r="AH317" i="18" s="1"/>
  <c r="X195" i="18"/>
  <c r="AH195" i="18" s="1"/>
  <c r="X32" i="18"/>
  <c r="AH32" i="18" s="1"/>
  <c r="X270" i="18"/>
  <c r="AH270" i="18" s="1"/>
  <c r="X280" i="18"/>
  <c r="AH280" i="18" s="1"/>
  <c r="X117" i="18"/>
  <c r="AH117" i="18" s="1"/>
  <c r="X114" i="18"/>
  <c r="AH114" i="18" s="1"/>
  <c r="X28" i="18"/>
  <c r="AH28" i="18" s="1"/>
  <c r="X245" i="18"/>
  <c r="AH245" i="18" s="1"/>
  <c r="X98" i="18"/>
  <c r="AH98" i="18" s="1"/>
  <c r="X207" i="18"/>
  <c r="AH207" i="18" s="1"/>
  <c r="X31" i="18"/>
  <c r="AH31" i="18" s="1"/>
  <c r="X9" i="18"/>
  <c r="AH9" i="18" s="1"/>
  <c r="X19" i="18"/>
  <c r="AH19" i="18" s="1"/>
  <c r="X198" i="18"/>
  <c r="AH198" i="18" s="1"/>
  <c r="X142" i="18"/>
  <c r="AH142" i="18" s="1"/>
  <c r="X125" i="18"/>
  <c r="AH125" i="18" s="1"/>
  <c r="X246" i="18"/>
  <c r="AH246" i="18" s="1"/>
  <c r="X24" i="18"/>
  <c r="AH24" i="18" s="1"/>
  <c r="X129" i="18"/>
  <c r="AH129" i="18" s="1"/>
  <c r="X157" i="18"/>
  <c r="AH157" i="18" s="1"/>
  <c r="X74" i="18"/>
  <c r="AH74" i="18" s="1"/>
  <c r="X341" i="18"/>
  <c r="AH341" i="18" s="1"/>
  <c r="X288" i="18"/>
  <c r="AH288" i="18" s="1"/>
  <c r="X260" i="18"/>
  <c r="AH260" i="18" s="1"/>
  <c r="X188" i="18"/>
  <c r="AH188" i="18" s="1"/>
  <c r="X179" i="18"/>
  <c r="AH179" i="18" s="1"/>
  <c r="X133" i="18"/>
  <c r="AH133" i="18" s="1"/>
  <c r="X320" i="18"/>
  <c r="AH320" i="18" s="1"/>
  <c r="X311" i="18"/>
  <c r="AH311" i="18" s="1"/>
  <c r="X81" i="18"/>
  <c r="AH81" i="18" s="1"/>
  <c r="X176" i="18"/>
  <c r="AH176" i="18" s="1"/>
  <c r="X165" i="18"/>
  <c r="AH165" i="18" s="1"/>
  <c r="X90" i="18"/>
  <c r="AH90" i="18" s="1"/>
  <c r="X236" i="18"/>
  <c r="AH236" i="18" s="1"/>
  <c r="X316" i="18"/>
  <c r="AH316" i="18" s="1"/>
  <c r="X262" i="18"/>
  <c r="AH262" i="18" s="1"/>
  <c r="X123" i="18"/>
  <c r="AH123" i="18" s="1"/>
  <c r="X169" i="18"/>
  <c r="AH169" i="18" s="1"/>
  <c r="X324" i="18"/>
  <c r="AH324" i="18" s="1"/>
  <c r="X72" i="18"/>
  <c r="AH72" i="18" s="1"/>
  <c r="X364" i="18"/>
  <c r="AH364" i="18" s="1"/>
  <c r="X340" i="18"/>
  <c r="AH340" i="18" s="1"/>
  <c r="X254" i="18"/>
  <c r="AH254" i="18" s="1"/>
  <c r="X54" i="18"/>
  <c r="AH54" i="18" s="1"/>
  <c r="X191" i="18"/>
  <c r="AH191" i="18" s="1"/>
  <c r="X88" i="18"/>
  <c r="AH88" i="18" s="1"/>
  <c r="X251" i="18"/>
  <c r="AH251" i="18" s="1"/>
  <c r="X8" i="18"/>
  <c r="AH8" i="18" s="1"/>
  <c r="X250" i="18"/>
  <c r="AH250" i="18" s="1"/>
  <c r="X238" i="18"/>
  <c r="AH238" i="18" s="1"/>
  <c r="X128" i="18"/>
  <c r="AH128" i="18" s="1"/>
  <c r="X40" i="18"/>
  <c r="AH40" i="18" s="1"/>
  <c r="X132" i="18"/>
  <c r="AH132" i="18" s="1"/>
  <c r="X223" i="18"/>
  <c r="AH223" i="18" s="1"/>
  <c r="X58" i="18"/>
  <c r="AH58" i="18" s="1"/>
  <c r="X59" i="18"/>
  <c r="AH59" i="18" s="1"/>
  <c r="X131" i="18"/>
  <c r="AH131" i="18" s="1"/>
  <c r="X370" i="18"/>
  <c r="AH370" i="18" s="1"/>
  <c r="X334" i="18"/>
  <c r="AH334" i="18" s="1"/>
  <c r="X79" i="18"/>
  <c r="AH79" i="18" s="1"/>
  <c r="X284" i="18"/>
  <c r="AH284" i="18" s="1"/>
  <c r="X365" i="18"/>
  <c r="AH365" i="18" s="1"/>
  <c r="X178" i="18"/>
  <c r="AH178" i="18" s="1"/>
  <c r="X344" i="18"/>
  <c r="AH344" i="18" s="1"/>
  <c r="X372" i="18"/>
  <c r="AH372" i="18" s="1"/>
  <c r="X83" i="18"/>
  <c r="AH83" i="18" s="1"/>
  <c r="X87" i="18"/>
  <c r="AH87" i="18" s="1"/>
  <c r="X13" i="18"/>
  <c r="AH13" i="18" s="1"/>
  <c r="X290" i="18"/>
  <c r="AH290" i="18" s="1"/>
  <c r="X202" i="18"/>
  <c r="AH202" i="18" s="1"/>
  <c r="X301" i="18"/>
  <c r="AH301" i="18" s="1"/>
  <c r="X273" i="18"/>
  <c r="AH273" i="18" s="1"/>
  <c r="X265" i="18"/>
  <c r="AH265" i="18" s="1"/>
  <c r="X332" i="18"/>
  <c r="AH332" i="18" s="1"/>
  <c r="X366" i="18"/>
  <c r="AH366" i="18" s="1"/>
  <c r="X230" i="18"/>
  <c r="AH230" i="18" s="1"/>
  <c r="X359" i="18"/>
  <c r="AH359" i="18" s="1"/>
  <c r="X134" i="18"/>
  <c r="AH134" i="18" s="1"/>
  <c r="X368" i="18"/>
  <c r="AH368" i="18" s="1"/>
  <c r="X71" i="18"/>
  <c r="AH71" i="18" s="1"/>
  <c r="X173" i="18"/>
  <c r="AH173" i="18" s="1"/>
  <c r="X267" i="18"/>
  <c r="AH267" i="18" s="1"/>
  <c r="X258" i="18"/>
  <c r="AH258" i="18" s="1"/>
  <c r="X349" i="18"/>
  <c r="AH349" i="18" s="1"/>
  <c r="X96" i="18"/>
  <c r="AH96" i="18" s="1"/>
  <c r="X73" i="18"/>
  <c r="AH73" i="18" s="1"/>
  <c r="X286" i="18"/>
  <c r="AH286" i="18" s="1"/>
  <c r="X346" i="18"/>
  <c r="AH346" i="18" s="1"/>
  <c r="X44" i="18"/>
  <c r="AH44" i="18" s="1"/>
  <c r="X112" i="18"/>
  <c r="AH112" i="18" s="1"/>
  <c r="X166" i="18"/>
  <c r="AH166" i="18" s="1"/>
  <c r="X189" i="18"/>
  <c r="AH189" i="18" s="1"/>
  <c r="X214" i="18"/>
  <c r="AH214" i="18" s="1"/>
  <c r="X222" i="18"/>
  <c r="AH222" i="18" s="1"/>
  <c r="X287" i="18"/>
  <c r="AH287" i="18" s="1"/>
  <c r="X242" i="18"/>
  <c r="AH242" i="18" s="1"/>
  <c r="X57" i="18"/>
  <c r="AH57" i="18" s="1"/>
  <c r="X49" i="18"/>
  <c r="AH49" i="18" s="1"/>
  <c r="X256" i="18"/>
  <c r="AH256" i="18" s="1"/>
  <c r="X160" i="18"/>
  <c r="AH160" i="18" s="1"/>
  <c r="X227" i="18"/>
  <c r="AH227" i="18" s="1"/>
  <c r="X118" i="18"/>
  <c r="AH118" i="18" s="1"/>
  <c r="X20" i="18"/>
  <c r="AH20" i="18" s="1"/>
  <c r="X91" i="18"/>
  <c r="AH91" i="18" s="1"/>
  <c r="X111" i="18"/>
  <c r="AH111" i="18" s="1"/>
  <c r="X77" i="18"/>
  <c r="AH77" i="18" s="1"/>
  <c r="X187" i="18"/>
  <c r="AH187" i="18" s="1"/>
  <c r="X122" i="18"/>
  <c r="AH122" i="18" s="1"/>
  <c r="X155" i="18"/>
  <c r="AH155" i="18" s="1"/>
  <c r="X105" i="18"/>
  <c r="AH105" i="18" s="1"/>
  <c r="X345" i="18"/>
  <c r="AH345" i="18" s="1"/>
  <c r="X350" i="18"/>
  <c r="AH350" i="18" s="1"/>
  <c r="X314" i="18"/>
  <c r="AH314" i="18" s="1"/>
  <c r="X221" i="18"/>
  <c r="AH221" i="18" s="1"/>
  <c r="X275" i="18"/>
  <c r="AH275" i="18" s="1"/>
  <c r="X138" i="18"/>
  <c r="AH138" i="18" s="1"/>
  <c r="X120" i="18"/>
  <c r="AH120" i="18" s="1"/>
  <c r="X312" i="18"/>
  <c r="AH312" i="18" s="1"/>
  <c r="X357" i="18"/>
  <c r="AH357" i="18" s="1"/>
  <c r="X330" i="18"/>
  <c r="AH330" i="18" s="1"/>
  <c r="X348" i="18"/>
  <c r="AH348" i="18" s="1"/>
  <c r="X100" i="18"/>
  <c r="AH100" i="18" s="1"/>
  <c r="X192" i="18"/>
  <c r="AH192" i="18" s="1"/>
  <c r="X63" i="18"/>
  <c r="AH63" i="18" s="1"/>
  <c r="X371" i="18"/>
  <c r="AH371" i="18" s="1"/>
  <c r="X146" i="18"/>
  <c r="AH146" i="18" s="1"/>
  <c r="X358" i="18"/>
  <c r="AH358" i="18" s="1"/>
  <c r="X206" i="18"/>
  <c r="AH206" i="18" s="1"/>
  <c r="X153" i="18"/>
  <c r="AH153" i="18" s="1"/>
  <c r="X297" i="18"/>
  <c r="AH297" i="18" s="1"/>
  <c r="X184" i="18"/>
  <c r="AH184" i="18" s="1"/>
  <c r="X268" i="18"/>
  <c r="AH268" i="18" s="1"/>
  <c r="X352" i="18"/>
  <c r="AH352" i="18" s="1"/>
  <c r="X172" i="18"/>
  <c r="AH172" i="18" s="1"/>
  <c r="X259" i="18"/>
  <c r="AH259" i="18" s="1"/>
  <c r="X351" i="18"/>
  <c r="AH351" i="18" s="1"/>
  <c r="X232" i="18"/>
  <c r="AH232" i="18" s="1"/>
  <c r="X161" i="18"/>
  <c r="AH161" i="18" s="1"/>
  <c r="AG162" i="18"/>
  <c r="E3" i="16" s="1"/>
  <c r="E46" i="22" s="1"/>
  <c r="X93" i="18"/>
  <c r="AH93" i="18" s="1"/>
  <c r="X163" i="18"/>
  <c r="AH163" i="18" s="1"/>
  <c r="X253" i="18"/>
  <c r="AH253" i="18" s="1"/>
  <c r="X11" i="18"/>
  <c r="AH11" i="18" s="1"/>
  <c r="X241" i="18"/>
  <c r="AH241" i="18" s="1"/>
  <c r="X115" i="18"/>
  <c r="AH115" i="18" s="1"/>
  <c r="X30" i="18"/>
  <c r="AH30" i="18" s="1"/>
  <c r="X234" i="18"/>
  <c r="AH234" i="18" s="1"/>
  <c r="X47" i="18"/>
  <c r="AH47" i="18" s="1"/>
  <c r="X85" i="18"/>
  <c r="AH85" i="18" s="1"/>
  <c r="X18" i="18"/>
  <c r="AH18" i="18" s="1"/>
  <c r="X164" i="18"/>
  <c r="AH164" i="18" s="1"/>
  <c r="X10" i="18"/>
  <c r="AH10" i="18" s="1"/>
  <c r="X139" i="18"/>
  <c r="AH139" i="18" s="1"/>
  <c r="X130" i="18"/>
  <c r="AH130" i="18" s="1"/>
  <c r="X306" i="18"/>
  <c r="AH306" i="18" s="1"/>
  <c r="X264" i="18"/>
  <c r="AH264" i="18" s="1"/>
  <c r="X5" i="18"/>
  <c r="AH5" i="18" s="1"/>
  <c r="X41" i="18"/>
  <c r="AH41" i="18" s="1"/>
  <c r="X249" i="18"/>
  <c r="AH249" i="18" s="1"/>
  <c r="X97" i="18"/>
  <c r="AH97" i="18" s="1"/>
  <c r="X181" i="18"/>
  <c r="AH181" i="18" s="1"/>
  <c r="X144" i="18"/>
  <c r="AH144" i="18" s="1"/>
  <c r="X104" i="18"/>
  <c r="AH104" i="18" s="1"/>
  <c r="X170" i="18"/>
  <c r="AH170" i="18" s="1"/>
  <c r="X231" i="18"/>
  <c r="AH231" i="18" s="1"/>
  <c r="X196" i="18"/>
  <c r="AH196" i="18" s="1"/>
  <c r="X107" i="18"/>
  <c r="AH107" i="18" s="1"/>
  <c r="X69" i="18"/>
  <c r="AH69" i="18" s="1"/>
  <c r="X333" i="18"/>
  <c r="AH333" i="18" s="1"/>
  <c r="X25" i="18"/>
  <c r="AH25" i="18" s="1"/>
  <c r="X102" i="18"/>
  <c r="AH102" i="18" s="1"/>
  <c r="X209" i="18"/>
  <c r="AH209" i="18" s="1"/>
  <c r="X64" i="18"/>
  <c r="AH64" i="18" s="1"/>
  <c r="X322" i="18"/>
  <c r="AH322" i="18" s="1"/>
  <c r="X285" i="18"/>
  <c r="AH285" i="18" s="1"/>
  <c r="X21" i="18"/>
  <c r="AH21" i="18" s="1"/>
  <c r="X252" i="18"/>
  <c r="AH252" i="18" s="1"/>
  <c r="X211" i="18"/>
  <c r="AH211" i="18" s="1"/>
  <c r="X215" i="18"/>
  <c r="AH215" i="18" s="1"/>
  <c r="X23" i="18"/>
  <c r="AH23" i="18" s="1"/>
  <c r="X204" i="18"/>
  <c r="AH204" i="18" s="1"/>
  <c r="X62" i="18"/>
  <c r="AH62" i="18" s="1"/>
  <c r="X212" i="18"/>
  <c r="AH212" i="18" s="1"/>
  <c r="X180" i="18"/>
  <c r="AH180" i="18" s="1"/>
  <c r="X296" i="18"/>
  <c r="AH296" i="18" s="1"/>
  <c r="X248" i="18"/>
  <c r="AH248" i="18" s="1"/>
  <c r="X108" i="18"/>
  <c r="AH108" i="18" s="1"/>
  <c r="X124" i="18"/>
  <c r="AH124" i="18" s="1"/>
  <c r="X3" i="18"/>
  <c r="AH3" i="18" s="1"/>
  <c r="X281" i="18"/>
  <c r="AH281" i="18" s="1"/>
  <c r="X363" i="18"/>
  <c r="AH363" i="18" s="1"/>
  <c r="X162" i="18"/>
  <c r="X208" i="18"/>
  <c r="AH208" i="18" s="1"/>
  <c r="X361" i="18"/>
  <c r="AH361" i="18" s="1"/>
  <c r="X294" i="18"/>
  <c r="AH294" i="18" s="1"/>
  <c r="X151" i="18"/>
  <c r="AH151" i="18" s="1"/>
  <c r="X255" i="18"/>
  <c r="AH255" i="18" s="1"/>
  <c r="X210" i="18"/>
  <c r="AH210" i="18" s="1"/>
  <c r="X92" i="18"/>
  <c r="AH92" i="18" s="1"/>
  <c r="X277" i="18"/>
  <c r="AH277" i="18" s="1"/>
  <c r="X283" i="18"/>
  <c r="AH283" i="18" s="1"/>
  <c r="X193" i="18"/>
  <c r="AH193" i="18" s="1"/>
  <c r="X55" i="18"/>
  <c r="AH55" i="18" s="1"/>
  <c r="X303" i="18"/>
  <c r="AH303" i="18" s="1"/>
  <c r="X119" i="18"/>
  <c r="AH119" i="18" s="1"/>
  <c r="X37" i="18"/>
  <c r="AH37" i="18" s="1"/>
  <c r="X339" i="18"/>
  <c r="AH339" i="18" s="1"/>
  <c r="X89" i="18"/>
  <c r="AH89" i="18" s="1"/>
  <c r="X329" i="18"/>
  <c r="AH329" i="18" s="1"/>
  <c r="X216" i="18"/>
  <c r="AH216" i="18" s="1"/>
  <c r="X56" i="18"/>
  <c r="AH56" i="18" s="1"/>
  <c r="X121" i="18"/>
  <c r="AH121" i="18" s="1"/>
  <c r="X239" i="18"/>
  <c r="AH239" i="18" s="1"/>
  <c r="X309" i="18"/>
  <c r="AH309" i="18" s="1"/>
  <c r="X99" i="18"/>
  <c r="AH99" i="18" s="1"/>
  <c r="X367" i="18"/>
  <c r="AH367" i="18" s="1"/>
  <c r="X158" i="18"/>
  <c r="AH158" i="18" s="1"/>
  <c r="X293" i="18"/>
  <c r="AH293" i="18" s="1"/>
  <c r="X274" i="18"/>
  <c r="AH274" i="18" s="1"/>
  <c r="X86" i="18"/>
  <c r="AH86" i="18" s="1"/>
  <c r="X61" i="18"/>
  <c r="AH61" i="18" s="1"/>
  <c r="X135" i="18"/>
  <c r="AH135" i="18" s="1"/>
  <c r="X2" i="18"/>
  <c r="X95" i="18"/>
  <c r="AH95" i="18" s="1"/>
  <c r="X235" i="18"/>
  <c r="AH235" i="18" s="1"/>
  <c r="X103" i="18"/>
  <c r="AH103" i="18" s="1"/>
  <c r="X319" i="18"/>
  <c r="AH319" i="18" s="1"/>
  <c r="X373" i="18"/>
  <c r="AH373" i="18" s="1"/>
  <c r="X177" i="18"/>
  <c r="AH177" i="18" s="1"/>
  <c r="X276" i="18"/>
  <c r="AH276" i="18" s="1"/>
  <c r="X247" i="18"/>
  <c r="AH247" i="18" s="1"/>
  <c r="X263" i="18"/>
  <c r="AH263" i="18" s="1"/>
  <c r="X113" i="18"/>
  <c r="AH113" i="18" s="1"/>
  <c r="X220" i="18"/>
  <c r="AH220" i="18" s="1"/>
  <c r="X272" i="18"/>
  <c r="AH272" i="18" s="1"/>
  <c r="X46" i="18"/>
  <c r="AH46" i="18" s="1"/>
  <c r="X67" i="18"/>
  <c r="AH67" i="18" s="1"/>
  <c r="X6" i="18"/>
  <c r="AH6" i="18" s="1"/>
  <c r="X94" i="18"/>
  <c r="AH94" i="18" s="1"/>
  <c r="X356" i="18"/>
  <c r="AH356" i="18" s="1"/>
  <c r="X347" i="18"/>
  <c r="AH347" i="18" s="1"/>
  <c r="X257" i="18"/>
  <c r="AH257" i="18" s="1"/>
  <c r="X43" i="18"/>
  <c r="AH43" i="18" s="1"/>
  <c r="X318" i="18"/>
  <c r="AH318" i="18" s="1"/>
  <c r="X300" i="18"/>
  <c r="AH300" i="18" s="1"/>
  <c r="X307" i="18"/>
  <c r="AH307" i="18" s="1"/>
  <c r="X271" i="18"/>
  <c r="AH271" i="18" s="1"/>
  <c r="X68" i="18"/>
  <c r="AH68" i="18" s="1"/>
  <c r="X354" i="18"/>
  <c r="AH354" i="18" s="1"/>
  <c r="X106" i="18"/>
  <c r="AH106" i="18" s="1"/>
  <c r="X326" i="18"/>
  <c r="AH326" i="18" s="1"/>
  <c r="X217" i="18"/>
  <c r="AH217" i="18" s="1"/>
  <c r="X203" i="18"/>
  <c r="AH203" i="18" s="1"/>
  <c r="X335" i="18"/>
  <c r="AH335" i="18" s="1"/>
  <c r="X186" i="18"/>
  <c r="AH186" i="18" s="1"/>
  <c r="X14" i="18"/>
  <c r="AH14" i="18" s="1"/>
  <c r="X174" i="18"/>
  <c r="AH174" i="18" s="1"/>
  <c r="X141" i="18"/>
  <c r="AH141" i="18" s="1"/>
  <c r="X336" i="18"/>
  <c r="AH336" i="18" s="1"/>
  <c r="X36" i="18"/>
  <c r="AH36" i="18" s="1"/>
  <c r="X224" i="18"/>
  <c r="AH224" i="18" s="1"/>
  <c r="X269" i="18"/>
  <c r="AH269" i="18" s="1"/>
  <c r="X17" i="18"/>
  <c r="AH17" i="18" s="1"/>
  <c r="X147" i="18"/>
  <c r="AH147" i="18" s="1"/>
  <c r="X84" i="18"/>
  <c r="AH84" i="18" s="1"/>
  <c r="X325" i="18"/>
  <c r="AH325" i="18" s="1"/>
  <c r="X302" i="18"/>
  <c r="AH302" i="18" s="1"/>
  <c r="X50" i="18"/>
  <c r="AH50" i="18" s="1"/>
  <c r="X337" i="18"/>
  <c r="AH337" i="18" s="1"/>
  <c r="X29" i="18"/>
  <c r="AH29" i="18" s="1"/>
  <c r="X360" i="18"/>
  <c r="AH360" i="18" s="1"/>
  <c r="X156" i="18"/>
  <c r="AH156" i="18" s="1"/>
  <c r="X109" i="18"/>
  <c r="AH109" i="18" s="1"/>
  <c r="X305" i="18"/>
  <c r="AH305" i="18" s="1"/>
  <c r="X328" i="18"/>
  <c r="AH328" i="18" s="1"/>
  <c r="X331" i="18"/>
  <c r="AH331" i="18" s="1"/>
  <c r="X218" i="18"/>
  <c r="AH218" i="18" s="1"/>
  <c r="X229" i="18"/>
  <c r="AH229" i="18" s="1"/>
  <c r="X243" i="18"/>
  <c r="AH243" i="18" s="1"/>
  <c r="X154" i="18"/>
  <c r="AH154" i="18" s="1"/>
  <c r="X226" i="18"/>
  <c r="AH226" i="18" s="1"/>
  <c r="X65" i="18"/>
  <c r="AH65" i="18" s="1"/>
  <c r="X199" i="18"/>
  <c r="AH199" i="18" s="1"/>
  <c r="X45" i="18"/>
  <c r="AH45" i="18" s="1"/>
  <c r="X308" i="18"/>
  <c r="AH308" i="18" s="1"/>
  <c r="X27" i="18"/>
  <c r="AH27" i="18" s="1"/>
  <c r="X66" i="18"/>
  <c r="AH66" i="18" s="1"/>
  <c r="X315" i="18"/>
  <c r="AH315" i="18" s="1"/>
  <c r="X78" i="18"/>
  <c r="AH78" i="18" s="1"/>
  <c r="X289" i="18"/>
  <c r="AH289" i="18" s="1"/>
  <c r="X75" i="18"/>
  <c r="AH75" i="18" s="1"/>
  <c r="X240" i="18"/>
  <c r="AH240" i="18" s="1"/>
  <c r="X200" i="18"/>
  <c r="AH200" i="18" s="1"/>
  <c r="X261" i="18"/>
  <c r="AH261" i="18" s="1"/>
  <c r="X219" i="18"/>
  <c r="AH219" i="18" s="1"/>
  <c r="X7" i="18"/>
  <c r="AH7" i="18" s="1"/>
  <c r="X152" i="18"/>
  <c r="AH152" i="18" s="1"/>
  <c r="X237" i="18"/>
  <c r="AH237" i="18" s="1"/>
  <c r="X183" i="18"/>
  <c r="AH183" i="18" s="1"/>
  <c r="X136" i="18"/>
  <c r="AH136" i="18" s="1"/>
  <c r="X145" i="18"/>
  <c r="AH145" i="18" s="1"/>
  <c r="X140" i="18"/>
  <c r="AH140" i="18" s="1"/>
  <c r="X82" i="18"/>
  <c r="AH82" i="18" s="1"/>
  <c r="X244" i="18"/>
  <c r="AH244" i="18" s="1"/>
  <c r="X42" i="18"/>
  <c r="AH42" i="18" s="1"/>
  <c r="X369" i="18"/>
  <c r="AH369" i="18" s="1"/>
  <c r="X342" i="18"/>
  <c r="AH342" i="18" s="1"/>
  <c r="X148" i="18"/>
  <c r="AH148" i="18" s="1"/>
  <c r="X304" i="18"/>
  <c r="AH304" i="18" s="1"/>
  <c r="X175" i="18"/>
  <c r="AH175" i="18" s="1"/>
  <c r="X213" i="18"/>
  <c r="AH213" i="18" s="1"/>
  <c r="X233" i="18"/>
  <c r="AH233" i="18" s="1"/>
  <c r="X76" i="18"/>
  <c r="AH76" i="18" s="1"/>
  <c r="X34" i="18"/>
  <c r="AH34" i="18" s="1"/>
  <c r="X225" i="18"/>
  <c r="AH225" i="18" s="1"/>
  <c r="X171" i="18"/>
  <c r="AH171" i="18" s="1"/>
  <c r="X15" i="18"/>
  <c r="AH15" i="18" s="1"/>
  <c r="X70" i="18"/>
  <c r="AH70" i="18" s="1"/>
  <c r="X282" i="18"/>
  <c r="AH282" i="18" s="1"/>
  <c r="X52" i="18"/>
  <c r="AH52" i="18" s="1"/>
  <c r="X374" i="18"/>
  <c r="AH374" i="18" s="1"/>
  <c r="X266" i="18"/>
  <c r="AH266" i="18" s="1"/>
  <c r="X159" i="18"/>
  <c r="AH159" i="18" s="1"/>
  <c r="X80" i="18"/>
  <c r="AH80" i="18" s="1"/>
  <c r="X327" i="18"/>
  <c r="AH327" i="18" s="1"/>
  <c r="X48" i="18"/>
  <c r="AH48" i="18" s="1"/>
  <c r="X26" i="18"/>
  <c r="AH26" i="18" s="1"/>
  <c r="X299" i="18"/>
  <c r="AH299" i="18" s="1"/>
  <c r="X12" i="18"/>
  <c r="AH12" i="18" s="1"/>
  <c r="X53" i="18"/>
  <c r="AH53" i="18" s="1"/>
  <c r="X228" i="18"/>
  <c r="AH228" i="18" s="1"/>
  <c r="X321" i="18"/>
  <c r="AH321" i="18" s="1"/>
  <c r="X190" i="18"/>
  <c r="AH190" i="18" s="1"/>
  <c r="X127" i="18"/>
  <c r="AH127" i="18" s="1"/>
  <c r="X116" i="18"/>
  <c r="AH116" i="18" s="1"/>
  <c r="X194" i="18"/>
  <c r="AH194" i="18" s="1"/>
  <c r="X298" i="18"/>
  <c r="AH298" i="18" s="1"/>
  <c r="X355" i="18"/>
  <c r="AH355" i="18" s="1"/>
  <c r="X295" i="18"/>
  <c r="AH295" i="18" s="1"/>
  <c r="X51" i="18"/>
  <c r="AH51" i="18" s="1"/>
  <c r="X143" i="18"/>
  <c r="AH143" i="18" s="1"/>
  <c r="X182" i="18"/>
  <c r="AH182" i="18" s="1"/>
  <c r="X60" i="18"/>
  <c r="AH60" i="18" s="1"/>
  <c r="X291" i="18"/>
  <c r="AH291" i="18" s="1"/>
  <c r="X205" i="18"/>
  <c r="AH205" i="18" s="1"/>
  <c r="X38" i="18"/>
  <c r="AH38" i="18" s="1"/>
  <c r="X375" i="18"/>
  <c r="AH375" i="18" s="1"/>
  <c r="X376" i="18"/>
  <c r="AH376" i="18" s="1"/>
  <c r="X167" i="18"/>
  <c r="AH167" i="18" s="1"/>
  <c r="X16" i="18"/>
  <c r="AH16" i="18" s="1"/>
  <c r="X323" i="18"/>
  <c r="AH323" i="18" s="1"/>
  <c r="X343" i="18"/>
  <c r="AH343" i="18" s="1"/>
  <c r="F70" i="22"/>
  <c r="F96" i="22" s="1"/>
  <c r="G2" i="16"/>
  <c r="G43" i="22"/>
  <c r="F19" i="22" s="1"/>
  <c r="Q2" i="4"/>
  <c r="Q26" i="4" s="1"/>
  <c r="U1" i="4"/>
  <c r="AG2" i="4"/>
  <c r="AU1" i="4"/>
  <c r="B8" i="4"/>
  <c r="P3" i="4" s="1"/>
  <c r="AP17" i="4"/>
  <c r="C7" i="4"/>
  <c r="AQ16" i="4"/>
  <c r="F33" i="11" l="1"/>
  <c r="E45" i="22"/>
  <c r="F48" i="21"/>
  <c r="F48" i="24"/>
  <c r="F3" i="16"/>
  <c r="F46" i="22" s="1"/>
  <c r="F3" i="21"/>
  <c r="F49" i="22" s="1"/>
  <c r="F3" i="11"/>
  <c r="F45" i="11"/>
  <c r="F36" i="16"/>
  <c r="F48" i="16"/>
  <c r="F3" i="24"/>
  <c r="F47" i="22" s="1"/>
  <c r="F36" i="21"/>
  <c r="F36" i="24"/>
  <c r="G35" i="16"/>
  <c r="G47" i="16" s="1"/>
  <c r="AH2" i="18"/>
  <c r="H4" i="4"/>
  <c r="AH5" i="4" s="1"/>
  <c r="H10" i="4"/>
  <c r="AH11" i="4" s="1"/>
  <c r="H16" i="4"/>
  <c r="AH17" i="4" s="1"/>
  <c r="H22" i="4"/>
  <c r="AH23" i="4" s="1"/>
  <c r="H28" i="4"/>
  <c r="AH29" i="4" s="1"/>
  <c r="H34" i="4"/>
  <c r="AH35" i="4" s="1"/>
  <c r="H40" i="4"/>
  <c r="AH41" i="4" s="1"/>
  <c r="H2" i="4"/>
  <c r="AH3" i="4" s="1"/>
  <c r="H3" i="4"/>
  <c r="AH4" i="4" s="1"/>
  <c r="H9" i="4"/>
  <c r="AH10" i="4" s="1"/>
  <c r="H15" i="4"/>
  <c r="AH16" i="4" s="1"/>
  <c r="H21" i="4"/>
  <c r="AH22" i="4" s="1"/>
  <c r="H27" i="4"/>
  <c r="AH28" i="4" s="1"/>
  <c r="H33" i="4"/>
  <c r="AH34" i="4" s="1"/>
  <c r="H39" i="4"/>
  <c r="AH40" i="4" s="1"/>
  <c r="H8" i="4"/>
  <c r="AH9" i="4" s="1"/>
  <c r="H14" i="4"/>
  <c r="AH15" i="4" s="1"/>
  <c r="H20" i="4"/>
  <c r="AH21" i="4" s="1"/>
  <c r="H26" i="4"/>
  <c r="AH27" i="4" s="1"/>
  <c r="H32" i="4"/>
  <c r="AH33" i="4" s="1"/>
  <c r="H38" i="4"/>
  <c r="AH39" i="4" s="1"/>
  <c r="H44" i="4"/>
  <c r="AH45" i="4" s="1"/>
  <c r="H7" i="4"/>
  <c r="AH8" i="4" s="1"/>
  <c r="H13" i="4"/>
  <c r="AH14" i="4" s="1"/>
  <c r="H19" i="4"/>
  <c r="AH20" i="4" s="1"/>
  <c r="H25" i="4"/>
  <c r="AH26" i="4" s="1"/>
  <c r="H31" i="4"/>
  <c r="AH32" i="4" s="1"/>
  <c r="H37" i="4"/>
  <c r="AH38" i="4" s="1"/>
  <c r="H43" i="4"/>
  <c r="AH44" i="4" s="1"/>
  <c r="H6" i="4"/>
  <c r="AH7" i="4" s="1"/>
  <c r="H12" i="4"/>
  <c r="AH13" i="4" s="1"/>
  <c r="H18" i="4"/>
  <c r="AH19" i="4" s="1"/>
  <c r="H24" i="4"/>
  <c r="AH25" i="4" s="1"/>
  <c r="H30" i="4"/>
  <c r="AH31" i="4" s="1"/>
  <c r="H36" i="4"/>
  <c r="AH37" i="4" s="1"/>
  <c r="H42" i="4"/>
  <c r="AH43" i="4" s="1"/>
  <c r="H5" i="4"/>
  <c r="AH6" i="4" s="1"/>
  <c r="H11" i="4"/>
  <c r="AH12" i="4" s="1"/>
  <c r="H17" i="4"/>
  <c r="AH18" i="4" s="1"/>
  <c r="H23" i="4"/>
  <c r="AH24" i="4" s="1"/>
  <c r="H29" i="4"/>
  <c r="AH30" i="4" s="1"/>
  <c r="H35" i="4"/>
  <c r="AH36" i="4" s="1"/>
  <c r="H41" i="4"/>
  <c r="AH42" i="4" s="1"/>
  <c r="Y53" i="18"/>
  <c r="AI53" i="18" s="1"/>
  <c r="Y136" i="18"/>
  <c r="AI136" i="18" s="1"/>
  <c r="Y147" i="18"/>
  <c r="AI147" i="18" s="1"/>
  <c r="Y373" i="18"/>
  <c r="AI373" i="18" s="1"/>
  <c r="Y303" i="18"/>
  <c r="AI303" i="18" s="1"/>
  <c r="Y162" i="18"/>
  <c r="Y241" i="18"/>
  <c r="AI241" i="18" s="1"/>
  <c r="Y375" i="18"/>
  <c r="AI375" i="18" s="1"/>
  <c r="Y143" i="18"/>
  <c r="AI143" i="18" s="1"/>
  <c r="Y116" i="18"/>
  <c r="AI116" i="18" s="1"/>
  <c r="Y12" i="18"/>
  <c r="AI12" i="18" s="1"/>
  <c r="Y159" i="18"/>
  <c r="AI159" i="18" s="1"/>
  <c r="Y15" i="18"/>
  <c r="AI15" i="18" s="1"/>
  <c r="Y213" i="18"/>
  <c r="AI213" i="18" s="1"/>
  <c r="Y42" i="18"/>
  <c r="AI42" i="18" s="1"/>
  <c r="Y183" i="18"/>
  <c r="AI183" i="18" s="1"/>
  <c r="Y200" i="18"/>
  <c r="AI200" i="18" s="1"/>
  <c r="Y66" i="18"/>
  <c r="AI66" i="18" s="1"/>
  <c r="Y226" i="18"/>
  <c r="AI226" i="18" s="1"/>
  <c r="Y328" i="18"/>
  <c r="AI328" i="18" s="1"/>
  <c r="Y337" i="18"/>
  <c r="AI337" i="18" s="1"/>
  <c r="Y17" i="18"/>
  <c r="AI17" i="18" s="1"/>
  <c r="Y174" i="18"/>
  <c r="AI174" i="18" s="1"/>
  <c r="Y326" i="18"/>
  <c r="AI326" i="18" s="1"/>
  <c r="Y300" i="18"/>
  <c r="AI300" i="18" s="1"/>
  <c r="Y94" i="18"/>
  <c r="AI94" i="18" s="1"/>
  <c r="Y113" i="18"/>
  <c r="AI113" i="18" s="1"/>
  <c r="Y319" i="18"/>
  <c r="AI319" i="18" s="1"/>
  <c r="Y61" i="18"/>
  <c r="AI61" i="18" s="1"/>
  <c r="Y99" i="18"/>
  <c r="AI99" i="18" s="1"/>
  <c r="Y329" i="18"/>
  <c r="AI329" i="18" s="1"/>
  <c r="Y55" i="18"/>
  <c r="AI55" i="18" s="1"/>
  <c r="Y255" i="18"/>
  <c r="AI255" i="18" s="1"/>
  <c r="Y363" i="18"/>
  <c r="AI363" i="18" s="1"/>
  <c r="Y296" i="18"/>
  <c r="AI296" i="18" s="1"/>
  <c r="Y215" i="18"/>
  <c r="AI215" i="18" s="1"/>
  <c r="Y64" i="18"/>
  <c r="AI64" i="18" s="1"/>
  <c r="Y107" i="18"/>
  <c r="AI107" i="18" s="1"/>
  <c r="Y181" i="18"/>
  <c r="AI181" i="18" s="1"/>
  <c r="Y306" i="18"/>
  <c r="AI306" i="18" s="1"/>
  <c r="Y85" i="18"/>
  <c r="AI85" i="18" s="1"/>
  <c r="Y11" i="18"/>
  <c r="AI11" i="18" s="1"/>
  <c r="Y194" i="18"/>
  <c r="AI194" i="18" s="1"/>
  <c r="Y315" i="18"/>
  <c r="AI315" i="18" s="1"/>
  <c r="Y356" i="18"/>
  <c r="AI356" i="18" s="1"/>
  <c r="Y23" i="18"/>
  <c r="AI23" i="18" s="1"/>
  <c r="Y161" i="18"/>
  <c r="AI161" i="18" s="1"/>
  <c r="Y268" i="18"/>
  <c r="AI268" i="18" s="1"/>
  <c r="Y146" i="18"/>
  <c r="AI146" i="18" s="1"/>
  <c r="Y330" i="18"/>
  <c r="AI330" i="18" s="1"/>
  <c r="Y221" i="18"/>
  <c r="AI221" i="18" s="1"/>
  <c r="Y122" i="18"/>
  <c r="AI122" i="18" s="1"/>
  <c r="Y118" i="18"/>
  <c r="AI118" i="18" s="1"/>
  <c r="Y242" i="18"/>
  <c r="AI242" i="18" s="1"/>
  <c r="Y112" i="18"/>
  <c r="AI112" i="18" s="1"/>
  <c r="Y349" i="18"/>
  <c r="AI349" i="18" s="1"/>
  <c r="Y134" i="18"/>
  <c r="AI134" i="18" s="1"/>
  <c r="Y273" i="18"/>
  <c r="AI273" i="18" s="1"/>
  <c r="Y83" i="18"/>
  <c r="AI83" i="18" s="1"/>
  <c r="Y79" i="18"/>
  <c r="AI79" i="18" s="1"/>
  <c r="Y223" i="18"/>
  <c r="AI223" i="18" s="1"/>
  <c r="Y8" i="18"/>
  <c r="AI8" i="18" s="1"/>
  <c r="Y340" i="18"/>
  <c r="AI340" i="18" s="1"/>
  <c r="Y262" i="18"/>
  <c r="AI262" i="18" s="1"/>
  <c r="Y81" i="18"/>
  <c r="AI81" i="18" s="1"/>
  <c r="Y260" i="18"/>
  <c r="AI260" i="18" s="1"/>
  <c r="Y24" i="18"/>
  <c r="AI24" i="18" s="1"/>
  <c r="Y9" i="18"/>
  <c r="AI9" i="18" s="1"/>
  <c r="Y114" i="18"/>
  <c r="AI114" i="18" s="1"/>
  <c r="Y317" i="18"/>
  <c r="AI317" i="18" s="1"/>
  <c r="Y110" i="18"/>
  <c r="AI110" i="18" s="1"/>
  <c r="Y353" i="18"/>
  <c r="AI353" i="18" s="1"/>
  <c r="Y137" i="18"/>
  <c r="AI137" i="18" s="1"/>
  <c r="Y80" i="18"/>
  <c r="AI80" i="18" s="1"/>
  <c r="Y65" i="18"/>
  <c r="AI65" i="18" s="1"/>
  <c r="Y248" i="18"/>
  <c r="AI248" i="18" s="1"/>
  <c r="Y343" i="18"/>
  <c r="AI343" i="18" s="1"/>
  <c r="Y38" i="18"/>
  <c r="AI38" i="18" s="1"/>
  <c r="Y51" i="18"/>
  <c r="AI51" i="18" s="1"/>
  <c r="Y127" i="18"/>
  <c r="AI127" i="18" s="1"/>
  <c r="Y299" i="18"/>
  <c r="AI299" i="18" s="1"/>
  <c r="Y266" i="18"/>
  <c r="AI266" i="18" s="1"/>
  <c r="Y171" i="18"/>
  <c r="AI171" i="18" s="1"/>
  <c r="Y175" i="18"/>
  <c r="AI175" i="18" s="1"/>
  <c r="Y244" i="18"/>
  <c r="AI244" i="18" s="1"/>
  <c r="Y237" i="18"/>
  <c r="AI237" i="18" s="1"/>
  <c r="Y240" i="18"/>
  <c r="AI240" i="18" s="1"/>
  <c r="Y27" i="18"/>
  <c r="AI27" i="18" s="1"/>
  <c r="Y154" i="18"/>
  <c r="AI154" i="18" s="1"/>
  <c r="Y305" i="18"/>
  <c r="AI305" i="18" s="1"/>
  <c r="Y50" i="18"/>
  <c r="AI50" i="18" s="1"/>
  <c r="Y269" i="18"/>
  <c r="AI269" i="18" s="1"/>
  <c r="Y14" i="18"/>
  <c r="AI14" i="18" s="1"/>
  <c r="Y106" i="18"/>
  <c r="AI106" i="18" s="1"/>
  <c r="Y318" i="18"/>
  <c r="AI318" i="18" s="1"/>
  <c r="Y6" i="18"/>
  <c r="AI6" i="18" s="1"/>
  <c r="Y263" i="18"/>
  <c r="AI263" i="18" s="1"/>
  <c r="Y103" i="18"/>
  <c r="AI103" i="18" s="1"/>
  <c r="Y86" i="18"/>
  <c r="AI86" i="18" s="1"/>
  <c r="Y309" i="18"/>
  <c r="AI309" i="18" s="1"/>
  <c r="Y89" i="18"/>
  <c r="AI89" i="18" s="1"/>
  <c r="Y193" i="18"/>
  <c r="AI193" i="18" s="1"/>
  <c r="Y151" i="18"/>
  <c r="AI151" i="18" s="1"/>
  <c r="Y281" i="18"/>
  <c r="AI281" i="18" s="1"/>
  <c r="Y180" i="18"/>
  <c r="AI180" i="18" s="1"/>
  <c r="Y211" i="18"/>
  <c r="AI211" i="18" s="1"/>
  <c r="Y209" i="18"/>
  <c r="AI209" i="18" s="1"/>
  <c r="Y196" i="18"/>
  <c r="AI196" i="18" s="1"/>
  <c r="Y97" i="18"/>
  <c r="AI97" i="18" s="1"/>
  <c r="Y130" i="18"/>
  <c r="AI130" i="18" s="1"/>
  <c r="Y47" i="18"/>
  <c r="AI47" i="18" s="1"/>
  <c r="Y253" i="18"/>
  <c r="AI253" i="18" s="1"/>
  <c r="Y316" i="18"/>
  <c r="AI316" i="18" s="1"/>
  <c r="Y70" i="18"/>
  <c r="AI70" i="18" s="1"/>
  <c r="Y331" i="18"/>
  <c r="AI331" i="18" s="1"/>
  <c r="Y307" i="18"/>
  <c r="AI307" i="18" s="1"/>
  <c r="Y367" i="18"/>
  <c r="AI367" i="18" s="1"/>
  <c r="Y322" i="18"/>
  <c r="AI322" i="18" s="1"/>
  <c r="Y232" i="18"/>
  <c r="AI232" i="18" s="1"/>
  <c r="Y184" i="18"/>
  <c r="AI184" i="18" s="1"/>
  <c r="Y371" i="18"/>
  <c r="AI371" i="18" s="1"/>
  <c r="Y357" i="18"/>
  <c r="AI357" i="18" s="1"/>
  <c r="Y314" i="18"/>
  <c r="AI314" i="18" s="1"/>
  <c r="Y187" i="18"/>
  <c r="AI187" i="18" s="1"/>
  <c r="Y227" i="18"/>
  <c r="AI227" i="18" s="1"/>
  <c r="Y287" i="18"/>
  <c r="AI287" i="18" s="1"/>
  <c r="Y44" i="18"/>
  <c r="AI44" i="18" s="1"/>
  <c r="Y258" i="18"/>
  <c r="AI258" i="18" s="1"/>
  <c r="Y359" i="18"/>
  <c r="AI359" i="18" s="1"/>
  <c r="Y301" i="18"/>
  <c r="AI301" i="18" s="1"/>
  <c r="Y372" i="18"/>
  <c r="AI372" i="18" s="1"/>
  <c r="Y334" i="18"/>
  <c r="AI334" i="18" s="1"/>
  <c r="Y132" i="18"/>
  <c r="AI132" i="18" s="1"/>
  <c r="Y251" i="18"/>
  <c r="AI251" i="18" s="1"/>
  <c r="Y364" i="18"/>
  <c r="AI364" i="18" s="1"/>
  <c r="Y311" i="18"/>
  <c r="AI311" i="18" s="1"/>
  <c r="Y288" i="18"/>
  <c r="AI288" i="18" s="1"/>
  <c r="Y246" i="18"/>
  <c r="AI246" i="18" s="1"/>
  <c r="Y31" i="18"/>
  <c r="AI31" i="18" s="1"/>
  <c r="Y117" i="18"/>
  <c r="AI117" i="18" s="1"/>
  <c r="Y292" i="18"/>
  <c r="AI292" i="18" s="1"/>
  <c r="Y39" i="18"/>
  <c r="AI39" i="18" s="1"/>
  <c r="Y150" i="18"/>
  <c r="AI150" i="18" s="1"/>
  <c r="Y33" i="18"/>
  <c r="AI33" i="18" s="1"/>
  <c r="Y182" i="18"/>
  <c r="AI182" i="18" s="1"/>
  <c r="Y141" i="18"/>
  <c r="AI141" i="18" s="1"/>
  <c r="Y264" i="18"/>
  <c r="AI264" i="18" s="1"/>
  <c r="Y323" i="18"/>
  <c r="AI323" i="18" s="1"/>
  <c r="Y205" i="18"/>
  <c r="AI205" i="18" s="1"/>
  <c r="Y295" i="18"/>
  <c r="AI295" i="18" s="1"/>
  <c r="Y190" i="18"/>
  <c r="AI190" i="18" s="1"/>
  <c r="Y26" i="18"/>
  <c r="AI26" i="18" s="1"/>
  <c r="Y374" i="18"/>
  <c r="AI374" i="18" s="1"/>
  <c r="Y225" i="18"/>
  <c r="AI225" i="18" s="1"/>
  <c r="Y304" i="18"/>
  <c r="AI304" i="18" s="1"/>
  <c r="Y82" i="18"/>
  <c r="AI82" i="18" s="1"/>
  <c r="Y152" i="18"/>
  <c r="AI152" i="18" s="1"/>
  <c r="Y75" i="18"/>
  <c r="AI75" i="18" s="1"/>
  <c r="Y308" i="18"/>
  <c r="AI308" i="18" s="1"/>
  <c r="Y243" i="18"/>
  <c r="AI243" i="18" s="1"/>
  <c r="Y109" i="18"/>
  <c r="AI109" i="18" s="1"/>
  <c r="Y302" i="18"/>
  <c r="AI302" i="18" s="1"/>
  <c r="Y224" i="18"/>
  <c r="AI224" i="18" s="1"/>
  <c r="Y186" i="18"/>
  <c r="AI186" i="18" s="1"/>
  <c r="Y354" i="18"/>
  <c r="AI354" i="18" s="1"/>
  <c r="Y43" i="18"/>
  <c r="AI43" i="18" s="1"/>
  <c r="Y67" i="18"/>
  <c r="AI67" i="18" s="1"/>
  <c r="Y247" i="18"/>
  <c r="AI247" i="18" s="1"/>
  <c r="Y235" i="18"/>
  <c r="AI235" i="18" s="1"/>
  <c r="Y274" i="18"/>
  <c r="AI274" i="18" s="1"/>
  <c r="Y239" i="18"/>
  <c r="AI239" i="18" s="1"/>
  <c r="Y339" i="18"/>
  <c r="AI339" i="18" s="1"/>
  <c r="Y283" i="18"/>
  <c r="AI283" i="18" s="1"/>
  <c r="Y294" i="18"/>
  <c r="AI294" i="18" s="1"/>
  <c r="Y3" i="18"/>
  <c r="AI3" i="18" s="1"/>
  <c r="Y212" i="18"/>
  <c r="AI212" i="18" s="1"/>
  <c r="Y252" i="18"/>
  <c r="AI252" i="18" s="1"/>
  <c r="Y102" i="18"/>
  <c r="AI102" i="18" s="1"/>
  <c r="Y231" i="18"/>
  <c r="AI231" i="18" s="1"/>
  <c r="Y249" i="18"/>
  <c r="AI249" i="18" s="1"/>
  <c r="Y139" i="18"/>
  <c r="AI139" i="18" s="1"/>
  <c r="Y234" i="18"/>
  <c r="AI234" i="18" s="1"/>
  <c r="Y163" i="18"/>
  <c r="AI163" i="18" s="1"/>
  <c r="Y233" i="18"/>
  <c r="AI233" i="18" s="1"/>
  <c r="Y29" i="18"/>
  <c r="AI29" i="18" s="1"/>
  <c r="Y135" i="18"/>
  <c r="AI135" i="18" s="1"/>
  <c r="Y210" i="18"/>
  <c r="AI210" i="18" s="1"/>
  <c r="Y144" i="18"/>
  <c r="AI144" i="18" s="1"/>
  <c r="Y48" i="18"/>
  <c r="AI48" i="18" s="1"/>
  <c r="Y351" i="18"/>
  <c r="AI351" i="18" s="1"/>
  <c r="Y297" i="18"/>
  <c r="AI297" i="18" s="1"/>
  <c r="Y63" i="18"/>
  <c r="AI63" i="18" s="1"/>
  <c r="Y312" i="18"/>
  <c r="AI312" i="18" s="1"/>
  <c r="Y350" i="18"/>
  <c r="AI350" i="18" s="1"/>
  <c r="Y77" i="18"/>
  <c r="AI77" i="18" s="1"/>
  <c r="Y160" i="18"/>
  <c r="AI160" i="18" s="1"/>
  <c r="Y222" i="18"/>
  <c r="AI222" i="18" s="1"/>
  <c r="Y346" i="18"/>
  <c r="AI346" i="18" s="1"/>
  <c r="Y267" i="18"/>
  <c r="AI267" i="18" s="1"/>
  <c r="Y230" i="18"/>
  <c r="AI230" i="18" s="1"/>
  <c r="Y202" i="18"/>
  <c r="AI202" i="18" s="1"/>
  <c r="Y344" i="18"/>
  <c r="AI344" i="18" s="1"/>
  <c r="Y370" i="18"/>
  <c r="AI370" i="18" s="1"/>
  <c r="Y40" i="18"/>
  <c r="AI40" i="18" s="1"/>
  <c r="Y88" i="18"/>
  <c r="AI88" i="18" s="1"/>
  <c r="Y72" i="18"/>
  <c r="AI72" i="18" s="1"/>
  <c r="Y236" i="18"/>
  <c r="AI236" i="18" s="1"/>
  <c r="Y320" i="18"/>
  <c r="AI320" i="18" s="1"/>
  <c r="Y341" i="18"/>
  <c r="AI341" i="18" s="1"/>
  <c r="Y125" i="18"/>
  <c r="AI125" i="18" s="1"/>
  <c r="Y207" i="18"/>
  <c r="AI207" i="18" s="1"/>
  <c r="Y280" i="18"/>
  <c r="AI280" i="18" s="1"/>
  <c r="Y338" i="18"/>
  <c r="AI338" i="18" s="1"/>
  <c r="Y149" i="18"/>
  <c r="AI149" i="18" s="1"/>
  <c r="Y126" i="18"/>
  <c r="AI126" i="18" s="1"/>
  <c r="Y310" i="18"/>
  <c r="AI310" i="18" s="1"/>
  <c r="Y376" i="18"/>
  <c r="AI376" i="18" s="1"/>
  <c r="Y261" i="18"/>
  <c r="AI261" i="18" s="1"/>
  <c r="Y220" i="18"/>
  <c r="AI220" i="18" s="1"/>
  <c r="Y69" i="18"/>
  <c r="AI69" i="18" s="1"/>
  <c r="Y16" i="18"/>
  <c r="AI16" i="18" s="1"/>
  <c r="Y291" i="18"/>
  <c r="AI291" i="18" s="1"/>
  <c r="Y355" i="18"/>
  <c r="AI355" i="18" s="1"/>
  <c r="Y321" i="18"/>
  <c r="AI321" i="18" s="1"/>
  <c r="Y52" i="18"/>
  <c r="AI52" i="18" s="1"/>
  <c r="Y34" i="18"/>
  <c r="AI34" i="18" s="1"/>
  <c r="Y148" i="18"/>
  <c r="AI148" i="18" s="1"/>
  <c r="Y140" i="18"/>
  <c r="AI140" i="18" s="1"/>
  <c r="Y7" i="18"/>
  <c r="AI7" i="18" s="1"/>
  <c r="Y289" i="18"/>
  <c r="AI289" i="18" s="1"/>
  <c r="Y45" i="18"/>
  <c r="AI45" i="18" s="1"/>
  <c r="Y229" i="18"/>
  <c r="AI229" i="18" s="1"/>
  <c r="Y156" i="18"/>
  <c r="AI156" i="18" s="1"/>
  <c r="Y325" i="18"/>
  <c r="AI325" i="18" s="1"/>
  <c r="Y36" i="18"/>
  <c r="AI36" i="18" s="1"/>
  <c r="Y335" i="18"/>
  <c r="AI335" i="18" s="1"/>
  <c r="Y68" i="18"/>
  <c r="AI68" i="18" s="1"/>
  <c r="Y257" i="18"/>
  <c r="AI257" i="18" s="1"/>
  <c r="Y46" i="18"/>
  <c r="AI46" i="18" s="1"/>
  <c r="Y276" i="18"/>
  <c r="AI276" i="18" s="1"/>
  <c r="Y95" i="18"/>
  <c r="AI95" i="18" s="1"/>
  <c r="Y293" i="18"/>
  <c r="AI293" i="18" s="1"/>
  <c r="Y121" i="18"/>
  <c r="AI121" i="18" s="1"/>
  <c r="Y37" i="18"/>
  <c r="AI37" i="18" s="1"/>
  <c r="Y277" i="18"/>
  <c r="AI277" i="18" s="1"/>
  <c r="Y361" i="18"/>
  <c r="AI361" i="18" s="1"/>
  <c r="Y124" i="18"/>
  <c r="AI124" i="18" s="1"/>
  <c r="Y62" i="18"/>
  <c r="AI62" i="18" s="1"/>
  <c r="Y21" i="18"/>
  <c r="AI21" i="18" s="1"/>
  <c r="Y25" i="18"/>
  <c r="AI25" i="18" s="1"/>
  <c r="Y170" i="18"/>
  <c r="AI170" i="18" s="1"/>
  <c r="Y41" i="18"/>
  <c r="AI41" i="18" s="1"/>
  <c r="Y10" i="18"/>
  <c r="AI10" i="18" s="1"/>
  <c r="Y30" i="18"/>
  <c r="AI30" i="18" s="1"/>
  <c r="Y93" i="18"/>
  <c r="AI93" i="18" s="1"/>
  <c r="Y259" i="18"/>
  <c r="AI259" i="18" s="1"/>
  <c r="Y153" i="18"/>
  <c r="AI153" i="18" s="1"/>
  <c r="Y192" i="18"/>
  <c r="AI192" i="18" s="1"/>
  <c r="Y120" i="18"/>
  <c r="AI120" i="18" s="1"/>
  <c r="Y345" i="18"/>
  <c r="AI345" i="18" s="1"/>
  <c r="Y111" i="18"/>
  <c r="AI111" i="18" s="1"/>
  <c r="Y256" i="18"/>
  <c r="AI256" i="18" s="1"/>
  <c r="Y214" i="18"/>
  <c r="AI214" i="18" s="1"/>
  <c r="Y286" i="18"/>
  <c r="AI286" i="18" s="1"/>
  <c r="Y173" i="18"/>
  <c r="AI173" i="18" s="1"/>
  <c r="Y366" i="18"/>
  <c r="AI366" i="18" s="1"/>
  <c r="Y290" i="18"/>
  <c r="AI290" i="18" s="1"/>
  <c r="Y178" i="18"/>
  <c r="AI178" i="18" s="1"/>
  <c r="Y131" i="18"/>
  <c r="AI131" i="18" s="1"/>
  <c r="Y128" i="18"/>
  <c r="AI128" i="18" s="1"/>
  <c r="Y191" i="18"/>
  <c r="AI191" i="18" s="1"/>
  <c r="Y324" i="18"/>
  <c r="AI324" i="18" s="1"/>
  <c r="Y90" i="18"/>
  <c r="AI90" i="18" s="1"/>
  <c r="Y133" i="18"/>
  <c r="AI133" i="18" s="1"/>
  <c r="Y74" i="18"/>
  <c r="AI74" i="18" s="1"/>
  <c r="Y142" i="18"/>
  <c r="AI142" i="18" s="1"/>
  <c r="Y98" i="18"/>
  <c r="AI98" i="18" s="1"/>
  <c r="Y270" i="18"/>
  <c r="AI270" i="18" s="1"/>
  <c r="Y168" i="18"/>
  <c r="AI168" i="18" s="1"/>
  <c r="Y362" i="18"/>
  <c r="AI362" i="18" s="1"/>
  <c r="Y278" i="18"/>
  <c r="AI278" i="18" s="1"/>
  <c r="Y185" i="18"/>
  <c r="AI185" i="18" s="1"/>
  <c r="Y167" i="18"/>
  <c r="AI167" i="18" s="1"/>
  <c r="Y60" i="18"/>
  <c r="AI60" i="18" s="1"/>
  <c r="Y298" i="18"/>
  <c r="AI298" i="18" s="1"/>
  <c r="Y228" i="18"/>
  <c r="AI228" i="18" s="1"/>
  <c r="Y327" i="18"/>
  <c r="AI327" i="18" s="1"/>
  <c r="Y282" i="18"/>
  <c r="AI282" i="18" s="1"/>
  <c r="Y76" i="18"/>
  <c r="AI76" i="18" s="1"/>
  <c r="Y342" i="18"/>
  <c r="AI342" i="18" s="1"/>
  <c r="Y145" i="18"/>
  <c r="AI145" i="18" s="1"/>
  <c r="Y219" i="18"/>
  <c r="AI219" i="18" s="1"/>
  <c r="Y78" i="18"/>
  <c r="AI78" i="18" s="1"/>
  <c r="Y199" i="18"/>
  <c r="AI199" i="18" s="1"/>
  <c r="Y218" i="18"/>
  <c r="AI218" i="18" s="1"/>
  <c r="Y360" i="18"/>
  <c r="AI360" i="18" s="1"/>
  <c r="Y84" i="18"/>
  <c r="AI84" i="18" s="1"/>
  <c r="Y336" i="18"/>
  <c r="AI336" i="18" s="1"/>
  <c r="Y203" i="18"/>
  <c r="AI203" i="18" s="1"/>
  <c r="Y271" i="18"/>
  <c r="AI271" i="18" s="1"/>
  <c r="Y347" i="18"/>
  <c r="AI347" i="18" s="1"/>
  <c r="Y272" i="18"/>
  <c r="AI272" i="18" s="1"/>
  <c r="Y177" i="18"/>
  <c r="AI177" i="18" s="1"/>
  <c r="Y2" i="18"/>
  <c r="Y158" i="18"/>
  <c r="AI158" i="18" s="1"/>
  <c r="Y56" i="18"/>
  <c r="AI56" i="18" s="1"/>
  <c r="Y119" i="18"/>
  <c r="AI119" i="18" s="1"/>
  <c r="Y92" i="18"/>
  <c r="AI92" i="18" s="1"/>
  <c r="Y208" i="18"/>
  <c r="AI208" i="18" s="1"/>
  <c r="Y108" i="18"/>
  <c r="AI108" i="18" s="1"/>
  <c r="Y204" i="18"/>
  <c r="AI204" i="18" s="1"/>
  <c r="Y285" i="18"/>
  <c r="AI285" i="18" s="1"/>
  <c r="Y333" i="18"/>
  <c r="AI333" i="18" s="1"/>
  <c r="Y104" i="18"/>
  <c r="AI104" i="18" s="1"/>
  <c r="Y5" i="18"/>
  <c r="AI5" i="18" s="1"/>
  <c r="Y164" i="18"/>
  <c r="AI164" i="18" s="1"/>
  <c r="Y115" i="18"/>
  <c r="AI115" i="18" s="1"/>
  <c r="AH162" i="18"/>
  <c r="Y172" i="18"/>
  <c r="AI172" i="18" s="1"/>
  <c r="Y206" i="18"/>
  <c r="AI206" i="18" s="1"/>
  <c r="Y100" i="18"/>
  <c r="AI100" i="18" s="1"/>
  <c r="Y138" i="18"/>
  <c r="AI138" i="18" s="1"/>
  <c r="Y105" i="18"/>
  <c r="AI105" i="18" s="1"/>
  <c r="Y91" i="18"/>
  <c r="AI91" i="18" s="1"/>
  <c r="Y49" i="18"/>
  <c r="AI49" i="18" s="1"/>
  <c r="Y189" i="18"/>
  <c r="AI189" i="18" s="1"/>
  <c r="Y73" i="18"/>
  <c r="AI73" i="18" s="1"/>
  <c r="Y71" i="18"/>
  <c r="AI71" i="18" s="1"/>
  <c r="Y332" i="18"/>
  <c r="AI332" i="18" s="1"/>
  <c r="Y13" i="18"/>
  <c r="AI13" i="18" s="1"/>
  <c r="Y365" i="18"/>
  <c r="AI365" i="18" s="1"/>
  <c r="Y59" i="18"/>
  <c r="AI59" i="18" s="1"/>
  <c r="Y238" i="18"/>
  <c r="AI238" i="18" s="1"/>
  <c r="Y54" i="18"/>
  <c r="AI54" i="18" s="1"/>
  <c r="Y169" i="18"/>
  <c r="AI169" i="18" s="1"/>
  <c r="Y165" i="18"/>
  <c r="AI165" i="18" s="1"/>
  <c r="Y179" i="18"/>
  <c r="AI179" i="18" s="1"/>
  <c r="Y157" i="18"/>
  <c r="AI157" i="18" s="1"/>
  <c r="Y198" i="18"/>
  <c r="AI198" i="18" s="1"/>
  <c r="Y245" i="18"/>
  <c r="AI245" i="18" s="1"/>
  <c r="Y32" i="18"/>
  <c r="AI32" i="18" s="1"/>
  <c r="Y201" i="18"/>
  <c r="AI201" i="18" s="1"/>
  <c r="Y101" i="18"/>
  <c r="AI101" i="18" s="1"/>
  <c r="Y197" i="18"/>
  <c r="AI197" i="18" s="1"/>
  <c r="Y35" i="18"/>
  <c r="AI35" i="18" s="1"/>
  <c r="Y254" i="18"/>
  <c r="AI254" i="18" s="1"/>
  <c r="Y369" i="18"/>
  <c r="AI369" i="18" s="1"/>
  <c r="Y217" i="18"/>
  <c r="AI217" i="18" s="1"/>
  <c r="Y216" i="18"/>
  <c r="AI216" i="18" s="1"/>
  <c r="Y18" i="18"/>
  <c r="AI18" i="18" s="1"/>
  <c r="Y352" i="18"/>
  <c r="AI352" i="18" s="1"/>
  <c r="Y358" i="18"/>
  <c r="AI358" i="18" s="1"/>
  <c r="Y348" i="18"/>
  <c r="AI348" i="18" s="1"/>
  <c r="Y275" i="18"/>
  <c r="AI275" i="18" s="1"/>
  <c r="Y155" i="18"/>
  <c r="AI155" i="18" s="1"/>
  <c r="Y20" i="18"/>
  <c r="AI20" i="18" s="1"/>
  <c r="Y57" i="18"/>
  <c r="AI57" i="18" s="1"/>
  <c r="Y166" i="18"/>
  <c r="AI166" i="18" s="1"/>
  <c r="Y96" i="18"/>
  <c r="AI96" i="18" s="1"/>
  <c r="Y368" i="18"/>
  <c r="AI368" i="18" s="1"/>
  <c r="Y265" i="18"/>
  <c r="AI265" i="18" s="1"/>
  <c r="Y87" i="18"/>
  <c r="AI87" i="18" s="1"/>
  <c r="Y284" i="18"/>
  <c r="AI284" i="18" s="1"/>
  <c r="Y58" i="18"/>
  <c r="AI58" i="18" s="1"/>
  <c r="Y250" i="18"/>
  <c r="AI250" i="18" s="1"/>
  <c r="Y123" i="18"/>
  <c r="AI123" i="18" s="1"/>
  <c r="Y176" i="18"/>
  <c r="AI176" i="18" s="1"/>
  <c r="Y188" i="18"/>
  <c r="AI188" i="18" s="1"/>
  <c r="Y129" i="18"/>
  <c r="AI129" i="18" s="1"/>
  <c r="Y19" i="18"/>
  <c r="AI19" i="18" s="1"/>
  <c r="Y28" i="18"/>
  <c r="AI28" i="18" s="1"/>
  <c r="Y195" i="18"/>
  <c r="AI195" i="18" s="1"/>
  <c r="Y22" i="18"/>
  <c r="AI22" i="18" s="1"/>
  <c r="Y313" i="18"/>
  <c r="AI313" i="18" s="1"/>
  <c r="Y279" i="18"/>
  <c r="AI279" i="18" s="1"/>
  <c r="Y4" i="18"/>
  <c r="AI4" i="18" s="1"/>
  <c r="G70" i="22"/>
  <c r="G96" i="22" s="1"/>
  <c r="H2" i="16"/>
  <c r="H43" i="22"/>
  <c r="G19" i="22" s="1"/>
  <c r="AV1" i="4"/>
  <c r="AH2" i="4"/>
  <c r="V1" i="4"/>
  <c r="C8" i="4"/>
  <c r="AQ17" i="4"/>
  <c r="B9" i="4"/>
  <c r="AP18" i="4"/>
  <c r="BD4" i="4" s="1"/>
  <c r="G33" i="11" l="1"/>
  <c r="G48" i="16"/>
  <c r="G48" i="24"/>
  <c r="G45" i="11"/>
  <c r="G3" i="16"/>
  <c r="G46" i="22" s="1"/>
  <c r="G3" i="21"/>
  <c r="G49" i="22" s="1"/>
  <c r="G36" i="21"/>
  <c r="G3" i="11"/>
  <c r="G48" i="22" s="1"/>
  <c r="G36" i="16"/>
  <c r="G36" i="24"/>
  <c r="G48" i="21"/>
  <c r="F48" i="22"/>
  <c r="F45" i="22" s="1"/>
  <c r="H35" i="16"/>
  <c r="H47" i="16" s="1"/>
  <c r="AI2" i="18"/>
  <c r="I34" i="4"/>
  <c r="AI35" i="4" s="1"/>
  <c r="I4" i="4"/>
  <c r="AI5" i="4" s="1"/>
  <c r="I10" i="4"/>
  <c r="AI11" i="4" s="1"/>
  <c r="I16" i="4"/>
  <c r="AI17" i="4" s="1"/>
  <c r="I22" i="4"/>
  <c r="AI23" i="4" s="1"/>
  <c r="I28" i="4"/>
  <c r="AI29" i="4" s="1"/>
  <c r="I40" i="4"/>
  <c r="AI41" i="4" s="1"/>
  <c r="I2" i="4"/>
  <c r="AI3" i="4" s="1"/>
  <c r="I3" i="4"/>
  <c r="AI4" i="4" s="1"/>
  <c r="I9" i="4"/>
  <c r="AI10" i="4" s="1"/>
  <c r="I15" i="4"/>
  <c r="AI16" i="4" s="1"/>
  <c r="I21" i="4"/>
  <c r="AI22" i="4" s="1"/>
  <c r="I27" i="4"/>
  <c r="AI28" i="4" s="1"/>
  <c r="I33" i="4"/>
  <c r="AI34" i="4" s="1"/>
  <c r="I39" i="4"/>
  <c r="AI40" i="4" s="1"/>
  <c r="I17" i="4"/>
  <c r="AI18" i="4" s="1"/>
  <c r="I8" i="4"/>
  <c r="AI9" i="4" s="1"/>
  <c r="I14" i="4"/>
  <c r="AI15" i="4" s="1"/>
  <c r="I20" i="4"/>
  <c r="AI21" i="4" s="1"/>
  <c r="I26" i="4"/>
  <c r="AI27" i="4" s="1"/>
  <c r="I32" i="4"/>
  <c r="AI33" i="4" s="1"/>
  <c r="I38" i="4"/>
  <c r="AI39" i="4" s="1"/>
  <c r="I44" i="4"/>
  <c r="AI45" i="4" s="1"/>
  <c r="I5" i="4"/>
  <c r="AI6" i="4" s="1"/>
  <c r="I7" i="4"/>
  <c r="AI8" i="4" s="1"/>
  <c r="I13" i="4"/>
  <c r="AI14" i="4" s="1"/>
  <c r="I19" i="4"/>
  <c r="AI20" i="4" s="1"/>
  <c r="I25" i="4"/>
  <c r="AI26" i="4" s="1"/>
  <c r="I31" i="4"/>
  <c r="AI32" i="4" s="1"/>
  <c r="I37" i="4"/>
  <c r="AI38" i="4" s="1"/>
  <c r="I43" i="4"/>
  <c r="AI44" i="4" s="1"/>
  <c r="I23" i="4"/>
  <c r="AI24" i="4" s="1"/>
  <c r="I29" i="4"/>
  <c r="AI30" i="4" s="1"/>
  <c r="I6" i="4"/>
  <c r="AI7" i="4" s="1"/>
  <c r="I12" i="4"/>
  <c r="AI13" i="4" s="1"/>
  <c r="I18" i="4"/>
  <c r="AI19" i="4" s="1"/>
  <c r="I24" i="4"/>
  <c r="AI25" i="4" s="1"/>
  <c r="I30" i="4"/>
  <c r="AI31" i="4" s="1"/>
  <c r="I36" i="4"/>
  <c r="AI37" i="4" s="1"/>
  <c r="I42" i="4"/>
  <c r="AI43" i="4" s="1"/>
  <c r="I41" i="4"/>
  <c r="AI42" i="4" s="1"/>
  <c r="I11" i="4"/>
  <c r="AI12" i="4" s="1"/>
  <c r="I35" i="4"/>
  <c r="AI36" i="4" s="1"/>
  <c r="Z348" i="18"/>
  <c r="AJ348" i="18" s="1"/>
  <c r="Z369" i="18"/>
  <c r="AJ369" i="18" s="1"/>
  <c r="Z169" i="18"/>
  <c r="AJ169" i="18" s="1"/>
  <c r="Z105" i="18"/>
  <c r="AJ105" i="18" s="1"/>
  <c r="Z125" i="18"/>
  <c r="AJ125" i="18" s="1"/>
  <c r="Z40" i="18"/>
  <c r="AJ40" i="18" s="1"/>
  <c r="Z66" i="18"/>
  <c r="AJ66" i="18" s="1"/>
  <c r="AI162" i="18"/>
  <c r="G3" i="24" s="1"/>
  <c r="G47" i="22" s="1"/>
  <c r="Z185" i="18"/>
  <c r="AJ185" i="18" s="1"/>
  <c r="Z276" i="18"/>
  <c r="AJ276" i="18" s="1"/>
  <c r="Z285" i="18"/>
  <c r="AJ285" i="18" s="1"/>
  <c r="Z56" i="18"/>
  <c r="AJ56" i="18" s="1"/>
  <c r="Z271" i="18"/>
  <c r="AJ271" i="18" s="1"/>
  <c r="Z199" i="18"/>
  <c r="AJ199" i="18" s="1"/>
  <c r="Z282" i="18"/>
  <c r="AJ282" i="18" s="1"/>
  <c r="Z142" i="18"/>
  <c r="AJ142" i="18" s="1"/>
  <c r="Z128" i="18"/>
  <c r="AJ128" i="18" s="1"/>
  <c r="Z286" i="18"/>
  <c r="AJ286" i="18" s="1"/>
  <c r="Z192" i="18"/>
  <c r="AJ192" i="18" s="1"/>
  <c r="Z41" i="18"/>
  <c r="AJ41" i="18" s="1"/>
  <c r="Z361" i="18"/>
  <c r="AJ361" i="18" s="1"/>
  <c r="Z325" i="18"/>
  <c r="AJ325" i="18" s="1"/>
  <c r="Z140" i="18"/>
  <c r="AJ140" i="18" s="1"/>
  <c r="Z291" i="18"/>
  <c r="AJ291" i="18" s="1"/>
  <c r="Z310" i="18"/>
  <c r="AJ310" i="18" s="1"/>
  <c r="Z346" i="18"/>
  <c r="AJ346" i="18" s="1"/>
  <c r="Z63" i="18"/>
  <c r="AJ63" i="18" s="1"/>
  <c r="Z135" i="18"/>
  <c r="AJ135" i="18" s="1"/>
  <c r="Z249" i="18"/>
  <c r="AJ249" i="18" s="1"/>
  <c r="Z294" i="18"/>
  <c r="AJ294" i="18" s="1"/>
  <c r="Z247" i="18"/>
  <c r="AJ247" i="18" s="1"/>
  <c r="Z302" i="18"/>
  <c r="AJ302" i="18" s="1"/>
  <c r="Z82" i="18"/>
  <c r="AJ82" i="18" s="1"/>
  <c r="Z295" i="18"/>
  <c r="AJ295" i="18" s="1"/>
  <c r="Z33" i="18"/>
  <c r="AJ33" i="18" s="1"/>
  <c r="Z246" i="18"/>
  <c r="AJ246" i="18" s="1"/>
  <c r="Z334" i="18"/>
  <c r="AJ334" i="18" s="1"/>
  <c r="Z287" i="18"/>
  <c r="AJ287" i="18" s="1"/>
  <c r="Z184" i="18"/>
  <c r="AJ184" i="18" s="1"/>
  <c r="Z70" i="18"/>
  <c r="AJ70" i="18" s="1"/>
  <c r="Z196" i="18"/>
  <c r="AJ196" i="18" s="1"/>
  <c r="Z193" i="18"/>
  <c r="AJ193" i="18" s="1"/>
  <c r="Z6" i="18"/>
  <c r="AJ6" i="18" s="1"/>
  <c r="Z305" i="18"/>
  <c r="AJ305" i="18" s="1"/>
  <c r="Z175" i="18"/>
  <c r="AJ175" i="18" s="1"/>
  <c r="Z38" i="18"/>
  <c r="AJ38" i="18" s="1"/>
  <c r="Z353" i="18"/>
  <c r="AJ353" i="18" s="1"/>
  <c r="Z260" i="18"/>
  <c r="AJ260" i="18" s="1"/>
  <c r="Z79" i="18"/>
  <c r="AJ79" i="18" s="1"/>
  <c r="Z242" i="18"/>
  <c r="AJ242" i="18" s="1"/>
  <c r="Z268" i="18"/>
  <c r="AJ268" i="18" s="1"/>
  <c r="Z11" i="18"/>
  <c r="AJ11" i="18" s="1"/>
  <c r="Z215" i="18"/>
  <c r="AJ215" i="18" s="1"/>
  <c r="Z99" i="18"/>
  <c r="AJ99" i="18" s="1"/>
  <c r="Z326" i="18"/>
  <c r="AJ326" i="18" s="1"/>
  <c r="Z159" i="18"/>
  <c r="AJ159" i="18" s="1"/>
  <c r="Z162" i="18"/>
  <c r="Z28" i="18"/>
  <c r="AJ28" i="18" s="1"/>
  <c r="Z19" i="18"/>
  <c r="AJ19" i="18" s="1"/>
  <c r="Z166" i="18"/>
  <c r="AJ166" i="18" s="1"/>
  <c r="Z254" i="18"/>
  <c r="AJ254" i="18" s="1"/>
  <c r="Z150" i="18"/>
  <c r="AJ150" i="18" s="1"/>
  <c r="Z275" i="18"/>
  <c r="AJ275" i="18" s="1"/>
  <c r="Z4" i="18"/>
  <c r="AJ4" i="18" s="1"/>
  <c r="Z58" i="18"/>
  <c r="AJ58" i="18" s="1"/>
  <c r="Z358" i="18"/>
  <c r="AJ358" i="18" s="1"/>
  <c r="Z245" i="18"/>
  <c r="AJ245" i="18" s="1"/>
  <c r="Z54" i="18"/>
  <c r="AJ54" i="18" s="1"/>
  <c r="Z71" i="18"/>
  <c r="AJ71" i="18" s="1"/>
  <c r="Z138" i="18"/>
  <c r="AJ138" i="18" s="1"/>
  <c r="Z283" i="18"/>
  <c r="AJ283" i="18" s="1"/>
  <c r="Z115" i="18"/>
  <c r="AJ115" i="18" s="1"/>
  <c r="Z204" i="18"/>
  <c r="AJ204" i="18" s="1"/>
  <c r="Z158" i="18"/>
  <c r="AJ158" i="18" s="1"/>
  <c r="Z203" i="18"/>
  <c r="AJ203" i="18" s="1"/>
  <c r="Z78" i="18"/>
  <c r="AJ78" i="18" s="1"/>
  <c r="Z327" i="18"/>
  <c r="AJ327" i="18" s="1"/>
  <c r="Z278" i="18"/>
  <c r="AJ278" i="18" s="1"/>
  <c r="Z74" i="18"/>
  <c r="AJ74" i="18" s="1"/>
  <c r="Z131" i="18"/>
  <c r="AJ131" i="18" s="1"/>
  <c r="Z214" i="18"/>
  <c r="AJ214" i="18" s="1"/>
  <c r="Z153" i="18"/>
  <c r="AJ153" i="18" s="1"/>
  <c r="Z170" i="18"/>
  <c r="AJ170" i="18" s="1"/>
  <c r="Z277" i="18"/>
  <c r="AJ277" i="18" s="1"/>
  <c r="Z46" i="18"/>
  <c r="AJ46" i="18" s="1"/>
  <c r="Z156" i="18"/>
  <c r="AJ156" i="18" s="1"/>
  <c r="Z148" i="18"/>
  <c r="AJ148" i="18" s="1"/>
  <c r="Z16" i="18"/>
  <c r="AJ16" i="18" s="1"/>
  <c r="Z126" i="18"/>
  <c r="AJ126" i="18" s="1"/>
  <c r="Z341" i="18"/>
  <c r="AJ341" i="18" s="1"/>
  <c r="Z370" i="18"/>
  <c r="AJ370" i="18" s="1"/>
  <c r="Z222" i="18"/>
  <c r="AJ222" i="18" s="1"/>
  <c r="Z297" i="18"/>
  <c r="AJ297" i="18" s="1"/>
  <c r="Z29" i="18"/>
  <c r="AJ29" i="18" s="1"/>
  <c r="Z231" i="18"/>
  <c r="AJ231" i="18" s="1"/>
  <c r="Z67" i="18"/>
  <c r="AJ67" i="18" s="1"/>
  <c r="Z109" i="18"/>
  <c r="AJ109" i="18" s="1"/>
  <c r="Z304" i="18"/>
  <c r="AJ304" i="18" s="1"/>
  <c r="Z205" i="18"/>
  <c r="AJ205" i="18" s="1"/>
  <c r="Z288" i="18"/>
  <c r="AJ288" i="18" s="1"/>
  <c r="Z372" i="18"/>
  <c r="AJ372" i="18" s="1"/>
  <c r="Z227" i="18"/>
  <c r="AJ227" i="18" s="1"/>
  <c r="Z232" i="18"/>
  <c r="AJ232" i="18" s="1"/>
  <c r="Z316" i="18"/>
  <c r="AJ316" i="18" s="1"/>
  <c r="Z209" i="18"/>
  <c r="AJ209" i="18" s="1"/>
  <c r="Z89" i="18"/>
  <c r="AJ89" i="18" s="1"/>
  <c r="Z318" i="18"/>
  <c r="AJ318" i="18" s="1"/>
  <c r="Z154" i="18"/>
  <c r="AJ154" i="18" s="1"/>
  <c r="Z171" i="18"/>
  <c r="AJ171" i="18" s="1"/>
  <c r="Z343" i="18"/>
  <c r="AJ343" i="18" s="1"/>
  <c r="Z110" i="18"/>
  <c r="AJ110" i="18" s="1"/>
  <c r="Z81" i="18"/>
  <c r="AJ81" i="18" s="1"/>
  <c r="Z83" i="18"/>
  <c r="AJ83" i="18" s="1"/>
  <c r="Z118" i="18"/>
  <c r="AJ118" i="18" s="1"/>
  <c r="Z161" i="18"/>
  <c r="AJ161" i="18" s="1"/>
  <c r="Z85" i="18"/>
  <c r="AJ85" i="18" s="1"/>
  <c r="Z296" i="18"/>
  <c r="AJ296" i="18" s="1"/>
  <c r="Z61" i="18"/>
  <c r="AJ61" i="18" s="1"/>
  <c r="Z174" i="18"/>
  <c r="AJ174" i="18" s="1"/>
  <c r="Z200" i="18"/>
  <c r="AJ200" i="18" s="1"/>
  <c r="Z12" i="18"/>
  <c r="AJ12" i="18" s="1"/>
  <c r="Z303" i="18"/>
  <c r="AJ303" i="18" s="1"/>
  <c r="Z155" i="18"/>
  <c r="AJ155" i="18" s="1"/>
  <c r="Z279" i="18"/>
  <c r="AJ279" i="18" s="1"/>
  <c r="Z284" i="18"/>
  <c r="AJ284" i="18" s="1"/>
  <c r="Z352" i="18"/>
  <c r="AJ352" i="18" s="1"/>
  <c r="Z238" i="18"/>
  <c r="AJ238" i="18" s="1"/>
  <c r="Z37" i="18"/>
  <c r="AJ37" i="18" s="1"/>
  <c r="Z122" i="18"/>
  <c r="AJ122" i="18" s="1"/>
  <c r="Z176" i="18"/>
  <c r="AJ176" i="18" s="1"/>
  <c r="Z123" i="18"/>
  <c r="AJ123" i="18" s="1"/>
  <c r="Z129" i="18"/>
  <c r="AJ129" i="18" s="1"/>
  <c r="Z57" i="18"/>
  <c r="AJ57" i="18" s="1"/>
  <c r="Z35" i="18"/>
  <c r="AJ35" i="18" s="1"/>
  <c r="Z198" i="18"/>
  <c r="AJ198" i="18" s="1"/>
  <c r="Z73" i="18"/>
  <c r="AJ73" i="18" s="1"/>
  <c r="Z100" i="18"/>
  <c r="AJ100" i="18" s="1"/>
  <c r="Z313" i="18"/>
  <c r="AJ313" i="18" s="1"/>
  <c r="Z87" i="18"/>
  <c r="AJ87" i="18" s="1"/>
  <c r="Z164" i="18"/>
  <c r="AJ164" i="18" s="1"/>
  <c r="Z108" i="18"/>
  <c r="AJ108" i="18" s="1"/>
  <c r="Z2" i="18"/>
  <c r="Z336" i="18"/>
  <c r="AJ336" i="18" s="1"/>
  <c r="Z219" i="18"/>
  <c r="AJ219" i="18" s="1"/>
  <c r="Z228" i="18"/>
  <c r="AJ228" i="18" s="1"/>
  <c r="Z362" i="18"/>
  <c r="AJ362" i="18" s="1"/>
  <c r="Z133" i="18"/>
  <c r="AJ133" i="18" s="1"/>
  <c r="Z178" i="18"/>
  <c r="AJ178" i="18" s="1"/>
  <c r="Z256" i="18"/>
  <c r="AJ256" i="18" s="1"/>
  <c r="Z259" i="18"/>
  <c r="AJ259" i="18" s="1"/>
  <c r="Z25" i="18"/>
  <c r="AJ25" i="18" s="1"/>
  <c r="Z257" i="18"/>
  <c r="AJ257" i="18" s="1"/>
  <c r="Z229" i="18"/>
  <c r="AJ229" i="18" s="1"/>
  <c r="Z34" i="18"/>
  <c r="AJ34" i="18" s="1"/>
  <c r="Z69" i="18"/>
  <c r="AJ69" i="18" s="1"/>
  <c r="Z149" i="18"/>
  <c r="AJ149" i="18" s="1"/>
  <c r="Z320" i="18"/>
  <c r="AJ320" i="18" s="1"/>
  <c r="Z344" i="18"/>
  <c r="AJ344" i="18" s="1"/>
  <c r="Z160" i="18"/>
  <c r="AJ160" i="18" s="1"/>
  <c r="Z351" i="18"/>
  <c r="AJ351" i="18" s="1"/>
  <c r="Z233" i="18"/>
  <c r="AJ233" i="18" s="1"/>
  <c r="Z102" i="18"/>
  <c r="AJ102" i="18" s="1"/>
  <c r="Z339" i="18"/>
  <c r="AJ339" i="18" s="1"/>
  <c r="Z43" i="18"/>
  <c r="AJ43" i="18" s="1"/>
  <c r="Z243" i="18"/>
  <c r="AJ243" i="18" s="1"/>
  <c r="Z225" i="18"/>
  <c r="AJ225" i="18" s="1"/>
  <c r="Z323" i="18"/>
  <c r="AJ323" i="18" s="1"/>
  <c r="Z39" i="18"/>
  <c r="AJ39" i="18" s="1"/>
  <c r="Z311" i="18"/>
  <c r="AJ311" i="18" s="1"/>
  <c r="Z301" i="18"/>
  <c r="AJ301" i="18" s="1"/>
  <c r="Z187" i="18"/>
  <c r="AJ187" i="18" s="1"/>
  <c r="Z322" i="18"/>
  <c r="AJ322" i="18" s="1"/>
  <c r="Z253" i="18"/>
  <c r="AJ253" i="18" s="1"/>
  <c r="Z211" i="18"/>
  <c r="AJ211" i="18" s="1"/>
  <c r="Z309" i="18"/>
  <c r="AJ309" i="18" s="1"/>
  <c r="Z106" i="18"/>
  <c r="AJ106" i="18" s="1"/>
  <c r="Z27" i="18"/>
  <c r="AJ27" i="18" s="1"/>
  <c r="Z266" i="18"/>
  <c r="AJ266" i="18" s="1"/>
  <c r="Z248" i="18"/>
  <c r="AJ248" i="18" s="1"/>
  <c r="Z317" i="18"/>
  <c r="AJ317" i="18" s="1"/>
  <c r="Z262" i="18"/>
  <c r="AJ262" i="18" s="1"/>
  <c r="Z273" i="18"/>
  <c r="AJ273" i="18" s="1"/>
  <c r="Z23" i="18"/>
  <c r="AJ23" i="18" s="1"/>
  <c r="Z306" i="18"/>
  <c r="AJ306" i="18" s="1"/>
  <c r="Z363" i="18"/>
  <c r="AJ363" i="18" s="1"/>
  <c r="Z319" i="18"/>
  <c r="AJ319" i="18" s="1"/>
  <c r="Z17" i="18"/>
  <c r="AJ17" i="18" s="1"/>
  <c r="Z183" i="18"/>
  <c r="AJ183" i="18" s="1"/>
  <c r="Z116" i="18"/>
  <c r="AJ116" i="18" s="1"/>
  <c r="Z373" i="18"/>
  <c r="AJ373" i="18" s="1"/>
  <c r="Z265" i="18"/>
  <c r="AJ265" i="18" s="1"/>
  <c r="Z195" i="18"/>
  <c r="AJ195" i="18" s="1"/>
  <c r="Z250" i="18"/>
  <c r="AJ250" i="18" s="1"/>
  <c r="Z197" i="18"/>
  <c r="AJ197" i="18" s="1"/>
  <c r="Z59" i="18"/>
  <c r="AJ59" i="18" s="1"/>
  <c r="Z189" i="18"/>
  <c r="AJ189" i="18" s="1"/>
  <c r="Z206" i="18"/>
  <c r="AJ206" i="18" s="1"/>
  <c r="Z114" i="18"/>
  <c r="AJ114" i="18" s="1"/>
  <c r="Z356" i="18"/>
  <c r="AJ356" i="18" s="1"/>
  <c r="Z188" i="18"/>
  <c r="AJ188" i="18" s="1"/>
  <c r="Z20" i="18"/>
  <c r="AJ20" i="18" s="1"/>
  <c r="Z18" i="18"/>
  <c r="AJ18" i="18" s="1"/>
  <c r="Z157" i="18"/>
  <c r="AJ157" i="18" s="1"/>
  <c r="Z22" i="18"/>
  <c r="AJ22" i="18" s="1"/>
  <c r="Z101" i="18"/>
  <c r="AJ101" i="18" s="1"/>
  <c r="Z5" i="18"/>
  <c r="AJ5" i="18" s="1"/>
  <c r="Z208" i="18"/>
  <c r="AJ208" i="18" s="1"/>
  <c r="Z177" i="18"/>
  <c r="AJ177" i="18" s="1"/>
  <c r="Z84" i="18"/>
  <c r="AJ84" i="18" s="1"/>
  <c r="Z145" i="18"/>
  <c r="AJ145" i="18" s="1"/>
  <c r="Z298" i="18"/>
  <c r="AJ298" i="18" s="1"/>
  <c r="Z168" i="18"/>
  <c r="AJ168" i="18" s="1"/>
  <c r="Z90" i="18"/>
  <c r="AJ90" i="18" s="1"/>
  <c r="Z290" i="18"/>
  <c r="AJ290" i="18" s="1"/>
  <c r="Z111" i="18"/>
  <c r="AJ111" i="18" s="1"/>
  <c r="Z93" i="18"/>
  <c r="AJ93" i="18" s="1"/>
  <c r="Z21" i="18"/>
  <c r="AJ21" i="18" s="1"/>
  <c r="Z121" i="18"/>
  <c r="AJ121" i="18" s="1"/>
  <c r="Z68" i="18"/>
  <c r="AJ68" i="18" s="1"/>
  <c r="Z45" i="18"/>
  <c r="AJ45" i="18" s="1"/>
  <c r="Z52" i="18"/>
  <c r="AJ52" i="18" s="1"/>
  <c r="Z220" i="18"/>
  <c r="AJ220" i="18" s="1"/>
  <c r="Z338" i="18"/>
  <c r="AJ338" i="18" s="1"/>
  <c r="Z236" i="18"/>
  <c r="AJ236" i="18" s="1"/>
  <c r="Z202" i="18"/>
  <c r="AJ202" i="18" s="1"/>
  <c r="Z77" i="18"/>
  <c r="AJ77" i="18" s="1"/>
  <c r="Z48" i="18"/>
  <c r="AJ48" i="18" s="1"/>
  <c r="Z163" i="18"/>
  <c r="AJ163" i="18" s="1"/>
  <c r="Z252" i="18"/>
  <c r="AJ252" i="18" s="1"/>
  <c r="Z239" i="18"/>
  <c r="AJ239" i="18" s="1"/>
  <c r="Z354" i="18"/>
  <c r="AJ354" i="18" s="1"/>
  <c r="Z308" i="18"/>
  <c r="AJ308" i="18" s="1"/>
  <c r="Z374" i="18"/>
  <c r="AJ374" i="18" s="1"/>
  <c r="Z264" i="18"/>
  <c r="AJ264" i="18" s="1"/>
  <c r="Z292" i="18"/>
  <c r="AJ292" i="18" s="1"/>
  <c r="Z364" i="18"/>
  <c r="AJ364" i="18" s="1"/>
  <c r="Z359" i="18"/>
  <c r="AJ359" i="18" s="1"/>
  <c r="Z314" i="18"/>
  <c r="AJ314" i="18" s="1"/>
  <c r="Z367" i="18"/>
  <c r="AJ367" i="18" s="1"/>
  <c r="Z47" i="18"/>
  <c r="AJ47" i="18" s="1"/>
  <c r="Z180" i="18"/>
  <c r="AJ180" i="18" s="1"/>
  <c r="Z86" i="18"/>
  <c r="AJ86" i="18" s="1"/>
  <c r="Z14" i="18"/>
  <c r="AJ14" i="18" s="1"/>
  <c r="Z240" i="18"/>
  <c r="AJ240" i="18" s="1"/>
  <c r="Z299" i="18"/>
  <c r="AJ299" i="18" s="1"/>
  <c r="Z65" i="18"/>
  <c r="AJ65" i="18" s="1"/>
  <c r="Z340" i="18"/>
  <c r="AJ340" i="18" s="1"/>
  <c r="Z134" i="18"/>
  <c r="AJ134" i="18" s="1"/>
  <c r="Z221" i="18"/>
  <c r="AJ221" i="18" s="1"/>
  <c r="Z181" i="18"/>
  <c r="AJ181" i="18" s="1"/>
  <c r="Z255" i="18"/>
  <c r="AJ255" i="18" s="1"/>
  <c r="Z113" i="18"/>
  <c r="AJ113" i="18" s="1"/>
  <c r="Z337" i="18"/>
  <c r="AJ337" i="18" s="1"/>
  <c r="Z42" i="18"/>
  <c r="AJ42" i="18" s="1"/>
  <c r="Z143" i="18"/>
  <c r="AJ143" i="18" s="1"/>
  <c r="Z147" i="18"/>
  <c r="AJ147" i="18" s="1"/>
  <c r="Z179" i="18"/>
  <c r="AJ179" i="18" s="1"/>
  <c r="Z365" i="18"/>
  <c r="AJ365" i="18" s="1"/>
  <c r="Z49" i="18"/>
  <c r="AJ49" i="18" s="1"/>
  <c r="Z172" i="18"/>
  <c r="AJ172" i="18" s="1"/>
  <c r="Z92" i="18"/>
  <c r="AJ92" i="18" s="1"/>
  <c r="Z324" i="18"/>
  <c r="AJ324" i="18" s="1"/>
  <c r="Z62" i="18"/>
  <c r="AJ62" i="18" s="1"/>
  <c r="Z103" i="18"/>
  <c r="AJ103" i="18" s="1"/>
  <c r="Z55" i="18"/>
  <c r="AJ55" i="18" s="1"/>
  <c r="Z104" i="18"/>
  <c r="AJ104" i="18" s="1"/>
  <c r="Z272" i="18"/>
  <c r="AJ272" i="18" s="1"/>
  <c r="Z360" i="18"/>
  <c r="AJ360" i="18" s="1"/>
  <c r="Z342" i="18"/>
  <c r="AJ342" i="18" s="1"/>
  <c r="Z60" i="18"/>
  <c r="AJ60" i="18" s="1"/>
  <c r="Z270" i="18"/>
  <c r="AJ270" i="18" s="1"/>
  <c r="Z366" i="18"/>
  <c r="AJ366" i="18" s="1"/>
  <c r="Z345" i="18"/>
  <c r="AJ345" i="18" s="1"/>
  <c r="Z30" i="18"/>
  <c r="AJ30" i="18" s="1"/>
  <c r="Z293" i="18"/>
  <c r="AJ293" i="18" s="1"/>
  <c r="Z335" i="18"/>
  <c r="AJ335" i="18" s="1"/>
  <c r="Z289" i="18"/>
  <c r="AJ289" i="18" s="1"/>
  <c r="Z321" i="18"/>
  <c r="AJ321" i="18" s="1"/>
  <c r="Z261" i="18"/>
  <c r="AJ261" i="18" s="1"/>
  <c r="Z280" i="18"/>
  <c r="AJ280" i="18" s="1"/>
  <c r="Z72" i="18"/>
  <c r="AJ72" i="18" s="1"/>
  <c r="Z230" i="18"/>
  <c r="AJ230" i="18" s="1"/>
  <c r="Z350" i="18"/>
  <c r="AJ350" i="18" s="1"/>
  <c r="Z144" i="18"/>
  <c r="AJ144" i="18" s="1"/>
  <c r="Z234" i="18"/>
  <c r="AJ234" i="18" s="1"/>
  <c r="Z212" i="18"/>
  <c r="AJ212" i="18" s="1"/>
  <c r="Z274" i="18"/>
  <c r="AJ274" i="18" s="1"/>
  <c r="Z186" i="18"/>
  <c r="AJ186" i="18" s="1"/>
  <c r="Z75" i="18"/>
  <c r="AJ75" i="18" s="1"/>
  <c r="Z26" i="18"/>
  <c r="AJ26" i="18" s="1"/>
  <c r="Z141" i="18"/>
  <c r="AJ141" i="18" s="1"/>
  <c r="Z117" i="18"/>
  <c r="AJ117" i="18" s="1"/>
  <c r="Z251" i="18"/>
  <c r="AJ251" i="18" s="1"/>
  <c r="Z258" i="18"/>
  <c r="AJ258" i="18" s="1"/>
  <c r="Z357" i="18"/>
  <c r="AJ357" i="18" s="1"/>
  <c r="Z307" i="18"/>
  <c r="AJ307" i="18" s="1"/>
  <c r="Z130" i="18"/>
  <c r="AJ130" i="18" s="1"/>
  <c r="Z281" i="18"/>
  <c r="AJ281" i="18" s="1"/>
  <c r="Z269" i="18"/>
  <c r="AJ269" i="18" s="1"/>
  <c r="Z237" i="18"/>
  <c r="AJ237" i="18" s="1"/>
  <c r="Z127" i="18"/>
  <c r="AJ127" i="18" s="1"/>
  <c r="Z80" i="18"/>
  <c r="AJ80" i="18" s="1"/>
  <c r="Z9" i="18"/>
  <c r="AJ9" i="18" s="1"/>
  <c r="Z8" i="18"/>
  <c r="AJ8" i="18" s="1"/>
  <c r="Z349" i="18"/>
  <c r="AJ349" i="18" s="1"/>
  <c r="Z330" i="18"/>
  <c r="AJ330" i="18" s="1"/>
  <c r="Z315" i="18"/>
  <c r="AJ315" i="18" s="1"/>
  <c r="Z107" i="18"/>
  <c r="AJ107" i="18" s="1"/>
  <c r="Z94" i="18"/>
  <c r="AJ94" i="18" s="1"/>
  <c r="Z328" i="18"/>
  <c r="AJ328" i="18" s="1"/>
  <c r="Z213" i="18"/>
  <c r="AJ213" i="18" s="1"/>
  <c r="Z375" i="18"/>
  <c r="AJ375" i="18" s="1"/>
  <c r="Z136" i="18"/>
  <c r="AJ136" i="18" s="1"/>
  <c r="Z216" i="18"/>
  <c r="AJ216" i="18" s="1"/>
  <c r="Z368" i="18"/>
  <c r="AJ368" i="18" s="1"/>
  <c r="Z217" i="18"/>
  <c r="AJ217" i="18" s="1"/>
  <c r="Z201" i="18"/>
  <c r="AJ201" i="18" s="1"/>
  <c r="Z165" i="18"/>
  <c r="AJ165" i="18" s="1"/>
  <c r="Z13" i="18"/>
  <c r="AJ13" i="18" s="1"/>
  <c r="Z91" i="18"/>
  <c r="AJ91" i="18" s="1"/>
  <c r="Z331" i="18"/>
  <c r="AJ331" i="18" s="1"/>
  <c r="Z146" i="18"/>
  <c r="AJ146" i="18" s="1"/>
  <c r="Z194" i="18"/>
  <c r="AJ194" i="18" s="1"/>
  <c r="Z347" i="18"/>
  <c r="AJ347" i="18" s="1"/>
  <c r="Z96" i="18"/>
  <c r="AJ96" i="18" s="1"/>
  <c r="Z32" i="18"/>
  <c r="AJ32" i="18" s="1"/>
  <c r="Z332" i="18"/>
  <c r="AJ332" i="18" s="1"/>
  <c r="Z333" i="18"/>
  <c r="AJ333" i="18" s="1"/>
  <c r="Z119" i="18"/>
  <c r="AJ119" i="18" s="1"/>
  <c r="Z218" i="18"/>
  <c r="AJ218" i="18" s="1"/>
  <c r="Z76" i="18"/>
  <c r="AJ76" i="18" s="1"/>
  <c r="Z167" i="18"/>
  <c r="AJ167" i="18" s="1"/>
  <c r="Z98" i="18"/>
  <c r="AJ98" i="18" s="1"/>
  <c r="Z191" i="18"/>
  <c r="AJ191" i="18" s="1"/>
  <c r="Z173" i="18"/>
  <c r="AJ173" i="18" s="1"/>
  <c r="Z120" i="18"/>
  <c r="AJ120" i="18" s="1"/>
  <c r="Z10" i="18"/>
  <c r="AJ10" i="18" s="1"/>
  <c r="Z124" i="18"/>
  <c r="AJ124" i="18" s="1"/>
  <c r="Z95" i="18"/>
  <c r="AJ95" i="18" s="1"/>
  <c r="Z36" i="18"/>
  <c r="AJ36" i="18" s="1"/>
  <c r="Z7" i="18"/>
  <c r="AJ7" i="18" s="1"/>
  <c r="Z355" i="18"/>
  <c r="AJ355" i="18" s="1"/>
  <c r="Z376" i="18"/>
  <c r="AJ376" i="18" s="1"/>
  <c r="Z207" i="18"/>
  <c r="AJ207" i="18" s="1"/>
  <c r="Z88" i="18"/>
  <c r="AJ88" i="18" s="1"/>
  <c r="Z267" i="18"/>
  <c r="AJ267" i="18" s="1"/>
  <c r="Z312" i="18"/>
  <c r="AJ312" i="18" s="1"/>
  <c r="Z210" i="18"/>
  <c r="AJ210" i="18" s="1"/>
  <c r="Z139" i="18"/>
  <c r="AJ139" i="18" s="1"/>
  <c r="Z3" i="18"/>
  <c r="AJ3" i="18" s="1"/>
  <c r="Z235" i="18"/>
  <c r="AJ235" i="18" s="1"/>
  <c r="Z224" i="18"/>
  <c r="AJ224" i="18" s="1"/>
  <c r="Z152" i="18"/>
  <c r="AJ152" i="18" s="1"/>
  <c r="Z190" i="18"/>
  <c r="AJ190" i="18" s="1"/>
  <c r="Z182" i="18"/>
  <c r="AJ182" i="18" s="1"/>
  <c r="Z31" i="18"/>
  <c r="AJ31" i="18" s="1"/>
  <c r="Z132" i="18"/>
  <c r="AJ132" i="18" s="1"/>
  <c r="Z44" i="18"/>
  <c r="AJ44" i="18" s="1"/>
  <c r="Z371" i="18"/>
  <c r="AJ371" i="18" s="1"/>
  <c r="Z97" i="18"/>
  <c r="AJ97" i="18" s="1"/>
  <c r="Z151" i="18"/>
  <c r="AJ151" i="18" s="1"/>
  <c r="Z263" i="18"/>
  <c r="AJ263" i="18" s="1"/>
  <c r="Z50" i="18"/>
  <c r="AJ50" i="18" s="1"/>
  <c r="Z244" i="18"/>
  <c r="AJ244" i="18" s="1"/>
  <c r="Z51" i="18"/>
  <c r="AJ51" i="18" s="1"/>
  <c r="Z137" i="18"/>
  <c r="AJ137" i="18" s="1"/>
  <c r="Z24" i="18"/>
  <c r="AJ24" i="18" s="1"/>
  <c r="Z223" i="18"/>
  <c r="AJ223" i="18" s="1"/>
  <c r="Z112" i="18"/>
  <c r="AJ112" i="18" s="1"/>
  <c r="Z64" i="18"/>
  <c r="AJ64" i="18" s="1"/>
  <c r="Z329" i="18"/>
  <c r="AJ329" i="18" s="1"/>
  <c r="Z300" i="18"/>
  <c r="AJ300" i="18" s="1"/>
  <c r="Z226" i="18"/>
  <c r="AJ226" i="18" s="1"/>
  <c r="Z15" i="18"/>
  <c r="AJ15" i="18" s="1"/>
  <c r="Z241" i="18"/>
  <c r="AJ241" i="18" s="1"/>
  <c r="Z53" i="18"/>
  <c r="AJ53" i="18" s="1"/>
  <c r="H70" i="22"/>
  <c r="H96" i="22" s="1"/>
  <c r="I2" i="16"/>
  <c r="I43" i="22"/>
  <c r="H19" i="22" s="1"/>
  <c r="Q3" i="4"/>
  <c r="AW1" i="4"/>
  <c r="AI2" i="4"/>
  <c r="W1" i="4"/>
  <c r="BG1" i="4" s="1"/>
  <c r="AP19" i="4"/>
  <c r="B10" i="4"/>
  <c r="C9" i="4"/>
  <c r="AQ18" i="4"/>
  <c r="BE4" i="4" s="1"/>
  <c r="H33" i="11" l="1"/>
  <c r="H48" i="24"/>
  <c r="H36" i="16"/>
  <c r="H45" i="11"/>
  <c r="H3" i="16"/>
  <c r="H46" i="22" s="1"/>
  <c r="H36" i="21"/>
  <c r="H3" i="21"/>
  <c r="H49" i="22" s="1"/>
  <c r="H3" i="11"/>
  <c r="H48" i="16"/>
  <c r="H48" i="21"/>
  <c r="H36" i="24"/>
  <c r="G45" i="22"/>
  <c r="I35" i="16"/>
  <c r="I47" i="16" s="1"/>
  <c r="AJ2" i="18"/>
  <c r="H3" i="24" s="1"/>
  <c r="H47" i="22" s="1"/>
  <c r="J5" i="4"/>
  <c r="AJ6" i="4" s="1"/>
  <c r="J11" i="4"/>
  <c r="AJ12" i="4" s="1"/>
  <c r="J17" i="4"/>
  <c r="AJ18" i="4" s="1"/>
  <c r="J23" i="4"/>
  <c r="AJ24" i="4" s="1"/>
  <c r="J29" i="4"/>
  <c r="AJ30" i="4" s="1"/>
  <c r="J35" i="4"/>
  <c r="AJ36" i="4" s="1"/>
  <c r="J41" i="4"/>
  <c r="AJ42" i="4" s="1"/>
  <c r="J4" i="4"/>
  <c r="AJ5" i="4" s="1"/>
  <c r="J10" i="4"/>
  <c r="AJ11" i="4" s="1"/>
  <c r="J16" i="4"/>
  <c r="AJ17" i="4" s="1"/>
  <c r="J22" i="4"/>
  <c r="AJ23" i="4" s="1"/>
  <c r="J28" i="4"/>
  <c r="AJ29" i="4" s="1"/>
  <c r="J34" i="4"/>
  <c r="AJ35" i="4" s="1"/>
  <c r="J40" i="4"/>
  <c r="AJ41" i="4" s="1"/>
  <c r="J2" i="4"/>
  <c r="AJ3" i="4" s="1"/>
  <c r="J3" i="4"/>
  <c r="AJ4" i="4" s="1"/>
  <c r="J9" i="4"/>
  <c r="AJ10" i="4" s="1"/>
  <c r="J15" i="4"/>
  <c r="AJ16" i="4" s="1"/>
  <c r="J21" i="4"/>
  <c r="AJ22" i="4" s="1"/>
  <c r="J27" i="4"/>
  <c r="AJ28" i="4" s="1"/>
  <c r="J33" i="4"/>
  <c r="AJ34" i="4" s="1"/>
  <c r="J39" i="4"/>
  <c r="AJ40" i="4" s="1"/>
  <c r="J8" i="4"/>
  <c r="AJ9" i="4" s="1"/>
  <c r="J14" i="4"/>
  <c r="AJ15" i="4" s="1"/>
  <c r="J20" i="4"/>
  <c r="AJ21" i="4" s="1"/>
  <c r="J26" i="4"/>
  <c r="AJ27" i="4" s="1"/>
  <c r="J32" i="4"/>
  <c r="AJ33" i="4" s="1"/>
  <c r="J38" i="4"/>
  <c r="AJ39" i="4" s="1"/>
  <c r="J44" i="4"/>
  <c r="AJ45" i="4" s="1"/>
  <c r="J7" i="4"/>
  <c r="AJ8" i="4" s="1"/>
  <c r="J13" i="4"/>
  <c r="AJ14" i="4" s="1"/>
  <c r="J19" i="4"/>
  <c r="AJ20" i="4" s="1"/>
  <c r="J25" i="4"/>
  <c r="AJ26" i="4" s="1"/>
  <c r="J31" i="4"/>
  <c r="AJ32" i="4" s="1"/>
  <c r="J37" i="4"/>
  <c r="AJ38" i="4" s="1"/>
  <c r="J43" i="4"/>
  <c r="AJ44" i="4" s="1"/>
  <c r="J6" i="4"/>
  <c r="AJ7" i="4" s="1"/>
  <c r="J12" i="4"/>
  <c r="AJ13" i="4" s="1"/>
  <c r="J18" i="4"/>
  <c r="AJ19" i="4" s="1"/>
  <c r="J24" i="4"/>
  <c r="AJ25" i="4" s="1"/>
  <c r="J30" i="4"/>
  <c r="AJ31" i="4" s="1"/>
  <c r="J36" i="4"/>
  <c r="AJ37" i="4" s="1"/>
  <c r="J42" i="4"/>
  <c r="AJ43" i="4" s="1"/>
  <c r="AA329" i="18"/>
  <c r="AK329" i="18" s="1"/>
  <c r="AA51" i="18"/>
  <c r="AK51" i="18" s="1"/>
  <c r="AA371" i="18"/>
  <c r="AK371" i="18" s="1"/>
  <c r="AA152" i="18"/>
  <c r="AK152" i="18" s="1"/>
  <c r="AA312" i="18"/>
  <c r="AK312" i="18" s="1"/>
  <c r="AA7" i="18"/>
  <c r="AK7" i="18" s="1"/>
  <c r="AA173" i="18"/>
  <c r="AK173" i="18" s="1"/>
  <c r="AA119" i="18"/>
  <c r="AK119" i="18" s="1"/>
  <c r="AA194" i="18"/>
  <c r="AK194" i="18" s="1"/>
  <c r="AA201" i="18"/>
  <c r="AK201" i="18" s="1"/>
  <c r="AA213" i="18"/>
  <c r="AK213" i="18" s="1"/>
  <c r="AA349" i="18"/>
  <c r="AK349" i="18" s="1"/>
  <c r="AA269" i="18"/>
  <c r="AK269" i="18" s="1"/>
  <c r="AA251" i="18"/>
  <c r="AK251" i="18" s="1"/>
  <c r="AA274" i="18"/>
  <c r="AK274" i="18" s="1"/>
  <c r="AA72" i="18"/>
  <c r="AK72" i="18" s="1"/>
  <c r="AA293" i="18"/>
  <c r="AK293" i="18" s="1"/>
  <c r="AA342" i="18"/>
  <c r="AK342" i="18" s="1"/>
  <c r="AA62" i="18"/>
  <c r="AK62" i="18" s="1"/>
  <c r="AA179" i="18"/>
  <c r="AK179" i="18" s="1"/>
  <c r="AA255" i="18"/>
  <c r="AK255" i="18" s="1"/>
  <c r="AA299" i="18"/>
  <c r="AK299" i="18" s="1"/>
  <c r="AA367" i="18"/>
  <c r="AK367" i="18" s="1"/>
  <c r="AA374" i="18"/>
  <c r="AK374" i="18" s="1"/>
  <c r="AA48" i="18"/>
  <c r="AK48" i="18" s="1"/>
  <c r="AA52" i="18"/>
  <c r="AK52" i="18" s="1"/>
  <c r="AA111" i="18"/>
  <c r="AK111" i="18" s="1"/>
  <c r="AA84" i="18"/>
  <c r="AK84" i="18" s="1"/>
  <c r="AA157" i="18"/>
  <c r="AK157" i="18" s="1"/>
  <c r="AA206" i="18"/>
  <c r="AK206" i="18" s="1"/>
  <c r="AA265" i="18"/>
  <c r="AK265" i="18" s="1"/>
  <c r="AA363" i="18"/>
  <c r="AK363" i="18" s="1"/>
  <c r="AA248" i="18"/>
  <c r="AK248" i="18" s="1"/>
  <c r="AA253" i="18"/>
  <c r="AK253" i="18" s="1"/>
  <c r="AA323" i="18"/>
  <c r="AK323" i="18" s="1"/>
  <c r="AA233" i="18"/>
  <c r="AK233" i="18" s="1"/>
  <c r="AA69" i="18"/>
  <c r="AK69" i="18" s="1"/>
  <c r="AA256" i="18"/>
  <c r="AK256" i="18" s="1"/>
  <c r="AA336" i="18"/>
  <c r="AK336" i="18" s="1"/>
  <c r="AA100" i="18"/>
  <c r="AK100" i="18" s="1"/>
  <c r="AA123" i="18"/>
  <c r="AK123" i="18" s="1"/>
  <c r="AA284" i="18"/>
  <c r="AK284" i="18" s="1"/>
  <c r="AA174" i="18"/>
  <c r="AK174" i="18" s="1"/>
  <c r="AA83" i="18"/>
  <c r="AK83" i="18" s="1"/>
  <c r="AA318" i="18"/>
  <c r="AK318" i="18" s="1"/>
  <c r="AA372" i="18"/>
  <c r="AK372" i="18" s="1"/>
  <c r="AA231" i="18"/>
  <c r="AK231" i="18" s="1"/>
  <c r="AA126" i="18"/>
  <c r="AK126" i="18" s="1"/>
  <c r="AA170" i="18"/>
  <c r="AK170" i="18" s="1"/>
  <c r="AA327" i="18"/>
  <c r="AK327" i="18" s="1"/>
  <c r="AA283" i="18"/>
  <c r="AK283" i="18" s="1"/>
  <c r="AA58" i="18"/>
  <c r="AK58" i="18" s="1"/>
  <c r="AA19" i="18"/>
  <c r="AK19" i="18" s="1"/>
  <c r="AA215" i="18"/>
  <c r="AK215" i="18" s="1"/>
  <c r="AA353" i="18"/>
  <c r="AK353" i="18" s="1"/>
  <c r="AA196" i="18"/>
  <c r="AK196" i="18" s="1"/>
  <c r="AA33" i="18"/>
  <c r="AK33" i="18" s="1"/>
  <c r="AA249" i="18"/>
  <c r="AK249" i="18" s="1"/>
  <c r="AA140" i="18"/>
  <c r="AK140" i="18" s="1"/>
  <c r="AA128" i="18"/>
  <c r="AK128" i="18" s="1"/>
  <c r="AA285" i="18"/>
  <c r="AK285" i="18" s="1"/>
  <c r="AA40" i="18"/>
  <c r="AK40" i="18" s="1"/>
  <c r="AA53" i="18"/>
  <c r="AK53" i="18" s="1"/>
  <c r="AA64" i="18"/>
  <c r="AK64" i="18" s="1"/>
  <c r="AA244" i="18"/>
  <c r="AK244" i="18" s="1"/>
  <c r="AA44" i="18"/>
  <c r="AK44" i="18" s="1"/>
  <c r="AA224" i="18"/>
  <c r="AK224" i="18" s="1"/>
  <c r="AA267" i="18"/>
  <c r="AK267" i="18" s="1"/>
  <c r="AA36" i="18"/>
  <c r="AK36" i="18" s="1"/>
  <c r="AA191" i="18"/>
  <c r="AK191" i="18" s="1"/>
  <c r="AA333" i="18"/>
  <c r="AK333" i="18" s="1"/>
  <c r="AA146" i="18"/>
  <c r="AK146" i="18" s="1"/>
  <c r="AA217" i="18"/>
  <c r="AK217" i="18" s="1"/>
  <c r="AA328" i="18"/>
  <c r="AK328" i="18" s="1"/>
  <c r="AA8" i="18"/>
  <c r="AK8" i="18" s="1"/>
  <c r="AA281" i="18"/>
  <c r="AK281" i="18" s="1"/>
  <c r="AA117" i="18"/>
  <c r="AK117" i="18" s="1"/>
  <c r="AA212" i="18"/>
  <c r="AK212" i="18" s="1"/>
  <c r="AA280" i="18"/>
  <c r="AK280" i="18" s="1"/>
  <c r="AA30" i="18"/>
  <c r="AK30" i="18" s="1"/>
  <c r="AA360" i="18"/>
  <c r="AK360" i="18" s="1"/>
  <c r="AA324" i="18"/>
  <c r="AK324" i="18" s="1"/>
  <c r="AA147" i="18"/>
  <c r="AK147" i="18" s="1"/>
  <c r="AA181" i="18"/>
  <c r="AK181" i="18" s="1"/>
  <c r="AA240" i="18"/>
  <c r="AK240" i="18" s="1"/>
  <c r="AA314" i="18"/>
  <c r="AK314" i="18" s="1"/>
  <c r="AA308" i="18"/>
  <c r="AK308" i="18" s="1"/>
  <c r="AA77" i="18"/>
  <c r="AK77" i="18" s="1"/>
  <c r="AA45" i="18"/>
  <c r="AK45" i="18" s="1"/>
  <c r="AA290" i="18"/>
  <c r="AK290" i="18" s="1"/>
  <c r="AA177" i="18"/>
  <c r="AK177" i="18" s="1"/>
  <c r="AA18" i="18"/>
  <c r="AK18" i="18" s="1"/>
  <c r="AA189" i="18"/>
  <c r="AK189" i="18" s="1"/>
  <c r="AA373" i="18"/>
  <c r="AK373" i="18" s="1"/>
  <c r="AA306" i="18"/>
  <c r="AK306" i="18" s="1"/>
  <c r="AA266" i="18"/>
  <c r="AK266" i="18" s="1"/>
  <c r="AA322" i="18"/>
  <c r="AK322" i="18" s="1"/>
  <c r="AA225" i="18"/>
  <c r="AK225" i="18" s="1"/>
  <c r="AA351" i="18"/>
  <c r="AK351" i="18" s="1"/>
  <c r="AA34" i="18"/>
  <c r="AK34" i="18" s="1"/>
  <c r="AA178" i="18"/>
  <c r="AK178" i="18" s="1"/>
  <c r="AA2" i="18"/>
  <c r="AA73" i="18"/>
  <c r="AK73" i="18" s="1"/>
  <c r="AA176" i="18"/>
  <c r="AK176" i="18" s="1"/>
  <c r="AA279" i="18"/>
  <c r="AK279" i="18" s="1"/>
  <c r="AA61" i="18"/>
  <c r="AK61" i="18" s="1"/>
  <c r="AA81" i="18"/>
  <c r="AK81" i="18" s="1"/>
  <c r="AA89" i="18"/>
  <c r="AK89" i="18" s="1"/>
  <c r="AA288" i="18"/>
  <c r="AK288" i="18" s="1"/>
  <c r="AA29" i="18"/>
  <c r="AK29" i="18" s="1"/>
  <c r="AA16" i="18"/>
  <c r="AK16" i="18" s="1"/>
  <c r="AA153" i="18"/>
  <c r="AK153" i="18" s="1"/>
  <c r="AA78" i="18"/>
  <c r="AK78" i="18" s="1"/>
  <c r="AA138" i="18"/>
  <c r="AK138" i="18" s="1"/>
  <c r="AA4" i="18"/>
  <c r="AK4" i="18" s="1"/>
  <c r="AA28" i="18"/>
  <c r="AK28" i="18" s="1"/>
  <c r="AA11" i="18"/>
  <c r="AK11" i="18" s="1"/>
  <c r="AA38" i="18"/>
  <c r="AK38" i="18" s="1"/>
  <c r="AA70" i="18"/>
  <c r="AK70" i="18" s="1"/>
  <c r="AA295" i="18"/>
  <c r="AK295" i="18" s="1"/>
  <c r="AA135" i="18"/>
  <c r="AK135" i="18" s="1"/>
  <c r="AA325" i="18"/>
  <c r="AK325" i="18" s="1"/>
  <c r="AA142" i="18"/>
  <c r="AK142" i="18" s="1"/>
  <c r="AA276" i="18"/>
  <c r="AK276" i="18" s="1"/>
  <c r="AJ162" i="18"/>
  <c r="AA125" i="18"/>
  <c r="AK125" i="18" s="1"/>
  <c r="AA241" i="18"/>
  <c r="AK241" i="18" s="1"/>
  <c r="AA112" i="18"/>
  <c r="AK112" i="18" s="1"/>
  <c r="AA50" i="18"/>
  <c r="AK50" i="18" s="1"/>
  <c r="AA132" i="18"/>
  <c r="AK132" i="18" s="1"/>
  <c r="AA235" i="18"/>
  <c r="AK235" i="18" s="1"/>
  <c r="AA88" i="18"/>
  <c r="AK88" i="18" s="1"/>
  <c r="AA95" i="18"/>
  <c r="AK95" i="18" s="1"/>
  <c r="AA98" i="18"/>
  <c r="AK98" i="18" s="1"/>
  <c r="AA332" i="18"/>
  <c r="AK332" i="18" s="1"/>
  <c r="AA331" i="18"/>
  <c r="AK331" i="18" s="1"/>
  <c r="AA368" i="18"/>
  <c r="AK368" i="18" s="1"/>
  <c r="AA94" i="18"/>
  <c r="AK94" i="18" s="1"/>
  <c r="AA9" i="18"/>
  <c r="AK9" i="18" s="1"/>
  <c r="AA130" i="18"/>
  <c r="AK130" i="18" s="1"/>
  <c r="AA141" i="18"/>
  <c r="AK141" i="18" s="1"/>
  <c r="AA234" i="18"/>
  <c r="AK234" i="18" s="1"/>
  <c r="AA261" i="18"/>
  <c r="AK261" i="18" s="1"/>
  <c r="AA345" i="18"/>
  <c r="AK345" i="18" s="1"/>
  <c r="AA272" i="18"/>
  <c r="AK272" i="18" s="1"/>
  <c r="AA92" i="18"/>
  <c r="AK92" i="18" s="1"/>
  <c r="AA143" i="18"/>
  <c r="AK143" i="18" s="1"/>
  <c r="AA221" i="18"/>
  <c r="AK221" i="18" s="1"/>
  <c r="AA14" i="18"/>
  <c r="AK14" i="18" s="1"/>
  <c r="AA359" i="18"/>
  <c r="AK359" i="18" s="1"/>
  <c r="AA354" i="18"/>
  <c r="AK354" i="18" s="1"/>
  <c r="AA202" i="18"/>
  <c r="AK202" i="18" s="1"/>
  <c r="AA68" i="18"/>
  <c r="AK68" i="18" s="1"/>
  <c r="AA90" i="18"/>
  <c r="AK90" i="18" s="1"/>
  <c r="AA208" i="18"/>
  <c r="AK208" i="18" s="1"/>
  <c r="AA20" i="18"/>
  <c r="AK20" i="18" s="1"/>
  <c r="AA59" i="18"/>
  <c r="AK59" i="18" s="1"/>
  <c r="AA116" i="18"/>
  <c r="AK116" i="18" s="1"/>
  <c r="AA23" i="18"/>
  <c r="AK23" i="18" s="1"/>
  <c r="AA27" i="18"/>
  <c r="AK27" i="18" s="1"/>
  <c r="AA187" i="18"/>
  <c r="AK187" i="18" s="1"/>
  <c r="AA243" i="18"/>
  <c r="AK243" i="18" s="1"/>
  <c r="AA160" i="18"/>
  <c r="AK160" i="18" s="1"/>
  <c r="AA229" i="18"/>
  <c r="AK229" i="18" s="1"/>
  <c r="AA133" i="18"/>
  <c r="AK133" i="18" s="1"/>
  <c r="AA108" i="18"/>
  <c r="AK108" i="18" s="1"/>
  <c r="AA198" i="18"/>
  <c r="AK198" i="18" s="1"/>
  <c r="AA122" i="18"/>
  <c r="AK122" i="18" s="1"/>
  <c r="AA155" i="18"/>
  <c r="AK155" i="18" s="1"/>
  <c r="AA296" i="18"/>
  <c r="AK296" i="18" s="1"/>
  <c r="AA110" i="18"/>
  <c r="AK110" i="18" s="1"/>
  <c r="AA209" i="18"/>
  <c r="AK209" i="18" s="1"/>
  <c r="AA205" i="18"/>
  <c r="AK205" i="18" s="1"/>
  <c r="AA297" i="18"/>
  <c r="AK297" i="18" s="1"/>
  <c r="AA148" i="18"/>
  <c r="AK148" i="18" s="1"/>
  <c r="AA214" i="18"/>
  <c r="AK214" i="18" s="1"/>
  <c r="AA203" i="18"/>
  <c r="AK203" i="18" s="1"/>
  <c r="AA71" i="18"/>
  <c r="AK71" i="18" s="1"/>
  <c r="AA275" i="18"/>
  <c r="AK275" i="18" s="1"/>
  <c r="AA162" i="18"/>
  <c r="AA268" i="18"/>
  <c r="AK268" i="18" s="1"/>
  <c r="AA175" i="18"/>
  <c r="AK175" i="18" s="1"/>
  <c r="AA184" i="18"/>
  <c r="AK184" i="18" s="1"/>
  <c r="AA82" i="18"/>
  <c r="AK82" i="18" s="1"/>
  <c r="AA63" i="18"/>
  <c r="AK63" i="18" s="1"/>
  <c r="AA361" i="18"/>
  <c r="AK361" i="18" s="1"/>
  <c r="AA282" i="18"/>
  <c r="AK282" i="18" s="1"/>
  <c r="AA185" i="18"/>
  <c r="AK185" i="18" s="1"/>
  <c r="AA105" i="18"/>
  <c r="AK105" i="18" s="1"/>
  <c r="AA15" i="18"/>
  <c r="AK15" i="18" s="1"/>
  <c r="AA223" i="18"/>
  <c r="AK223" i="18" s="1"/>
  <c r="AA263" i="18"/>
  <c r="AK263" i="18" s="1"/>
  <c r="AA31" i="18"/>
  <c r="AK31" i="18" s="1"/>
  <c r="AA3" i="18"/>
  <c r="AK3" i="18" s="1"/>
  <c r="AA207" i="18"/>
  <c r="AK207" i="18" s="1"/>
  <c r="AA124" i="18"/>
  <c r="AK124" i="18" s="1"/>
  <c r="AA167" i="18"/>
  <c r="AK167" i="18" s="1"/>
  <c r="AA32" i="18"/>
  <c r="AK32" i="18" s="1"/>
  <c r="AA91" i="18"/>
  <c r="AK91" i="18" s="1"/>
  <c r="AA216" i="18"/>
  <c r="AK216" i="18" s="1"/>
  <c r="AA107" i="18"/>
  <c r="AK107" i="18" s="1"/>
  <c r="AA80" i="18"/>
  <c r="AK80" i="18" s="1"/>
  <c r="AA307" i="18"/>
  <c r="AK307" i="18" s="1"/>
  <c r="AA26" i="18"/>
  <c r="AK26" i="18" s="1"/>
  <c r="AA144" i="18"/>
  <c r="AK144" i="18" s="1"/>
  <c r="AA321" i="18"/>
  <c r="AK321" i="18" s="1"/>
  <c r="AA366" i="18"/>
  <c r="AK366" i="18" s="1"/>
  <c r="AA104" i="18"/>
  <c r="AK104" i="18" s="1"/>
  <c r="AA172" i="18"/>
  <c r="AK172" i="18" s="1"/>
  <c r="AA42" i="18"/>
  <c r="AK42" i="18" s="1"/>
  <c r="AA134" i="18"/>
  <c r="AK134" i="18" s="1"/>
  <c r="AA86" i="18"/>
  <c r="AK86" i="18" s="1"/>
  <c r="AA364" i="18"/>
  <c r="AK364" i="18" s="1"/>
  <c r="AA239" i="18"/>
  <c r="AK239" i="18" s="1"/>
  <c r="AA236" i="18"/>
  <c r="AK236" i="18" s="1"/>
  <c r="AA121" i="18"/>
  <c r="AK121" i="18" s="1"/>
  <c r="AA168" i="18"/>
  <c r="AK168" i="18" s="1"/>
  <c r="AA5" i="18"/>
  <c r="AK5" i="18" s="1"/>
  <c r="AA188" i="18"/>
  <c r="AK188" i="18" s="1"/>
  <c r="AA197" i="18"/>
  <c r="AK197" i="18" s="1"/>
  <c r="AA183" i="18"/>
  <c r="AK183" i="18" s="1"/>
  <c r="AA273" i="18"/>
  <c r="AK273" i="18" s="1"/>
  <c r="AA106" i="18"/>
  <c r="AK106" i="18" s="1"/>
  <c r="AA301" i="18"/>
  <c r="AK301" i="18" s="1"/>
  <c r="AA43" i="18"/>
  <c r="AK43" i="18" s="1"/>
  <c r="AA344" i="18"/>
  <c r="AK344" i="18" s="1"/>
  <c r="AA257" i="18"/>
  <c r="AK257" i="18" s="1"/>
  <c r="AA362" i="18"/>
  <c r="AK362" i="18" s="1"/>
  <c r="AA164" i="18"/>
  <c r="AK164" i="18" s="1"/>
  <c r="AA35" i="18"/>
  <c r="AK35" i="18" s="1"/>
  <c r="AA37" i="18"/>
  <c r="AK37" i="18" s="1"/>
  <c r="AA303" i="18"/>
  <c r="AK303" i="18" s="1"/>
  <c r="AA85" i="18"/>
  <c r="AK85" i="18" s="1"/>
  <c r="AA343" i="18"/>
  <c r="AK343" i="18" s="1"/>
  <c r="AA316" i="18"/>
  <c r="AK316" i="18" s="1"/>
  <c r="AA304" i="18"/>
  <c r="AK304" i="18" s="1"/>
  <c r="AA222" i="18"/>
  <c r="AK222" i="18" s="1"/>
  <c r="AA156" i="18"/>
  <c r="AK156" i="18" s="1"/>
  <c r="AA131" i="18"/>
  <c r="AK131" i="18" s="1"/>
  <c r="AA158" i="18"/>
  <c r="AK158" i="18" s="1"/>
  <c r="AA54" i="18"/>
  <c r="AK54" i="18" s="1"/>
  <c r="AA150" i="18"/>
  <c r="AK150" i="18" s="1"/>
  <c r="AA159" i="18"/>
  <c r="AK159" i="18" s="1"/>
  <c r="AA242" i="18"/>
  <c r="AK242" i="18" s="1"/>
  <c r="AA305" i="18"/>
  <c r="AK305" i="18" s="1"/>
  <c r="AA287" i="18"/>
  <c r="AK287" i="18" s="1"/>
  <c r="AA302" i="18"/>
  <c r="AK302" i="18" s="1"/>
  <c r="AA346" i="18"/>
  <c r="AK346" i="18" s="1"/>
  <c r="AA41" i="18"/>
  <c r="AK41" i="18" s="1"/>
  <c r="AA199" i="18"/>
  <c r="AK199" i="18" s="1"/>
  <c r="AA169" i="18"/>
  <c r="AK169" i="18" s="1"/>
  <c r="AA226" i="18"/>
  <c r="AK226" i="18" s="1"/>
  <c r="AA24" i="18"/>
  <c r="AK24" i="18" s="1"/>
  <c r="AA151" i="18"/>
  <c r="AK151" i="18" s="1"/>
  <c r="AA182" i="18"/>
  <c r="AK182" i="18" s="1"/>
  <c r="AA139" i="18"/>
  <c r="AK139" i="18" s="1"/>
  <c r="AA376" i="18"/>
  <c r="AK376" i="18" s="1"/>
  <c r="AA10" i="18"/>
  <c r="AK10" i="18" s="1"/>
  <c r="AA76" i="18"/>
  <c r="AK76" i="18" s="1"/>
  <c r="AA96" i="18"/>
  <c r="AK96" i="18" s="1"/>
  <c r="AA13" i="18"/>
  <c r="AK13" i="18" s="1"/>
  <c r="AA136" i="18"/>
  <c r="AK136" i="18" s="1"/>
  <c r="AA315" i="18"/>
  <c r="AK315" i="18" s="1"/>
  <c r="AA127" i="18"/>
  <c r="AK127" i="18" s="1"/>
  <c r="AA357" i="18"/>
  <c r="AK357" i="18" s="1"/>
  <c r="AA75" i="18"/>
  <c r="AK75" i="18" s="1"/>
  <c r="AA350" i="18"/>
  <c r="AK350" i="18" s="1"/>
  <c r="AA289" i="18"/>
  <c r="AK289" i="18" s="1"/>
  <c r="AA270" i="18"/>
  <c r="AK270" i="18" s="1"/>
  <c r="AA55" i="18"/>
  <c r="AK55" i="18" s="1"/>
  <c r="AA49" i="18"/>
  <c r="AK49" i="18" s="1"/>
  <c r="AA337" i="18"/>
  <c r="AK337" i="18" s="1"/>
  <c r="AA340" i="18"/>
  <c r="AK340" i="18" s="1"/>
  <c r="AA180" i="18"/>
  <c r="AK180" i="18" s="1"/>
  <c r="AA292" i="18"/>
  <c r="AK292" i="18" s="1"/>
  <c r="AA252" i="18"/>
  <c r="AK252" i="18" s="1"/>
  <c r="AA338" i="18"/>
  <c r="AK338" i="18" s="1"/>
  <c r="AA21" i="18"/>
  <c r="AK21" i="18" s="1"/>
  <c r="AA298" i="18"/>
  <c r="AK298" i="18" s="1"/>
  <c r="AA101" i="18"/>
  <c r="AK101" i="18" s="1"/>
  <c r="AA356" i="18"/>
  <c r="AK356" i="18" s="1"/>
  <c r="AA250" i="18"/>
  <c r="AK250" i="18" s="1"/>
  <c r="AA17" i="18"/>
  <c r="AK17" i="18" s="1"/>
  <c r="AA262" i="18"/>
  <c r="AK262" i="18" s="1"/>
  <c r="AA309" i="18"/>
  <c r="AK309" i="18" s="1"/>
  <c r="AA311" i="18"/>
  <c r="AK311" i="18" s="1"/>
  <c r="AA339" i="18"/>
  <c r="AK339" i="18" s="1"/>
  <c r="AA320" i="18"/>
  <c r="AK320" i="18" s="1"/>
  <c r="AA25" i="18"/>
  <c r="AK25" i="18" s="1"/>
  <c r="AA228" i="18"/>
  <c r="AK228" i="18" s="1"/>
  <c r="AA87" i="18"/>
  <c r="AK87" i="18" s="1"/>
  <c r="AA57" i="18"/>
  <c r="AK57" i="18" s="1"/>
  <c r="AA238" i="18"/>
  <c r="AK238" i="18" s="1"/>
  <c r="AA12" i="18"/>
  <c r="AK12" i="18" s="1"/>
  <c r="AA161" i="18"/>
  <c r="AK161" i="18" s="1"/>
  <c r="AA171" i="18"/>
  <c r="AK171" i="18" s="1"/>
  <c r="AA232" i="18"/>
  <c r="AK232" i="18" s="1"/>
  <c r="AA109" i="18"/>
  <c r="AK109" i="18" s="1"/>
  <c r="AA370" i="18"/>
  <c r="AK370" i="18" s="1"/>
  <c r="AA46" i="18"/>
  <c r="AK46" i="18" s="1"/>
  <c r="AA74" i="18"/>
  <c r="AK74" i="18" s="1"/>
  <c r="AA204" i="18"/>
  <c r="AK204" i="18" s="1"/>
  <c r="AA245" i="18"/>
  <c r="AK245" i="18" s="1"/>
  <c r="AA254" i="18"/>
  <c r="AK254" i="18" s="1"/>
  <c r="AA326" i="18"/>
  <c r="AK326" i="18" s="1"/>
  <c r="AA79" i="18"/>
  <c r="AK79" i="18" s="1"/>
  <c r="AA6" i="18"/>
  <c r="AK6" i="18" s="1"/>
  <c r="AA334" i="18"/>
  <c r="AK334" i="18" s="1"/>
  <c r="AA247" i="18"/>
  <c r="AK247" i="18" s="1"/>
  <c r="AA310" i="18"/>
  <c r="AK310" i="18" s="1"/>
  <c r="AA192" i="18"/>
  <c r="AK192" i="18" s="1"/>
  <c r="AA271" i="18"/>
  <c r="AK271" i="18" s="1"/>
  <c r="AA369" i="18"/>
  <c r="AK369" i="18" s="1"/>
  <c r="AA300" i="18"/>
  <c r="AK300" i="18" s="1"/>
  <c r="AA137" i="18"/>
  <c r="AK137" i="18" s="1"/>
  <c r="AA97" i="18"/>
  <c r="AK97" i="18" s="1"/>
  <c r="AA190" i="18"/>
  <c r="AK190" i="18" s="1"/>
  <c r="AA210" i="18"/>
  <c r="AK210" i="18" s="1"/>
  <c r="AA355" i="18"/>
  <c r="AK355" i="18" s="1"/>
  <c r="AA120" i="18"/>
  <c r="AK120" i="18" s="1"/>
  <c r="AA218" i="18"/>
  <c r="AK218" i="18" s="1"/>
  <c r="AA347" i="18"/>
  <c r="AK347" i="18" s="1"/>
  <c r="AA165" i="18"/>
  <c r="AK165" i="18" s="1"/>
  <c r="AA375" i="18"/>
  <c r="AK375" i="18" s="1"/>
  <c r="AA330" i="18"/>
  <c r="AK330" i="18" s="1"/>
  <c r="AA237" i="18"/>
  <c r="AK237" i="18" s="1"/>
  <c r="AA258" i="18"/>
  <c r="AK258" i="18" s="1"/>
  <c r="AA186" i="18"/>
  <c r="AK186" i="18" s="1"/>
  <c r="AA230" i="18"/>
  <c r="AK230" i="18" s="1"/>
  <c r="AA335" i="18"/>
  <c r="AK335" i="18" s="1"/>
  <c r="AA60" i="18"/>
  <c r="AK60" i="18" s="1"/>
  <c r="AA103" i="18"/>
  <c r="AK103" i="18" s="1"/>
  <c r="AA365" i="18"/>
  <c r="AK365" i="18" s="1"/>
  <c r="AA113" i="18"/>
  <c r="AK113" i="18" s="1"/>
  <c r="AA65" i="18"/>
  <c r="AK65" i="18" s="1"/>
  <c r="AA47" i="18"/>
  <c r="AK47" i="18" s="1"/>
  <c r="AA264" i="18"/>
  <c r="AK264" i="18" s="1"/>
  <c r="AA163" i="18"/>
  <c r="AK163" i="18" s="1"/>
  <c r="AA220" i="18"/>
  <c r="AK220" i="18" s="1"/>
  <c r="AA93" i="18"/>
  <c r="AK93" i="18" s="1"/>
  <c r="AA145" i="18"/>
  <c r="AK145" i="18" s="1"/>
  <c r="AA22" i="18"/>
  <c r="AK22" i="18" s="1"/>
  <c r="AA114" i="18"/>
  <c r="AK114" i="18" s="1"/>
  <c r="AA195" i="18"/>
  <c r="AK195" i="18" s="1"/>
  <c r="AA319" i="18"/>
  <c r="AK319" i="18" s="1"/>
  <c r="AA317" i="18"/>
  <c r="AK317" i="18" s="1"/>
  <c r="AA211" i="18"/>
  <c r="AK211" i="18" s="1"/>
  <c r="AA39" i="18"/>
  <c r="AK39" i="18" s="1"/>
  <c r="AA102" i="18"/>
  <c r="AK102" i="18" s="1"/>
  <c r="AA149" i="18"/>
  <c r="AK149" i="18" s="1"/>
  <c r="AA259" i="18"/>
  <c r="AK259" i="18" s="1"/>
  <c r="AA219" i="18"/>
  <c r="AK219" i="18" s="1"/>
  <c r="AA313" i="18"/>
  <c r="AK313" i="18" s="1"/>
  <c r="AA129" i="18"/>
  <c r="AK129" i="18" s="1"/>
  <c r="AA352" i="18"/>
  <c r="AK352" i="18" s="1"/>
  <c r="AA200" i="18"/>
  <c r="AK200" i="18" s="1"/>
  <c r="AA118" i="18"/>
  <c r="AK118" i="18" s="1"/>
  <c r="AA154" i="18"/>
  <c r="AK154" i="18" s="1"/>
  <c r="AA227" i="18"/>
  <c r="AK227" i="18" s="1"/>
  <c r="AA67" i="18"/>
  <c r="AK67" i="18" s="1"/>
  <c r="AA341" i="18"/>
  <c r="AK341" i="18" s="1"/>
  <c r="AA277" i="18"/>
  <c r="AK277" i="18" s="1"/>
  <c r="AA278" i="18"/>
  <c r="AK278" i="18" s="1"/>
  <c r="AA115" i="18"/>
  <c r="AK115" i="18" s="1"/>
  <c r="AA358" i="18"/>
  <c r="AK358" i="18" s="1"/>
  <c r="AA166" i="18"/>
  <c r="AK166" i="18" s="1"/>
  <c r="AA99" i="18"/>
  <c r="AK99" i="18" s="1"/>
  <c r="AA260" i="18"/>
  <c r="AK260" i="18" s="1"/>
  <c r="AA193" i="18"/>
  <c r="AK193" i="18" s="1"/>
  <c r="AA246" i="18"/>
  <c r="AK246" i="18" s="1"/>
  <c r="AA294" i="18"/>
  <c r="AK294" i="18" s="1"/>
  <c r="AA291" i="18"/>
  <c r="AK291" i="18" s="1"/>
  <c r="AA286" i="18"/>
  <c r="AK286" i="18" s="1"/>
  <c r="AA56" i="18"/>
  <c r="AK56" i="18" s="1"/>
  <c r="AA66" i="18"/>
  <c r="AK66" i="18" s="1"/>
  <c r="AA348" i="18"/>
  <c r="AK348" i="18" s="1"/>
  <c r="I70" i="22"/>
  <c r="I96" i="22" s="1"/>
  <c r="J2" i="16"/>
  <c r="J43" i="22"/>
  <c r="I19" i="22" s="1"/>
  <c r="X1" i="4"/>
  <c r="AJ2" i="4"/>
  <c r="AX1" i="4"/>
  <c r="AQ19" i="4"/>
  <c r="C10" i="4"/>
  <c r="B11" i="4"/>
  <c r="AP20" i="4"/>
  <c r="I33" i="11" l="1"/>
  <c r="H48" i="22"/>
  <c r="H45" i="22" s="1"/>
  <c r="I45" i="11"/>
  <c r="I48" i="24"/>
  <c r="I36" i="21"/>
  <c r="I3" i="16"/>
  <c r="I46" i="22" s="1"/>
  <c r="I3" i="21"/>
  <c r="I49" i="22" s="1"/>
  <c r="I48" i="21"/>
  <c r="I3" i="11"/>
  <c r="I48" i="22" s="1"/>
  <c r="I36" i="16"/>
  <c r="I48" i="16"/>
  <c r="I36" i="24"/>
  <c r="I3" i="24"/>
  <c r="I47" i="22" s="1"/>
  <c r="J35" i="16"/>
  <c r="J47" i="16" s="1"/>
  <c r="AK2" i="18"/>
  <c r="K29" i="4"/>
  <c r="AK30" i="4" s="1"/>
  <c r="K41" i="4"/>
  <c r="AK42" i="4" s="1"/>
  <c r="K5" i="4"/>
  <c r="AK6" i="4" s="1"/>
  <c r="K11" i="4"/>
  <c r="AK12" i="4" s="1"/>
  <c r="K17" i="4"/>
  <c r="AK18" i="4" s="1"/>
  <c r="K23" i="4"/>
  <c r="AK24" i="4" s="1"/>
  <c r="K35" i="4"/>
  <c r="AK36" i="4" s="1"/>
  <c r="K34" i="4"/>
  <c r="AK35" i="4" s="1"/>
  <c r="K40" i="4"/>
  <c r="AK41" i="4" s="1"/>
  <c r="K4" i="4"/>
  <c r="AK5" i="4" s="1"/>
  <c r="K10" i="4"/>
  <c r="AK11" i="4" s="1"/>
  <c r="K16" i="4"/>
  <c r="AK17" i="4" s="1"/>
  <c r="K22" i="4"/>
  <c r="AK23" i="4" s="1"/>
  <c r="K28" i="4"/>
  <c r="AK29" i="4" s="1"/>
  <c r="K2" i="4"/>
  <c r="AK3" i="4" s="1"/>
  <c r="K24" i="4"/>
  <c r="AK25" i="4" s="1"/>
  <c r="K3" i="4"/>
  <c r="AK4" i="4" s="1"/>
  <c r="K9" i="4"/>
  <c r="AK10" i="4" s="1"/>
  <c r="K15" i="4"/>
  <c r="AK16" i="4" s="1"/>
  <c r="K21" i="4"/>
  <c r="AK22" i="4" s="1"/>
  <c r="K27" i="4"/>
  <c r="AK28" i="4" s="1"/>
  <c r="K33" i="4"/>
  <c r="AK34" i="4" s="1"/>
  <c r="K39" i="4"/>
  <c r="AK40" i="4" s="1"/>
  <c r="K42" i="4"/>
  <c r="AK43" i="4" s="1"/>
  <c r="K6" i="4"/>
  <c r="AK7" i="4" s="1"/>
  <c r="K12" i="4"/>
  <c r="AK13" i="4" s="1"/>
  <c r="K8" i="4"/>
  <c r="AK9" i="4" s="1"/>
  <c r="K14" i="4"/>
  <c r="AK15" i="4" s="1"/>
  <c r="K20" i="4"/>
  <c r="AK21" i="4" s="1"/>
  <c r="K26" i="4"/>
  <c r="AK27" i="4" s="1"/>
  <c r="K32" i="4"/>
  <c r="AK33" i="4" s="1"/>
  <c r="K38" i="4"/>
  <c r="AK39" i="4" s="1"/>
  <c r="K44" i="4"/>
  <c r="AK45" i="4" s="1"/>
  <c r="K18" i="4"/>
  <c r="AK19" i="4" s="1"/>
  <c r="K30" i="4"/>
  <c r="AK31" i="4" s="1"/>
  <c r="K36" i="4"/>
  <c r="AK37" i="4" s="1"/>
  <c r="K7" i="4"/>
  <c r="AK8" i="4" s="1"/>
  <c r="K13" i="4"/>
  <c r="AK14" i="4" s="1"/>
  <c r="K19" i="4"/>
  <c r="AK20" i="4" s="1"/>
  <c r="K25" i="4"/>
  <c r="AK26" i="4" s="1"/>
  <c r="K31" i="4"/>
  <c r="AK32" i="4" s="1"/>
  <c r="K37" i="4"/>
  <c r="AK38" i="4" s="1"/>
  <c r="K43" i="4"/>
  <c r="AK44" i="4" s="1"/>
  <c r="AB294" i="18"/>
  <c r="AL294" i="18" s="1"/>
  <c r="AB358" i="18"/>
  <c r="AL358" i="18" s="1"/>
  <c r="AB227" i="18"/>
  <c r="AL227" i="18" s="1"/>
  <c r="AB313" i="18"/>
  <c r="AL313" i="18" s="1"/>
  <c r="AB211" i="18"/>
  <c r="AL211" i="18" s="1"/>
  <c r="AB145" i="18"/>
  <c r="AL145" i="18" s="1"/>
  <c r="AB65" i="18"/>
  <c r="AL65" i="18" s="1"/>
  <c r="AB230" i="18"/>
  <c r="AL230" i="18" s="1"/>
  <c r="AB165" i="18"/>
  <c r="AL165" i="18" s="1"/>
  <c r="AB190" i="18"/>
  <c r="AL190" i="18" s="1"/>
  <c r="AB192" i="18"/>
  <c r="AL192" i="18" s="1"/>
  <c r="AB326" i="18"/>
  <c r="AL326" i="18" s="1"/>
  <c r="AB370" i="18"/>
  <c r="AL370" i="18" s="1"/>
  <c r="AB238" i="18"/>
  <c r="AL238" i="18" s="1"/>
  <c r="AB339" i="18"/>
  <c r="AL339" i="18" s="1"/>
  <c r="AB356" i="18"/>
  <c r="AL356" i="18" s="1"/>
  <c r="AB292" i="18"/>
  <c r="AL292" i="18" s="1"/>
  <c r="AB270" i="18"/>
  <c r="AL270" i="18" s="1"/>
  <c r="AB315" i="18"/>
  <c r="AL315" i="18" s="1"/>
  <c r="AB376" i="18"/>
  <c r="AL376" i="18" s="1"/>
  <c r="AB169" i="18"/>
  <c r="AL169" i="18" s="1"/>
  <c r="AB305" i="18"/>
  <c r="AL305" i="18" s="1"/>
  <c r="AB131" i="18"/>
  <c r="AL131" i="18" s="1"/>
  <c r="AB85" i="18"/>
  <c r="AL85" i="18" s="1"/>
  <c r="AB257" i="18"/>
  <c r="AL257" i="18" s="1"/>
  <c r="AB183" i="18"/>
  <c r="AL183" i="18" s="1"/>
  <c r="AB236" i="18"/>
  <c r="AL236" i="18" s="1"/>
  <c r="AB172" i="18"/>
  <c r="AL172" i="18" s="1"/>
  <c r="AB307" i="18"/>
  <c r="AL307" i="18" s="1"/>
  <c r="AB167" i="18"/>
  <c r="AL167" i="18" s="1"/>
  <c r="AB223" i="18"/>
  <c r="AL223" i="18" s="1"/>
  <c r="AB63" i="18"/>
  <c r="AL63" i="18" s="1"/>
  <c r="AB275" i="18"/>
  <c r="AL275" i="18" s="1"/>
  <c r="AB205" i="18"/>
  <c r="AL205" i="18" s="1"/>
  <c r="AB198" i="18"/>
  <c r="AL198" i="18" s="1"/>
  <c r="AB187" i="18"/>
  <c r="AL187" i="18" s="1"/>
  <c r="AB208" i="18"/>
  <c r="AL208" i="18" s="1"/>
  <c r="AB14" i="18"/>
  <c r="AL14" i="18" s="1"/>
  <c r="AB261" i="18"/>
  <c r="AL261" i="18" s="1"/>
  <c r="AB368" i="18"/>
  <c r="AL368" i="18" s="1"/>
  <c r="AB235" i="18"/>
  <c r="AL235" i="18" s="1"/>
  <c r="AB295" i="18"/>
  <c r="AL295" i="18" s="1"/>
  <c r="AB138" i="18"/>
  <c r="AL138" i="18" s="1"/>
  <c r="AB89" i="18"/>
  <c r="AL89" i="18" s="1"/>
  <c r="AB2" i="18"/>
  <c r="AB266" i="18"/>
  <c r="AL266" i="18" s="1"/>
  <c r="AB290" i="18"/>
  <c r="AL290" i="18" s="1"/>
  <c r="AB181" i="18"/>
  <c r="AL181" i="18" s="1"/>
  <c r="AB212" i="18"/>
  <c r="AL212" i="18" s="1"/>
  <c r="AB146" i="18"/>
  <c r="AL146" i="18" s="1"/>
  <c r="AB44" i="18"/>
  <c r="AL44" i="18" s="1"/>
  <c r="AB128" i="18"/>
  <c r="AL128" i="18" s="1"/>
  <c r="AB215" i="18"/>
  <c r="AL215" i="18" s="1"/>
  <c r="AB126" i="18"/>
  <c r="AL126" i="18" s="1"/>
  <c r="AB284" i="18"/>
  <c r="AL284" i="18" s="1"/>
  <c r="AB233" i="18"/>
  <c r="AL233" i="18" s="1"/>
  <c r="AB206" i="18"/>
  <c r="AL206" i="18" s="1"/>
  <c r="AB374" i="18"/>
  <c r="AL374" i="18" s="1"/>
  <c r="AB342" i="18"/>
  <c r="AL342" i="18" s="1"/>
  <c r="AB349" i="18"/>
  <c r="AL349" i="18" s="1"/>
  <c r="AB7" i="18"/>
  <c r="AL7" i="18" s="1"/>
  <c r="AB348" i="18"/>
  <c r="AL348" i="18" s="1"/>
  <c r="AB246" i="18"/>
  <c r="AL246" i="18" s="1"/>
  <c r="AB115" i="18"/>
  <c r="AL115" i="18" s="1"/>
  <c r="AB154" i="18"/>
  <c r="AL154" i="18" s="1"/>
  <c r="AB219" i="18"/>
  <c r="AL219" i="18" s="1"/>
  <c r="AB317" i="18"/>
  <c r="AL317" i="18" s="1"/>
  <c r="AB93" i="18"/>
  <c r="AL93" i="18" s="1"/>
  <c r="AB113" i="18"/>
  <c r="AL113" i="18" s="1"/>
  <c r="AB186" i="18"/>
  <c r="AL186" i="18" s="1"/>
  <c r="AB347" i="18"/>
  <c r="AL347" i="18" s="1"/>
  <c r="AB97" i="18"/>
  <c r="AL97" i="18" s="1"/>
  <c r="AB310" i="18"/>
  <c r="AL310" i="18" s="1"/>
  <c r="AB254" i="18"/>
  <c r="AL254" i="18" s="1"/>
  <c r="AB109" i="18"/>
  <c r="AL109" i="18" s="1"/>
  <c r="AB57" i="18"/>
  <c r="AL57" i="18" s="1"/>
  <c r="AB311" i="18"/>
  <c r="AL311" i="18" s="1"/>
  <c r="AB101" i="18"/>
  <c r="AL101" i="18" s="1"/>
  <c r="AB180" i="18"/>
  <c r="AL180" i="18" s="1"/>
  <c r="AB289" i="18"/>
  <c r="AL289" i="18" s="1"/>
  <c r="AB136" i="18"/>
  <c r="AL136" i="18" s="1"/>
  <c r="AB139" i="18"/>
  <c r="AL139" i="18" s="1"/>
  <c r="AB199" i="18"/>
  <c r="AL199" i="18" s="1"/>
  <c r="AB242" i="18"/>
  <c r="AL242" i="18" s="1"/>
  <c r="AB156" i="18"/>
  <c r="AL156" i="18" s="1"/>
  <c r="AB303" i="18"/>
  <c r="AL303" i="18" s="1"/>
  <c r="AB344" i="18"/>
  <c r="AL344" i="18" s="1"/>
  <c r="AB197" i="18"/>
  <c r="AL197" i="18" s="1"/>
  <c r="AB239" i="18"/>
  <c r="AL239" i="18" s="1"/>
  <c r="AB104" i="18"/>
  <c r="AL104" i="18" s="1"/>
  <c r="AB80" i="18"/>
  <c r="AL80" i="18" s="1"/>
  <c r="AB124" i="18"/>
  <c r="AL124" i="18" s="1"/>
  <c r="AB15" i="18"/>
  <c r="AL15" i="18" s="1"/>
  <c r="AB82" i="18"/>
  <c r="AL82" i="18" s="1"/>
  <c r="AB71" i="18"/>
  <c r="AL71" i="18" s="1"/>
  <c r="AB209" i="18"/>
  <c r="AL209" i="18" s="1"/>
  <c r="AB108" i="18"/>
  <c r="AL108" i="18" s="1"/>
  <c r="AB27" i="18"/>
  <c r="AL27" i="18" s="1"/>
  <c r="AB90" i="18"/>
  <c r="AL90" i="18" s="1"/>
  <c r="AB221" i="18"/>
  <c r="AL221" i="18" s="1"/>
  <c r="AB234" i="18"/>
  <c r="AL234" i="18" s="1"/>
  <c r="AB331" i="18"/>
  <c r="AL331" i="18" s="1"/>
  <c r="AB132" i="18"/>
  <c r="AL132" i="18" s="1"/>
  <c r="AB188" i="18"/>
  <c r="AL188" i="18" s="1"/>
  <c r="AB70" i="18"/>
  <c r="AL70" i="18" s="1"/>
  <c r="AB78" i="18"/>
  <c r="AL78" i="18" s="1"/>
  <c r="AB81" i="18"/>
  <c r="AL81" i="18" s="1"/>
  <c r="AB178" i="18"/>
  <c r="AL178" i="18" s="1"/>
  <c r="AB306" i="18"/>
  <c r="AL306" i="18" s="1"/>
  <c r="AB45" i="18"/>
  <c r="AL45" i="18" s="1"/>
  <c r="AB147" i="18"/>
  <c r="AL147" i="18" s="1"/>
  <c r="AB117" i="18"/>
  <c r="AL117" i="18" s="1"/>
  <c r="AB333" i="18"/>
  <c r="AL333" i="18" s="1"/>
  <c r="AB244" i="18"/>
  <c r="AL244" i="18" s="1"/>
  <c r="AB140" i="18"/>
  <c r="AL140" i="18" s="1"/>
  <c r="AB19" i="18"/>
  <c r="AL19" i="18" s="1"/>
  <c r="AB231" i="18"/>
  <c r="AL231" i="18" s="1"/>
  <c r="AB123" i="18"/>
  <c r="AL123" i="18" s="1"/>
  <c r="AB323" i="18"/>
  <c r="AL323" i="18" s="1"/>
  <c r="AB157" i="18"/>
  <c r="AL157" i="18" s="1"/>
  <c r="AB367" i="18"/>
  <c r="AL367" i="18" s="1"/>
  <c r="AB293" i="18"/>
  <c r="AL293" i="18" s="1"/>
  <c r="AB213" i="18"/>
  <c r="AL213" i="18" s="1"/>
  <c r="AB312" i="18"/>
  <c r="AL312" i="18" s="1"/>
  <c r="AB66" i="18"/>
  <c r="AL66" i="18" s="1"/>
  <c r="AB193" i="18"/>
  <c r="AL193" i="18" s="1"/>
  <c r="AB278" i="18"/>
  <c r="AL278" i="18" s="1"/>
  <c r="AB118" i="18"/>
  <c r="AL118" i="18" s="1"/>
  <c r="AB259" i="18"/>
  <c r="AL259" i="18" s="1"/>
  <c r="AB319" i="18"/>
  <c r="AL319" i="18" s="1"/>
  <c r="AB220" i="18"/>
  <c r="AL220" i="18" s="1"/>
  <c r="AB365" i="18"/>
  <c r="AL365" i="18" s="1"/>
  <c r="AB258" i="18"/>
  <c r="AL258" i="18" s="1"/>
  <c r="AB218" i="18"/>
  <c r="AL218" i="18" s="1"/>
  <c r="AB137" i="18"/>
  <c r="AL137" i="18" s="1"/>
  <c r="AB247" i="18"/>
  <c r="AL247" i="18" s="1"/>
  <c r="AB245" i="18"/>
  <c r="AL245" i="18" s="1"/>
  <c r="AB232" i="18"/>
  <c r="AL232" i="18" s="1"/>
  <c r="AB87" i="18"/>
  <c r="AL87" i="18" s="1"/>
  <c r="AB309" i="18"/>
  <c r="AL309" i="18" s="1"/>
  <c r="AB298" i="18"/>
  <c r="AL298" i="18" s="1"/>
  <c r="AB340" i="18"/>
  <c r="AL340" i="18" s="1"/>
  <c r="AB350" i="18"/>
  <c r="AL350" i="18" s="1"/>
  <c r="AB13" i="18"/>
  <c r="AL13" i="18" s="1"/>
  <c r="AB182" i="18"/>
  <c r="AL182" i="18" s="1"/>
  <c r="AB41" i="18"/>
  <c r="AL41" i="18" s="1"/>
  <c r="AB159" i="18"/>
  <c r="AL159" i="18" s="1"/>
  <c r="AB222" i="18"/>
  <c r="AL222" i="18" s="1"/>
  <c r="AB37" i="18"/>
  <c r="AL37" i="18" s="1"/>
  <c r="AB43" i="18"/>
  <c r="AL43" i="18" s="1"/>
  <c r="AB364" i="18"/>
  <c r="AL364" i="18" s="1"/>
  <c r="AB366" i="18"/>
  <c r="AL366" i="18" s="1"/>
  <c r="AB107" i="18"/>
  <c r="AL107" i="18" s="1"/>
  <c r="AB207" i="18"/>
  <c r="AL207" i="18" s="1"/>
  <c r="AB105" i="18"/>
  <c r="AL105" i="18" s="1"/>
  <c r="AB184" i="18"/>
  <c r="AL184" i="18" s="1"/>
  <c r="AB203" i="18"/>
  <c r="AL203" i="18" s="1"/>
  <c r="AB110" i="18"/>
  <c r="AL110" i="18" s="1"/>
  <c r="AB133" i="18"/>
  <c r="AL133" i="18" s="1"/>
  <c r="AB23" i="18"/>
  <c r="AL23" i="18" s="1"/>
  <c r="AB68" i="18"/>
  <c r="AL68" i="18" s="1"/>
  <c r="AB143" i="18"/>
  <c r="AL143" i="18" s="1"/>
  <c r="AB141" i="18"/>
  <c r="AL141" i="18" s="1"/>
  <c r="AB332" i="18"/>
  <c r="AL332" i="18" s="1"/>
  <c r="AB50" i="18"/>
  <c r="AL50" i="18" s="1"/>
  <c r="AB276" i="18"/>
  <c r="AL276" i="18" s="1"/>
  <c r="AB38" i="18"/>
  <c r="AL38" i="18" s="1"/>
  <c r="AB153" i="18"/>
  <c r="AL153" i="18" s="1"/>
  <c r="AB61" i="18"/>
  <c r="AL61" i="18" s="1"/>
  <c r="AB34" i="18"/>
  <c r="AL34" i="18" s="1"/>
  <c r="AB373" i="18"/>
  <c r="AL373" i="18" s="1"/>
  <c r="AB77" i="18"/>
  <c r="AL77" i="18" s="1"/>
  <c r="AB324" i="18"/>
  <c r="AL324" i="18" s="1"/>
  <c r="AB281" i="18"/>
  <c r="AL281" i="18" s="1"/>
  <c r="AB191" i="18"/>
  <c r="AL191" i="18" s="1"/>
  <c r="AB64" i="18"/>
  <c r="AL64" i="18" s="1"/>
  <c r="AB249" i="18"/>
  <c r="AL249" i="18" s="1"/>
  <c r="AB58" i="18"/>
  <c r="AL58" i="18" s="1"/>
  <c r="AB372" i="18"/>
  <c r="AL372" i="18" s="1"/>
  <c r="AB100" i="18"/>
  <c r="AL100" i="18" s="1"/>
  <c r="AB253" i="18"/>
  <c r="AL253" i="18" s="1"/>
  <c r="AB84" i="18"/>
  <c r="AL84" i="18" s="1"/>
  <c r="AB299" i="18"/>
  <c r="AL299" i="18" s="1"/>
  <c r="AB72" i="18"/>
  <c r="AL72" i="18" s="1"/>
  <c r="AB201" i="18"/>
  <c r="AL201" i="18" s="1"/>
  <c r="AB152" i="18"/>
  <c r="AL152" i="18" s="1"/>
  <c r="AB56" i="18"/>
  <c r="AL56" i="18" s="1"/>
  <c r="AB149" i="18"/>
  <c r="AL149" i="18" s="1"/>
  <c r="AB237" i="18"/>
  <c r="AL237" i="18" s="1"/>
  <c r="AB204" i="18"/>
  <c r="AL204" i="18" s="1"/>
  <c r="AB21" i="18"/>
  <c r="AL21" i="18" s="1"/>
  <c r="AB151" i="18"/>
  <c r="AL151" i="18" s="1"/>
  <c r="AB304" i="18"/>
  <c r="AL304" i="18" s="1"/>
  <c r="AB86" i="18"/>
  <c r="AL86" i="18" s="1"/>
  <c r="AB185" i="18"/>
  <c r="AL185" i="18" s="1"/>
  <c r="AB229" i="18"/>
  <c r="AL229" i="18" s="1"/>
  <c r="AB130" i="18"/>
  <c r="AL130" i="18" s="1"/>
  <c r="AB142" i="18"/>
  <c r="AL142" i="18" s="1"/>
  <c r="AB11" i="18"/>
  <c r="AL11" i="18" s="1"/>
  <c r="AB16" i="18"/>
  <c r="AL16" i="18" s="1"/>
  <c r="AB279" i="18"/>
  <c r="AL279" i="18" s="1"/>
  <c r="AB351" i="18"/>
  <c r="AL351" i="18" s="1"/>
  <c r="AB189" i="18"/>
  <c r="AL189" i="18" s="1"/>
  <c r="AB308" i="18"/>
  <c r="AL308" i="18" s="1"/>
  <c r="AB360" i="18"/>
  <c r="AL360" i="18" s="1"/>
  <c r="AB8" i="18"/>
  <c r="AL8" i="18" s="1"/>
  <c r="AB36" i="18"/>
  <c r="AL36" i="18" s="1"/>
  <c r="AB53" i="18"/>
  <c r="AL53" i="18" s="1"/>
  <c r="AB33" i="18"/>
  <c r="AL33" i="18" s="1"/>
  <c r="AB283" i="18"/>
  <c r="AL283" i="18" s="1"/>
  <c r="AB318" i="18"/>
  <c r="AL318" i="18" s="1"/>
  <c r="AB336" i="18"/>
  <c r="AL336" i="18" s="1"/>
  <c r="AB248" i="18"/>
  <c r="AL248" i="18" s="1"/>
  <c r="AB111" i="18"/>
  <c r="AL111" i="18" s="1"/>
  <c r="AB255" i="18"/>
  <c r="AL255" i="18" s="1"/>
  <c r="AB274" i="18"/>
  <c r="AL274" i="18" s="1"/>
  <c r="AB194" i="18"/>
  <c r="AL194" i="18" s="1"/>
  <c r="AB371" i="18"/>
  <c r="AL371" i="18" s="1"/>
  <c r="AB200" i="18"/>
  <c r="AL200" i="18" s="1"/>
  <c r="AB103" i="18"/>
  <c r="AL103" i="18" s="1"/>
  <c r="AB300" i="18"/>
  <c r="AL300" i="18" s="1"/>
  <c r="AB228" i="18"/>
  <c r="AL228" i="18" s="1"/>
  <c r="AB262" i="18"/>
  <c r="AL262" i="18" s="1"/>
  <c r="AB96" i="18"/>
  <c r="AL96" i="18" s="1"/>
  <c r="AB35" i="18"/>
  <c r="AL35" i="18" s="1"/>
  <c r="AB216" i="18"/>
  <c r="AL216" i="18" s="1"/>
  <c r="AB296" i="18"/>
  <c r="AL296" i="18" s="1"/>
  <c r="AB286" i="18"/>
  <c r="AL286" i="18" s="1"/>
  <c r="AB99" i="18"/>
  <c r="AL99" i="18" s="1"/>
  <c r="AB341" i="18"/>
  <c r="AL341" i="18" s="1"/>
  <c r="AB352" i="18"/>
  <c r="AL352" i="18" s="1"/>
  <c r="AB102" i="18"/>
  <c r="AL102" i="18" s="1"/>
  <c r="AB114" i="18"/>
  <c r="AL114" i="18" s="1"/>
  <c r="AB264" i="18"/>
  <c r="AL264" i="18" s="1"/>
  <c r="AB60" i="18"/>
  <c r="AL60" i="18" s="1"/>
  <c r="AB330" i="18"/>
  <c r="AL330" i="18" s="1"/>
  <c r="AB355" i="18"/>
  <c r="AL355" i="18" s="1"/>
  <c r="AB369" i="18"/>
  <c r="AL369" i="18" s="1"/>
  <c r="AB6" i="18"/>
  <c r="AL6" i="18" s="1"/>
  <c r="AB74" i="18"/>
  <c r="AL74" i="18" s="1"/>
  <c r="AB161" i="18"/>
  <c r="AL161" i="18" s="1"/>
  <c r="AB25" i="18"/>
  <c r="AL25" i="18" s="1"/>
  <c r="AB17" i="18"/>
  <c r="AL17" i="18" s="1"/>
  <c r="AB338" i="18"/>
  <c r="AL338" i="18" s="1"/>
  <c r="AB49" i="18"/>
  <c r="AL49" i="18" s="1"/>
  <c r="AB357" i="18"/>
  <c r="AL357" i="18" s="1"/>
  <c r="AB76" i="18"/>
  <c r="AL76" i="18" s="1"/>
  <c r="AB24" i="18"/>
  <c r="AL24" i="18" s="1"/>
  <c r="AB302" i="18"/>
  <c r="AL302" i="18" s="1"/>
  <c r="AB54" i="18"/>
  <c r="AL54" i="18" s="1"/>
  <c r="AB316" i="18"/>
  <c r="AL316" i="18" s="1"/>
  <c r="AB164" i="18"/>
  <c r="AL164" i="18" s="1"/>
  <c r="AB106" i="18"/>
  <c r="AL106" i="18" s="1"/>
  <c r="AB168" i="18"/>
  <c r="AL168" i="18" s="1"/>
  <c r="AB134" i="18"/>
  <c r="AL134" i="18" s="1"/>
  <c r="AB144" i="18"/>
  <c r="AL144" i="18" s="1"/>
  <c r="AB91" i="18"/>
  <c r="AL91" i="18" s="1"/>
  <c r="AB31" i="18"/>
  <c r="AL31" i="18" s="1"/>
  <c r="AB282" i="18"/>
  <c r="AL282" i="18" s="1"/>
  <c r="AB268" i="18"/>
  <c r="AL268" i="18" s="1"/>
  <c r="AB148" i="18"/>
  <c r="AL148" i="18" s="1"/>
  <c r="AB155" i="18"/>
  <c r="AL155" i="18" s="1"/>
  <c r="AB160" i="18"/>
  <c r="AL160" i="18" s="1"/>
  <c r="AB59" i="18"/>
  <c r="AL59" i="18" s="1"/>
  <c r="AB354" i="18"/>
  <c r="AL354" i="18" s="1"/>
  <c r="AB272" i="18"/>
  <c r="AL272" i="18" s="1"/>
  <c r="AB9" i="18"/>
  <c r="AL9" i="18" s="1"/>
  <c r="AB95" i="18"/>
  <c r="AL95" i="18" s="1"/>
  <c r="AB241" i="18"/>
  <c r="AL241" i="18" s="1"/>
  <c r="AB277" i="18"/>
  <c r="AL277" i="18" s="1"/>
  <c r="AB163" i="18"/>
  <c r="AL163" i="18" s="1"/>
  <c r="AB334" i="18"/>
  <c r="AL334" i="18" s="1"/>
  <c r="AB75" i="18"/>
  <c r="AL75" i="18" s="1"/>
  <c r="AB150" i="18"/>
  <c r="AL150" i="18" s="1"/>
  <c r="AB5" i="18"/>
  <c r="AL5" i="18" s="1"/>
  <c r="AB3" i="18"/>
  <c r="AL3" i="18" s="1"/>
  <c r="AB214" i="18"/>
  <c r="AL214" i="18" s="1"/>
  <c r="AB116" i="18"/>
  <c r="AL116" i="18" s="1"/>
  <c r="AB92" i="18"/>
  <c r="AL92" i="18" s="1"/>
  <c r="AB112" i="18"/>
  <c r="AL112" i="18" s="1"/>
  <c r="AB273" i="18"/>
  <c r="AL273" i="18" s="1"/>
  <c r="AK162" i="18"/>
  <c r="AB325" i="18"/>
  <c r="AL325" i="18" s="1"/>
  <c r="AB28" i="18"/>
  <c r="AL28" i="18" s="1"/>
  <c r="AB29" i="18"/>
  <c r="AL29" i="18" s="1"/>
  <c r="AB176" i="18"/>
  <c r="AL176" i="18" s="1"/>
  <c r="AB225" i="18"/>
  <c r="AL225" i="18" s="1"/>
  <c r="AB18" i="18"/>
  <c r="AL18" i="18" s="1"/>
  <c r="AB314" i="18"/>
  <c r="AL314" i="18" s="1"/>
  <c r="AB30" i="18"/>
  <c r="AL30" i="18" s="1"/>
  <c r="AB328" i="18"/>
  <c r="AL328" i="18" s="1"/>
  <c r="AB267" i="18"/>
  <c r="AL267" i="18" s="1"/>
  <c r="AB40" i="18"/>
  <c r="AL40" i="18" s="1"/>
  <c r="AB196" i="18"/>
  <c r="AL196" i="18" s="1"/>
  <c r="AB327" i="18"/>
  <c r="AL327" i="18" s="1"/>
  <c r="AB83" i="18"/>
  <c r="AL83" i="18" s="1"/>
  <c r="AB256" i="18"/>
  <c r="AL256" i="18" s="1"/>
  <c r="AB363" i="18"/>
  <c r="AL363" i="18" s="1"/>
  <c r="AB52" i="18"/>
  <c r="AL52" i="18" s="1"/>
  <c r="AB179" i="18"/>
  <c r="AL179" i="18" s="1"/>
  <c r="AB251" i="18"/>
  <c r="AL251" i="18" s="1"/>
  <c r="AB119" i="18"/>
  <c r="AL119" i="18" s="1"/>
  <c r="AB51" i="18"/>
  <c r="AL51" i="18" s="1"/>
  <c r="AB260" i="18"/>
  <c r="AL260" i="18" s="1"/>
  <c r="AB195" i="18"/>
  <c r="AL195" i="18" s="1"/>
  <c r="AB120" i="18"/>
  <c r="AL120" i="18" s="1"/>
  <c r="AB171" i="18"/>
  <c r="AL171" i="18" s="1"/>
  <c r="AB337" i="18"/>
  <c r="AL337" i="18" s="1"/>
  <c r="AB346" i="18"/>
  <c r="AL346" i="18" s="1"/>
  <c r="AB301" i="18"/>
  <c r="AL301" i="18" s="1"/>
  <c r="AB321" i="18"/>
  <c r="AL321" i="18" s="1"/>
  <c r="AB175" i="18"/>
  <c r="AL175" i="18" s="1"/>
  <c r="AB202" i="18"/>
  <c r="AL202" i="18" s="1"/>
  <c r="AB98" i="18"/>
  <c r="AL98" i="18" s="1"/>
  <c r="AB291" i="18"/>
  <c r="AL291" i="18" s="1"/>
  <c r="AB166" i="18"/>
  <c r="AL166" i="18" s="1"/>
  <c r="AB67" i="18"/>
  <c r="AL67" i="18" s="1"/>
  <c r="AB129" i="18"/>
  <c r="AL129" i="18" s="1"/>
  <c r="AB39" i="18"/>
  <c r="AL39" i="18" s="1"/>
  <c r="AB22" i="18"/>
  <c r="AL22" i="18" s="1"/>
  <c r="AB47" i="18"/>
  <c r="AL47" i="18" s="1"/>
  <c r="AB335" i="18"/>
  <c r="AL335" i="18" s="1"/>
  <c r="AB375" i="18"/>
  <c r="AL375" i="18" s="1"/>
  <c r="AB210" i="18"/>
  <c r="AL210" i="18" s="1"/>
  <c r="AB271" i="18"/>
  <c r="AL271" i="18" s="1"/>
  <c r="AB79" i="18"/>
  <c r="AL79" i="18" s="1"/>
  <c r="AB46" i="18"/>
  <c r="AL46" i="18" s="1"/>
  <c r="AB12" i="18"/>
  <c r="AL12" i="18" s="1"/>
  <c r="AB320" i="18"/>
  <c r="AL320" i="18" s="1"/>
  <c r="AB250" i="18"/>
  <c r="AL250" i="18" s="1"/>
  <c r="AB252" i="18"/>
  <c r="AL252" i="18" s="1"/>
  <c r="AB55" i="18"/>
  <c r="AL55" i="18" s="1"/>
  <c r="AB127" i="18"/>
  <c r="AL127" i="18" s="1"/>
  <c r="AB10" i="18"/>
  <c r="AL10" i="18" s="1"/>
  <c r="AB226" i="18"/>
  <c r="AL226" i="18" s="1"/>
  <c r="AB287" i="18"/>
  <c r="AL287" i="18" s="1"/>
  <c r="AB158" i="18"/>
  <c r="AL158" i="18" s="1"/>
  <c r="AB343" i="18"/>
  <c r="AL343" i="18" s="1"/>
  <c r="AB362" i="18"/>
  <c r="AL362" i="18" s="1"/>
  <c r="AB121" i="18"/>
  <c r="AL121" i="18" s="1"/>
  <c r="AB42" i="18"/>
  <c r="AL42" i="18" s="1"/>
  <c r="AB26" i="18"/>
  <c r="AL26" i="18" s="1"/>
  <c r="AB32" i="18"/>
  <c r="AL32" i="18" s="1"/>
  <c r="AB263" i="18"/>
  <c r="AL263" i="18" s="1"/>
  <c r="AB361" i="18"/>
  <c r="AL361" i="18" s="1"/>
  <c r="AB162" i="18"/>
  <c r="AB297" i="18"/>
  <c r="AL297" i="18" s="1"/>
  <c r="AB122" i="18"/>
  <c r="AL122" i="18" s="1"/>
  <c r="AB243" i="18"/>
  <c r="AL243" i="18" s="1"/>
  <c r="AB20" i="18"/>
  <c r="AL20" i="18" s="1"/>
  <c r="AB359" i="18"/>
  <c r="AL359" i="18" s="1"/>
  <c r="AB345" i="18"/>
  <c r="AL345" i="18" s="1"/>
  <c r="AB94" i="18"/>
  <c r="AL94" i="18" s="1"/>
  <c r="AB88" i="18"/>
  <c r="AL88" i="18" s="1"/>
  <c r="AB125" i="18"/>
  <c r="AL125" i="18" s="1"/>
  <c r="AB135" i="18"/>
  <c r="AL135" i="18" s="1"/>
  <c r="AB4" i="18"/>
  <c r="AL4" i="18" s="1"/>
  <c r="AB288" i="18"/>
  <c r="AL288" i="18" s="1"/>
  <c r="AB73" i="18"/>
  <c r="AL73" i="18" s="1"/>
  <c r="AB322" i="18"/>
  <c r="AL322" i="18" s="1"/>
  <c r="AB177" i="18"/>
  <c r="AL177" i="18" s="1"/>
  <c r="AB240" i="18"/>
  <c r="AL240" i="18" s="1"/>
  <c r="AB280" i="18"/>
  <c r="AL280" i="18" s="1"/>
  <c r="AB217" i="18"/>
  <c r="AL217" i="18" s="1"/>
  <c r="AB224" i="18"/>
  <c r="AL224" i="18" s="1"/>
  <c r="AB285" i="18"/>
  <c r="AL285" i="18" s="1"/>
  <c r="AB353" i="18"/>
  <c r="AL353" i="18" s="1"/>
  <c r="AB170" i="18"/>
  <c r="AL170" i="18" s="1"/>
  <c r="AB174" i="18"/>
  <c r="AL174" i="18" s="1"/>
  <c r="AB69" i="18"/>
  <c r="AL69" i="18" s="1"/>
  <c r="AB265" i="18"/>
  <c r="AL265" i="18" s="1"/>
  <c r="AB48" i="18"/>
  <c r="AL48" i="18" s="1"/>
  <c r="AB62" i="18"/>
  <c r="AL62" i="18" s="1"/>
  <c r="AB269" i="18"/>
  <c r="AL269" i="18" s="1"/>
  <c r="AB173" i="18"/>
  <c r="AL173" i="18" s="1"/>
  <c r="AB329" i="18"/>
  <c r="AL329" i="18" s="1"/>
  <c r="J70" i="22"/>
  <c r="J96" i="22" s="1"/>
  <c r="K2" i="16"/>
  <c r="K43" i="22"/>
  <c r="J19" i="22" s="1"/>
  <c r="L43" i="22"/>
  <c r="K19" i="22" s="1"/>
  <c r="Y1" i="4"/>
  <c r="AK2" i="4"/>
  <c r="AY1" i="4"/>
  <c r="B12" i="4"/>
  <c r="AP21" i="4"/>
  <c r="C11" i="4"/>
  <c r="AQ20" i="4"/>
  <c r="J33" i="11" l="1"/>
  <c r="J36" i="24"/>
  <c r="J45" i="11"/>
  <c r="J36" i="21"/>
  <c r="J48" i="24"/>
  <c r="J3" i="16"/>
  <c r="J46" i="22" s="1"/>
  <c r="J48" i="21"/>
  <c r="J3" i="21"/>
  <c r="J49" i="22" s="1"/>
  <c r="J3" i="11"/>
  <c r="J48" i="22" s="1"/>
  <c r="J36" i="16"/>
  <c r="J48" i="16"/>
  <c r="I45" i="22"/>
  <c r="K35" i="16"/>
  <c r="K47" i="16" s="1"/>
  <c r="AL2" i="18"/>
  <c r="L6" i="4"/>
  <c r="AL7" i="4" s="1"/>
  <c r="L12" i="4"/>
  <c r="AL13" i="4" s="1"/>
  <c r="L18" i="4"/>
  <c r="AL19" i="4" s="1"/>
  <c r="L24" i="4"/>
  <c r="AL25" i="4" s="1"/>
  <c r="L30" i="4"/>
  <c r="AL31" i="4" s="1"/>
  <c r="L36" i="4"/>
  <c r="AL37" i="4" s="1"/>
  <c r="L42" i="4"/>
  <c r="AL43" i="4" s="1"/>
  <c r="L5" i="4"/>
  <c r="AL6" i="4" s="1"/>
  <c r="L11" i="4"/>
  <c r="AL12" i="4" s="1"/>
  <c r="L17" i="4"/>
  <c r="AL18" i="4" s="1"/>
  <c r="L23" i="4"/>
  <c r="AL24" i="4" s="1"/>
  <c r="L29" i="4"/>
  <c r="AL30" i="4" s="1"/>
  <c r="L35" i="4"/>
  <c r="AL36" i="4" s="1"/>
  <c r="L41" i="4"/>
  <c r="AL42" i="4" s="1"/>
  <c r="L4" i="4"/>
  <c r="AL5" i="4" s="1"/>
  <c r="L10" i="4"/>
  <c r="AL11" i="4" s="1"/>
  <c r="L16" i="4"/>
  <c r="AL17" i="4" s="1"/>
  <c r="L22" i="4"/>
  <c r="AL23" i="4" s="1"/>
  <c r="L28" i="4"/>
  <c r="AL29" i="4" s="1"/>
  <c r="L34" i="4"/>
  <c r="AL35" i="4" s="1"/>
  <c r="L40" i="4"/>
  <c r="AL41" i="4" s="1"/>
  <c r="L2" i="4"/>
  <c r="AL3" i="4" s="1"/>
  <c r="L3" i="4"/>
  <c r="AL4" i="4" s="1"/>
  <c r="L9" i="4"/>
  <c r="AL10" i="4" s="1"/>
  <c r="L15" i="4"/>
  <c r="AL16" i="4" s="1"/>
  <c r="L21" i="4"/>
  <c r="AL22" i="4" s="1"/>
  <c r="L27" i="4"/>
  <c r="AL28" i="4" s="1"/>
  <c r="L33" i="4"/>
  <c r="AL34" i="4" s="1"/>
  <c r="L39" i="4"/>
  <c r="AL40" i="4" s="1"/>
  <c r="L8" i="4"/>
  <c r="AL9" i="4" s="1"/>
  <c r="L14" i="4"/>
  <c r="AL15" i="4" s="1"/>
  <c r="L20" i="4"/>
  <c r="AL21" i="4" s="1"/>
  <c r="L26" i="4"/>
  <c r="AL27" i="4" s="1"/>
  <c r="L32" i="4"/>
  <c r="AL33" i="4" s="1"/>
  <c r="L38" i="4"/>
  <c r="AL39" i="4" s="1"/>
  <c r="L44" i="4"/>
  <c r="AL45" i="4" s="1"/>
  <c r="L7" i="4"/>
  <c r="AL8" i="4" s="1"/>
  <c r="L13" i="4"/>
  <c r="AL14" i="4" s="1"/>
  <c r="L19" i="4"/>
  <c r="AL20" i="4" s="1"/>
  <c r="L25" i="4"/>
  <c r="AL26" i="4" s="1"/>
  <c r="L31" i="4"/>
  <c r="AL32" i="4" s="1"/>
  <c r="L37" i="4"/>
  <c r="AL38" i="4" s="1"/>
  <c r="L43" i="4"/>
  <c r="AL44" i="4" s="1"/>
  <c r="AD285" i="18"/>
  <c r="AN285" i="18" s="1"/>
  <c r="AC285" i="18"/>
  <c r="AM285" i="18" s="1"/>
  <c r="AD265" i="18"/>
  <c r="AN265" i="18" s="1"/>
  <c r="AC265" i="18"/>
  <c r="AM265" i="18" s="1"/>
  <c r="AD224" i="18"/>
  <c r="AN224" i="18" s="1"/>
  <c r="AC224" i="18"/>
  <c r="AM224" i="18" s="1"/>
  <c r="AD73" i="18"/>
  <c r="AN73" i="18" s="1"/>
  <c r="AC73" i="18"/>
  <c r="AM73" i="18" s="1"/>
  <c r="AD94" i="18"/>
  <c r="AN94" i="18" s="1"/>
  <c r="AC94" i="18"/>
  <c r="AM94" i="18" s="1"/>
  <c r="AD297" i="18"/>
  <c r="AN297" i="18" s="1"/>
  <c r="AC297" i="18"/>
  <c r="AM297" i="18" s="1"/>
  <c r="AC42" i="18"/>
  <c r="AM42" i="18" s="1"/>
  <c r="AD42" i="18"/>
  <c r="AN42" i="18" s="1"/>
  <c r="AD226" i="18"/>
  <c r="AN226" i="18" s="1"/>
  <c r="AC226" i="18"/>
  <c r="AM226" i="18" s="1"/>
  <c r="AD320" i="18"/>
  <c r="AN320" i="18" s="1"/>
  <c r="AC320" i="18"/>
  <c r="AM320" i="18" s="1"/>
  <c r="AD375" i="18"/>
  <c r="AN375" i="18" s="1"/>
  <c r="AC375" i="18"/>
  <c r="AM375" i="18" s="1"/>
  <c r="AD67" i="18"/>
  <c r="AN67" i="18" s="1"/>
  <c r="AC67" i="18"/>
  <c r="AM67" i="18" s="1"/>
  <c r="AD321" i="18"/>
  <c r="AN321" i="18" s="1"/>
  <c r="AC321" i="18"/>
  <c r="AM321" i="18" s="1"/>
  <c r="AD195" i="18"/>
  <c r="AN195" i="18" s="1"/>
  <c r="AC195" i="18"/>
  <c r="AM195" i="18" s="1"/>
  <c r="AD52" i="18"/>
  <c r="AN52" i="18" s="1"/>
  <c r="AC52" i="18"/>
  <c r="AM52" i="18" s="1"/>
  <c r="AD40" i="18"/>
  <c r="AN40" i="18" s="1"/>
  <c r="AC40" i="18"/>
  <c r="AM40" i="18" s="1"/>
  <c r="AD225" i="18"/>
  <c r="AN225" i="18" s="1"/>
  <c r="AC225" i="18"/>
  <c r="AM225" i="18" s="1"/>
  <c r="AD13" i="18"/>
  <c r="AN13" i="18" s="1"/>
  <c r="AC13" i="18"/>
  <c r="AM13" i="18" s="1"/>
  <c r="AD187" i="18"/>
  <c r="AN187" i="18" s="1"/>
  <c r="AC187" i="18"/>
  <c r="AM187" i="18" s="1"/>
  <c r="AL162" i="18"/>
  <c r="J3" i="24" s="1"/>
  <c r="J47" i="22" s="1"/>
  <c r="AD121" i="18"/>
  <c r="AN121" i="18" s="1"/>
  <c r="AC121" i="18"/>
  <c r="AM121" i="18" s="1"/>
  <c r="AC3" i="18"/>
  <c r="AM3" i="18" s="1"/>
  <c r="AD3" i="18"/>
  <c r="AN3" i="18" s="1"/>
  <c r="AD277" i="18"/>
  <c r="AN277" i="18" s="1"/>
  <c r="AC277" i="18"/>
  <c r="AM277" i="18" s="1"/>
  <c r="AD59" i="18"/>
  <c r="AN59" i="18" s="1"/>
  <c r="AC59" i="18"/>
  <c r="AM59" i="18" s="1"/>
  <c r="AD31" i="18"/>
  <c r="AN31" i="18" s="1"/>
  <c r="AC31" i="18"/>
  <c r="AM31" i="18" s="1"/>
  <c r="AD164" i="18"/>
  <c r="AN164" i="18" s="1"/>
  <c r="AC164" i="18"/>
  <c r="AM164" i="18" s="1"/>
  <c r="AD357" i="18"/>
  <c r="AN357" i="18" s="1"/>
  <c r="AC357" i="18"/>
  <c r="AM357" i="18" s="1"/>
  <c r="AD74" i="18"/>
  <c r="AN74" i="18" s="1"/>
  <c r="AC74" i="18"/>
  <c r="AM74" i="18" s="1"/>
  <c r="AD264" i="18"/>
  <c r="AN264" i="18" s="1"/>
  <c r="AC264" i="18"/>
  <c r="AM264" i="18" s="1"/>
  <c r="AD286" i="18"/>
  <c r="AN286" i="18" s="1"/>
  <c r="AC286" i="18"/>
  <c r="AM286" i="18" s="1"/>
  <c r="AD228" i="18"/>
  <c r="AN228" i="18" s="1"/>
  <c r="AC228" i="18"/>
  <c r="AM228" i="18" s="1"/>
  <c r="AD274" i="18"/>
  <c r="AN274" i="18" s="1"/>
  <c r="AC274" i="18"/>
  <c r="AM274" i="18" s="1"/>
  <c r="AD283" i="18"/>
  <c r="AN283" i="18" s="1"/>
  <c r="AC283" i="18"/>
  <c r="AM283" i="18" s="1"/>
  <c r="AD308" i="18"/>
  <c r="AN308" i="18" s="1"/>
  <c r="AC308" i="18"/>
  <c r="AM308" i="18" s="1"/>
  <c r="AD142" i="18"/>
  <c r="AN142" i="18" s="1"/>
  <c r="AC142" i="18"/>
  <c r="AM142" i="18" s="1"/>
  <c r="AD151" i="18"/>
  <c r="AN151" i="18" s="1"/>
  <c r="AC151" i="18"/>
  <c r="AM151" i="18" s="1"/>
  <c r="AD152" i="18"/>
  <c r="AN152" i="18" s="1"/>
  <c r="AC152" i="18"/>
  <c r="AM152" i="18" s="1"/>
  <c r="AD100" i="18"/>
  <c r="AN100" i="18" s="1"/>
  <c r="AC100" i="18"/>
  <c r="AM100" i="18" s="1"/>
  <c r="AD281" i="18"/>
  <c r="AN281" i="18" s="1"/>
  <c r="AC281" i="18"/>
  <c r="AM281" i="18" s="1"/>
  <c r="AD153" i="18"/>
  <c r="AN153" i="18" s="1"/>
  <c r="AC153" i="18"/>
  <c r="AM153" i="18" s="1"/>
  <c r="AD143" i="18"/>
  <c r="AN143" i="18" s="1"/>
  <c r="AC143" i="18"/>
  <c r="AM143" i="18" s="1"/>
  <c r="AD184" i="18"/>
  <c r="AN184" i="18" s="1"/>
  <c r="AC184" i="18"/>
  <c r="AM184" i="18" s="1"/>
  <c r="AD43" i="18"/>
  <c r="AN43" i="18" s="1"/>
  <c r="AC43" i="18"/>
  <c r="AM43" i="18" s="1"/>
  <c r="AD232" i="18"/>
  <c r="AN232" i="18" s="1"/>
  <c r="AC232" i="18"/>
  <c r="AM232" i="18" s="1"/>
  <c r="AD365" i="18"/>
  <c r="AN365" i="18" s="1"/>
  <c r="AC365" i="18"/>
  <c r="AM365" i="18" s="1"/>
  <c r="AD193" i="18"/>
  <c r="AN193" i="18" s="1"/>
  <c r="AC193" i="18"/>
  <c r="AM193" i="18" s="1"/>
  <c r="AC157" i="18"/>
  <c r="AM157" i="18" s="1"/>
  <c r="AD157" i="18"/>
  <c r="AN157" i="18" s="1"/>
  <c r="AD244" i="18"/>
  <c r="AN244" i="18" s="1"/>
  <c r="AC244" i="18"/>
  <c r="AM244" i="18" s="1"/>
  <c r="AD178" i="18"/>
  <c r="AN178" i="18" s="1"/>
  <c r="AC178" i="18"/>
  <c r="AM178" i="18" s="1"/>
  <c r="AD331" i="18"/>
  <c r="AN331" i="18" s="1"/>
  <c r="AC331" i="18"/>
  <c r="AM331" i="18" s="1"/>
  <c r="AD209" i="18"/>
  <c r="AN209" i="18" s="1"/>
  <c r="AC209" i="18"/>
  <c r="AM209" i="18" s="1"/>
  <c r="AD104" i="18"/>
  <c r="AN104" i="18" s="1"/>
  <c r="AC104" i="18"/>
  <c r="AM104" i="18" s="1"/>
  <c r="AD242" i="18"/>
  <c r="AN242" i="18" s="1"/>
  <c r="AC242" i="18"/>
  <c r="AM242" i="18" s="1"/>
  <c r="AD101" i="18"/>
  <c r="AN101" i="18" s="1"/>
  <c r="AC101" i="18"/>
  <c r="AM101" i="18" s="1"/>
  <c r="AD97" i="18"/>
  <c r="AN97" i="18" s="1"/>
  <c r="AC97" i="18"/>
  <c r="AM97" i="18" s="1"/>
  <c r="AD219" i="18"/>
  <c r="AN219" i="18" s="1"/>
  <c r="AC219" i="18"/>
  <c r="AM219" i="18" s="1"/>
  <c r="AD349" i="18"/>
  <c r="AN349" i="18" s="1"/>
  <c r="AC349" i="18"/>
  <c r="AM349" i="18" s="1"/>
  <c r="AC126" i="18"/>
  <c r="AM126" i="18" s="1"/>
  <c r="AD126" i="18"/>
  <c r="AN126" i="18" s="1"/>
  <c r="AD181" i="18"/>
  <c r="AN181" i="18" s="1"/>
  <c r="AC181" i="18"/>
  <c r="AM181" i="18" s="1"/>
  <c r="AD295" i="18"/>
  <c r="AN295" i="18" s="1"/>
  <c r="AC295" i="18"/>
  <c r="AM295" i="18" s="1"/>
  <c r="AD167" i="18"/>
  <c r="AN167" i="18" s="1"/>
  <c r="AC167" i="18"/>
  <c r="AM167" i="18" s="1"/>
  <c r="AD85" i="18"/>
  <c r="AN85" i="18" s="1"/>
  <c r="AC85" i="18"/>
  <c r="AM85" i="18" s="1"/>
  <c r="AD270" i="18"/>
  <c r="AN270" i="18" s="1"/>
  <c r="AC270" i="18"/>
  <c r="AM270" i="18" s="1"/>
  <c r="AD326" i="18"/>
  <c r="AN326" i="18" s="1"/>
  <c r="AC326" i="18"/>
  <c r="AM326" i="18" s="1"/>
  <c r="AD145" i="18"/>
  <c r="AN145" i="18" s="1"/>
  <c r="AC145" i="18"/>
  <c r="AM145" i="18" s="1"/>
  <c r="AD250" i="18"/>
  <c r="AN250" i="18" s="1"/>
  <c r="AC250" i="18"/>
  <c r="AM250" i="18" s="1"/>
  <c r="AD329" i="18"/>
  <c r="AN329" i="18" s="1"/>
  <c r="AC329" i="18"/>
  <c r="AM329" i="18" s="1"/>
  <c r="AD69" i="18"/>
  <c r="AN69" i="18" s="1"/>
  <c r="AC69" i="18"/>
  <c r="AM69" i="18" s="1"/>
  <c r="AD217" i="18"/>
  <c r="AN217" i="18" s="1"/>
  <c r="AC217" i="18"/>
  <c r="AM217" i="18" s="1"/>
  <c r="AD288" i="18"/>
  <c r="AN288" i="18" s="1"/>
  <c r="AC288" i="18"/>
  <c r="AM288" i="18" s="1"/>
  <c r="AD345" i="18"/>
  <c r="AN345" i="18" s="1"/>
  <c r="AC345" i="18"/>
  <c r="AM345" i="18" s="1"/>
  <c r="AD162" i="18"/>
  <c r="AC162" i="18"/>
  <c r="AD10" i="18"/>
  <c r="AN10" i="18" s="1"/>
  <c r="AC10" i="18"/>
  <c r="AM10" i="18" s="1"/>
  <c r="AD335" i="18"/>
  <c r="AN335" i="18" s="1"/>
  <c r="AC335" i="18"/>
  <c r="AM335" i="18" s="1"/>
  <c r="AD301" i="18"/>
  <c r="AN301" i="18" s="1"/>
  <c r="AC301" i="18"/>
  <c r="AM301" i="18" s="1"/>
  <c r="AD363" i="18"/>
  <c r="AN363" i="18" s="1"/>
  <c r="AC363" i="18"/>
  <c r="AM363" i="18" s="1"/>
  <c r="AD114" i="18"/>
  <c r="AN114" i="18" s="1"/>
  <c r="AC114" i="18"/>
  <c r="AM114" i="18" s="1"/>
  <c r="AD62" i="18"/>
  <c r="AN62" i="18" s="1"/>
  <c r="AC62" i="18"/>
  <c r="AM62" i="18" s="1"/>
  <c r="AD322" i="18"/>
  <c r="AN322" i="18" s="1"/>
  <c r="AC322" i="18"/>
  <c r="AM322" i="18" s="1"/>
  <c r="AC12" i="18"/>
  <c r="AM12" i="18" s="1"/>
  <c r="AD12" i="18"/>
  <c r="AN12" i="18" s="1"/>
  <c r="AD166" i="18"/>
  <c r="AN166" i="18" s="1"/>
  <c r="AC166" i="18"/>
  <c r="AM166" i="18" s="1"/>
  <c r="AD260" i="18"/>
  <c r="AN260" i="18" s="1"/>
  <c r="AC260" i="18"/>
  <c r="AM260" i="18" s="1"/>
  <c r="AC267" i="18"/>
  <c r="AM267" i="18" s="1"/>
  <c r="AD267" i="18"/>
  <c r="AN267" i="18" s="1"/>
  <c r="AD176" i="18"/>
  <c r="AN176" i="18" s="1"/>
  <c r="AC176" i="18"/>
  <c r="AM176" i="18" s="1"/>
  <c r="AD291" i="18"/>
  <c r="AN291" i="18" s="1"/>
  <c r="AC291" i="18"/>
  <c r="AM291" i="18" s="1"/>
  <c r="AD256" i="18"/>
  <c r="AN256" i="18" s="1"/>
  <c r="AC256" i="18"/>
  <c r="AM256" i="18" s="1"/>
  <c r="AC273" i="18"/>
  <c r="AM273" i="18" s="1"/>
  <c r="AD273" i="18"/>
  <c r="AN273" i="18" s="1"/>
  <c r="AD5" i="18"/>
  <c r="AN5" i="18" s="1"/>
  <c r="AC5" i="18"/>
  <c r="AM5" i="18" s="1"/>
  <c r="AD241" i="18"/>
  <c r="AN241" i="18" s="1"/>
  <c r="AC241" i="18"/>
  <c r="AM241" i="18" s="1"/>
  <c r="AD160" i="18"/>
  <c r="AN160" i="18" s="1"/>
  <c r="AC160" i="18"/>
  <c r="AM160" i="18" s="1"/>
  <c r="AD91" i="18"/>
  <c r="AN91" i="18" s="1"/>
  <c r="AC91" i="18"/>
  <c r="AM91" i="18" s="1"/>
  <c r="AC316" i="18"/>
  <c r="AM316" i="18" s="1"/>
  <c r="AD316" i="18"/>
  <c r="AN316" i="18" s="1"/>
  <c r="AD49" i="18"/>
  <c r="AN49" i="18" s="1"/>
  <c r="AC49" i="18"/>
  <c r="AM49" i="18" s="1"/>
  <c r="AD6" i="18"/>
  <c r="AN6" i="18" s="1"/>
  <c r="AC6" i="18"/>
  <c r="AM6" i="18" s="1"/>
  <c r="AD296" i="18"/>
  <c r="AN296" i="18" s="1"/>
  <c r="AC296" i="18"/>
  <c r="AM296" i="18" s="1"/>
  <c r="AD300" i="18"/>
  <c r="AN300" i="18" s="1"/>
  <c r="AC300" i="18"/>
  <c r="AM300" i="18" s="1"/>
  <c r="AD255" i="18"/>
  <c r="AN255" i="18" s="1"/>
  <c r="AC255" i="18"/>
  <c r="AM255" i="18" s="1"/>
  <c r="AD33" i="18"/>
  <c r="AN33" i="18" s="1"/>
  <c r="AC33" i="18"/>
  <c r="AM33" i="18" s="1"/>
  <c r="AD189" i="18"/>
  <c r="AN189" i="18" s="1"/>
  <c r="AC189" i="18"/>
  <c r="AM189" i="18" s="1"/>
  <c r="AD130" i="18"/>
  <c r="AN130" i="18" s="1"/>
  <c r="AC130" i="18"/>
  <c r="AM130" i="18" s="1"/>
  <c r="AD21" i="18"/>
  <c r="AN21" i="18" s="1"/>
  <c r="AC21" i="18"/>
  <c r="AM21" i="18" s="1"/>
  <c r="AD201" i="18"/>
  <c r="AN201" i="18" s="1"/>
  <c r="AC201" i="18"/>
  <c r="AM201" i="18" s="1"/>
  <c r="AD372" i="18"/>
  <c r="AN372" i="18" s="1"/>
  <c r="AC372" i="18"/>
  <c r="AM372" i="18" s="1"/>
  <c r="AD324" i="18"/>
  <c r="AN324" i="18" s="1"/>
  <c r="AC324" i="18"/>
  <c r="AM324" i="18" s="1"/>
  <c r="AD38" i="18"/>
  <c r="AN38" i="18" s="1"/>
  <c r="AC38" i="18"/>
  <c r="AM38" i="18" s="1"/>
  <c r="AD68" i="18"/>
  <c r="AN68" i="18" s="1"/>
  <c r="AC68" i="18"/>
  <c r="AM68" i="18" s="1"/>
  <c r="AD105" i="18"/>
  <c r="AN105" i="18" s="1"/>
  <c r="AC105" i="18"/>
  <c r="AM105" i="18" s="1"/>
  <c r="AD37" i="18"/>
  <c r="AN37" i="18" s="1"/>
  <c r="AC37" i="18"/>
  <c r="AM37" i="18" s="1"/>
  <c r="AD350" i="18"/>
  <c r="AN350" i="18" s="1"/>
  <c r="AC350" i="18"/>
  <c r="AM350" i="18" s="1"/>
  <c r="AD245" i="18"/>
  <c r="AN245" i="18" s="1"/>
  <c r="AC245" i="18"/>
  <c r="AM245" i="18" s="1"/>
  <c r="AD220" i="18"/>
  <c r="AN220" i="18" s="1"/>
  <c r="AC220" i="18"/>
  <c r="AM220" i="18" s="1"/>
  <c r="AD66" i="18"/>
  <c r="AN66" i="18" s="1"/>
  <c r="AC66" i="18"/>
  <c r="AM66" i="18" s="1"/>
  <c r="AD323" i="18"/>
  <c r="AN323" i="18" s="1"/>
  <c r="AC323" i="18"/>
  <c r="AM323" i="18" s="1"/>
  <c r="AD333" i="18"/>
  <c r="AN333" i="18" s="1"/>
  <c r="AC333" i="18"/>
  <c r="AM333" i="18" s="1"/>
  <c r="AD81" i="18"/>
  <c r="AN81" i="18" s="1"/>
  <c r="AC81" i="18"/>
  <c r="AM81" i="18" s="1"/>
  <c r="AD234" i="18"/>
  <c r="AN234" i="18" s="1"/>
  <c r="AC234" i="18"/>
  <c r="AM234" i="18" s="1"/>
  <c r="AD71" i="18"/>
  <c r="AN71" i="18" s="1"/>
  <c r="AC71" i="18"/>
  <c r="AM71" i="18" s="1"/>
  <c r="AD239" i="18"/>
  <c r="AN239" i="18" s="1"/>
  <c r="AC239" i="18"/>
  <c r="AM239" i="18" s="1"/>
  <c r="AD199" i="18"/>
  <c r="AN199" i="18" s="1"/>
  <c r="AC199" i="18"/>
  <c r="AM199" i="18" s="1"/>
  <c r="AD311" i="18"/>
  <c r="AN311" i="18" s="1"/>
  <c r="AC311" i="18"/>
  <c r="AM311" i="18" s="1"/>
  <c r="AD347" i="18"/>
  <c r="AN347" i="18" s="1"/>
  <c r="AC347" i="18"/>
  <c r="AM347" i="18" s="1"/>
  <c r="AD154" i="18"/>
  <c r="AN154" i="18" s="1"/>
  <c r="AC154" i="18"/>
  <c r="AM154" i="18" s="1"/>
  <c r="AD342" i="18"/>
  <c r="AN342" i="18" s="1"/>
  <c r="AC342" i="18"/>
  <c r="AM342" i="18" s="1"/>
  <c r="AD215" i="18"/>
  <c r="AN215" i="18" s="1"/>
  <c r="AC215" i="18"/>
  <c r="AM215" i="18" s="1"/>
  <c r="AC290" i="18"/>
  <c r="AM290" i="18" s="1"/>
  <c r="AD290" i="18"/>
  <c r="AN290" i="18" s="1"/>
  <c r="AD235" i="18"/>
  <c r="AN235" i="18" s="1"/>
  <c r="AC235" i="18"/>
  <c r="AM235" i="18" s="1"/>
  <c r="AD198" i="18"/>
  <c r="AN198" i="18" s="1"/>
  <c r="AC198" i="18"/>
  <c r="AM198" i="18" s="1"/>
  <c r="AD307" i="18"/>
  <c r="AN307" i="18" s="1"/>
  <c r="AC307" i="18"/>
  <c r="AM307" i="18" s="1"/>
  <c r="AD131" i="18"/>
  <c r="AN131" i="18" s="1"/>
  <c r="AC131" i="18"/>
  <c r="AM131" i="18" s="1"/>
  <c r="AD292" i="18"/>
  <c r="AN292" i="18" s="1"/>
  <c r="AC292" i="18"/>
  <c r="AM292" i="18" s="1"/>
  <c r="AD192" i="18"/>
  <c r="AN192" i="18" s="1"/>
  <c r="AC192" i="18"/>
  <c r="AM192" i="18" s="1"/>
  <c r="AD211" i="18"/>
  <c r="AN211" i="18" s="1"/>
  <c r="AC211" i="18"/>
  <c r="AM211" i="18" s="1"/>
  <c r="AD122" i="18"/>
  <c r="AN122" i="18" s="1"/>
  <c r="AC122" i="18"/>
  <c r="AM122" i="18" s="1"/>
  <c r="AD173" i="18"/>
  <c r="AN173" i="18" s="1"/>
  <c r="AC173" i="18"/>
  <c r="AM173" i="18" s="1"/>
  <c r="AD280" i="18"/>
  <c r="AN280" i="18" s="1"/>
  <c r="AC280" i="18"/>
  <c r="AM280" i="18" s="1"/>
  <c r="AD361" i="18"/>
  <c r="AN361" i="18" s="1"/>
  <c r="AC361" i="18"/>
  <c r="AM361" i="18" s="1"/>
  <c r="AD127" i="18"/>
  <c r="AN127" i="18" s="1"/>
  <c r="AC127" i="18"/>
  <c r="AM127" i="18" s="1"/>
  <c r="AD46" i="18"/>
  <c r="AN46" i="18" s="1"/>
  <c r="AC46" i="18"/>
  <c r="AM46" i="18" s="1"/>
  <c r="AC47" i="18"/>
  <c r="AM47" i="18" s="1"/>
  <c r="AD47" i="18"/>
  <c r="AN47" i="18" s="1"/>
  <c r="AD29" i="18"/>
  <c r="AN29" i="18" s="1"/>
  <c r="AC29" i="18"/>
  <c r="AM29" i="18" s="1"/>
  <c r="AD117" i="18"/>
  <c r="AN117" i="18" s="1"/>
  <c r="AC117" i="18"/>
  <c r="AM117" i="18" s="1"/>
  <c r="AD287" i="18"/>
  <c r="AN287" i="18" s="1"/>
  <c r="AC287" i="18"/>
  <c r="AM287" i="18" s="1"/>
  <c r="AD174" i="18"/>
  <c r="AN174" i="18" s="1"/>
  <c r="AC174" i="18"/>
  <c r="AM174" i="18" s="1"/>
  <c r="AD4" i="18"/>
  <c r="AN4" i="18" s="1"/>
  <c r="AC4" i="18"/>
  <c r="AM4" i="18" s="1"/>
  <c r="AD359" i="18"/>
  <c r="AN359" i="18" s="1"/>
  <c r="AC359" i="18"/>
  <c r="AM359" i="18" s="1"/>
  <c r="AD362" i="18"/>
  <c r="AN362" i="18" s="1"/>
  <c r="AC362" i="18"/>
  <c r="AM362" i="18" s="1"/>
  <c r="AD346" i="18"/>
  <c r="AN346" i="18" s="1"/>
  <c r="AC346" i="18"/>
  <c r="AM346" i="18" s="1"/>
  <c r="AD51" i="18"/>
  <c r="AN51" i="18" s="1"/>
  <c r="AC51" i="18"/>
  <c r="AM51" i="18" s="1"/>
  <c r="AD328" i="18"/>
  <c r="AN328" i="18" s="1"/>
  <c r="AC328" i="18"/>
  <c r="AM328" i="18" s="1"/>
  <c r="AD112" i="18"/>
  <c r="AN112" i="18" s="1"/>
  <c r="AC112" i="18"/>
  <c r="AM112" i="18" s="1"/>
  <c r="AD150" i="18"/>
  <c r="AN150" i="18" s="1"/>
  <c r="AC150" i="18"/>
  <c r="AM150" i="18" s="1"/>
  <c r="AD95" i="18"/>
  <c r="AN95" i="18" s="1"/>
  <c r="AC95" i="18"/>
  <c r="AM95" i="18" s="1"/>
  <c r="AD155" i="18"/>
  <c r="AN155" i="18" s="1"/>
  <c r="AC155" i="18"/>
  <c r="AM155" i="18" s="1"/>
  <c r="AD144" i="18"/>
  <c r="AN144" i="18" s="1"/>
  <c r="AC144" i="18"/>
  <c r="AM144" i="18" s="1"/>
  <c r="AD54" i="18"/>
  <c r="AN54" i="18" s="1"/>
  <c r="AC54" i="18"/>
  <c r="AM54" i="18" s="1"/>
  <c r="AD338" i="18"/>
  <c r="AN338" i="18" s="1"/>
  <c r="AC338" i="18"/>
  <c r="AM338" i="18" s="1"/>
  <c r="AD369" i="18"/>
  <c r="AN369" i="18" s="1"/>
  <c r="AC369" i="18"/>
  <c r="AM369" i="18" s="1"/>
  <c r="AD102" i="18"/>
  <c r="AN102" i="18" s="1"/>
  <c r="AC102" i="18"/>
  <c r="AM102" i="18" s="1"/>
  <c r="AD216" i="18"/>
  <c r="AN216" i="18" s="1"/>
  <c r="AC216" i="18"/>
  <c r="AM216" i="18" s="1"/>
  <c r="AD103" i="18"/>
  <c r="AN103" i="18" s="1"/>
  <c r="AC103" i="18"/>
  <c r="AM103" i="18" s="1"/>
  <c r="AC111" i="18"/>
  <c r="AM111" i="18" s="1"/>
  <c r="AD111" i="18"/>
  <c r="AN111" i="18" s="1"/>
  <c r="AD53" i="18"/>
  <c r="AN53" i="18" s="1"/>
  <c r="AC53" i="18"/>
  <c r="AM53" i="18" s="1"/>
  <c r="AD351" i="18"/>
  <c r="AN351" i="18" s="1"/>
  <c r="AC351" i="18"/>
  <c r="AM351" i="18" s="1"/>
  <c r="AD229" i="18"/>
  <c r="AN229" i="18" s="1"/>
  <c r="AC229" i="18"/>
  <c r="AM229" i="18" s="1"/>
  <c r="AD204" i="18"/>
  <c r="AN204" i="18" s="1"/>
  <c r="AC204" i="18"/>
  <c r="AM204" i="18" s="1"/>
  <c r="AD72" i="18"/>
  <c r="AN72" i="18" s="1"/>
  <c r="AC72" i="18"/>
  <c r="AM72" i="18" s="1"/>
  <c r="AD58" i="18"/>
  <c r="AN58" i="18" s="1"/>
  <c r="AC58" i="18"/>
  <c r="AM58" i="18" s="1"/>
  <c r="AD77" i="18"/>
  <c r="AN77" i="18" s="1"/>
  <c r="AC77" i="18"/>
  <c r="AM77" i="18" s="1"/>
  <c r="AD276" i="18"/>
  <c r="AN276" i="18" s="1"/>
  <c r="AC276" i="18"/>
  <c r="AM276" i="18" s="1"/>
  <c r="AD23" i="18"/>
  <c r="AN23" i="18" s="1"/>
  <c r="AC23" i="18"/>
  <c r="AM23" i="18" s="1"/>
  <c r="AD207" i="18"/>
  <c r="AN207" i="18" s="1"/>
  <c r="AC207" i="18"/>
  <c r="AM207" i="18" s="1"/>
  <c r="AD222" i="18"/>
  <c r="AN222" i="18" s="1"/>
  <c r="AC222" i="18"/>
  <c r="AM222" i="18" s="1"/>
  <c r="AD340" i="18"/>
  <c r="AN340" i="18" s="1"/>
  <c r="AC340" i="18"/>
  <c r="AM340" i="18" s="1"/>
  <c r="AD247" i="18"/>
  <c r="AN247" i="18" s="1"/>
  <c r="AC247" i="18"/>
  <c r="AM247" i="18" s="1"/>
  <c r="AD319" i="18"/>
  <c r="AN319" i="18" s="1"/>
  <c r="AC319" i="18"/>
  <c r="AM319" i="18" s="1"/>
  <c r="AD312" i="18"/>
  <c r="AN312" i="18" s="1"/>
  <c r="AC312" i="18"/>
  <c r="AM312" i="18" s="1"/>
  <c r="AD123" i="18"/>
  <c r="AN123" i="18" s="1"/>
  <c r="AC123" i="18"/>
  <c r="AM123" i="18" s="1"/>
  <c r="AD78" i="18"/>
  <c r="AN78" i="18" s="1"/>
  <c r="AC78" i="18"/>
  <c r="AM78" i="18" s="1"/>
  <c r="AD221" i="18"/>
  <c r="AN221" i="18" s="1"/>
  <c r="AC221" i="18"/>
  <c r="AM221" i="18" s="1"/>
  <c r="AD82" i="18"/>
  <c r="AN82" i="18" s="1"/>
  <c r="AC82" i="18"/>
  <c r="AM82" i="18" s="1"/>
  <c r="AD197" i="18"/>
  <c r="AN197" i="18" s="1"/>
  <c r="AC197" i="18"/>
  <c r="AM197" i="18" s="1"/>
  <c r="AD139" i="18"/>
  <c r="AN139" i="18" s="1"/>
  <c r="AC139" i="18"/>
  <c r="AM139" i="18" s="1"/>
  <c r="AD57" i="18"/>
  <c r="AN57" i="18" s="1"/>
  <c r="AC57" i="18"/>
  <c r="AM57" i="18" s="1"/>
  <c r="AD186" i="18"/>
  <c r="AN186" i="18" s="1"/>
  <c r="AC186" i="18"/>
  <c r="AM186" i="18" s="1"/>
  <c r="AD115" i="18"/>
  <c r="AN115" i="18" s="1"/>
  <c r="AC115" i="18"/>
  <c r="AM115" i="18" s="1"/>
  <c r="AD374" i="18"/>
  <c r="AN374" i="18" s="1"/>
  <c r="AC374" i="18"/>
  <c r="AM374" i="18" s="1"/>
  <c r="AD128" i="18"/>
  <c r="AN128" i="18" s="1"/>
  <c r="AC128" i="18"/>
  <c r="AM128" i="18" s="1"/>
  <c r="AD266" i="18"/>
  <c r="AN266" i="18" s="1"/>
  <c r="AC266" i="18"/>
  <c r="AM266" i="18" s="1"/>
  <c r="AD368" i="18"/>
  <c r="AN368" i="18" s="1"/>
  <c r="AC368" i="18"/>
  <c r="AM368" i="18" s="1"/>
  <c r="AD205" i="18"/>
  <c r="AN205" i="18" s="1"/>
  <c r="AC205" i="18"/>
  <c r="AM205" i="18" s="1"/>
  <c r="AD172" i="18"/>
  <c r="AN172" i="18" s="1"/>
  <c r="AC172" i="18"/>
  <c r="AM172" i="18" s="1"/>
  <c r="AD305" i="18"/>
  <c r="AN305" i="18" s="1"/>
  <c r="AC305" i="18"/>
  <c r="AM305" i="18" s="1"/>
  <c r="AD356" i="18"/>
  <c r="AN356" i="18" s="1"/>
  <c r="AC356" i="18"/>
  <c r="AM356" i="18" s="1"/>
  <c r="AC190" i="18"/>
  <c r="AM190" i="18" s="1"/>
  <c r="AD190" i="18"/>
  <c r="AN190" i="18" s="1"/>
  <c r="AD313" i="18"/>
  <c r="AN313" i="18" s="1"/>
  <c r="AC313" i="18"/>
  <c r="AM313" i="18" s="1"/>
  <c r="AD48" i="18"/>
  <c r="AN48" i="18" s="1"/>
  <c r="AC48" i="18"/>
  <c r="AM48" i="18" s="1"/>
  <c r="AD269" i="18"/>
  <c r="AN269" i="18" s="1"/>
  <c r="AC269" i="18"/>
  <c r="AM269" i="18" s="1"/>
  <c r="AD240" i="18"/>
  <c r="AN240" i="18" s="1"/>
  <c r="AC240" i="18"/>
  <c r="AM240" i="18" s="1"/>
  <c r="AD20" i="18"/>
  <c r="AN20" i="18" s="1"/>
  <c r="AC20" i="18"/>
  <c r="AM20" i="18" s="1"/>
  <c r="AD55" i="18"/>
  <c r="AN55" i="18" s="1"/>
  <c r="AC55" i="18"/>
  <c r="AM55" i="18" s="1"/>
  <c r="AD22" i="18"/>
  <c r="AN22" i="18" s="1"/>
  <c r="AC22" i="18"/>
  <c r="AM22" i="18" s="1"/>
  <c r="AD337" i="18"/>
  <c r="AN337" i="18" s="1"/>
  <c r="AC337" i="18"/>
  <c r="AM337" i="18" s="1"/>
  <c r="AD83" i="18"/>
  <c r="AN83" i="18" s="1"/>
  <c r="AC83" i="18"/>
  <c r="AM83" i="18" s="1"/>
  <c r="AD28" i="18"/>
  <c r="AN28" i="18" s="1"/>
  <c r="AC28" i="18"/>
  <c r="AM28" i="18" s="1"/>
  <c r="AD213" i="18"/>
  <c r="AN213" i="18" s="1"/>
  <c r="AC213" i="18"/>
  <c r="AM213" i="18" s="1"/>
  <c r="AD88" i="18"/>
  <c r="AN88" i="18" s="1"/>
  <c r="AC88" i="18"/>
  <c r="AM88" i="18" s="1"/>
  <c r="AD170" i="18"/>
  <c r="AN170" i="18" s="1"/>
  <c r="AC170" i="18"/>
  <c r="AM170" i="18" s="1"/>
  <c r="AD135" i="18"/>
  <c r="AN135" i="18" s="1"/>
  <c r="AC135" i="18"/>
  <c r="AM135" i="18" s="1"/>
  <c r="AD263" i="18"/>
  <c r="AN263" i="18" s="1"/>
  <c r="AC263" i="18"/>
  <c r="AM263" i="18" s="1"/>
  <c r="AD343" i="18"/>
  <c r="AN343" i="18" s="1"/>
  <c r="AC343" i="18"/>
  <c r="AM343" i="18" s="1"/>
  <c r="AD79" i="18"/>
  <c r="AN79" i="18" s="1"/>
  <c r="AC79" i="18"/>
  <c r="AM79" i="18" s="1"/>
  <c r="AD98" i="18"/>
  <c r="AN98" i="18" s="1"/>
  <c r="AC98" i="18"/>
  <c r="AM98" i="18" s="1"/>
  <c r="AD119" i="18"/>
  <c r="AN119" i="18" s="1"/>
  <c r="AC119" i="18"/>
  <c r="AM119" i="18" s="1"/>
  <c r="AD30" i="18"/>
  <c r="AN30" i="18" s="1"/>
  <c r="AC30" i="18"/>
  <c r="AM30" i="18" s="1"/>
  <c r="AD125" i="18"/>
  <c r="AN125" i="18" s="1"/>
  <c r="AC125" i="18"/>
  <c r="AM125" i="18" s="1"/>
  <c r="AD171" i="18"/>
  <c r="AN171" i="18" s="1"/>
  <c r="AC171" i="18"/>
  <c r="AM171" i="18" s="1"/>
  <c r="AD251" i="18"/>
  <c r="AN251" i="18" s="1"/>
  <c r="AC251" i="18"/>
  <c r="AM251" i="18" s="1"/>
  <c r="AD92" i="18"/>
  <c r="AN92" i="18" s="1"/>
  <c r="AC92" i="18"/>
  <c r="AM92" i="18" s="1"/>
  <c r="AD75" i="18"/>
  <c r="AN75" i="18" s="1"/>
  <c r="AC75" i="18"/>
  <c r="AM75" i="18" s="1"/>
  <c r="AD9" i="18"/>
  <c r="AN9" i="18" s="1"/>
  <c r="AC9" i="18"/>
  <c r="AM9" i="18" s="1"/>
  <c r="AD148" i="18"/>
  <c r="AN148" i="18" s="1"/>
  <c r="AC148" i="18"/>
  <c r="AM148" i="18" s="1"/>
  <c r="AD134" i="18"/>
  <c r="AN134" i="18" s="1"/>
  <c r="AC134" i="18"/>
  <c r="AM134" i="18" s="1"/>
  <c r="AD302" i="18"/>
  <c r="AN302" i="18" s="1"/>
  <c r="AC302" i="18"/>
  <c r="AM302" i="18" s="1"/>
  <c r="AD17" i="18"/>
  <c r="AN17" i="18" s="1"/>
  <c r="AC17" i="18"/>
  <c r="AM17" i="18" s="1"/>
  <c r="AD355" i="18"/>
  <c r="AN355" i="18" s="1"/>
  <c r="AC355" i="18"/>
  <c r="AM355" i="18" s="1"/>
  <c r="AD352" i="18"/>
  <c r="AN352" i="18" s="1"/>
  <c r="AC352" i="18"/>
  <c r="AM352" i="18" s="1"/>
  <c r="AD35" i="18"/>
  <c r="AN35" i="18" s="1"/>
  <c r="AC35" i="18"/>
  <c r="AM35" i="18" s="1"/>
  <c r="AD200" i="18"/>
  <c r="AN200" i="18" s="1"/>
  <c r="AC200" i="18"/>
  <c r="AM200" i="18" s="1"/>
  <c r="AD248" i="18"/>
  <c r="AN248" i="18" s="1"/>
  <c r="AC248" i="18"/>
  <c r="AM248" i="18" s="1"/>
  <c r="AD36" i="18"/>
  <c r="AN36" i="18" s="1"/>
  <c r="AC36" i="18"/>
  <c r="AM36" i="18" s="1"/>
  <c r="AD279" i="18"/>
  <c r="AN279" i="18" s="1"/>
  <c r="AC279" i="18"/>
  <c r="AM279" i="18" s="1"/>
  <c r="AD185" i="18"/>
  <c r="AN185" i="18" s="1"/>
  <c r="AC185" i="18"/>
  <c r="AM185" i="18" s="1"/>
  <c r="AD237" i="18"/>
  <c r="AN237" i="18" s="1"/>
  <c r="AC237" i="18"/>
  <c r="AM237" i="18" s="1"/>
  <c r="AD299" i="18"/>
  <c r="AN299" i="18" s="1"/>
  <c r="AC299" i="18"/>
  <c r="AM299" i="18" s="1"/>
  <c r="AD249" i="18"/>
  <c r="AN249" i="18" s="1"/>
  <c r="AC249" i="18"/>
  <c r="AM249" i="18" s="1"/>
  <c r="AD373" i="18"/>
  <c r="AN373" i="18" s="1"/>
  <c r="AC373" i="18"/>
  <c r="AM373" i="18" s="1"/>
  <c r="AD50" i="18"/>
  <c r="AN50" i="18" s="1"/>
  <c r="AC50" i="18"/>
  <c r="AM50" i="18" s="1"/>
  <c r="AD133" i="18"/>
  <c r="AN133" i="18" s="1"/>
  <c r="AC133" i="18"/>
  <c r="AM133" i="18" s="1"/>
  <c r="AD107" i="18"/>
  <c r="AN107" i="18" s="1"/>
  <c r="AC107" i="18"/>
  <c r="AM107" i="18" s="1"/>
  <c r="AD159" i="18"/>
  <c r="AN159" i="18" s="1"/>
  <c r="AC159" i="18"/>
  <c r="AM159" i="18" s="1"/>
  <c r="AD298" i="18"/>
  <c r="AN298" i="18" s="1"/>
  <c r="AC298" i="18"/>
  <c r="AM298" i="18" s="1"/>
  <c r="AD137" i="18"/>
  <c r="AN137" i="18" s="1"/>
  <c r="AC137" i="18"/>
  <c r="AM137" i="18" s="1"/>
  <c r="AD259" i="18"/>
  <c r="AN259" i="18" s="1"/>
  <c r="AC259" i="18"/>
  <c r="AM259" i="18" s="1"/>
  <c r="AD231" i="18"/>
  <c r="AN231" i="18" s="1"/>
  <c r="AC231" i="18"/>
  <c r="AM231" i="18" s="1"/>
  <c r="AD147" i="18"/>
  <c r="AN147" i="18" s="1"/>
  <c r="AC147" i="18"/>
  <c r="AM147" i="18" s="1"/>
  <c r="AD70" i="18"/>
  <c r="AN70" i="18" s="1"/>
  <c r="AC70" i="18"/>
  <c r="AM70" i="18" s="1"/>
  <c r="AD90" i="18"/>
  <c r="AN90" i="18" s="1"/>
  <c r="AC90" i="18"/>
  <c r="AM90" i="18" s="1"/>
  <c r="AD15" i="18"/>
  <c r="AN15" i="18" s="1"/>
  <c r="AC15" i="18"/>
  <c r="AM15" i="18" s="1"/>
  <c r="AD344" i="18"/>
  <c r="AN344" i="18" s="1"/>
  <c r="AC344" i="18"/>
  <c r="AM344" i="18" s="1"/>
  <c r="AD136" i="18"/>
  <c r="AN136" i="18" s="1"/>
  <c r="AC136" i="18"/>
  <c r="AM136" i="18" s="1"/>
  <c r="AD109" i="18"/>
  <c r="AN109" i="18" s="1"/>
  <c r="AC109" i="18"/>
  <c r="AM109" i="18" s="1"/>
  <c r="AD113" i="18"/>
  <c r="AN113" i="18" s="1"/>
  <c r="AC113" i="18"/>
  <c r="AM113" i="18" s="1"/>
  <c r="AD246" i="18"/>
  <c r="AN246" i="18" s="1"/>
  <c r="AC246" i="18"/>
  <c r="AM246" i="18" s="1"/>
  <c r="AD206" i="18"/>
  <c r="AN206" i="18" s="1"/>
  <c r="AC206" i="18"/>
  <c r="AM206" i="18" s="1"/>
  <c r="AD44" i="18"/>
  <c r="AN44" i="18" s="1"/>
  <c r="AC44" i="18"/>
  <c r="AM44" i="18" s="1"/>
  <c r="AD2" i="18"/>
  <c r="AC2" i="18"/>
  <c r="AD261" i="18"/>
  <c r="AN261" i="18" s="1"/>
  <c r="AC261" i="18"/>
  <c r="AM261" i="18" s="1"/>
  <c r="AD275" i="18"/>
  <c r="AN275" i="18" s="1"/>
  <c r="AC275" i="18"/>
  <c r="AM275" i="18" s="1"/>
  <c r="AD236" i="18"/>
  <c r="AN236" i="18" s="1"/>
  <c r="AC236" i="18"/>
  <c r="AM236" i="18" s="1"/>
  <c r="AD169" i="18"/>
  <c r="AN169" i="18" s="1"/>
  <c r="AC169" i="18"/>
  <c r="AM169" i="18" s="1"/>
  <c r="AD339" i="18"/>
  <c r="AN339" i="18" s="1"/>
  <c r="AC339" i="18"/>
  <c r="AM339" i="18" s="1"/>
  <c r="AD165" i="18"/>
  <c r="AN165" i="18" s="1"/>
  <c r="AC165" i="18"/>
  <c r="AM165" i="18" s="1"/>
  <c r="AD227" i="18"/>
  <c r="AN227" i="18" s="1"/>
  <c r="AC227" i="18"/>
  <c r="AM227" i="18" s="1"/>
  <c r="AD353" i="18"/>
  <c r="AN353" i="18" s="1"/>
  <c r="AC353" i="18"/>
  <c r="AM353" i="18" s="1"/>
  <c r="AD243" i="18"/>
  <c r="AN243" i="18" s="1"/>
  <c r="AC243" i="18"/>
  <c r="AM243" i="18" s="1"/>
  <c r="AD32" i="18"/>
  <c r="AN32" i="18" s="1"/>
  <c r="AC32" i="18"/>
  <c r="AM32" i="18" s="1"/>
  <c r="AD158" i="18"/>
  <c r="AN158" i="18" s="1"/>
  <c r="AC158" i="18"/>
  <c r="AM158" i="18" s="1"/>
  <c r="AD252" i="18"/>
  <c r="AN252" i="18" s="1"/>
  <c r="AC252" i="18"/>
  <c r="AM252" i="18" s="1"/>
  <c r="AD271" i="18"/>
  <c r="AN271" i="18" s="1"/>
  <c r="AC271" i="18"/>
  <c r="AM271" i="18" s="1"/>
  <c r="AD39" i="18"/>
  <c r="AN39" i="18" s="1"/>
  <c r="AC39" i="18"/>
  <c r="AM39" i="18" s="1"/>
  <c r="AD202" i="18"/>
  <c r="AN202" i="18" s="1"/>
  <c r="AC202" i="18"/>
  <c r="AM202" i="18" s="1"/>
  <c r="AD327" i="18"/>
  <c r="AN327" i="18" s="1"/>
  <c r="AC327" i="18"/>
  <c r="AM327" i="18" s="1"/>
  <c r="AD314" i="18"/>
  <c r="AN314" i="18" s="1"/>
  <c r="AC314" i="18"/>
  <c r="AM314" i="18" s="1"/>
  <c r="AD325" i="18"/>
  <c r="AN325" i="18" s="1"/>
  <c r="AC325" i="18"/>
  <c r="AM325" i="18" s="1"/>
  <c r="AD293" i="18"/>
  <c r="AN293" i="18" s="1"/>
  <c r="AC293" i="18"/>
  <c r="AM293" i="18" s="1"/>
  <c r="AD358" i="18"/>
  <c r="AN358" i="18" s="1"/>
  <c r="AC358" i="18"/>
  <c r="AM358" i="18" s="1"/>
  <c r="AD177" i="18"/>
  <c r="AN177" i="18" s="1"/>
  <c r="AC177" i="18"/>
  <c r="AM177" i="18" s="1"/>
  <c r="AD116" i="18"/>
  <c r="AN116" i="18" s="1"/>
  <c r="AC116" i="18"/>
  <c r="AM116" i="18" s="1"/>
  <c r="AD334" i="18"/>
  <c r="AN334" i="18" s="1"/>
  <c r="AC334" i="18"/>
  <c r="AM334" i="18" s="1"/>
  <c r="AD272" i="18"/>
  <c r="AN272" i="18" s="1"/>
  <c r="AC272" i="18"/>
  <c r="AM272" i="18" s="1"/>
  <c r="AD268" i="18"/>
  <c r="AN268" i="18" s="1"/>
  <c r="AC268" i="18"/>
  <c r="AM268" i="18" s="1"/>
  <c r="AD168" i="18"/>
  <c r="AN168" i="18" s="1"/>
  <c r="AC168" i="18"/>
  <c r="AM168" i="18" s="1"/>
  <c r="AD24" i="18"/>
  <c r="AN24" i="18" s="1"/>
  <c r="AC24" i="18"/>
  <c r="AM24" i="18" s="1"/>
  <c r="AD25" i="18"/>
  <c r="AN25" i="18" s="1"/>
  <c r="AC25" i="18"/>
  <c r="AM25" i="18" s="1"/>
  <c r="AD330" i="18"/>
  <c r="AN330" i="18" s="1"/>
  <c r="AC330" i="18"/>
  <c r="AM330" i="18" s="1"/>
  <c r="AD341" i="18"/>
  <c r="AN341" i="18" s="1"/>
  <c r="AC341" i="18"/>
  <c r="AM341" i="18" s="1"/>
  <c r="AD96" i="18"/>
  <c r="AN96" i="18" s="1"/>
  <c r="AC96" i="18"/>
  <c r="AM96" i="18" s="1"/>
  <c r="AD371" i="18"/>
  <c r="AN371" i="18" s="1"/>
  <c r="AC371" i="18"/>
  <c r="AM371" i="18" s="1"/>
  <c r="AD336" i="18"/>
  <c r="AN336" i="18" s="1"/>
  <c r="AC336" i="18"/>
  <c r="AM336" i="18" s="1"/>
  <c r="AD8" i="18"/>
  <c r="AN8" i="18" s="1"/>
  <c r="AC8" i="18"/>
  <c r="AM8" i="18" s="1"/>
  <c r="AD16" i="18"/>
  <c r="AN16" i="18" s="1"/>
  <c r="AC16" i="18"/>
  <c r="AM16" i="18" s="1"/>
  <c r="AD86" i="18"/>
  <c r="AN86" i="18" s="1"/>
  <c r="AC86" i="18"/>
  <c r="AM86" i="18" s="1"/>
  <c r="AD149" i="18"/>
  <c r="AN149" i="18" s="1"/>
  <c r="AC149" i="18"/>
  <c r="AM149" i="18" s="1"/>
  <c r="AD84" i="18"/>
  <c r="AN84" i="18" s="1"/>
  <c r="AC84" i="18"/>
  <c r="AM84" i="18" s="1"/>
  <c r="AD64" i="18"/>
  <c r="AN64" i="18" s="1"/>
  <c r="AC64" i="18"/>
  <c r="AM64" i="18" s="1"/>
  <c r="AD34" i="18"/>
  <c r="AN34" i="18" s="1"/>
  <c r="AC34" i="18"/>
  <c r="AM34" i="18" s="1"/>
  <c r="AD332" i="18"/>
  <c r="AN332" i="18" s="1"/>
  <c r="AC332" i="18"/>
  <c r="AM332" i="18" s="1"/>
  <c r="AD110" i="18"/>
  <c r="AN110" i="18" s="1"/>
  <c r="AC110" i="18"/>
  <c r="AM110" i="18" s="1"/>
  <c r="AD366" i="18"/>
  <c r="AN366" i="18" s="1"/>
  <c r="AC366" i="18"/>
  <c r="AM366" i="18" s="1"/>
  <c r="AD41" i="18"/>
  <c r="AN41" i="18" s="1"/>
  <c r="AC41" i="18"/>
  <c r="AM41" i="18" s="1"/>
  <c r="AD309" i="18"/>
  <c r="AN309" i="18" s="1"/>
  <c r="AC309" i="18"/>
  <c r="AM309" i="18" s="1"/>
  <c r="AD218" i="18"/>
  <c r="AN218" i="18" s="1"/>
  <c r="AC218" i="18"/>
  <c r="AM218" i="18" s="1"/>
  <c r="AD118" i="18"/>
  <c r="AN118" i="18" s="1"/>
  <c r="AC118" i="18"/>
  <c r="AM118" i="18" s="1"/>
  <c r="AD19" i="18"/>
  <c r="AN19" i="18" s="1"/>
  <c r="AC19" i="18"/>
  <c r="AM19" i="18" s="1"/>
  <c r="AD45" i="18"/>
  <c r="AN45" i="18" s="1"/>
  <c r="AC45" i="18"/>
  <c r="AM45" i="18" s="1"/>
  <c r="AD188" i="18"/>
  <c r="AN188" i="18" s="1"/>
  <c r="AC188" i="18"/>
  <c r="AM188" i="18" s="1"/>
  <c r="AD27" i="18"/>
  <c r="AN27" i="18" s="1"/>
  <c r="AC27" i="18"/>
  <c r="AM27" i="18" s="1"/>
  <c r="AD124" i="18"/>
  <c r="AN124" i="18" s="1"/>
  <c r="AC124" i="18"/>
  <c r="AM124" i="18" s="1"/>
  <c r="AD303" i="18"/>
  <c r="AN303" i="18" s="1"/>
  <c r="AC303" i="18"/>
  <c r="AM303" i="18" s="1"/>
  <c r="AD289" i="18"/>
  <c r="AN289" i="18" s="1"/>
  <c r="AC289" i="18"/>
  <c r="AM289" i="18" s="1"/>
  <c r="AC254" i="18"/>
  <c r="AM254" i="18" s="1"/>
  <c r="AD254" i="18"/>
  <c r="AN254" i="18" s="1"/>
  <c r="AD93" i="18"/>
  <c r="AN93" i="18" s="1"/>
  <c r="AC93" i="18"/>
  <c r="AM93" i="18" s="1"/>
  <c r="AD348" i="18"/>
  <c r="AN348" i="18" s="1"/>
  <c r="AC348" i="18"/>
  <c r="AM348" i="18" s="1"/>
  <c r="AC233" i="18"/>
  <c r="AM233" i="18" s="1"/>
  <c r="AD233" i="18"/>
  <c r="AN233" i="18" s="1"/>
  <c r="AD146" i="18"/>
  <c r="AN146" i="18" s="1"/>
  <c r="AC146" i="18"/>
  <c r="AM146" i="18" s="1"/>
  <c r="AD89" i="18"/>
  <c r="AN89" i="18" s="1"/>
  <c r="AC89" i="18"/>
  <c r="AM89" i="18" s="1"/>
  <c r="AD14" i="18"/>
  <c r="AN14" i="18" s="1"/>
  <c r="AC14" i="18"/>
  <c r="AM14" i="18" s="1"/>
  <c r="AD63" i="18"/>
  <c r="AN63" i="18" s="1"/>
  <c r="AC63" i="18"/>
  <c r="AM63" i="18" s="1"/>
  <c r="AD183" i="18"/>
  <c r="AN183" i="18" s="1"/>
  <c r="AC183" i="18"/>
  <c r="AM183" i="18" s="1"/>
  <c r="AD376" i="18"/>
  <c r="AN376" i="18" s="1"/>
  <c r="AC376" i="18"/>
  <c r="AM376" i="18" s="1"/>
  <c r="AD238" i="18"/>
  <c r="AN238" i="18" s="1"/>
  <c r="AC238" i="18"/>
  <c r="AM238" i="18" s="1"/>
  <c r="AD230" i="18"/>
  <c r="AN230" i="18" s="1"/>
  <c r="AC230" i="18"/>
  <c r="AM230" i="18" s="1"/>
  <c r="AD26" i="18"/>
  <c r="AN26" i="18" s="1"/>
  <c r="AC26" i="18"/>
  <c r="AM26" i="18" s="1"/>
  <c r="AD210" i="18"/>
  <c r="AN210" i="18" s="1"/>
  <c r="AC210" i="18"/>
  <c r="AM210" i="18" s="1"/>
  <c r="AD129" i="18"/>
  <c r="AN129" i="18" s="1"/>
  <c r="AC129" i="18"/>
  <c r="AM129" i="18" s="1"/>
  <c r="AC175" i="18"/>
  <c r="AM175" i="18" s="1"/>
  <c r="AD175" i="18"/>
  <c r="AN175" i="18" s="1"/>
  <c r="AC120" i="18"/>
  <c r="AM120" i="18" s="1"/>
  <c r="AD120" i="18"/>
  <c r="AN120" i="18" s="1"/>
  <c r="AD179" i="18"/>
  <c r="AN179" i="18" s="1"/>
  <c r="AC179" i="18"/>
  <c r="AM179" i="18" s="1"/>
  <c r="AD196" i="18"/>
  <c r="AN196" i="18" s="1"/>
  <c r="AC196" i="18"/>
  <c r="AM196" i="18" s="1"/>
  <c r="AD18" i="18"/>
  <c r="AN18" i="18" s="1"/>
  <c r="AC18" i="18"/>
  <c r="AM18" i="18" s="1"/>
  <c r="AD214" i="18"/>
  <c r="AN214" i="18" s="1"/>
  <c r="AC214" i="18"/>
  <c r="AM214" i="18" s="1"/>
  <c r="AD163" i="18"/>
  <c r="AN163" i="18" s="1"/>
  <c r="AC163" i="18"/>
  <c r="AM163" i="18" s="1"/>
  <c r="AD354" i="18"/>
  <c r="AN354" i="18" s="1"/>
  <c r="AC354" i="18"/>
  <c r="AM354" i="18" s="1"/>
  <c r="AD282" i="18"/>
  <c r="AN282" i="18" s="1"/>
  <c r="AC282" i="18"/>
  <c r="AM282" i="18" s="1"/>
  <c r="AD106" i="18"/>
  <c r="AN106" i="18" s="1"/>
  <c r="AC106" i="18"/>
  <c r="AM106" i="18" s="1"/>
  <c r="AD76" i="18"/>
  <c r="AN76" i="18" s="1"/>
  <c r="AC76" i="18"/>
  <c r="AM76" i="18" s="1"/>
  <c r="AD161" i="18"/>
  <c r="AN161" i="18" s="1"/>
  <c r="AC161" i="18"/>
  <c r="AM161" i="18" s="1"/>
  <c r="AD60" i="18"/>
  <c r="AN60" i="18" s="1"/>
  <c r="AC60" i="18"/>
  <c r="AM60" i="18" s="1"/>
  <c r="AD99" i="18"/>
  <c r="AN99" i="18" s="1"/>
  <c r="AC99" i="18"/>
  <c r="AM99" i="18" s="1"/>
  <c r="AD262" i="18"/>
  <c r="AN262" i="18" s="1"/>
  <c r="AC262" i="18"/>
  <c r="AM262" i="18" s="1"/>
  <c r="AD194" i="18"/>
  <c r="AN194" i="18" s="1"/>
  <c r="AC194" i="18"/>
  <c r="AM194" i="18" s="1"/>
  <c r="AD318" i="18"/>
  <c r="AN318" i="18" s="1"/>
  <c r="AC318" i="18"/>
  <c r="AM318" i="18" s="1"/>
  <c r="AD360" i="18"/>
  <c r="AN360" i="18" s="1"/>
  <c r="AC360" i="18"/>
  <c r="AM360" i="18" s="1"/>
  <c r="AD11" i="18"/>
  <c r="AN11" i="18" s="1"/>
  <c r="AC11" i="18"/>
  <c r="AM11" i="18" s="1"/>
  <c r="AD304" i="18"/>
  <c r="AN304" i="18" s="1"/>
  <c r="AC304" i="18"/>
  <c r="AM304" i="18" s="1"/>
  <c r="AD56" i="18"/>
  <c r="AN56" i="18" s="1"/>
  <c r="AC56" i="18"/>
  <c r="AM56" i="18" s="1"/>
  <c r="AD253" i="18"/>
  <c r="AN253" i="18" s="1"/>
  <c r="AC253" i="18"/>
  <c r="AM253" i="18" s="1"/>
  <c r="AD191" i="18"/>
  <c r="AN191" i="18" s="1"/>
  <c r="AC191" i="18"/>
  <c r="AM191" i="18" s="1"/>
  <c r="AD61" i="18"/>
  <c r="AN61" i="18" s="1"/>
  <c r="AC61" i="18"/>
  <c r="AM61" i="18" s="1"/>
  <c r="AD141" i="18"/>
  <c r="AN141" i="18" s="1"/>
  <c r="AC141" i="18"/>
  <c r="AM141" i="18" s="1"/>
  <c r="AC203" i="18"/>
  <c r="AM203" i="18" s="1"/>
  <c r="AD203" i="18"/>
  <c r="AN203" i="18" s="1"/>
  <c r="AD364" i="18"/>
  <c r="AN364" i="18" s="1"/>
  <c r="AC364" i="18"/>
  <c r="AM364" i="18" s="1"/>
  <c r="AD182" i="18"/>
  <c r="AN182" i="18" s="1"/>
  <c r="AC182" i="18"/>
  <c r="AM182" i="18" s="1"/>
  <c r="AD87" i="18"/>
  <c r="AN87" i="18" s="1"/>
  <c r="AC87" i="18"/>
  <c r="AM87" i="18" s="1"/>
  <c r="AD258" i="18"/>
  <c r="AN258" i="18" s="1"/>
  <c r="AC258" i="18"/>
  <c r="AM258" i="18" s="1"/>
  <c r="AD278" i="18"/>
  <c r="AN278" i="18" s="1"/>
  <c r="AC278" i="18"/>
  <c r="AM278" i="18" s="1"/>
  <c r="AD367" i="18"/>
  <c r="AN367" i="18" s="1"/>
  <c r="AC367" i="18"/>
  <c r="AM367" i="18" s="1"/>
  <c r="AD140" i="18"/>
  <c r="AN140" i="18" s="1"/>
  <c r="AC140" i="18"/>
  <c r="AM140" i="18" s="1"/>
  <c r="AD306" i="18"/>
  <c r="AN306" i="18" s="1"/>
  <c r="AC306" i="18"/>
  <c r="AM306" i="18" s="1"/>
  <c r="AD132" i="18"/>
  <c r="AN132" i="18" s="1"/>
  <c r="AC132" i="18"/>
  <c r="AM132" i="18" s="1"/>
  <c r="AD108" i="18"/>
  <c r="AN108" i="18" s="1"/>
  <c r="AC108" i="18"/>
  <c r="AM108" i="18" s="1"/>
  <c r="AD80" i="18"/>
  <c r="AN80" i="18" s="1"/>
  <c r="AC80" i="18"/>
  <c r="AM80" i="18" s="1"/>
  <c r="AD156" i="18"/>
  <c r="AN156" i="18" s="1"/>
  <c r="AC156" i="18"/>
  <c r="AM156" i="18" s="1"/>
  <c r="AD180" i="18"/>
  <c r="AN180" i="18" s="1"/>
  <c r="AC180" i="18"/>
  <c r="AM180" i="18" s="1"/>
  <c r="AD310" i="18"/>
  <c r="AN310" i="18" s="1"/>
  <c r="AC310" i="18"/>
  <c r="AM310" i="18" s="1"/>
  <c r="AD317" i="18"/>
  <c r="AN317" i="18" s="1"/>
  <c r="AC317" i="18"/>
  <c r="AM317" i="18" s="1"/>
  <c r="AD7" i="18"/>
  <c r="AN7" i="18" s="1"/>
  <c r="AC7" i="18"/>
  <c r="AM7" i="18" s="1"/>
  <c r="AD284" i="18"/>
  <c r="AN284" i="18" s="1"/>
  <c r="AC284" i="18"/>
  <c r="AM284" i="18" s="1"/>
  <c r="AD212" i="18"/>
  <c r="AN212" i="18" s="1"/>
  <c r="AC212" i="18"/>
  <c r="AM212" i="18" s="1"/>
  <c r="AD138" i="18"/>
  <c r="AN138" i="18" s="1"/>
  <c r="AC138" i="18"/>
  <c r="AM138" i="18" s="1"/>
  <c r="AD208" i="18"/>
  <c r="AN208" i="18" s="1"/>
  <c r="AC208" i="18"/>
  <c r="AM208" i="18" s="1"/>
  <c r="AC223" i="18"/>
  <c r="AM223" i="18" s="1"/>
  <c r="AD223" i="18"/>
  <c r="AN223" i="18" s="1"/>
  <c r="AD257" i="18"/>
  <c r="AN257" i="18" s="1"/>
  <c r="AC257" i="18"/>
  <c r="AM257" i="18" s="1"/>
  <c r="AD315" i="18"/>
  <c r="AN315" i="18" s="1"/>
  <c r="AC315" i="18"/>
  <c r="AM315" i="18" s="1"/>
  <c r="AD370" i="18"/>
  <c r="AN370" i="18" s="1"/>
  <c r="AC370" i="18"/>
  <c r="AM370" i="18" s="1"/>
  <c r="AD65" i="18"/>
  <c r="AN65" i="18" s="1"/>
  <c r="AC65" i="18"/>
  <c r="AM65" i="18" s="1"/>
  <c r="AD294" i="18"/>
  <c r="AN294" i="18" s="1"/>
  <c r="AC294" i="18"/>
  <c r="AM294" i="18" s="1"/>
  <c r="L70" i="22"/>
  <c r="L96" i="22" s="1"/>
  <c r="K70" i="22"/>
  <c r="K96" i="22" s="1"/>
  <c r="L2" i="16"/>
  <c r="AZ1" i="4"/>
  <c r="AL2" i="4"/>
  <c r="Z1" i="4"/>
  <c r="C12" i="4"/>
  <c r="AQ21" i="4"/>
  <c r="B13" i="4"/>
  <c r="AP22" i="4"/>
  <c r="K33" i="11" l="1"/>
  <c r="L33" i="11"/>
  <c r="J45" i="22"/>
  <c r="K48" i="16"/>
  <c r="K45" i="11"/>
  <c r="K36" i="24"/>
  <c r="K36" i="21"/>
  <c r="K48" i="24"/>
  <c r="K48" i="21"/>
  <c r="K3" i="16"/>
  <c r="K46" i="22" s="1"/>
  <c r="K36" i="16"/>
  <c r="K3" i="21"/>
  <c r="K49" i="22" s="1"/>
  <c r="K3" i="11"/>
  <c r="L3" i="21"/>
  <c r="L49" i="22" s="1"/>
  <c r="L3" i="11"/>
  <c r="L48" i="22" s="1"/>
  <c r="L45" i="11"/>
  <c r="L36" i="16"/>
  <c r="L48" i="16"/>
  <c r="B48" i="16" s="1"/>
  <c r="L3" i="24"/>
  <c r="L47" i="22" s="1"/>
  <c r="L36" i="21"/>
  <c r="B36" i="21" s="1"/>
  <c r="L36" i="24"/>
  <c r="B36" i="24" s="1"/>
  <c r="L48" i="21"/>
  <c r="L48" i="24"/>
  <c r="B33" i="11"/>
  <c r="L3" i="16"/>
  <c r="L46" i="22" s="1"/>
  <c r="L35" i="16"/>
  <c r="L47" i="16" s="1"/>
  <c r="AM2" i="18"/>
  <c r="K3" i="24" s="1"/>
  <c r="K47" i="22" s="1"/>
  <c r="AN2" i="18"/>
  <c r="M24" i="4"/>
  <c r="AM25" i="4" s="1"/>
  <c r="M36" i="4"/>
  <c r="AM37" i="4" s="1"/>
  <c r="M6" i="4"/>
  <c r="AM7" i="4" s="1"/>
  <c r="M12" i="4"/>
  <c r="AM13" i="4" s="1"/>
  <c r="M18" i="4"/>
  <c r="AM19" i="4" s="1"/>
  <c r="M30" i="4"/>
  <c r="AM31" i="4" s="1"/>
  <c r="M42" i="4"/>
  <c r="AM43" i="4" s="1"/>
  <c r="M43" i="4"/>
  <c r="AM44" i="4" s="1"/>
  <c r="M5" i="4"/>
  <c r="AM6" i="4" s="1"/>
  <c r="M11" i="4"/>
  <c r="AM12" i="4" s="1"/>
  <c r="M17" i="4"/>
  <c r="AM18" i="4" s="1"/>
  <c r="M23" i="4"/>
  <c r="AM24" i="4" s="1"/>
  <c r="M29" i="4"/>
  <c r="AM30" i="4" s="1"/>
  <c r="M35" i="4"/>
  <c r="AM36" i="4" s="1"/>
  <c r="M41" i="4"/>
  <c r="AM42" i="4" s="1"/>
  <c r="M31" i="4"/>
  <c r="AM32" i="4" s="1"/>
  <c r="M4" i="4"/>
  <c r="AM5" i="4" s="1"/>
  <c r="M10" i="4"/>
  <c r="AM11" i="4" s="1"/>
  <c r="M16" i="4"/>
  <c r="AM17" i="4" s="1"/>
  <c r="M22" i="4"/>
  <c r="AM23" i="4" s="1"/>
  <c r="M28" i="4"/>
  <c r="AM29" i="4" s="1"/>
  <c r="M34" i="4"/>
  <c r="AM35" i="4" s="1"/>
  <c r="M40" i="4"/>
  <c r="AM41" i="4" s="1"/>
  <c r="M19" i="4"/>
  <c r="AM20" i="4" s="1"/>
  <c r="M2" i="4"/>
  <c r="AM3" i="4" s="1"/>
  <c r="M37" i="4"/>
  <c r="AM38" i="4" s="1"/>
  <c r="M3" i="4"/>
  <c r="AM4" i="4" s="1"/>
  <c r="M9" i="4"/>
  <c r="AM10" i="4" s="1"/>
  <c r="M15" i="4"/>
  <c r="AM16" i="4" s="1"/>
  <c r="M21" i="4"/>
  <c r="AM22" i="4" s="1"/>
  <c r="M27" i="4"/>
  <c r="AM28" i="4" s="1"/>
  <c r="M33" i="4"/>
  <c r="AM34" i="4" s="1"/>
  <c r="M39" i="4"/>
  <c r="AM40" i="4" s="1"/>
  <c r="M7" i="4"/>
  <c r="AM8" i="4" s="1"/>
  <c r="M8" i="4"/>
  <c r="AM9" i="4" s="1"/>
  <c r="M14" i="4"/>
  <c r="AM15" i="4" s="1"/>
  <c r="M20" i="4"/>
  <c r="AM21" i="4" s="1"/>
  <c r="M26" i="4"/>
  <c r="AM27" i="4" s="1"/>
  <c r="M32" i="4"/>
  <c r="AM33" i="4" s="1"/>
  <c r="M38" i="4"/>
  <c r="AM39" i="4" s="1"/>
  <c r="M44" i="4"/>
  <c r="AM45" i="4" s="1"/>
  <c r="M25" i="4"/>
  <c r="AM26" i="4" s="1"/>
  <c r="M13" i="4"/>
  <c r="AM14" i="4" s="1"/>
  <c r="AN162" i="18"/>
  <c r="AM162" i="18"/>
  <c r="BA1" i="4"/>
  <c r="BH1" i="4" s="1"/>
  <c r="AM2" i="4"/>
  <c r="AA1" i="4"/>
  <c r="C13" i="4"/>
  <c r="AQ22" i="4"/>
  <c r="B14" i="4"/>
  <c r="AP23" i="4"/>
  <c r="BD5" i="4" s="1"/>
  <c r="P4" i="4"/>
  <c r="B36" i="16" l="1"/>
  <c r="B48" i="24"/>
  <c r="B48" i="21"/>
  <c r="B45" i="11"/>
  <c r="L45" i="22"/>
  <c r="K48" i="22"/>
  <c r="K45" i="22" s="1"/>
  <c r="B3" i="11"/>
  <c r="C14" i="4"/>
  <c r="AQ23" i="4"/>
  <c r="BE5" i="4" s="1"/>
  <c r="Q4" i="4"/>
  <c r="AP24" i="4"/>
  <c r="B15" i="4"/>
  <c r="B100" i="22" l="1"/>
  <c r="B16" i="4"/>
  <c r="AP25" i="4"/>
  <c r="AQ24" i="4"/>
  <c r="C15" i="4"/>
  <c r="C16" i="4" l="1"/>
  <c r="AQ25" i="4"/>
  <c r="B17" i="4"/>
  <c r="AP26" i="4"/>
  <c r="C17" i="4" l="1"/>
  <c r="AQ26" i="4"/>
  <c r="B18" i="4"/>
  <c r="AP27" i="4"/>
  <c r="C18" i="4" l="1"/>
  <c r="AQ27" i="4"/>
  <c r="B19" i="4"/>
  <c r="AP28" i="4"/>
  <c r="BD6" i="4" s="1"/>
  <c r="P5" i="4"/>
  <c r="AP29" i="4" l="1"/>
  <c r="B20" i="4"/>
  <c r="C19" i="4"/>
  <c r="AQ28" i="4"/>
  <c r="BE6" i="4" s="1"/>
  <c r="Q5" i="4"/>
  <c r="AQ29" i="4" l="1"/>
  <c r="C20" i="4"/>
  <c r="B21" i="4"/>
  <c r="AP30" i="4"/>
  <c r="B22" i="4" l="1"/>
  <c r="AP31" i="4"/>
  <c r="C21" i="4"/>
  <c r="AQ30" i="4"/>
  <c r="C22" i="4" l="1"/>
  <c r="AQ31" i="4"/>
  <c r="B23" i="4"/>
  <c r="AP32" i="4"/>
  <c r="C23" i="4" l="1"/>
  <c r="AQ32" i="4"/>
  <c r="B24" i="4"/>
  <c r="AP33" i="4"/>
  <c r="BD7" i="4" s="1"/>
  <c r="P6" i="4"/>
  <c r="P27" i="4" s="1"/>
  <c r="AP34" i="4" l="1"/>
  <c r="B25" i="4"/>
  <c r="C24" i="4"/>
  <c r="AQ33" i="4"/>
  <c r="BE7" i="4" s="1"/>
  <c r="Q6" i="4"/>
  <c r="Q27" i="4" s="1"/>
  <c r="AQ34" i="4" l="1"/>
  <c r="C25" i="4"/>
  <c r="B26" i="4"/>
  <c r="AP35" i="4"/>
  <c r="B27" i="4" l="1"/>
  <c r="AP36" i="4"/>
  <c r="C26" i="4"/>
  <c r="AQ35" i="4"/>
  <c r="B28" i="4" l="1"/>
  <c r="AP37" i="4"/>
  <c r="C27" i="4"/>
  <c r="AQ36" i="4"/>
  <c r="AP38" i="4" l="1"/>
  <c r="BD8" i="4" s="1"/>
  <c r="P7" i="4"/>
  <c r="P28" i="4" s="1"/>
  <c r="C28" i="4"/>
  <c r="AQ37" i="4"/>
  <c r="C29" i="4" l="1"/>
  <c r="AQ38" i="4"/>
  <c r="BE8" i="4" s="1"/>
  <c r="Q7" i="4"/>
  <c r="AQ39" i="4" l="1"/>
  <c r="C30" i="4"/>
  <c r="C31" i="4" l="1"/>
  <c r="AQ40" i="4"/>
  <c r="C32" i="4" l="1"/>
  <c r="AQ41" i="4"/>
  <c r="C33" i="4" l="1"/>
  <c r="AQ42" i="4"/>
  <c r="C34" i="4" l="1"/>
  <c r="AQ43" i="4"/>
  <c r="BE9" i="4" s="1"/>
  <c r="Q8" i="4"/>
  <c r="AQ44" i="4" l="1"/>
  <c r="C35" i="4"/>
  <c r="C36" i="4" l="1"/>
  <c r="AQ45" i="4"/>
  <c r="C37" i="4" l="1"/>
  <c r="AQ46" i="4"/>
  <c r="C38" i="4" l="1"/>
  <c r="AQ47" i="4"/>
  <c r="C39" i="4" l="1"/>
  <c r="AQ48" i="4"/>
  <c r="BE10" i="4" s="1"/>
  <c r="Q9" i="4"/>
  <c r="AQ49" i="4" l="1"/>
  <c r="C40" i="4"/>
  <c r="C41" i="4" l="1"/>
  <c r="AQ50" i="4"/>
  <c r="C42" i="4" l="1"/>
  <c r="AQ51" i="4"/>
  <c r="C43" i="4" l="1"/>
  <c r="AQ52" i="4"/>
  <c r="AQ53" i="4" l="1"/>
  <c r="BE11" i="4" s="1"/>
  <c r="Q10" i="4"/>
  <c r="Q28" i="4" s="1"/>
  <c r="AW53" i="4" l="1"/>
  <c r="AW50" i="4"/>
  <c r="AW51" i="4"/>
  <c r="AW52" i="4"/>
  <c r="AW54" i="4" l="1"/>
  <c r="BG12" i="4" s="1"/>
  <c r="AT54" i="4" l="1"/>
  <c r="AT53" i="4"/>
  <c r="AS54" i="4"/>
  <c r="AU52" i="4" l="1"/>
  <c r="AU53" i="4"/>
  <c r="AU54" i="4"/>
  <c r="AV51" i="4" l="1"/>
  <c r="AV52" i="4"/>
  <c r="AV53" i="4"/>
  <c r="AV54" i="4"/>
  <c r="AX52" i="4" l="1"/>
  <c r="AX50" i="4"/>
  <c r="AX54" i="4"/>
  <c r="AX51" i="4"/>
  <c r="AX49" i="4"/>
  <c r="AX53" i="4" l="1"/>
  <c r="AY49" i="4"/>
  <c r="AY48" i="4"/>
  <c r="AY53" i="4"/>
  <c r="AY51" i="4"/>
  <c r="AY50" i="4"/>
  <c r="AY54" i="4"/>
  <c r="AZ47" i="4" l="1"/>
  <c r="AZ53" i="4"/>
  <c r="AZ52" i="4"/>
  <c r="AZ48" i="4"/>
  <c r="AZ50" i="4"/>
  <c r="AZ49" i="4"/>
  <c r="AZ54" i="4"/>
  <c r="AY52" i="4"/>
  <c r="BA53" i="4" l="1"/>
  <c r="BA47" i="4"/>
  <c r="BA46" i="4"/>
  <c r="BA52" i="4"/>
  <c r="BA51" i="4"/>
  <c r="BA48" i="4"/>
  <c r="BA49" i="4"/>
  <c r="BA54" i="4"/>
  <c r="AZ51" i="4"/>
  <c r="BA50" i="4" l="1"/>
  <c r="AR42" i="4" l="1"/>
  <c r="AR35" i="4"/>
  <c r="AR43" i="4"/>
  <c r="AR21" i="4"/>
  <c r="R2" i="4"/>
  <c r="R26" i="4" s="1"/>
  <c r="AR12" i="4"/>
  <c r="AR19" i="4"/>
  <c r="R4" i="4"/>
  <c r="AR30" i="4"/>
  <c r="AR22" i="4"/>
  <c r="AR50" i="4"/>
  <c r="AR47" i="4"/>
  <c r="AR26" i="4"/>
  <c r="AR27" i="4"/>
  <c r="AR20" i="4"/>
  <c r="AR44" i="4"/>
  <c r="R9" i="4"/>
  <c r="AR40" i="4"/>
  <c r="R7" i="4"/>
  <c r="AR34" i="4"/>
  <c r="R10" i="4"/>
  <c r="AR49" i="4"/>
  <c r="AR39" i="4"/>
  <c r="R8" i="4"/>
  <c r="AR45" i="4"/>
  <c r="AR52" i="4"/>
  <c r="AR23" i="4"/>
  <c r="AR18" i="4"/>
  <c r="R6" i="4"/>
  <c r="AR29" i="4"/>
  <c r="AR33" i="4"/>
  <c r="AR36" i="4"/>
  <c r="AR51" i="4"/>
  <c r="AR48" i="4"/>
  <c r="AR15" i="4"/>
  <c r="AR16" i="4"/>
  <c r="R5" i="4"/>
  <c r="AR24" i="4"/>
  <c r="AR28" i="4"/>
  <c r="AR17" i="4"/>
  <c r="AR38" i="4"/>
  <c r="R11" i="4"/>
  <c r="R29" i="4" s="1"/>
  <c r="AR54" i="4"/>
  <c r="BF12" i="4" s="1"/>
  <c r="AR32" i="4"/>
  <c r="AR31" i="4"/>
  <c r="AR53" i="4"/>
  <c r="AR46" i="4"/>
  <c r="AR41" i="4"/>
  <c r="AR13" i="4"/>
  <c r="AR37" i="4"/>
  <c r="AR25" i="4"/>
  <c r="AR14" i="4"/>
  <c r="R3" i="4"/>
  <c r="R27" i="4" l="1"/>
  <c r="BF4" i="4"/>
  <c r="BF6" i="4"/>
  <c r="BF5" i="4"/>
  <c r="BF9" i="4"/>
  <c r="AD1" i="4"/>
  <c r="BF10" i="4"/>
  <c r="BF7" i="4"/>
  <c r="BF11" i="4"/>
  <c r="BF8" i="4"/>
  <c r="R28" i="4"/>
  <c r="AT29" i="4" l="1"/>
  <c r="AW13" i="4"/>
  <c r="AW42" i="4"/>
  <c r="W6" i="4"/>
  <c r="AW24" i="4"/>
  <c r="AW10" i="4"/>
  <c r="AV17" i="4"/>
  <c r="AT34" i="4"/>
  <c r="V10" i="4"/>
  <c r="AV45" i="4"/>
  <c r="V4" i="4"/>
  <c r="AV15" i="4"/>
  <c r="AV28" i="4"/>
  <c r="AV18" i="4"/>
  <c r="AS51" i="4"/>
  <c r="S11" i="4"/>
  <c r="S29" i="4" s="1"/>
  <c r="AS53" i="4"/>
  <c r="AS38" i="4"/>
  <c r="S8" i="4"/>
  <c r="AT44" i="4"/>
  <c r="AT51" i="4"/>
  <c r="AT45" i="4"/>
  <c r="AW40" i="4"/>
  <c r="W11" i="4"/>
  <c r="W29" i="4" s="1"/>
  <c r="AW49" i="4"/>
  <c r="BG11" i="4" s="1"/>
  <c r="AW35" i="4"/>
  <c r="AW25" i="4"/>
  <c r="AV47" i="4"/>
  <c r="AT31" i="4"/>
  <c r="AV26" i="4"/>
  <c r="AV8" i="4"/>
  <c r="V2" i="4"/>
  <c r="V26" i="4" s="1"/>
  <c r="AV44" i="4"/>
  <c r="AV49" i="4"/>
  <c r="AS29" i="4"/>
  <c r="AS37" i="4"/>
  <c r="AS41" i="4"/>
  <c r="AT35" i="4"/>
  <c r="AT16" i="4"/>
  <c r="AT15" i="4"/>
  <c r="AW39" i="4"/>
  <c r="W9" i="4"/>
  <c r="AW33" i="4"/>
  <c r="AW15" i="4"/>
  <c r="AW7" i="4"/>
  <c r="W2" i="4"/>
  <c r="W26" i="4" s="1"/>
  <c r="AV30" i="4"/>
  <c r="V7" i="4"/>
  <c r="AV13" i="4"/>
  <c r="AV23" i="4"/>
  <c r="AV41" i="4"/>
  <c r="AS52" i="4"/>
  <c r="AS47" i="4"/>
  <c r="AS25" i="4"/>
  <c r="AS19" i="4"/>
  <c r="AT24" i="4"/>
  <c r="T8" i="4"/>
  <c r="AT37" i="4"/>
  <c r="T5" i="4"/>
  <c r="AT22" i="4"/>
  <c r="AT14" i="4"/>
  <c r="AW48" i="4"/>
  <c r="AW29" i="4"/>
  <c r="W7" i="4"/>
  <c r="AW16" i="4"/>
  <c r="AW30" i="4"/>
  <c r="AS48" i="4"/>
  <c r="S10" i="4"/>
  <c r="AV39" i="4"/>
  <c r="AV21" i="4"/>
  <c r="AV9" i="4"/>
  <c r="AS30" i="4"/>
  <c r="AS22" i="4"/>
  <c r="AS50" i="4"/>
  <c r="AS15" i="4"/>
  <c r="AT26" i="4"/>
  <c r="AT10" i="4"/>
  <c r="T2" i="4"/>
  <c r="T26" i="4" s="1"/>
  <c r="AT36" i="4"/>
  <c r="AT11" i="4"/>
  <c r="W5" i="4"/>
  <c r="AW19" i="4"/>
  <c r="AW14" i="4"/>
  <c r="W4" i="4"/>
  <c r="AW41" i="4"/>
  <c r="AW12" i="4"/>
  <c r="AS46" i="4"/>
  <c r="AV43" i="4"/>
  <c r="AV12" i="4"/>
  <c r="V11" i="4"/>
  <c r="V29" i="4" s="1"/>
  <c r="AV50" i="4"/>
  <c r="AS20" i="4"/>
  <c r="AS24" i="4"/>
  <c r="AS27" i="4"/>
  <c r="AS32" i="4"/>
  <c r="AT41" i="4"/>
  <c r="AT43" i="4"/>
  <c r="AT20" i="4"/>
  <c r="AT50" i="4"/>
  <c r="AW27" i="4"/>
  <c r="AW17" i="4"/>
  <c r="AW45" i="4"/>
  <c r="S5" i="4"/>
  <c r="AS23" i="4"/>
  <c r="AV14" i="4"/>
  <c r="AV36" i="4"/>
  <c r="AV46" i="4"/>
  <c r="AS28" i="4"/>
  <c r="S6" i="4"/>
  <c r="AS36" i="4"/>
  <c r="AS16" i="4"/>
  <c r="AS26" i="4"/>
  <c r="AT23" i="4"/>
  <c r="AT12" i="4"/>
  <c r="T3" i="4"/>
  <c r="AT18" i="4"/>
  <c r="T9" i="4"/>
  <c r="AT42" i="4"/>
  <c r="AW46" i="4"/>
  <c r="AW11" i="4"/>
  <c r="AW28" i="4"/>
  <c r="AV25" i="4"/>
  <c r="V6" i="4"/>
  <c r="AV29" i="4"/>
  <c r="AV16" i="4"/>
  <c r="AS40" i="4"/>
  <c r="S3" i="4"/>
  <c r="AS13" i="4"/>
  <c r="AS21" i="4"/>
  <c r="S4" i="4"/>
  <c r="AS18" i="4"/>
  <c r="AT38" i="4"/>
  <c r="T7" i="4"/>
  <c r="AT32" i="4"/>
  <c r="AT40" i="4"/>
  <c r="AT19" i="4"/>
  <c r="AW9" i="4"/>
  <c r="W3" i="4"/>
  <c r="AW32" i="4"/>
  <c r="W10" i="4"/>
  <c r="AW44" i="4"/>
  <c r="V8" i="4"/>
  <c r="AV35" i="4"/>
  <c r="AV22" i="4"/>
  <c r="V9" i="4"/>
  <c r="AV40" i="4"/>
  <c r="AV38" i="4"/>
  <c r="AS34" i="4"/>
  <c r="AS31" i="4"/>
  <c r="AS11" i="4"/>
  <c r="S2" i="4"/>
  <c r="S26" i="4" s="1"/>
  <c r="AS12" i="4"/>
  <c r="AT49" i="4"/>
  <c r="AT48" i="4"/>
  <c r="AT33" i="4"/>
  <c r="AT27" i="4"/>
  <c r="T6" i="4"/>
  <c r="AW18" i="4"/>
  <c r="AW43" i="4"/>
  <c r="AW26" i="4"/>
  <c r="AV11" i="4"/>
  <c r="V3" i="4"/>
  <c r="AV10" i="4"/>
  <c r="AV27" i="4"/>
  <c r="AV31" i="4"/>
  <c r="AS14" i="4"/>
  <c r="AS44" i="4"/>
  <c r="AS42" i="4"/>
  <c r="AS45" i="4"/>
  <c r="AT39" i="4"/>
  <c r="AT25" i="4"/>
  <c r="AT17" i="4"/>
  <c r="T4" i="4"/>
  <c r="AT30" i="4"/>
  <c r="AW20" i="4"/>
  <c r="AW37" i="4"/>
  <c r="AW31" i="4"/>
  <c r="V5" i="4"/>
  <c r="AV20" i="4"/>
  <c r="AV34" i="4"/>
  <c r="AV48" i="4"/>
  <c r="AV24" i="4"/>
  <c r="AV19" i="4"/>
  <c r="AS39" i="4"/>
  <c r="S9" i="4"/>
  <c r="AS43" i="4"/>
  <c r="AS17" i="4"/>
  <c r="T10" i="4"/>
  <c r="AT47" i="4"/>
  <c r="AT28" i="4"/>
  <c r="AT46" i="4"/>
  <c r="AW36" i="4"/>
  <c r="W8" i="4"/>
  <c r="AW34" i="4"/>
  <c r="AW38" i="4"/>
  <c r="AW21" i="4"/>
  <c r="AV32" i="4"/>
  <c r="AV42" i="4"/>
  <c r="AV33" i="4"/>
  <c r="AV37" i="4"/>
  <c r="AS49" i="4"/>
  <c r="AS33" i="4"/>
  <c r="S7" i="4"/>
  <c r="AS35" i="4"/>
  <c r="AT21" i="4"/>
  <c r="AT52" i="4"/>
  <c r="T11" i="4"/>
  <c r="T29" i="4" s="1"/>
  <c r="AT13" i="4"/>
  <c r="AW22" i="4"/>
  <c r="AW47" i="4"/>
  <c r="AW8" i="4"/>
  <c r="AW23" i="4"/>
  <c r="AU45" i="4"/>
  <c r="AU43" i="4"/>
  <c r="AU46" i="4"/>
  <c r="U10" i="4"/>
  <c r="AU48" i="4"/>
  <c r="AU13" i="4"/>
  <c r="AU30" i="4"/>
  <c r="AU40" i="4"/>
  <c r="U2" i="4"/>
  <c r="U26" i="4" s="1"/>
  <c r="AU9" i="4"/>
  <c r="AU25" i="4"/>
  <c r="U4" i="4"/>
  <c r="AU16" i="4"/>
  <c r="AU23" i="4"/>
  <c r="AU18" i="4"/>
  <c r="AU15" i="4"/>
  <c r="AU42" i="4"/>
  <c r="AU41" i="4"/>
  <c r="U9" i="4"/>
  <c r="AU34" i="4"/>
  <c r="AU49" i="4"/>
  <c r="AU17" i="4"/>
  <c r="AU29" i="4"/>
  <c r="AU12" i="4"/>
  <c r="AU33" i="4"/>
  <c r="AU22" i="4"/>
  <c r="U11" i="4"/>
  <c r="U29" i="4" s="1"/>
  <c r="AU51" i="4"/>
  <c r="AU24" i="4"/>
  <c r="AU19" i="4"/>
  <c r="AU27" i="4"/>
  <c r="AU14" i="4"/>
  <c r="AU39" i="4"/>
  <c r="AU37" i="4"/>
  <c r="AU32" i="4"/>
  <c r="AU50" i="4"/>
  <c r="AU47" i="4"/>
  <c r="AU44" i="4"/>
  <c r="AU28" i="4"/>
  <c r="AU36" i="4"/>
  <c r="U8" i="4"/>
  <c r="AU26" i="4"/>
  <c r="U6" i="4"/>
  <c r="U5" i="4"/>
  <c r="AU21" i="4"/>
  <c r="U7" i="4"/>
  <c r="AU31" i="4"/>
  <c r="U3" i="4"/>
  <c r="AU11" i="4"/>
  <c r="AU35" i="4"/>
  <c r="AU20" i="4"/>
  <c r="AU38" i="4"/>
  <c r="AU10" i="4"/>
  <c r="BG3" i="4" l="1"/>
  <c r="S28" i="4"/>
  <c r="S27" i="4"/>
  <c r="T27" i="4"/>
  <c r="W27" i="4"/>
  <c r="U28" i="4"/>
  <c r="BA32" i="4"/>
  <c r="AZ16" i="4"/>
  <c r="Z5" i="4"/>
  <c r="AZ9" i="4"/>
  <c r="AZ14" i="4"/>
  <c r="AZ6" i="4"/>
  <c r="Z3" i="4"/>
  <c r="AX35" i="4"/>
  <c r="AX29" i="4"/>
  <c r="AX7" i="4"/>
  <c r="Y5" i="4"/>
  <c r="AY17" i="4"/>
  <c r="Y6" i="4"/>
  <c r="AY22" i="4"/>
  <c r="AY11" i="4"/>
  <c r="AY38" i="4"/>
  <c r="AA3" i="4"/>
  <c r="BA5" i="4"/>
  <c r="AZ13" i="4"/>
  <c r="AZ24" i="4"/>
  <c r="AZ27" i="4"/>
  <c r="AZ23" i="4"/>
  <c r="AX18" i="4"/>
  <c r="X5" i="4"/>
  <c r="AX13" i="4"/>
  <c r="X4" i="4"/>
  <c r="AX47" i="4"/>
  <c r="AX9" i="4"/>
  <c r="Y10" i="4"/>
  <c r="AY42" i="4"/>
  <c r="AY39" i="4"/>
  <c r="AY10" i="4"/>
  <c r="AY16" i="4"/>
  <c r="AA4" i="4"/>
  <c r="BA10" i="4"/>
  <c r="AZ34" i="4"/>
  <c r="AZ45" i="4"/>
  <c r="AZ46" i="4"/>
  <c r="Z11" i="4"/>
  <c r="Z29" i="4" s="1"/>
  <c r="AX10" i="4"/>
  <c r="AX44" i="4"/>
  <c r="AX34" i="4"/>
  <c r="AX22" i="4"/>
  <c r="V28" i="4"/>
  <c r="AY32" i="4"/>
  <c r="Y8" i="4"/>
  <c r="AY21" i="4"/>
  <c r="AY37" i="4"/>
  <c r="Y9" i="4"/>
  <c r="AY30" i="4"/>
  <c r="BG6" i="4"/>
  <c r="BA14" i="4"/>
  <c r="AZ32" i="4"/>
  <c r="Z8" i="4"/>
  <c r="AZ31" i="4"/>
  <c r="AZ20" i="4"/>
  <c r="AX42" i="4"/>
  <c r="AX17" i="4"/>
  <c r="AX36" i="4"/>
  <c r="X6" i="4"/>
  <c r="AX23" i="4"/>
  <c r="BG9" i="4"/>
  <c r="AY15" i="4"/>
  <c r="AY31" i="4"/>
  <c r="AY26" i="4"/>
  <c r="AY18" i="4"/>
  <c r="BA9" i="4"/>
  <c r="AA6" i="4"/>
  <c r="BA20" i="4"/>
  <c r="BA44" i="4"/>
  <c r="BA8" i="4"/>
  <c r="BA40" i="4"/>
  <c r="AA10" i="4"/>
  <c r="AZ29" i="4"/>
  <c r="AZ43" i="4"/>
  <c r="AZ12" i="4"/>
  <c r="BG10" i="4"/>
  <c r="AX40" i="4"/>
  <c r="AX8" i="4"/>
  <c r="X3" i="4"/>
  <c r="X8" i="4"/>
  <c r="AX33" i="4"/>
  <c r="AX41" i="4"/>
  <c r="AY33" i="4"/>
  <c r="AY34" i="4"/>
  <c r="AY25" i="4"/>
  <c r="AY35" i="4"/>
  <c r="BA34" i="4"/>
  <c r="BA4" i="4"/>
  <c r="BA21" i="4"/>
  <c r="BA22" i="4"/>
  <c r="BA7" i="4"/>
  <c r="AZ28" i="4"/>
  <c r="AZ35" i="4"/>
  <c r="AZ37" i="4"/>
  <c r="X2" i="4"/>
  <c r="X26" i="4" s="1"/>
  <c r="AX6" i="4"/>
  <c r="X10" i="4"/>
  <c r="AX43" i="4"/>
  <c r="AX11" i="4"/>
  <c r="AX15" i="4"/>
  <c r="AF1" i="4"/>
  <c r="AY43" i="4"/>
  <c r="AY29" i="4"/>
  <c r="AY23" i="4"/>
  <c r="AY28" i="4"/>
  <c r="BA30" i="4"/>
  <c r="AA8" i="4"/>
  <c r="AZ5" i="4"/>
  <c r="BA31" i="4"/>
  <c r="BA41" i="4"/>
  <c r="BA29" i="4"/>
  <c r="BA17" i="4"/>
  <c r="AZ8" i="4"/>
  <c r="Z7" i="4"/>
  <c r="AZ26" i="4"/>
  <c r="AZ40" i="4"/>
  <c r="T28" i="4"/>
  <c r="AX37" i="4"/>
  <c r="AX25" i="4"/>
  <c r="X7" i="4"/>
  <c r="AX28" i="4"/>
  <c r="AX14" i="4"/>
  <c r="Y2" i="4"/>
  <c r="Y26" i="4" s="1"/>
  <c r="AY5" i="4"/>
  <c r="AY40" i="4"/>
  <c r="AY14" i="4"/>
  <c r="AH1" i="4"/>
  <c r="BA27" i="4"/>
  <c r="AZ7" i="4"/>
  <c r="BA38" i="4"/>
  <c r="BA43" i="4"/>
  <c r="BA33" i="4"/>
  <c r="BA39" i="4"/>
  <c r="BA36" i="4"/>
  <c r="AZ41" i="4"/>
  <c r="Z10" i="4"/>
  <c r="Z2" i="4"/>
  <c r="Z26" i="4" s="1"/>
  <c r="AZ4" i="4"/>
  <c r="AZ10" i="4"/>
  <c r="V27" i="4"/>
  <c r="AX39" i="4"/>
  <c r="AX48" i="4"/>
  <c r="X11" i="4"/>
  <c r="X29" i="4" s="1"/>
  <c r="AX24" i="4"/>
  <c r="AX45" i="4"/>
  <c r="BG4" i="4"/>
  <c r="AY13" i="4"/>
  <c r="AY47" i="4"/>
  <c r="Y11" i="4"/>
  <c r="Y29" i="4" s="1"/>
  <c r="AY19" i="4"/>
  <c r="BA12" i="4"/>
  <c r="BA25" i="4"/>
  <c r="AA7" i="4"/>
  <c r="BA35" i="4"/>
  <c r="AA9" i="4"/>
  <c r="BA18" i="4"/>
  <c r="BA13" i="4"/>
  <c r="BA23" i="4"/>
  <c r="BA24" i="4"/>
  <c r="AZ25" i="4"/>
  <c r="Z9" i="4"/>
  <c r="AZ36" i="4"/>
  <c r="AZ15" i="4"/>
  <c r="AE1" i="4"/>
  <c r="AX31" i="4"/>
  <c r="AX32" i="4"/>
  <c r="AX12" i="4"/>
  <c r="W28" i="4"/>
  <c r="AY41" i="4"/>
  <c r="AY6" i="4"/>
  <c r="AY27" i="4"/>
  <c r="Y7" i="4"/>
  <c r="BA42" i="4"/>
  <c r="BA6" i="4"/>
  <c r="BA26" i="4"/>
  <c r="BA16" i="4"/>
  <c r="AA2" i="4"/>
  <c r="AA26" i="4" s="1"/>
  <c r="BA3" i="4"/>
  <c r="AZ38" i="4"/>
  <c r="AZ30" i="4"/>
  <c r="AZ44" i="4"/>
  <c r="AZ18" i="4"/>
  <c r="AX27" i="4"/>
  <c r="AX26" i="4"/>
  <c r="AX30" i="4"/>
  <c r="BG5" i="4"/>
  <c r="BG7" i="4"/>
  <c r="AI1" i="4"/>
  <c r="AY44" i="4"/>
  <c r="AY12" i="4"/>
  <c r="Y4" i="4"/>
  <c r="AY45" i="4"/>
  <c r="AA11" i="4"/>
  <c r="AA29" i="4" s="1"/>
  <c r="BA45" i="4"/>
  <c r="BA19" i="4"/>
  <c r="AA5" i="4"/>
  <c r="BA15" i="4"/>
  <c r="BG8" i="4"/>
  <c r="AZ21" i="4"/>
  <c r="Z6" i="4"/>
  <c r="AZ42" i="4"/>
  <c r="AZ17" i="4"/>
  <c r="Z4" i="4"/>
  <c r="AZ11" i="4"/>
  <c r="AX19" i="4"/>
  <c r="AX20" i="4"/>
  <c r="AX38" i="4"/>
  <c r="X9" i="4"/>
  <c r="AY20" i="4"/>
  <c r="AY9" i="4"/>
  <c r="AY46" i="4"/>
  <c r="BA28" i="4"/>
  <c r="BA11" i="4"/>
  <c r="BA37" i="4"/>
  <c r="AZ33" i="4"/>
  <c r="AZ22" i="4"/>
  <c r="AZ39" i="4"/>
  <c r="AZ19" i="4"/>
  <c r="AX16" i="4"/>
  <c r="AX46" i="4"/>
  <c r="AX21" i="4"/>
  <c r="Y3" i="4"/>
  <c r="AY7" i="4"/>
  <c r="AY8" i="4"/>
  <c r="AY36" i="4"/>
  <c r="AY24" i="4"/>
  <c r="AG1" i="4"/>
  <c r="U27" i="4"/>
  <c r="BH5" i="4" l="1"/>
  <c r="Y28" i="4"/>
  <c r="BH2" i="4"/>
  <c r="BH4" i="4"/>
  <c r="BH7" i="4"/>
  <c r="BH6" i="4"/>
  <c r="BH3" i="4"/>
  <c r="BH10" i="4"/>
  <c r="BH9" i="4"/>
  <c r="BH8" i="4"/>
  <c r="X27" i="4"/>
  <c r="Z27" i="4"/>
  <c r="Z28" i="4"/>
  <c r="AJ1" i="4"/>
  <c r="AM1" i="4"/>
  <c r="AA28" i="4"/>
  <c r="X28" i="4"/>
  <c r="AL1" i="4"/>
  <c r="AK1" i="4"/>
  <c r="AA27" i="4"/>
  <c r="Y27" i="4"/>
  <c r="I5" i="16" l="1"/>
  <c r="I99" i="22" s="1"/>
  <c r="L5" i="16"/>
  <c r="L99" i="22" s="1"/>
  <c r="J5" i="16"/>
  <c r="J99" i="22" s="1"/>
  <c r="K5" i="16"/>
  <c r="K99" i="22" s="1"/>
  <c r="J98" i="22" l="1"/>
  <c r="K98" i="22"/>
  <c r="L98" i="22"/>
  <c r="I98" i="22"/>
  <c r="D5" i="16" l="1"/>
  <c r="D99" i="22" s="1"/>
  <c r="D98" i="22" l="1"/>
  <c r="E5" i="16" l="1"/>
  <c r="E99" i="22" s="1"/>
  <c r="E98" i="22" l="1"/>
  <c r="F5" i="16" l="1"/>
  <c r="F99" i="22" s="1"/>
  <c r="F98" i="22" l="1"/>
  <c r="G5" i="16" l="1"/>
  <c r="G99" i="22" s="1"/>
  <c r="G98" i="22" l="1"/>
  <c r="H5" i="16" l="1"/>
  <c r="H99" i="22" s="1"/>
  <c r="H98" i="22" l="1"/>
  <c r="L14" i="16"/>
  <c r="B7" i="16"/>
  <c r="B11" i="16"/>
  <c r="B9" i="16"/>
  <c r="B101" i="22" l="1"/>
  <c r="C5" i="16" l="1"/>
  <c r="C99" i="22" s="1"/>
  <c r="C98" i="22" s="1"/>
  <c r="H22" i="22" l="1"/>
  <c r="B22" i="22"/>
  <c r="D22" i="22"/>
  <c r="F22" i="22"/>
  <c r="I22" i="22"/>
  <c r="K22" i="22"/>
  <c r="G22" i="22"/>
  <c r="C22" i="22"/>
  <c r="E22" i="22"/>
  <c r="J22" i="22"/>
  <c r="B99" i="22"/>
  <c r="B102" i="22"/>
  <c r="B5" i="16"/>
  <c r="L13" i="16" s="1"/>
  <c r="B98" i="22" l="1"/>
  <c r="B97" i="22" s="1"/>
  <c r="I97" i="22" l="1"/>
  <c r="L97" i="22"/>
  <c r="K97" i="22"/>
  <c r="J97" i="22"/>
  <c r="D97" i="22"/>
  <c r="E97" i="22"/>
  <c r="F97" i="22"/>
  <c r="G97" i="22"/>
  <c r="H97" i="22"/>
  <c r="C97" i="22"/>
  <c r="AE292" i="18" l="1"/>
  <c r="AE232" i="18"/>
  <c r="AE86" i="18"/>
  <c r="AE180" i="18"/>
  <c r="AE219" i="18"/>
  <c r="AE65" i="18"/>
  <c r="AE12" i="18"/>
  <c r="AE254" i="18"/>
  <c r="AE157" i="18"/>
  <c r="AE40" i="18"/>
  <c r="AE135" i="18"/>
  <c r="AE314" i="18"/>
  <c r="AE277" i="18"/>
  <c r="AE334" i="18"/>
  <c r="AE323" i="18"/>
  <c r="AE120" i="18"/>
  <c r="AE76" i="18"/>
  <c r="AE15" i="18"/>
  <c r="AE158" i="18"/>
  <c r="AE294" i="18"/>
  <c r="AE140" i="18"/>
  <c r="AE103" i="18"/>
  <c r="AE291" i="18"/>
  <c r="AE251" i="18"/>
  <c r="AE82" i="18"/>
  <c r="AE90" i="18"/>
  <c r="AE142" i="18"/>
  <c r="AE361" i="18"/>
  <c r="AE245" i="18"/>
  <c r="AE126" i="18"/>
  <c r="AE46" i="18"/>
  <c r="AE72" i="18"/>
  <c r="AE320" i="18"/>
  <c r="AE155" i="18"/>
  <c r="AE30" i="18"/>
  <c r="AE73" i="18"/>
  <c r="AE289" i="18"/>
  <c r="AE220" i="18"/>
  <c r="AE57" i="18"/>
  <c r="AE325" i="18"/>
  <c r="AE185" i="18"/>
  <c r="AE152" i="18"/>
  <c r="AE105" i="18"/>
  <c r="AE63" i="18"/>
  <c r="AE321" i="18"/>
  <c r="AE365" i="18"/>
  <c r="AE177" i="18"/>
  <c r="AE369" i="18"/>
  <c r="AE249" i="18"/>
  <c r="AE110" i="18"/>
  <c r="AE97" i="18"/>
  <c r="AE95" i="18"/>
  <c r="AE141" i="18"/>
  <c r="AE280" i="18"/>
  <c r="AE7" i="18"/>
  <c r="AE214" i="18"/>
  <c r="AE243" i="18"/>
  <c r="AE26" i="18"/>
  <c r="AE194" i="18"/>
  <c r="AE147" i="18"/>
  <c r="AE6" i="18"/>
  <c r="AE173" i="18"/>
  <c r="AE326" i="18"/>
  <c r="AE62" i="18"/>
  <c r="AE60" i="18"/>
  <c r="AE283" i="18"/>
  <c r="AE16" i="18"/>
  <c r="AE267" i="18"/>
  <c r="AE5" i="18"/>
  <c r="AE212" i="18"/>
  <c r="AE68" i="18"/>
  <c r="AE233" i="18"/>
  <c r="AE41" i="18"/>
  <c r="AE184" i="18"/>
  <c r="AE202" i="18"/>
  <c r="AE8" i="18"/>
  <c r="AE359" i="18"/>
  <c r="AE297" i="18"/>
  <c r="AE27" i="18"/>
  <c r="AE128" i="18"/>
  <c r="AE355" i="18"/>
  <c r="AE131" i="18"/>
  <c r="AE122" i="18"/>
  <c r="AE4" i="18"/>
  <c r="AE272" i="18"/>
  <c r="AE93" i="18"/>
  <c r="AE51" i="18"/>
  <c r="AE209" i="18"/>
  <c r="AE313" i="18"/>
  <c r="AE364" i="18"/>
  <c r="AE337" i="18"/>
  <c r="AE371" i="18"/>
  <c r="AE370" i="18"/>
  <c r="AE116" i="18"/>
  <c r="AE21" i="18"/>
  <c r="AE252" i="18"/>
  <c r="AE186" i="18"/>
  <c r="AE28" i="18"/>
  <c r="AE368" i="18"/>
  <c r="AE236" i="18"/>
  <c r="AE196" i="18"/>
  <c r="AE14" i="18"/>
  <c r="AE144" i="18"/>
  <c r="AE274" i="18"/>
  <c r="AE137" i="18"/>
  <c r="AE206" i="18"/>
  <c r="AE262" i="18"/>
  <c r="AE242" i="18"/>
  <c r="AE56" i="18"/>
  <c r="AE83" i="18"/>
  <c r="AE143" i="18"/>
  <c r="AE349" i="18"/>
  <c r="AE246" i="18"/>
  <c r="AE335" i="18"/>
  <c r="AE341" i="18"/>
  <c r="AE305" i="18"/>
  <c r="AE121" i="18"/>
  <c r="AE54" i="18"/>
  <c r="AE37" i="18"/>
  <c r="AE244" i="18"/>
  <c r="AE25" i="18"/>
  <c r="AE179" i="18"/>
  <c r="AE248" i="18"/>
  <c r="AE290" i="18"/>
  <c r="AE226" i="18"/>
  <c r="AE115" i="18"/>
  <c r="AE44" i="18"/>
  <c r="AE182" i="18"/>
  <c r="AE215" i="18"/>
  <c r="AE362" i="18"/>
  <c r="AE9" i="18"/>
  <c r="AE79" i="18"/>
  <c r="AE49" i="18"/>
  <c r="AE175" i="18"/>
  <c r="AE363" i="18"/>
  <c r="AE169" i="18"/>
  <c r="AE101" i="18"/>
  <c r="AE352" i="18"/>
  <c r="AE300" i="18"/>
  <c r="AE45" i="18"/>
  <c r="AE178" i="18"/>
  <c r="AE263" i="18"/>
  <c r="AE197" i="18"/>
  <c r="AE69" i="18"/>
  <c r="AE119" i="18"/>
  <c r="AE43" i="18"/>
  <c r="AE230" i="18"/>
  <c r="AE98" i="18"/>
  <c r="AE353" i="18"/>
  <c r="AE275" i="18"/>
  <c r="AE75" i="18"/>
  <c r="AE96" i="18"/>
  <c r="AE153" i="18"/>
  <c r="AE358" i="18"/>
  <c r="AE133" i="18"/>
  <c r="AE330" i="18"/>
  <c r="AE255" i="18"/>
  <c r="AE306" i="18"/>
  <c r="AE39" i="18"/>
  <c r="AE36" i="18"/>
  <c r="AE354" i="18"/>
  <c r="AE195" i="18"/>
  <c r="AE347" i="18"/>
  <c r="AE127" i="18"/>
  <c r="AE11" i="18"/>
  <c r="AE53" i="18"/>
  <c r="AE224" i="18"/>
  <c r="AE319" i="18"/>
  <c r="AE50" i="18"/>
  <c r="AE193" i="18"/>
  <c r="AE372" i="18"/>
  <c r="AE285" i="18"/>
  <c r="AE278" i="18"/>
  <c r="AE218" i="18"/>
  <c r="AE19" i="18"/>
  <c r="AE150" i="18"/>
  <c r="AE271" i="18"/>
  <c r="AE92" i="18"/>
  <c r="AE109" i="18"/>
  <c r="AE373" i="18"/>
  <c r="AE22" i="18"/>
  <c r="AE89" i="18"/>
  <c r="AE293" i="18"/>
  <c r="AE139" i="18"/>
  <c r="AE350" i="18"/>
  <c r="AE187" i="18"/>
  <c r="AE124" i="18"/>
  <c r="AE2" i="18"/>
  <c r="AE234" i="18"/>
  <c r="AE123" i="18"/>
  <c r="AE74" i="18"/>
  <c r="AE67" i="18"/>
  <c r="AE164" i="18"/>
  <c r="AE17" i="18"/>
  <c r="AE125" i="18"/>
  <c r="AE3" i="18"/>
  <c r="AE239" i="18"/>
  <c r="AE221" i="18"/>
  <c r="AE114" i="18"/>
  <c r="C3" i="21" s="1"/>
  <c r="AE47" i="18"/>
  <c r="AE174" i="18"/>
  <c r="AE104" i="18"/>
  <c r="AE360" i="18"/>
  <c r="AE366" i="18"/>
  <c r="AE59" i="18"/>
  <c r="AE322" i="18"/>
  <c r="AE136" i="18"/>
  <c r="AE78" i="18"/>
  <c r="AE183" i="18"/>
  <c r="AE210" i="18"/>
  <c r="AE261" i="18"/>
  <c r="AE264" i="18"/>
  <c r="AE84" i="18"/>
  <c r="AE336" i="18"/>
  <c r="AE176" i="18"/>
  <c r="AE161" i="18"/>
  <c r="AE310" i="18"/>
  <c r="AE318" i="18"/>
  <c r="AE302" i="18"/>
  <c r="AE286" i="18"/>
  <c r="AE106" i="18"/>
  <c r="AE298" i="18"/>
  <c r="AE269" i="18"/>
  <c r="AE81" i="18"/>
  <c r="AE70" i="18"/>
  <c r="AE148" i="18"/>
  <c r="AE348" i="18"/>
  <c r="AE170" i="18"/>
  <c r="AE102" i="18"/>
  <c r="AE299" i="18"/>
  <c r="AE279" i="18"/>
  <c r="AE295" i="18"/>
  <c r="AE13" i="18"/>
  <c r="AE205" i="18"/>
  <c r="AE129" i="18"/>
  <c r="AE71" i="18"/>
  <c r="AE231" i="18"/>
  <c r="AE340" i="18"/>
  <c r="AE344" i="18"/>
  <c r="AE223" i="18"/>
  <c r="AE29" i="18"/>
  <c r="AE328" i="18"/>
  <c r="AE171" i="18"/>
  <c r="AE42" i="18"/>
  <c r="AE284" i="18"/>
  <c r="AE345" i="18"/>
  <c r="AE199" i="18"/>
  <c r="AE327" i="18"/>
  <c r="AE130" i="18"/>
  <c r="AE270" i="18"/>
  <c r="AE181" i="18"/>
  <c r="AE201" i="18"/>
  <c r="AE308" i="18"/>
  <c r="AE296" i="18"/>
  <c r="AE55" i="18"/>
  <c r="AE333" i="18"/>
  <c r="AE159" i="18"/>
  <c r="AE346" i="18"/>
  <c r="AE229" i="18"/>
  <c r="AE100" i="18"/>
  <c r="AE266" i="18"/>
  <c r="AE307" i="18"/>
  <c r="AE217" i="18"/>
  <c r="AE332" i="18"/>
  <c r="AE207" i="18"/>
  <c r="AE311" i="18"/>
  <c r="AE375" i="18"/>
  <c r="AE317" i="18"/>
  <c r="AE259" i="18"/>
  <c r="AE235" i="18"/>
  <c r="AE108" i="18"/>
  <c r="AE138" i="18"/>
  <c r="AE64" i="18"/>
  <c r="AE227" i="18"/>
  <c r="AE52" i="18"/>
  <c r="AE374" i="18"/>
  <c r="AE260" i="18"/>
  <c r="AE213" i="18"/>
  <c r="AE315" i="18"/>
  <c r="AE145" i="18"/>
  <c r="AE80" i="18"/>
  <c r="AE132" i="18"/>
  <c r="AE203" i="18"/>
  <c r="AE273" i="18"/>
  <c r="AE281" i="18"/>
  <c r="AE48" i="18"/>
  <c r="AE24" i="18"/>
  <c r="AE117" i="18"/>
  <c r="AE166" i="18"/>
  <c r="AE228" i="18"/>
  <c r="AE338" i="18"/>
  <c r="AE240" i="18"/>
  <c r="AE288" i="18"/>
  <c r="AE222" i="18"/>
  <c r="AE23" i="18"/>
  <c r="AE38" i="18"/>
  <c r="AE134" i="18"/>
  <c r="AE357" i="18"/>
  <c r="AE189" i="18"/>
  <c r="AE258" i="18"/>
  <c r="AE303" i="18"/>
  <c r="AE304" i="18"/>
  <c r="AE113" i="18"/>
  <c r="AE34" i="18"/>
  <c r="AE112" i="18"/>
  <c r="AE324" i="18"/>
  <c r="AE35" i="18"/>
  <c r="AE188" i="18"/>
  <c r="AE237" i="18"/>
  <c r="AE204" i="18"/>
  <c r="AE331" i="18"/>
  <c r="AE154" i="18"/>
  <c r="AE276" i="18"/>
  <c r="AE247" i="18"/>
  <c r="AE99" i="18"/>
  <c r="AE256" i="18"/>
  <c r="AE241" i="18"/>
  <c r="AE301" i="18"/>
  <c r="AE94" i="18"/>
  <c r="AE146" i="18"/>
  <c r="AE351" i="18"/>
  <c r="AE172" i="18"/>
  <c r="AE329" i="18"/>
  <c r="AE257" i="18"/>
  <c r="AE268" i="18"/>
  <c r="AE32" i="18"/>
  <c r="AE20" i="18"/>
  <c r="AE208" i="18"/>
  <c r="AE58" i="18"/>
  <c r="AE33" i="18"/>
  <c r="AE156" i="18"/>
  <c r="AE265" i="18"/>
  <c r="AE282" i="18"/>
  <c r="AE118" i="18"/>
  <c r="AE160" i="18"/>
  <c r="AE66" i="18"/>
  <c r="AE191" i="18"/>
  <c r="AE88" i="18"/>
  <c r="AE376" i="18"/>
  <c r="AE238" i="18"/>
  <c r="AE211" i="18"/>
  <c r="AE253" i="18"/>
  <c r="AE151" i="18"/>
  <c r="AE77" i="18"/>
  <c r="AE312" i="18"/>
  <c r="AE198" i="18"/>
  <c r="AE10" i="18"/>
  <c r="AE343" i="18"/>
  <c r="AE316" i="18"/>
  <c r="AE149" i="18"/>
  <c r="AE61" i="18"/>
  <c r="AE168" i="18"/>
  <c r="AE107" i="18"/>
  <c r="AE339" i="18"/>
  <c r="AE287" i="18"/>
  <c r="AE111" i="18"/>
  <c r="AE31" i="18"/>
  <c r="AE18" i="18"/>
  <c r="AE192" i="18"/>
  <c r="AE356" i="18"/>
  <c r="AE190" i="18"/>
  <c r="AE250" i="18"/>
  <c r="AE367" i="18"/>
  <c r="AE225" i="18"/>
  <c r="AE167" i="18"/>
  <c r="AE87" i="18"/>
  <c r="AE91" i="18"/>
  <c r="AE200" i="18"/>
  <c r="AE309" i="18"/>
  <c r="AE342" i="18"/>
  <c r="AE216" i="18"/>
  <c r="C3" i="24" l="1"/>
  <c r="C49" i="22"/>
  <c r="B3" i="21"/>
  <c r="C3" i="16"/>
  <c r="B49" i="22"/>
  <c r="B48" i="22"/>
  <c r="AE85" i="18"/>
  <c r="B3" i="16" l="1"/>
  <c r="C46" i="22"/>
  <c r="C47" i="22"/>
  <c r="B47" i="22" s="1"/>
  <c r="B3" i="24"/>
  <c r="B46" i="22"/>
  <c r="C45" i="22" l="1"/>
  <c r="B45" i="22" s="1"/>
  <c r="B44" i="22" s="1"/>
  <c r="B20" i="22" l="1"/>
  <c r="C20" i="22"/>
  <c r="D20" i="22"/>
  <c r="E20" i="22"/>
  <c r="F20" i="22"/>
  <c r="G20" i="22"/>
  <c r="H20" i="22"/>
  <c r="I20" i="22"/>
  <c r="J20" i="22"/>
  <c r="K20" i="22"/>
  <c r="E44" i="22"/>
  <c r="G44" i="22"/>
  <c r="I44" i="22"/>
  <c r="L44" i="22"/>
  <c r="K44" i="22"/>
  <c r="H44" i="22"/>
  <c r="J44" i="22"/>
  <c r="F44" i="22"/>
  <c r="D44" i="22"/>
  <c r="C44" i="22"/>
  <c r="C4" i="16"/>
  <c r="C73" i="22" s="1"/>
  <c r="C72" i="22" s="1"/>
  <c r="B21" i="22" s="1"/>
  <c r="J72" i="22" l="1"/>
  <c r="I72" i="22"/>
  <c r="G72" i="22"/>
  <c r="F72" i="22"/>
  <c r="B4" i="16"/>
  <c r="L72" i="22"/>
  <c r="B75" i="22"/>
  <c r="H72" i="22" l="1"/>
  <c r="E72" i="22"/>
  <c r="D72" i="22"/>
  <c r="B76" i="22"/>
  <c r="K72" i="22"/>
  <c r="B74" i="22"/>
  <c r="B73" i="22"/>
  <c r="I21" i="22" l="1"/>
  <c r="J21" i="22"/>
  <c r="K21" i="22"/>
  <c r="C21" i="22"/>
  <c r="D21" i="22"/>
  <c r="E21" i="22"/>
  <c r="F21" i="22"/>
  <c r="G21" i="22"/>
  <c r="H21" i="22"/>
  <c r="B72" i="22"/>
  <c r="B71" i="22" l="1"/>
  <c r="K71" i="22" l="1"/>
  <c r="I71" i="22"/>
  <c r="J71" i="22"/>
  <c r="E71" i="22"/>
  <c r="D71" i="22"/>
  <c r="G71" i="22"/>
  <c r="H71" i="22"/>
  <c r="F71" i="22"/>
  <c r="L71" i="22"/>
  <c r="C71" i="2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B94C47F-AA18-4F84-B5FD-ABBE3F832715}" keepAlive="1" name="Requête - Tableau3" description="Connexion à la requête « Tableau3 » dans le classeur." type="5" refreshedVersion="0" background="1">
    <dbPr connection="Provider=Microsoft.Mashup.OleDb.1;Data Source=$Workbook$;Location=Tableau3;Extended Properties=&quot;&quot;" command="SELECT * FROM [Tableau3]"/>
  </connection>
</connections>
</file>

<file path=xl/sharedStrings.xml><?xml version="1.0" encoding="utf-8"?>
<sst xmlns="http://schemas.openxmlformats.org/spreadsheetml/2006/main" count="7225" uniqueCount="1896">
  <si>
    <t>TOTAL</t>
  </si>
  <si>
    <t>Étiquettes de lignes</t>
  </si>
  <si>
    <t>nm_cmmn</t>
  </si>
  <si>
    <t>sctn</t>
  </si>
  <si>
    <t>l_dt</t>
  </si>
  <si>
    <t>nmr</t>
  </si>
  <si>
    <t>lttr</t>
  </si>
  <si>
    <t>HOSTENS</t>
  </si>
  <si>
    <t>LES BECS</t>
  </si>
  <si>
    <t>MANO</t>
  </si>
  <si>
    <t>LANDE DE TABARTON</t>
  </si>
  <si>
    <t>MOUSTEY</t>
  </si>
  <si>
    <t>Kycs</t>
  </si>
  <si>
    <t>Peyroulet</t>
  </si>
  <si>
    <t>Quartier de Capsus</t>
  </si>
  <si>
    <t>Moyenne des pic :</t>
  </si>
  <si>
    <t>LE TUZAN</t>
  </si>
  <si>
    <t>METAIRIES DE TABARTON</t>
  </si>
  <si>
    <t>LA PEYRERE</t>
  </si>
  <si>
    <t>L'ARGILEYRE</t>
  </si>
  <si>
    <t>BARRAT</t>
  </si>
  <si>
    <t>Lesbarreyres</t>
  </si>
  <si>
    <t>PIQUETAILLADE</t>
  </si>
  <si>
    <t>TABARTON-OUEST</t>
  </si>
  <si>
    <t>BOSCQ</t>
  </si>
  <si>
    <t>HAUDOUA</t>
  </si>
  <si>
    <t>LES DOUILS</t>
  </si>
  <si>
    <t>BAS DE TOURNICON</t>
  </si>
  <si>
    <t>Plata</t>
  </si>
  <si>
    <t>LA BROUSTETTE</t>
  </si>
  <si>
    <t>LES CAZALAS</t>
  </si>
  <si>
    <t>AU BLANC</t>
  </si>
  <si>
    <t>ntr</t>
  </si>
  <si>
    <t>CABANAC-ET-VILLAGRAINS</t>
  </si>
  <si>
    <t>LAGUNE LONGUE</t>
  </si>
  <si>
    <t>LES JEANNOTS</t>
  </si>
  <si>
    <t>CHOUSSE</t>
  </si>
  <si>
    <t>GUILLOS</t>
  </si>
  <si>
    <t>LE TRETIN DES JEANNOTS</t>
  </si>
  <si>
    <t>LA HONTEYRE</t>
  </si>
  <si>
    <t>CABAT MORT</t>
  </si>
  <si>
    <t>Nom</t>
  </si>
  <si>
    <t>Montant</t>
  </si>
  <si>
    <t>total :</t>
  </si>
  <si>
    <t>total_essnc :</t>
  </si>
  <si>
    <t>homogen :</t>
  </si>
  <si>
    <t>p_40 :</t>
  </si>
  <si>
    <t>p_25 :</t>
  </si>
  <si>
    <t>Categorie</t>
  </si>
  <si>
    <t>coupe :</t>
  </si>
  <si>
    <t>Pignotte</t>
  </si>
  <si>
    <t>rase :</t>
  </si>
  <si>
    <t>lande :</t>
  </si>
  <si>
    <t>Boulein</t>
  </si>
  <si>
    <t>PM unique :</t>
  </si>
  <si>
    <t>Si on regarde que le pin maritim</t>
  </si>
  <si>
    <t>CR25 :</t>
  </si>
  <si>
    <t>LA GRAVE REDONNE</t>
  </si>
  <si>
    <t>prndr</t>
  </si>
  <si>
    <t>ordr</t>
  </si>
  <si>
    <t>cd_cmmn</t>
  </si>
  <si>
    <t>cd_ldt</t>
  </si>
  <si>
    <t>essnc</t>
  </si>
  <si>
    <t>CR</t>
  </si>
  <si>
    <t>00 - 04 ans</t>
  </si>
  <si>
    <t>05 - 09 ans</t>
  </si>
  <si>
    <t>10 - 14 ans</t>
  </si>
  <si>
    <t>15 - 19 ans</t>
  </si>
  <si>
    <t>20 - 24 ans</t>
  </si>
  <si>
    <t>25 - 29 ans</t>
  </si>
  <si>
    <t>30 - 34 ans</t>
  </si>
  <si>
    <t>35 - 39 ans</t>
  </si>
  <si>
    <t>40 ans &amp; +</t>
  </si>
  <si>
    <t>petit</t>
  </si>
  <si>
    <t>moyen</t>
  </si>
  <si>
    <t>gros</t>
  </si>
  <si>
    <t>cdstr</t>
  </si>
  <si>
    <t>idntfn</t>
  </si>
  <si>
    <t>srfc</t>
  </si>
  <si>
    <t>trvx</t>
  </si>
  <si>
    <t>tp</t>
  </si>
  <si>
    <t>anns</t>
  </si>
  <si>
    <t>gid</t>
  </si>
  <si>
    <t>the_geom</t>
  </si>
  <si>
    <t>ident</t>
  </si>
  <si>
    <t>idca</t>
  </si>
  <si>
    <t>nmprop</t>
  </si>
  <si>
    <t>usu</t>
  </si>
  <si>
    <t>nomcom</t>
  </si>
  <si>
    <t>ldit</t>
  </si>
  <si>
    <t>surfcomp</t>
  </si>
  <si>
    <t>qualppl</t>
  </si>
  <si>
    <t>deg09</t>
  </si>
  <si>
    <t>scolyte</t>
  </si>
  <si>
    <t>circmoy</t>
  </si>
  <si>
    <t>hdec</t>
  </si>
  <si>
    <t>volunit</t>
  </si>
  <si>
    <t>dens</t>
  </si>
  <si>
    <t>vol09</t>
  </si>
  <si>
    <t>tex</t>
  </si>
  <si>
    <t>surfcad</t>
  </si>
  <si>
    <t>onf</t>
  </si>
  <si>
    <t>perenne</t>
  </si>
  <si>
    <t>n_ilot</t>
  </si>
  <si>
    <t>insee</t>
  </si>
  <si>
    <t>idpro</t>
  </si>
  <si>
    <t>env</t>
  </si>
  <si>
    <t>ess</t>
  </si>
  <si>
    <t>nature</t>
  </si>
  <si>
    <t>Aire</t>
  </si>
  <si>
    <t>gid_bak</t>
  </si>
  <si>
    <t>the_geom_bak</t>
  </si>
  <si>
    <t>01060000206A0800000100000001030000000100000009000000C3F5285C33E71841C3F528DC5D595841EC51B81E58E71841F6285CAF65595841AE47E17A5EE7184100000010675958417B14AE4771E718419A9999196B595841EC51B81E7BE71841713D0A376D59584100000000B8E218418FC2F54879595841D7A3703D78E218411F85EB816A59584185EB51B890E418417B14AEE764595841C3F5285C33E71841C3F528DC5D595841</t>
  </si>
  <si>
    <t>A1144</t>
  </si>
  <si>
    <t>2020000A1144</t>
  </si>
  <si>
    <t>GF DE TABARTHON</t>
  </si>
  <si>
    <t>INCENDIE 2022</t>
  </si>
  <si>
    <t>PM</t>
  </si>
  <si>
    <t>CR2022</t>
  </si>
  <si>
    <t>19146.13</t>
  </si>
  <si>
    <t>01060000206A080000010000000103000000010000000A000000000000009FDE1841EC51B8FE705958410000000082DE18419A999939715958415C8FC2F531DC184148E17AF475595841713D0AD764DC184148E17AA48C5958413D0AD7A3B6DE1841333333338859584185EB51B8D3DE1841B81E85FB87595841B81E85EBD3DE1841AE47E1FA8759584148E17A14C9DE184114AE474183595841F6285C8FA7DE184148E17AB474595841000000009FDE1841EC51B8FE70595841</t>
  </si>
  <si>
    <t>A1224</t>
  </si>
  <si>
    <t>2020000A1224</t>
  </si>
  <si>
    <t>14456.56</t>
  </si>
  <si>
    <t>01060000206A080000010000000103000000010000000C0000009B73667B4BD51841DDD792F0A15A58417B17C03A3FD5184126F36489A15A58418CDFFEC3D3D318412AED2BE1965A58417552C78350D31841C8DA1D24855A5841941A2C7AF9D318417F0CF0F17A5A5841EC51B81ECDD3184100000010745A5841F601AB48F1D118417E046E8B835A58413FCDEF3213D31841B0C7B1D3B15A5841EC51B81E04D418418FC2F598AA5A584152B81E8577D4184114AE4721A75A5841713D0AD714D5184100000010A35A58419B73667B4BD51841DDD792F0A15A5841</t>
  </si>
  <si>
    <t>A1293k</t>
  </si>
  <si>
    <t>2020000A1293</t>
  </si>
  <si>
    <t>21183.05</t>
  </si>
  <si>
    <t>01060000206A080000010000000103000000010000000C000000941A2C7AF9D318417F0CF0F17A5A58417552C78350D31841C8DA1D24855A58418CDFFEC3D3D318412AED2BE1965A58417B17C03A3FD5184126F36489A15A58419B73667B4BD51841DDD792F0A15A58416666666669D5184133333353A15A5841B81E85EBDDD5184148E17AE49E5A5841D7A3703D42D618417B14AE079D5A584148E17A14F9D518415C8FC295915A58410AD7A370F6D51841C3F528AC915A5841AE47E17A90D4184100000060925A5841941A2C7AF9D318417F0CF0F17A5A5841</t>
  </si>
  <si>
    <t>A1293l</t>
  </si>
  <si>
    <t>11041.66</t>
  </si>
  <si>
    <t>01060000206A080000010000000103000000010000000900000018457A30CBD11841A30895767D5A5841F601AB48F1D118417E046E8B835A5841EC51B81ECDD3184100000010745A584148E17A14A8D3184114AE47516E5A584114AE47E183D3184148E17A646F5A584100000000FED21841333333A3735A58413D0AD7A36BD21841713D0A47785A5841A4703D0A32D21841AE47E11A7A5A584118457A30CBD11841A30895767D5A5841</t>
  </si>
  <si>
    <t>A1294k</t>
  </si>
  <si>
    <t>2020000A1294</t>
  </si>
  <si>
    <t>3426.46</t>
  </si>
  <si>
    <t>01060000206A08000001000000010300000001000000060000000AD7A3701DD0184152B81EC5925A5841295C8FC2DAD11841713D0A47845A58418FC2F528B5D11841EC51B82E7E5A5841D7A3703D4AD11841D7A370AD815A5841EC51B81EEFCF1841F6285C5F8D5A58410AD7A3701DD0184152B81EC5925A5841</t>
  </si>
  <si>
    <t>A1295</t>
  </si>
  <si>
    <t>2020000A1295</t>
  </si>
  <si>
    <t>3225.34</t>
  </si>
  <si>
    <t>01060000206A080000010000000103000000010000000E0000000AD7A37026CF18419A999949CA5A58416666666680CE1841F6285C3FB25A584133333333A3D01841E17A145EA25A58410AD7A3701DD0184152B81EC5925A5841295C8FC2DAD11841713D0A47845A584152B81E85F8D218410AD7A3A0B25A5841295C8FC2D4D21841333333B3B35A5841C3F5285C85D11841AE47E1BABD5A5841EC51B81E16D1184114AE4721C15A584114AE47E1B0D0184148E17AA4C35A58418FC2F52867D01841B81E850BC55A5841666666661CD018413D0AD783C65A58419A9999999BCF18418FC2F598C85A58410AD7A37026CF18419A999949CA5A5841</t>
  </si>
  <si>
    <t>A1298</t>
  </si>
  <si>
    <t>2020000A1298</t>
  </si>
  <si>
    <t>40487.15</t>
  </si>
  <si>
    <t>01060000206A08000001000000010300000001000000140000008FC2F52830DC18415C8FC2B56F5A5841295C8FC2F7DB1841EC51B8BE725A584152B81E85D1DB1841B81E85BB745A58415C8FC2F59DDB1841713D0A97755A58419A99999978DB18411F85EBC1765A5841333333334CDB1841D7A3703D785A5841713D0AD7CDDA1841B81E85EB7A5A5841EC51B81E7EDA1841C3F5283C7C5A58410AD7A37038DA1841D7A370DD7D5A58411F85EB51D5D9184148E17AF47F5A5841713D0AD7D8D91841F6285CCF825A58419A999999D4D91841713D0AE78A5A5841B81E85EB0BDA18417B14AEC7895A584114AE47E131DC18410AD7A3B07E5A5841C3F5285CB3DC18410AD7A3707C5A5841333333331FDD184114AE47B17A5A58410AD7A370ABDD184148E17AB4795A5841AE47E17AADDC1841B81E852B715A58415C8FC2F54BDC1841D7A370FD6D5A58418FC2F52830DC18415C8FC2B56F5A5841</t>
  </si>
  <si>
    <t>A1310</t>
  </si>
  <si>
    <t>2020000A1310</t>
  </si>
  <si>
    <t>10113.31</t>
  </si>
  <si>
    <t>01060000206A08000001000000010300000001000000120000003D0AD7A396D718411F85EBD16B5A5841AE47E17A2BD718419A9999F9875A5841CDCCCCCC9CD7184100000010965A5841B81E85EBEAD71841CDCCCC8C945A5841713D0AD71CD91841E17A149E8E5A58419A999999D4D91841713D0AE78A5A5841713D0AD7D8D91841F6285CCF825A58411F85EB51D5D9184148E17AF47F5A58410AD7A37038DA1841D7A370DD7D5A5841EC51B81E7EDA1841C3F5283C7C5A5841713D0AD7CDDA1841B81E85EB7A5A5841333333334CDB1841D7A3703D785A58419A99999978DB18411F85EBC1765A58415C8FC2F59DDB1841713D0A97755A584152B81E85D1DB1841B81E85BB745A5841295C8FC2F7DB1841EC51B8BE725A58418FC2F52830DC18415C8FC2B56F5A58413D0AD7A396D718411F85EBD16B5A5841</t>
  </si>
  <si>
    <t>A1311</t>
  </si>
  <si>
    <t>2020000A1311</t>
  </si>
  <si>
    <t>29157.75</t>
  </si>
  <si>
    <t>01060000206A080000010000000103000000010000000E000000269AB6A67FD9184190437B6F6D5A58410649DA3067D918416CB9BF606A5A5841EFB8CB8781D9184153D19EA8665A58417E912E22E1D9184102187E89615A5841A908A08CD0D91841238D73065D5A5841FFF68261AFD91841417652B55A5A5841BC3CE23DACD918417DFF02D8575A5841295C8FC260D9184166666656555A58419A9999992BD91841295C8F92535A584152B81E854FD818419A9999794C5A58419A999999E2D71841000000C0485A58413333333397D718419A9999A96B5A58413D0AD7A396D718411F85EBD16B5A5841269AB6A67FD9184190437B6F6D5A5841</t>
  </si>
  <si>
    <t>A1312j</t>
  </si>
  <si>
    <t>2020000A1312</t>
  </si>
  <si>
    <t>14269.94</t>
  </si>
  <si>
    <t>01060000206A080000010000000103000000010000000D000000BC3CE23DACD918417DFF02D8575A5841FFF68261AFD91841417652B55A5A5841A908A08CD0D91841238D73065D5A58417E912E22E1D9184102187E89615A5841EFB8CB8781D9184153D19EA8665A58410649DA3067D918416CB9BF606A5A5841269AB6A67FD9184190437B6F6D5A58418FC2F52830DC18415C8FC2B56F5A58415C8FC2F54BDC1841D7A370FD6D5A5841713D0AD784DB1841EC51B87E675A58419A99999938DB1841EC51B8FE645A5841C3F5285C1DDB18419A999919645A5841BC3CE23DACD918417DFF02D8575A5841</t>
  </si>
  <si>
    <t>A1312k</t>
  </si>
  <si>
    <t>7960.84</t>
  </si>
  <si>
    <t>01060000206A0800000100000001030000000100000008000000D3D0047116391941FEC4FC9844575841B1611AAE3A39194193ADF4A8355758413EB85AC3DC381941FB813ABA355758416A2CA00A8E381941897052C8355758413513D9295F381941CF75865B47575841C3C9201F87381941A14A352347575841D1E51BEC11391941A3F06B7646575841D3D0047116391941FEC4FC9844575841</t>
  </si>
  <si>
    <t>A251</t>
  </si>
  <si>
    <t>5360000A0251</t>
  </si>
  <si>
    <t>A</t>
  </si>
  <si>
    <t>CE1</t>
  </si>
  <si>
    <t>PLA2005</t>
  </si>
  <si>
    <t>2995.87</t>
  </si>
  <si>
    <t>01060000206A080000010000000103000000010000001D00000097007F00C4391941B7467C64F6565841601AE43DDD381941B9BD4C71F956584110AA5867D8381941A90EFCC8FA565841C874CA29BB3819411E53B95E005758410D9AF35CB7381941092FF07804575841301724CDB138194126D4E42A0957584142AC0129B83819415225C64C0D57584151BB5A8FC1381941B8A8BB4E105758413D06A233E2381941A387C775175758416455EAEB14391941310B3353225758413EB85AC3DC381941FB813ABA35575841B1611AAE3A39194193ADF4A835575841D3D0047116391941FEC4FC9844575841AB771B902639194168C830FC45575841D23B9E7049391941BFC40A574757584127EB25156E3919418DCEFDBF475758410497CD52A739194143BAA57047575841954046ECCE3919410E9F38D346575841F56C2685563A194118467EB443575841376086A4963A19414E07760D42575841B33AC0D7DF3A1941E63F7E943E575841FE291C90FC3A1941A65060BF3C5758415706AEAEF33A1941CE3B59C8295758416CE7307BB13A19413A94D5B313575841098329346B3A194182694DE8055758417B33FF1E593A194134E122EC025758415E901B9A323A1941B4E40BA7FE565841C4FDA9AE193A19412456C975FC56584197007F00C4391941B7467C64F6565841</t>
  </si>
  <si>
    <t>A253</t>
  </si>
  <si>
    <t>5360000A0253</t>
  </si>
  <si>
    <t>34998.73</t>
  </si>
  <si>
    <t>01060000206A0800000100000001030000000100000014000000B73C53A0183819414A458CEF485758412C9F69E81D3819410A1C64564A57584195D5BAD7283819410BFE6B3D4D57584110B3C00A41381941BC279DA953575841A9F43748D4381941677CBA5E56575841E5BB928F043A19417F1B26F55457584155251190DF3A19418FFEF9985357584103481FF6E63A19413F07800453575841DB70EF68883B19417E8246C13F5758419AFEBC61FD3A19411DA4A7103E575841B699E6BDD03A194120C50E09465758417D705BDA9F3A1941536174484A575841AE0833EC5E3A1941188A7BC54C57584128575998FB3819417BD04CC15157584164D39B72B5381941ADC65C7D5257584191C89FBD5E381941F313249D5057584119A6958A403819413D5BB0E44C5758413513D9295F381941CF75865B47575841D9B10B3E143819414F55BCC547575841B73C53A0183819414A458CEF48575841</t>
  </si>
  <si>
    <t>A254j</t>
  </si>
  <si>
    <t>5360000A0254</t>
  </si>
  <si>
    <t>B</t>
  </si>
  <si>
    <t>FEUIL</t>
  </si>
  <si>
    <t>TAIL2015</t>
  </si>
  <si>
    <t>6393.74</t>
  </si>
  <si>
    <t>01060000206A080000010000000103000000010000002000000041BB04CEB93A19415FE34C4F0F5758415D59AFD37C3A1941D75DBF9C095758416CE7307BB13A19413A94D5B3135758415706AEAEF33A1941CE3B59C829575841FE291C90FC3A1941A65060BF3C575841B33AC0D7DF3A1941E63F7E943E575841376086A4963A19414E07760D42575841F56C2685563A194118467EB443575841954046ECCE3919410E9F38D3465758410497CD52A739194143BAA5704757584127EB25156E3919418DCEFDBF47575841D23B9E7049391941BFC40A5747575841AB771B902639194168C830FC45575841D3D0047116391941FEC4FC9844575841D1E51BEC11391941A3F06B7646575841C3C9201F87381941A14A3523475758413513D9295F381941CF75865B4757584119A6958A403819413D5BB0E44C57584191C89FBD5E381941F313249D5057584164D39B72B5381941ADC65C7D5257584128575998FB3819417BD04CC151575841AE0833EC5E3A1941188A7BC54C5758417D705BDA9F3A1941536174484A575841B699E6BDD03A194120C50E09465758419AFEBC61FD3A19411DA4A7103E575841DB70EF68883B19417E8246C13F575841E728D933AF3B19417484744D3B575841C10CB670023C19412455B9DE3057584156B6C000383C194117E335C32957584157B5EA70DE3B194104F588C72357584162D6F54C9D3B1941A183088E1D57584141BB04CEB93A19415FE34C4F0F575841</t>
  </si>
  <si>
    <t>A254k</t>
  </si>
  <si>
    <t>16080.15</t>
  </si>
  <si>
    <t>01060000206A080000010000000103000000010000000B0000002C7947A8E93B1941E710C2EE155758413AEE70A3C33A19411EF062BD035758415E901B9A323A1941B4E40BA7FE5658417B33FF1E593A194134E122EC025758415D59AFD37C3A1941D75DBF9C0957584141BB04CEB93A19415FE34C4F0F57584162D6F54C9D3B1941A183088E1D57584157B5EA70DE3B194104F588C72357584150B6C000383C19410EE335C3295758418BBB709AFD3B194177D688FB1A5758412C7947A8E93B1941E710C2EE15575841</t>
  </si>
  <si>
    <t>A254l</t>
  </si>
  <si>
    <t>TAIL1990</t>
  </si>
  <si>
    <t>5274.81</t>
  </si>
  <si>
    <t>01060000206A080000010000000103000000010000000C0000005E901B9A323A1941B4E40BA7FE5658413AEE70A3C33A19411EF062BD035758412C7947A8E93B1941E710C2EE1557584127BF3D48E53B194117EA2FD314575841F7BCE6B8BC3B19417E47D3AC0A575841770DF985A63B194154C307F001575841502E3DC3573B19416A65D4FCF056584109ACA229143B194146B796F2F1565841A1EE8E12E93A1941A0917984F256584197007F00C4391941B7467C64F6565841C4FDA9AE193A19412456C975FC5658415E901B9A323A1941B4E40BA7FE565841</t>
  </si>
  <si>
    <t>A254m</t>
  </si>
  <si>
    <t>PLA2017</t>
  </si>
  <si>
    <t>7925.12</t>
  </si>
  <si>
    <t>01060000206A080000010000000103000000010000000900000050B6C000383C19410EE335C329575841EFBF9B29233D19411712759D2357584133CA6CB8273E19416542DDFA1C575841CD4399521A3E19417B7A185E15575841CE1380D7D53C1941F96FD0C315575841063584F6D63C194197EAEA71185758418ABB709AFD3B19416CD688FB1A5758419FD90204173C1941D043086A2157584150B6C000383C19410EE335C329575841</t>
  </si>
  <si>
    <t>A255</t>
  </si>
  <si>
    <t>5360000A0255</t>
  </si>
  <si>
    <t>TAIL1980</t>
  </si>
  <si>
    <t>6622.43</t>
  </si>
  <si>
    <t>01060000206A08000001000000010300000001000000100000003B68C80B8E3E1941CF2332601A575841819F90786E3E1941F3CD8591195758412CC90AD95C3E19411FDCF24317575841C0392E735E3E19411ED7347614575841B96F02DD673E19415D9DD66C13575841D8F284394B3E1941939DB3F51257584128AFEFE4E73D1941511786740F5758416CC0D843393D1941E382EB400E575841E6DAF844A43C1941B6747E8E105758412C7947A8E93B1941E710C2EE155758418ABB709AFD3B19416CD688FB1A575841063584F6D63C194197EAEA7118575841CE1380D7D53C1941F96FD0C315575841CD4399521A3E19417B7A185E1557584133CA6CB8273E19416542DDFA1C5758413B68C80B8E3E1941CF2332601A575841</t>
  </si>
  <si>
    <t>A256j</t>
  </si>
  <si>
    <t>5360000A0256</t>
  </si>
  <si>
    <t>4451.25</t>
  </si>
  <si>
    <t>01060000206A080000010000000103000000030000001B0000002C7947A8E93B1941E710C2EE15575841E6DAF844A43C1941B6747E8E105758416CC0D843393D1941E382EB400E57584128AFEFE4E73D1941511786740F575841D8F284394B3E1941939DB3F512575841B96F02DD673E19415D9DD66C13575841B24EDFDBD43E19411C86423215575841DD4CA17BD53E1941ADBC735413575841594482A4D73E19417701008009575841929CCD29DC3E1941AC873ECAF45658410C40481FDF3E19418D5BC855E55658412F252829EE3E1941EAF8437AE0565841D651C58F1B3F194124D2B407D156584155F1FC996F3F1941FED960A6CE5658412C990DF6C13F194183CDD923CC565841962F70CD5F40194192B3D853C7565841459432E2424119418CFCEFB8BD56584113D9F300B43F1941B981103EC9565841C83D5E66443F194107E4D8B3CC565841C93A2C90763E19416DB2AF97D45658411E4CA970C03D194137D17E03DC565841A7B79452F43B194152E82EC3EE5658414D2E3DC3573B19415E65D4FCF0565841780DF985A63B194146C307F001575841E3BCE6B8BC3B19417547D3AC0A57584112BF3D48E53B19410CEA2FD3145758412C7947A8E93B1941E710C2EE1557584113000000B9A6FD3BBA3D1941CDA3442C05575841849DC699A03D19417AB490450457584150948FF7863D1941C267E44402575841239F508C783D1941CA99C890FF565841426C9F89703D1941ED709329FD565841426C9F89703D194110485EC2FA565841D6DCC223723D19417DD73A28F9565841498097C07B3D1941F39DB9A7F7565841E304B391883D1941977763A7F6565841CA4B5CCB9B3D19418D40C18DF65658418BB1BED0AB3D19418D40C18DF656584106698BA4C03D1941D7F8D25AF7565841EDAF34DED33D19412AE88641F8565841D4F6DD17E73D1941BD58AADBF9565841DB0AD64EF23D1941C8940AC3FC565841DB0AD64EF23D19419C869D10FF565841FBD7244CEA3D1941D5D52878025758413A72C246DA3D19419F9019AC04575841B9A6FD3BBA3D1941CDA3442C055758410B000000C386BF8ADB3C1941C0443A620D5758414FE3EAEDD13C1941B70D98480D57584148CFF2B6C63C19415BE741480C57584141BBFA7FBB3C194150ABE1600957584141BBFA7FBB3C1941BD3ABEC6075758416FB039EBC93C19416A4B0AE006575841E96706BFDE3C1941985E356007575841AACD68C4EE3C19417EBE0CE109575841F78FF62CF53C194152B09F2E0C57584183EC2190EB3C1941B70D98480D575841C386BF8ADB3C1941C0443A620D575841</t>
  </si>
  <si>
    <t>A256k</t>
  </si>
  <si>
    <t>40385.67</t>
  </si>
  <si>
    <t>01060000206A080000010000000103000000010000000F000000CF28D933AF3B19416584744D3B5758418953D866A43C1941E18ED413405758411254775CDC3C1941FC9B0E7E50575841013B42E12C3D194149AF8DA264575841AD5BECAE753D1941851812EE635758419E1BB447B93D1941EDF0800B5C5758414312CB52D63D1941857C86AB58575841ED65D2D72A3E1941E852195E5057584145F1B229493E1941FA560AA74D575841E1567966593E1941FCE6B3EE47575841BEBEB65CC43D1941B7A2000044575841EFBF9B29233D19411712759D2357584150B6C000383C19410EE335C329575841AE0CB670023C19411B55B9DE30575841CF28D933AF3B19416584744D3B575841</t>
  </si>
  <si>
    <t>A259</t>
  </si>
  <si>
    <t>5360000A0259</t>
  </si>
  <si>
    <t>DEB_PLEIN_2018</t>
  </si>
  <si>
    <t>SN2009</t>
  </si>
  <si>
    <t>18824.26</t>
  </si>
  <si>
    <t>01060000206A0800000100000001030000000100000006000000FA1D91E18B4D1941CBBB71BDF65658415480E40A694D19417ADCA4E0F25658418DB385C24C4D19411DAE42BAEF5658416D2C6BCD024D194188191AFEF25658414D3770F6524D1941EF803683F9565841FA1D91E18B4D1941CBBB71BDF6565841</t>
  </si>
  <si>
    <t>A313</t>
  </si>
  <si>
    <t>5360000A0313</t>
  </si>
  <si>
    <t>658.78</t>
  </si>
  <si>
    <t>01060000206A080000010000000103000000010000000B000000ACCEC2DE65491941438DF301E455584110027FC27D49194113166154E8555841073400FD294A19410B8BE15A07565841A49E6D874F4A194160DEE2210E565841838977F7F54C19413047B1B2F15558413BD0FE67724C194103C0AD1EDC555841E328E701034C19414A00711CD9555841392C547C164B1941DE3C70FDDC555841CDB0BC8D9A4A19411AA73301DF55584187661DDE734A194132EB65A8DF555841ACCEC2DE65491941438DF301E4555841</t>
  </si>
  <si>
    <t>A390</t>
  </si>
  <si>
    <t>5360000A0390</t>
  </si>
  <si>
    <t>28151.57</t>
  </si>
  <si>
    <t>01060000206A08000001000000010300000001000000080000000CA59F73B13D19411A70ACFC5C5658415816A052113E1941065B8AFB59565841F0E26D710D3E19410A54074056565841C5D6595CD53D1941A1E54C1152565841611DF870F33D1941F5F199294D5658416A39AF66EB3D1941BB673D1A4D5658415C97F2DE553D1941D818620C4C5658410CA59F73B13D19411A70ACFC5C565841</t>
  </si>
  <si>
    <t>A405l</t>
  </si>
  <si>
    <t>5360000A0405</t>
  </si>
  <si>
    <t>1773.62</t>
  </si>
  <si>
    <t>01060000206A080000010000000103000000010000001F000000F687245CC53E1941519AE38160565841469890C237411941CB1822E55756584109451300AE411941BC3E5448565658415983750A544219415E63B4EE4F565841EA680A00F5421941342050B84956584114C2BE5CCD4219417B2F08C041565841C228C2C240421941A4B24921495658415958093EE841194132620580495658412A00B052BA411941A954C0F5495658419AC743F647411941CF06CEEC4B5658418C34933D224119414FA553A84C5658414FEE4E29C8401941AC2CBDDE4C5658410702CACC93401941EA9E7EB44C56584158AC2CD77E4019417709CF4C4B5658418ACFBE85494019414016CA8C4A565841CAD066521640194174009DE949565841CFF3EC47FC3F19411A0DB1BE48565841691F1671D93F1941A5B16D6D475658418652D0A4CD3F194110141C67475658416090D6CC9E3F19419364194E4756584112E66466863F19419D5E9C493F56584188FFC329683F194121C6A3803F565841B3FC5D66383F1941024D992940565841A5BA4A5C133F194140F533D33F56584103709914DB3E19414F916376425658416A39AF66EB3D1941BB673D1A4D565841611DF870F33D1941F5F199294D565841C5D6595CD53D1941A1E54C1152565841F0E26D710D3E19410A5407405656584161693A67193E194150935DCF55565841F687245CC53E1941519AE38160565841</t>
  </si>
  <si>
    <t>A406</t>
  </si>
  <si>
    <t>5360000A0406</t>
  </si>
  <si>
    <t>21236.40</t>
  </si>
  <si>
    <t>01060000206A080000010000000103000000010000001800000033333333AACD18415C8FC255CF5A5841A4703D0AABCD184148E17AE4CB5A584185EB51B8A4CD18410AD7A370CA5A5841EC51B81E99CD18410AD7A310C95A584152B81E85E0CC1841CDCCCC8CB45A5841F6285C8FB6CC1841B81E85FBAF5A58419A999999AFCC1841000000C0AE5A5841D7A3703DAECC184100000010AD5A584100000000AFCC18410AD7A340AB5A58417B14AE47B3CC1841C3F528BCA85A5841713D0AD7BACC1841666666C6A65A584166666666EACC18417B14AEA7A05A584148E17A140ACD1841EC51B8CE9C5A5841F6285C8F0ECD18410AD7A3D09B5A58415C8FC2F510CD1841D7A370CD9A5A584114AE47E113CD1841E17A14CE975A58418FC2F5281BCD184100000070975A5841A4703D0A56CD184185EB51D8935A5841AE47E17A6ECD1841AE47E19AA25A584152B81E854CCD1841E17A14DEA35A5841D7A3703DFDCC18410AD7A380A65A5841D7A3703D71CD184152B81EE5B25A58410000000060CE18418FC2F5E8CC5A584133333333AACD18415C8FC255CF5A5841</t>
  </si>
  <si>
    <t>A407</t>
  </si>
  <si>
    <t>2020000A0407</t>
  </si>
  <si>
    <t>7701.97</t>
  </si>
  <si>
    <t>01060000206A080000010000000103000000010000000C00000072FB211F9542194117CF4D910056584197264E7B55421941F1F59D59FA555841826380D7AC411941E8FD74FDFB555841A61D915279411941838ED10CFD555841C4CF66290D4019410DE0B75E065658413F17B3CDF43F194159FB9629075658415609D665B6401941638211F111565841F7237A8FD140194135C0715D12565841015FF2D73B411941321FE4E1105658418540714869411941D038A09015565841E91CE3B2FA421941D810FF6D1256584172FB211F9542194117CF4D9100565841</t>
  </si>
  <si>
    <t>A407c</t>
  </si>
  <si>
    <t>5360000A0407</t>
  </si>
  <si>
    <t>TAIL1987</t>
  </si>
  <si>
    <t>13100.09</t>
  </si>
  <si>
    <t>01060000206A08000001000000010300000001000000070000003F17B3CDF43F194159FB962907565841E080DD5CE43F1941979CEFB107565841A4E102E2D43F1941BBFB0D3E095658410621690AB23F194144659F391056584194AE73EF1B401941A44E1BAC0F5658415609D665B6401941638211F1115658413F17B3CDF43F194159FB962907565841</t>
  </si>
  <si>
    <t>A407d</t>
  </si>
  <si>
    <t>1158.02</t>
  </si>
  <si>
    <t>01060000206A0800000100000001030000000100000007000000D3C8863A46431941E746F7D611565841B6C0FFFF31431941F37910AE0D5658412D987DCD1D431941147D31930D5658416F063D5CDF4219416C396AB60056584172FB211F9542194117CF4D9100565841E91CE3B2FA421941D810FF6D12565841D3C8863A46431941E746F7D611565841</t>
  </si>
  <si>
    <t>A407e</t>
  </si>
  <si>
    <t>1246.93</t>
  </si>
  <si>
    <t>01060000206A0800000100000001030000000100000010000000C9C114C3573F1941AD4403C026565841E5E454A45D3F1941F3EE6D6D2956584135014071483F1941FF9DDB8A2A565841C5B1AACD4E3F1941522936133656584164D056F61A3F19417BCD4E013556584120BFBA3DEE3E1941F1E00D2735565841AFD0FDB8073F19419B3059883A565841A5BA4A5C133F194140F533D33F565841B3FC5D66383F1941024D99294056584188FFC329683F194121C6A3803F56584112E66466863F19419D5E9C493F5658416090D6CC9E3F19419364194E475658418652D0A4CD3F194110141C674756584107F7B6EE224019415C2443592656584149BE967101411941DA897D1B1E565841C9C114C3573F1941AD4403C026565841</t>
  </si>
  <si>
    <t>A407f</t>
  </si>
  <si>
    <t>6599.82</t>
  </si>
  <si>
    <t>01060000206A08000001000000010300000001000000270000008652D0A4CD3F194110141C6747565841691F1671D93F1941A5B16D6D47565841CFF3EC47FC3F19411A0DB1BE48565841CAD066521640194174009DE9495658418ACFBE85494019414016CA8C4A56584158AC2CD77E4019417709CF4C4B5658410702CACC93401941EA9E7EB44C5658414FEE4E29C8401941AC2CBDDE4C5658418C34933D224119414FA553A84C5658419AC743F647411941CF06CEEC4B5658412A00B052BA411941A954C0F5495658415958093EE84119413262058049565841C228C2C240421941A4B249214956584114C2BE5CCD4219417B2F08C0415658417326040BA34219410F984C6835565841841267A4E5421941E81621FC335658411D10C0A4324319414C65E3BA3456584147A524294E43194177202F8C2F5658415CB04EB82943194174330F1E2556584131D094063443194175B6981424565841C22DCC8F3D431941DF73E8212356584163AB24527943194163E2BB4E225658415497518F7643194186C52ABC205658416AC13F3E6E4319415F85E9011C565841E16B12EC5E431941AB58E5EA16565841D3C8863A46431941E746F7D611565841E91CE3B2FA421941D810FF6D125658418540714869411941D038A0901556584136FB39EC6F4119413B11CC9C175658419A20ECF57C4119414D58F3481A5658418115758F9F4119419D3B4B111A5658414A202503A5411941A18362BA1D56584166FBE8AEA9411941A1A1FC0F22565841E2FD97A44241194154AAA80028565841C831465C154119410E92B357285658412A6EC3CD034119411D8AE9512556584149BE967101411941DA897D1B1E56584107F7B6EE224019415C244359265658418652D0A4CD3F194110141C6747565841</t>
  </si>
  <si>
    <t>A407j</t>
  </si>
  <si>
    <t>36676.96</t>
  </si>
  <si>
    <t>01060000206A0800000100000001030000000100000023000000D7A3703D2CCB1841B81E852BAD5A5841C3F5285C4CCC1841C3F528CCD35A58418FC2F5289BCD184114AE4791CF5A58417B14AE47A1CD18418FC2F578CD5A5841A4703D0AA1CD184133333303CC5A5841CDCCCCCC9ECD18418FC2F548CB5A584185EB51B84DCD1841CDCCCC1CC25A5841C3F5285CABCC1841295C8F02B05A5841CDCCCCCCA5CC1841E17A14DEAE5A5841EC51B81EA1CC18411F85EB11AC5A58411F85EB51A3CC18418FC2F528AA5A5841C3F5285CA7CC1841A4703D8AA85A5841295C8FC2B1CC18415C8FC225A65A5841AE47E17AC7CC1841D7A3700DA35A5841295C8FC2FCCC1841B81E858B9C5A5841D7A3703D01CD18411F85EBC19B5A5841CDCCCCCC09CD1841713D0A07985A5841000000007ACC18419A9999C99B5A5841C3F5285C8DCC1841C3F5280C9E5A5841333333339ACC18411F85EBA19F5A58419A9999999DCC184152B81EA5A05A5841295C8FC29DCC18415C8FC285A15A58418FC2F52898CC184114AE47B1A25A5841EC51B81E85CC1841C3F528DCA45A584152B81E856CCC1841E17A142EA65A5841C3F5285C3ECC1841713D0A67A85A5841000000002BCC1841C3F5280CA95A58413D0AD7A317CC1841AE47E16AA95A584148E17A14F7CB1841CDCCCCDCA95A58418FC2F528E1CB1841666666E6A95A5841295C8FC2C9CB1841EC51B89EA95A584148E17A14AFCB1841CDCCCCFCA85A58413333333392CB18415C8FC2E5A75A5841000000002FCB18419A999929AD5A5841D7A3703D2CCB1841B81E852BAD5A5841</t>
  </si>
  <si>
    <t>A408</t>
  </si>
  <si>
    <t>2020000A0408</t>
  </si>
  <si>
    <t>16538.51</t>
  </si>
  <si>
    <t>01060000206A0800000100000001030000000100000014000000FA3319ECBD3D1941FD1C740D24565841F0F11A0BC63D194140E1D4EC245658414CBD337B143E19413B290D272C565841C5AF10D7AA3E1941CA68C55C2A5658410B3D28340D3F194136B819DE24565841A328D270333F1941F623257C27565841C9C114C3573F1941AD4403C02656584149BE967101411941DA897D1B1E565841B7089598F5401941EC5064591B56584186850A5C04411941E6926120175658415609D665B6401941638211F1115658415CA3C89922401941E7B12DA30F56584194AE73EF1B401941A44E1BAC0F5658410621690AB23F194144659F3910565841FC7404CD303F1941A347C8E51056584116D3671F1B3E1941DE281D55125658415A04DE8F2B3E1941316EDEE31A56584194684EA31E3E194146F90C341E56584116D94C1F0C3E1941BCE033F322565841FA3319ECBD3D1941FD1C740D24565841</t>
  </si>
  <si>
    <t>A408j</t>
  </si>
  <si>
    <t>5360000A0408</t>
  </si>
  <si>
    <t>15161.54</t>
  </si>
  <si>
    <t>01060000206A08000001000000010300000001000000100000004A202503A5411941A18362BA1D5658418115758F9F4119419D3B4B111A5658419A20ECF57C4119414D58F3481A56584136FB39EC6F4119413B11CC9C175658418540714869411941D038A09015565841015FF2D73B411941321FE4E110565841F7237A8FD140194135C0715D125658415609D665B6401941638211F11156584186850A5C04411941E692612017565841B7089598F5401941EC5064591B56584149BE967101411941DA897D1B1E5658412A6EC3CD034119411D8AE95125565841C831465C154119410E92B35728565841E2FD97A44241194154AAA8002856584166FBE8AEA9411941A1A1FC0F225658414A202503A5411941A18362BA1D565841</t>
  </si>
  <si>
    <t>A408k</t>
  </si>
  <si>
    <t>3043.17</t>
  </si>
  <si>
    <t>01060000206A080000010000000103000000010000000C000000CCED16AE603D19418EBFD3F312565841667C70CD6D3D1941062628EC14565841E36213196E3D1941E8763DC219565841B91849336E3D1941E1F2F96F1B565841FA3319ECBD3D1941FD1C740D2456584116D94C1F0C3E1941BCE033F32256584194684EA31E3E194146F90C341E565841283DED01E83D1941A4A45E391A5658416AB70410CE3D19412304A9C71556584111E4E3FACB3D194160A8E1931156584147A77015AE3D19412DC5E04A11565841CCED16AE603D19418EBFD3F312565841</t>
  </si>
  <si>
    <t>A409j</t>
  </si>
  <si>
    <t>5360000A0409</t>
  </si>
  <si>
    <t>TAIL1985</t>
  </si>
  <si>
    <t>2052.37</t>
  </si>
  <si>
    <t>01060000206A080000010000000103000000010000000700000094684EA31E3E194146F90C341E5658415A04DE8F2B3E1941316EDEE31A56584116D3671F1B3E1941DE281D551256584111E4E3FACB3D194160A8E193115658416AB70410CE3D19412304A9C715565841283DED01E83D1941A4A45E391A56584194684EA31E3E194146F90C341E565841</t>
  </si>
  <si>
    <t>A409k</t>
  </si>
  <si>
    <t>781.25</t>
  </si>
  <si>
    <t>01060000206A0800000100000001030000000100000008000000E49E2D33E73B1941F057DCB34656584141016515613C194129D1909258565841ACA36DB8F13C1941DF1FCEAC4B5658418D48C199EE3C1941586CEC514B565841EDD9EAC29E3C1941162D75FD44565841E542280B943C19419042730D405658417DC328EC333C1941052594E241565841E49E2D33E73B1941F057DCB346565841</t>
  </si>
  <si>
    <t>A410</t>
  </si>
  <si>
    <t>5360000A0410</t>
  </si>
  <si>
    <t>TAIL1975</t>
  </si>
  <si>
    <t>3390.79</t>
  </si>
  <si>
    <t>01060000206A0800000100000001030000000100000009000000F3C362F677391941599EA140065658414CD46F00D839194173AD301C0E56584150A4BD00613A19413A27D7B31956584185FD9E269C3A1941FDDD042F1C565841FF2D7E1D143B194108178C3A18565841649E2D9A8C3A19410324B46708565841F227C499F4391941A0B12E33F75558417E59F2285239194180EBF9AFFE555841F3C362F677391941599EA14006565841</t>
  </si>
  <si>
    <t>A413j</t>
  </si>
  <si>
    <t>5360000A0413</t>
  </si>
  <si>
    <t>SL2003</t>
  </si>
  <si>
    <t>7176.02</t>
  </si>
  <si>
    <t>01060000206A08000001000000010300000001000000060000006CDD6AD28D38194132129EE6F8555841217BE36F2738194140BB69B0F5555841534F82854138194126A95E2F0156584148F8F65C5038194108D1CCBC0756584127E9928ED738194177EFEB0E075658416CDD6AD28D38194132129EE6F8555841</t>
  </si>
  <si>
    <t>A414j</t>
  </si>
  <si>
    <t>5360000A0414</t>
  </si>
  <si>
    <t>1840.11</t>
  </si>
  <si>
    <t>01060000206A0800000100000001030000000100000007000000F3C362F677391941599EA140065658417E59F2285239194180EBF9AFFE555841F227C499F4391941A0B12E33F7555841F92FE9CCF239194102A5BDFEF65558416CDD6AD28D38194132129EE6F855584127E9928ED738194177EFEB0E07565841F3C362F677391941599EA14006565841</t>
  </si>
  <si>
    <t>A414k</t>
  </si>
  <si>
    <t>3041.76</t>
  </si>
  <si>
    <t>01060000206A080000010000000103000000010000000B000000064BC2B83338194156AEB147EF55584152604E291A3819419A56275CF0555841217BE36F2738194140BB69B0F55558416CDD6AD28D38194132129EE6F8555841F92FE9CCF239194102A5BDFEF6555841195BC146AB39194180770931F0555841BDE3BC2174391941884D8EF6ED555841DA28B2DE3D391941B0A26A1FEB555841759D6A50153919411E8DC755E855584107536290F9381941F26B98EEE6555841064BC2B83338194156AEB147EF555841</t>
  </si>
  <si>
    <t>A415j</t>
  </si>
  <si>
    <t>5360000A0415</t>
  </si>
  <si>
    <t>5065.09</t>
  </si>
  <si>
    <t>01060000206A0800000100000001030000000100000008000000F92FE9CCF239194102A5BDFEF6555841426C8A5CC5391941B0842355DE55584107536290F9381941F26B98EEE6555841759D6A50153919411E8DC755E8555841DA28B2DE3D391941B0A26A1FEB555841BDE3BC2174391941884D8EF6ED555841195BC146AB39194180770931F0555841F92FE9CCF239194102A5BDFEF6555841</t>
  </si>
  <si>
    <t>A415k</t>
  </si>
  <si>
    <t>2498.82</t>
  </si>
  <si>
    <t>01060000206A080000010000000103000000010000002000000008C26759BA3D19413C55A2FCB1555841CF3A4DC3AA3D19411819173EAD555841C8ADF3334B3E194168A5B577A855584110005E673B3E1941E3DE2E4CA4555841CAE3C829443E194196825D9FA355584171C9A1474C3E1941C562ED61A3555841E902DF8F9D3E1941F5DC6B2DA35558415B871C48FC3E1941945A9379A055584143EAAFADB83E194150BB7DBD8E5558414EAC36E2B33E194136087D7B8D555841BFDF711FC23E19418A9A160E8C555841CFFB4471A13E19415BA0EC8184555841D7E96FD71F3E1941896DFFDF78555841BC857A2A2C3D1941F164E98F73555841EB41886FDB3C1941DAEC4ECD71555841D676E266D23C194193FCE89A7155584167618CA4873C1941E716C0257355584196781C0B703C19414CBD844B7555584197C658673D3C1941FFC5A3B07755584119ED46ECF53B1941A42097827D555841DD620652CA3B19416E37AFB57E5558415AE3D114423B1941B4822275825558410F8162AEB03A19415A9D167E83555841AA5F55E1123A1941C5E657AF875558418DEC9E3D653A1941A9C17D5B925558414ECE7A669C3A1941C49B26AC9055584160A13A29AD3A1941F1756026A75558418693230BC53A19419E4684EBAA5558411AFF065D873A19414E0CE08AB25558417E46AD7BA93A1941412B3823B755584195495024523C19416935AB64AE55584108C26759BA3D19413C55A2FCB1555841</t>
  </si>
  <si>
    <t>A416a</t>
  </si>
  <si>
    <t>5360000A0416</t>
  </si>
  <si>
    <t>56382.49</t>
  </si>
  <si>
    <t>01060000206A0800000100000001030000000100000007000000799A1A8B783A19411F3B69D0C95558412B2BEB99443A1941F67A6DFDCB5558410990F1C2673A1941E49620D5D2555841B9093B5C973A19419B855698D85558417ED41492C93A1941172019CED75558410BF6F8B6C83A194156C00ACED7555841799A1A8B783A19411F3B69D0C9555841</t>
  </si>
  <si>
    <t>A416d</t>
  </si>
  <si>
    <t>856.22</t>
  </si>
  <si>
    <t>01060000206A080000010000000103000000010000000C000000E31F34750D3B1941CF7BDD20C3555841B8E4EFC7973A19417F0F5D85C85558418EABE0F5EF3A19416B927C33D7555841E321F828023B194151CD35EAD6555841D37AF75C1F3B194179E7E441DC555841E48F2CC3213B19411CB07454DF55584145CF6FE1343B194192A46AC6E05558415C8335EC3D3B19418A085208E2555841AB3D1C15413B194156CD97F9E3555841785CECE13A3B194195D795B9E45558415D5C068D423C19417F4751D3E1555841E31F34750D3B1941CF7BDD20C3555841</t>
  </si>
  <si>
    <t>A416e</t>
  </si>
  <si>
    <t>6341.44</t>
  </si>
  <si>
    <t>01060000206A080000010000000103000000020000000C0000000621690AB23F194144659F3910565841A4E102E2D43F1941BBFB0D3E09565841E080DD5CE43F1941979CEFB1075658413F17B3CDF43F194159FB962907565841BBEEA92FE33F19413123A5AE035658413BBA2971EA3E194164E3067008565841CCED16AE603D19418EBFD3F31256584147A77015AE3D19412DC5E04A1156584111E4E3FACB3D194160A8E1931156584116D3671F1B3E1941DE281D5512565841FC7404CD303F1941A347C8E5105658410621690AB23F194144659F39105658410F000000E9632A85B53F1941E6C2C2C5095658418D964F1FA73F1941843988820E565841B429D3A3DD3E194147C6BE9E0F565841D0A17C8FD13E1941F30045E10E56584163849C7BCA3E19417202E1FA0D565841870AFC85C93E1941942CDA2A0C565841A99D7D71D13E1941EFCF5E4F0A5658418E3D538FD93E19412983E7CA095658418495FD33EE3E19414DC6CBAC08565841706F963D0E3F1941F67BFE0F08565841E2D665A43E3F1941CDBC4C7107565841D4F664AE5B3F1941643CE58A0756584173741948713F194142E6A1C008565841CCC950528B3F19419D67771D0A565841E9632A85B53F1941E6C2C2C509565841</t>
  </si>
  <si>
    <t>A416j</t>
  </si>
  <si>
    <t>2632.49</t>
  </si>
  <si>
    <t>01060000206A080000010000000103000000010000001600000088C16A85EB3E194109FCF258D355584164082D67C03E1941271724E5CD555841409F29008F3E1941E389AA57C6555841198B78AE5A3E1941C87B6E2DBE5558415641E137BD3D19418D132080B255584108C26759BA3D19413C55A2FCB155584195495024523C19416935AB64AE5558417E46AD7BA93A1941412B3823B75558414F866E34AF3A1941A264D992B9555841E31F34750D3B1941CF7BDD20C35558415D5C068D423C19417F4751D3E1555841785CECE13A3B194195D795B9E45558415B9D75612B3B1941C2874A5AE5555841827243D66D3B194193468F94EF555841EDCA0671D73B1941F67F572F01565841682D0C962D3D19415C7AADB0FA55584194041C5C713D1941273955140E565841CCED16AE603D19418EBFD3F3125658413BBA2971EA3E194164E3067008565841BBEEA92FE33F19413123A5AE035658419F32F814563F194140A716CEE755584188C16A85EB3E194109FCF258D3555841</t>
  </si>
  <si>
    <t>A416kj</t>
  </si>
  <si>
    <t>DEB_LIGNE_2017</t>
  </si>
  <si>
    <t>PLA2009</t>
  </si>
  <si>
    <t>77407.78</t>
  </si>
  <si>
    <t>01060000206A0800000100000001030000000100000013000000CCED16AE603D19418EBFD3F31256584194041C5C713D1941273955140E565841682D0C962D3D19415C7AADB0FA555841EDCA0671D73B1941F67F572F015658414B5E281FE73B1941B5206CCC035658417D7FC5C2143C194175DEB05E045658413AF22DAE203C1941A843A620045658411102CDAE253C1941BE641EC503565841B4ECF9702F3C19414DFA7BD401565841D8B3873D383C19416B7E0C6E01565841B899F014663C194143D1B3A7005658418BB9CFB8773C1941812D8B72005658411A0F8614833C19417BD1D3AC00565841205C65CD943C19412EE15F0F01565841FC30BFCD993C19411875C1E500565841F537AC1FAA3C194190E0BF5500565841D7812BA4C23C1941CD54EC51005658415488D200E63C1941475BBC7E00565841CCED16AE603D19418EBFD3F312565841</t>
  </si>
  <si>
    <t>A416kk</t>
  </si>
  <si>
    <t>2331.04</t>
  </si>
  <si>
    <t>01060000206A080000010000000103000000010000001200000097264E7B55421941F1F59D59FA5558416FDEB60048421941A8C1B00EF9555841C13FA429484119411D2FFA28E05558411FFE1E0094401941220137AAE0555841DBEBF01E1E4019411759243CD3555841CA2BFF990240194161AB9DB0D0555841E339CF70EA3F194186F4633FCF555841016977B8C53F19419D350420CE555841984FA50AA13F194108E2C75CCD5558414A5289006C3F1941B961CE0CCF55584188C16A85EB3E194109FCF258D35558419F32F814563F194140A716CEE7555841BBEEA92FE33F19413123A5AE035658413F17B3CDF43F194159FB962907565841C4CF66290D4019410DE0B75E06565841A61D915279411941838ED10CFD555841826380D7AC411941E8FD74FDFB55584197264E7B55421941F1F59D59FA555841</t>
  </si>
  <si>
    <t>A417a</t>
  </si>
  <si>
    <t>5360000A0417</t>
  </si>
  <si>
    <t>24731.62</t>
  </si>
  <si>
    <t>01060000206A08000001000000010300000001000000080000006FDEB60048421941A8C1B00EF9555841EF9F1BCD66421941D3D35E86F855584132538F99724219416ED2B77EF755584115B13F9040421941716D7734E75558413AF05952D4411941342CCF23E8555841B5F5A129A541194117A64391DE555841C13FA429484119411D2FFA28E05558416FDEB60048421941A8C1B00EF9555841</t>
  </si>
  <si>
    <t>A417b</t>
  </si>
  <si>
    <t>2575.11</t>
  </si>
  <si>
    <t>01060000206A0800000100000001030000000100000016000000E1A9658FBF3A1941B8BD46517F555841C27FF4A3653B194163533CDA775558417BAB8471653C1941278892226C5558414F55F051E53C1941629AEA3166555841F31E0E0B683D1941272D162E64555841852123008A3D1941F8E253D863555841A706BE47973D1941C4AC20F5635558416B8F3F48ED3D1941972D56DF65555841486E3048613E19416C91756466555841DEAE4585093F19418C67F62867555841278614C3443F1941EA0EA800675558419CC842CD7A3F1941DB51C84C665558413F16A57BD43F1941482D698663555841062704E253401941E1D1DB7360555841FA9F11C3BC401941F658F0485E555841C78953D75D401941AF0FC8BC5E555841A9B4849AD33D19413F155398615558413E170629533D194179DCFAF861555841096A3B52633C1941428140B1625558411F5C4C333E3A1941FD8D0CDE63555841D01DC1CD193A194144A038FA63555841E1A9658FBF3A1941B8BD46517F555841</t>
  </si>
  <si>
    <t>A418</t>
  </si>
  <si>
    <t>5360000A0418</t>
  </si>
  <si>
    <t>15129.17</t>
  </si>
  <si>
    <t>01060000206A080000010000000103000000010000000D00000050388529FE3919415AC6AB778355584160C23015953A1941A5227D148155584169027D00AB3A1941A0FA753D80555841E1A9658FBF3A1941B8BD46517F555841D01DC1CD193A194144A038FA6355584114E584295E391941A59F807B64555841F3FB655C39391941F6A2CC7C645558419A3255B8AF3819418826965965555841413713797F381941C35E7FCF65555841FA584635C7381941A631DAD47255584194D39E664D3919410AEA5DC17055584116C9489A973919419C6A869B6F55584150388529FE3919415AC6AB7783555841</t>
  </si>
  <si>
    <t>A419a</t>
  </si>
  <si>
    <t>5360000A0419</t>
  </si>
  <si>
    <t>8803.02</t>
  </si>
  <si>
    <t>01060000206A080000010000000103000000010000000700000089D787C35E381941ECAE6D1F66555841A6031048483819418150615666555841BF3F16908C371941BCB32E436A5558411AE8BA5C36371941A3149D496C555841D2D194478F371941DD729A237655584102AA7E709B381941D23FD8F77055584189D787C35E381941ECAE6D1F66555841</t>
  </si>
  <si>
    <t>A419d</t>
  </si>
  <si>
    <t>3403.50</t>
  </si>
  <si>
    <t>01060000206A0800000100000001030000000100000008000000D2D194478F371941DD729A237655584156175B333C38194171F0284C895558412055AB8FAF381941E419223C88555841B7E7E7A3BC38194146790FF7875558417633C7EB78381941026FE40A74555841EF253A85A8381941A924604E7355584102AA7E709B381941D23FD8F770555841D2D194478F371941DD729A2376555841</t>
  </si>
  <si>
    <t>A419e</t>
  </si>
  <si>
    <t>DEB_LIGNE_2018</t>
  </si>
  <si>
    <t>PLA2012</t>
  </si>
  <si>
    <t>4135.95</t>
  </si>
  <si>
    <t>01060000206A080000010000000103000000010000000900000050388529FE3919415AC6AB778355584116C9489A973919419C6A869B6F55584194D39E664D3919410AEA5DC170555841482A03157C391941509472BD7A555841451AD5D810391941D780C72780555841AAB31E182E391941DA818872855558419D6FDEEB70391941CA2FC0E5835558417C710E71B3391941BA13C9A58455584150388529FE3919415AC6AB7783555841</t>
  </si>
  <si>
    <t>A420a</t>
  </si>
  <si>
    <t>5360000A0420</t>
  </si>
  <si>
    <t>2613.23</t>
  </si>
  <si>
    <t>01060000206A0800000100000001030000000100000006000000EF253A85A8381941A924604E735558417633C7EB78381941026FE40A74555841B7E7E7A3BC38194146790FF787555841467858AEE83819419726B30E875558416C8439C00F3919410A81BE2686555841EF253A85A8381941A924604E73555841</t>
  </si>
  <si>
    <t>A420c</t>
  </si>
  <si>
    <t>1378.04</t>
  </si>
  <si>
    <t>01060000206A080000010000000103000000010000000500000094D39E664D3919410AEA5DC170555841FA584635C7381941A631DAD472555841451AD5D810391941D780C72780555841482A03157C391941509472BD7A55584194D39E664D3919410AEA5DC170555841</t>
  </si>
  <si>
    <t>A420d</t>
  </si>
  <si>
    <t>1632.18</t>
  </si>
  <si>
    <t>01060000206A080000010000000103000000010000000A0000004F57CAEA8B391941F0952CD39655584152AF23009A3919414D588A52985558410F838C3DF63919412415B2BE955558418DEC9E3D653A1941A9C17D5B92555841AA5F55E1123A1941C5E657AF875558415F0CC614023A1941A4F7BA658455584158052A15AF3919412F507E9B85555841D40DBA14693919416EF3FC38855558411985520435391941F1760F8E865558414F57CAEA8B391941F0952CD396555841</t>
  </si>
  <si>
    <t>A421a</t>
  </si>
  <si>
    <t>5360000A0421</t>
  </si>
  <si>
    <t>3684.10</t>
  </si>
  <si>
    <t>01060000206A080000010000000103000000010000000A00000016792BEC4D3819410E1671DD8A55584115FA0E29BF381941A0D79FC993555841D864417BDC38194125BAB01796555841621B2E902A391941F22EDDBA9555584197D2DDB56039194196A68DDF94555841CF749CD2153919419E57445787555841276790B8D8381941E9E5E2DA885558416A7A47E18D381941EB9DE3BA8955584129CAD66646381941DA9FC3458A55584116792BEC4D3819410E1671DD8A555841</t>
  </si>
  <si>
    <t>A421c</t>
  </si>
  <si>
    <t>2331.70</t>
  </si>
  <si>
    <t>01060000206A080000010000000103000000010000001B00000097D2DDB56039194196A68DDF94555841621B2E902A391941F22EDDBA95555841D864417BDC38194125BAB0179655584115FA0E29BF381941A0D79FC99355584116792BEC4D3819410E1671DD8A555841CDADEE8FDE371941A967FB488F555841236ECB33AD371941A74C4AC1915558418AA03967923719416582308C93555841616ABBD75537194147C2D63399555841B77263333A3719412A647CE4995558414333FBFF4F3719411A4F8D42A05558412EB34F85A0371941D9962F83A85558411CFFD72524381941936A154CA9555841F96739CD35381941E07C0967A9555841B7DA0BF664381941CACD4DD1A855584164119114A5381941756A85CBA75558417B2A0BAEB4381941F075CCCCA65558412BBC7352DE3819413C08B2EEA6555841F414BF1E38391941686C0457A755584183C2875C473919414DD4BD1EA85558411210355C50391941C98F12E7A855584145D203295D391941F56D3A5AAA55584103FE365C7F3919419C88F151AB55584174A2768F8C3919414EF14E08AB555841DFB3580AA33919415BB150B8A9555841461C668DE0391941A9CF0254AC55584197D2DDB56039194196A68DDF94555841</t>
  </si>
  <si>
    <t>A422a</t>
  </si>
  <si>
    <t>5360000A0422</t>
  </si>
  <si>
    <t>12869.74</t>
  </si>
  <si>
    <t>01060000206A080000010000000103000000010000000C0000001AFF065D873A19414E0CE08AB25558418693230BC53A19419E4684EBAA55584160A13A29AD3A1941F1756026A75558414ECE7A669C3A1941C49B26AC905558418DEC9E3D653A1941A9C17D5B925558410F838C3DF63919412415B2BE9555584152AF23009A3919414D588A5298555841F1E22E1F2F3A19415CA69341B4555841F9069000433A1941C9C18C02B555584103651748553A19415011F8FFB45558416B50D1996F3A194122C66D1DB45558411AFF065D873A19414E0CE08AB2555841</t>
  </si>
  <si>
    <t>A422c</t>
  </si>
  <si>
    <t>6446.12</t>
  </si>
  <si>
    <t>01060000206A0800000100000001030000000100000006000000D2D194478F371941DD729A23765558411AE8BA5C36371941A3149D496C5558416A0C2A48C3361941430FCF9C6E555841F04FDD03203519410BF9A7FE77555841FD407D027C351941FAC115F782555841D2D194478F371941DD729A2376555841</t>
  </si>
  <si>
    <t>A424a</t>
  </si>
  <si>
    <t>5360000A0424</t>
  </si>
  <si>
    <t>6709.11</t>
  </si>
  <si>
    <t>01060000206A0800000100000001030000000100000015000000D2D194478F371941DD729A2376555841FD407D027C351941FAC115F782555841F04FDD03203519410BF9A7FE775558412C3D76EB94341941FE47851B7B5558412F1282EB2F341941FBE2FF7F7D555841046268C415341941F29EC8127E555841165D042726341941072C99CF7F555841822D897D66341941448B9BE9825558419725605AAD34194155F6D54F845558419FAF80ACF4341941A1E6019988555841FDB0507D1B35194124D5917F8D55584154046AE0223519412DC2B83A915558419860542A3535194151A7693595555841A1CBEA88403519414257358A9655584153FE280B593519413442D20C9455584171BF8F3D4E361941A5CEB89E8F555841AA0C22B90F3719411EBEB5078C555841F6EA868F553719417E3CDC5A8B555841555FDDAE26381941B363187E8955584156175B333C38194171F0284C89555841D2D194478F371941DD729A2376555841</t>
  </si>
  <si>
    <t>A424b</t>
  </si>
  <si>
    <t>16138.13</t>
  </si>
  <si>
    <t>01060000206A0800000100000001030000000100000012000000046268C415341941F29EC8127E555841A24A9329EB331941328AE4017F555841B9736C85F5321941DBE48164845558417CD4EC5CED321941083F549F84555841461075330034194149E7EE41A7555841BC14708F0B34194166903D4AA75558413FA907524A3419410464FC0FA555584175B7A5EBD0341941072560EF9F55584127ADC9520535194164071C8E9C555841A1CBEA88403519414257358A965558419860542A3535194151A769359555584154046AE0223519412DC2B83A91555841FDB0507D1B35194124D5917F8D5558419FAF80ACF4341941A1E60199885558419725605AAD34194155F6D54F84555841822D897D66341941448B9BE982555841165D042726341941072C99CF7F555841046268C415341941F29EC8127E555841</t>
  </si>
  <si>
    <t>A424c</t>
  </si>
  <si>
    <t>14291.87</t>
  </si>
  <si>
    <t>01060000206A080000010000000103000000010000002D0000008A0D7EC57D3819416F8B604EDC5658418FC2F5284D3819411F85EB01DD565841B81E85EBFF371941EC51B8DEDE5658415D09900AD237194114848D72DF5658416CB2C4CDAC37194161F2FA58DF5658416431F59987371941CE31DB4ADF565841453FB6A1763719415AC96225F056584177F536484E371941A4568174FE565841281A2FD7523719415E746866FE565841A7F1B6337738194125A88CCBFA565841601AE43DDD381941B9BD4C71F9565841793480A4DF381941B5B91BC5F8565841B26D3D00E1381941070FBE75F55658411EA62E15DC38194139A7A630F25658414FB5F47AD83819414381CB8CEF565841337D255CEA381941BD07FA18ED565841A1B3E3F506391941B0542C5CEA565841DF627FCD23391941637C01C0E9565841BC15ACEB3939194170173403EA5658417DC5F30A52391941BB9A6B56EB565841E0736CEC6A3919414456BF0EED5658412895031582391941BF95B377EF565841B4D70AA4B7391941E6B4DC83F556584197007F00C4391941B7467C64F6565841A1EE8E12E93A1941A0917984F256584109ACA229143B194146B796F2F1565841502E3DC3573B19416A65D4FCF0565841B68CD247363B1941FFD7367AEC5658416CE6BE29C63A1941351CFDEFE4565841AE1D1285473A1941834E1AA5E65658413B695748053A19410A70727DE656584197A6943DDC391941F4CF7D14E6565841A0A9B6C2CB3919415AB1DC1AE5565841FA351DCDC2391941E5CF0C3EE456584141896F8FC23919411CDE34D3E2565841FF3B5571CA3919414146B7CEE05658416BE1CC3DCA391941F30541AADF56584100C7D166A83919416A04BACEDC565841D7EBC2708039194198592BFCD9565841FE8301D76A3919412D51A0F9D8565841A833877B5F391941742ED3B3D8565841C20708520E3919417D5FFCA8D9565841250136AEE1381941DBE40F3EDA5658418EB682529738194190B8FFEFDB5658418A0D7EC57D3819416F8B604EDC565841</t>
  </si>
  <si>
    <t>A460j</t>
  </si>
  <si>
    <t>5360000A0460</t>
  </si>
  <si>
    <t>20386.27</t>
  </si>
  <si>
    <t>01060000206A080000010000000103000000010000000F0000006431F59987371941CE31DB4ADF565841B2C730A47A371941E2159DF0E3565841885833527337194151DF3B2AE5565841EC82E7E1663719416D2B161EE65658413C080EEC4637194168306A3DE7565841A606CCAE25371941560A195EE8565841566F99851A371941C7BE895BE9565841902417C30D37194154CC1A85EC565841D4EEED700E371941A6BF92B2F05658414196E25C1B3719412968B2E7F45658417F602A852A371941CFA28FC2F8565841C4A9F0853E37194161596AE6FB56584177F536484E371941A4568174FE565841453FB6A1763719415AC96225F05658416431F59987371941CE31DB4ADF565841</t>
  </si>
  <si>
    <t>A460k</t>
  </si>
  <si>
    <t>PLA2010</t>
  </si>
  <si>
    <t>1820.82</t>
  </si>
  <si>
    <t>01060000206A080000010000000103000000010000000F00000097007F00C4391941B7467C64F6565841B4D70AA4B7391941E6B4DC83F55658412895031582391941BF95B377EF565841E0736CEC6A3919414456BF0EED5658417DC5F30A52391941BB9A6B56EB565841BC15ACEB3939194170173403EA565841DF627FCD23391941637C01C0E9565841A1B3E3F506391941B0542C5CEA565841337D255CEA381941BD07FA18ED5658414FB5F47AD83819414381CB8CEF5658411EA62E15DC38194139A7A630F2565841B26D3D00E1381941070FBE75F5565841793480A4DF381941B5B91BC5F8565841601AE43DDD381941B9BD4C71F956584197007F00C4391941B7467C64F6565841</t>
  </si>
  <si>
    <t>A461</t>
  </si>
  <si>
    <t>5360000A0461</t>
  </si>
  <si>
    <t>2332.67</t>
  </si>
  <si>
    <t>01060000206A080000010000000103000000010000000A0000005497518F7643194186C52ABC20565841D4024BE2A6431941296E0D9A225658415E7D6435B64319412308786B1F565841AED04DF8B74319417A8CF1DD1A565841F797C2A8A4431941E6D976E513565841F7288E9095431941A6715EDF0E565841D3C8863A46431941E746F7D611565841E16B12EC5E431941AB58E5EA165658416AC13F3E6E4319415F85E9011C5658415497518F7643194186C52ABC20565841</t>
  </si>
  <si>
    <t>A462aj</t>
  </si>
  <si>
    <t>5360000A0462</t>
  </si>
  <si>
    <t>1318.57</t>
  </si>
  <si>
    <t>01060000206A080000010000000103000000010000000A000000D4024BE2A6431941296E0D9A2256584196D0F881E6431941CC49740925565841D41386C2F34319414EF039AA2056584195DC67B8F44319413EE6C3251B565841E4D3E02AD4431941E2D5601B0C565841F7288E9095431941A6715EDF0E565841F797C2A8A4431941E6D976E513565841AED04DF8B74319417A8CF1DD1A5658415E7D6435B64319412308786B1F565841D4024BE2A6431941296E0D9A22565841</t>
  </si>
  <si>
    <t>A462ak</t>
  </si>
  <si>
    <t>COURTE ROTATION</t>
  </si>
  <si>
    <t>CR24</t>
  </si>
  <si>
    <t>1442.83</t>
  </si>
  <si>
    <t>01060000206A0800000100000001030000000100000007000000E4D3E02AD4431941E2D5601B0C56584122F053AEC24319415F3BB6070456584113F0FB5C5E431941B9CF811B03565841B6C0FFFF31431941F37910AE0D565841D3C8863A46431941E746F7D611565841F7288E9095431941A6715EDF0E565841E4D3E02AD4431941E2D5601B0C565841</t>
  </si>
  <si>
    <t>A462b</t>
  </si>
  <si>
    <t>1589.45</t>
  </si>
  <si>
    <t>01060000206A080000010000000103000000010000000F000000E9632A85B53F1941E6C2C2C509565841CCC950528B3F19419D67771D0A56584173741948713F194142E6A1C008565841D4F664AE5B3F1941643CE58A07565841E2D665A43E3F1941CDBC4C7107565841706F963D0E3F1941F67BFE0F085658418495FD33EE3E19414DC6CBAC085658418E3D538FD93E19412983E7CA09565841A99D7D71D13E1941EFCF5E4F0A565841870AFC85C93E1941942CDA2A0C56584163849C7BCA3E19417202E1FA0D565841D0A17C8FD13E1941F30045E10E565841B429D3A3DD3E194147C6BE9E0F5658418D964F1FA73F1941843988820E565841E9632A85B53F1941E6C2C2C509565841</t>
  </si>
  <si>
    <t>A463</t>
  </si>
  <si>
    <t>5360000A0463</t>
  </si>
  <si>
    <t>1445.63</t>
  </si>
  <si>
    <t>01060000206A080000010000000103000000010000003E000000CFD92591003B19412117933035565841464A48D7743A1941D9EECEBC2F5658417BF5858DC63A19410F4F97ED205658415F5D25D7D33A194119E61E851E56584185FD9E269C3A1941FDDD042F1C56584150A4BD00613A19413A27D7B3195658414CD46F00D839194173AD301C0E565841F3C362F677391941599EA1400656584127E9928ED738194177EFEB0E0756584148F8F65C5038194108D1CCBC075658413336DF27873819414343595A085658411F2347739838194129C984F909565841A7364DBB9B3819418D057A520B5658413EDC512FD03619411FBB33E01A5658410BDE74788A3619414596815C1756584159FE561E50361941B8DC15A114565841B493AB58243619419C91A5C010565841B4132744EA3519417B10AF340C5658418C397901823519418ADD2C73065658418785456E2835194160ACBF860E565841BCF36FE5FA341941BA039703155658411838EE851C351941EC594E60195658411BD56827403519417EE7280D1C565841084068A27B3519410C5B3AB61E565841BEFB9DA6D5351941AF539C9220565841842D932F54361941B643D68B23565841387BC3B1883619414381A7372556584160D97319C93619419E304D4E2A565841A1410758803619410AC6B3DA29565841997051995936194190AEC60629565841DB521641FC35194117DE21AA275658410258332F88351941829BFC3E2656584186090D8A5E35194187B33D9D28565841A9C6071B51351941AE4E9D082B5658412CF089C839351941C56279292D565841F45495F72E3519411DFA6D93305658413E2432195835194167F563C03B5658410D5156FB5B351941A5604D6943565841A9C7E7E44E3519410F229ED3465658416D4527A0323519418D78F19F47565841610BA151A1341941AE6116D748565841ACF6A48FA93419418ABB7E5B4B565841C5F4CEAEB23419414DE60F3E4D565841AC5C4EE1CA341941F4F02DC34E5658413D265E1FE8341941B84FF4985056584157B5CA99F0341941D9A9227C5256584144BC07F6F0341941C813B1C7545658415BA1B665B0351941E5D277144E5658411A5E11B9FD351941A6FC301851565841580941DF18361941E829360754565841AB696C087B3619412441A4C95D56584132E91336CA36194147951B395C565841AD6CFCD9FB36194125EAAAB65D565841951ABCBC7037194149598E4B5A565841B364B561F43619419D3838DA4E5658417D53C061ED361941E37308CA4A565841114561680C3719413760F2364556584102D0525780371941B93B42974156584165C32D3001391941F987CCA633565841EEE59F1E59391941E76412B039565841D2D046F6AE391941C86181CA3F565841CFD92591003B19412117933035565841</t>
  </si>
  <si>
    <t>A523aj</t>
  </si>
  <si>
    <t>5360000A0523</t>
  </si>
  <si>
    <t>72594.58</t>
  </si>
  <si>
    <t>01060000206A0800000100000001030000000100000018000000608DD4C353361941807CDB33E2555841D85C2EC395321941AD8B9619C85558419C2EAAD791321941957D2D8CCB5558414D64706692321941BFBF56EFCE5558412A06315CC9321941CC1AABD7D85558417C19561FFE3219414FAF2B83DF55584110AC4AA41033194162B686CBE1555841041E49AE1433194176F87B54E3555841F7688AEB0F3319412280562FE55558414CDC6766F1321941AE296C46EB555841DAB1E466CE3219413CD3D033F55558411C17B4B8C6321941A78F31E3F75558410B53B1C2B6321941F2D2F8CFFA5558411396BBCDA7321941D19480D4FF555841BA7439799F3219412A492E28065658418C397901823519418ADD2C7306565841B21E4240D53519415620FB6D015658419632A8C5E935194156B75955FE5558410C0B761715361941FD06CA33F8555841249061F518361941CF0CDCF0F35558411192F90C213619415CE0E77DEC555841747C99BC11361941E5888F38EA555841009FE2153836194131588F5EE4555841608DD4C353361941807CDB33E2555841</t>
  </si>
  <si>
    <t>A523ak</t>
  </si>
  <si>
    <t>41006.11</t>
  </si>
  <si>
    <t>01060000206A080000010000000103000000010000000C00000077F0C90DFF35194169220F0E00565841217BE36F2738194140BB69B0F555584152604E291A3819419A56275CF0555841064BC2B83338194156AEB147EF555841608DD4C353361941807CDB33E2555841009FE2153836194131588F5EE4555841747C99BC11361941E5888F38EA5558411192F90C213619415CE0E77DEC555841249061F518361941CF0CDCF0F35558410C0B761715361941FD06CA33F85558419632A8C5E935194156B75955FE55584177F0C90DFF35194169220F0E00565841</t>
  </si>
  <si>
    <t>A523al</t>
  </si>
  <si>
    <t>9869.26</t>
  </si>
  <si>
    <t>01060000206A0800000100000001030000000100000010000000217BE36F2738194140BB69B0F555584177F0C90DFF35194169220F0E005658419632A8C5E935194156B75955FE555841B21E4240D53519415620FB6D015658418C397901823519418ADD2C7306565841B4132744EA3519417B10AF340C565841B493AB58243619419C91A5C01056584159FE561E50361941B8DC15A1145658410BDE74788A3619414596815C175658413EDC512FD03619411FBB33E01A565841A7364DBB9B3819418D057A520B5658411F2347739838194129C984F9095658413336DF27873819414343595A0856584148F8F65C5038194108D1CCBC07565841534F82854138194126A95E2F01565841217BE36F2738194140BB69B0F5555841</t>
  </si>
  <si>
    <t>A523b</t>
  </si>
  <si>
    <t>PLA2015</t>
  </si>
  <si>
    <t>16385.88</t>
  </si>
  <si>
    <t>01060000206A0800000100000001030000000100000032000000BA7439799F3219412A492E2806565841C284AA489E321941D6E3329F0956584174363A489D321941B48652880C56584111A041E1973219414DA0736D0E5658418E1365E182321941C1C26BCD105658419D93BE00823219413B66CE7C13565841BF6DAC7B8D321941B6E8EB6114565841D615F3339F321941F7BF3ABA145658418251F985B6321941807D79D4145658410D6FBC3DC3321941AC13F48815565841B115E75CCF321941B47C639F1A565841F092E4E1DE3219419197F0082156584198CA4F5C12331941DD200000245658411A349CA463331941AF6F10EE27565841BFB80A487D33194100FA6AAD285658413F4C9514B6331941EE9C614F295658413CAF62ECCC331941BC0CF6482A565841B4042867D8331941F32E67062B565841A3010B52F233194154E54F582F565841E6E257291D3419414805DCBA33565841473DC2852E34194146D722C53556584179F0153433341941759E993938565841A633774832341941B16805973A565841DF2BCB3D38341941508A5A1F3C5658411533BC3D8E3419419FD39F504656584112784AA49F341941480BDB5348565841610BA151A1341941AE6116D7485658416D4527A0323519418D78F19F47565841A9C7E7E44E3519410F229ED3465658410D5156FB5B351941A5604D69435658413E2432195835194167F563C03B565841F45495F72E3519411DFA6D93305658412CF089C839351941C56279292D565841A9C6071B51351941AE4E9D082B56584186090D8A5E35194187B33D9D285658410258332F88351941829BFC3E26565841DB521641FC35194117DE21AA27565841997051995936194190AEC60629565841A1410758803619410AC6B3DA2956584160D97319C93619419E304D4E2A565841387BC3B1883619414381A73725565841842D932F54361941B643D68B23565841BEFB9DA6D5351941AF539C9220565841084068A27B3519410C5B3AB61E5658411BD56827403519417EE7280D1C5658411838EE851C351941EC594E6019565841BCF36FE5FA341941BA039703155658418785456E2835194160ACBF860E5658418C397901823519418ADD2C7306565841BA7439799F3219412A492E2806565841</t>
  </si>
  <si>
    <t>A523c</t>
  </si>
  <si>
    <t>SL1988</t>
  </si>
  <si>
    <t>32690.52</t>
  </si>
  <si>
    <t>01060000206A080000010000000103000000010000003500000002D0525780371941B93B429741565841114561680C3719413760F236455658417D53C061ED361941E37308CA4A565841B364B561F43619419D3838DA4E565841951ABCBC7037194149598E4B5A565841AD6CFCD9FB36194125EAAAB65D56584132E91336CA36194147951B395C565841AB696C087B3619412441A4C95D565841580941DF18361941E8293607545658411A5E11B9FD351941A6FC3018515658415BA1B665B0351941E5D277144E56584144BC07F6F0341941C813B1C75456584176B0A05CF13419411FB782545756584106810371143519417A29E2EA5A565841BD2148671D351941A1A4F7F85B5658410001D57A22351941CD841277605658415D8C60AE293519417CCFDBEA615658412A61EA3D33351941A4F7A0A962565841305E17CD45351941C089DC436456584117A68E9A4B3519419EF5BC3E655658410442D5974B351941E94D21A865565841AE5FA9854B35194141FB2D7C6856584198F9FCD644351941538131F369565841B7BF782920351941E5AD457A6D565841B79B4ACDFD3419417C1F8E22735658410806C3C2E0341941B2CC0F07775658412EC3A499D434194186D6DE7A79565841D9ECA929DD341941815DF7B87B5658418F4322F6F03419418EFE94997D5658416FDEC13D0E3519418BB04D987F5658411786EB85243519416A2C04D780565841319215B92E35194107B445818156584129433A5F38351941F523F80E83565841955D4001993519418A5CD41B82565841D8FA27C24C3619415EC84BD48456584174FCF80B213719413FB887837F565841B3CFA206C0371941DDBB877B83565841AFF6C2A3433B1941D1B65BFA7156584130110A50853B19412CB0BDBB75565841A0A21685933C1941B00FB2876E565841E1ACCB857E3C1941796AD36C6B565841231DD633523C1941C1F349316A565841F5A2300B583C194151567F3B67565841BF2363710E3C1941AFCD81DB5E565841E3AEEEEB603C194190C218555B56584141016515613C194129D1909258565841E49E2D33E73B1941F057DCB346565841D6C69B66BB3B1941CCADDD7A3C565841CFD92591003B19412117933035565841D2D046F6AE391941C86181CA3F565841EEE59F1E59391941E76412B03956584165C32D3001391941F987CCA63356584102D0525780371941B93B429741565841</t>
  </si>
  <si>
    <t>A523d</t>
  </si>
  <si>
    <t>105160.33</t>
  </si>
  <si>
    <t>01060000206A080000010000000103000000010000005D000000921DA01862381941EF92FD61D6565841C7B1F39A9A38194118248A75D6565841D0971928AF381941554BE864DB565841250136AEE1381941DBE40F3EDA565841C20708520E3919417D5FFCA8D9565841A833877B5F391941742ED3B3D8565841FE8301D76A3919412D51A0F9D8565841D7EBC2708039194198592BFCD956584100C7D166A83919416A04BACEDC5658416BE1CC3DCA391941F30541AADF565841FF3B5571CA3919414146B7CEE056584141896F8FC23919411CDE34D3E2565841FA351DCDC2391941E5CF0C3EE4565841A0A9B6C2CB3919415AB1DC1AE556584197A6943DDC391941F4CF7D14E65658413B695748053A19410A70727DE6565841AE1D1285473A1941834E1AA5E65658416CE6BE29C63A1941351CFDEFE4565841B68CD247363B1941FFD7367AEC5658419932BE1FF13B1941EAC6074FE45658410C197B8B763D194196E6D312DA5658411B4CA970C03D194141D17E03DC565841DF3A2C90763E19417AB2AF97D4565841C13D5E66443F194111E4D8B3CC5658410AD9F300B43F1941C381103EC9565841459432E2424119419CFCEFB8BD565841A9078DD751421941B0FD2EBCB2565841A508835C5A4319416F2C28ECA75658416ED7F54C994019418DCC107189565841400A98DB474019413B2CB55A8B565841B8458F2B19401941AEDA774E8E5658418E6C51FBED3F194163A26A9E8F5658411C054B60B83F1941AE71F0FA8F56584192ECC9808A3F19417443D2A790565841CBE534076C3F1941F0AD55A39156584122B1F4544D3F19410DE1A8809156584105DB9E332C3F1941C4BBFD0192565841CFA8D4911A3F1941A2ABBB4C93565841CA4FC956F73E194118CA190B96565841B5DB3033DE3E1941BF8DCC23985658415AAAC4ACF03D1941719AD32798565841676034E4753D1941447B4795985658412B74B4719C3C1941106BB8069E5658410A6C2026363C1941123F63BEA056584157A663561C3C1941B2AFF26AA05658414E076E48FA3B19414B516FA29F56584129C2758DCB3B19411ED22E159E565841AFD928269B3B19413AA11BFE9B565841E373943D6A3B194188B112469A565841C57FF8DC293B1941309693ED97565841DA878135033B194172686B5C96565841CF03ED4FEE3A1941AFDC1E249456584194F1125AB83A19411889DBBE92565841773E287E993A19418832B3CF91565841457ED1F7723A1941129324E29056584146F82D2A303A1941ED42B72D8F565841DE77F2F7F439194157CFFB258D565841DE3A05A5C6391941022E5D968B565841AEEB327298391941124458AA8A5658413BDC53866F391941C3169D898A565841AC69277925391941FE4368EA8A565841857A3D7513391941B4D8D0038B565841E6C20EFEF1381941B34A556283565841009FE84986381941603049F58256584181F4D7C303381941749FDE4D8756584182184DF8F7371941C1978D0E8B5658414A0F323ED9371941B406572D8B565841A025012A57371941D791BA8E8C56584183439681E8361941589E0BE18F56584141878233FC3619417DE3CBAC90565841AFAA78CD33371941E96206A09156584126D5B729563719414AE8C8C592565841089FC58F6837194140800D97935658416CC9D53D72371941197A94E294565841F15CDA66713719411C80C0AE9756584169B068A46D37194152D0A2F09B565841485E6E6676371941B4AD98499F56584146E0BE85833719416AF2E2AAA2565841BB05DF008C37194170A33913A8565841CB8953909B371941BEC8F191AE565841DE60D4C2A7371941EC15FB28B4565841889F87AEA83719412C9468F6B6565841A645065DA0371941BED561F6B95658416A882F29B037194185E5553FBE56584136397B71B2371941EC945FCFC05658411124C83DAD371941FDB85EFFCA565841FD24D466A7371941FD71C82CD2565841CD239D52AA3719412F308EC2DB5658416CB2C4CDAC37194161F2FA58DF5658415D09900AD237194114848D72DF565841224304D0CB371941F99F176EDA565841D0F210562C381941DF9A25D9D5565841921DA01862381941EF92FD61D6565841</t>
  </si>
  <si>
    <t>A523j</t>
  </si>
  <si>
    <t>186531.48</t>
  </si>
  <si>
    <t>01060000206A0800000100000001030000000100000007000000B68CD247363B1941FFD7367AEC565841502E3DC3573B19416A65D4FCF0565841C1B79452F43B19415CE82EC3EE5658411B4CA970C03D194141D17E03DC5658410C197B8B763D194196E6D312DA5658419932BE1FF13B1941EAC6074FE4565841B68CD247363B1941FFD7367AEC565841</t>
  </si>
  <si>
    <t>A523k</t>
  </si>
  <si>
    <t>4570.86</t>
  </si>
  <si>
    <t>01060000206A080000010000000103000000010000000B000000D0971928AF381941554BE864DB565841C7B1F39A9A38194118248A75D6565841921DA01862381941EF92FD61D6565841D0F210562C381941DF9A25D9D5565841224304D0CB371941F99F176EDA5658415D09900AD237194114848D72DF565841B81E85EBFF371941EC51B8DEDE5658418FC2F5284D3819411F85EB01DD5658418A0D7EC57D3819416F8B604EDC5658418EB682529738194190B8FFEFDB565841D0971928AF381941554BE864DB565841</t>
  </si>
  <si>
    <t>A523l</t>
  </si>
  <si>
    <t>1395.04</t>
  </si>
  <si>
    <t>01060000206A0800000100000001030000000100000031000000880BDE9C26441941D26622E676565841019786C8F3431941DCDB77D1785658418BF4AA8028441941086879ED7E565841A3167F28C3431941C4D2C47B835658410F2F9F0A8743194118F37507865658412EB10BEE5B431941D6CF979082565841389138A6B1411941855AD03293565841FEE488B57343194119E0A2E3A656584191A24DCD77431941F934F2B8A6565841B5052F5283431941B998F83FA65658419493EFCC5C4719413163F3C17E565841036E8FCA0C4A19415AE7FF0F635658413ED79858C94919414C95044C50565841BDBB09B4B9491941F199A7BF4B5658417CAD83A95E491941C240CB6431565841DB115B5C0E49194176797B331A565841A49E6D874F4A194160DEE2210E565841073400FD294A19410B8BE15A07565841F91B1A48A0471941DFE397F91F565841EF6C49CC69471941FE63BA611E5658412D621DABC1461941C5601A2125565841151996EA5D46194138649B5325565841B7C0D44EE0451941AD1EE48029565841D142D54A064619411EF734AE2A5658411F3ED545524619419D59C69A2F565841B43D44476846194192C2519431565841476188559A46194180220527375658416FE5FC2D41461941D66E025F3A5658412AAABA0F0B461941A4B69F843656584198EAD591C1441941E520CDFC37565841BAD30015C043194134A1B4A440565841C105E6D63E431941AE46EE493D56584114C2BE5CCD4219417B2F08C041565841EA680A00F5421941342050B8495658417DBBC62DF5421941624D19C349565841028EFBF74E43194100DBC28E45565841122FE2ED87431941B8299B894A565841F9F9880A6943194133FC5B4B4C5658414E78C9AC7A431941084CCB2E5656584175EA003BC34319414F5A63F857565841027A2E61224419418BB3B8725A5658410DB5506A5F441941E1AA04945C56584173176D319C441941D9211B155D565841CC86A993E0441941ED3682AA5E5658411D0B2EF943451941FCF6358A60565841B331C05C7C451941FDD574006356584105C0C031CD451941B9467E32645658411703D13A06461941CD39D48764565841880BDE9C26441941D26622E676565841</t>
  </si>
  <si>
    <t>A523m</t>
  </si>
  <si>
    <t>143615.95</t>
  </si>
  <si>
    <t>01060000206A080000010000000103000000010000001C000000E4D3E02AD4431941E2D5601B0C56584195DC67B8F44319413EE6C3251B565841D41386C2F34319414EF039AA2056584196D0F881E6431941CC49740925565841FE6963127A44194142CB18F523565841798494C7E5441941CE73727026565841FD060E375E45194144506FF927565841B7C0D44EE0451941AD1EE48029565841151996EA5D46194138649B53255658412D621DABC1461941C5601A2125565841EF6C49CC69471941FE63BA611E565841F91B1A48A0471941DFE397F91F565841073400FD294A19410B8BE15A0756584110027FC27D49194113166154E8555841837C1638B94719417CE145D3F85558415090D8F19A471941189C312AF7555841DC6D48895347194155E957B3F555584146B9AB9821471941ACB4D506F35558416AB088C2D746194118B2EFA6F055584109973092C5461941500D268BEF5558419B12D56E924619417C10105EEE555841B396454E7A46194161A54A25EE555841522B2F0C414619418F5BA63FF155584151A223E3114619410B9B92CDF4555841527F94F2B045194125D4DD10F95558415CBD15AD6745194100F61218FC555841E821ACA389441941800C9FE804565841E4D3E02AD4431941E2D5601B0C565841</t>
  </si>
  <si>
    <t>A523n</t>
  </si>
  <si>
    <t>62068.76</t>
  </si>
  <si>
    <t>01060000206A0800000100000001030000000100000035000000624C3B06C5431941A8B0DC1C05565841E4D3E02AD4431941E2D5601B0C565841E821ACA389441941800C9FE8045658415CBD15AD6745194100F61218FC555841527F94F2B045194125D4DD10F955584151A223E3114619410B9B92CDF4555841522B2F0C414619418F5BA63FF1555841B396454E7A46194161A54A25EE5558419B12D56E924619417C10105EEE55584109973092C5461941500D268BEF5558416AB088C2D746194118B2EFA6F055584146B9AB9821471941ACB4D506F3555841DC6D48895347194155E957B3F55558415090D8F19A471941189C312AF7555841837C1638B94719417CE145D3F855584110027FC27D49194113166154E8555841ACCEC2DE65491941438DF301E455584122558C601E491941E43C4DA5D7555841BE8E03E3FE48194137E73AB4CC5558419B6B9C5EDB4819417C2AC37AC05558418118575EB148194119747FBCB2555841D5C1D2ED6E481941AFD899DB9C5558410B94FDF19D481941FAD0B48690555841C6B7604B37471941CE01F4D38B555841BFAB83560B45194107D0F1E690555841899A187FA9421941633BF805975558418F6928C507411941D7D1B58B9E555841C2727A20D740194119626D939E5558415B871C48FC3E1941945A9379A0555841E902DF8F9D3E1941F5DC6B2DA355584171C9A1474C3E1941C562ED61A3555841CAE3C829443E194196825D9FA355584110005E673B3E1941E3DE2E4CA4555841C8ADF3334B3E194168A5B577A8555841CF3A4DC3AA3D19411819173EAD5558410EBDFA18D13D1941DF62AFCFAE555841C907B8EFCB3F1941B65C71DDC8555841158853872F401941D919ED62CB5558411A4992BF75401941D7F74C6ACC55584187D2441634411941112E37A3CD5558418DC4A005EA4119414CB7FAEFCF55584143E4BF3644421941888A86AFD0555841151F3BF21B4319417B757E97C855584154674B4A6143194191991965CC5558419F4A5AB89D4319417FAAB119D3555841BE7E4460E7431941CE60CA89DA555841494C84E331441941638847F7E85558410CC7EE403F441941FCF549C2EB555841764876A7354419417C921155EF555841EF05CF923C4419412ADE58EAF2555841227155D942441941EF8AC61AFD55584194F14C33344419419A078EE400565841624C3B06C5431941A8B0DC1C05565841</t>
  </si>
  <si>
    <t>A523o</t>
  </si>
  <si>
    <t>197976.97</t>
  </si>
  <si>
    <t>01060000206A08000001000000010300000001000000430000001C0BB400814319415D779BC85B555841D92FB614F94219411BC5D7635C555841E66B482922421941A51EF0415D555841B5B4C41EED4019415E802C935E5558412C85553E5C40194141A65B5F615558415E81D185F63F19413CDD817B63555841B7BC1067753F1941992DC795675558412F73841F633F19417F524B98675558411C8B4633243F194172A14C1168555841FE7BF3008B3E19411F68829467555841BE41A8AEE73D19410BC497D9665558410658D20AB23D1941FC1A42A965555841888322F6993D1941A32A9F206555584135FA6D1F853D19416F8BC5DC6455584187680BB91D3D19411778854B66555841F326E333EA3C194168AB6846675558416A6517D7573C1941D3C174246E555841E4E0F028713B1941899EDEAA78555841349DC959523B19417B48A9107A5558412480A333B23A19414C02775481555841B436391F9E3A194196D7A7D081555841760B8AE13A3A194197D49292835558415F0CC614023A1941A4F7BA6584555841AA5F55E1123A1941C5E657AF875558410F8162AEB03A19415A9D167E835558415AE3D114423B1941B482227582555841DD620652CA3B19416E37AFB57E55584119ED46ECF53B1941A42097827D55584197C658673D3C1941FFC5A3B07755584196781C0B703C19414CBD844B7555584167618CA4873C1941E716C02573555841D676E266D23C194193FCE89A71555841EB41886FDB3C1941DAEC4ECD71555841BC857A2A2C3D1941F164E98F73555841D7E96FD71F3E1941896DFFDF785558419A809736D73E194137273B0B7755584100C1EE32533F1941DDA399B17855584125C105BDA43F194113C0FA0E80555841CC2AE94AB13F194157767FA18B555841652CEBBEE53F1941434131168E555841D06F9DC3CC3F194154EEA1B4945558416FACC17F833F1941409BBF2F9655584182FA330D393F194139548BDE995558415B871C48FC3E1941945A9379A0555841C2727A20D740194119626D939E5558418F6928C507411941D7D1B58B9E555841899A187FA9421941633BF80597555841BFAB83560B45194107D0F1E690555841C6B7604B37471941CE01F4D38B5558410B94FDF19D481941FAD0B486905558411C69FF70DD481941E1CF70DF7F5558413069DF3417491941CC96C1E87055584124ADA4BF724919410689A63559555841230F18DBD04919411646C1034155584156417B69E84919418731D2EF3A5558414ECD6E71C04A194132B347013655584149E9BD0A764A1941FBDBA480365558418A9221340B4A19419461226C38555841E509C88FAF4919419B3104B03A5558415D6FFAA3E2481941B463883240555841AA92C0EB5D47194197BE35D34A555841A655E6009B4619417C900F5E505558413BB128345A461941E849864B525558411CDFFC14A3451941661AA210575558418D657C9A3B451941BEC28C0B5A5558410D41F747084419411ED90C2E5B5558411C0BB400814319415D779BC85B555841</t>
  </si>
  <si>
    <t>A523p</t>
  </si>
  <si>
    <t>170575.90</t>
  </si>
  <si>
    <t>01060000206A080000010000000103000000010000004300000071FF9A14473E194124D8A9C06F565841EB3B618F303E19416A64CAD570565841E2F5E5C28F3D1941B0E33BCA6F5658416C80495C943D19414A16C70C71565841F18E460AC83C194125F2C84C76565841A0A21685933C1941B00FB2876E56584130110A50853B19412CB0BDBB75565841AFF6C2A3433B1941D1B65BFA71565841B3CFA206C0371941DDBB877B8356584174FCF80B213719413FB887837F565841D8FA27C24C3619415EC84BD484565841955D4001993519418A5CD41B8256584129433A5F38351941F523F80E8356584174FF9DA43B3519413988C9958356584143FB629A4135194151BFEFA1855658418C2F323E4B3519416BCD60A6865658417F82A3D76A351941A6831DA5885658410A6462C37A3519416242FC9F89565841027737AEA7351941A3739CD08A565841F5DFB63DDF35194132F455888B565841A634A56612361941C7E3105E8C5658410D3DED2874361941988947D18C565841F30C079090361941AB614C318D565841E66C4215AB361941D0CA3FBA8D56584175421752C6361941F32E5D7F8E56584183439681E8361941589E0BE18F565841A025012A57371941D791BA8E8C5658414A0F323ED9371941B406572D8B56584182184DF8F7371941C1978D0E8B56584181F4D7C303381941749FDE4D87565841009FE84986381941603049F582565841E6C20EFEF1381941B34A556283565841857A3D7513391941B4D8D0038B565841AC69277925391941FE4368EA8A5658413BDC53866F391941C3169D898A565841AEEB327298391941124458AA8A565841DE3A05A5C6391941022E5D968B565841DE77F2F7F439194157CFFB258D56584146F82D2A303A1941ED42B72D8F565841457ED1F7723A1941129324E290565841773E287E993A19418832B3CF9156584194F1125AB83A19411889DBBE92565841CF03ED4FEE3A1941AFDC1E2494565841DA878135033B194172686B5C96565841C57FF8DC293B1941309693ED97565841E373943D6A3B194188B112469A565841AFD928269B3B19413AA11BFE9B56584129C2758DCB3B19411ED22E159E5658414E076E48FA3B19414B516FA29F56584157A663561C3C1941B2AFF26AA05658410A6C2026363C1941123F63BEA05658412B74B4719C3C1941106BB8069E565841676034E4753D1941447B4795985658415AAAC4ACF03D1941719AD32798565841B5DB3033DE3E1941BF8DCC2398565841CA4FC956F73E194118CA190B96565841CFA8D4911A3F1941A2ABBB4C9356584105DB9E332C3F1941C4BBFD019256584122B1F4544D3F19410DE1A88091565841CBE534076C3F1941F0AD55A39156584192ECC9808A3F19417443D2A7905658411C054B60B83F1941AE71F0FA8F5658418E6C51FBED3F194163A26A9E8F565841B8458F2B19401941AEDA774E8E565841400A98DB474019413B2CB55A8B5658416ED7F54C994019418DCC10718956584171FF9A14473E194124D8A9C06F565841</t>
  </si>
  <si>
    <t>A523q</t>
  </si>
  <si>
    <t>66243.00</t>
  </si>
  <si>
    <t>01060000206A080000010000000103000000010000001D0000002EB10BEE5B431941D6CF9790825658410F2F9F0A8743194118F3750786565841A3167F28C3431941C4D2C47B835658418BF4AA8028441941086879ED7E565841019786C8F3431941DCDB77D178565841880BDE9C26441941D26622E6765658411703D13A06461941CD39D4876456584105C0C031CD451941B9467E3264565841B331C05C7C451941FDD57400635658411D0B2EF943451941FCF6358A60565841CC86A993E0441941ED3682AA5E56584173176D319C441941D9211B155D5658410DB5506A5F441941E1AA04945C565841027A2E61224419418BB3B8725A56584175EA003BC34319414F5A63F8575658414E78C9AC7A431941084CCB2E56565841F9F9880A6943194133FC5B4B4C565841AC92B41E04431941C8F38997505658415BE92E91CF421941CCACA4CA4B5658417DBBC62DF5421941624D19C349565841EA680A00F5421941342050B8495658415983750A544219415E63B4EE4F56584109451300AE411941BC3E544856565841469890C237411941CB1822E557565841F687245CC53E1941519AE38160565841303D1B341A3F19418AE792C9655658415BCFE0C2653E19416DEA0E476E565841389138A6B1411941855AD032935658412EB10BEE5B431941D6CF979082565841</t>
  </si>
  <si>
    <t>A523r</t>
  </si>
  <si>
    <t>69963.49</t>
  </si>
  <si>
    <t>01060000206A080000010000000103000000010000000F000000D7E96FD71F3E1941896DFFDF78555841CFFB4471A13E19415BA0EC8184555841BFDF711FC23E19418A9A160E8C5558414EAC36E2B33E194136087D7B8D55584143EAAFADB83E194150BB7DBD8E5558415B871C48FC3E1941945A9379A055584182FA330D393F194139548BDE995558416FACC17F833F1941409BBF2F96555841D06F9DC3CC3F194154EEA1B494555841652CEBBEE53F1941434131168E555841CC2AE94AB13F194157767FA18B55584125C105BDA43F194113C0FA0E8055584100C1EE32533F1941DDA399B1785558419A809736D73E194137273B0B77555841D7E96FD71F3E1941896DFFDF78555841</t>
  </si>
  <si>
    <t>A523s</t>
  </si>
  <si>
    <t>9180.44</t>
  </si>
  <si>
    <t>01060000206A080000010000000103000000010000000B00000032538F99724219416ED2B77EF7555841EF9F1BCD66421941D3D35E86F85558416FDEB60048421941A8C1B00EF955584197264E7B55421941F1F59D59FA55584172FB211F9542194117CF4D91005658416F063D5CDF4219416C396AB6005658412D987DCD1D431941147D31930D565841B6C0FFFF31431941F37910AE0D56584113F0FB5C5E431941B9CF811B0356584179A76B8B29431941A092A53CF755584132538F99724219416ED2B77EF7555841</t>
  </si>
  <si>
    <t>A523v</t>
  </si>
  <si>
    <t>2939.82</t>
  </si>
  <si>
    <t>01060000206A080000010000000103000000010000002900000088C16A85EB3E194109FCF258D35558414A5289006C3F1941B961CE0CCF555841984FA50AA13F194108E2C75CCD555841016977B8C53F19419D350420CE555841E339CF70EA3F194186F4633FCF555841CA2BFF990240194161AB9DB0D0555841DBEBF01E1E4019411759243CD35558411FFE1E0094401941220137AAE0555841C13FA429484119411D2FFA28E0555841B5F5A129A541194117A64391DE5558413AF05952D4411941342CCF23E855584115B13F9040421941716D7734E755584132538F99724219416ED2B77EF755584179A76B8B29431941A092A53CF755584113F0FB5C5E431941B9CF811B0356584122F053AEC24319415F3BB60704565841624C3B06C5431941A8B0DC1C0556584194F14C33344419419A078EE400565841227155D942441941EF8AC61AFD555841EF05CF923C4419412ADE58EAF2555841764876A7354419417C921155EF5558410CC7EE403F441941FCF549C2EB555841494C84E331441941638847F7E8555841BE7E4460E7431941CE60CA89DA5558419F4A5AB89D4319417FAAB119D355584154674B4A6143194191991965CC555841151F3BF21B4319417B757E97C855584143E4BF3644421941888A86AFD05558418DC4A005EA4119414CB7FAEFCF55584187D2441634411941112E37A3CD5558411A4992BF75401941D7F74C6ACC555841158853872F401941D919ED62CB555841C907B8EFCB3F1941B65C71DDC85558410EBDFA18D13D1941DF62AFCFAE555841CF3A4DC3AA3D19411819173EAD55584108C26759BA3D19413C55A2FCB15558415641E137BD3D19418D132080B2555841198B78AE5A3E1941C87B6E2DBE555841409F29008F3E1941E389AA57C655584164082D67C03E1941271724E5CD55584188C16A85EB3E194109FCF258D3555841</t>
  </si>
  <si>
    <t>A523w</t>
  </si>
  <si>
    <t>38428.61</t>
  </si>
  <si>
    <t>01060000206A080000010000000103000000010000001A00000096D0F881E6431941CC49740925565841D4024BE2A6431941296E0D9A225658415497518F7643194186C52ABC2056584163AB24527943194163E2BB4E22565841C22DCC8F3D431941DF73E8212356584131D094063443194175B69814245658415CB04EB82943194174330F1E2556584147A524294E43194177202F8C2F5658411D10C0A4324319414C65E3BA34565841841267A4E5421941E81621FC335658417326040BA34219410F984C683556584114C2BE5CCD4219417B2F08C041565841C105E6D63E431941AE46EE493D565841BAD30015C043194134A1B4A44056584198EAD591C1441941E520CDFC375658412AAABA0F0B461941A4B69F84365658416FE5FC2D41461941D66E025F3A565841476188559A4619418022052737565841B43D44476846194192C25194315658411F3ED545524619419D59C69A2F565841D142D54A064619411EF734AE2A565841B7C0D44EE0451941AD1EE48029565841FD060E375E45194144506FF927565841798494C7E5441941CE73727026565841FE6963127A44194142CB18F52356584196D0F881E6431941CC49740925565841</t>
  </si>
  <si>
    <t>A523x</t>
  </si>
  <si>
    <t>17601.92</t>
  </si>
  <si>
    <t>01060000206A0800000100000001030000000100000004000000F5A2300B583C194151567F3B67565841231DD633523C1941C1F349316A565841E1ACCB857E3C1941796AD36C6B565841F5A2300B583C194151567F3B67565841</t>
  </si>
  <si>
    <t>A525</t>
  </si>
  <si>
    <t>5360000A0525</t>
  </si>
  <si>
    <t>69.20</t>
  </si>
  <si>
    <t>01060000206A0800000100000001030000000100000008000000E853E0C2993D1941B659B28E6A565841EAE560C3793D194130CA370A6B565841E2F5E5C28F3D1941B0E33BCA6F565841EB3B618F303E19416A64CAD57056584171FF9A14473E194124D8A9C06F565841D5BFCA9EEA3D19415CD0C9486A565841C1BD0CE7E43D1941D255EBBC69565841E853E0C2993D1941B659B28E6A565841</t>
  </si>
  <si>
    <t>A528j</t>
  </si>
  <si>
    <t>5360000A0528</t>
  </si>
  <si>
    <t>916.11</t>
  </si>
  <si>
    <t>01060000206A080000010000000103000000010000000A0000005BCFE0C2653E19416DEA0E476E565841303D1B341A3F19418AE792C965565841F687245CC53E1941519AE3816056584161693A67193E194150935DCF55565841F0E26D710D3E19410A540740565658415816A052113E1941065B8AFB595658410CA59F73B13D19411A70ACFC5C56584144862519D93D1941EC072F7D65565841F2F90E92023E19419AAB3164695658415BCFE0C2653E19416DEA0E476E565841</t>
  </si>
  <si>
    <t>A528m</t>
  </si>
  <si>
    <t>4428.79</t>
  </si>
  <si>
    <t>01060000206A0800000100000001030000000100000006000000E2F5E5C28F3D1941B0E33BCA6F565841EAE560C3793D194130CA370A6B565841A0A21685933C1941B00FB2876E565841F18E460AC83C194125F2C84C765658416C80495C943D19414A16C70C71565841E2F5E5C28F3D1941B0E33BCA6F565841</t>
  </si>
  <si>
    <t>A531</t>
  </si>
  <si>
    <t>5360000A0531</t>
  </si>
  <si>
    <t>1672.87</t>
  </si>
  <si>
    <t>01060000206A0800000100000001030000000100000006000000B654F6D7CD4819414F51E02A93565841C97AD3D7AB49194156401C2EA556584112084690264A1941EDAC4D389D5658411A2E0786494A1941E46060F69A5658413F4D117196491941229708A788565841B654F6D7CD4819414F51E02A93565841</t>
  </si>
  <si>
    <t>A678</t>
  </si>
  <si>
    <t>5360000A0678</t>
  </si>
  <si>
    <t>CE2</t>
  </si>
  <si>
    <t>SL1995</t>
  </si>
  <si>
    <t>5331.65</t>
  </si>
  <si>
    <t>01060000206A080000010000000103000000010000001D000000654A365278451941D1163C3ABD5658412D340700E94519419DE80CEEB8565841629D047B3F461941F4A1FBB8B5565841843647B8C3461941D16D6BC6AE5658415E5FB666FE461941C9B8EAB1AB5658414883FAFF4447194128AC0CEEA75658414CDEC6F5FC471941E43F181E9E56584100EA44002C481941CE540FA79B565841B654F6D7CD4819414F51E02A935658413F4D117196491941229708A7885658411A2E0786494A1941E46060F69A56584123C951001A4B19415B82A5808D5658410E312533E34B1941E777691D8056584186168BB82B4B1941F1D8BA557856584189F06771CB4B1941B6374FD16F565841025C0DB9DB4A19410CF21CE567565841B2C153485B4D194146E4BF55505658415163E87AEB4C1941187D2C5C4E5658414A1673CDDE4C1941D3CB8B224E5658413187A4E1594C19418657BB055256584182ED4415004B19412EC4E6215C565841036E8FCA0C4A19415AE7FF0F635658419493EFCC5C4719413163F3C17E565841B5052F5283431941B998F83FA656584191A24DCD77431941F934F2B8A6565841FEE488B57343194119E0A2E3A6565841CF3F09A8974419417C29DC32B35658415087FDA0464519414F1E1CADBA565841654A365278451941D1163C3ABD565841</t>
  </si>
  <si>
    <t>A680k</t>
  </si>
  <si>
    <t>5360000A0680</t>
  </si>
  <si>
    <t>79277.76</t>
  </si>
  <si>
    <t>01060000206A080000010000000103000000010000000800000089F06771CB4B1941B6374FD16F56584186168BB82B4B1941F1D8BA55785658410E312533E34B1941E777691D80565841811D085D764C1941B8BB265576565841FB2E3D85514D1941A810274C68565841AD22995CEB4C19413C00E59A6056584128DD32C38D4C1941C0EA77946556584189F06771CB4B1941B6374FD16F565841</t>
  </si>
  <si>
    <t>A684</t>
  </si>
  <si>
    <t>5360000A0684</t>
  </si>
  <si>
    <t>PLA2013</t>
  </si>
  <si>
    <t>6511.62</t>
  </si>
  <si>
    <t>01060000206A0800000100000001030000000100000005000000AD22995CEB4C19413C00E59A60565841FB2E3D85514D1941A810274C68565841708EEA99844D19418F3E020765565841DEF1DAA79D4D1941B5B9425463565841AD22995CEB4C19413C00E59A60565841</t>
  </si>
  <si>
    <t>A700j</t>
  </si>
  <si>
    <t>5360000A0700</t>
  </si>
  <si>
    <t>549.02</t>
  </si>
  <si>
    <t>01060000206A080000010000000103000000010000000600000086F3C98F964D194116A1498157565841AD22995CEB4C19413C00E59A60565841DEF1DAA79D4D1941B5B942546356584170868C9AAF4D19413B75CB1C625658413E0C38009D4D194160F70D3E6156584186F3C98F964D194116A1498157565841</t>
  </si>
  <si>
    <t>A700k</t>
  </si>
  <si>
    <t>DEB+CE1/CE2_2017</t>
  </si>
  <si>
    <t>SN1990</t>
  </si>
  <si>
    <t>1067.08</t>
  </si>
  <si>
    <t>01060000206A0800000100000001030000000100000005000000B654F6D7CD4819414F51E02A9356584100EA44002C481941CE540FA79B5658412CB1BEE1174919413FE4BCC5AE565841C97AD3D7AB49194156401C2EA5565841B654F6D7CD4819414F51E02A93565841</t>
  </si>
  <si>
    <t>A704</t>
  </si>
  <si>
    <t>5360000A0704</t>
  </si>
  <si>
    <t>4945.26</t>
  </si>
  <si>
    <t>01060000206A08000001000000010300000001000000070000004883FAFF4447194128AC0CEEA75658419E45359A47481941B36C7F4BBC565841986A7B488848194154392215B85658412CB1BEE1174919413FE4BCC5AE56584100EA44002C481941CE540FA79B5658414CDEC6F5FC471941E43F181E9E5658414883FAFF4447194128AC0CEEA7565841</t>
  </si>
  <si>
    <t>A706</t>
  </si>
  <si>
    <t>5360000A0706</t>
  </si>
  <si>
    <t>7528.34</t>
  </si>
  <si>
    <t>01060000206A0800000100000001030000000100000008000000F246B2CDDC471941CDCD553FC3565841843647B8C3461941D16D6BC6AE565841629D047B3F461941F4A1FBB8B55658412D340700E94519419DE80CEEB8565841654A365278451941D1163C3ABD565841902CF40AC446194132552A6CD556584128A915CD064719412A1D212CD1565841F246B2CDDC471941CDCD553FC3565841</t>
  </si>
  <si>
    <t>A716</t>
  </si>
  <si>
    <t>5360000A0716</t>
  </si>
  <si>
    <t>PLA1995</t>
  </si>
  <si>
    <t>11654.02</t>
  </si>
  <si>
    <t>01060000206A0800000100000001030000000100000009000000B7CCD36650451941B569826BED5658411F7D17E2CF45194188EC4BF8E4565841E49CDC47124619418ED76FBDE056584110BB1F5C6645194158631945D45658416D9363A44445194152E9D5D3D1565841D3FB78A4954419418D723763C5565841CF58D5E1CF43194153E1219CCC56584193EC42159944194164C466C6DD565841B7CCD36650451941B569826BED565841</t>
  </si>
  <si>
    <t>A750</t>
  </si>
  <si>
    <t>5360000A0750</t>
  </si>
  <si>
    <t>9712.20</t>
  </si>
  <si>
    <t>01060000206A0800000100000001030000000100000005000000AD6498EB943C1941C80CC0DE285658411EFE661F813C19411D285D9F2056584123524B7BEB3C1941768D17CE1756584123AAE5F0513C19413CCE3F1C1A565841AD6498EB943C1941C80CC0DE28565841</t>
  </si>
  <si>
    <t>A844k</t>
  </si>
  <si>
    <t>5360000A0844</t>
  </si>
  <si>
    <t>684.43</t>
  </si>
  <si>
    <t>01060000206A080000010000000103000000010000001D0000000E07BF62E433194118A47F76B1555841CFCF6B3DE1331941A019114EB25558413D7EC370CC331941A0C062DFB6555841F53396C2A033194146DE8DB2B955584173CCB1E123331941FF3CF5E8C0555841CC727133B1321941516DD46CC2555841B8BC12E2A03219417A052ED3C25558414AC06D3D9B321941214F443AC3555841D85C2EC395321941AD8B9619C8555841608DD4C353361941807CDB33E2555841003A3FC4453619410960599ADF555841BDED6959353619418683DAFDDA555841E5B4E68E1736194196601CCFD6555841C8ACC6C9E03519412944808AD05558414D9A11306335194105CD4DC7CF5558410D14B187383519419D9CAC3ECF555841F274F9AFF934194168176A95CE5558412A3E27E3EB34194156C5005ACC555841D9106A0AD53419410385A090C9555841AD30E940823419414B950051CA5558411556E1EE3C3419415E011333CB555841C5462D2D2434194117F1C483CA55584122BEBFCE063419415A5310FEC85558413CE70AE00334194119D228A7C45558413FED6CA80E341941688D47FCC155584143BBFEF61A341941D00FF4D5BA5558416363F63A0F341941E0AA697BB7555841AB63571A0A341941D04E866CB35558410E07BF62E433194118A47F76B1555841</t>
  </si>
  <si>
    <t>A847a</t>
  </si>
  <si>
    <t>5360000A0847</t>
  </si>
  <si>
    <t>12628.38</t>
  </si>
  <si>
    <t>01060000206A0800000100000001030000000100000031000000546521C2DF35194184516CC9A1555841340DEAF8A23519415372D6D49D555841104656E14F351941A6B9F1989755584134DB8B9A2035194137412CE39C555841B4BE12290A35194185A0B3479E555841A3BBE600DF341941691AF578A05558417BB0B2F68C34194115EC0FB7A35558414207F7E110341941E4E3848BA8555841BE1A0AE2FE3319413BCA1B5EAA5558410E07BF62E433194118A47F76B1555841AB63571A0A341941D04E866CB35558416363F63A0F341941E0AA697BB755584143BBFEF61A341941D00FF4D5BA5558413FED6CA80E341941688D47FCC15558413CE70AE00334194119D228A7C455584122BEBFCE063419415A5310FEC8555841C5462D2D2434194117F1C483CA5558411556E1EE3C3419415E011333CB555841AD30E940823419414B950051CA555841D9106A0AD53419410385A090C95558412A3E27E3EB34194156C5005ACC555841F274F9AFF934194168176A95CE5558410D14B187383519419D9CAC3ECF5558414D9A11306335194105CD4DC7CF555841C8ACC6C9E03519412944808AD0555841E5B4E68E1736194196601CCFD6555841BDED6959353619418683DAFDDA555841003A3FC4453619410960599ADF555841608DD4C353361941807CDB33E2555841064BC2B83338194156AEB147EF5558412E5725D7333819416FC4F080E35558414FF902D0B7371941A380DC84E2555841C0DFC820A237194120D5DAF6E15558417E1E0CEE94371941B1F9D427E1555841AD7F76ED92371941B5BD3E46DF555841A6319881A03719419121D952DB555841767CA8489E3719418200F307D855584196C7B6C897371941DB6E9D76D655584152870A053F3719413A196F9BCE5558418992369EE53619413ED51CDEC9555841F37E1CFCC63619412D2ED134CA555841B43405CE6A361941FD57F619CC5558414A087E0537361941E8572DB4C2555841F8DA7457183619416347BC03B85558418E74B1F3F7351941F9A35FA7B25558413330F75ED4351941DDEC25AEAE555841769D96B3CA351941F68462D2AC555841E99E4754C4351941431AB844AA555841546521C2DF35194184516CC9A1555841</t>
  </si>
  <si>
    <t>A847b</t>
  </si>
  <si>
    <t>34141.10</t>
  </si>
  <si>
    <t>01060000206A0800000100000001030000000100000017000000461C668DE0391941A9CF0254AC555841DFB3580AA33919415BB150B8A955584174A2768F8C3919414EF14E08AB55584103FE365C7F3919419C88F151AB55584145D203295D391941F56D3A5AAA5558411210355C50391941C98F12E7A855584183C2875C473919414DD4BD1EA8555841F414BF1E38391941686C0457A75558412BBC7352DE3819413C08B2EEA65558417B2A0BAEB4381941F075CCCCA655584164119114A5381941756A85CBA7555841B7DA0BF664381941CACD4DD1A8555841F96739CD35381941E07C0967A95558411CFFD72524381941936A154CA955584110C7C75A2B3819411241751AAA55584141BE3388343819419348A46EAB5558411C44E3953A3819418BBE934BAE55584128FF04E79D3819413C893287B1555841A6A43F1DA13819411965D003B95558413101152F253919413A8B283CBF555841F104AFAB813919414909BF18BC555841FE0D9840363A19410CA40967BD555841461C668DE0391941A9CF0254AC555841</t>
  </si>
  <si>
    <t>A847cj</t>
  </si>
  <si>
    <t>7841.86</t>
  </si>
  <si>
    <t>01060000206A08000001000000010300000001000000170000002EB34F85A0371941D9962F83A85558414333FBFF4F3719411A4F8D42A0555841B77263333A3719412A647CE499555841616ABBD75537194147C2D633995558418AA03967923719416582308C93555841236ECB33AD371941A74C4AC191555841CDADEE8FDE371941A967FB488F55584116792BEC4D3819410E1671DD8A55584129CAD66646381941DA9FC3458A55584168C28B5222381941C65CE78A8A555841C0699500503719416A88115E8C5558418F822C6720371941CC24D0D38C555841ECAA6DB8FA3619416BCD04678D555841B2F405675C3619412091AA6090555841AE94207BD335194132616B0693555841B1551A3E6B3519413D85170595555841104656E14F351941A6B9F19897555841340DEAF8A23519415372D6D49D555841546521C2DF35194184516CC9A1555841EDF71F113B361941C80683EEA7555841AEF688E34D37194178AF97A7A855584101C678C282371941D1BF00C7A85558412EB34F85A0371941D9962F83A8555841</t>
  </si>
  <si>
    <t>A847ck</t>
  </si>
  <si>
    <t>11786.88</t>
  </si>
  <si>
    <t>01060000206A080000010000000103000000010000000A000000B8E4EFC7973A19417F0F5D85C8555841E31F34750D3B1941CF7BDD20C35558414F866E34AF3A1941A264D992B95558417E46AD7BA93A1941412B3823B75558411AFF065D873A19414E0CE08AB25558416B50D1996F3A194122C66D1DB455584103651748553A19415011F8FFB4555841F9069000433A1941C9C18C02B5555841F1E22E1F2F3A19415CA69341B4555841B8E4EFC7973A19417F0F5D85C8555841</t>
  </si>
  <si>
    <t>A847d</t>
  </si>
  <si>
    <t>2125.94</t>
  </si>
  <si>
    <t>01060000206A08000001000000010300000001000000310000007ED41492C93A1941172019CED7555841B9093B5C973A19419B855698D85558410990F1C2673A1941E49620D5D25558412B2BEB99443A1941F67A6DFDCB555841799A1A8B783A19411F3B69D0C9555841FE0D9840363A19410CA40967BD555841F104AFAB813919414909BF18BC5558413101152F253919413A8B283CBF555841A6A43F1DA13819411965D003B955584128FF04E79D3819413C893287B15558411C44E3953A3819418BBE934BAE55584141BE3388343819419348A46EAB55584110C7C75A2B3819411241751AAA5558411CFFD72524381941936A154CA95558412EB34F85A0371941D9962F83A855584101C678C282371941D1BF00C7A8555841AEF688E34D37194178AF97A7A8555841EDF71F113B361941C80683EEA7555841546521C2DF35194184516CC9A1555841E99E4754C4351941431AB844AA555841769D96B3CA351941F68462D2AC5558413330F75ED4351941DDEC25AEAE5558418E74B1F3F7351941F9A35FA7B2555841F8DA7457183619416347BC03B85558414A087E0537361941E8572DB4C2555841B43405CE6A361941FD57F619CC555841F37E1CFCC63619412D2ED134CA5558418992369EE53619413ED51CDEC955584152870A053F3719413A196F9BCE55584196C7B6C897371941DB6E9D76D6555841767CA8489E3719418200F307D8555841A6319881A03719419121D952DB555841AD7F76ED92371941B5BD3E46DF5558417E1E0CEE94371941B1F9D427E1555841C0DFC820A237194120D5DAF6E15558414FF902D0B7371941A380DC84E25558412E5725D7333819416FC4F080E3555841E5679E715938194172C2559DE35558411D0F23F0B93819414CDBFC88E455584118D8577DE2381941136305E9E555584107536290F9381941F26B98EEE6555841426C8A5CC5391941B0842355DE555841F92FE9CCF239194102A5BDFEF6555841F227C499F4391941A0B12E33F7555841649E2D9A8C3A19410324B46708565841FF2D7E1D143B194108178C3A18565841A42457E6EB3B1941D0A68580115658412347C3A40A3B19411AABC4A5E65558417ED41492C93A1941172019CED7555841</t>
  </si>
  <si>
    <t>A847e</t>
  </si>
  <si>
    <t>63849.19</t>
  </si>
  <si>
    <t>01060000206A0800000100000001030000000100000007000000064BC2B83338194156AEB147EF55584107536290F9381941F26B98EEE655584118D8577DE2381941136305E9E55558411D0F23F0B93819414CDBFC88E4555841E5679E715938194172C2559DE35558412E5725D7333819416FC4F080E3555841064BC2B83338194156AEB147EF555841</t>
  </si>
  <si>
    <t>A847f</t>
  </si>
  <si>
    <t>1309.14</t>
  </si>
  <si>
    <t>01060000206A0800000100000001030000000100000014000000E36213196E3D1941E8763DC219565841667C70CD6D3D1941062628EC14565841CCED16AE603D19418EBFD3F3125658415488D200E63C1941475BBC7E00565841D7812BA4C23C1941CD54EC5100565841F537AC1FAA3C194190E0BF5500565841FC30BFCD993C19411875C1E500565841205C65CD943C19412EE15F0F015658411A0F8614833C19417BD1D3AC005658418BB9CFB8773C1941812D8B7200565841B899F014663C194143D1B3A700565841D8B3873D383C19416B7E0C6E01565841B4ECF9702F3C19414DFA7BD4015658411102CDAE253C1941BE641EC5035658413AF22DAE203C1941A843A620045658417D7FC5C2143C194175DEB05E045658414B5E281FE73B1941B5206CCC0356584123AAE5F0513C19413CCE3F1C1A56584123524B7BEB3C1941768D17CE17565841E36213196E3D1941E8763DC219565841</t>
  </si>
  <si>
    <t>A847j</t>
  </si>
  <si>
    <t>6789.84</t>
  </si>
  <si>
    <t>01060000206A08000001000000010300000001000000140000005C97F2DE553D1941D818620C4C5658416A39AF66EB3D1941BB673D1A4D56584103709914DB3E19414F91637642565841A5BA4A5C133F194140F533D33F565841AFD0FDB8073F19419B3059883A56584120BFBA3DEE3E1941F1E00D273556584164D056F61A3F19417BCD4E0135565841C5B1AACD4E3F1941522936133656584135014071483F1941FF9DDB8A2A565841E5E454A45D3F1941F3EE6D6D29565841C9C114C3573F1941AD4403C026565841A328D270333F1941F623257C275658410B3D28340D3F194136B819DE24565841C5AF10D7AA3E1941CA68C55C2A5658414CBD337B143E19413B290D272C565841F0F11A0BC63D194140E1D4EC24565841FA3319ECBD3D1941FD1C740D245658411EFE661F813C19411D285D9F20565841AD6498EB943C1941C80CC0DE285658415C97F2DE553D1941D818620C4C565841</t>
  </si>
  <si>
    <t>A847kj</t>
  </si>
  <si>
    <t>20054.49</t>
  </si>
  <si>
    <t>01060000206A0800000100000001030000000100000006000000FA3319ECBD3D1941FD1C740D24565841B91849336E3D1941E1F2F96F1B565841E36213196E3D1941E8763DC21956584123524B7BEB3C1941768D17CE175658411EFE661F813C19411D285D9F20565841FA3319ECBD3D1941FD1C740D24565841</t>
  </si>
  <si>
    <t>A847kk</t>
  </si>
  <si>
    <t>TAIL2003</t>
  </si>
  <si>
    <t>2106.91</t>
  </si>
  <si>
    <t>01060000206A080000010000000103000000010000000B000000D6C69B66BB3B1941CCADDD7A3C565841E49E2D33E73B1941F057DCB3465658417DC328EC333C1941052594E241565841E542280B943C19419042730D40565841EDD9EAC29E3C1941162D75FD445658418D48C199EE3C1941586CEC514B5658413AA655FA2E3D1941C9BA26C64B5658419298CA70933C194140BA77ED2F5658419047DCD77E3C19412025728D3056584191B97C29693C19411E75DC5337565841D6C69B66BB3B1941CCADDD7A3C565841</t>
  </si>
  <si>
    <t>A847m</t>
  </si>
  <si>
    <t>3893.39</t>
  </si>
  <si>
    <t>01060000206A0800000100000001030000000100000007000000CFD92591003B19412117933035565841D6C69B66BB3B1941CCADDD7A3C56584191B97C29693C19411E75DC53375658419047DCD77E3C19412025728D305658419300FF5C8A3B1941D06C25F5375658417127D71C5F3B194174D6F44C32565841CFD92591003B19412117933035565841</t>
  </si>
  <si>
    <t>A848j</t>
  </si>
  <si>
    <t>5360000A0848</t>
  </si>
  <si>
    <t>1840.76</t>
  </si>
  <si>
    <t>01060000206A08000001000000010300000001000000070000007BF5858DC63A19410F4F97ED20565841464A48D7743A1941D9EECEBC2F565841CFD92591003B194121179330355658417127D71C5F3B194174D6F44C325658418215B1470E3B19418FAB3CBA275658414E516148D03A194144A218D5215658417BF5858DC63A19410F4F97ED20565841</t>
  </si>
  <si>
    <t>A848k</t>
  </si>
  <si>
    <t>2404.05</t>
  </si>
  <si>
    <t>01060000206A080000010000000103000000010000000F0000000F9D419EB38A19412E2354FE3262584123E05670CB8A1941A557C6C538625841F52A4D66048B1941CC7116B5456258417B14AE474D8B194114AE4791566258410AD7A3706B8B194148E17A745D625841AE47E17A188C1941000000C0586258418FC2F528B48C1941295C8F42516258417D62D700EC8C1941645116764E6258416C137AC2698C1941719416B444625841FFDACE41978C1941782F0E1540625841C556D17E138C19410317EE6B376258414C356DE2DB8B1941E98E7F0C38625841A9582CEFB98B19415B5994BC3A625841A4697028558B19413A732618336258410F9D419EB38A19412E2354FE32625841</t>
  </si>
  <si>
    <t>A878j</t>
  </si>
  <si>
    <t>1970000A0878</t>
  </si>
  <si>
    <t>ZNIEFF2 - Têtes de bassin versant et réseau hydrographique du Gat-Mort</t>
  </si>
  <si>
    <t>13489.06</t>
  </si>
  <si>
    <t>01060000206A080000010000000103000000010000001E000000BFBF727E798A1941439953EC2462584180B49184958A19419DF79CB02B6258410F9D419EB38A19412E2354FE32625841A4697028558B19413A73261833625841A9582CEFB98B19415B5994BC3A6258414C356DE2DB8B1941E98E7F0C38625841C556D17E138C19410317EE6B37625841FFDACE41978C1941782F0E15406258416C137AC2698C1941719416B4446258417D62D700EC8C1941645116764E62584133333333C18D1941AE47E18A436258411F85EB510F8E1941C3F5289C40625841333333337C8E19418FC2F5C83D62584148E17A14AD8D19415C8FC2352F625841EC51B81EF68C1941713D0A07226258418F6C62B58D8C1941A31B78C71A6258418CB157465B8C19419B098D981D625841C3F12789428C1941493C0F931E6258410F1BB8DD098C194162C9510420625841B95556A3D48B19416B3A73B7206258416E6524B0BB8B1941A1AB925C206258414570D1818F8B194188FE8E501E62584177AD8258688B1941CA7DDE0A1E625841FF2A523A4D8B1941993DC0F21E625841038111432C8B1941F9345360206258415A44B191F88A1941B3E7284C23625841270274BBD88A19419FB7AA5A24625841354E49EDBF8A1941A9C25BE32462584157750C4BA28A19410E040CE824625841BFBF727E798A1941439953EC24625841</t>
  </si>
  <si>
    <t>A878k</t>
  </si>
  <si>
    <t>24222.47</t>
  </si>
  <si>
    <t>01060000206A08000001000000010300000001000000160000009A999999978A194148E17A74F7615841295C8FC2D0891941000000A0FF615841AE47E17A138A19417B14AEA70E625841295C8FC2718A19416666662623625841BFBF727E798A1941439953EC2462584157750C4BA28A19410E040CE824625841354E49EDBF8A1941A9C25BE324625841270274BBD88A19419FB7AA5A246258415A44B191F88A1941B3E7284C23625841038111432C8B1941F934536020625841FF2A523A4D8B1941993DC0F21E62584177AD8258688B1941CA7DDE0A1E6258414570D1818F8B194188FE8E501E6258416E6524B0BB8B1941A1AB925C20625841B95556A3D48B19416B3A73B7206258410F1BB8DD098C194162C9510420625841C3F12789428C1941493C0F931E6258418CB157465B8C19419B098D981D6258418F6C62B58D8C1941A31B78C71A6258410AD7A370AF8B1941333333430B625841C3F5285CDF8A1941EC51B8BEFC6158419A999999978A194148E17A74F7615841</t>
  </si>
  <si>
    <t>A878l</t>
  </si>
  <si>
    <t>16661.07</t>
  </si>
  <si>
    <t>01060000206A08000001000000010300000001000000070000009A999999978A194148E17A74F7615841000000007A8A194166666656F5615841831EDA62788A194121BB0AEEF5615841F6285C8FB0891941EC51B81EF86158416566BDAFC98919411CDF1CE6FD615841295C8FC2D0891941000000A0FF6158419A999999978A194148E17A74F7615841</t>
  </si>
  <si>
    <t>A987</t>
  </si>
  <si>
    <t>1970000A0987</t>
  </si>
  <si>
    <t>1073.48</t>
  </si>
  <si>
    <t>01060000206A08000001000000010300000001000000130000007D67671F4A061941E688F4782C5758412A985BE176061941924FBD052B575841C028A9CD370719413BB29DC01E575841C323189A89071941A0037A641C5758414EA4CACC420819414D952E0C175758410A83F23DB70719415DB70C0E0557584130A33C5CB4071941EE430D3E05575841B272A20A1D0719411E4C12D7095758413DEEACD7F9061941ACA08C4B035758417E02C7708806194155DBEE48075758419A4F770A67061941F08188C2085758410246963D0F06194146152CF30E575841733720D7E5051941D109C725125758413FCC8966C80519416C54BA9E1257584115437F7199051941782C10AE15575841C6F56852B40519411DCFA550185758412A3E8371C2051941FA8690B2195758419A60A97B2C06194158F3C70C255758417D67671F4A061941E688F4782C575841</t>
  </si>
  <si>
    <t>B1135</t>
  </si>
  <si>
    <t>2020000B1135</t>
  </si>
  <si>
    <t>PLA_PM</t>
  </si>
  <si>
    <t>PLA2018</t>
  </si>
  <si>
    <t>14333.68</t>
  </si>
  <si>
    <t>01060000206A080000010000000103000000010000002A0000007D67671F4A061941E688F4782C5758419A60A97B2C06194158F3C70C255758412A3E8371C2051941FA8690B219575841C6F56852B40519411DCFA550185758410C31EE2981051941BF43A0091B575841B40CC4855A0519414EE059CF1E575841B3024C5CDB04194190942FC32757584121AF7F52C50419417C38E5212957584184C68D52540419416D1E73FD2D575841E808F2CC1C041941036B8C7B30575841DC048D00FA0319415A29063732575841CF221448DD03194106F83CEA33575841F99DD0B8BE031941C93467A6365758415E26167BA303194120961EC5375758414716F1B872031941DE44C7153957584168A433EC65031941EFB802E7395758411DFEFD7A540319410C9E9DD93A575841A37FEA3D2C0319416F0DB49E3B5758416FE491E101031941D608F1183C57584181508A1FE90219419DDF2FC33C575841B527C4EBDD021941E29C406A3D57584116AD0C7BD80219410A87D3C33E575841A4F8CDC2CC021941B3655FCF3F5758413363BB0AB4021941D38E84CB40575841A45E5CB87E0219411E9381DB415758418CF52A5C61021941A755DE5342575841AD4EAB5C54021941828CCA2C42575841DFC028334602194146FD4C2844575841E07453903A021941E473C5254957584191CC773D3F0219418C2F75FD4A5758417872B85C6702194183CE75DD4957584175F12A1FAC02194163F55D5F47575841C253A88FAE0319411B2EED113E575841129A0767C403194151CDFA583D575841A5619114F5031941A16644BA3B5758410F95B9A419041941436AE69A3A575841B17A9E52CF041941FD6C226C3657584158C818D7130519414E76E491345758418EFC5DE12A0519418AC6DB0A3457584103E8F8666805194162832EA33257584175EF2200DD051941D2E28EA22F5758417D67671F4A061941E688F4782C575841</t>
  </si>
  <si>
    <t>B1136</t>
  </si>
  <si>
    <t>2020000B1136</t>
  </si>
  <si>
    <t>12186.96</t>
  </si>
  <si>
    <t>01060000206A0800000100000001030000000100000028000000AD4EAB5C54021941828CCA2C425758418CF52A5C61021941A755DE5342575841A45E5CB87E0219411E9381DB415758413363BB0AB4021941D38E84CB40575841A4F8CDC2CC021941B3655FCF3F57584116AD0C7BD80219410A87D3C33E575841B527C4EBDD021941E29C406A3D57584181508A1FE90219419DDF2FC33C5758416FE491E101031941D608F1183C575841A37FEA3D2C0319416F0DB49E3B5758411DFEFD7A540319410C9E9DD93A57584168A433EC65031941EFB802E7395758414716F1B872031941DE44C715395758415E26167BA303194120961EC537575841F99DD0B8BE031941C93467A636575841CF221448DD03194106F83CEA33575841DC048D00FA0319415A29063732575841E808F2CC1C041941036B8C7B3057584184C68D52540419416D1E73FD2D57584121AF7F52C50419417C38E52129575841B3024C5CDB04194190942FC327575841B40CC4855A0519414EE059CF1E5758410C31EE2981051941BF43A0091B575841C6F56852B40519411DCFA5501857584115437F7199051941782C10AE155758413FCC8966C80519416C54BA9E125758412ABF77F6500519414073A2301457584175328CF64C041941C22B70DD185758413A3C0E15D00319412899A1591457584149BADE669F0319410ED1190E16575841DFEDDAEB23031941108582241A57584176D9095DD2021941903E9DF01D57584160672B15A1021941C767609F205758419435B6A49602194110C4B52723575841F03D9BB89C0219418C888C62255758418B1D96AEA1021941B7FB857B275758413FD88D9A8002194169556DCD335758414397F3F571021941F2509E7939575841F8C5D6B86A021941B8E08FA23F575841AD4EAB5C54021941828CCA2C42575841</t>
  </si>
  <si>
    <t>B1137</t>
  </si>
  <si>
    <t>2020000B1137</t>
  </si>
  <si>
    <t>C</t>
  </si>
  <si>
    <t>CR_PM</t>
  </si>
  <si>
    <t>PLA2019</t>
  </si>
  <si>
    <t>19581.26</t>
  </si>
  <si>
    <t>01060000206A0800000100000001030000000100000010000000AEFB53FF120119413815B64112575841F966B414840019412209ED0118575841AAEBCA14A6001941B10B9FA01D575841CF8A213EB40019411BDE301C1F5758413AC579EB06011941700522A5215758411AEBE2080C011941F65CADDE2157584157597DF71301194172B678501F575841F8F8EDA415011941BF77AD041E575841152C2E8914011941C92F6BFF1A575841E60F1C881001194177144C8219575841DEE09DDB070119419130D9FA1757584199EB273DFD001941A77A019E16575841088B6918FD001941C23907B715575841D3A42D8A07011941AE64B34B145758418E034FA90D01194129B3383B13575841AEFB53FF120119413815B64112575841</t>
  </si>
  <si>
    <t>B1138j</t>
  </si>
  <si>
    <t>2020000B1138</t>
  </si>
  <si>
    <t>1319.71</t>
  </si>
  <si>
    <t>01060000206A080000010000000103000000010000004A00000091CC773D3F0219418C2F75FD4A575841E07453903A021941E473C52549575841DFC028334602194146FD4C2844575841AD4EAB5C54021941828CCA2C42575841F8C5D6B86A021941B8E08FA23F5758414397F3F571021941F2509E79395758413FD88D9A8002194169556DCD335758418B1D96AEA1021941B7FB857B27575841F03D9BB89C0219418C888C62255758419435B6A49602194110C4B5272357584160672B15A1021941C767609F2057584176D9095DD2021941903E9DF01D575841DFEDDAEB23031941108582241A57584149BADE669F0319410ED1190E165758413A3C0E15D00319412899A1591457584175328CF64C041941C22B70DD185758412ABF77F6500519414073A230145758413FCC8966C80519416C54BA9E12575841733720D7E5051941D109C725125758410246963D0F06194146152CF30E5758419A4F770A67061941F08188C2085758417E02C7708806194155DBEE48075758413DEEACD7F9061941ACA08C4B035758413EA31B0BD9061941B320172EFD5658410C49C9A3BF06194193049D60F856584175959671AF061941001C4571F5565841F486D2A3C50519416B17F9C80057584122CBA1001F051941516B94A9075758412BBB50E1C7041941A0450A7709575841BF15C17B8A041941CCD2FF5F0A57584161DE0D0B03041941CDD86C0DFD565841562FD68F7B0319415728F278055758416C5F46716503194160BEB5E70557584122E297994A031941F71A663606575841EB7E5F3E180319417E09CC0C055758414E9CE8510C031941AE1C123705575841B84FAB00F1021941A07AAFA7055758411364B03DD5021941ED188D8B065758415E784971B60219417C2F4E6808575841769F743383021941E10243810A575841FCA756CD730219414AF357DF0A575841630D169AC4011941B6CF2A1C0B5758417313B3F83501194156D974D910575841AEFB53FF120119413815B641125758418E034FA90D01194129B3383B13575841D3A42D8A07011941AE64B34B14575841088B6918FD001941C23907B71557584199EB273DFD001941A77A019E16575841DEE09DDB070119419130D9FA17575841E60F1C881001194177144C8219575841152C2E8914011941C92F6BFF1A575841F8F8EDA415011941BF77AD041E57584157597DF71301194172B678501F5758411AEBE2080C011941F65CADDE21575841C01FA1D7110119419261FB1F22575841E0859B3314011941A258B3CE23575841FD66DF3D100119411A34F2E824575841156B74D7D80019419C83F3C12A575841DE39EBCCAC001941944383CB2D575841696A06009D001941661757082F575841A1EA879A85001941F2387ECB31575841FA084590720019410E1E634F38575841828BA0E15300194120F448913D575841948497993D001941CB57F258445758413E23744837001941760AC1A546575841C4CF99F63600194189FA60AF48575841484BFD661D01194197A3227C455758414619933385011941C6644C914E575841B092A8CD8D011941DCBE81444F57584184F9965299011941DE7C5EBF4E575841E04EC870F40119413AC6F4D84C575841CD8AE20A0F02194153C42C3C4C575841C8B4BD7B26021941EB8B05B04B57584191CC773D3F0219418C2F75FD4A575841</t>
  </si>
  <si>
    <t>B1138k</t>
  </si>
  <si>
    <t>47517.34</t>
  </si>
  <si>
    <t>01060000206A0800000100000001030000000100000005000000FCA756CD730219414AF357DF0A575841C85AF899A9011941D5B4A7B70457584122DA370096011941ED03053704575841630D169AC4011941B6CF2A1C0B575841FCA756CD730219414AF357DF0A575841</t>
  </si>
  <si>
    <t>B1138l</t>
  </si>
  <si>
    <t>619.07</t>
  </si>
  <si>
    <t>01060000206A080000010000000103000000010000003000000075959671AF061941001C4571F5565841BBB6911F630619411594A480E75658410F7ECB66DC0519414E9B75D4CE5658417D77B5701B04194198487AE4C9565841B9C2B0140C04194129770E1ECC56584190F402150504194106C66ECDCD5658414283D670FA0319415095450ACF56584174D78C7BE4031941ED1933A3D05658417920E147D80319418E2F2C4CD25658411F1E4BD7C503194105D1614FD35658415127ED47B4031941F07B7884D35658418A8B9B007E031941A9D89169D2565841E2F4F7E15E0319415F42A9C0D1565841F8E22CAE2C0319411C67F7C8D1565841209AB41EF00219418CD2703DD1565841A3494E52D90219414119FC1FD1565841D8E188F694021941682BD473CF565841A521D3D7740219417269113ECF56584178C2F03363021941D9761EC5CE5658410B21D5E1480219411B31A0C9CE565841676094CD13021941DF3EBE3ED0565841B6A17CAED10019414712854BD95658416759CF0A030119412F5D5F4FDF5658415F38DBAECB00194199BD6CDDE0565841230092007E001941BF36F0A8F8565841D9C8D0527A001941F3B63F1AFB5658417A9ECC1475001941D5485488FF565841A0633C3371001941599102D702575841C3516F81930019419F4E3437085758412E9D8A48A70019418A5FA8500B57584122DA370096011941ED03053704575841C85AF899A9011941D5B4A7B704575841FCA756CD730219414AF357DF0A575841769F743383021941E10243810A5758415E784971B60219417C2F4E68085758411364B03DD5021941ED188D8B06575841B84FAB00F1021941A07AAFA7055758414E9CE8510C031941AE1C123705575841EB7E5F3E180319417E09CC0C0557584122E297994A031941F71A6636065758416C5F46716503194160BEB5E705575841562FD68F7B0319415728F2780557584161DE0D0B03041941CDD86C0DFD565841BF15C17B8A041941CCD2FF5F0A5758412BBB50E1C7041941A0450A770957584122CBA1001F051941516B94A907575841F486D2A3C50519416B17F9C80057584175959671AF061941001C4571F5565841</t>
  </si>
  <si>
    <t>B1139</t>
  </si>
  <si>
    <t>2020000B1139</t>
  </si>
  <si>
    <t>76836.06</t>
  </si>
  <si>
    <t>01060000206A080000010000000103000000010000000A0000005F38DBAECB00194199BD6CDDE05658416759CF0A030119412F5D5F4FDF565841B6A17CAED10019414712854BD9565841DCE70DC38800194133022465D0565841ECEC1BB9DCFF1841FE6384EBD4565841BFBD5B7B67FF18418E3E4D01D8565841CE448F0A61FF1841905A4B68E35658417680333E85FF1841F7D27DE4E9565841BDBD7EF6C6FF18410F12D633E85658415F38DBAECB00194199BD6CDDE0565841</t>
  </si>
  <si>
    <t>B1140</t>
  </si>
  <si>
    <t>2020000B1140</t>
  </si>
  <si>
    <t>TAIL1970</t>
  </si>
  <si>
    <t>6446.52</t>
  </si>
  <si>
    <t>01060000206A0800000100000001030000000100000018000000C4CF99F63600194189FA60AF485758413E23744837001941760AC1A546575841948497993D001941CB57F25844575841828BA0E15300194120F448913D575841279BD07C60FF1841942CB1282E575841D5449C374DFF1841138D8B5E2D575841038CD59944FF184119E46D9D2E5758418A3305AF16FF1841EF8AB1A732575841DA7E861FE3FE184184BCA41036575841F71C30ECC5FE1841BD6E77DD3757584109B614ECB1FE1841E16B94123957584193209C66A8FE1841D2B997A93A5758419E81DBCC83FE1841BA5A7AE43E5758418589D78A81FE1841CDD6696E3F575841CB0830D777FE184145C957BF4157584140D64E7113FE18411B1B1DA549575841CA4E2AE2FCFD184141A387DB4A5758410A77D385E0FD184172DD38534B575841207CADF6B0FD184103D831334F575841EF1A73EC0EFE1841F50B92D94E575841F601C6E158FE18416F14DF8A4E575841BEC7D7C292FE1841AC41601F4E5758416FABCAE19CFF18416F878DD24A575841C4CF99F63600194189FA60AF48575841</t>
  </si>
  <si>
    <t>B1141j</t>
  </si>
  <si>
    <t>2020000B1141</t>
  </si>
  <si>
    <t>CE SMURFIT</t>
  </si>
  <si>
    <t>PLA2004</t>
  </si>
  <si>
    <t>11326.77</t>
  </si>
  <si>
    <t>01060000206A080000010000000103000000010000001E000000828BA0E15300194120F448913D575841FA084590720019410E1E634F38575841A1EA879A85001941F2387ECB31575841696A06009D001941661757082F575841DE39EBCCAC001941944383CB2D575841156B74D7D80019419C83F3C12A575841FD66DF3D100119411A34F2E824575841E0859B3314011941A258B3CE23575841C01FA1D7110119419261FB1F225758411AEBE2080C011941F65CADDE215758413AC579EB06011941700522A521575841CF8A213EB40019411BDE301C1F575841AAEBCA14A6001941B10B9FA01D575841F966B414840019412209ED0118575841AEFB53FF120119413815B641125758417313B3F83501194156D974D910575841630D169AC4011941B6CF2A1C0B57584122DA370096011941ED030537045758412E9D8A48A70019418A5FA8500B575841C3516F81930019419F4E343708575841B1D3364266001941789D9B4C08575841D0505281350019412636D1500D575841FCE6C585B2FF1841EB27A6A010575841EADFA466A4FF1841BF9FDE9A155758414EB5BB5C78FF1841D6E9B8AE215758417AE2DC4760FF1841F851E5EA295758418D51815C56FF18410037300C2C575841D5449C374DFF1841138D8B5E2D575841279BD07C60FF1841942CB1282E575841828BA0E15300194120F448913D575841</t>
  </si>
  <si>
    <t>B1141k</t>
  </si>
  <si>
    <t>15635.57</t>
  </si>
  <si>
    <t>01060000206A0800000100000001030000000100000016000000C3516F81930019419F4E343708575841A0633C3371001941599102D7025758417A9ECC1475001941D5485488FF565841D9C8D0527A001941F3B63F1AFB565841230092007E001941BF36F0A8F85658415F38DBAECB00194199BD6CDDE0565841BDBD7EF6C6FF18410F12D633E8565841E10AAA52CBFF1841E0CB0C97E9565841DAD8C95CC5FF18416DBFE661EE56584149E3130BBFFF1841E928147EF0565841BFD34A67B6FF1841A3707F9BF45658413B6C4A33B8FF1841D32089C2FC565841FAD51648BCFF1841A21CDB0300575841A5B6B8D7C9FF1841FD9583DB03575841E99B2C00C6FF18416DC48BDB065758416B34225CC5FF1841FDCD416107575841457B8766C3FF1841AE0245EA0857584196AA660EB7FF1841E7837B8E0E575841FCE6C585B2FF1841EB27A6A010575841D0505281350019412636D1500D575841B1D3364266001941789D9B4C08575841C3516F81930019419F4E343708575841</t>
  </si>
  <si>
    <t>B1141l</t>
  </si>
  <si>
    <t>8295.86</t>
  </si>
  <si>
    <t>01060000206A080000010000000103000000010000000B0000009A7650A23600194167207A5C4A575841D4FB70A4350019417B15D6634F575841D55177142D001941183EAC3754575841269D247B360019416E9113EE57575841F75A753D4D00194192C791E95E57584128706C525E001941D70A2295615758411A5B64CD5F001941EFF105D061575841C89894DA7C001941C27E15E763575841AD5E802BBD00194176AE18385A5758417BB215F892001941A309C6854D5758419A7650A23600194167207A5C4A575841</t>
  </si>
  <si>
    <t>B1142j</t>
  </si>
  <si>
    <t>2020000B1142</t>
  </si>
  <si>
    <t>2336.28</t>
  </si>
  <si>
    <t>01060000206A080000010000000103000000010000000F00000043E7FAFFB80019416CCAE33A685758416FAFDAF5F30019415E94575F5F575841E09159521C011941B075248C5A5758410802F5D72F011941CEEDAA3758575841CB44C84770011941BF0C64A6505758419A5ACD297F011941384F1AEE4F575841B092A8CD8D011941DCBE81444F5758414619933385011941C6644C914E575841484BFD661D01194197A3227C45575841C4CF99F63600194189FA60AF485758419A7650A23600194167207A5C4A5758417BB215F892001941A309C6854D575841AD5E802BBD00194176AE18385A575841C89894DA7C001941C27E15E76357584143E7FAFFB80019416CCAE33A68575841</t>
  </si>
  <si>
    <t>B1142k</t>
  </si>
  <si>
    <t>4990.95</t>
  </si>
  <si>
    <t>01060000206A080000010000000103000000010000001600000043E7FAFFB80019416CCAE33A68575841C89894DA7C001941C27E15E7635758411A5B64CD5F001941EFF105D06157584128706C525E001941D70A229561575841FCE068AE3FFF184153CEF19166575841AC5F8E8F0BFF184192D0A970675758419998C51EE1FE1841BA78095767575841CC2CC2C2ABFE1841CAECEBC166575841DF9CC53D5FFE18417E2156586557584144158C1F7BFE1841D9E1587874575841AB477E9A82FE1841CA35B0EE74575841F56B623E84FE1841AC8BD4C375575841A7C7B78FC4FE18414A304F387A5758416632EE5C75FF18413B14765D745758414F43B7E197FF1841AAF1A49073575841E62A68CDBFFF18411CD58AD270575841353D413EFBFF18418F0F6D2D6E575841E82B4A901900194188B353286D575841B6D030EC79001941A4477EC46A5758419A6D54A4AB00194195BA4E08695758417635ABF6B70019414ABC9D606857584143E7FAFFB80019416CCAE33A68575841</t>
  </si>
  <si>
    <t>B1143</t>
  </si>
  <si>
    <t>2020000B1143</t>
  </si>
  <si>
    <t>7586.30</t>
  </si>
  <si>
    <t>01060000206A080000010000000103000000010000001C000000C4CF99F63600194189FA60AF485758416FABCAE19CFF18416F878DD24A575841BEC7D7C292FE1841AC41601F4E575841F601C6E158FE18416F14DF8A4E575841EF1A73EC0EFE1841F50B92D94E575841207CADF6B0FD184103D831334F5758410F9383C3A6FD184146BE743D4F575841BD5A2A855BFD184136166FDD4F575841CDE1063E35FD1841CEBCCCFC4F57584199171E0BF6FC18413FC6A8A75057584139B796EB27FD1841C6C3B6BE51575841C7AF7EAE58FD1841C83897E9525758419B7BE3CCAFFD1841BDCB25FC54575841F12E4271EDFD18415C0B28BC5857584194883F7B12FE18419633B5C75A5758413A94BF7B56FE184140FA949260575841DF9CC53D5FFE18417E21565865575841CC2CC2C2ABFE1841CAECEBC1665758419998C51EE1FE1841BA78095767575841AC5F8E8F0BFF184192D0A97067575841FCE068AE3FFF184153CEF1916657584128706C525E001941D70A229561575841F75A753D4D00194192C791E95E575841269D247B360019416E9113EE57575841D55177142D001941183EAC3754575841D4FB70A4350019417B15D6634F5758419A7650A23600194167207A5C4A575841C4CF99F63600194189FA60AF48575841</t>
  </si>
  <si>
    <t>B1144</t>
  </si>
  <si>
    <t>2020000B1144</t>
  </si>
  <si>
    <t>14886.89</t>
  </si>
  <si>
    <t>01060000206A080000010000000103000000010000001C00000099171E0BF6FC18413FC6A8A7505758413E85DF5CDAFC1841384B94F2505758412138F03339FC1841D3206B76535758416327A685E6FB18419CD3FFBF5457584140FCCAC2BDFB184139BED4735557584168E9AB7BB0FB1841840854885657584149D22A85A5FB1841C8045A285C57584156735EF69BFB1841A76C53D85D5758417D2D317198FB184155651C5E5E575841AA0F2E9038FB1841140B57A8605758412507061542FB1841170C7D4B62575841AC588F7149FB184134DF7D1B66575841DCFDDECC9CFB1841515C867B7057584162A1F00A9FFB1841866BB1CE71575841D09821CDB5FB1841976590B2715758418800D9D728FC18414292BA856F5758414F3032D7B5FC18417124E8D16C575841F2E2CFD7E6FC18415965E6C16B57584133F3191F24FD1841801640016A575841DB445E524CFD18415F47EF1169575841ABB79E3D64FD1841B1A652186A5758418B4306E287FD1841971D3BE36C57584113E86F66ABFD18412A0795896D575841DC2E468AAAFD18413D80702566575841E325243C74FD18410FF5492B64575841C1D4131830FD18418876A60D62575841331AC938CEFC1841CFB998945A57584199171E0BF6FC18413FC6A8A750575841</t>
  </si>
  <si>
    <t>B1145j</t>
  </si>
  <si>
    <t>2020000B1145</t>
  </si>
  <si>
    <t>SN2010</t>
  </si>
  <si>
    <t>11708.47</t>
  </si>
  <si>
    <t>01060000206A0800000100000001030000000100000012000000DF9CC53D5FFE18417E215658655758413A94BF7B56FE184140FA94926057584194883F7B12FE18419633B5C75A575841F12E4271EDFD18415C0B28BC585758419B7BE3CCAFFD1841BDCB25FC54575841C7AF7EAE58FD1841C83897E95257584139B796EB27FD1841C6C3B6BE5157584199171E0BF6FC18413FC6A8A750575841331AC938CEFC1841CFB998945A575841C1D4131830FD18418876A60D62575841E325243C74FD18410FF5492B64575841DC2E468AAAFD18413D8070256657584113E86F66ABFD18412A0795896D575841220F9329D0FD1841C84E17BE6D575841DE446E14F9FD18411DBF92126E5758414C0E74C325FE18410E60D22C6F57584144158C1F7BFE1841D9E1587874575841DF9CC53D5FFE18417E21565865575841</t>
  </si>
  <si>
    <t>B1145k</t>
  </si>
  <si>
    <t>7016.08</t>
  </si>
  <si>
    <t>01060000206A0800000100000001030000000100000020000000A59AD629A5FC184167EB7D6447575841E0961752C8FB1841DDD5808B3F575841CA01888F93FA18411AF97E3B3557584184CA470A45FA184194D7A71039575841376C8152C9F918411241B6D733575841011AADA406FA18415FB1EDD82B575841C68313852FFA1841B7CB28EC225758416C26281F35FA184124C16FCD1B5758418DCAB41415FA1841ED2A293C1B57584187B2323E0EFA1841FA43721D1B5758415F055BCDD4F9184121292AEC1A575841C0C0E1CCC1F91841E36EB4BE1B575841A8FA957B90F91841822C62B61C575841973197B89FF918416852F2E13B575841CF1B2167BDF918412E6C03674A5758414A57B67BDAF918415ED3DF0A55575841B0CA05EC22FA18419A03835458575841875496008EFA1841E2A28FF25C575841265C2F7BBDFA1841B621B2675F575841ECC6F466D3FA184133B443D160575841A5530F34F9FA1841A5180D1E61575841583669D72EFB1841926384FB5F575841AA0F2E9038FB1841140B57A8605758417D2D317198FB184155651C5E5E57584156735EF69BFB1841A76C53D85D57584149D22A85A5FB1841C8045A285C57584168E9AB7BB0FB1841840854885657584140FCCAC2BDFB184139BED473555758416327A685E6FB18419CD3FFBF545758412138F03339FC1841D3206B7653575841E88E75C362FC18414F70752D4D575841A59AD629A5FC184167EB7D6447575841</t>
  </si>
  <si>
    <t>B1146</t>
  </si>
  <si>
    <t>2020000B1146</t>
  </si>
  <si>
    <t>PLA2006</t>
  </si>
  <si>
    <t>24715.94</t>
  </si>
  <si>
    <t>01060000206A080000010000000103000000010000001C0000002E0511AEACFB184177B3D96324575841B4A1AA149FFB1841FE3FA9E023575841940CE32983FB1841B32DCAD522575841EB583BD706FB1841CF55D2DC1E575841328D4BAE06FA18418220415A13575841D8DDA41E0AFA184182B8ED3B155758418DCAB41415FA1841ED2A293C1B5758416C26281F35FA184124C16FCD1B575841C68313852FFA1841B7CB28EC22575841011AADA406FA18415FB1EDD82B575841376C8152C9F918411241B6D73357584184CA470A45FA184194D7A71039575841CA01888F93FA18411AF97E3B35575841E0961752C8FB1841DDD5808B3F575841A59AD629A5FC184167EB7D6447575841F0B7E100BCFC1841D867F15848575841436A81AEDBFC1841006339334957584128922C7102FD184110DCEFB8495758419A1F0EAE26FD1841003904204A5758413A7271EC3CFD1841359A272C4A575841B92709673EFD18415DD1ABD0495758415151E18FEFFC1841F14A0A7730575841ED82E899D9FC1841563253C82F5758413D1EB047B5FC1841D8CBB0A72E575841DE4BCF1487FC184199101B952D575841BF0C2E006BFC18411416B4772C575841FC35A529D4FB1841C1DCEAE1255758412E0511AEACFB184177B3D96324575841</t>
  </si>
  <si>
    <t>B1147</t>
  </si>
  <si>
    <t>2020000B1147</t>
  </si>
  <si>
    <t>21066.77</t>
  </si>
  <si>
    <t>01060000206A08000001000000010300000001000000080000002E0511AEACFB184177B3D96324575841FC35A529D4FB1841C1DCEAE125575841BF0C2E006BFC18411416B4772C575841DE4BCF1487FC184199101B952D5758413D1EB047B5FC1841D8CBB0A72E575841ED82E899D9FC1841563253C82F575841ECB5766670FC18413E4D7DDB125758412E0511AEACFB184177B3D96324575841</t>
  </si>
  <si>
    <t>B1148</t>
  </si>
  <si>
    <t>2020000B1148</t>
  </si>
  <si>
    <t>3875.19</t>
  </si>
  <si>
    <t>01060000206A08000001000000010300000001000000050000005151E18FEFFC1841F14A0A7730575841B92709673EFD18415DD1ABD049575841BB27713D68FD1841387A77BD3F575841D6C2775F44FD18417F0B5A03335758415151E18FEFFC1841F14A0A7730575841</t>
  </si>
  <si>
    <t>B1149j</t>
  </si>
  <si>
    <t>2020000B1149</t>
  </si>
  <si>
    <t>1421.45</t>
  </si>
  <si>
    <t>01060000206A0800000100000001030000000100000008000000ECB5766670FC18413E4D7DDB12575841ED82E899D9FC1841563253C82F5758415151E18FEFFC1841F14A0A7730575841D6C2775F44FD18417F0B5A0333575841D4C4BA8F22FD1841F80DD2032757584177A0E97AB1FC1841C9D5BED50F575841283CB10A91FC1841742C3BAA10575841ECB5766670FC18413E4D7DDB12575841</t>
  </si>
  <si>
    <t>B1149k</t>
  </si>
  <si>
    <t>3050.43</t>
  </si>
  <si>
    <t>01060000206A080000010000000103000000010000001B000000D6C2775F44FD18417F0B5A0333575841BB27713D68FD1841387A77BD3F575841B92709673EFD18415DD1ABD0495758413A7271EC3CFD1841359A272C4A5758419A1F0EAE26FD1841003904204A57584128922C7102FD184110DCEFB849575841436A81AEDBFC18410063393349575841F0B7E100BCFC1841D867F15848575841A59AD629A5FC184167EB7D6447575841E88E75C362FC18414F70752D4D5758412138F03339FC1841D3206B76535758413E85DF5CDAFC1841384B94F25057584199171E0BF6FC18413FC6A8A750575841CDE1063E35FD1841CEBCCCFC4F575841BD5A2A855BFD184136166FDD4F5758410F9383C3A6FD184146BE743D4F575841207CADF6B0FD184103D831334F5758410A77D385E0FD184172DD38534B575841CA4E2AE2FCFD184141A387DB4A57584140D64E7113FE18411B1B1DA549575841CB0830D777FE184145C957BF415758418589D78A81FE1841CDD6696E3F575841AF1C249871FE1841CC69C4E23E5758418390C91461FE184194CBF5AD3D575841FBC327242DFE1841A224DDCE3A575841E5427B27AEFD18418D6E4AD335575841D6C2775F44FD18417F0B5A0333575841</t>
  </si>
  <si>
    <t>B1150j</t>
  </si>
  <si>
    <t>2020000B1150</t>
  </si>
  <si>
    <t>7334.14</t>
  </si>
  <si>
    <t>01060000206A08000001000000010300000001000000090000006B34225CC5FF1841FDCD416107575841D5905DE1EEFE184159CA65661457584136CBEAEBADFD18416EA7C2752157584195BEDDB2F8FD1841B7D4AC6A20575841D80F441AA9FE18414A371C621C5758418BB2E734FBFE1841D1BC878B1757584196AA660EB7FF1841E7837B8E0E575841457B8766C3FF1841AE0245EA085758416B34225CC5FF1841FDCD416107575841</t>
  </si>
  <si>
    <t>B1150k</t>
  </si>
  <si>
    <t>2074.46</t>
  </si>
  <si>
    <t>01060000206A080000010000000103000000010000001C00000036CBEAEBADFD18416EA7C27521575841AC963D009EFD184115A3B01722575841D805368385FD1841AF18B01123575841D4C4BA8F22FD1841F80DD20327575841D6C2775F44FD18417F0B5A0333575841E5427B27AEFD18418D6E4AD335575841FBC327242DFE1841A224DDCE3A5758418390C91461FE184194CBF5AD3D575841AF1C249871FE1841CC69C4E23E5758418589D78A81FE1841CDD6696E3F5758419E81DBCC83FE1841BA5A7AE43E57584193209C66A8FE1841D2B997A93A57584109B614ECB1FE1841E16B941239575841F71C30ECC5FE1841BD6E77DD37575841DA7E861FE3FE184184BCA410365758418A3305AF16FF1841EF8AB1A732575841038CD59944FF184119E46D9D2E575841D5449C374DFF1841138D8B5E2D5758418D51815C56FF18410037300C2C5758417AE2DC4760FF1841F851E5EA295758414EB5BB5C78FF1841D6E9B8AE21575841EADFA466A4FF1841BF9FDE9A15575841FCE6C585B2FF1841EB27A6A01057584196AA660EB7FF1841E7837B8E0E5758418BB2E734FBFE1841D1BC878B17575841D80F441AA9FE18414A371C621C57584195BEDDB2F8FD1841B7D4AC6A2057584136CBEAEBADFD18416EA7C27521575841</t>
  </si>
  <si>
    <t>B1150l</t>
  </si>
  <si>
    <t>15082.35</t>
  </si>
  <si>
    <t>01060000206A0800000100000001030000000100000035000000D06DD77AF6FC1841920506F0D456584182D7FC1402FD184171ED7F2BD6565841780BCAAE52FD184138A5E5A1D556584133DAC21E5DFD18417F0F6BADD55658412FC27D8F6DFD1841E9D057BFD5565841C37ADE0A89FD18411B9174FDD5565841C292DB66BFFD1841F6D888B2D6565841E36DF8F5FFFD18411AE29C79D95658415F37153E39FE1841AC0FC4F5DB56584167F92A5269FE18417D1128CCDF565841B9D41BF685FE184149B18772E75658411A3CF6B885FE184112D0D363E9565841825EF73374FE1841364E8EE2EF565841712E836667FE1841B1052CBCF0565841F94BF67046FE1841F2FDFDA8F1565841C83DC3292FFE184131EBEA21F8565841184DE05C2EFE184155BE6596F95658417E2FAA702EFE1841BE49BBE5F9565841D46D39B92EFE18415954D9DAFB5658415A67393330FE1841B2149999FE565841D344BC702CFE1841D719BFD5005758414904E45220FE18417E9FE8FA0257584126F8BDD718FE18416A1C31B3045758418783F21EFCFD1841FD481CCE08575841A1216B85DAFD1841467165D60B57584132070115BAFD18414C7AE4411057584131BCEEE197FD1841332F9D30135758415D30F77073FD18411BACAFB7175758419DF8D4AE74FD1841654FFAC818575841AC963D009EFD184115A3B0172257584136CBEAEBADFD18416EA7C27521575841D5905DE1EEFE184159CA6566145758416B34225CC5FF1841FDCD416107575841E99B2C00C6FF18416DC48BDB06575841A5B6B8D7C9FF1841FD9583DB03575841FAD51648BCFF1841A21CDB03005758413B6C4A33B8FF1841D32089C2FC565841BFD34A67B6FF1841A3707F9BF456584149E3130BBFFF1841E928147EF0565841DAD8C95CC5FF18416DBFE661EE565841E10AAA52CBFF1841E0CB0C97E9565841BDBD7EF6C6FF18410F12D633E85658417680333E85FF1841F7D27DE4E9565841CE448F0A61FF1841905A4B68E3565841BFBD5B7B67FF18418E3E4D01D8565841ECEC1BB9DCFF1841FE6384EBD4565841FAF82100BDFF1841AD9851D8CB565841C212663E3CFF1841F4BDA7A0CB565841F6952900A7FE184121587E44CA5658411092767126FE1841A6530170C856584114733D00EEFD1841F267F3C8C7565841554EAFB8CFFD1841EA29A470C9565841D06DD77AF6FC1841920506F0D4565841</t>
  </si>
  <si>
    <t>B1151</t>
  </si>
  <si>
    <t>2020000B1151</t>
  </si>
  <si>
    <t>32385.48</t>
  </si>
  <si>
    <t>01060000206A080000010000000103000000010000001C000000195C89854FFC1841E1B70897E1565841BF32123E59FC1841568CB24EDD56584142C68FE1F3FA1841A1CEF798F05658418BE78D00C8F918411B0683AB0057584101E46485ECF918412CA0010005575841328D4BAE06FA18418220415A13575841EB583BD706FB1841CF55D2DC1E575841940CE32983FB1841B32DCAD522575841B4A1AA149FFB1841FE3FA9E0235758412E0511AEACFB184177B3D96324575841ECB5766670FC18413E4D7DDB12575841283CB10A91FC1841742C3BAA1057584177A0E97AB1FC1841C9D5BED50F575841D4C4BA8F22FD1841F80DD20327575841D805368385FD1841AF18B011235758411A8AA01B2EFD18416BCCA3B71D5758415D30F77073FD18411BACAFB71757584131BCEEE197FD1841332F9D301357584132070115BAFD18414C7AE44110575841A1216B85DAFD1841467165D60B575841D834E195E1FD184115CECB3B005758414B92C31CC7FD18412A3834F3FB5658412657D2212CFD1841EF8CEC3CF8565841C5780BC4B9FC1841A9AE2386EE565841F3991AB69FFC1841A5151780ED5658414C6326A758FC1841E1A56660E7565841D05956D65CFC18414F55FC4BE5565841195C89854FFC1841E1B70897E1565841</t>
  </si>
  <si>
    <t>B1152j</t>
  </si>
  <si>
    <t>2020000B1152</t>
  </si>
  <si>
    <t>42129.51</t>
  </si>
  <si>
    <t>01060000206A080000010000000103000000010000002A00000055F89A6670FC1841A21CDF7AE3565841195C89854FFC1841E1B70897E1565841D05956D65CFC18414F55FC4BE55658414C6326A758FC1841E1A56660E7565841F3991AB69FFC1841A5151780ED565841C5780BC4B9FC1841A9AE2386EE5658412657D2212CFD1841EF8CEC3CF85658414B92C31CC7FD18412A3834F3FB565841D834E195E1FD184115CECB3B00575841A1216B85DAFD1841467165D60B5758418783F21EFCFD1841FD481CCE0857584126F8BDD718FE18416A1C31B3045758414904E45220FE18417E9FE8FA02575841D344BC702CFE1841D719BFD5005758415A67393330FE1841B2149999FE565841D46D39B92EFE18415954D9DAFB5658417E2FAA702EFE1841BE49BBE5F9565841184DE05C2EFE184155BE6596F9565841C83DC3292FFE184131EBEA21F8565841F94BF67046FE1841F2FDFDA8F1565841712E836667FE1841B1052CBCF0565841825EF73374FE1841364E8EE2EF5658411A3CF6B885FE184112D0D363E9565841B9D41BF685FE184149B18772E756584167F92A5269FE18417D1128CCDF5658415F37153E39FE1841AC0FC4F5DB565841E36DF8F5FFFD18411AE29C79D9565841C292DB66BFFD1841F6D888B2D6565841C37ADE0A89FD18411B9174FDD55658412FC27D8F6DFD1841E9D057BFD556584133DAC21E5DFD18417F0F6BADD5565841A15978A46FFD1841F83C105EDB5658413DAA74F65EFD1841EA378A1BE15658417ECA45CD65FD1841DE6B43E1E45658413F87A6AE4EFD184130EBC6BCE5565841E44F15153DFD1841E14B57D8E5565841F5D79B6628FD1841668E97A9E5565841CA1E8BEB0CFD1841AAB8DC73E55658413FA40F86D9FC18416B26E03AE7565841BF089B29CEFC1841933DFF8FE756584166A6809ABEFC1841F11B6526E756584155F89A6670FC1841A21CDF7AE3565841</t>
  </si>
  <si>
    <t>B1152k</t>
  </si>
  <si>
    <t>12876.30</t>
  </si>
  <si>
    <t>01060000206A0800000100000001030000000100000006000000D805368385FD1841AF18B01123575841AC963D009EFD184115A3B017225758419DF8D4AE74FD1841654FFAC8185758415D30F77073FD18411BACAFB7175758411A8AA01B2EFD18416BCCA3B71D575841D805368385FD1841AF18B01123575841</t>
  </si>
  <si>
    <t>B1152l</t>
  </si>
  <si>
    <t>579.27</t>
  </si>
  <si>
    <t>01060000206A080000010000000103000000010000001000000082D7FC1402FD184171ED7F2BD656584145546D29F0FC1841146652C8E056584155F89A6670FC1841A21CDF7AE356584166A6809ABEFC1841F11B6526E7565841BF089B29CEFC1841933DFF8FE75658413FA40F86D9FC18416B26E03AE7565841CA1E8BEB0CFD1841AAB8DC73E5565841F5D79B6628FD1841668E97A9E5565841E44F15153DFD1841E14B57D8E55658413F87A6AE4EFD184130EBC6BCE55658417ECA45CD65FD1841DE6B43E1E45658413DAA74F65EFD1841EA378A1BE1565841A15978A46FFD1841F83C105EDB56584133DAC21E5DFD18417F0F6BADD5565841780BCAAE52FD184138A5E5A1D556584182D7FC1402FD184171ED7F2BD6565841</t>
  </si>
  <si>
    <t>B1153</t>
  </si>
  <si>
    <t>2020000B1153</t>
  </si>
  <si>
    <t>2255.79</t>
  </si>
  <si>
    <t>01060000206A080000010000000103000000010000000800000082D7FC1402FD184171ED7F2BD6565841D06DD77AF6FC1841920506F0D456584167B2A58580FC18413211632FDB565841BF32123E59FC1841568CB24EDD565841195C89854FFC1841E1B70897E156584155F89A6670FC1841A21CDF7AE356584145546D29F0FC1841146652C8E056584182D7FC1402FD184171ED7F2BD6565841</t>
  </si>
  <si>
    <t>B1154</t>
  </si>
  <si>
    <t>2020000B1154</t>
  </si>
  <si>
    <t>1485.00</t>
  </si>
  <si>
    <t>01060000206A080000010000000103000000010000000B000000187BB78FF2FA1841F9F0141EBC5658418BC138B9E6FA18410581EF71BC5658413FAF40D6C9FA18412279C306BD56584122355B67B8FA18419B75A060BD565841F4DE521F6CFA18419A5E0EB7BD56584100B0BB144BFA1841B159C7E5BD565841C590D55643FA184150FD86FABD5658418322492935FA184155059E20BE565841EC1F122859FA18419535E56ED05658412654EAEBC7FA184161CE2735C7565841187BB78FF2FA1841F9F0141EBC565841</t>
  </si>
  <si>
    <t>B1155j</t>
  </si>
  <si>
    <t>2020000B1155</t>
  </si>
  <si>
    <t>2132.55</t>
  </si>
  <si>
    <t>01060000206A080000010000000103000000010000002D00000050EFA2EBEEFB1841726BE6F1B55658419BE1E05CB8FB184132D20557B85658415112991F9FFB18411178BADEB85658418AD9B67B87FB18411EC6810BB95658417D3D6C7B51FB1841682E0267B8565841D6D97AC352FB1841126B3ECAB8565841F11B48484FFB18419A6E5588B9565841E3247F4D20FB18415522A0D7BA565841187BB78FF2FA1841F9F0141EBC5658412654EAEBC7FA184161CE2735C7565841EC1F122859FA18419535E56ED0565841689F92486FFA1841EF795DAFDB5658410EC2401FBCF918414005CA4CDE565841A8EC1148DBF91841BA42CB3CE95658410864317B96FA18416FB3682DE356584155D8AB0086FA1841D85B4BA1E0565841E11FAA3DD3FA1841F16AFE0FDE56584145E79B8567FB18419B6FF81FD9565841D190318567FB1841DC31BEE5D556584183036F15B2FB1841D5896746D656584185170552B1FB1841114C52B8D45658417362B3A408FC184106474881D4565841D38FD35C19FC184162587364D4565841DB02A77083FC1841466660AFD35658413D9094E1E2FC18416605E28AD35658413F773DA4E9FC184138C0D42CD3565841CD36F71EDCFC1841B974D0ACC8565841BADCAD7024FD184167FEB15EC856584141590D1F24FD18410F982225C7565841A280643322FD18413FD06A4DC0565841BF33F0B826FD18410F719FD0BF565841A7C85A7B3DFD1841392E2CBCBF5658418DA9F3146AFD1841BA848E42C0565841E376F90A9CFD18414BBB46F1BF5658415B00927BADFD18418A78E981BF565841199C951FA8FD1841BB784EC1BA56584146B079A4A8FD1841D81502C0BA565841A08FBAC29FFD1841BD31F111B95658412AD77A7B33FD1841CA07758DB656584109948EF62EFD1841B02085DBB25658418450BE471DFD18412A5A07A0B3565841B74BB533ECFC1841FAD8CD3CB456584186E8ACE17BFC1841D536555FB5565841732060F602FC1841D3D26FCDB556584150EFA2EBEEFB1841726BE6F1B5565841</t>
  </si>
  <si>
    <t>B1155k</t>
  </si>
  <si>
    <t>22714.32</t>
  </si>
  <si>
    <t>01060000206A080000010000000103000000010000000F00000023CEFE9922F9184119518004CD5658419A4B731465F918411C37A400CD56584155973A907FF918411D25BCC5D05658416758C147B8F918411CF2DBF3DC565841A2E4224FBAF91841E6C4E7A9DD565841EC1F122859FA18419535E56ED05658418322492935FA184155059E20BE56584179D0F93320FA184150CCA757BE565841608B7B52EFF91841BACAB71EC05658411F9AA1BFA5F91841E3EA56EEBF5658416624382F73F91841F0D31CCDBF565841154A2D9AE4F818417A60576FBF565841AD7ED233E7F818412BAFF718C15658411020B8A4FBF81841C75968C6C556584123CEFE9922F9184119518004CD565841</t>
  </si>
  <si>
    <t>B1156j</t>
  </si>
  <si>
    <t>2020000B1156</t>
  </si>
  <si>
    <t>6585.35</t>
  </si>
  <si>
    <t>01060000206A0800000100000001030000000100000005000000A2E4224FBAF91841E6C4E7A9DD5658410EC2401FBCF918414005CA4CDE565841689F92486FFA1841EF795DAFDB565841EC1F122859FA18419535E56ED0565841A2E4224FBAF91841E6C4E7A9DD565841</t>
  </si>
  <si>
    <t>B1156k</t>
  </si>
  <si>
    <t>1099.41</t>
  </si>
  <si>
    <t>01060000206A080000010000000103000000010000000A0000007D3D6C7B51FB1841682E0267B85658413D16C9CC38FB18415EC0C1E5B056584161AF3CA42FFB184194D89482AE565841FFC07C3D17FB1841926C0927AA56584160F7CB33ABFA18416D69A390AC565841187BB78FF2FA1841F9F0141EBC565841E3247F4D20FB18415522A0D7BA565841F11B48484FFB18419A6E5588B9565841D6D97AC352FB1841126B3ECAB85658417D3D6C7B51FB1841682E0267B8565841</t>
  </si>
  <si>
    <t>B1157</t>
  </si>
  <si>
    <t>2020000B1157</t>
  </si>
  <si>
    <t>1813.27</t>
  </si>
  <si>
    <t>01060000206A08000001000000010300000001000000060000002C1F1BC341F918415EA96B9DB2565841670F9F7BF2F818419303BAAEB65658413D0AFD14E2F8184171CEC2E5BD565841154A2D9AE4F818417A60576FBF5658416624382F73F91841F0D31CCDBF5658412C1F1BC341F918415EA96B9DB2565841</t>
  </si>
  <si>
    <t>B1158j</t>
  </si>
  <si>
    <t>2020000B1158</t>
  </si>
  <si>
    <t>1271.42</t>
  </si>
  <si>
    <t>01060000206A0800000100000001030000000100000016000000187BB78FF2FA1841F9F0141EBC56584160F7CB33ABFA18416D69A390AC565841FFC07C3D17FB1841926C0927AA56584111998133F6FA1841950B7C44A4565841BDBB31D7E7FA1841654A54AFA15658417EC4D55CDBFA1841DC12B54EA15658414893578F86FA1841739DF0D1A4565841BA69DDCCD4F91841222A6CBDA5565841509183C303F918414A5A73CDA75658412C1F1BC341F918415EA96B9DB25658416624382F73F91841F0D31CCDBF5658411F9AA1BFA5F91841E3EA56EEBF565841608B7B52EFF91841BACAB71EC056584179D0F93320FA184150CCA757BE5658418322492935FA184155059E20BE565841C590D55643FA184150FD86FABD56584100B0BB144BFA1841B159C7E5BD565841F4DE521F6CFA18419A5E0EB7BD56584122355B67B8FA18419B75A060BD5658413FAF40D6C9FA18412279C306BD5658418BC138B9E6FA18410581EF71BC565841187BB78FF2FA1841F9F0141EBC565841</t>
  </si>
  <si>
    <t>B1158k</t>
  </si>
  <si>
    <t>10625.24</t>
  </si>
  <si>
    <t>01060000206A080000010000000103000000010000001A0000002DEC1A5CE6F8184151F080ABA25658413F4DEC1EE5F81841AEE4C9ACA25658413094EC66A5F818411271FCF8A3565841F3FB280B8BF8184137E1120EA4565841402542EC74F81841898D0D8EA4565841F45A0DC35EF8184138FDAF67A55658418EC9800050F81841E48DA070A556584102D983294EF818411D9FC705A75658415BD6716649F81841E4760D5EA95658412E9FA8CD1EF818418FF3734DAB565841B6E4FE8F35F818417F206E76AE5658413B9099D734F818414DEFB75EB0565841C654018634F81841B0C2C43CB2565841ABE5AC703CF81841F1A27D34B35658411EBAD5CC47F8184102F4DE4AB35658419B61043454F81841C022C7E5B256584116E7980A64F81841E41489D2B156584146CF4B0073F81841F414237CB1565841AC718DF67FF81841F22869D6B156584136F1FBFF88F818419324F148B3565841AF41CC99D7F81841ED27D883B6565841BB3323F6DFF81841BC0BE2DAB6565841670F9F7BF2F818419303BAAEB65658412C1F1BC341F918415EA96B9DB2565841509183C303F918414A5A73CDA75658412DEC1A5CE6F8184151F080ABA2565841</t>
  </si>
  <si>
    <t>B1159</t>
  </si>
  <si>
    <t>2020000B1159</t>
  </si>
  <si>
    <t>3652.84</t>
  </si>
  <si>
    <t>01060000206A080000010000000103000000010000000C0000004431E70AD8FA1841BAF69199A0565841EA60F98FBDFA1841024833B39C56584106E6E3AE95FA1841763D6CF697565841CE2175B868FA1841F7A7779D915658415043FD709FF9184187EA453193565841A65A90F6E6F918415F3DDBC39E5658413273036C78F91841AB5B7154A156584189D056AEE5F9184160369809A1565841308B026824FA184139393EAFA0565841160B966853FA18411B762925A056584193337240A1FA1841E489C618A05658414431E70AD8FA1841BAF69199A0565841</t>
  </si>
  <si>
    <t>B1160j</t>
  </si>
  <si>
    <t>2020000B1160</t>
  </si>
  <si>
    <t>3226.45</t>
  </si>
  <si>
    <t>01060000206A080000010000000103000000010000000D0000003273036C78F91841AB5B7154A15658411F01612952F918415B87AD37A25658412DEC1A5CE6F8184151F080ABA2565841509183C303F918414A5A73CDA7565841BA69DDCCD4F91841222A6CBDA55658414893578F86FA1841739DF0D1A45658417EC4D55CDBFA1841DC12B54EA15658414431E70AD8FA1841BAF69199A056584193337240A1FA1841E489C618A0565841160B966853FA18411B762925A0565841308B026824FA184139393EAFA056584189D056AEE5F9184160369809A15658413273036C78F91841AB5B7154A1565841</t>
  </si>
  <si>
    <t>B1160k</t>
  </si>
  <si>
    <t>2201.99</t>
  </si>
  <si>
    <t>01060000206A0800000100000001030000000100000027000000F689D5AE5BFB1841DC39C85C9B56584171ACE27065FB18416158CA559B565841D955541FD2FB18418FC0259596565841C68CD099F9FB18412944E8DA945658419812BBD704FC184110BA5FBF93565841EE6DD8F523FC1841D0BA693693565841B9493052B0FB1841E9FB2B1386565841917E562967FB1841726D4C48875658416E02EFA308FB18418804516888565841C0DD583E9BFA184193A24D5189565841DCE3E48594FA1841B07668468356584121DAD87B86FA18415095CAA5765658415E53B8E181FA1841603FB46E72565841D975CC663EFA1841F0C7233C725658413FF10E00D1F91841FF4BF6C8715658417B5008A47EF91841CDA3C9E570565841676A96D752F918419CD562CF70565841E001D6AE54F91841EDCB5618765658417EE12CCD54F91841900B306376565841719AF25120F81841179CDA6A785658410D869B6633F818419E58E5BA7F565841B49AD8142AF81841857D6BE67F565841388FEA3D43F81841686364A688565841DFE40AD737F81841DA053FDA88565841E00726EC48F818416370DE138C5658410AF45D009CF8184137DC75B499565841AA259E0A9FF81841C22F8E029A5658417B1F9A7BB9F81841E728FCA89C565841B96F6BB8D2F81841EC43273C9F5658412DEC1A5CE6F8184151F080ABA25658411F01612952F918415B87AD37A25658413273036C78F91841AB5B7154A1565841A65A90F6E6F918415F3DDBC39E5658415043FD709FF9184187EA453193565841CE2175B868FA1841F7A7779D9156584106E6E3AE95FA1841763D6CF697565841EA60F98FBDFA1841024833B39C5658414431E70AD8FA1841BAF69199A0565841F689D5AE5BFB1841DC39C85C9B565841</t>
  </si>
  <si>
    <t>B1161</t>
  </si>
  <si>
    <t>2020000B1161</t>
  </si>
  <si>
    <t>29109.86</t>
  </si>
  <si>
    <t>01060000206A0800000100000001030000000100000009000000719AF25120F81841179CDA6A785658417EE12CCD54F91841900B306376565841E001D6AE54F91841EDCB561876565841676A96D752F918419CD562CF705658413E6C249041F91841F423C9C57056584172C50FB9E9F8184165235A48715658410CD9227B69F81841B4262A4C735658418EE9997116F81841880A249C74565841719AF25120F81841179CDA6A78565841</t>
  </si>
  <si>
    <t>B1162</t>
  </si>
  <si>
    <t>2020000B1162</t>
  </si>
  <si>
    <t>1614.82</t>
  </si>
  <si>
    <t>01060000206A080000010000000103000000010000000B000000716AF85176F91841473244FA65565841A4579C70D3F91841BA38B2CE675658419EE0B8F501FA1841DDFD14AE6756584133857E3D27FA184106C991F267565841027A08B954FA1841B918C04E675658415BC3CDA3A8FA18412C186C6D675658419B097D9A93FA184148C3E8CA60565841339904EC74FA1841DE6C84FB615658410CABA06623FA1841A41E8D326356584104058F48FEF91841873A5C6F60565841716AF85176F91841473244FA65565841</t>
  </si>
  <si>
    <t>B1163</t>
  </si>
  <si>
    <t>2020000B1163</t>
  </si>
  <si>
    <t>1415.03</t>
  </si>
  <si>
    <t>01060000206A080000010000000103000000010000001B000000716AF85176F91841473244FA6556584140FCAAE139F9184161676D66665658419BABB129E7F8184118E56D66705658419719DB8F2DF91841227C6CDD6F5658410BF1BE8F5BF91841C3B6C8D56F5658417029E5CC80F91841C3C242F16F565841356EE566CAF9184138D9889B7056584160C78E857BFA1841ABD9BC5E715658415A45927BE0FA184197E425FC71565841F468B0F618FB1841EC30A48072565841FCB31BA45BFB1841BC97243C73565841701A86C3A4FB1841A82E2A7C7456584170D7F670D4FB18413FB5C98C7556584125188D851BFC1841C9382F8377565841A57577C32EFC1841965442E17456584142E270152FFC18410C7B61A6735658415F1505EC2CFC184109E64AE872565841656793D71FFC1841D719380A7256584163089B7B09FC184177C2A95771565841C60A221FDDFB1841C8239FE9675658417132F4C2D8FB184162EA54E8675658415BC3CDA3A8FA18412C186C6D67565841027A08B954FA1841B918C04E6756584133857E3D27FA184106C991F2675658419EE0B8F501FA1841DDFD14AE67565841A4579C70D3F91841BA38B2CE67565841716AF85176F91841473244FA65565841</t>
  </si>
  <si>
    <t>B1164</t>
  </si>
  <si>
    <t>2020000B1164</t>
  </si>
  <si>
    <t>8045.10</t>
  </si>
  <si>
    <t>01060000206A08000001000000010300000001000000070000005E53B8E181FA1841603FB46E7256584121DAD87B86FA18415095CAA576565841DCE3E48594FA1841B076684683565841D9E08EB87FFB1841B368BC4581565841AA10907BBDFA1841148675CD72565841E3A3431F90FA18418AB69E79725658415E53B8E181FA1841603FB46E72565841</t>
  </si>
  <si>
    <t>B1166</t>
  </si>
  <si>
    <t>2020000B1166</t>
  </si>
  <si>
    <t>2396.50</t>
  </si>
  <si>
    <t>01060000206A0800000100000001030000000100000008000000DCE3E48594FA1841B076684683565841C0DD583E9BFA184193A24D51895658416E02EFA308FB18418804516888565841917E562967FB1841726D4C4887565841B9493052B0FB1841E9FB2B13865658415369D5B8BCFB18412DFD45D185565841D9E08EB87FFB1841B368BC4581565841DCE3E48594FA1841B076684683565841</t>
  </si>
  <si>
    <t>B1167</t>
  </si>
  <si>
    <t>2020000B1167</t>
  </si>
  <si>
    <t>1564.69</t>
  </si>
  <si>
    <t>01060000206A080000010000000103000000010000000E0000003604D45C9EFC18417F9B89A281565841C7DD6DAE98FC184123B8B1F78056584181BAC60A6BFC18412872DDF37C5658419C3CAB333EFC1841323D04577A565841D7405866F7FB1841DED7F96F7756584172FB195CB9FB1841FC863A0A76565841460694B870FB18413CFB41CA7456584149320E7129FB1841C44C39837356584110466A71D2FA1841C54ED8F372565841AA10907BBDFA1841148675CD72565841D9E08EB87FFB1841B368BC45815658415369D5B8BCFB18412DFD45D185565841D5D0DACC33FC184194BCB557835658413604D45C9EFC18417F9B89A281565841</t>
  </si>
  <si>
    <t>B1168</t>
  </si>
  <si>
    <t>2020000B1168</t>
  </si>
  <si>
    <t>4181.30</t>
  </si>
  <si>
    <t>01060000206A080000010000000103000000010000000B000000CDD84BAEFBFC1841EDE405E78B565841549C55A4BEFC1841C86FF368855658413604D45C9EFC18417F9B89A281565841D5D0DACC33FC184194BCB557835658415369D5B8BCFB18412DFD45D185565841B9493052B0FB1841E9FB2B1386565841EE6DD8F523FC1841D0BA693693565841B3DB3D855CFC18417712183E92565841662870F65DFC184160FA744D9156584154E4A0F6A6FC1841FC32F8388F565841CDD84BAEFBFC1841EDE405E78B565841</t>
  </si>
  <si>
    <t>B1169</t>
  </si>
  <si>
    <t>2020000B1169</t>
  </si>
  <si>
    <t>3356.73</t>
  </si>
  <si>
    <t>01060000206A080000010000000103000000010000000700000039E462A45DFD18419942EE5196565841CDD84BAEFBFC1841EDE405E78B56584154E4A0F6A6FC1841FC32F8388F565841662870F65DFC184160FA744D91565841B3DB3D855CFC18417712183E92565841F8A20E90D7FC1841B09544619A56584139E462A45DFD18419942EE5196565841</t>
  </si>
  <si>
    <t>B1170</t>
  </si>
  <si>
    <t>2020000B1170</t>
  </si>
  <si>
    <t>1972.03</t>
  </si>
  <si>
    <t>01060000206A080000010000000103000000010000000C000000B41A4CCDE2FD18413E6BE65AA3565841DE10A03D91FD18412105BCBE9B565841AE86F06668FD1841509960769756584139E462A45DFD18419942EE5196565841F8A20E90D7FC1841B09544619A56584144F46B6601FD18417C50C1259D56584138189D1F1BFD1841BFD29E109C5658413FC1EB282DFD184123BC28DC9B56584175EB3E8536FD184148FDC50C9C5658417B96A8146CFD18412BB97DE49D56584138FC4BECB9FD18416B4444AAA2565841B41A4CCDE2FD18413E6BE65AA3565841</t>
  </si>
  <si>
    <t>B1171</t>
  </si>
  <si>
    <t>2020000B1171</t>
  </si>
  <si>
    <t>1028.94</t>
  </si>
  <si>
    <t>01060000206A080000010000000103000000010000000F000000EE6DD8F523FC1841D0BA6936935658419812BBD704FC184110BA5FBF93565841C68CD099F9FB18412944E8DA94565841D955541FD2FB18418FC025959656584160D1B56664FC1841BAE3857BA0565841603290E177FC18415D25F9989F565841E558397189FC18415161236C9F565841F86A02E296FC18417674416A9F56584199F51015B8FC1841FB543713A056584112462448E8FC1841A4FD0180A0565841E25140CD0DFD18414E4A1B1EA156584144F46B6601FD18417C50C1259D565841F8A20E90D7FC1841B09544619A565841B3DB3D855CFC18417712183E92565841EE6DD8F523FC1841D0BA693693565841</t>
  </si>
  <si>
    <t>B1172</t>
  </si>
  <si>
    <t>2020000B1172</t>
  </si>
  <si>
    <t>2424.41</t>
  </si>
  <si>
    <t>01060000206A0800000100000001030000000100000009000000F689D5AE5BFB1841DC39C85C9B56584128DD9C52E2FB1841A627E0CAA25658419401F251E9FB1841665F1995A25658412778DFB807FC18415F94D22CA2565841F29B0F714BFC1841DC4D769DA156584160D1B56664FC1841BAE3857BA0565841D955541FD2FB18418FC025959656584171ACE27065FB18416158CA559B565841F689D5AE5BFB1841DC39C85C9B565841</t>
  </si>
  <si>
    <t>B1173</t>
  </si>
  <si>
    <t>2020000B1173</t>
  </si>
  <si>
    <t>1585.54</t>
  </si>
  <si>
    <t>01060000206A0800000100000001030000000100000015000000F689D5AE5BFB1841DC39C85C9B5658414431E70AD8FA1841BAF69199A05658417EC4D55CDBFA1841DC12B54EA1565841BDBB31D7E7FA1841654A54AFA156584111998133F6FA1841950B7C44A4565841FFC07C3D17FB1841926C0927AA56584161AF3CA42FFB184194D89482AE5658413D16C9CC38FB18415EC0C1E5B05658417D3D6C7B51FB1841682E0267B85658418AD9B67B87FB18411EC6810BB95658415112991F9FFB18411178BADEB85658419BE1E05CB8FB184132D20557B856584150EFA2EBEEFB1841726BE6F1B55658417898259AE1FB18410AC7241CB056584136241B9ADBFB1841837EC0D5AC56584164069E85D8FB1841042ABD25AB5658417B5B931FD5FB18410260E74AA9565841D660A83DD2FB18412FBD87EBA3565841FAC31ED7D9FB184109B6820BA356584128DD9C52E2FB1841A627E0CAA2565841F689D5AE5BFB1841DC39C85C9B565841</t>
  </si>
  <si>
    <t>B1174</t>
  </si>
  <si>
    <t>2020000B1174</t>
  </si>
  <si>
    <t>5076.14</t>
  </si>
  <si>
    <t>01060000206A0800000100000001030000000100000017000000F5535C6727FD184143CAEAB1AC565841705B5C6626FD1841E3D370DDAB565841BA5ADF661BFD18416FE51D05A85658418B12FA7A14FD184130EFA940A3565841E25140CD0DFD18414E4A1B1EA156584112462448E8FC1841A4FD0180A056584199F51015B8FC1841FB543713A0565841F86A02E296FC18417674416A9F565841E558397189FC18415161236C9F565841603290E177FC18415D25F9989F56584160D1B56664FC1841BAE3857BA0565841F29B0F714BFC1841DC4D769DA15658412778DFB807FC18415F94D22CA25658419401F251E9FB1841665F1995A256584128DD9C52E2FB1841A627E0CAA2565841FAC31ED7D9FB184109B6820BA3565841D660A83DD2FB18412FBD87EBA35658417B5B931FD5FB18410260E74AA956584164069E85D8FB1841042ABD25AB5658419680BEC295FC184160B3BE3EAC565841276F8B0AE7FC1841C61BFDEFAC565841460105D70CFD18416050810BAD565841F5535C6727FD184143CAEAB1AC565841</t>
  </si>
  <si>
    <t>B1175</t>
  </si>
  <si>
    <t>2020000B1175</t>
  </si>
  <si>
    <t>3631.27</t>
  </si>
  <si>
    <t>01060000206A080000010000000103000000010000000A000000F5535C6727FD184143CAEAB1AC565841460105D70CFD18416050810BAD565841276F8B0AE7FC1841C61BFDEFAC5658419680BEC295FC184160B3BE3EAC56584164069E85D8FB1841042ABD25AB56584136241B9ADBFB1841837EC0D5AC56584114DE0A5DC4FC184119359152AE5658413FB47A4802FD18417F3E32A3AE5658413D3665A429FD184180402B8CAE565841F5535C6727FD184143CAEAB1AC565841</t>
  </si>
  <si>
    <t>B1176</t>
  </si>
  <si>
    <t>2020000B1176</t>
  </si>
  <si>
    <t>568.26</t>
  </si>
  <si>
    <t>01060000206A080000010000000103000000010000000C00000009948EF62EFD1841B02085DBB25658413D3665A429FD184180402B8CAE5658413FB47A4802FD18417F3E32A3AE56584114DE0A5DC4FC184119359152AE56584136241B9ADBFB1841837EC0D5AC5658417898259AE1FB18410AC7241CB056584150EFA2EBEEFB1841726BE6F1B5565841732060F602FC1841D3D26FCDB556584186E8ACE17BFC1841D536555FB5565841B74BB533ECFC1841FAD8CD3CB45658418450BE471DFD18412A5A07A0B356584109948EF62EFD1841B02085DBB2565841</t>
  </si>
  <si>
    <t>B1177</t>
  </si>
  <si>
    <t>2020000B1177</t>
  </si>
  <si>
    <t>2323.81</t>
  </si>
  <si>
    <t>01060000206A080000010000000103000000010000001B000000B41A4CCDE2FD18413E6BE65AA356584138FC4BECB9FD18416B4444AAA25658417B96A8146CFD18412BB97DE49D56584175EB3E8536FD184148FDC50C9C5658413FC1EB282DFD184123BC28DC9B56584138189D1F1BFD1841BFD29E109C56584144F46B6601FD18417C50C1259D565841E25140CD0DFD18414E4A1B1EA15658418B12FA7A14FD184130EFA940A3565841BA5ADF661BFD18416FE51D05A8565841705B5C6626FD1841E3D370DDAB565841F5535C6727FD184143CAEAB1AC5658413D3665A429FD184180402B8CAE56584109948EF62EFD1841B02085DBB25658412AD77A7B33FD1841CA07758DB6565841A08FBAC29FFD1841BD31F111B956584146B079A4A8FD1841D81502C0BA5658411D898C6601FE184135C20480B956584175FF5CCD0EFE184122182C2CB95658412CED7E8F1FFE184163AECE4CB8565841D6A9321F28FE18414D1658EFB6565841093F76AE2DFE1841265F19D5B55658417FD63D3E45FE18414EE2C275B45658416ADAE7F555FE18419D8E03C7B256584166CFAF3D6FFE1841B2D91B3EB0565841B9C48C8500FE184109B4F81FA6565841B41A4CCDE2FD18413E6BE65AA3565841</t>
  </si>
  <si>
    <t>B1178</t>
  </si>
  <si>
    <t>2020000B1178</t>
  </si>
  <si>
    <t>6690.58</t>
  </si>
  <si>
    <t>01060000206A0800000100000001030000000100000008000000D052E70D69FF184162D40BACC356584142DA1AB9B5FE18414EF3C6ECBC565841B54DA148A0FE184195E50210BE56584114733D00EEFD1841F267F3C8C75658411092767126FE1841A6530170C8565841F6952900A7FE184121587E44CA565841A51944C4DEFE18417274B04DC8565841D052E70D69FF184162D40BACC3565841</t>
  </si>
  <si>
    <t>B1179j</t>
  </si>
  <si>
    <t>2020000B1179</t>
  </si>
  <si>
    <t>2484.96</t>
  </si>
  <si>
    <t>01060000206A080000010000000103000000010000000B000000A0014C7BCCFF184186FD6206C4565841936D59CDCBFF18416E37780DC456584139EB1D348DFF18419E74BAFEC3565841731FA3337CFF18417D047D64C4565841D052E70D69FF184162D40BACC3565841A51944C4DEFE18417274B04DC8565841F6952900A7FE184121587E44CA565841C212663E3CFF1841F4BDA7A0CB565841FAF82100BDFF1841AD9851D8CB565841E0615829B2FF1841519C5CBFC8565841A0014C7BCCFF184186FD6206C4565841</t>
  </si>
  <si>
    <t>B1179k</t>
  </si>
  <si>
    <t>1452.47</t>
  </si>
  <si>
    <t>01060000206A0800000100000001030000000100000013000000D90DFC1E78FE1841AC5DF558AF56584166CFAF3D6FFE1841B2D91B3EB05658416ADAE7F555FE18419D8E03C7B2565841CE4DCC6688FE1841D2B507C0B9565841EFC25A332D001941608D0710B55658417435541F45001941CA495858BD565841F8168BF66200194147A7EBA1BD565841C037F33399001941246B103EBE565841A9C27A7BD2001941DBCBBBE5BD56584147FF2CE2E800194153A39C90B25658419B8758E1E2001941E573A0A0B0565841E97EE47AC90019416FD7182EAD5658417210903DA900194110644A11AC5658414489B7F657001941856CB457AA565841953955AEAFFF1841E0A21ADEAD565841B96ACB5C2FFF1841E4D4E50AAE5658414232AECD1FFF1841082D692DAD565841D10EE73DDCFE184197E8385AAE565841D90DFC1E78FE1841AC5DF558AF565841</t>
  </si>
  <si>
    <t>B1181</t>
  </si>
  <si>
    <t>2020000B1181</t>
  </si>
  <si>
    <t>7503.15</t>
  </si>
  <si>
    <t>01060000206A08000001000000010300000001000000070000004232AECD1FFF1841082D692DAD565841B96ACB5C2FFF1841E4D4E50AAE565841953955AEAFFF1841E0A21ADEAD5658414489B7F657001941856CB457AA56584109ED14522D0019417A8471FD9E565841538D43AEA2FF18417F09BB4EA15658414232AECD1FFF1841082D692DAD565841</t>
  </si>
  <si>
    <t>B1182</t>
  </si>
  <si>
    <t>2020000B1182</t>
  </si>
  <si>
    <t>2872.05</t>
  </si>
  <si>
    <t>01060000206A080000010000000103000000010000000C000000658FD4C2A10419418C8E5A7FB556584124F348B830051941F09026B5AF5658412D9C23E22D051941476EC205AF5658416ED4E3C24B041941626F5E0FA0565841BFB5675C1204194186C96D269C5658412C49AF663F04194151338A52A056584162D264C369041941AB392DE3A55658410FFFC8AE70041941FF140760A75658411385598F74041941DF61AB50AC56584155501BA4890419411808A620B25658419F280552A1041941DC57DC03B5565841658FD4C2A10419418C8E5A7FB5565841</t>
  </si>
  <si>
    <t>B1183</t>
  </si>
  <si>
    <t>2020000B1183</t>
  </si>
  <si>
    <t>1949.17</t>
  </si>
  <si>
    <t>01060000206A080000010000000103000000010000003E000000D90DFC1E78FE1841AC5DF558AF565841D10EE73DDCFE184197E8385AAE5658414232AECD1FFF1841082D692DAD565841538D43AEA2FF18417F09BB4EA156584109ED14522D0019417A8471FD9E5658414489B7F657001941856CB457AA5658417210903DA900194110644A11AC565841E97EE47AC90019416FD7182EAD5658419B8758E1E2001941E573A0A0B056584147FF2CE2E800194153A39C90B2565841A9C27A7BD2001941DBCBBBE5BD565841C037F33399001941246B103EBE565841C26FF86613011941316F00A0BF56584183C742C3F9031941A65A91C2C7565841F75C2AA4270419410CD60547C8565841A8B6037B34041941A562CF4CC6565841B772CFE138041941A0A419AEC4565841F84E091F7F0419411136BA3EBB56584123BAF75CA00419413576DAB3B85658410785DBE1A3041941B6E4BF25B8565841658FD4C2A10419418C8E5A7FB55658419F280552A1041941DC57DC03B556584155501BA4890419411808A620B25658411385598F74041941DF61AB50AC5658410FFFC8AE70041941FF140760A756584162D264C369041941AB392DE3A55658412C49AF663F04194151338A52A0565841BFB5675C1204194186C96D269C565841034003B9050319419DD706008A5658417FBE9A00DD021941C9351157875658414EDB9348F501194103EBA9F7775658412B4F04A0FA011941FE13BA3063565841456DDB6384FF1841069F60B369565841E0EC909E1CFF184181ED70B360565841177C0FEDA5FE18414AD5E59258565841AE91346595FE184175581E2D5F565841A4AAB88977FE1841F5C9D7EB60565841B33AB9B241FE1841273085E561565841B244B92813FE1841E09B466061565841283A6D31B4FD1841793395695C5658412EF5222E50FC18416B1A2A3D58565841290E64B613FC184197E75D055756584166F2E43B83FB1841CF218AA24E565841443FC71B64FB18417319704D50565841E5D51B527BFB1841944DE5C155565841D8D8E2CCB1FB1841C8E5509860565841C60A221FDDFB1841C8239FE96756584163089B7B09FC184177C2A95771565841656793D71FFC1841D719380A725658415F1505EC2CFC184109E64AE87256584142E270152FFC18410C7B61A673565841A57577C32EFC1841965442E17456584125188D851BFC1841C9382F8377565841795615B947FC184166DA357A79565841A552AC295FFC1841F409F2C17A56584199BCC2AE8CFC1841205623A57D56584159BF10B9ABFC184161EFBF05815658410B6AE4F540FD184111396E4D915658410F0B51E188FD1841B224ACF79856584101D36B0AAAFD184158CD9A799C565841CC019A71FDFD184159C8BDE5A3565841D90DFC1E78FE1841AC5DF558AF565841</t>
  </si>
  <si>
    <t>B1184j</t>
  </si>
  <si>
    <t>2020000B1184</t>
  </si>
  <si>
    <t>138706.37</t>
  </si>
  <si>
    <t>01060000206A080000010000000103000000010000002B0000002B4F04A0FA011941FE13BA3063565841D435F647FD011941EA2023DC5856584163E70E5209021941890EE3BA44565841EA4B41D7170219414FE705A03356584111CE75B87700194192C7E3FA235658410056D4F480001941E71DB8A3285658417B1407838D0019414002957A29565841F0F35E1BAF00194149E125F13C5658417CAFDA01A9FD1841B4275D873A565841DA716872A1FD1841780A7F97355658417893EAE9F8FC1841EDF1CB3D1B56584102D9E6A401FD18418DF27C5419565841E614C6877BFC184187021AFD0C56584158168F3D95FC1841DB5E63AA0A5658414387C7EB59FC18419154B68E0A56584104CCDB3344FC1841956AE9910A56584156BF68C319FB1841EAAED4DC12565841C2A3960AEFFA18413554CCFC135658413CA3F27A8CFA18419DB821451256584181DB0FEC44FA1841EC925F16135658414EE420C302FA184133A3258C135658410CF8CC33D3F91841D775CCAC13565841D8E3D1D79DF918416596274C13565841416C551521FA1841043A18AE3C5658419B097D9A93FA184148C3E8CA605658415BC3CDA3A8FA18412C186C6D675658417132F4C2D8FB184162EA54E867565841C60A221FDDFB1841C8239FE967565841D8D8E2CCB1FB1841C8E5509860565841E5D51B527BFB1841944DE5C155565841443FC71B64FB18417319704D5056584166F2E43B83FB1841CF218AA24E565841290E64B613FC184197E75D05575658412EF5222E50FC18416B1A2A3D58565841283A6D31B4FD1841793395695C565841B244B92813FE1841E09B466061565841B33AB9B241FE1841273085E561565841A4AAB88977FE1841F5C9D7EB60565841AE91346595FE184175581E2D5F565841177C0FEDA5FE18414AD5E59258565841E0EC909E1CFF184181ED70B360565841456DDB6384FF1841069F60B3695658412B4F04A0FA011941FE13BA3063565841</t>
  </si>
  <si>
    <t>B1184k</t>
  </si>
  <si>
    <t>116627.79</t>
  </si>
  <si>
    <t>01060000206A080000010000000103000000020000002100000011CE75B87700194192C7E3FA235658416A4773856A001941410C2E7C26565841CF1EF570620019418938B38E2756584190A3B0A445001941D9DCE75128565841877B649A27001941E5B46D562856584167C5D2330D0019414A394B21285658417FD453C3DBFF184164BCFA5826565841D3753590A7FF18416B0FAD8723565841DD387A8FACFF18419E530DE7175658412779039A8CFF1841111DF23112565841FBF741D75BFF1841CD30736D14565841E4D41B7129FF18416E59175E16565841C02610F601FF18411F161CAE175658419E117A0AD8FE1841F58C249C17565841CD2496F6A9FE18418C39F83F17565841054B5A716CFE1841BB65A7201656584115995B48FEFD184107437C1410565841823B566721FE184179A2F9480956584142EED7EBA6FD1841B78FADF7085658419A1632F69BFD1841AC65DC3A085658411CFEC13D3FFD1841619474BD095658416BB55C1F0BFD1841489A96520A565841FFF71A15C5FC184117D3A8C00A56584158168F3D95FC1841DB5E63AA0A565841E614C6877BFC184187021AFD0C56584102D9E6A401FD18418DF27C54195658417893EAE9F8FC1841EDF1CB3D1B565841DA716872A1FD1841780A7F97355658417CAFDA01A9FD1841B4275D873A565841F0F35E1BAF00194149E125F13C5658417B1407838D0019414002957A295658410056D4F480001941E71DB8A32856584111CE75B87700194192C7E3FA23565841050000007CC1885C66FD1841EA9F62A6115658418163C1B889FD1841277F7F8412565841A1EB991482FD1841D0182EFC13565841152540CD5EFD1841D76B692D135658417CC1885C66FD1841EA9F62A611565841</t>
  </si>
  <si>
    <t>B1184l</t>
  </si>
  <si>
    <t>SL1973</t>
  </si>
  <si>
    <t>32367.48</t>
  </si>
  <si>
    <t>01060000206A08000001000000010300000001000000050000007CC1885C66FD1841EA9F62A611565841152540CD5EFD1841D76B692D13565841A1EB991482FD1841D0182EFC135658418163C1B889FD1841277F7F84125658417CC1885C66FD1841EA9F62A611565841</t>
  </si>
  <si>
    <t>B1185</t>
  </si>
  <si>
    <t>2020000B1185</t>
  </si>
  <si>
    <t>59.26</t>
  </si>
  <si>
    <t>01060000206A08000001000000010300000001000000150000002779039A8CFF1841111DF231125658414DED56488FFF1841B92B97121156584121E817F689FF184106137E541056584141A212717FFF18411B31D9230F565841BE32710A53FF18410915CFAC0C565841FA7CFB9939FF18417E952F130C565841727BBAC208FF1841C29100D00A565841205F3771D1FE184172D55FCF09565841CCE7D71483FE18415C65459108565841A90B575250FE1841BC9992C90756584100D9020038FE1841BB2871CD07565841471FA97024FE1841865001B008565841823B566721FE184179A2F9480956584115995B48FEFD184107437C1410565841054B5A716CFE1841BB65A72016565841CD2496F6A9FE18418C39F83F175658419E117A0AD8FE1841F58C249C17565841C02610F601FF18411F161CAE17565841E4D41B7129FF18416E59175E16565841FBF741D75BFF1841CD30736D145658412779039A8CFF1841111DF23112565841</t>
  </si>
  <si>
    <t>B1186</t>
  </si>
  <si>
    <t>2020000B1186</t>
  </si>
  <si>
    <t>TAIL2013</t>
  </si>
  <si>
    <t>4272.69</t>
  </si>
  <si>
    <t>01060000206A08000001000000010300000001000000260000005F19FC5CEFFC18410236765402565841D99ED3CCBEFC184113B303B002565841288343527EFC1841A0BF8CC203565841324CECA313FC18415A1F575F0456584132C1C3335EFB18410EEC413A0556584146C8699AD6FA1841A651FC3F065658414EBEA000A5FA1841BAE524CC06565841102C03B93AFA18412A47F73808565841D98F4A850DFA18414E4914FE0856584194C7EC70EDF91841A70A2F030956584132428F7BD1F9184113761ADE08565841805835B991F91841E6C1AB0008565841F0E5C8D736F91841963174D4075658416097C866DEF8184194B340C1075658418A8306E26BF81841B7BC97790856584108512EF62FF81841B13F19D5085658410C0DB233D9F71841BEA2F2D108565841F7010CA478F7184174ED4EF809565841A57D5B3E6EF71841CDD0132E14565841E47FD314FBF718418B3A3B8314565841F45E04EC34F8184130979559145658412D9D06E28AF818416F46697D135658417B316371CCF81841B4F0D893125658415C822467F8F8184163F5258C125658418074879A48F91841B4B8FAA8125658416327D11487F9184100082D2313565841D8E3D1D79DF918416596274C135658410CF8CC33D3F91841D775CCAC135658414EE420C302FA184133A3258C1356584181DB0FEC44FA1841EC925F16135658413CA3F27A8CFA18419DB8214512565841C2A3960AEFFA18413554CCFC1356584156BF68C319FB1841EAAED4DC1256584104CCDB3344FC1841956AE9910A5658414387C7EB59FC18419154B68E0A56584158168F3D95FC1841DB5E63AA0A56584164BFE3E7C3FC184145A3F272065658415F19FC5CEFFC18410236765402565841</t>
  </si>
  <si>
    <t>B1187j</t>
  </si>
  <si>
    <t>2020000B1187</t>
  </si>
  <si>
    <t>14390.87</t>
  </si>
  <si>
    <t>01060000206A080000010000000103000000010000003100000011CE75B87700194192C7E3FA235658419CA9A1008C0019419B6002C0185658417CB1D5AE99001941615AD91A12565841617884719A001941E8C27B741156584125D0BB334E0019415769D6E310565841A6251815DDFF1841482E95890E565841CF8AC7C2AEFF1841605053B80C565841D21D4AEC59FF18414DF0D4EC085658413B9801713FFF1841201F245C08565841041EDA291BFF1841B3B322D507565841EA7DDDE1B5FE18416D6BB537075658414DFC7D3394FE1841D4C53713075658412E62007148FE1841AB0E9F7005565841D14C783D0CFE1841A5D76A16045658419B18E185CFFD18419F8477B401565841CFFC5E00B6FD1841CF9F39EA005658411E82853D9EFD1841B58684BB005658410885120B6AFD18416E9206400156584141BA02D73AFD184146F45F0F025658415F19FC5CEFFC1841023676540256584164BFE3E7C3FC184145A3F2720656584158168F3D95FC1841DB5E63AA0A565841FFF71A15C5FC184117D3A8C00A5658416BB55C1F0BFD1841489A96520A5658411CFEC13D3FFD1841619474BD095658419A1632F69BFD1841AC65DC3A0856584142EED7EBA6FD1841B78FADF708565841823B566721FE184179A2F94809565841471FA97024FE1841865001B00856584100D9020038FE1841BB2871CD07565841A90B575250FE1841BC9992C907565841CCE7D71483FE18415C65459108565841205F3771D1FE184172D55FCF09565841727BBAC208FF1841C29100D00A565841FA7CFB9939FF18417E952F130C565841BE32710A53FF18410915CFAC0C56584141A212717FFF18411B31D9230F56584121E817F689FF184106137E54105658414DED56488FFF1841B92B9712115658412779039A8CFF1841111DF23112565841DD387A8FACFF18419E530DE717565841D3753590A7FF18416B0FAD87235658417FD453C3DBFF184164BCFA582656584167C5D2330D0019414A394B2128565841877B649A27001941E5B46D562856584190A3B0A445001941D9DCE75128565841CF1EF570620019418938B38E275658416A4773856A001941410C2E7C2656584111CE75B87700194192C7E3FA23565841</t>
  </si>
  <si>
    <t>B1187k</t>
  </si>
  <si>
    <t>SL1984</t>
  </si>
  <si>
    <t>9108.81</t>
  </si>
  <si>
    <t>01060000206A08000001000000010300000003000000420000003078F97037F71841E37E4661A356584195FC97AE5AF718416928119EA2565841B552081579F718418503220CA2565841B2E59CB8CAF71841B469C9ACA156584158FA90B8DBF718417EFF0557A156584107814A33F4F71841329E2AFCA0565841E00726EC48F818416370DE138C565841DFE40AD737F81841DA053FDA88565841388FEA3D43F81841686364A688565841B49AD8142AF81841857D6BE67F5658410D869B6633F818419E58E5BA7F565841719AF25120F81841179CDA6A785658418EE9997116F81841880A249C745658419A4A668514F81841639C32E373565841DC66F78F66F8184168B15C3F7256584150719671B4F81841BC2CB2E770565841CF493EECD5F81841F0E15588705658419BABB129E7F8184118E56D667056584140FCAAE139F9184161676D6666565841716AF85176F91841473244FA6556584104058F48FEF91841873A5C6F605658410CABA06623FA1841A41E8D3263565841339904EC74FA1841DE6C84FB615658419B097D9A93FA184148C3E8CA60565841416C551521FA1841043A18AE3C565841D8E3D1D79DF918416596274C135658416327D11487F9184100082D23135658418074879A48F91841B4B8FAA8125658415C822467F8F8184163F5258C125658417B316371CCF81841B4F0D893125658412D9D06E28AF818416F46697D13565841F45E04EC34F818413097955914565841E47FD314FBF718418B3A3B8314565841A57D5B3E6EF71841CDD0132E14565841F7010CA478F7184174ED4EF809565841BC291E0B54F7184138CBDCB30A56584115892EEC20F718411B21F8380B5658418D5ECF14EEF61841D1CADAC30B5658414AEDCC8599F61841260BC05E0D5658411CBA13342FF6184160D661260F565841A8C0017B18F618413C33297C0F565841CE9E44D7ADF51841509C7F5B10565841FE87C6D79CF518410DEFDADA10565841DDD563CD52F51841C34708B71356584109844E0027F51841775CEA1115565841A5139699F4F41841684805F71556584195CA92E1CCF41841361990A216565841FB52306767F4184108EAAB0719565841DFE2CC002EF41841EE4CEE411B5658414F7B9CA4EBF31841DEE4FB7F1D565841440A33C3ADF318412FD06CDD1E56584109E6362978F31841D7361CCE1F56584101976F7B54F3184105100A27205658417820609A51F31841A7A6162E205658412F292B3E29F3184133C1D43C20565841DD86FDEBF4F21841E32DFFBF1F5658418E8DA20ACDF21841CEFAE75A1F565841BA38D8A3A9F21841B9FA750D1E5658415A7A46C393F21841E93FB4171D56584181077C0A86F218419F11B5371D565841E14A0B6705F318412999186E2B5658415BA0724811F518416A16FDD86556584176DE77485DF618411B8CFA4F8B5658417E5A97C287F618415BD464F68F565841E12B1A0018F71841600D55BF9F5658413078F97037F71841E37E4661A356584116000000654BCBA862F618411CD021D247565841DB8DBD61C3F518415BA5891C41565841F63455C6B5F51841C85882A82E5658416C5D61A730F618410CE7DFA02956584195C2383B32F618415B525AB427565841AE44234321F61841379B5CA2235658417844E304B3F6184167001C871C565841888E8122ABF718419B07DF281D56584186AE2F0DC5F7184112C59CCB225658410E00B745F5F7184126E8B7472D56584102ADA8922BF81841FBE8A11339565841C5AA6D94E3F71841C86292603A565841756BFEA4A5F71841DC7DF0BF3B565841FC2C96B28AF71841D52E99143C565841F375B9D231F71841EAFD5ED23B565841347E4E92FAF6184141151ED13B565841B59BEBBECEF6184194F0F8963C5658418A7EE5B9B0F61841B97995503D565841739BC56AA2F61841FF28C5253E565841D4269B0298F6184147595FCD3F5658413B6B963D7EF618418532CB9543565841654BCBA862F618411CD021D2475658410B000000C166B34B32F5184169D6FA0261565841FD0E374625F51841BBDD87CD5E56584157F2416033F51841A461F4705C565841D933CC9D28F51841285E21C65A565841B4E4339842F5184116309AF95756584195B9807858F51841D744A5B756565841F07EC07088F518414723BAE857565841E4983B6EA0F51841E71AFCCF5A56584103B46E4893F51841FA23DE5B5C565841613274DB63F51841934A6B8F5E565841C166B34B32F5184169D6FA0261565841</t>
  </si>
  <si>
    <t>B1195j</t>
  </si>
  <si>
    <t>2020000B1195</t>
  </si>
  <si>
    <t>AVEC AVENIR</t>
  </si>
  <si>
    <t>149046.82</t>
  </si>
  <si>
    <t>01060000206A0800000100000001030000000100000016000000888E8122ABF718419B07DF281D5658417844E304B3F6184167001C871C565841AE44234321F61841379B5CA22356584195C2383B32F618415B525AB4275658416C5D61A730F618410CE7DFA029565841F63455C6B5F51841C85882A82E565841DB8DBD61C3F518415BA5891C41565841654BCBA862F618411CD021D2475658413B6B963D7EF618418532CB9543565841D4269B0298F6184147595FCD3F565841739BC56AA2F61841FF28C5253E5658418A7EE5B9B0F61841B97995503D565841B59BEBBECEF6184194F0F8963C565841347E4E92FAF6184141151ED13B565841F375B9D231F71841EAFD5ED23B565841FC2C96B28AF71841D52E99143C565841756BFEA4A5F71841DC7DF0BF3B565841C5AA6D94E3F71841C86292603A56584102ADA8922BF81841FBE8A113395658410E00B745F5F7184126E8B7472D56584186AE2F0DC5F7184112C59CCB22565841888E8122ABF718419B07DF281D565841</t>
  </si>
  <si>
    <t>B1195k</t>
  </si>
  <si>
    <t>17129.42</t>
  </si>
  <si>
    <t>01060000206A080000010000000103000000010000000B000000C166B34B32F5184169D6FA0261565841613274DB63F51841934A6B8F5E56584103B46E4893F51841FA23DE5B5C565841E4983B6EA0F51841E71AFCCF5A565841F07EC07088F518414723BAE85756584195B9807858F51841D744A5B756565841B4E4339842F5184116309AF957565841D933CC9D28F51841285E21C65A56584157F2416033F51841A461F4705C565841FD0E374625F51841BBDD87CD5E565841C166B34B32F5184169D6FA0261565841</t>
  </si>
  <si>
    <t>B1195l</t>
  </si>
  <si>
    <t>733.34</t>
  </si>
  <si>
    <t>01060000206A0800000100000001030000000100000007000000E00726EC48F818416370DE138C56584107814A33F4F71841329E2AFCA056584108A5F5F500F81841A1D9D4CCA0565841AF281BCD16F81841E560222CA0565841AA259E0A9FF81841C22F8E029A5658410AF45D009CF8184137DC75B499565841E00726EC48F818416370DE138C565841</t>
  </si>
  <si>
    <t>B1196</t>
  </si>
  <si>
    <t>2020000B1196</t>
  </si>
  <si>
    <t>1535.65</t>
  </si>
  <si>
    <t>01060000206A080000010000000103000000010000000C0000002DEC1A5CE6F8184151F080ABA2565841B96F6BB8D2F81841EC43273C9F5658417B1F9A7BB9F81841E728FCA89C565841AA259E0A9FF81841C22F8E029A565841AF281BCD16F81841E560222CA05658418EC9800050F81841E48DA070A5565841F45A0DC35EF8184138FDAF67A5565841402542EC74F81841898D0D8EA4565841F3FB280B8BF8184137E1120EA45658413094EC66A5F818411271FCF8A35658413F4DEC1EE5F81841AEE4C9ACA25658412DEC1A5CE6F8184151F080ABA2565841</t>
  </si>
  <si>
    <t>B1197</t>
  </si>
  <si>
    <t>2020000B1197</t>
  </si>
  <si>
    <t>1319.77</t>
  </si>
  <si>
    <t>01060000206A080000010000000103000000010000001B0000003078F97037F71841E37E4661A3565841488EA98FCDF718417D80D5B3B456584175CD96CD91F8184196C964D6CA565841E7A53E0AA5F81841EA4493F9CC565841AF41CC99D7F81841ED27D883B656584136F1FBFF88F818419324F148B3565841AC718DF67FF81841F22869D6B156584146CF4B0073F81841F414237CB156584116E7980A64F81841E41489D2B15658419B61043454F81841C022C7E5B25658411EBAD5CC47F8184102F4DE4AB3565841ABE5AC703CF81841F1A27D34B3565841C654018634F81841B0C2C43CB25658413B9099D734F818414DEFB75EB0565841B6E4FE8F35F818417F206E76AE5658412E9FA8CD1EF818418FF3734DAB5658415BD6716649F81841E4760D5EA956584102D983294EF818411D9FC705A75658418EC9800050F81841E48DA070A5565841AF281BCD16F81841E560222CA056584108A5F5F500F81841A1D9D4CCA056584107814A33F4F71841329E2AFCA056584158FA90B8DBF718417EFF0557A1565841B2E59CB8CAF71841B469C9ACA1565841B552081579F718418503220CA256584195FC97AE5AF718416928119EA25658413078F97037F71841E37E4661A3565841</t>
  </si>
  <si>
    <t>B1198</t>
  </si>
  <si>
    <t>2020000B1198</t>
  </si>
  <si>
    <t>7044.02</t>
  </si>
  <si>
    <t>01060000206A080000010000000103000000010000000A000000E415615DC1F81841CF57B764C0565841E7A53E0AA5F81841EA4493F9CC5658418FF829AEB1F8184175F45F5FCE5658418F56915C0FF91841326DC505CD56584123CEFE9922F9184119518004CD5658411020B8A4FBF81841C75968C6C5565841AD7ED233E7F818412BAFF718C1565841154A2D9AE4F818417A60576FBF5658416BD1172DD5F8184100F6A8A1BF565841E415615DC1F81841CF57B764C0565841</t>
  </si>
  <si>
    <t>B1199j</t>
  </si>
  <si>
    <t>2020000B1199</t>
  </si>
  <si>
    <t>1087.18</t>
  </si>
  <si>
    <t>01060000206A0800000100000001030000000100000008000000AF41CC99D7F81841ED27D883B6565841E415615DC1F81841CF57B764C05658416BD1172DD5F8184100F6A8A1BF565841154A2D9AE4F818417A60576FBF5658413D0AFD14E2F8184171CEC2E5BD565841670F9F7BF2F818419303BAAEB6565841BB3323F6DFF81841BC0BE2DAB6565841AF41CC99D7F81841ED27D883B6565841</t>
  </si>
  <si>
    <t>B1199k</t>
  </si>
  <si>
    <t>252.69</t>
  </si>
  <si>
    <t>01060000206A080000010000000103000000010000001000000083A8ECD770F9184161EC56C8E35658415BB7304879F9184197628114E856584171725E7185F91841806954EF01575841D2DEE20A95F9184143F5561801575841387C4100E2F91841B0F2DEE3FB5658417F1A83AE41FA18417D76F908F5565841BDD8677BAFFA18414B0B1BE5E956584123A42BECD3FA18417ECFD05CE5565841D29A905CDDFA18413233D0B3E2565841E11FAA3DD3FA1841F16AFE0FDE56584155D8AB0086FA1841D85B4BA1E05658410864317B96FA18416FB3682DE3565841A8EC1148DBF91841BA42CB3CE95658410EC2401FBCF918414005CA4CDE565841A2E4224FBAF91841E6C4E7A9DD56584183A8ECD770F9184161EC56C8E3565841</t>
  </si>
  <si>
    <t>B1200j</t>
  </si>
  <si>
    <t>2020000B1200</t>
  </si>
  <si>
    <t>6278.79</t>
  </si>
  <si>
    <t>01060000206A080000010000000103000000010000000A00000023CEFE9922F9184119518004CD5658418F56915C0FF91841326DC505CD5658418FF829AEB1F8184175F45F5FCE565841FA7DDA8561F91841D6CD38DAE156584183A8ECD770F9184161EC56C8E3565841A2E4224FBAF91841E6C4E7A9DD5658416758C147B8F918411CF2DBF3DC56584155973A907FF918411D25BCC5D05658419A4B731465F918411C37A400CD56584123CEFE9922F9184119518004CD565841</t>
  </si>
  <si>
    <t>B1200k</t>
  </si>
  <si>
    <t>3028.44</t>
  </si>
  <si>
    <t>01060000206A080000010000000103000000010000000A000000E44235FC8AF91841DDFB71260F575841A8FA957B90F91841822C62B61C575841C0C0E1CCC1F91841E36EB4BE1B5758415F055BCDD4F9184121292AEC1A57584187B2323E0EFA1841FA43721D1B5758418DCAB41415FA1841ED2A293C1B575841D8DDA41E0AFA184182B8ED3B1557584143899BCCE3F91841F5DB374113575841F48AD8F7CFF918418413B5F310575841E44235FC8AF91841DDFB71260F575841</t>
  </si>
  <si>
    <t>B1201j</t>
  </si>
  <si>
    <t>2020000B1201</t>
  </si>
  <si>
    <t>1262.26</t>
  </si>
  <si>
    <t>01060000206A080000010000000103000000010000000A0000008BE78D00C8F918411B0683AB00575841AC9BD185B0F9184174061BEE01575841E203F28586F9184126C16B2604575841E44235FC8AF91841DDFB71260F575841F48AD8F7CFF918418413B5F31057584143899BCCE3F91841F5DB374113575841D8DDA41E0AFA184182B8ED3B15575841328D4BAE06FA18418220415A1357584101E46485ECF918412CA00100055758418BE78D00C8F918411B0683AB00575841</t>
  </si>
  <si>
    <t>B1201k</t>
  </si>
  <si>
    <t>1635.04</t>
  </si>
  <si>
    <t>01060000206A080000010000000103000000010000000A000000D5E953CCFBF81841694EF3C84D575841B4E94B0232F91841F0FD34994457584107BA343F84F91841DABA05683E575841D58D10B97EF91841EE59CC9C3C575841E6FE5EB87CF91841B9D10F0E3A575841829C29CD73F918412D6824F52757584155F66C9AEEF81841D853104728575841A19CBEF5E7F81841BE83FF6F2F575841D411F651F0F818410D9A3DDA39575841D5E953CCFBF81841694EF3C84D575841</t>
  </si>
  <si>
    <t>B1202j</t>
  </si>
  <si>
    <t>2020000B1202</t>
  </si>
  <si>
    <t>PLA 2018 programme. Faire plan</t>
  </si>
  <si>
    <t>PLA2020</t>
  </si>
  <si>
    <t>4042.48</t>
  </si>
  <si>
    <t>01060000206A080000010000000103000000010000000C00000007BA343F84F91841DABA05683E575841B4E94B0232F91841F0FD349944575841D5E953CCFBF81841694EF3C84D575841AF3AB9E1FBF81841041B1BEE4D57584187A7D9C21AF9184144EEE9814D5758412159037130F91841EAF3B86E4D575841B92A78295CF918412065E7B14F57584197C5CC0A89F91841C60E592852575841FABF2C9AA2F918410E87AD7753575841A5178EAEB6F91841C1979D10545758411B921DE286F91841AFC730433F57584107BA343F84F91841DABA05683E575841</t>
  </si>
  <si>
    <t>B1202k</t>
  </si>
  <si>
    <t>1910.27</t>
  </si>
  <si>
    <t>01060000206A080000010000000103000000010000000B000000AF3AB9E1FBF81841041B1BEE4D575841D411F651F0F818410D9A3DDA39575841A19CBEF5E7F81841BE83FF6F2F57584155F66C9AEEF81841D8531047285758417913F985D1F81841DCE4EF5828575841D66D5600CBF81841EE7932932C575841024F52E1CCF818417A23F0D83157584128C229A4D7F818416BB3E81A3E575841EE01CAF5DEF818415A426EB64D57584184F7BA70F0F81841637ABE154E575841AF3AB9E1FBF81841041B1BEE4D575841</t>
  </si>
  <si>
    <t>B1203</t>
  </si>
  <si>
    <t>2020000B1203</t>
  </si>
  <si>
    <t>1074.01</t>
  </si>
  <si>
    <t>01060000206A080000010000000103000000010000002C000000BBF20348ECF6184164B66FDD1E575841661517AE88F61841CA2510972657584157D2623E8EF618417880F1D1265758413DF1751FC7F618416781D21327575841CB965C66E4F61841CBA636A3265758412A4EFFD613F718412883EB8125575841FD455CE131F718414A4CEBF1255758419D0313D769F718416937619627575841938D7FE18EF71841CC83113729575841FBAE660AACF71841A42E09A72A5758415D14EFC2CFF718412966E5CA2E575841C07F9B3DF6F718417F444E4834575841F3678F9A10F81841DEAE222537575841B6D2CB0027F81841FDDAE911385758412A1F577B48F818414831F6683A57584128BC75337CF81841E774D0EC41575841F8AF60E17EF8184183F43E9A4257584151A4BE3D98F818411B4CD2F345575841EFE32E48B8F81841C0DC60464C57584137CC8B29CDF8184188F87A544D575841EE01CAF5DEF818415A426EB64D57584128C229A4D7F818416BB3E81A3E575841024F52E1CCF818417A23F0D831575841D66D5600CBF81841EE7932932C5758417913F985D1F81841DCE4EF582857584155F66C9AEEF81841D853104728575841829C29CD73F918412D6824F527575841B756DEE172F91841290AA22026575841A1EFE67A70F91841EE4E55581E5758411BF96F0012F91841E7499F70205758413B51F41EFDF8184106BF42EA205758419A0619A4F4F81841FEB5891B21575841FD9B7433B0F81841EEB205372257584140B724C36AF81841DE01838B21575841D50CD3F526F81841A0D1E7212157584192945B48E8F71841A116852B1F575841B09C0AC3DDF71841D35761661E575841FAC2CE00DAF718416503272C1D5758414B6E7FC3EBF7184193A8B2F7175758419672C91EDAF718410DF66D86175758414F6DB8D7C5F718412065DCE316575841EA7B5B8599F718415420BA9E145758411B4914A481F718419B5CA04913575841BBF20348ECF6184164B66FDD1E575841</t>
  </si>
  <si>
    <t>B1204</t>
  </si>
  <si>
    <t>2020000B1204</t>
  </si>
  <si>
    <t>13041.76</t>
  </si>
  <si>
    <t>01060000206A080000010000000103000000010000000E0000004B6E7FC3EBF7184193A8B2F7175758418FAF5485EFF7184185FF064017575841D0C83B1F12F81841CD6AA8D716575841605F8AD70FF818415D52897B1557584103CCF1B812F81841DE8F7ED413575841BABF4D480EF818413C2C04D711575841CBC8A36618F818417B1D94A210575841EC2BCD7B17F8184116AFD11C0E575841FDC939D7CAF718417D112D9C0D5758411B4914A481F718419B5CA04913575841EA7B5B8599F718415420BA9E145758414F6DB8D7C5F718412065DCE3165758419672C91EDAF718410DF66D86175758414B6E7FC3EBF7184193A8B2F717575841</t>
  </si>
  <si>
    <t>B1205</t>
  </si>
  <si>
    <t>2020000B1205</t>
  </si>
  <si>
    <t>1035.64</t>
  </si>
  <si>
    <t>01060000206A0800000100000001030000000100000009000000D0D459F66CF918418CA181EB12575841A3B3551505F918413144AB57135758413529F166EEF81841981266B613575841F7224871F5F818419E4631F318575841CAD93F5CF2F81841E715614F195758413B51F41EFDF8184106BF42EA205758411BF96F0012F91841E7499F7020575841A1EFE67A70F91841EE4E55581E575841D0D459F66CF918418CA181EB12575841</t>
  </si>
  <si>
    <t>B1207</t>
  </si>
  <si>
    <t>2020000B1207</t>
  </si>
  <si>
    <t>1524.39</t>
  </si>
  <si>
    <t>01060000206A080000010000000103000000010000000C0000004BDBCBB864F91841DC780F4EFF56584195C016345DF918416A687FCBEE5658413EDA3B5C5BF918412CA34F78E956584147A147AE4DF9184179F18D02E55658415CADF23348F918413CF40210E456584118D67A71F0F81841082B6B2DE55658417D19B0E1E2F818419F2EDD33E5565841A11CC570E2F8184127AEA2F0E856584127780CB9C0F81841C52B6DBDF156584199E0BAEBD1F818413DB1A099F2565841141C1B5DDDF81841B1AFFEDFFF5658414BDBCBB864F91841DC780F4EFF565841</t>
  </si>
  <si>
    <t>B1210</t>
  </si>
  <si>
    <t>2020000B1210</t>
  </si>
  <si>
    <t>3628.94</t>
  </si>
  <si>
    <t>01060000206A080000010000000103000000010000000C0000009DF62B2994F81841F4946796D65658419FA6DAEB72F81841AFBB9A49E6565841CD82BD14A8F818419C29A169E55658416CD8AAA4D6F81841FA3C9639E55658417D19B0E1E2F818419F2EDD33E556584118D67A71F0F81841082B6B2DE55658415CADF23348F918413CF40210E4565841BBA81F1543F91841C4E4C42CE3565841D785E5852DF9184168F73E4AE05658419E43BA5C02F9184153819CB0DB56584118EC05EC9DF81841377DC265D05658419DF62B2994F81841F4946796D6565841</t>
  </si>
  <si>
    <t>B1211</t>
  </si>
  <si>
    <t>2020000B1211</t>
  </si>
  <si>
    <t>2303.20</t>
  </si>
  <si>
    <t>01060000206A0800000100000001030000000100000009000000FDC939D7CAF718417D112D9C0D5758412A9E9EAE70F718410080B3A700575841B95D116E71F71841CAEF493A00575841E13ED561DDF6184117A0B86AFF5658414988800B25F61841DD9C4C68FE5658413BC6BD8F84F61841580C312C05575841940FE71ECEF6184134B67644095758411B4914A481F718419B5CA04913575841FDC939D7CAF718417D112D9C0D575841</t>
  </si>
  <si>
    <t>B1213j</t>
  </si>
  <si>
    <t>2020000B1213</t>
  </si>
  <si>
    <t>4053.34</t>
  </si>
  <si>
    <t>01060000206A080000010000000103000000010000000D00000051AB895378F7184171C1E46AFC565841983AC18F7CF718410F5E7F14FA565841B1573CDD72F718413D1A1D55F956584178F9A08E9DF6184131E7ECD2FB565841E284EBD869F61841DB7C4907FB565841EDA7392153F6184128262BD4FC5658419CE1DF3715F618411EED83BDFC565841D525C40E0EF618412F467CC7FC5658414988800B25F61841DD9C4C68FE565841E13ED561DDF6184117A0B86AFF565841B95D116E71F71841CAEF493A005758410C35369A71F71841F53D4E210057584151AB895378F7184171C1E46AFC565841</t>
  </si>
  <si>
    <t>B1213k</t>
  </si>
  <si>
    <t>CR en 2014</t>
  </si>
  <si>
    <t>1454.96</t>
  </si>
  <si>
    <t>01060000206A080000010000000103000000020000000F000000D525C40E0EF618412F467CC7FC5658419CE1DF3715F618411EED83BDFC565841EDA7392153F6184128262BD4FC565841E284EBD869F61841DB7C4907FB56584178F9A08E9DF6184131E7ECD2FB565841B1573CDD72F718413D1A1D55F9565841E38117A446F71841C5692CECF55658410E962B3E29F71841B5026CF6F2565841453DF85C33F718413437B177F1565841C02166CD1EF71841465DE751F25658412BC5991417F71841BD5404C7F2565841B2767E6652F61841E992C4C5F3565841A941C0E1B0F518411D0E7844F556584155565985A5F518412C2F0060F5565841D525C40E0EF618412F467CC7FC5658410700000090907FE12EF61841D05C2071F9565841644729222FF6184144C89B74F65658417D0141A141F6184161AB3E5AF6565841168B96CFAAF618418F3B89C4F5565841D958DA1EAEF6184153B23F58F856584166C68F9F99F61841C273CF31F956584190907FE12EF61841D05C2071F9565841</t>
  </si>
  <si>
    <t>B1213l</t>
  </si>
  <si>
    <t>2618.07</t>
  </si>
  <si>
    <t>01060000206A080000010000000103000000010000000700000090907FE12EF61841D05C2071F956584166C68F9F99F61841C273CF31F9565841D958DA1EAEF6184153B23F58F8565841168B96CFAAF618418F3B89C4F55658417D0141A141F6184161AB3E5AF6565841644729222FF6184144C89B74F656584190907FE12EF61841D05C2071F9565841</t>
  </si>
  <si>
    <t>B1213m</t>
  </si>
  <si>
    <t>393.18</t>
  </si>
  <si>
    <t>01060000206A0800000100000001030000000100000007000000533EFCC8C7F51841D79171100E575841BBF20348ECF6184164B66FDD1E5758411B4914A481F718419B5CA04913575841940FE71ECEF6184134B67644095758413BC6BD8F84F61841580C312C055758414988800B25F61841DD9C4C68FE565841533EFCC8C7F51841D79171100E575841</t>
  </si>
  <si>
    <t>B1214j</t>
  </si>
  <si>
    <t>2020000B1214</t>
  </si>
  <si>
    <t>6469.47</t>
  </si>
  <si>
    <t>01060000206A080000010000000103000000010000000C000000C26B815CD3F418413F5FE57AFA565841BC625EA4F4F4184120CF44FAFB56584198D43F7B3EF51841600772CD05575841557C967141F518417867FB5806575841533EFCC8C7F51841D79171100E5758414988800B25F61841DD9C4C68FE565841D525C40E0EF618412F467CC7FC565841537E08C9CCF518411ED74E22FD56584165A541B051F51841BBED6E82FA565841E0BA7F9528F518417FE7AC97F656584162F944D702F51841FB43BBF5F6565841C26B815CD3F418413F5FE57AFA565841</t>
  </si>
  <si>
    <t>B1214k</t>
  </si>
  <si>
    <t>3645.83</t>
  </si>
  <si>
    <t>01060000206A0800000100000001030000000100000007000000D525C40E0EF618412F467CC7FC56584155565985A5F518412C2F0060F556584199CE879A59F51841D90A761DF6565841E0BA7F9528F518417FE7AC97F656584165A541B051F51841BBED6E82FA565841537E08C9CCF518411ED74E22FD565841D525C40E0EF618412F467CC7FC565841</t>
  </si>
  <si>
    <t>B1214l</t>
  </si>
  <si>
    <t>955.91</t>
  </si>
  <si>
    <t>01060000206A080000010000000103000000010000000D000000BBF20348ECF6184164B66FDD1E575841533EFCC8C7F51841D79171100E575841557C967141F518417867FB580657584184545AC34AF51841AAE2FF0F0857584165CD5F007FF418416C84DCFA1057584127DB3A48A3F4184183E6D4DC1357584175142C67CAF4184109284FD815575841FB16C014F5F41841C4B3A0A91757584188CFF4AE65F518417818D8031B575841FCAF4B7BB9F51841D22696421E57584185EAE57055F618418A1A196E24575841661517AE88F61841CA25109726575841BBF20348ECF6184164B66FDD1E575841</t>
  </si>
  <si>
    <t>B1215</t>
  </si>
  <si>
    <t>2020000B1215</t>
  </si>
  <si>
    <t>CR2016</t>
  </si>
  <si>
    <t>7863.51</t>
  </si>
  <si>
    <t>01060000206A08000001000000010300000001000000140000007B1346A4D6F21841F7A493E9E55658417D63FC3DC5F21841B7FAA099E656584184CD46856AF21841E70BC73CEA56584104DF98CD09F2184125DC45B1ED56584199316FCDC2F118418D7D9719F0565841A2ED433373F1184110A5BDDEF356584187FB2B9041F21841B5C8B1D7FA565841FC54CB5253F218413BB181C4FB565841E27818B9A2F2184131F7B54EFD56584148326A5C47F3184191707FC4015758419126ED2809F418414F993F4A065758411FE3765219F41841A2696D0607575841DC19C1476CF41841CF16BD7E0F575841BB9EC6F573F41841EA89DD1A105758419B94A97034F518418569AB9707575841A06E6D14E8F41841925A7BF4FC5658410ADE7C48AEF418416AF6A9A0FA565841EA163B675AF41841226D17E5F65658418F9D1D3E64F31841A60831ACEB5658417B1346A4D6F21841F7A493E9E5565841</t>
  </si>
  <si>
    <t>B1216</t>
  </si>
  <si>
    <t>2020000B1216</t>
  </si>
  <si>
    <t>16446.87</t>
  </si>
  <si>
    <t>01060000206A08000001000000010300000001000000100000007347D185E3F218419018AD67E55658417B1346A4D6F21841F7A493E9E55658418F9D1D3E64F31841A60831ACEB565841EA163B675AF41841226D17E5F65658410ADE7C48AEF418416AF6A9A0FA565841A06E6D14E8F41841925A7BF4FC5658419B94A97034F518418569AB9707575841BB9EC6F573F41841EA89DD1A1057584165CD5F007FF418416C84DCFA1057584184545AC34AF51841AAE2FF0F08575841557C967141F518417867FB580657584198D43F7B3EF51841600772CD05575841BC625EA4F4F4184120CF44FAFB565841C26B815CD3F418413F5FE57AFA56584100C26215ECF21841649F4511E55658417347D185E3F218419018AD67E5565841</t>
  </si>
  <si>
    <t>B1217</t>
  </si>
  <si>
    <t>2020000B1217</t>
  </si>
  <si>
    <t>1350.81</t>
  </si>
  <si>
    <t>01060000206A080000010000000103000000010000000E000000C26B815CD3F418413F5FE57AFA56584162F944D702F51841FB43BBF5F656584199CE879A59F51841D90A761DF656584183CFD05CFBF41841E874871BF1565841FBDA5D48C8F4184172BCA9D7EE5658416241039A6EF4184153A54F48ED565841664C0F3458F41841BAFED963EC5658411A0158483FF418419C8042A1EB565841D394039A23F41841ABF6A049EA565841D832575212F418415FB805F0E856584166A3A2A4A8F31841CC25A2A0DD565841ED0093CD9AF3184133BF3C2ADE56584100C26215ECF21841649F4511E5565841C26B815CD3F418413F5FE57AFA565841</t>
  </si>
  <si>
    <t>B1218</t>
  </si>
  <si>
    <t>2020000B1218</t>
  </si>
  <si>
    <t>5233.56</t>
  </si>
  <si>
    <t>01060000206A08000001000000010300000001000000120000009737EA8572F518417C3EF2C8E6565841E162DB8F4FF518416C4A4F31E75658412BAE4E7B2DF5184126E182BBE7565841CEFB47D70CF518410DE59B59DA56584124D807C3B4F31841E447AF27DD56584166A3A2A4A8F31841CC25A2A0DD565841D832575212F418415FB805F0E8565841D394039A23F41841ABF6A049EA5658411A0158483FF418419C8042A1EB565841664C0F3458F41841BAFED963EC5658416241039A6EF4184153A54F48ED565841FBDA5D48C8F4184172BCA9D7EE56584183CFD05CFBF41841E874871BF156584199CE879A59F51841D90A761DF656584155565985A5F518412C2F0060F55658418F141EE2A3F5184175D63543F55658415645193D9AF51841B5DF1B6FF25658419737EA8572F518417C3EF2C8E6565841</t>
  </si>
  <si>
    <t>B1219</t>
  </si>
  <si>
    <t>2020000B1219</t>
  </si>
  <si>
    <t>7212.61</t>
  </si>
  <si>
    <t>01060000206A080000010000000103000000010000000F000000603E5B2166F618419CB381EEB4565841E10D7F7E55F61841640ED070B5565841F0A9E1D709F618418F6C4CC1B756584166768A66E8F51841A1B4B5AEB8565841B63F8EAECBF51841C142B317BA565841AF9B0300AFF51841CA7A30DCBB565841D4546E528EF5184187213ABABE565841662E0F157AF518419EFA2625C1565841E0A7845C62F518418109261CC5565841355C901F49F51841BD2014EECB565841CEFB47D70CF518410DE59B59DA565841FEE6259A3BF518415CB88B02D65658413B0FFCFC09F61841A4FB1504D1565841FEB4295D63F61841EEF57586CA565841603E5B2166F618419CB381EEB4565841</t>
  </si>
  <si>
    <t>B1220j</t>
  </si>
  <si>
    <t>2020000B1220</t>
  </si>
  <si>
    <t>6519.99</t>
  </si>
  <si>
    <t>01060000206A08000001000000010300000001000000100000009737EA8572F518417C3EF2C8E6565841E591D5857EF518410B4A1FA5E6565841690A619A9EF51841B95DB387E6565841CD3AC152C3F51841A557EC71E656584160B664A4D7F51841CB4CB087E5565841607C921FEDF5184134CF0507E456584115926BE1DEF61841F6B8284CE0565841F69CBEB829F7184141AF6B0DDF565841C19A1B7174F718416AF4CA8CDD56584135D3894853F718410A208947CB5658413B0FFCFC09F61841A4FB1504D1565841FEE6259A3BF518415CB88B02D6565841CEFB47D70CF518410DE59B59DA5658412BAE4E7B2DF5184126E182BBE7565841E162DB8F4FF518416C4A4F31E75658419737EA8572F518417C3EF2C8E6565841</t>
  </si>
  <si>
    <t>B1220k</t>
  </si>
  <si>
    <t>10864.28</t>
  </si>
  <si>
    <t>01060000206A080000010000000103000000010000000A000000C19A1B7174F718416AF4CA8CDD56584126A400151BF818410054879BD95658419DF62B2994F81841F4946796D656584118EC05EC9DF81841377DC265D0565841AD58C22949F818419C9074DDC6565841A293A4C6FAF7184136184B24BE56584154E1875FA2F71841E1785D1BC3565841CFCBB18D45F718413BE5C8B6C356584135D3894853F718410A208947CB565841C19A1B7174F718416AF4CA8CDD565841</t>
  </si>
  <si>
    <t>B1220l</t>
  </si>
  <si>
    <t>6929.71</t>
  </si>
  <si>
    <t>01060000206A080000010000000103000000010000000900000035D3894853F718410A208947CB565841CFCBB18D45F718413BE5C8B6C356584154E1875FA2F71841E1785D1BC3565841A293A4C6FAF7184136184B24BE56584147182E9A62F718416D2A1E35AD565841603E5B2166F618419CB381EEB4565841FEB4295D63F61841EEF57586CA5658413B0FFCFC09F61841A4FB1504D156584135D3894853F718410A208947CB565841</t>
  </si>
  <si>
    <t>B1220m</t>
  </si>
  <si>
    <t>9038.35</t>
  </si>
  <si>
    <t>01060000206A080000010000000103000000010000001F000000472BDBC210F718411D7CA2B0A35658413D820134EDF61841AAC4E12AA45658411F20E0F2BBF61841DEC8BB73A45658411211B8A489F618414DA318BEA4565841F9798EEBE4F51841ED12B56EA6565841C1F85C8FA7F51841BE13F178A7565841371CFA1693F51841400695D1A856584198747D0A3AF518419202D1ACAE56584178B58B33D4F4184150D29382B6565841C5C44671A6F418410F61B29EBB5658418F32AAA489F41841458AD4CCBC5658416AED734825F4184169AB8234BF5658413064C60ABBF31841B63F00C0C1565841DF8CD166F9F31841C9C53663DA565841D5F235D7E5F31841FD78753DDB56584103473DE2DDF31841D3966E8DDB56584124D807C3B4F31841E447AF27DD565841CEFB47D70CF518410DE59B59DA565841355C901F49F51841BD2014EECB565841E0A7845C62F518418109261CC5565841662E0F157AF518419EFA2625C1565841D4546E528EF5184187213ABABE565841AF9B0300AFF51841CA7A30DCBB565841B63F8EAECBF51841C142B317BA56584166768A66E8F51841A1B4B5AEB8565841F0A9E1D709F618418F6C4CC1B7565841E10D7F7E55F61841640ED070B5565841603E5B2166F618419CB381EEB456584147182E9A62F718416D2A1E35AD56584198E438F64EF718417839C705AB565841472BDBC210F718411D7CA2B0A3565841</t>
  </si>
  <si>
    <t>B1221</t>
  </si>
  <si>
    <t>2020000B1221</t>
  </si>
  <si>
    <t>20401.37</t>
  </si>
  <si>
    <t>01060000206A080000010000000103000000010000000D00000073172100EDF218417A88ABC0C7565841EF50759AD7F218415FCF24B5C9565841E816C100C8F21841E9BF93F9CB5658415C232548B5F21841A868A7D7CF56584142C9260B0BF3184157AB2405DA56584103473DE2DDF31841D3966E8DDB565841D5F235D7E5F31841FD78753DDB565841DF8CD166F9F31841C9C53663DA5658413064C60ABBF31841B63F00C0C156584165EB5D009BF318419B5C3DDABF565841CDC2E99907F31841711D2EB3C55658417E751134F4F21841B6809919C756584173172100EDF218417A88ABC0C7565841</t>
  </si>
  <si>
    <t>B1222</t>
  </si>
  <si>
    <t>2020000B1222</t>
  </si>
  <si>
    <t>SL1987</t>
  </si>
  <si>
    <t>6079.06</t>
  </si>
  <si>
    <t>01060000206A08000001000000010300000001000000110000007347D185E3F218419018AD67E5565841CF6F728507F2184147AA2C6CE25658417C66BA7B9CF118413664701DE65658411F7075144CF1184181231E85ED56584192A7743329F11841F03B8EA2F1565841127C3F0A26F1184119619C00F25658418772F7FF20F11841F206274CF2565841C334907B2FF11841C7BF17B5F2565841007104AF36F1184113E4E871F25658414E43561F42F1184176289E99F2565841A2ED433373F1184110A5BDDEF356584199316FCDC2F118418D7D9719F056584104DF98CD09F2184125DC45B1ED56584184CD46856AF21841E70BC73CEA5658417D63FC3DC5F21841B7FAA099E65658417B1346A4D6F21841F7A493E9E55658417347D185E3F218419018AD67E5565841</t>
  </si>
  <si>
    <t>B1223</t>
  </si>
  <si>
    <t>2020000B1223</t>
  </si>
  <si>
    <t>3351.20</t>
  </si>
  <si>
    <t>01060000206A080000010000000103000000010000003000000073172100EDF218417A88ABC0C75658417E751134F4F21841B6809919C7565841CDC2E99907F31841711D2EB3C556584165EB5D009BF318419B5C3DDABF5658413064C60ABBF31841B63F00C0C15658416AED734825F4184169AB8234BF565841C5B85B7B33F418412F592C2CBC565841997CA7703BF41841B7818A42BA5658412EC079B83DF41841667DB527B85658419760FA4749F41841B8053083B6565841801AA3484FF41841375C6E0DB55658410F87AF3352F418412211A1C9B35658417CCF17AE38F41841C0FEA080AF5658412A401A4834F41841F62230F3AD56584151D67C7B36F4184181D4B69EAB5658412AB8180025F4184181D49DD9A85658412660151F1AF41841AE12385AA55658414523A0B819F4184170362545A4565841F5BDE0AE70F318417B46C9DCA556584165827B8F3EF3184122865538A65658415140C1D799F218419D94C4F5A5565841BD736F3371F21841ECB366569D565841838AFF854EF2184162E5E4FA955658411E7F6DE1D2F118416F7C1BF595565841D153BAEBA3F11841115B9D899656584128C8B9EA5EF118418E5C17389756584105CBA97003F118411663621F985658414B4CE7EB1CF018411912A5C09A56584185EF2BCDF9EF1841B9214A319B56584132A6449A6BEF1841F83674A49E565841704803D7B3EF184172AB6BF6A056584194895A711EF01841E0429B79A2565841000942D737F01841B1ADD90AA3565841B66B5D525BF01841308BE58AA456584136E9E4F58FF0184116CE5598AA565841F24105ECAFF01841BA8C389AAD5658410FFBABC2BDF01841CE6EB11EB05658419F56045DB6F01841DFFC55A8B55658418BAB5B71D5F018412D0E386AC0565841327AF466DCF018412EBAD3CCC156584188550EA4EBF01841BFFE0237C3565841D3613DE20AF11841AFC5C185C456584129455D4822F118410A7BED71C5565841243108D74BF11841DA7D708DC6565841DD3FD9CCA9F1184190A6FF6FC856584159A00D5DE9F118410995E9E1C95658415CC4A38F5FF21841FF438D62C856584173172100EDF218417A88ABC0C7565841</t>
  </si>
  <si>
    <t>B1224</t>
  </si>
  <si>
    <t>2020000B1224</t>
  </si>
  <si>
    <t>37517.52</t>
  </si>
  <si>
    <t>01060000206A080000010000000103000000010000000C0000001CD02D0B18F21841D776EC118B565841838AFF854EF2184162E5E4FA95565841BD736F3371F21841ECB366569D5658416CF329CDEFF21841C5FEACA79456584137493948C4F21841E233716D8D565841C06D700A29F318414E86E6018A565841C9C224ECF9F2184195509F598656584194075A3EEFF21841E66AA43080565841111FB933CCF21841D2E8D26C815658412CEA74CD80F2184105EF0CFE8456584166C406293FF21841E45C10A7885658411CD02D0B18F21841D776EC118B565841</t>
  </si>
  <si>
    <t>B1225</t>
  </si>
  <si>
    <t>2020000B1225</t>
  </si>
  <si>
    <t>3869.50</t>
  </si>
  <si>
    <t>01060000206A080000010000000103000000010000000F0000004523A0B819F4184170362545A4565841A3D36C4818F4184150D9546FA0565841A665F9CC10F4184149D4C55C9B5658417A6D4948F6F3184185CC54DF9656584179179EB8F2F318416EE37DAB9356584103BDF547F1F3184160699C1093565841CA2DB2B8DEF3184108E7851B8B565841C06D700A29F318414E86E6018A56584137493948C4F21841E233716D8D5658416CF329CDEFF21841C5FEACA794565841BD736F3371F21841ECB366569D5658415140C1D799F218419D94C4F5A556584165827B8F3EF3184122865538A6565841F5BDE0AE70F318417B46C9DCA55658414523A0B819F4184170362545A4565841</t>
  </si>
  <si>
    <t>B1226</t>
  </si>
  <si>
    <t>2020000B1226</t>
  </si>
  <si>
    <t>8969.53</t>
  </si>
  <si>
    <t>01060000206A0800000100000001030000000100000022000000472BDBC210F718411D7CA2B0A3565841B72C1E9A1AF6184118F6E43188565841A668CF1458F51841E61F66667256584167A3D71EF0F418415E3E31637C56584139F100521EF41841010AD4A38F56584103BDF547F1F3184160699C109356584179179EB8F2F318416EE37DAB935658417A6D4948F6F3184185CC54DF96565841A665F9CC10F4184149D4C55C9B565841A3D36C4818F4184150D9546FA05658414523A0B819F4184170362545A45658412660151F1AF41841AE12385AA55658412AB8180025F4184181D49DD9A856584151D67C7B36F4184181D4B69EAB5658412A401A4834F41841F62230F3AD5658417CCF17AE38F41841C0FEA080AF5658410F87AF3352F418412211A1C9B3565841801AA3484FF41841375C6E0DB55658419760FA4749F41841B8053083B65658412EC079B83DF41841667DB527B8565841997CA7703BF41841B7818A42BA565841C5B85B7B33F418412F592C2CBC5658416AED734825F4184169AB8234BF5658418F32AAA489F41841458AD4CCBC565841C5C44671A6F418410F61B29EBB56584178B58B33D4F4184150D29382B656584198747D0A3AF518419202D1ACAE565841371CFA1693F51841400695D1A8565841C1F85C8FA7F51841BE13F178A7565841F9798EEBE4F51841ED12B56EA65658411211B8A489F618414DA318BEA45658411F20E0F2BBF61841DEC8BB73A45658413D820134EDF61841AAC4E12AA4565841472BDBC210F718411D7CA2B0A3565841</t>
  </si>
  <si>
    <t>B1227</t>
  </si>
  <si>
    <t>2020000B1227</t>
  </si>
  <si>
    <t>28904.26</t>
  </si>
  <si>
    <t>01060000206A0800000100000001030000000100000010000000A668CF1458F51841E61F666672565841B733E9A33EF518416F47738D6F565841F294BF850FF51841A316D5436A5658412C2CC7A4EAF41841B89602F06A5658410683B28FDAF418414CD6C2256E56584196FE46B8C6F4184135773E1A7056584176A5E8D78BF41841EB45BD557456584178B366526FF4184139398B2277565841DD8C463E2FF418413CDF1F357D56584169C13BAEF8F31841619E946282565841AE5E3785E7F3184177B591228B565841CA2DB2B8DEF3184108E7851B8B56584103BDF547F1F3184160699C109356584139F100521EF41841010AD4A38F56584167A3D71EF0F418415E3E31637C565841A668CF1458F51841E61F666672565841</t>
  </si>
  <si>
    <t>B1228</t>
  </si>
  <si>
    <t>2020000B1228</t>
  </si>
  <si>
    <t>5422.08</t>
  </si>
  <si>
    <t>01060000206A0800000100000001030000000100000016000000F7685ED7D9F21841FDD357986F5658417F4D30C3D3F21841015CFF5F7056584194075A3EEFF21841E66AA43080565841C9C224ECF9F2184195509F5986565841C06D700A29F318414E86E6018A565841CA2DB2B8DEF3184108E7851B8B565841AE5E3785E7F3184177B591228B56584169C13BAEF8F31841619E946282565841DD8C463E2FF418413CDF1F357D56584178B366526FF4184139398B227756584176A5E8D78BF41841EB45BD557456584196FE46B8C6F4184135773E1A70565841BEEFAA2959F41841A867AAC76F565841B4F035E245F41841791096C26E56584120969A522CF418412BC3BCC56D56584181E8233E1CF41841A6FD108E6D565841151A87F609F418419BC97E146C5658410A993CA402F4184170482CE36B56584175418EF68DF31841639DE9416D565841C1A8FE9912F31841BA0BCC6C6E565841497C6A66FBF21841EEA1BB1E6F565841F7685ED7D9F21841FDD357986F565841</t>
  </si>
  <si>
    <t>B1229</t>
  </si>
  <si>
    <t>2020000B1229</t>
  </si>
  <si>
    <t>9741.03</t>
  </si>
  <si>
    <t>01060000206A080000010000000103000000010000000E000000F294BF850FF51841A316D5436A56584194049B29BDF41841D1FC4F08615658411DAB7BCD78F318418953F3D16556584175418EF68DF31841639DE9416D5658410A993CA402F4184170482CE36B565841151A87F609F418419BC97E146C56584181E8233E1CF41841A6FD108E6D56584120969A522CF418412BC3BCC56D565841B4F035E245F41841791096C26E565841BEEFAA2959F41841A867AAC76F56584196FE46B8C6F4184135773E1A705658410683B28FDAF418414CD6C2256E5658412C2CC7A4EAF41841B89602F06A565841F294BF850FF51841A316D5436A565841</t>
  </si>
  <si>
    <t>B1230</t>
  </si>
  <si>
    <t>2020000B1230</t>
  </si>
  <si>
    <t>3932.25</t>
  </si>
  <si>
    <t>01060000206A0800000100000001030000000100000005000000E02F6A1F6AF418414C5593B957565841BB62B5CD5EF31841BF99DAB35C5658411DAB7BCD78F318418953F3D16556584194049B29BDF41841D1FC4F0861565841E02F6A1F6AF418414C5593B957565841</t>
  </si>
  <si>
    <t>B1231</t>
  </si>
  <si>
    <t>2020000B1231</t>
  </si>
  <si>
    <t>2991.64</t>
  </si>
  <si>
    <t>01060000206A0800000100000001030000000100000008000000E02F6A1F6AF418414C5593B9575658416B974DAE42F41841C842C74C535658412E2FB48538F41841DE10DC2A5256584166C9109A0CF418411E08BFEE4F5658418F55993306F41841A90A3713505658413A844EEC46F31841DDB7215554565841BB62B5CD5EF31841BF99DAB35C565841E02F6A1F6AF418414C5593B957565841</t>
  </si>
  <si>
    <t>B1232</t>
  </si>
  <si>
    <t>2020000B1232</t>
  </si>
  <si>
    <t>2220.86</t>
  </si>
  <si>
    <t>01060000206A08000001000000010300000001000000070000008798511F9FF21841C1D19012585658413A844EEC46F31841DDB72155545658418F55993306F41841A90A371350565841D2F0E07A60F31841698E87FB48565841EB16096780F21841FC4AE14A4E5658414592525287F2184180EF4C81505658418798511F9FF21841C1D1901258565841</t>
  </si>
  <si>
    <t>B1233</t>
  </si>
  <si>
    <t>2020000B1233</t>
  </si>
  <si>
    <t>TAIL1950</t>
  </si>
  <si>
    <t>3113.03</t>
  </si>
  <si>
    <t>01060000206A080000010000000103000000010000000A0000008798511F9FF21841C1D190125856584179C9D53DB5F218412DE111EE5F565841F7685ED7D9F21841FDD357986F565841497C6A66FBF21841EEA1BB1E6F565841C1A8FE9912F31841BA0BCC6C6E56584175418EF68DF31841639DE9416D5658411DAB7BCD78F318418953F3D165565841BB62B5CD5EF31841BF99DAB35C5658413A844EEC46F31841DDB72155545658418798511F9FF21841C1D1901258565841</t>
  </si>
  <si>
    <t>B1234</t>
  </si>
  <si>
    <t>2020000B1234</t>
  </si>
  <si>
    <t>4349.33</t>
  </si>
  <si>
    <t>01060000206A0800000100000001030000000100000014000000F7685ED7D9F21841FDD357986F56584179C9D53DB5F218412DE111EE5F5658418798511F9FF21841C1D19012585658414592525287F2184180EF4C81505658417F75DB472FF218417C5C2ADC50565841A075878FF3F11841C63ACD4C56565841D496DAA3D4F118414E78DE7A595658414D154C67B3F118412A2B4E185F565841E644F60AA7F118417807FE0F66565841F0D1B770A8F11841DFD91BFE6E565841ABB20D15B9F118417834F02176565841ACB55E29CFF11841A641D5537B56584102CBDA850AF2184118B1C45C885658411CD02D0B18F21841D776EC118B56584166C406293FF21841E45C10A7885658412CEA74CD80F2184105EF0CFE84565841111FB933CCF21841D2E8D26C8156584194075A3EEFF21841E66AA430805658417F4D30C3D3F21841015CFF5F70565841F7685ED7D9F21841FDD357986F565841</t>
  </si>
  <si>
    <t>B1235</t>
  </si>
  <si>
    <t>2020000B1235</t>
  </si>
  <si>
    <t>13378.49</t>
  </si>
  <si>
    <t>01060000206A080000010000000103000000010000000D0000005F22D2F504F31841B6D9B7AE425658419E0767B899F2184193340AC7435658410AE53D000DF21841BC81B0A74C5658417F75DB472FF218417C5C2ADC505658414592525287F2184180EF4C8150565841EB16096780F21841FC4AE14A4E565841D2F0E07A60F31841698E87FB485658418F55993306F41841A90A37135056584166C9109A0CF418411E08BFEE4F5658412E2FB48538F41841DE10DC2A5256584176F1900020F4184154AC786D4F565841735649EC26F3184103DCB537445658415F22D2F504F31841B6D9B7AE42565841</t>
  </si>
  <si>
    <t>B1236</t>
  </si>
  <si>
    <t>2020000B1236</t>
  </si>
  <si>
    <t>2925.12</t>
  </si>
  <si>
    <t>01060000206A08000001000000010300000001000000100000005F22D2F504F31841B6D9B7AE42565841735649EC26F3184103DCB5374456584176F1900020F4184154AC786D4F565841644C13E28FF318410B44375A3F56584155DA51F664F21841AC7A40711D56584133816EA44AF21841D49BABB71D5658412C7D02F603F21841A7C5596F1D565841391FE6AED8F118416358588F1E565841A23CA03DABF118412B030D871F5658414327F10A91F118415E60A0691F565841CE8CFB0ACCF118411F1F5B8F26565841F8C204D726F2184154C4A09031565841571C14B956F21841B1B0CA5C3756584186E2280085F218411634F9B83C565841DB4DA166B2F21841D96E1BF53E5658415F22D2F504F31841B6D9B7AE42565841</t>
  </si>
  <si>
    <t>B1237</t>
  </si>
  <si>
    <t>2020000B1237</t>
  </si>
  <si>
    <t>9540.42</t>
  </si>
  <si>
    <t>01060000206A0800000100000001030000000100000016000000BF04CF07DBEA18413BEA3F3E3F56584132AA109069EA1841F125235540565841B5BC9F2949EA1841009493B940565841821BE65CD4E91841B6B23823425658418C2EC8EB76E918414BB7295C43565841C9BF4AA475E818419D7B56CF455658416AFA5F9AE6E71841743DCF7347565841A26A5C33A1E71841B663186548565841BB28371F5EE718413B21D1C349565841F32F910A25E71841E2A9309C4B565841DB36D429A9E61841B9D469764F565841844E142940E61841D08739B35256584198D0174807E6184143DE132E54565841AED2D433A1E5184149D3448A56565841440B9CEB86E51841CBF6DD335756584197034A65D6E418411860B41C5C5658410C7A0E71ECE41841BC0808475D5658419062F62861E61841C12CF28158565841C52998F65BE71841706D871255565841E988297B6FEA1841BDE1CB4C4A565841EF77DA8301EB18417932D14D48565841BF04CF07DBEA18413BEA3F3E3F565841</t>
  </si>
  <si>
    <t>B1244j</t>
  </si>
  <si>
    <t>2020000B1244</t>
  </si>
  <si>
    <t>PLA2008</t>
  </si>
  <si>
    <t>13736.98</t>
  </si>
  <si>
    <t>01060000206A080000010000000103000000010000000B0000002FE888A40DED1841425265063F565841151EEC1ECAEC1841DC3A311C38565841951B21344FEC18414738F28139565841C81A86332CEC1841D51FC3353A56584195DDFF28AEEB1841CD370ED73D565841822755CD37EB1841890ABE6E3E5658412401D2CCF8EA184100E21AF53E565841BF04CF07DBEA18413BEA3F3E3F565841EF77DA8301EB18417932D14D48565841E9B3259AC4EB1841BE2B37A3455658412FE888A40DED1841425265063F565841</t>
  </si>
  <si>
    <t>B1244k</t>
  </si>
  <si>
    <t>4500.96</t>
  </si>
  <si>
    <t>01060000206A0800000100000001030000000100000008000000440B9CEB86E51841CBF6DD3357565841879C8C1F5FE518418256E75A5756584180392C85FAE41841AFBF7F7B5756584125496429DFE41841C821DFE357565841FBE64967AAE418413B70D1AC58565841FC904115CEE4184164FE30AC5B56584197034A65D6E418411860B41C5C565841440B9CEB86E51841CBF6DD3357565841</t>
  </si>
  <si>
    <t>B1244l</t>
  </si>
  <si>
    <t>483.33</t>
  </si>
  <si>
    <t>01060000206A08000001000000010300000001000000090000000C7A0E71ECE41841BC0808475D565841B162BA00FCE41841217EDA1A5E565841F9000B6706E51841440FCF635E565841FD4A6F9A2EE518411029BFE56056584141DD39002EE71841F87D4B085A565841D66E2D0072E718418CC8F51859565841C52998F65BE71841706D8712555658419062F62861E61841C12CF281585658410C7A0E71ECE41841BC0808475D565841</t>
  </si>
  <si>
    <t>B1245</t>
  </si>
  <si>
    <t>2020000B1245</t>
  </si>
  <si>
    <t>2607.52</t>
  </si>
  <si>
    <t>01060000206A0800000100000001030000000100000008000000EF77DA8301EB18417932D14D48565841E988297B6FEA1841BDE1CB4C4A565841C52998F65BE71841706D871255565841D66E2D0072E718418CC8F51859565841361DFFA37FEA1841EDB81F554E5658413420B270F8EA18413F0F22AC4C565841B361A98612EB1841D22D194F4C565841EF77DA8301EB18417932D14D48565841</t>
  </si>
  <si>
    <t>B1246j</t>
  </si>
  <si>
    <t>2020000B1246</t>
  </si>
  <si>
    <t>3988.81</t>
  </si>
  <si>
    <t>01060000206A08000001000000010300000001000000080000002FE888A40DED1841425265063F565841E9B3259AC4EB1841BE2B37A345565841EF77DA8301EB18417932D14D48565841B361A98612EB1841D22D194F4C565841F3FB2C298FEB1841CD728E924A565841BD33ACE1F8EB18414E573FBA485658413D187BDC1FED184194DC6734435658412FE888A40DED1841425265063F565841</t>
  </si>
  <si>
    <t>B1246k</t>
  </si>
  <si>
    <t>2234.03</t>
  </si>
  <si>
    <t>01060000206A08000001000000010300000001000000050000003D187BDC1FED184194DC67344356584102B7960035F0184174071A6E3456584127720A3E17F01841666A61662F5658412FE888A40DED1841425265063F5658413D187BDC1FED184194DC673443565841</t>
  </si>
  <si>
    <t>B1246l</t>
  </si>
  <si>
    <t>3972.01</t>
  </si>
  <si>
    <t>01060000206A0800000100000001030000000100000022000000151EEC1ECAEC1841DC3A311C385658412FE888A40DED1841425265063F56584127720A3E17F01841666A61662F56584102B7960035F0184174071A6E34565841D2ED350082F01841E551D4633756584135CC73EC3AF118410631754D47565841D273A9B8FBF1184170AFC2B537565841710757290CF21841BD4F6E263756584184A9D6E120F21841DF839AF9365658414CB6A38F36F21841B1F473DD36565841571C14B956F21841B1B0CA5C37565841F8C204D726F2184154C4A09031565841B51E9F33B2F11841D84F8004345658415CC0330BF8F018414773DFAA25565841AB08744827F11841474ED0D323565841CE8CFB0ACCF118411F1F5B8F265658414327F10A91F118415E60A0691F56584130C50B8684F118411F9FDA5A1F565841D052666667F11841B60A575F1E5658419524279A03F11841B35AD2331D5658419713EB0AF0F018412B9334A31D56584102E129E2B7F0184166CB43311F56584126B6BE8F8BF01841DF4E424A20565841AB90F8F5EAEF1841A25ADA43245658411964B25296EF1841D0068F722556584125BAA52980EF184161902FF3255658413B0D688F58EF18413784D34C2756584157C37D5212EF18410C0436BA29565841F2804F71C2EE18410D9350C82B56584163002A48FDED18415C85C78530565841669BCE7B8FED184197321B15335658410AE05F6603ED184169F2305C375658413EE1A4EBE2EC1841DA7A1ED537565841151EEC1ECAEC1841DC3A311C38565841</t>
  </si>
  <si>
    <t>B1247</t>
  </si>
  <si>
    <t>2020000B1247</t>
  </si>
  <si>
    <t>20158.69</t>
  </si>
  <si>
    <t>01060000206A0800000100000001030000000100000006000000CE8CFB0ACCF118411F1F5B8F26565841AB08744827F11841474ED0D3235658415CC0330BF8F018414773DFAA25565841B51E9F33B2F11841D84F800434565841F8C204D726F2184154C4A09031565841CE8CFB0ACCF118411F1F5B8F26565841</t>
  </si>
  <si>
    <t>B1248</t>
  </si>
  <si>
    <t>2020000B1248</t>
  </si>
  <si>
    <t>2407.31</t>
  </si>
  <si>
    <t>01060000206A0800000100000001030000000100000016000000B361A98612EB1841D22D194F4C5658413420B270F8EA18413F0F22AC4C565841361DFFA37FEA1841EDB81F554E565841D66E2D0072E718418CC8F5185956584141DD39002EE71841F87D4B085A565841FD4A6F9A2EE518411029BFE560565841C6002F4851E518414BE55C0F63565841923DC3F53DE618419B47C5D571565841F1341AB946E61841DF10723D7256584174919CAE67E6184111E200C07356584175FE1BD7C1E71841A3B85288805658411DBA2B48C1E818413DEB90F27D565841FEE2AD3D0DE9184178FE0C3E7D565841E069061F08EA184107D281EB7A565841025AADB839EA184183B453507E565841E61A40F064EA18412ABD392479565841C245613B85EA184121AE8DEC7656584125839426B9EA18415100F6B6755658413629457EF4EA1841DE2166D5735658414AD44A5D1CEB184112D9C7E27156584134633AC593EB184165C530BD6A565841B361A98612EB1841D22D194F4C565841</t>
  </si>
  <si>
    <t>B1249j</t>
  </si>
  <si>
    <t>2020000B1249</t>
  </si>
  <si>
    <t>52552.18</t>
  </si>
  <si>
    <t>01060000206A08000001000000010300000001000000180000003D187BDC1FED184194DC673443565841BD33ACE1F8EB18414E573FBA48565841F3FB2C298FEB1841CD728E924A565841B361A98612EB1841D22D194F4C56584134633AC593EB184165C530BD6A5658414AD44A5D1CEB184112D9C7E2715658413629457EF4EA1841DE2166D57356584125839426B9EA18415100F6B675565841C245613B85EA184121AE8DEC76565841E61A40F064EA18412ABD392479565841025AADB839EA184183B453507E565841A2B4C10A38EB1841925E04B78F5658414E07052947EC18415E09DCB3A256584113781E3BDAEC1841FDCD31159A5658417D4B6E491AED1841CE742E339A565841430D4EB619ED18413E751397965658411D4BD4002DED184155AB448E9156584139BF61224DED18417A316B518E565841151BBB78E7ED1841C83C19BF855658414CEDFC4534EE18413C94A9C467565841EA49FB6EECED184187A00F16665658419D1A576D7AED18410C97A728485658417B3DA2AA36ED1841A775B86F485658413D187BDC1FED184194DC673443565841</t>
  </si>
  <si>
    <t>B1249k</t>
  </si>
  <si>
    <t>56997.11</t>
  </si>
  <si>
    <t>01060000206A080000010000000103000000010000002200000086E2280085F218411634F9B83C565841571C14B956F21841B1B0CA5C375658414CB6A38F36F21841B1F473DD3656584184A9D6E120F21841DF839AF936565841710757290CF21841BD4F6E2637565841D273A9B8FBF1184170AFC2B53756584135CC73EC3AF118410631754D47565841D2ED350082F01841E551D4633756584102B7960035F0184174071A6E345658413D187BDC1FED184194DC6734435658417B3DA2AA36ED1841A775B86F485658419D1A576D7AED18410C97A72848565841EA49FB6EECED184187A00F16665658414CEDFC4534EE18413C94A9C467565841151BBB78E7ED1841C83C19BF85565841E735FC069AEE184184F4947E88565841A5325336DAEE184157F036F69B56584132A6449A6BEF1841F83674A49E56584185EF2BCDF9EF1841B9214A319B5658414B4CE7EB1CF018411912A5C09A56584105CBA97003F118411663621F9856584128C8B9EA5EF118418E5C173897565841E08B6F6603F11841EAFC59DA7F565841EED97BBE17F118418C0EE78A795658411CC9A5951EF1184172C79D6D65565841D9E9D3E1C4F018418E97DAF36156584136278B85A1F0184199C9E5CA58565841527B79E1A8F018412FCC6DB0575658417ED4C824F5F01841B6A3F199555658412EA0889E33F1184173CBD6AD53565841919C977B71F11841B8E65AE94D5658413B42F6C89AF11841061CC02C455658419E919FECF1F11841B29472694056584186E2280085F218411634F9B83C565841</t>
  </si>
  <si>
    <t>B1249l</t>
  </si>
  <si>
    <t>78954.27</t>
  </si>
  <si>
    <t>01060000206A08000001000000010300000001000000240000004E07052947EC18415E09DCB3A2565841A451C7474EEC1841A58F9F09A3565841CB06F0C250EC18419578C425A3565841D0FAA0707FEC1841C05E8752A55658410858F3EBD3ED18413EF77444B55658411F653B3E73EE1841C4E0E4BABC565841E176C98593EE1841C9CE4711BE5658415CF9E985A0EE1841FA42D0BCBE5658416A038914D8EE18419E40F628C05658415A2CCF3D33EF184125AD4861E25658417660EA6636EF1841DE97F0A1E65658411CF6643343EF1841835474FDE65658415E817A8FCBEF1841DA11F5F8E9565841229F4B5146F01841201D5594D95658412A9243FA5FF01841E536104DD356584112E4FAAFC8F01841A2C976B3C9565841327AF466DCF018412EBAD3CCC15658418BAB5B71D5F018412D0E386AC05658419F56045DB6F01841DFFC55A8B55658410FFBABC2BDF01841CE6EB11EB0565841F24105ECAFF01841BA8C389AAD56584136E9E4F58FF0184116CE5598AA565841B66B5D525BF01841308BE58AA4565841000942D737F01841B1ADD90AA356584194895A711EF01841E0429B79A2565841704803D7B3EF184172AB6BF6A056584132A6449A6BEF1841F83674A49E565841A5325336DAEE184157F036F69B565841E735FC069AEE184184F4947E88565841151BBB78E7ED1841C83C19BF8556584139BF61224DED18417A316B518E5658411D4BD4002DED184155AB448E91565841430D4EB619ED18413E751397965658417D4B6E491AED1841CE742E339A56584113781E3BDAEC1841FDCD31159A5658414E07052947EC18415E09DCB3A2565841</t>
  </si>
  <si>
    <t>B1249m</t>
  </si>
  <si>
    <t>50576.56</t>
  </si>
  <si>
    <t>01060000206A08000001000000010300000001000000130000005E817A8FCBEF1841DA11F5F8E9565841127C3F0A26F1184119619C00F256584192A7743329F11841F03B8EA2F15658411F7075144CF1184181231E85ED5658417C66BA7B9CF118413664701DE6565841CF6F728507F2184147AA2C6CE2565841BA6EB32AB0F1184130A6A22DE05658414ECD9D6A1DF218416CD97B22D256584159A00D5DE9F118410995E9E1C9565841DD3FD9CCA9F1184190A6FF6FC8565841243108D74BF11841DA7D708DC656584129455D4822F118410A7BED71C5565841D3613DE20AF11841AFC5C185C456584188550EA4EBF01841BFFE0237C3565841327AF466DCF018412EBAD3CCC156584112E4FAAFC8F01841A2C976B3C95658412A9243FA5FF01841E536104DD3565841229F4B5146F01841201D5594D95658415E817A8FCBEF1841DA11F5F8E9565841</t>
  </si>
  <si>
    <t>B1249n</t>
  </si>
  <si>
    <t>15939.96</t>
  </si>
  <si>
    <t>01060000206A0800000100000001030000000100000011000000CF6F728507F2184147AA2C6CE25658417347D185E3F218419018AD67E556584100C26215ECF21841649F4511E5565841ED0093CD9AF3184133BF3C2ADE56584166A3A2A4A8F31841CC25A2A0DD56584124D807C3B4F31841E447AF27DD56584103473DE2DDF31841D3966E8DDB56584142C9260B0BF3184157AB2405DA5658415C232548B5F21841A868A7D7CF565841E816C100C8F21841E9BF93F9CB565841EF50759AD7F218415FCF24B5C956584173172100EDF218417A88ABC0C75658415CC4A38F5FF21841FF438D62C856584159A00D5DE9F118410995E9E1C95658414ECD9D6A1DF218416CD97B22D2565841BA6EB32AB0F1184130A6A22DE0565841CF6F728507F2184147AA2C6CE2565841</t>
  </si>
  <si>
    <t>B1249o</t>
  </si>
  <si>
    <t>7871.73</t>
  </si>
  <si>
    <t>01060000206A080000010000000103000000010000001F0000005F22D2F504F31841B6D9B7AE42565841DB4DA166B2F21841D96E1BF53E56584186E2280085F218411634F9B83C5658419E919FECF1F11841B2947269405658413B42F6C89AF11841061CC02C45565841919C977B71F11841B8E65AE94D5658412EA0889E33F1184173CBD6AD535658417ED4C824F5F01841B6A3F19955565841527B79E1A8F018412FCC6DB05756584136278B85A1F0184199C9E5CA58565841D9E9D3E1C4F018418E97DAF3615658411CC9A5951EF1184172C79D6D65565841EED97BBE17F118418C0EE78A79565841E08B6F6603F11841EAFC59DA7F56584128C8B9EA5EF118418E5C173897565841D153BAEBA3F11841115B9D89965658411E7F6DE1D2F118416F7C1BF595565841838AFF854EF2184162E5E4FA955658411CD02D0B18F21841D776EC118B56584102CBDA850AF2184118B1C45C88565841ACB55E29CFF11841A641D5537B565841ABB20D15B9F118417834F02176565841F0D1B770A8F11841DFD91BFE6E565841E644F60AA7F118417807FE0F665658414D154C67B3F118412A2B4E185F565841D496DAA3D4F118414E78DE7A59565841A075878FF3F11841C63ACD4C565658417F75DB472FF218417C5C2ADC505658410AE53D000DF21841BC81B0A74C5658419E0767B899F2184193340AC7435658415F22D2F504F31841B6D9B7AE42565841</t>
  </si>
  <si>
    <t>B1249p</t>
  </si>
  <si>
    <t>18463.96</t>
  </si>
  <si>
    <t>01060000206A08000001000000010300000001000000140000003B3711E224E31841DE1D6CE687565841AD49A8471DE41841DBCB88228156584156AF24CD6DE3184145B7FECF7B5658417621E67A16E31841A19B094779565841FAC98933F5E2184114784CF877565841BA26F21499E21841F9A2B3E772565841969518CD6BE218411A1425E570565841B7A7D7B835E2184177E100506F565841EDF224E2BCE11841790B825B6C5658415F7A3E5CADE118418D076B8D6D5658410E1D06D795E118411A4BBA2E6F565841563775D771E118414C2A755D715658416AB73048DDE11841FE1174CD76565841E38C5748ECE118419912C0D579565841293BEF7A16E218411D4C36437F565841076DE4A324E21841D536877B80565841040AC5D7EDE218410EFA7B548556584186C721670EE3184159E7D0FC84565841284F77661BE318416A0CF88F855658413B3711E224E31841DE1D6CE687565841</t>
  </si>
  <si>
    <t>B1258</t>
  </si>
  <si>
    <t>2020000B1258</t>
  </si>
  <si>
    <t>7396.58</t>
  </si>
  <si>
    <t>01060000206A080000010000000103000000010000000B0000000374B9B83EE1184186C7B4076A565841DB6561EC39E11841AD74EB116C565841F702EC473DE118412E2004976D565841770EAFC251E118412E0018BE6F565841A018F58F65E11841B3E6E2FA70565841DACBBE526FE11841DD45193E70565841790A1EE2AFE11841E34D4C316C56584177351F71CBE118410C7DA7E069565841D7B3CD66DAE118418E9FF0E167565841CEBCBCF5A5E118415D53F371685658410374B9B83EE1184186C7B4076A565841</t>
  </si>
  <si>
    <t>B1259</t>
  </si>
  <si>
    <t>2020000B1259</t>
  </si>
  <si>
    <t>749.58</t>
  </si>
  <si>
    <t>01060000206A0800000100000001030000000100000015000000AD49A8471DE41841DBCB882281565841B1FC31902CE41841943D4FB8805658416D3DC01E4BE51841C821D303795658410A214CEC4EE41841514807776C565841E8D1E9AE26E41841125CC9BC6956584131586BA4A6E31841FE4D600F6156584114C35B0082E31841764C555F6256584122B0D63D5BE318419E30F2C8625658412D1D94520DE3184193AD0AD763565841ACAAD35C5BE218414BF7647665565841D928135D28E218416620BB7E665658418C587371E9E11841409F84BB67565841BE8E01CDDAE11841C6B597096A565841EDF224E2BCE11841790B825B6C565841B7A7D7B835E2184177E100506F565841969518CD6BE218411A1425E570565841BA26F21499E21841F9A2B3E772565841FAC98933F5E2184114784CF8775658417621E67A16E31841A19B09477956584156AF24CD6DE3184145B7FECF7B565841AD49A8471DE41841DBCB882281565841</t>
  </si>
  <si>
    <t>B1260</t>
  </si>
  <si>
    <t>2020000B1260</t>
  </si>
  <si>
    <t>14257.88</t>
  </si>
  <si>
    <t>01060000206A0800000100000001030000000100000008000000C6002F4851E518414BE55C0F635658412836EECC11E518419897C96C66565841E8D1E9AE26E41841125CC9BC695658410A214CEC4EE41841514807776C5658416D3DC01E4BE51841C821D30379565841F1341AB946E61841DF10723D72565841923DC3F53DE618419B47C5D571565841C6002F4851E518414BE55C0F63565841</t>
  </si>
  <si>
    <t>B1261</t>
  </si>
  <si>
    <t>2020000B1261</t>
  </si>
  <si>
    <t>5782.55</t>
  </si>
  <si>
    <t>01060000206A080000010000000103000000010000000E000000FBE64967AAE418413B70D1AC58565841B06010907BE418411A940660595658418B162B0BD0E3184111F47D945F56584131586BA4A6E31841FE4D600F61565841E8D1E9AE26E41841125CC9BC695658412836EECC11E518419897C96C66565841C6002F4851E518414BE55C0F63565841FD4A6F9A2EE518411029BFE560565841F9000B6706E51841440FCF635E565841B162BA00FCE41841217EDA1A5E5658410C7A0E71ECE41841BC0808475D56584197034A65D6E418411860B41C5C565841FC904115CEE4184164FE30AC5B565841FBE64967AAE418413B70D1AC58565841</t>
  </si>
  <si>
    <t>B1262</t>
  </si>
  <si>
    <t>2020000B1262</t>
  </si>
  <si>
    <t>4124.72</t>
  </si>
  <si>
    <t>01060000206A08000001000000010300000001000000060000007D7647ECA2E418413DA30407565658410C49EAAE73E4184171C6540F57565841C5C570487BE41841E50CBD85585658416C3C89AE9AE4184166D7E9F157565841890A109A9FE41841570FFBDF575658417D7647ECA2E418413DA3040756565841</t>
  </si>
  <si>
    <t>B1263</t>
  </si>
  <si>
    <t>2020000B1263</t>
  </si>
  <si>
    <t>70.62</t>
  </si>
  <si>
    <t>01060000206A0800000100000001030000000100000008000000749BB50A57E41841A581879B595658415045C8FC94E31841371CFC0460565841539AD8B87AE3184109102EE360565841F5E1C98F62E318417C5F3E0A625658418E43DAD76AE31841BDE326F561565841E7490A5289E318418010856B61565841C3DF1367E7E31841140C75BD5D565841749BB50A57E41841A581879B59565841</t>
  </si>
  <si>
    <t>B1264</t>
  </si>
  <si>
    <t>2020000B1264</t>
  </si>
  <si>
    <t>116.62</t>
  </si>
  <si>
    <t>01060000206A0800000100000001030000000100000013000000E11FAA3DD3FA1841F16AFE0FDE565841D29A905CDDFA18413233D0B3E256584123A42BECD3FA18417ECFD05CE5565841BDD8677BAFFA18414B0B1BE5E95658417F1A83AE41FA18417D76F908F5565841387C4100E2F91841B0F2DEE3FB565841D2DEE20A95F9184143F556180157584111C88985E2F9184129B0D4ECFC56584163C1FF0AA0FA1841CB9E1EF5F256584105D76D5CEAFA18416DFC70CDEE5658413BA8F67AE5FB1841679D7744E15658415AAA7CD74EFC18414E60B38EDB565841D38FD35C19FC184162587364D45658417362B3A408FC184106474881D456584185170552B1FB1841114C52B8D456584183036F15B2FB1841D5896746D6565841D190318567FB1841DC31BEE5D556584145E79B8567FB18419B6FF81FD9565841E11FAA3DD3FA1841F16AFE0FDE565841</t>
  </si>
  <si>
    <t>B1573</t>
  </si>
  <si>
    <t>2020000B1573</t>
  </si>
  <si>
    <t>6348.71</t>
  </si>
  <si>
    <t>01060000206A0800000100000001030000000100000005000000D38FD35C19FC184162587364D45658415AAA7CD74EFC18414E60B38EDB5658413D9094E1E2FC18416605E28AD3565841DB02A77083FC1841466660AFD3565841D38FD35C19FC184162587364D4565841</t>
  </si>
  <si>
    <t>B1574</t>
  </si>
  <si>
    <t>2020000B1574</t>
  </si>
  <si>
    <t>770.86</t>
  </si>
  <si>
    <t>01060000206A080000010000000103000000010000000700000041590D1F24FD18410F982225C7565841BADCAD7024FD184167FEB15EC8565841CD36F71EDCFC1841B974D0ACC85658413F773DA4E9FC184138C0D42CD35658413532EA85C8FD1841B175E91AC75658415127EC5193FD1841A424D24CC656584141590D1F24FD18410F982225C7565841</t>
  </si>
  <si>
    <t>B1575</t>
  </si>
  <si>
    <t>2020000B1575</t>
  </si>
  <si>
    <t>1398.96</t>
  </si>
  <si>
    <t>01060000206A0800000100000001030000000100000017000000CD528BE197FE18417E97F8DFBB565841876EC5D780FE1841A3A82415BB565841DB026D0A7CFE1841F947594FBA565841CE4DCC6688FE1841D2B507C0B95658416ADAE7F555FE18419D8E03C7B25658417FD63D3E45FE18414EE2C275B4565841093F76AE2DFE1841265F19D5B5565841D6A9321F28FE18414D1658EFB65658412CED7E8F1FFE184163AECE4CB856584175FF5CCD0EFE184122182C2CB95658411D898C6601FE184135C20480B956584146B079A4A8FD1841D81502C0BA565841199C951FA8FD1841BB784EC1BA5658415B00927BADFD18418A78E981BF565841E376F90A9CFD18414BBB46F1BF5658418DA9F3146AFD1841BA848E42C0565841A7C85A7B3DFD1841392E2CBCBF565841BF33F0B826FD18410F719FD0BF565841A280643322FD18413FD06A4DC056584141590D1F24FD18410F982225C75658415127EC5193FD1841A424D24CC65658413532EA85C8FD1841B175E91AC7565841CD528BE197FE18417E97F8DFBB565841</t>
  </si>
  <si>
    <t>B1576</t>
  </si>
  <si>
    <t>2020000B1576</t>
  </si>
  <si>
    <t>3279.68</t>
  </si>
  <si>
    <t>01060000206A0800000100000001030000000100000009000000A0014C7BCCFF184186FD6206C4565841E0615829B2FF1841519C5CBFC8565841FAF82100BDFF1841AD9851D8CB565841ECEC1BB9DCFF1841FE6384EBD4565841DCE70DC38800194133022465D0565841CA454FAA55001941960B9470CC565841F407170D2D001941D0CCDCB7C95658413A82503BF5FF1841550B8C24C6565841A0014C7BCCFF184186FD6206C4565841</t>
  </si>
  <si>
    <t>B1578j</t>
  </si>
  <si>
    <t>2020000B1578</t>
  </si>
  <si>
    <t>1836.54</t>
  </si>
  <si>
    <t>01060000206A080000010000000103000000010000001B0000007D77B5701B04194198487AE4C95658415DDDAF33F30319416A492375C95658419F72A6143F0019413B0A0410BF565841A0014C7BCCFF184186FD6206C45658413A82503BF5FF1841550B8C24C6565841F407170D2D001941D0CCDCB7C9565841CA454FAA55001941960B9470CC565841DCE70DC38800194133022465D0565841B6A17CAED10019414712854BD9565841676094CD13021941DF3EBE3ED05658410B21D5E1480219411B31A0C9CE56584178C2F03363021941D9761EC5CE565841A521D3D7740219417269113ECF565841D8E188F694021941682BD473CF565841A3494E52D90219414119FC1FD1565841209AB41EF00219418CD2703DD1565841F8E22CAE2C0319411C67F7C8D1565841E2F4F7E15E0319415F42A9C0D15658418A8B9B007E031941A9D89169D25658415127ED47B4031941F07B7884D35658411F1E4BD7C503194105D1614FD35658417920E147D80319418E2F2C4CD256584174D78C7BE4031941ED1933A3D05658414283D670FA0319415095450ACF56584190F402150504194106C66ECDCD565841B9C2B0140C04194129770E1ECC5658417D77B5701B04194198487AE4C9565841</t>
  </si>
  <si>
    <t>B1578k</t>
  </si>
  <si>
    <t>14123.64</t>
  </si>
  <si>
    <t>01060000206A080000010000000103000000010000000D000000658FD4C2A10419418C8E5A7FB55658410785DBE1A3041941B6E4BF25B856584123BAF75CA00419413576DAB3B8565841F84E091F7F0419411136BA3EBB565841B772CFE138041941A0A419AEC4565841A8B6037B34041941A562CF4CC6565841F75C2AA4270419410CD60547C856584162A0A20AD305194188C32A1CCD565841FBA4A7F6D105194148C983EBCC565841E28055A49F0519411A55768DC3565841BBB441294D05194113E88952B456584124F348B830051941F09026B5AF565841658FD4C2A10419418C8E5A7FB5565841</t>
  </si>
  <si>
    <t>B1579</t>
  </si>
  <si>
    <t>2020000B1579</t>
  </si>
  <si>
    <t>6882.52</t>
  </si>
  <si>
    <t>01060000206A080000010000000103000000010000000C000000854E4C5CD60319411C8580A43E5458411FAE98486D0419419E49361A3E5458414C95CAA36E0419411DAC17353A5458412410B0A46F041941B8C5E70A3854584171CE78AE63041941A6CA4751335458411A729A3D640419411DEF5858305458411F669D85740419413684F8B82C5458412E8942A490041941FC688D722854584111C0A670970319410163112E295458415324D30AA303194121494D812D54584178890771B503194131498C5B34545841854E4C5CD60319411C8580A43E545841</t>
  </si>
  <si>
    <t>B217</t>
  </si>
  <si>
    <t>1710000B0217</t>
  </si>
  <si>
    <t>CR26</t>
  </si>
  <si>
    <t>4018.39</t>
  </si>
  <si>
    <t>01060000206A08000001000000010300000001000000090000001FAE98486D0419419E49361A3E545841854E4C5CD60319411C8580A43E5458419024F7CCFC03194189F502674F5458416C343ED7070419415F7648E14D545841564B06B90E04194113EBB20E4B5458414F94C8A41E0419411043DFC348545841392FD4B8350419417A5A811445545841C22F49714A0419411B88C55C425458411FAE98486D0419419E49361A3E545841</t>
  </si>
  <si>
    <t>B218</t>
  </si>
  <si>
    <t>1710000B0218</t>
  </si>
  <si>
    <t>1165.79</t>
  </si>
  <si>
    <t>01060000206A0800000100000001030000000100000014000000A5E23DE13B051941607426057D54584111F946E10E0519416D4ECAE5775458410A6DC300E6041941357ADB736F5458413234B81ED2041941E1FEF73868545841D2E6DB85D20419416198893B5E54584137B5D847C904194110C99C2956545841AC9F5B8FB50419419D81D8D34F545841DFB23AF6B8041941CE1C0D6E49545841BD67215CCA0419412C7D1A6E44545841BD53980ACC0419416AB0CAAC41545841100F2D29BB041941FF17EFC13D54584173A84F85780419416D8E19053E54584156F249EC77041941C4E6F5483E54584166D6D6856E041941BED517953F545841744205342E041941246ACD6C48545841EE8F4F3E19041941D49924F54C5458411423474803041941A50EE16A5354584149B4DAB8140419411A5274FD58545841B1417A336904194159CDF5C87E545841A5E23DE13B051941607426057D545841</t>
  </si>
  <si>
    <t>B240</t>
  </si>
  <si>
    <t>1710000B0240</t>
  </si>
  <si>
    <t>10407.42</t>
  </si>
  <si>
    <t>01060000206A0800000100000001030000000100000015000000E50D8B0A2B0619418000A0603C545841100F2D29BB041941FF17EFC13D545841BD53980ACC0419416AB0CAAC41545841BD67215CCA0419412C7D1A6E44545841DFB23AF6B8041941CE1C0D6E49545841AC9F5B8FB50419419D81D8D34F54584137B5D847C904194110C99C2956545841D2E6DB85D20419416198893B5E5458413234B81ED2041941E1FEF738685458410A6DC300E6041941357ADB736F54584111F946E10E0519416D4ECAE577545841A5E23DE13B051941607426057D545841EF39407BA30519410B9E5E267C5458410A086871A2051941D78B88FB7B545841158159D7910519418F06725D795458414205221F7A051941E78C05A769545841E8F968EC660519414F41DC9366545841DC8637674C0519415066D3C3535458411DBC45A4BB051941550A9CA049545841F5914F1F110619413FF2DDEA41545841E50D8B0A2B0619418000A0603C545841</t>
  </si>
  <si>
    <t>B241</t>
  </si>
  <si>
    <t>1710000B0241</t>
  </si>
  <si>
    <t>11750.73</t>
  </si>
  <si>
    <t>01060000206A080000010000000103000000010000000D00000073A84F85780419416D8E19053E545841100F2D29BB041941FF17EFC13D545841E50D8B0A2B0619418000A0603C5458411469D4005706194189D7FB683454584193B4CA3D75061941C756785D32545841D0C1C97096061941DF4B44FA2F5458412755ADD7C1061941200A4BA12B5458415A074515BF061941E0A570CD26545841C71506A4A604194150740370285458412E5576148B0419413B61E57A2C54584155D370F66D041941ABEC0C2732545841098286C27E041941143B44613B54584173A84F85780419416D8E19053E545841</t>
  </si>
  <si>
    <t>B242</t>
  </si>
  <si>
    <t>1710000B0242</t>
  </si>
  <si>
    <t>10868.97</t>
  </si>
  <si>
    <t>01060000206A0800000100000001030000000100000007000000B113557BD205194173E14AD108545841972B28E29405194114010BE70554584102E66F6649051941745682DB0D545841945F0552CB0519410A9A78A40F5458414B565529CD0519419BE91CA50E545841E53E4DCDDD051941F46559780B545841B113557BD205194173E14AD108545841</t>
  </si>
  <si>
    <t>B244</t>
  </si>
  <si>
    <t>1710000B0244</t>
  </si>
  <si>
    <t>CR25</t>
  </si>
  <si>
    <t>847.51</t>
  </si>
  <si>
    <t>01060000206A0800000100000001030000000100000019000000F7403029590819418E0289721D54584125362DB94B081941234033731D5458410823E5F52E0819416DAC82741D545841D3BBD42924081941CB86FB9F0A545841604D74717B0719415D9D35630A5458419ED2B247E1061941279C26050A54584168A7A7A4950619418FA66616095458413713EB3341061941C9299F6004545841C5BDF3F50D0619414F1C51E802545841BE460629DB05194165630697085458418256DCD7E105194174B02EEC095458416B7D913DE4051941E66A54F80B545841ABF1490ADB05194170EDCEBC1054584173F16A5CE9051941826704371254584143F452850A0619411F57C80C135458416C27DD2925061941D00B78CD14545841C65FFA1E7106194171CC6DC61B545841B43B52719A061941C552E6311F5458417CC04E9AB7061941097D629621545841223ED93DCA0619417D2F05772454584132057FF6CA06194150D031032B545841111358483B081941A385B37E2C5458411365985C580819416467B4972C545841C948F0B86508194141F691A22C545841F7403029590819418E0289721D545841</t>
  </si>
  <si>
    <t>B245</t>
  </si>
  <si>
    <t>1710000B0245</t>
  </si>
  <si>
    <t>17011.11</t>
  </si>
  <si>
    <t>01060000206A080000010000000103000000010000001000000061652534A4071941142855682C545841BA8A3785C7061941FC152AAC2B545841C832C1CCBA06194159512A4C2E545841CB89595C99061941EB5CC5FC30545841A581C7A482061941B86BE36A3254584140D0902961061941696344F134545841D7CFDAC24A06194114A4C695385458412E86F1852A0619417D3D55683F545841733C91660D061941AEE90170435458410B9665ECDA051941A55EB06747545841719FC65CCB0519410B6362BF495458412A3EE447C905194188E805104A545841F1463A7BE80619418047431A4C545841B42EF81EEA06194132993AD34B545841FCC2E6EB30071941ABE5FCDF3F54584161652534A4071941142855682C545841</t>
  </si>
  <si>
    <t>B246</t>
  </si>
  <si>
    <t>1710000B0246</t>
  </si>
  <si>
    <t>8277.99</t>
  </si>
  <si>
    <t>01060000206A080000010000000103000000010000000A00000061652534A4071941142855682C545841FCC2E6EB30071941ABE5FCDF3F545841B42EF81EEA06194132993AD34B545841F1463A7BE80619418047431A4C5458415B3A94149B0719410CB0FB5F4D5458418F5F1B71BD0719419A72EF084854584100171A5257081941F009E1DA2F545841D0B4D20A69081941120F9E102D545841A787643E580819417C81F2012D54584161652534A4071941142855682C545841</t>
  </si>
  <si>
    <t>B247</t>
  </si>
  <si>
    <t>1710000B0247</t>
  </si>
  <si>
    <t>6202.85</t>
  </si>
  <si>
    <t>01060000206A0800000100000001030000000100000021000000FDC939D7CAF718417D112D9C0D575841EC2BCD7B17F8184116AFD11C0E575841CBC8A36618F818417B1D94A210575841BABF4D480EF818413C2C04D71157584103CCF1B812F81841DE8F7ED413575841605F8AD70FF818415D52897B15575841D0C83B1F12F81841CD6AA8D7165758418FAF5485EFF7184185FF0640175758414B6E7FC3EBF7184193A8B2F717575841FAC2CE00DAF718416503272C1D575841B09C0AC3DDF71841D35761661E57584192945B48E8F71841A116852B1F575841D50CD3F526F81841A0D1E7212157584140B724C36AF81841DE01838B21575841FD9B7433B0F81841EEB20537225758419A0619A4F4F81841FEB5891B215758413B51F41EFDF8184106BF42EA20575841CAD93F5CF2F81841E715614F19575841F7224871F5F818419E4631F3185758413529F166EEF81841981266B613575841A3B3551505F918413144AB5713575841D0D459F66CF918418CA181EB12575841E73004716BF918411947FE0F0E575841BB7FD9143FF818416777E89D04575841428D62CF41F81841786D2B1204575841561BCECE20F81841552C01BC015758418429F610EBF7184186F25B27FF5658414A72BE7FCAF71841D7A49331FE56584151AB895378F7184171C1E46AFC5658410C35369A71F71841F53D4E2100575841B95D116E71F71841CAEF493A005758412A9E9EAE70F718410080B3A700575841FDC939D7CAF718417D112D9C0D575841</t>
  </si>
  <si>
    <t>B2472j</t>
  </si>
  <si>
    <t>2020000B2472</t>
  </si>
  <si>
    <t>9284.38</t>
  </si>
  <si>
    <t>01060000206A0800000100000001030000000100000011000000E73004716BF918411947FE0F0E5758414BDBCBB864F91841DC780F4EFF565841141C1B5DDDF81841B1AFFEDFFF56584199E0BAEBD1F818413DB1A099F256584127780CB9C0F81841C52B6DBDF1565841A11CC570E2F8184127AEA2F0E85658417D19B0E1E2F818419F2EDD33E55658416CD8AAA4D6F81841FA3C9639E5565841CD82BD14A8F818419C29A169E55658419FA6DAEB72F81841AFBB9A49E65658417C3A51A42CF8184192746C70EF5658418F2E1DFF95F71841D0E6A589F756584176E5B99B2FF81841EC845030FA565841155A7F1961F8184137404374FD565841D14913774CF818413EE5B1F001575841BB7FD9143FF818416777E89D04575841E73004716BF918411947FE0F0E575841</t>
  </si>
  <si>
    <t>B2472k</t>
  </si>
  <si>
    <t>7480.75</t>
  </si>
  <si>
    <t>01060000206A08000001000000010300000001000000180000009FA6DAEB72F81841AFBB9A49E65658419DF62B2994F81841F4946796D656584126A400151BF818410054879BD9565841C19A1B7174F718416AF4CA8CDD565841F69CBEB829F7184141AF6B0DDF56584115926BE1DEF61841F6B8284CE0565841607C921FEDF5184134CF0507E456584160B664A4D7F51841CB4CB087E5565841CD3AC152C3F51841A557EC71E6565841690A619A9EF51841B95DB387E6565841E591D5857EF518410B4A1FA5E65658419737EA8572F518417C3EF2C8E65658415645193D9AF51841B5DF1B6FF2565841E3E657E3E3F51841A2BDD3D7F15658419FC3F27DE9F51841DB5C109AED565841C60B993237F618416DB8ADB0EC56584104F3B38058F61841002828D4F0565841E0FD3126E7F6184107F2F8ADED565841483EEC7239F718414DD3C518EA565841B88D516D8CF71841E59266C0EA56584128FE2F688EF7184156C7534DEF5658418F2E1DFF95F71841D0E6A589F75658417C3A51A42CF8184192746C70EF5658419FA6DAEB72F81841AFBB9A49E6565841</t>
  </si>
  <si>
    <t>B2472l</t>
  </si>
  <si>
    <t>11845.36</t>
  </si>
  <si>
    <t>01060000206A080000010000000103000000010000000C000000428D62CF41F81841786D2B1204575841D14913774CF818413EE5B1F001575841155A7F1961F8184137404374FD56584176E5B99B2FF81841EC845030FA56584192B81D03B8F718410C95EB1FF8565841B1573CDD72F718413D1A1D55F9565841983AC18F7CF718410F5E7F14FA56584151AB895378F7184171C1E46AFC5658414A72BE7FCAF71841D7A49331FE5658418429F610EBF7184186F25B27FF565841561BCECE20F81841552C01BC01575841428D62CF41F81841786D2B1204575841</t>
  </si>
  <si>
    <t>B2472m</t>
  </si>
  <si>
    <t>1367.96</t>
  </si>
  <si>
    <t>01060000206A080000010000000103000000010000000900000092B81D03B8F718410C95EB1FF85658418F2E1DFF95F71841D0E6A589F756584128FE2F688EF7184156C7534DEF5658416CE502CD8DF71841E943DAE7ED565841453DF85C33F718413437B177F15658410E962B3E29F71841B5026CF6F2565841E38117A446F71841C5692CECF5565841B1573CDD72F718413D1A1D55F956584192B81D03B8F718410C95EB1FF8565841</t>
  </si>
  <si>
    <t>B2472n</t>
  </si>
  <si>
    <t>785.91</t>
  </si>
  <si>
    <t>01060000206A08000001000000010300000001000000110000006CE502CD8DF71841E943DAE7ED565841B88D516D8CF71841E59266C0EA565841483EEC7239F718414DD3C518EA565841E0FD3126E7F6184107F2F8ADED56584104F3B38058F61841002828D4F0565841C60B993237F618416DB8ADB0EC5658419FC3F27DE9F51841DB5C109AED565841E3E657E3E3F51841A2BDD3D7F15658415645193D9AF51841B5DF1B6FF25658418F141EE2A3F5184175D63543F556584155565985A5F518412C2F0060F5565841A941C0E1B0F518411D0E7844F5565841B2767E6652F61841E992C4C5F35658412BC5991417F71841BD5404C7F2565841C02166CD1EF71841465DE751F2565841453DF85C33F718413437B177F15658416CE502CD8DF71841E943DAE7ED565841</t>
  </si>
  <si>
    <t>B2472o</t>
  </si>
  <si>
    <t>2530.39</t>
  </si>
  <si>
    <t>01060000206A080000010000000103000000010000000C00000099D7B01EA0051941814F9319695458413145AE1EDD0619418307D2E36A545841D589E08F990719411BF52E9C4D5458415B3A94149B0719410CB0FB5F4D545841F1463A7BE80619418047431A4C5458412A3EE447C905194188E805104A5458415532F51EC005194176A704704B5458413F5A5C1F8F051941DEE2B8BE4E545841CCB9031F620519410C36D1635254584147ED76EC540519414F4FAB00545458415C9A46487B051941B51861466854584199D7B01EA0051941814F931969545841</t>
  </si>
  <si>
    <t>B248</t>
  </si>
  <si>
    <t>1710000B0248</t>
  </si>
  <si>
    <t>14114.39</t>
  </si>
  <si>
    <t>01060000206A0800000100000001030000000100000006000000D6FFCF3D8E08194142C177E466545841F17F517B8208194158697B8468545841F1F8C81463081941AF592FDC6C5458418E079E0A8208194139B880046D545841B90AF05192081941983297196D545841D6FFCF3D8E08194142C177E466545841</t>
  </si>
  <si>
    <t>B250</t>
  </si>
  <si>
    <t>1710000B0250</t>
  </si>
  <si>
    <t>146.16</t>
  </si>
  <si>
    <t>01060000206A0800000100000001030000000100000012000000836798B8A40819417EB7E881875458414C5BE4999A0819418894CFA379545841B90AF05192081941983297196D5458418E079E0A8208194139B880046D545841F1F8C81463081941AF592FDC6C5458413145AE1EDD0619418307D2E36A54584199D7B01EA0051941814F931969545841819B7185620719415E2292A274545841BBDBC7A427081941DF888E127A5458413FB4001FD1061941BA9404E0795458411E3B28009F0519412425D18C795458419E67F91EAC051941CB4876AD7B5458414EE1D770C00519413C6CC8157E54584103C408B9CE0519415AA6D36C805458414BFC51E1D30519415E7D06608254584131950A67D2071941B76AD0B385545841DCC9A5F695081941269FE46187545841836798B8A40819417EB7E88187545841</t>
  </si>
  <si>
    <t>B251</t>
  </si>
  <si>
    <t>1710000B0251</t>
  </si>
  <si>
    <t>13702.51</t>
  </si>
  <si>
    <t>01060000206A080000010000000103000000010000000900000099D7B01EA0051941814F9319695458415C9A46487B051941B518614668545841698BD65280051941871D8B8B69545841FE5293F697051941D1D31167785458411E3B28009F0519412425D18C795458413FB4001FD1061941BA9404E079545841BBDBC7A427081941DF888E127A545841819B7185620719415E2292A27454584199D7B01EA0051941814F931969545841</t>
  </si>
  <si>
    <t>B252</t>
  </si>
  <si>
    <t>1710000B0252</t>
  </si>
  <si>
    <t>5769.79</t>
  </si>
  <si>
    <t>01060000206A080000010000000103000000010000002E000000D359047F0F1819415E75714AE15458412ACB570C88181941D95CC4D2DB54584105636952A9171941FB667D40B05458414DC753A5FE1819410CDFBC39AB545841807DCB98291919417943E9A1AA5458418DB8C195C918194118C84502975458418C427D77FD181941BE46868F9554584166F0A0619A181941E32B4BD77C5458414F79AD18BC181941FF9604287B5458410439D733141919418C1F3B8B79545841F2217A5C7919194137AE6C867454584113FC0EC67A1919411EF29E246F545841AF3BFD046119194165926AEB69545841F56C3625651919412AD9405E67545841794CB1A8AF1919411E5DA0C365545841888A9519DF1919416DE695E264545841A011C0F28E191941C0A3E8A155545841F2C4FCEBC6171941B8EF895B525458411C80AFD7B51519418798A6A74E545841D16D2F4891141941A1198C9B4C545841D9E25D0AA61319412409C8FC4A5458410A290A48C1111941639A4FA847545841A6417B66620F19413255495143545841FA38CBB8530F1941FF58603643545841B86318D7700D19411A28FDEF62545841BDF51F3E860C1941E0335F5F72545841547A2DAEAE0B19419F4C00908054584177F69F66010B194139AA73E48B545841B74D81E1400A1941203B877B98545841A8489B29AC09194104C21835A2545841AD07DC7071091941C682BEF5B1545841051463D7770919415FE8E711B254584140AD059AEB0A19410AE68F72B8545841A7A93D67010D19419F2DFB0FC254584134215E15790E1941FCEE8A6BC8545841B115ABF6F50F19415FA8C115CF54584126088CD7F510194136636487D354584131CFB88256101941B62E1E1CB55458418ED76796DA10194181257FAAB0545841ADFBF72558111941B0C90171AC54584183863C7BB911194133C094A8BA54584156610B28FF111941EB68DDD5C4545841286B8E37B414194152FD1493D1545841E752F3FAD91419411A5E6653D854584133CCD5F467151941EE9E0647D6545841D359047F0F1819415E75714AE1545841</t>
  </si>
  <si>
    <t>B266j</t>
  </si>
  <si>
    <t>1710000B0266</t>
  </si>
  <si>
    <t>430352.73</t>
  </si>
  <si>
    <t>01060000206A0800000100000001030000000100000014000000AB198C281E171941F4DB131AEE545841B99DDCEC00171941C03BF68FED545841D359047F0F1819415E75714AE154584133CCD5F467151941EE9E0647D6545841E752F3FAD91419411A5E6653D8545841286B8E37B414194152FD1493D154584156610B28FF111941EB68DDD5C454584183863C7BB911194133C094A8BA545841C1F5886046111941BE7A2939BF54584103E6A1EE17111941250BBD9CC1545841A61DA385FC101941C79D9736C0545841AB009545E81019419013ED5ABC5458418ED76796DA10194181257FAAB054584131CFB88256101941B62E1E1CB554584126088CD7F510194136636487D35458418A7E13AEB9111941EB8D12EED6545841241DE4F551141941B262EE88E2545841A5AD11908C161941B6C3D4D3EC545841CD1BFCB80A1719416197D903EF545841AB198C281E171941F4DB131AEE545841</t>
  </si>
  <si>
    <t>B266k</t>
  </si>
  <si>
    <t>34076.65</t>
  </si>
  <si>
    <t>01060000206A08000001000000010300000001000000140000002ACB570C88181941D95CC4D2DB54584107365420361C19411F609E18B15458411C42DFC81F1C194112719D6D8E5458413F549BDEAF1A1941AF1F10B557545841A011C0F28E191941C0A3E8A155545841888A9519DF1919416DE695E264545841794CB1A8AF1919411E5DA0C365545841F56C3625651919412AD9405E67545841AF3BFD046119194165926AEB6954584113FC0EC67A1919411EF29E246F545841F2217A5C7919194137AE6C86745458410439D733141919418C1F3B8B795458414F79AD18BC181941FF9604287B54584166F0A0619A181941E32B4BD77C5458418C427D77FD181941BE46868F955458418DB8C195C918194118C8450297545841807DCB98291919417943E9A1AA5458414DC753A5FE1819410CDFBC39AB54584105636952A9171941FB667D40B05458412ACB570C88181941D95CC4D2DB545841</t>
  </si>
  <si>
    <t>B266l</t>
  </si>
  <si>
    <t>84949.12</t>
  </si>
  <si>
    <t>01060000206A080000010000000103000000010000000800000083863C7BB911194133C094A8BA545841ADFBF72558111941B0C90171AC5458418ED76796DA10194181257FAAB0545841AB009545E81019419013ED5ABC545841A61DA385FC101941C79D9736C054584103E6A1EE17111941250BBD9CC1545841C1F5886046111941BE7A2939BF54584183863C7BB911194133C094A8BA545841</t>
  </si>
  <si>
    <t>B266m</t>
  </si>
  <si>
    <t>TAIL1960</t>
  </si>
  <si>
    <t>2930.07</t>
  </si>
  <si>
    <t>01060000206A080000010000000103000000010000000A00000092963152320A19417D93E7516F545841C50AD65C5F09194112E7E5316E545841B90AF05192081941983297196D5458414C5BE4999A0819418894CFA379545841836798B8A40819417EB7E8818754584177F69F66010B194139AA73E48B545841547A2DAEAE0B19419F4C009080545841BDF51F3E860C1941E0335F5F725458412EBFB67B5A0B1941B889A3C07054584192963152320A19417D93E7516F545841</t>
  </si>
  <si>
    <t>B269</t>
  </si>
  <si>
    <t>1710000B0269</t>
  </si>
  <si>
    <t>21893.66</t>
  </si>
  <si>
    <t>01060000206A080000010000000103000000010000000A000000FA38CBB8530F1941FF58603643545841EF4D48A4E40F19419C01ABB039545841A546A75C2C1019417CB1E3FA34545841F4AA5D52B60E1941EE1C6B76335458419BBB56B8200D1941B211AEC731545841321146F6750B1941D0B3BD7E6C5458412EBFB67B5A0B1941B889A3C070545841BDF51F3E860C1941E0335F5F72545841B86318D7700D19411A28FDEF62545841FA38CBB8530F1941FF58603643545841</t>
  </si>
  <si>
    <t>B270</t>
  </si>
  <si>
    <t>1710000B0270</t>
  </si>
  <si>
    <t>35319.53</t>
  </si>
  <si>
    <t>01060000206A08000001000000010300000001000000080000009BBB56B8200D1941B211AEC7315458411DA1E53DE50C1941E7B05088315458412F053C3EDA0B1941298E46813054584145A37B71F60A19410F735D9F5254584192963152320A19417D93E7516F5458412EBFB67B5A0B1941B889A3C070545841321146F6750B1941D0B3BD7E6C5458419BBB56B8200D1941B211AEC731545841</t>
  </si>
  <si>
    <t>B271</t>
  </si>
  <si>
    <t>1710000B0271</t>
  </si>
  <si>
    <t>19998.25</t>
  </si>
  <si>
    <t>01060000206A080000010000000103000000010000000700000092963152320A19417D93E7516F54584145A37B71F60A19410F735D9F525458412F053C3EDA0B1941298E468130545841600EB73DFE0A19413BA40BA72F545841A6547FE198091941E04E99A965545841C50AD65C5F09194112E7E5316E54584192963152320A19417D93E7516F545841</t>
  </si>
  <si>
    <t>B272</t>
  </si>
  <si>
    <t>1710000B0272</t>
  </si>
  <si>
    <t>13968.96</t>
  </si>
  <si>
    <t>01060000206A0800000100000001030000000100000008000000600EB73DFE0A19413BA40BA72F5458416563FF47210A1941EF5C61B62E545841DBFAE78F450919418442828B4D545841D6FFCF3D8E08194142C177E466545841B90AF05192081941983297196D545841C50AD65C5F09194112E7E5316E545841A6547FE198091941E04E99A965545841600EB73DFE0A19413BA40BA72F545841</t>
  </si>
  <si>
    <t>B273</t>
  </si>
  <si>
    <t>1710000B0273</t>
  </si>
  <si>
    <t>15071.92</t>
  </si>
  <si>
    <t>01060000206A08000001000000010300000001000000070000007997D05C97091941C9CEBA8E0C545841360CAFB829091941EE790E770B5458418F53C6994F081941606561C60A545841F7403029590819418E0289721D545841C948F0B86508194141F691A22C545841CA124BEC86091941E0EAB69E2D5458417997D05C97091941C9CEBA8E0C545841</t>
  </si>
  <si>
    <t>B275</t>
  </si>
  <si>
    <t>1710000B0275</t>
  </si>
  <si>
    <t>10444.24</t>
  </si>
  <si>
    <t>01060000206A080000010000000103000000010000000800000084AE5648410D1941723C40BA15545841E3F9C07B9E0A19413A0434B30E5458417997D05C97091941C9CEBA8E0C545841CA124BEC86091941E0EAB69E2D5458412A5329859E091941E5F636B32D545841087AFBAEE00A1941124B8FE22E5458418B93F0C2250D19414C1EA1303154584184AE5648410D1941723C40BA15545841</t>
  </si>
  <si>
    <t>B276</t>
  </si>
  <si>
    <t>1710000B0276</t>
  </si>
  <si>
    <t>28525.72</t>
  </si>
  <si>
    <t>01060000206A080000010000000103000000010000000800000084AE5648410D1941723C40BA155458418B93F0C2250D19414C1EA1303154584157B7C4A4CF0F19413DBB54D833545841FE3B5A9A371019412F1F0F3E34545841A92B389A12121941B400DD0A1554584152BC3A0A321019416991CEAC155458418C7877AE7A0D1941930CE37A1654584184AE5648410D1941723C40BA15545841</t>
  </si>
  <si>
    <t>B277</t>
  </si>
  <si>
    <t>1710000B0277</t>
  </si>
  <si>
    <t>29401.95</t>
  </si>
  <si>
    <t>01060000206A0800000100000001030000000100000008000000FA38CBB8530F1941FF58603643545841A6417B66620F194132554951435458410A290A48C1111941639A4FA847545841D9E25D0AA61319412409C8FC4A5458413489AE7BCB131941A7FBF69840545841A64AAC7BF20F1941027C99C939545841EF4D48A4E40F19419C01ABB039545841FA38CBB8530F1941FF58603643545841</t>
  </si>
  <si>
    <t>B279</t>
  </si>
  <si>
    <t>1710000B0279</t>
  </si>
  <si>
    <t>11190.69</t>
  </si>
  <si>
    <t>01060000206A0800000100000001030000000100000006000000F2C4FCEBC6171941B8EF895B525458412C757052D717194175A447E14754584130C1F2EB5B161941DE048C52455458418C0E4D52CA1519417D2D6746445458411C80AFD7B51519418798A6A74E545841F2C4FCEBC6171941B8EF895B52545841</t>
  </si>
  <si>
    <t>B281</t>
  </si>
  <si>
    <t>1710000B0281</t>
  </si>
  <si>
    <t>5551.22</t>
  </si>
  <si>
    <t>01060000206A08000001000000010300000001000000110000003961845CFB121941E92D3143EB53584156EA6652951319417ADA4451EC53584189101285051419411893F848EC535841B8A2FD854E141941CA0673D4EC535841050C1052A4141941AE912225ED535841266E97F62A1519419638FFEFEC5358413F8CA5C2A11519413BE6811BED535841740D2FEC9D151941B0CC0F27E3535841C54647A42915194141D17E5BE2535841301C12C3E1141941655B3BC3E1535841C42B2B4853141941C4C6DDB3E15358410D3678661A14194113F669DDE1535841493F88520D1419416035131EE2535841AF854B3EE3131941E5C14171E353584177E4C5B848131941A30C1AA5E4535841804D9B5CEF121941E59591E9E45358413961845CFB121941E92D3143EB535841</t>
  </si>
  <si>
    <t>B296</t>
  </si>
  <si>
    <t>1710000B0296</t>
  </si>
  <si>
    <t>6583.56</t>
  </si>
  <si>
    <t>01060000206A080000010000000103000000010000000A000000475B04CD13131941EBC776BD0354584126418766B71519417A1F935903545841E142FC1EA61519415C10621FEE5358412D47C18542151941B33B6216EE535841342136EC0315194138E24A21EE5358418C7B8B71EE131941B4CEE691ED53584173673D525E131941FB430CD7EC535841D34B1D00F71219415B2E5C6FEC5358415F4F0CAF00131941864F05C0F5535841475B04CD13131941EBC776BD03545841</t>
  </si>
  <si>
    <t>B297</t>
  </si>
  <si>
    <t>1710000B0297</t>
  </si>
  <si>
    <t>14961.82</t>
  </si>
  <si>
    <t>01060000206A080000010000000103000000010000000B000000A92B389A12121941B400DD0A15545841121DF9EB441219416F986CBD11545841475B04CD13131941EBC776BD035458415F4F0CAF00131941864F05C0F553584108B8CFAED810194146369292F9535841C90779AE10111941C201BAAE0B54584184B78C0A760D1941E6AB4271115458412880FCB8750D1941CC8E3BBA155458418C7877AE7A0D1941930CE37A1654584152BC3A0A321019416991CEAC15545841A92B389A12121941B400DD0A15545841</t>
  </si>
  <si>
    <t>B298</t>
  </si>
  <si>
    <t>1710000B0298</t>
  </si>
  <si>
    <t>20293.41</t>
  </si>
  <si>
    <t>01060000206A080000010000000103000000010000000A0000005F4F0CAF00131941864F05C0F5535841D34B1D00F71219415B2E5C6FEC535841AAFD5A85C3121941E1033423EC53584173E9E11E77121941B5F21BBEEC535841D5453E903F121941198A26B5EC535841DC6F73CD86111941BD285A98E753584133E4CAF528111941D31643C1E55358417858777198101941B6D625E5E253584108B8CFAED810194146369292F95358415F4F0CAF00131941864F05C0F5535841</t>
  </si>
  <si>
    <t>B299</t>
  </si>
  <si>
    <t>1710000B0299</t>
  </si>
  <si>
    <t>PLA2023</t>
  </si>
  <si>
    <t>8393.03</t>
  </si>
  <si>
    <t>01060000206A0800000100000001030000000100000010000000804D9B5CEF121941E59591E9E45358414EA271299512194161F71A2EE5535841B33053E12612194106DAF9AFE4535841D987C347E0111941DA4B07A7E1535841E3829CCD7F111941FA6F31F3E0535841A9BBDB33E8101941E6329DC0E05358415C4A291F8C101941005945E1DF535841908AD5CC9510194113DAA6F7E1535841E52E4FECEB1019418FA39DA0E3535841BCDDFB5C3E1119417B55A310E553584133742934C0111941C760BC15E8535841338517714112194199229E50EB5358415C9A325C7112194102B9E31AEC5358414E8A405CBD121941CE565A3FEB5358413961845CFB121941E92D3143EB535841804D9B5CEF121941E59591E9E4535841</t>
  </si>
  <si>
    <t>B300</t>
  </si>
  <si>
    <t>1710000B0300</t>
  </si>
  <si>
    <t>TAIL1997</t>
  </si>
  <si>
    <t>3257.99</t>
  </si>
  <si>
    <t>01060000206A0800000100000001030000000100000006000000576BB6D717101941FF03E77AE0535841908AD5CC9510194113DAA6F7E15358415C4A291F8C101941005945E1DF5358412D01608F3210194174A9AB07DF5358417AADEAEB1D101941B0D8E6AADE535841576BB6D717101941FF03E77AE0535841</t>
  </si>
  <si>
    <t>B301</t>
  </si>
  <si>
    <t>1710000B0301</t>
  </si>
  <si>
    <t>220.36</t>
  </si>
  <si>
    <t>01060000206A0800000100000001030000000100000006000000AFB7677BD20F194131F7D9D3F653584108B8CFAED810194146369292F95358417858777198101941B6D625E5E25358413281D80013101941272FFAAFE15358412AB8455A041019411FDCBE7CE6535841AFB7677BD20F194131F7D9D3F6535841</t>
  </si>
  <si>
    <t>B302</t>
  </si>
  <si>
    <t>1710000B0302</t>
  </si>
  <si>
    <t>4334.29</t>
  </si>
  <si>
    <t>01060000206A0800000100000001030000000100000008000000D18B7392760D1941E35BA1100A54584184B78C0A760D1941E6AB427111545841C90779AE10111941C201BAAE0B54584108B8CFAED810194146369292F9535841AFB7677BD20F194131F7D9D3F65358411BD8060FDB0F194174FFA4C50B54584118739805DC0D19415D957BB30A545841D18B7392760D1941E35BA1100A545841</t>
  </si>
  <si>
    <t>B303j</t>
  </si>
  <si>
    <t>1710000B0303</t>
  </si>
  <si>
    <t>8542.13</t>
  </si>
  <si>
    <t>01060000206A0800000100000001030000000100000007000000AFB7677BD20F194131F7D9D3F65358412CBD89F6770D19414CC6FE5FF05358414E1D2429780D1941A3DF56E8F3535841D18B7392760D1941E35BA1100A54584118739805DC0D19415D957BB30A5458411BD8060FDB0F194174FFA4C50B545841AFB7677BD20F194131F7D9D3F6535841</t>
  </si>
  <si>
    <t>B303k</t>
  </si>
  <si>
    <t>14253.86</t>
  </si>
  <si>
    <t>01060000206A0800000100000001030000000100000005000000AFB7677BD20F194131F7D9D3F65358412AB8455A041019411FDCBE7CE6535841B100E158770D1941EBB6B5D5E15358412CBD89F6770D19414CC6FE5FF0535841AFB7677BD20F194131F7D9D3F6535841</t>
  </si>
  <si>
    <t>B304j</t>
  </si>
  <si>
    <t>1710000B0304</t>
  </si>
  <si>
    <t>9829.53</t>
  </si>
  <si>
    <t>01060000206A08000001000000010300000001000000090000002AB8455A041019411FDCBE7CE65358413281D80013101941272FFAAFE1535841AD1635B9A60F1941FE6E353AE0535841B8C65BCD2D0F1941DF8A7D24DE535841E7FCC18FA10E1941A46EB33EDC5358412C64040BEB0D1941EC33FEFFDA535841AAAE0C0B770D1941C3620EB7DA535841B100E158770D1941EBB6B5D5E15358412AB8455A041019411FDCBE7CE6535841</t>
  </si>
  <si>
    <t>B304k</t>
  </si>
  <si>
    <t>4560.50</t>
  </si>
  <si>
    <t>01060000206A08000001000000010300000001000000130000004E682652D00D19414074A990D7535841C6D21AC3FB0D194183D771CDD95358416B24EC1E390E1941224A03E7D9535841B96D2400D20E1941AF2317F5DB535841AE76A7CDF00F194163491805E0535841576BB6D717101941FF03E77AE05358417AADEAEB1D101941B0D8E6AADE53584180FF8B7B04101941A284F238DE53584197C56B8FE80F1941079E2F33DD535841195AFDA3980F19413CE6E7BAD9535841B7CA1DA45C0F194180285D0FD7535841B9526A291C0F1941E4208044D5535841E18968A4D50E1941D7259899D453584167963167B50E1941BC9ED3F3D4535841D71D9F48910E1941DDD870CDD55358410DAD4CF67B0E194188F8688DD6535841A5DD79D7620E194155386456D8535841E1679BEB260E194195C9A1B9D85358414E682652D00D19414074A990D7535841</t>
  </si>
  <si>
    <t>B305</t>
  </si>
  <si>
    <t>1710000B0305</t>
  </si>
  <si>
    <t>2594.60</t>
  </si>
  <si>
    <t>01060000206A080000010000000103000000010000001A0000003B6D16B9C10B1941C6F5F9E8E3535841ED317D48710D19413016DB93D9535841C6D21AC3FB0D194183D771CDD95358414E682652D00D19414074A990D75358412A746A9AB70D19415B263FFAD653584110BD0F299F0D1941210AC03ED45358417F840B298E0D19410C58E4D1D25358415A1F219A790D1941E35F42C1CD535841B4641BC3790D19418A89F678CC5358411A650934690D194199197F04C9535841C74451672A0D1941DA50A8B0C55358414C70C40A150D1941A7048992C3535841E383AFAE1E0D1941F9DDDDA3C0535841C2FFCC8F160D1941877D0877BE5358418C247ACDDB0C19419A0C801BBD5358410EFF94A47D0C19413274274CB9535841E86E6B5C680C1941CFFF04C0B6535841CD15F9AE6A0C19418720E711B353584158083AD7600C194152EAB5E7B0535841809A3FE1340C19410DAD85ABAE53584142F9B3140F0C19411E3C4E48AD5358410A63C600DC0B19418AE32E83AB5358413BA66400CB0A1941B524E0CABA5358411D184167670A19417904CACCD9535841566BA685AA0B1941FE1AC58CDA5358413B6D16B9C10B1941C6F5F9E8E3535841</t>
  </si>
  <si>
    <t>B306</t>
  </si>
  <si>
    <t>1710000B0306</t>
  </si>
  <si>
    <t>CR23</t>
  </si>
  <si>
    <t>28193.12</t>
  </si>
  <si>
    <t>01060000206A0800000100000001030000000100000009000000EBB74148C30B194177A20337E55358415629D5AEED0B19417D303503F65358414E1D2429780D1941A3DF56E8F35358412CBD89F6770D19414CC6FE5FF0535841B100E158770D1941EBB6B5D5E1535841AAAE0C0B770D1941C3620EB7DA535841234E6652720D1941ADE1D6B3DA5358418267D71E690C19411B0AC235E1535841EBB74148C30B194177A20337E5535841</t>
  </si>
  <si>
    <t>B307</t>
  </si>
  <si>
    <t>1710000B0307</t>
  </si>
  <si>
    <t>8871.08</t>
  </si>
  <si>
    <t>01060000206A080000010000000103000000010000000A000000E00A8A8A9E0A1941C0B84DE5FF535841E3F9C07B9E0A19413A0434B30E54584184AE5648410D1941723C40BA155458418C7877AE7A0D1941930CE37A165458412880FCB8750D1941CC8E3BBA1554584184B78C0A760D1941E6AB427111545841D18B7392760D1941E35BA1100A5458419C9997A2D40C194197A7A80C09545841376B582B1B0B19418554FEF104545841E00A8A8A9E0A1941C0B84DE5FF535841</t>
  </si>
  <si>
    <t>B308j</t>
  </si>
  <si>
    <t>1710000B0308</t>
  </si>
  <si>
    <t>8524.46</t>
  </si>
  <si>
    <t>01060000206A080000010000000103000000010000000C000000EBB74148C30B194177A20337E55358419FE6F2006D0A194190AC3E7AED5358414F7D0EEC430A19410DFF14AEED535841761F3CE23F0A194143347FF4F853584144F830909E0A194130760260FA535841E00A8A8A9E0A1941C0B84DE5FF535841376B582B1B0B19418554FEF1045458419C9997A2D40C194197A7A80C09545841D18B7392760D1941E35BA1100A5458414E1D2429780D1941A3DF56E8F35358415629D5AEED0B19417D303503F6535841EBB74148C30B194177A20337E5535841</t>
  </si>
  <si>
    <t>B308k</t>
  </si>
  <si>
    <t>18033.59</t>
  </si>
  <si>
    <t>01060000206A080000010000000103000000010000000C0000007997D05C97091941C9CEBA8E0C545841E3F9C07B9E0A19413A0434B30E545841E00A8A8A9E0A1941C0B84DE5FF53584144F830909E0A194130760260FA535841761F3CE23F0A194143347FF4F85358414F7D0EEC430A19410DFF14AEED535841AD49F65169081941F86C28FCEF53584181F10EEC3A08194112256066EF5358413C36B63D4C0819419B218F42045458418F53C6994F081941606561C60A545841360CAFB829091941EE790E770B5458417997D05C97091941C9CEBA8E0C545841</t>
  </si>
  <si>
    <t>B309</t>
  </si>
  <si>
    <t>1710000B0309</t>
  </si>
  <si>
    <t>16700.15</t>
  </si>
  <si>
    <t>01060000206A08000001000000010300000001000000070000009C47E3C2AF081941E82D149ED85358413EEF68EC28081941A837A840D853584150BB345235081941DDDB4D01EE5358411FB6741F6C081941025924CCEE535841FDE6AF00430A1941FED46766EC535841773E9A3D470A194133013ABAD95358419C47E3C2AF081941E82D149ED8535841</t>
  </si>
  <si>
    <t>B310</t>
  </si>
  <si>
    <t>1710000B0310</t>
  </si>
  <si>
    <t>11046.47</t>
  </si>
  <si>
    <t>01060000206A0800000100000001030000000100000007000000773E9A3D470A194133013ABAD9535841FDE6AF00430A1941FED46766EC535841B65C65B8660A1941BC68B537EC5358413B6D16B9C10B1941C6F5F9E8E3535841566BA685AA0B1941FE1AC58CDA5358411D184167670A19417904CACCD9535841773E9A3D470A194133013ABAD9535841</t>
  </si>
  <si>
    <t>B311</t>
  </si>
  <si>
    <t>1710000B0311</t>
  </si>
  <si>
    <t>5325.47</t>
  </si>
  <si>
    <t>01060000206A080000010000000103000000010000000B0000000A63C600DC0B19418AE32E83AB535841F1C4D985810B1941740EA9E7A7535841A9896329680B194182CA19DEA6535841537E84E1210B1941B1D6ABF7A1535841136A8A29D30A194148FCAB379C5358416A1506E294091941010AE66AAF5358419C47E3C2AF081941E82D149ED8535841773E9A3D470A194133013ABAD95358411D184167670A19417904CACCD95358413BA66400CB0A1941B524E0CABA5358410A63C600DC0B19418AE32E83AB535841</t>
  </si>
  <si>
    <t>B312</t>
  </si>
  <si>
    <t>1710000B0312</t>
  </si>
  <si>
    <t>23186.93</t>
  </si>
  <si>
    <t>01060000206A08000001000000010300000001000000050000006A1506E294091941010AE66AAF5358415BE6E27A1F081941736FBDA5C75358413EEF68EC28081941A837A840D85358419C47E3C2AF081941E82D149ED85358416A1506E294091941010AE66AAF535841</t>
  </si>
  <si>
    <t>B313</t>
  </si>
  <si>
    <t>1710000B0313</t>
  </si>
  <si>
    <t>6034.07</t>
  </si>
  <si>
    <t>01060000206A0800000100000001030000000100000005000000083F6A1F0D0819416D813B2AA55358415F6C8F7B1608194105B221BCB753584167516A669E081941749BD0ECA75358413ECE6DC36F0819414EF682ABA6535841083F6A1F0D0819416D813B2AA5535841</t>
  </si>
  <si>
    <t>B315</t>
  </si>
  <si>
    <t>1710000B0315</t>
  </si>
  <si>
    <t>1362.78</t>
  </si>
  <si>
    <t>01060000206A0800000100000001030000000100000010000000D3BBD42924081941CB86FB9F0A545841045D505C1908194199E3F3E8F75358412E33C03310081941C0527F94EE535841FCDB838F240619412946DD63E7535841C08A9F852006194147D8294CF053584114EE4085100619416A712A7CF653584181799BEBFF0519415829B2FEFA535841CA81F4F5C4051941780B9C00015458411248B7EB99051941CD68CA5C05545841BE460629DB0519416563069708545841C5BDF3F50D0619414F1C51E8025458413713EB3341061941C9299F600454584168A7A7A4950619418FA66616095458419ED2B247E1061941279C26050A545841604D74717B0719415D9D35630A545841D3BBD42924081941CB86FB9F0A545841</t>
  </si>
  <si>
    <t>B320</t>
  </si>
  <si>
    <t>1710000B0320</t>
  </si>
  <si>
    <t>16390.23</t>
  </si>
  <si>
    <t>01060000206A0800000100000001030000000100000005000000713D0AD703081941D7A370CDD75358417B14AE4729071941EC51B80ED753584148E17A14390619415C8FC245E6535841713D0AD70D0819419A9999F9EC535841713D0AD703081941D7A370CDD7535841</t>
  </si>
  <si>
    <t>B409</t>
  </si>
  <si>
    <t>1710000B0409</t>
  </si>
  <si>
    <t>6681.07</t>
  </si>
  <si>
    <t>01060000206A0800000100000001030000000100000005000000803169D703081941C87E6BCDD753584114405EC303081941CA5365B6D7535841ABA2CF3DFB071941A32497C2C95358418129A54829071941978FBC0ED7535841803169D703081941C87E6BCDD7535841</t>
  </si>
  <si>
    <t>B410</t>
  </si>
  <si>
    <t>1710000B0410</t>
  </si>
  <si>
    <t>1531.16</t>
  </si>
  <si>
    <t>01060000206A0800000100000001030000000100000009000000DE4AFEE1130619416675ED91E85358414AC58D7B3605194179A14771F653584187D1DFEB37051941E4BF6E9DFF53584174BA4F3E4705194188F84918005458414DE5F3518D051941CB296E3D045458411A93E647C905194125C4E58AFE5358410E3D959902061941D115A4F0F5535841B1AE724810061941BE7E96F9ED535841DE4AFEE1130619416675ED91E8535841</t>
  </si>
  <si>
    <t>B418</t>
  </si>
  <si>
    <t>1710000B0418</t>
  </si>
  <si>
    <t>3280.80</t>
  </si>
  <si>
    <t>01060000206A080000010000000103000000010000000B000000183894A43505194159C49D190054584127038252CD0419417B244F98FF535841F7B4C2CDAE04194175975B1FFF5358418747D03D980419414AF12185005458419051676692041941B7A4F3E1005458411D90F60A49041941AB6BB96E055458412D469C8F0A0419419BDF8E6209545841051D2EEC390519412A8657C80D54584133EFC1853D0519419592E0DA0C5458417A3B0490860519410010A8E004545841183894A43505194159C49D1900545841</t>
  </si>
  <si>
    <t>B420</t>
  </si>
  <si>
    <t>1710000B0420</t>
  </si>
  <si>
    <t>3349.09</t>
  </si>
  <si>
    <t>01060000206A080000010000000103000000010000000C00000024807B37C51719413AB2A5E1ED5358411BFC19E29617194172EB6766ED5358414AD749B8251719417AA98A0BED535841E699FB51A51619412B3EDF9AED535841114F9D00311719419D40A780F5535841D9A8F5E1C4171941F8A39092FD535841BA6101CDEC171941F3759D20FE5358419F38BC1EF81719418EF3CEBCFE535841B14245F6F51719417BEBA8B7015458411FDA650A07181941C9BD2E3C035458419487235448181941DA0CFC2B0354584124807B37C51719413AB2A5E1ED535841</t>
  </si>
  <si>
    <t>B487j</t>
  </si>
  <si>
    <t>1710000B0487</t>
  </si>
  <si>
    <t>3527.10</t>
  </si>
  <si>
    <t>01060000206A080000010000000103000000010000001100000029E90DB37F171941A52F62B5E2535841CE3B73D72517194158ED0A17E3535841C8BF6F4813171941034B225CD8535841A4FC1C52B5161941A1E4E831DA535841ADD222EC88161941DFF13C6ADA5358419207CF8F6C1619419B4D9BE9DA5358418A2BDC6660161941EE9D1AD5DB535841A84A39F630161941987F4551E0535841D218C9A3C91519411A435738E2535841B380CD70C41519417A9863E6E253584184DEEFAED8151941872A7AE4E353584120667F48331619419D681A2EE8535841C489603E681619419E24545FEA535841259B50A48A16194190FD817BEC535841516B1BCD0F1719414559577FEB535841FEB19E7ABE171941608299CEEC53584129E90DB37F171941A52F62B5E2535841</t>
  </si>
  <si>
    <t>B489j</t>
  </si>
  <si>
    <t>1710000B0489</t>
  </si>
  <si>
    <t>CR22</t>
  </si>
  <si>
    <t>5553.01</t>
  </si>
  <si>
    <t>01060000206A0800000100000001030000000100000005000000C8BF6F4813171941034B225CD8535841CE3B73D72517194158ED0A17E353584129E90DB37F171941A52F62B5E2535841D373F4DC3817194121F67050D7535841C8BF6F4813171941034B225CD8535841</t>
  </si>
  <si>
    <t>B491j</t>
  </si>
  <si>
    <t>1710000B0491</t>
  </si>
  <si>
    <t>736.77</t>
  </si>
  <si>
    <t>01060000206A080000010000000103000000010000002000000097654DC6162319417F07E483155458417CD4C99B0B201941F8EA0B5815545841F82ED3AE20201941A67C9799165458418F3499293E201941D46558BF19545841E83D49485C2019418F25B6371C545841E94EA15269201941BCFD7EA41D545841C0E8B7296F2019416E22519820545841E40B525C8020194102B22A7C2254584137894800C8201941C2B67CA42754584143178B9AE0201941FD888AD229545841E97B2CF6E82019410E35A5402B545841279231E2EE201941AD9CE86A2E5458416F31868FEB2019411439DD3A33545841B276260BEC201941E31DCAA5365458419DF15DF6EF201941EA66D5A339545841648AADD707211941991DE8E13F545841D92516E22E211941A140DDF3435458415871183E4F2119415B6B7FDB47545841CFA3F3A36A21194104009C494A54584103D676CD85211941373EF6684B5458411E694233BE211941D7B61BFE4D545841BDE72DE2F7211941B67F7D6451545841C39CD67A1E22194168E1633652545841F8EEAA1E5A2219416BB04C08545458413D381690702219412CEAB30755545841711AECB8962219417E6E7E545754584190B5E2EBC42219413E6957485954584174A603E22C231941D1E2E1EA5C54584140EA070BB32319410401C8AC6054584108B343AEE8231941F54AA7E062545841DB0BFDC2A72419416C7102606754584197654DC6162319417F07E48315545841</t>
  </si>
  <si>
    <t>B658j</t>
  </si>
  <si>
    <t>5360000B0658</t>
  </si>
  <si>
    <t>49130.07</t>
  </si>
  <si>
    <t>01060000206A080000010000000103000000010000001E0000007CD4C99B0B201941F8EA0B581554584197654DC6162319417F07E48315545841102C8529CA22194167DA05E005545841869DAE703E221941A3A31A9E00545841362B4B1FEF1F19417C9FF6F80054584121B5395C911E19419880182E015458412CF1E1D7A31D194180AA305301545841107433AE2C1D194130231965015458418581CD99C41B1941CF31E4A10154584198085F52CD1B1941D88F61C61054584154204F857B1C1941872BAA870C54584119FFC252A91C1941E091FCE80B545841EF166FD7EC1C19414CB8E78A0C545841DF72DCAE221D19415C4CBF5E0B5458415B28E451401D1941F0493C3A0B54584175F75B337F1D19411B3694120C545841EAA507A4A31D19413C46E9010C545841924F527BB81D1941E7CAB4870B5458417C122D5CE41D194198F36DE6095458418B3D683D011E1941B364BDFE08545841A1D02352281E194160E538E30854584114357E8F891E19410898763409545841C0CD94E1C21E1941A99E6E160954584108ED225CE31E194111E9C75C095458412C4D00A4211F19413E7F34030B5458417FDDFB3DA51F1941904A05670F545841F071C7C2BF1F1941802D0D8710545841A82D7366DF1F19415ABA959913545841EBCAEAC2062019412024170E155458417CD4C99B0B201941F8EA0B5815545841</t>
  </si>
  <si>
    <t>B658k</t>
  </si>
  <si>
    <t>26822.69</t>
  </si>
  <si>
    <t>01060000206A08000001000000010300000001000000090000001C42DFC81F1C194112719D6D8E54584107365420361C19411F609E18B15458412ACB570C88181941D95CC4D2DB545841D359047F0F1819415E75714AE1545841B99DDCEC00171941C03BF68FED545841AB198C281E171941F4DB131AEE545841B514713DC71C1941BCF1F7D808555841A6740208741E1941F59F361CE75458411C42DFC81F1C194112719D6D8E545841</t>
  </si>
  <si>
    <t>B659j</t>
  </si>
  <si>
    <t>5360000B0659</t>
  </si>
  <si>
    <t>93488.39</t>
  </si>
  <si>
    <t>01060000206A0800000100000001030000000100000007000000A2AACACCD41F19419DE69717CB5458413D66F397EE201941070273A5B45458412B24D1B6AB201941D9971BA0A8545841DA64A9E9E61F19416F66A896AA5458413E4854B4991F194167A9EB80A9545841E8BE1A4EDA1E19415C8258C2A7545841A2AACACCD41F19419DE69717CB545841</t>
  </si>
  <si>
    <t>B659l</t>
  </si>
  <si>
    <t>10052.36</t>
  </si>
  <si>
    <t>01060000206A08000001000000010300000001000000300000003D66F397EE201941070273A5B454584197B1A50AEE2219411CE350E88B5458412BEE64F692241941F647DBD3695458410AF6E75CA524194192585E5668545841A252F20A1D2419416B7B1B3565545841F8BE5B52C623194152920F2763545841AEADBC478B23194101FFBCDE6054584134B1DD14442319418C3F56D85E5458413EFEAF8F102319415078873B5D545841866AFCEBA3221941F5A9AF87595458410CD9727B8F2219418153A6675854584123FF00AF5D221941E7597D245554584110D5EC144A22194122AD28DC54545841FB8918710E22194170E03F0A535458413A1A8352E6211941663DDE4A515458418137E31EA7211941420BF93F4E5458418364419A8C211941CAA1A6004D54584138C7CA52692119419AAE02B74B54584144BBFB14452119410818D913495458410C9FCA3D262119415412EFF845545841AEF88E7105211941DAC0431A42545841878FA352E62019418E69646F3D5458415F0FB48FD62019415980BB9E37545841E21C6485D920194198BD90B230545841831FE9D7D120194189E096A92A54584127BCBEF5AE20194158D002D02754584163A7D666962019415E11370326545841A0BCB1997720194144A8813423545841489A200B67201941A0AF79E42054584121A035905E20194146096A3D1E545841B3A00B481D2019416EFC6966185458416F9570AEF11F1941B40DD8C315545841E82D9A29CA1F1941023FA85713545841A991F2F5A11F1941EA6600C010545841D5CBE266871F1941DAD3585F0F545841C3CFE9C7531F1941841E88C10D54584194050C45BB1E1941B1AB4A6F105458415D500A43831E19418FD2657D115458410BF1CC471F1E1941FF98DCD410545841D17A90172E1D1941548755B91054584149944452361D19418BCAEC701F545841AFAA2D19D91B1941807CE620255458412E7038FFE61B1941CE8FE2383D545841E8BE1A4EDA1E19415C8258C2A75458413E4854B4991F194167A9EB80A9545841DA64A9E9E61F19416F66A896AA5458412B24D1B6AB201941D9971BA0A85458413D66F397EE201941070273A5B4545841</t>
  </si>
  <si>
    <t>B659m</t>
  </si>
  <si>
    <t>PLA2014</t>
  </si>
  <si>
    <t>196376.37</t>
  </si>
  <si>
    <t>01060000206A0800000100000001030000000100000007000000D17A90172E1D1941548755B910545841292022E2051D1941AEADC7B410545841727924DEAC1C19419836D88F12545841291601AED01B1941D5208B8716545841AFAA2D19D91B1941807CE6202554584149944452361D19418BCAEC701F545841D17A90172E1D1941548755B910545841</t>
  </si>
  <si>
    <t>B659n</t>
  </si>
  <si>
    <t>PLA2003</t>
  </si>
  <si>
    <t>5260.28</t>
  </si>
  <si>
    <t>01060000206A080000010000000103000000010000001C000000C3CFE9C7531F1941841E88C10D545841CA5902D73E1F1941D6D79E190D545841865AF6A31D1F194141E8A9100C54584179B5FFE1EE1E19413A24D9F30A5458418DB66A3DCE1E1941C71EA1790A545841C4F74F009B1E1941988F89820A545841480A2B298C1E19412E2824C50A54584132CD1990591E1941A5A68EC20A54584125AAD566131E1941A70193A20A545841548B38C3F51D194169F869FD0A545841382A7B14CA1D19410A92761D0C545841B034E1529E1D19411B6002E70C545841DEA99A33731D1941F0EF9F390D545841968BEB0A371D1941A0C9878B0C54584154D996B81C1D19410671648F0C545841157B727BEF1C1941BF0C4D610D545841CFEB13ECC01C1941448DF5480D5458418DD32315911C1941DD9EE3B10D545841706716EC5F1C1941AB2B0AA70E545841934DC0D7CD1B1941E930CB9C11545841291601AED01B1941D5208B8716545841727924DEAC1C19419836D88F12545841292022E2051D1941AEADC7B410545841D17A90172E1D1941548755B9105458410BF1CC471F1E1941FF98DCD4105458415D500A43831E19418FD2657D1154584194050C45BB1E1941B1AB4A6F10545841C3CFE9C7531F1941841E88C10D545841</t>
  </si>
  <si>
    <t>B659o</t>
  </si>
  <si>
    <t>TAIL2000</t>
  </si>
  <si>
    <t>4312.05</t>
  </si>
  <si>
    <t>01060000206A080000010000000103000000010000000B000000DCA59652BA0E1941C09DC3A55C53584176B804341D0F1941063D61E65D535841C0E2D9B814101941C97170FD60535841587D728F2B111941DE945DCF6453584189AE4CD73A111941578F5BFF5F535841FF6B4CCD4D11194160353D4A575358412349C6F547111941C52BEE385753584165681A29670F19414D1934D351535841DFBDB7CD090F1941E844B19E57535841E15D4252C00E19413E3281445C535841DCA59652BA0E1941C09DC3A55C535841</t>
  </si>
  <si>
    <t>C155</t>
  </si>
  <si>
    <t>1710000C0155</t>
  </si>
  <si>
    <t>7443.80</t>
  </si>
  <si>
    <t>01060000206A0800000100000001030000000100000015000000E5282ED2E31219416EC720EBE3535841FE3326C7681319419CB428C0D6535841697A274C6D131941316E273BD25358413FBA1A1A40131941C9C07ED4CF535841AE35487C0613194100ADC640C85358414A5BBBF41D1319417EFCF2BCC3535841DB8643E428131941CCB75F25BA5358411549499793111941C101E86CB553584132A58A6441111941B460783BB953584173650740DD101941249604BCBA5358410C21CD8FF310194195A72255C1535841FC80B21E1B1119414F832105CB5358418E77875C48111941D64E2D43D5535841A9B5997161111941C92B7BC4DF53584165B165B874111941922F3EEADF5358416A4B4571CB1119411279A6B0E053584168A60F5DEA111941AA82E05AE15358415E34995C0912194161D1E57AE25358412452FFAE311219418AB00C17E45358418C9BC80AB012194136520420E4535841E5282ED2E31219416EC720EBE3535841</t>
  </si>
  <si>
    <t>C172j</t>
  </si>
  <si>
    <t>1710000C0172</t>
  </si>
  <si>
    <t>Emprise Palombière</t>
  </si>
  <si>
    <t>PLA1997</t>
  </si>
  <si>
    <t>22236.81</t>
  </si>
  <si>
    <t>01060000206A080000010000000103000000010000003600000073650740DD101941249604BCBA53584132A58A6441111941B460783BB95358411549499793111941C101E86CB5535841DB8643E428131941CCB75F25BA5358414A5BBBF41D1319417EFCF2BCC3535841AE35487C0613194100ADC640C85358413FBA1A1A40131941C9C07ED4CF535841697A274C6D131941316E273BD2535841FE3326C7681319419CB428C0D6535841E5282ED2E31219416EC720EBE35358417CDAFBE105131941580E56C8E3535841AA714FEC4A131941EDD88E72E353584103B28D8FB5131941DF6481F4E25358418E232FC3FA131941DABAF351E15358411622DC5C2A141941D6D7AA10E15358419C16DFF5A1141941F2A56DF6E0535841AD06FD661315194120BAC795E153584128768A9A4515194177EAB5D7E1535841A7274FB89A151941623A2D8CE1535841E4FA15864515194169F8B97EDA535841281337CD57141941A7C560F6C753584181B74FAE40131941F86DE11AB25358411CDE9299CB121941EA2AB3E7A8535841C68571D7F91119418A74AC97A453584130E70CD7DC101941A0A280B49E53584185B071850F0F1941D4F29759955358417E4C103E080E1941645C7C14905358411B0A97EBBC0D19419640CE9C8E535841F959C85C9B0D1941B12698698553584105B00DCD9C0D1941AC1F03078553584176C954E1460D19412F0D7FF4825358414462C714A00C194195414BA17E5358411669BB70E10B1941E5F4258C8A53584117D3C814FF0A19415E2B78B4985358412EDEF01EDA0A1941354C8AFB9A53584175D01371FA0A1941BC3578F49C535841E5C94229240B19418D8B0090A05358419B8570483B0B194186FA2495A25358418F8FC2AE4D0B19417E774D28A45358417DD22000720B1941AF4C422AA6535841DFAEACA4DB0B19417ABF5BEFAA53584131343D5CE80B1941EE707E34AB5358416E192F15F80C1941498F45DAA3535841B350785C180D19416096CE2CA453584169831B15580D1941015B8DABA4535841CAD4047BD70D19416EE6B537A7535841EF7B8671170E1941EFB33B5AA8535841B421027B200E1941E8FF6A96A3535841FED48329B90E1941A86BE661A2535841A49245CD640F1941B74718CEA05358413700F2EBAE0F19413042BE5EA0535841FEE66C858D101941A84E0F3EA3535841DE63FDFFAB101941D3687F2BAC53584173650740DD101941249604BCBA535841</t>
  </si>
  <si>
    <t>C172k</t>
  </si>
  <si>
    <t>58437.56</t>
  </si>
  <si>
    <t>01060000206A08000001000000010300000001000000390000000E427DD7BB0E194103A824ACB853584169EA899A9D0E194136F5761DB6535841064DFC33790E19416FF7D623B45358419A068833530E19413443DCFAB1535841167DB529370E19414AC5178EB0535841BA121C482B0E194136CA7F94AF5358415684E85C230E1941F581A1B9AE53584106F4B1D7170E194138EBD0CCAC535841960978A4120E194101A8F0E1AA535841EF7B8671170E1941EFB33B5AA8535841CAD4047BD70D19416EE6B537A753584169831B15580D1941015B8DABA4535841B350785C180D19416096CE2CA45358416E192F15F80C1941498F45DAA353584131343D5CE80B1941EE707E34AB535841E523C5AE0B0C194148D91EF5AB535841FABB993D3A0C19411019C985AD5358417003CD334C0C194162A57F54AE535841F2692A7B640C19410B94748DAF535841C56F6E526B0C194100A463DFB0535841E33D035D790C19410898EC11B5535841759A583E8B0C19418F0F9E09B9535841573CC7D7B20C194111517A94BA5358417B2EB41EDE0C194168B323DCBB535841B551F328020D1941702B92D9BC5358414A638914110D1941CA254C31BD535841F0474714200D1941194BD823BE5358411711A514200D1941B337DE23BE535841B8B113A42A0D19413A772F7CBF53584133FFDCE1310D194131C3630FC15358419FB676E1260D194197DE63A6C25358410CFA7A8F340D1941391892D9C453584130B502A44D0D19410567F988C6535841DD2347A4710D19415D3E43EAC8535841ABEFD11E840D194102202CACCC535841C7D67BCD8B0D194157A31BD5CE535841654686EB970D19416312E54AD1535841B068523EA80D19417025EED1D3535841B3DE045DCA0D1941BE1B72FDD5535841506E07D7020E194129E96D86D653584164F8F085420E19410F50F248D7535841C2907B9A530E1941F94D764DD7535841DEA135676C0E1941C2B88044D653584114515CCD8C0E1941FECFE7C1D4535841E53CA6D7C10E1941BDBD69CDD35358416D8DD766EA0E194164B6C195D35358416B924BF6190F19418EFF9989CC53584171820686230F1941B9A01C7ECA535841641F87852D0F1941DB930787C8535841519BDE51240F1941D3D3F94FC5535841F8194CEC150F1941F00D8D7BC3535841CA884C3EF60E19417B895D4FC05358417F919AB8F00E1941DD7D9BC9BF53584192A39BEBE10E1941E6AD245CBE535841A5674267CB0E19412FB249F1BB53584109413067CB0E1941C0E145F1BB5358410E427DD7BB0E194103A824ACB8535841</t>
  </si>
  <si>
    <t>C173</t>
  </si>
  <si>
    <t>1710000C0173</t>
  </si>
  <si>
    <t>21954.17</t>
  </si>
  <si>
    <t>01060000206A0800000100000001030000000100000015000000EA08735CEE0F1941B0C1FA98B353584118B97133400F19419976D23CAC535841690CAF0AD30E19413D82D623A85358419D4D160B1E0E1941C327F7B8AA535841960978A4120E194101A8F0E1AA53584106F4B1D7170E194138EBD0CCAC5358415684E85C230E1941F581A1B9AE535841BA121C482B0E194136CA7F94AF535841167DB529370E19414AC5178EB05358419A068833530E19413443DCFAB1535841064DFC33790E19416FF7D623B453584169EA899A9D0E194136F5761DB653584145C44A5ABA0E1941566FE78BB85358410E427DD7BB0E194103A824ACB8535841A5674267CB0E19412FB249F1BB53584192A39BEBE10E1941E6AD245CBE5358417F919AB8F00E1941DD7D9BC9BF5358414D1671292F0F1941D3FF634FBD53584134F94F3E750F1941BDB17B84BA53584130BE8756790F194154269848BA535841EA08735CEE0F1941B0C1FA98B3535841</t>
  </si>
  <si>
    <t>C174</t>
  </si>
  <si>
    <t>1710000C0174</t>
  </si>
  <si>
    <t>5683.42</t>
  </si>
  <si>
    <t>01060000206A0800000100000001030000000100000015000000C263E9A667101941A3E9DCC2BF535841A16A3FBD36101941F5990C34C8535841C260AA2AEC0F1941C88DB61FCF5358418E701AACB30F194100FD5735D4535841E4341920AD0F19419CF3B852D95358414A809D8FC50F1941B2AA198EDA535841261E2AF6EA0F1941C36F8054DC53584152886D660E101941D0D3A1A9DD5358415A4107673B101941E0846986DE535841423DCBEBB41019417A19C135DF535841916EFCFF181119416E3ECDACDF53584121E9FB0A5511194144CBCAACDF535841A9B5997161111941C92B7BC4DF5358418E77875C48111941D64E2D43D5535841FC80B21E1B1119414F832105CB5358410C21CD8FF310194195A72255C15358419B36BA48EA101941ABE1C396BE53584173650740DD101941249604BCBA535841C9C46A67D01019411CDB58EDBA535841D786CC9278101941F6FCF4FABE535841C263E9A667101941A3E9DCC2BF535841</t>
  </si>
  <si>
    <t>C175j</t>
  </si>
  <si>
    <t>1710000C0175</t>
  </si>
  <si>
    <t>9772.23</t>
  </si>
  <si>
    <t>01060000206A08000001000000010300000001000000260000008E701AACB30F194100FD5735D4535841C260AA2AEC0F1941C88DB61FCF535841A16A3FBD36101941F5990C34C8535841C263E9A667101941A3E9DCC2BF535841D786CC9278101941F6FCF4FABE535841C9C46A67D01019411CDB58EDBA53584173650740DD101941249604BCBA535841DE63FDFFAB101941D3687F2BAC535841FEE66C858D101941A84E0F3EA35358413700F2EBAE0F19413042BE5EA0535841A49245CD640F1941B74718CEA0535841FED48329B90E1941A86BE661A2535841B421027B200E1941E8FF6A96A3535841EF7B8671170E1941EFB33B5AA8535841960978A4120E194101A8F0E1AA5358419D4D160B1E0E1941C327F7B8AA535841690CAF0AD30E19413D82D623A853584118B97133400F19419976D23CAC535841EA08735CEE0F1941B0C1FA98B353584134F94F3E750F1941BDB17B84BA5358414D1671292F0F1941D3FF634FBD5358417F919AB8F00E1941DD7D9BC9BF535841E0C5363EF60E1941627A5B4FC0535841CA884C3EF60E19417B895D4FC0535841F8194CEC150F1941F00D8D7BC3535841519BDE51240F1941D3D3F94FC5535841641F87852D0F1941DB930787C853584171820686230F1941B9A01C7ECA5358416B924BF6190F19418EFF9989CC5358416D8DD766EA0E194164B6C195D35358411E390E0BF10E1941F57FD48CD35358417C78CF99F50E1941216B729DD35358416C27F7A3140F19415C01E711D4535841E94E0CB9310F1941E6C5A690D45358414ACE7CB8630F1941AC685308D6535841FFE2E6AE9E0F194182265398D8535841E4341920AD0F19419CF3B852D95358418E701AACB30F194100FD5735D4535841</t>
  </si>
  <si>
    <t>C175k</t>
  </si>
  <si>
    <t>17662.47</t>
  </si>
  <si>
    <t>01060000206A08000001000000010300000001000000040000001E37597B710E19414AD04AB85B5358417AA8B9F63A0E194106FF10075B535841B1A569AE260E19416E7E6A6D605358411E37597B710E19414AD04AB85B535841</t>
  </si>
  <si>
    <t>C176</t>
  </si>
  <si>
    <t>1710000C0176</t>
  </si>
  <si>
    <t>154.21</t>
  </si>
  <si>
    <t>01060000206A0800000100000001030000000100000008000000468DBFC21B12194182894C682A53584123796F85E7111941D5D9162E2953584178407B3DA6111941607F6F3D2D5358417829CD851011194170154CC1365358410F3D538FB4101941894610773C535841788B483387111941A69496B93E5358418098CD851A121941F44C18A52A535841468DBFC21B12194182894C682A535841</t>
  </si>
  <si>
    <t>C188</t>
  </si>
  <si>
    <t>1710000C0188</t>
  </si>
  <si>
    <t>3001.15</t>
  </si>
  <si>
    <t>01060000206A080000010000000103000000010000000900000038C5C21EFB0F1941B63FC445485358415D09859AC91019412CE37FC449535841103E37D7621119411D0FF5F84A535841DAE000CD69111941CD18A8074B535841788B483387111941A69496B93E5358410F3D538FB4101941894610773C53584125EA175DAD101941F17EF5E83C535841379C957169101941B1D803204153584138C5C21EFB0F1941B63FC44548535841</t>
  </si>
  <si>
    <t>C189</t>
  </si>
  <si>
    <t>1710000C0189</t>
  </si>
  <si>
    <t>3750.29</t>
  </si>
  <si>
    <t>01060000206A080000010000000103000000010000000A00000065681A29670F19414D1934D3515358412349C6F547111941C52BEE3857535841FF6B4CCD4D11194160353D4A575358415E1F5BCD5A111941322BA75051535841DAE000CD69111941CD18A8074B535841103E37D7621119411D0FF5F84A5358415D09859AC91019412CE37FC44953584138C5C21EFB0F1941B63FC44548535841F14E20AEBF0F1941BEC41C1E4C53584165681A29670F19414D1934D351535841</t>
  </si>
  <si>
    <t>C190</t>
  </si>
  <si>
    <t>1710000C0190</t>
  </si>
  <si>
    <t>5020.76</t>
  </si>
  <si>
    <t>01060000206A080000010000000103000000010000000800000005B00DCD9C0D1941AC1F03078553584144A965B8E80D19418BABDEEA70535841ADDC3A9A0B0E1941511042A16753584185D38A668D0D19416764AAC06F535841B1564400A60C1941D71BE7417E5358414462C714A00C194195414BA17E53584176C954E1460D19412F0D7FF48253584105B00DCD9C0D1941AC1F030785535841</t>
  </si>
  <si>
    <t>C192</t>
  </si>
  <si>
    <t>1710000C0192</t>
  </si>
  <si>
    <t>4058.99</t>
  </si>
  <si>
    <t>01060000206A0800000100000001030000000100000010000000468DBFC21B12194182894C682A5358418098CD851A121941F44C18A52A535841788B483387111941A69496B93E535841DAE000CD69111941CD18A8074B5358415E1F5BCD5A111941322BA75051535841FF6B4CCD4D11194160353D4A5753584189AE4CD73A111941578F5BFF5F535841587D728F2B111941DE945DCF64535841D8A79E3D57111941D6F641BA68535841A4D83890B911194164124DF1695358413E156666BF121941DD178E626D53584183A6031F691419414ADA2A2C7353584182815AB8D4131941955FEBA15C53584192AE127B031319418BDED9233D535841AD237714851219418209C5452A535841468DBFC21B12194182894C682A535841</t>
  </si>
  <si>
    <t>C259</t>
  </si>
  <si>
    <t>1710000C0259</t>
  </si>
  <si>
    <t>32984.72</t>
  </si>
  <si>
    <t>01060000206A080000010000000103000000010000002100000083A6031F691419414ADA2A2C735358413E156666BF121941DD178E626D535841A4D83890B911194164124DF169535841D8A79E3D57111941D6F641BA68535841587D728F2B111941DE945DCF64535841C0E2D9B814101941C97170FD6053584176B804341D0F1941063D61E65D535841DCA59652BA0E1941C09DC3A55C535841A17D1848240E19416C69041066535841ADDC3A9A0B0E1941511042A16753584144A965B8E80D19418BABDEEA7053584105B00DCD9C0D1941AC1F030785535841F959C85C9B0D1941B1269869855358411B0A97EBBC0D19419640CE9C8E5358417E4C103E080E1941645C7C149053584185B071850F0F1941D4F297599553584130E70CD7DC101941A0A280B49E535841C68571D7F91119418A74AC97A45358411CDE9299CB121941EA2AB3E7A853584181B74FAE40131941F86DE11AB2535841281337CD57141941A7C560F6C7535841E4FA15864515194169F8B97EDA535841A7274FB89A151941623A2D8CE15358410D07C047C11519419BB14E08E1535841ED33051F0E1619418A9CE83AE0535841B8C280CD22161941AEE7CBCCDE535841E7976EAE2F161941C72BB47EDD535841ED2E5B483816194176FBE811DB535841F9B72D2952161941B4AE9ED9D953584168853B1575161941342FE6B1D9535841283F5BECAD161941CD93583FD953584165A32D0032171941B8C9DC35D653584183A6031F691419414ADA2A2C73535841</t>
  </si>
  <si>
    <t>C357j</t>
  </si>
  <si>
    <t>1710000C0357</t>
  </si>
  <si>
    <t>138213.25</t>
  </si>
  <si>
    <t>01060000206A08000001000000010300000001000000050000007FA9718FBB941941047FCAD5B76258415A35A5C2B7941941FFB37AA4BF6258415B12CA3323951941247EB53EBF625841331C8671169519412C78F231BE6258417FA9718FBB941941047FCAD5B7625841</t>
  </si>
  <si>
    <t>D1362</t>
  </si>
  <si>
    <t>0770000D1362</t>
  </si>
  <si>
    <t>425.80</t>
  </si>
  <si>
    <t>01060000206A0800000100000001030000000100000027000000A8278E71969319412669F328A3625841EBD8CC8F659319417A7EB13EA56258413FE8FB336E931941D295A1F9A56258416FEF271579931941873027ACA66258415785968580931941206019DEA7625841D1C2B9CD83931941C1E68E12A9625841EEF6D48F8593194113EC6006AA625841DE1FB6F583931941E6A1302CAB62584119D8DE7A809319417556E13AAC6258418D2315297993194116F677DDAD6258415CAC519071931941B89192E2AE625841EAE4EC6668931941EFE31DC5AF625841BB8C80EB5D9319418E412C6CB0625841C31F1915519319418707FED8B0625841D5A1A51F3F931941F35F8B5BB16258415B6B6CA428931941C16D8BEBB1625841BFDCF85111931941F3112D53B26258413B9ABF5CF792194107A42B93B2625841E4EDD5D7E292194145A89392B2625841F216FFB8CF921941D97F2E63B26258415BF187AEBA921941BEF1BF45B26258415A828600AA921941D06E3173B26258418EF2D6F597921941D3D10BD7B262584156B2F1D78B92194192C3ACF7B2625841040B64337E9219414DD065A6B26258419237745C69921941E574B18EB16258416912CF14559219414FC82B1CB0625841AB7AAB0A82911941732FCFBCB96258414FA8C47B23911941258DBB05BE6258413E1683F622911941531D4E71C2625841445B0E3ECF9119417EF148E1C16258413E5175C3F39219411B8F0617C1625841599899D7F59219415DB2BC15C1625841958206AE129419416BF82F3CC06258415A35A5C2B7941941FFB37AA4BF6258417FA9718FBB941941047FCAD5B7625841FEF5FBB8339419419BAC9A19AE625841D0099A29B0931941A9C1F9CFA4625841A8278E71969319412669F328A3625841</t>
  </si>
  <si>
    <t>D1379</t>
  </si>
  <si>
    <t>0770000D1379</t>
  </si>
  <si>
    <t>14090.97</t>
  </si>
  <si>
    <t>01060000206A080000010000000103000000010000001D0000006912CF14559219414FC82B1CB062584107E8633D47921941062031A3AE6258415D03BE0043921941D2C474BDAD625841F9301EAE3F9219415BE6DA9AAC6258412198D1CC429219412161288CAB6258414698332947921941E0DACDACAA62584142C102294F92194168DB5FBFA962584169F73A7B579219419E933543A9625841E0F52C2964921941C1752FACA8625841A9BEBB47719219419D8BB10EA862584132ECE9E1779219415CE704A7A76258412125FD148092194105A24801A7625841532F5C8F97921941B5840FB7A562584136E635D7A792194181FAC1D5A4625841082DAC14BB921941B6B04DE1A3625841183B6E29CF921941A1349722A3625841E03E5F85E19219411173D193A26258418C61A48FF29219412F93395AA262584163AF8E48039319416049E94AA2625841F9486046DF92194126B22722A0625841D7C10980A29219415770C42BA062584131D79FA96C9219417D756C5DA162584177C4A620499219417E5DF9DBA0625841AE7CE15BF19119415E7BDB04A1625841C29446EDE59119413AF6F273A3625841247E8203F991194112E759B6A6625841DECB45FDF5911941A64F1CEEA8625841195C9D981692194125186049AC6258416912CF14559219414FC82B1CB0625841</t>
  </si>
  <si>
    <t>D1381j</t>
  </si>
  <si>
    <t>0770000D1381</t>
  </si>
  <si>
    <t>1853.05</t>
  </si>
  <si>
    <t>01060000206A08000001000000010300000001000000200000004FA8C47B23911941258DBB05BE625841AB7AAB0A82911941732FCFBCB96258416912CF14559219414FC82B1CB0625841195C9D981692194125186049AC625841DECB45FDF5911941A64F1CEEA8625841247E8203F991194112E759B6A6625841C29446EDE59119413AF6F273A3625841AE7CE15BF19119415E7BDB04A162584177C4A620499219417E5DF9DBA062584131D79FA96C9219417D756C5DA1625841D7C10980A29219415770C42BA0625841F9486046DF92194126B22722A062584163AF8E48039319416049E94AA26258414E9AEB7010931941F50B6466A2625841024F833D21931941ECA799B9A2625841C7964A52389319417CDED24CA36258415143C7334C931941F8ECF211A4625841EBD8CC8F659319417A7EB13EA5625841A8278E71969319412669F328A362584168EE4B00709319410CACD253A06258417C67624830931941856394E99B6258417171DAB8A1921941365723C591625841B559191F36921941E22164368A625841A4A11648D69119417A1DC57C836258419E9E8E9975911941340EFD987C6258413C0C1C71319119415DA72ED37762584142B836CD2E91194185974B6886625841991A1D312E9119410CE0FA5389625841C4DF34002B91194154FFFA9F98625841D171597126911941F2B477A4AB62584179488F4D269119417643C980AC6258414FA8C47B23911941258DBB05BE625841</t>
  </si>
  <si>
    <t>D1381k</t>
  </si>
  <si>
    <t>17977.61</t>
  </si>
  <si>
    <t>01060000206A080000010000000103000000010000002B00000044135A134B8A1941B9278A1D23625841220B5A6CDD891941FBA59F5D25625841342982FF3D891941C715A92718625841A1033A3711891941FCC4967F1962584191F35751C888194116B590C71462584183C3ABF18E881941C79BB61C1A625841F87FD58F0A871941A15EC6353E62584177D43DA4938619418559121749625841FBED42523686194161D851685162584101F7A3A4118619411A0102005562584177BBC7DD77851941ADD8190366625841CD800BAE24851941A0140A376F625841DC02B0F61D851941028FA2E07A6258410405F3AE6485194139E364F681625841FCC47A0AD3851941062A0BD78A6258418E691915E9851941ABBBD3938C625841C8367F1F02861941C7EB4C218B62584125432C711E86194154AE666689625841D5FBF370488619414379148E86625841811C57F66486194152BCC9958462584196C44CAE7D861941B3CA54B882625841998BE651A1861941A8695E9F80625841BEF5471FCA8619412FA2437A7E62584100D4B9F5EE86194173E009C77C625841B89459C3208719410EF3DCDA7A625841167D8A9A498719418CE7207579625841FBD375F68287194167C7C9EC776258416A8101D7D2871941F84BCE1C76625841617AEC0007881941A8F47EF4746258413AA0F09926881941025B823B7462584145D169334F8819419713A80773625841082BDCB7528819413C71F2EA7262584112F707AF98881941BB3C04B070625841D0D97976A48819412F8E21597062584160B2AAC38B881941B69662B26E62584121DDF7D7D687194109E722976062584153B3F839B1871941CACB9087586258414EBB3F2A108819419B716CAD4E625841A977CFCE82881941F72DD149476258416441C3B7878A1941D9BC54C931625841B46243E16F8A1941A0519D002C625841F36D24DB538A194146F3533C2562584144135A134B8A1941B9278A1D23625841</t>
  </si>
  <si>
    <t>D1389j</t>
  </si>
  <si>
    <t>0770000D1389</t>
  </si>
  <si>
    <t>61036.41</t>
  </si>
  <si>
    <t>01060000206A08000001000000010300000001000000160000006441C3B7878A1941D9BC54C931625841A977CFCE82881941F72DD149476258414EBB3F2A108819419B716CAD4E62584153B3F839B1871941CACB90875862584121DDF7D7D687194109E722976062584160B2AAC38B881941B69662B26E625841D0D97976A48819412F8E215970625841093B64C3EC8819415F20D3436E625841DA2676293C8919414C2E18156C62584191E95CAE7F8919412DAFD43C6A6258416DBAEE28AD891941DA39D1FC68625841D7629085DD891941129DC9DC67625841C50DD8A3078A1941D0D177B4666258410E2AC614528A1941AEA1128E646258414E032C7BAD8A19417A7D25056262584164098348098B19414729F7585F6258413E8555CD458B19414B3B7BC45D62584169948E00178B19415CF911075362584129D9FEC2DE8A1941CFCB160546625841578E08CDA58A1941A8B1C61539625841434BF3FA8D8A1941317D544E336258416441C3B7878A1941D9BC54C931625841</t>
  </si>
  <si>
    <t>D1389k</t>
  </si>
  <si>
    <t>32886.66</t>
  </si>
  <si>
    <t>01060000206A080000010000000103000000010000000C00000091F35751C888194116B590C714625841A1033A3711891941FCC4967F19625841342982FF3D891941C715A92718625841220B5A6CDD891941FBA59F5D2562584144135A134B8A1941B9278A1D23625841C3556B713E8A194175139F1020625841D134728F098A1941CBAE789413625841F7C3560AD98919418E3CC1650762584132C9F43DBC8919411A5664EFFD615841FD2FEF4393891941CE8335E901625841EE9C07E2918919417405880B0262584191F35751C888194116B590C714625841</t>
  </si>
  <si>
    <t>D1389l</t>
  </si>
  <si>
    <t>6855.36</t>
  </si>
  <si>
    <t>01060000206A08000001000000010300000001000000060000002A75CE85DC861941EF14123E1B6258412C98608F09871941C3E9DDEA1A625841EC187B00D0861941531998F90662584121C7351F98861941599B7D8B07625841E483A47BBE861941E73332731B6258412A75CE85DC861941EF14123E1B625841</t>
  </si>
  <si>
    <t>D1436</t>
  </si>
  <si>
    <t>0770000D1436</t>
  </si>
  <si>
    <t>1331.23</t>
  </si>
  <si>
    <t>01060000206A08000001000000010300000001000000080000009E4D71D8058719410CD84A6606625841EC187B00D0861941531998F9066258412C98608F09871941C3E9DDEA1A625841EDC2F0669C87194173F388F21962584168947A7D7A871941B296D0140D625841915EB0B869871941124C99EC0C6258410A481FAD478719413D8F1EB70A6258419E4D71D8058719410CD84A6606625841</t>
  </si>
  <si>
    <t>D1437j</t>
  </si>
  <si>
    <t>0770000D1437</t>
  </si>
  <si>
    <t>2651.16</t>
  </si>
  <si>
    <t>01060000206A080000010000000103000000010000000600000064F9A52966871941B69ABA5E056258419E4D71D8058719410CD84A66066258410A481FAD478719413D8F1EB70A625841915EB0B869871941124C99EC0C62584168947A7D7A871941B296D0140D62584164F9A52966871941B69ABA5E05625841</t>
  </si>
  <si>
    <t>D1437k</t>
  </si>
  <si>
    <t>429.45</t>
  </si>
  <si>
    <t>01060000206A08000001000000010300000001000000040000000BDC0A7BB990194191486EBDC26258413E1683F622911941531D4E71C26258414FA8C47B23911941258DBB05BE6258410BDC0A7BB990194191486EBDC2625841</t>
  </si>
  <si>
    <t>D1507</t>
  </si>
  <si>
    <t>0770000D1507</t>
  </si>
  <si>
    <t>233.05</t>
  </si>
  <si>
    <t>01060000206A0800000100000001030000000100000024000000D09D3267058B1941F139300CC76258410AC0AB66088B1941BD0E8E32C3625841178CF95C0B8B19413EE26EFDB9625841FF93850A0F8B19414FA37F94B06258412A4A44D7128B19419588A0C0A6625841E13E1C5D168B1941FCCFE8119D62584112DB3F1A198B19418938CF2795625841DBC94A1F0B8B194144056755956258411A47ECE0CF8A19410D0FAEBB96625841A31B9B4CA88A19411A09162197625841480FDC6A458A1941233B928D98625841C6B7464A5C88194114BCE1A3736258415749B41E5388194107583EEA7362584150AFFB3D298819410368A8407562584109DCC9A4FC87194178E6B4677662584100EFAC14C9871941A4ECAB777762584116B49DCD8C871941322DB4077962584128774E3E5D871941D49BB43E7A625841A0638AEB3787194149EAD6537B625841F8458B0A198719411441C7657C62584105229D66FC861941423233837D62584187FC3B15D6861941A5D821157F625841C0ABA1EBAF861941C81138FA80625841371C516790861941E8A97D0B83625841C3AD580A6D861941A800C9A585625841D144CE3D378619418667F068896258411190337BF58519417C5CCF8C8D625841DC782F713386194144AC146E92625841E53A6CF6AC8619418747391A9C625841637E796634871941CDBB45F1A66258416F41A766BE871941BBD626F5B16258419E2726C34E8819410E07AC77BD625841E89C00D7AD88194185778F22C5625841853C2015DB881941DAAFA0C9C862584127CC9D85E3891941B476B3F7C7625841D09D3267058B1941F139300CC7625841</t>
  </si>
  <si>
    <t>D1510j</t>
  </si>
  <si>
    <t>0770000D1510</t>
  </si>
  <si>
    <t>66293.45</t>
  </si>
  <si>
    <t>01060000206A080000010000000103000000010000001D00000012DB3F1A198B19418938CF2795625841674F66AE198B1941A9CDE57A93625841DC1CD3AE1C8B1941A6B102D78962584128D4A63D218B194139A91A657F625841A7CBA5A4248B1941CAD3187E766258415BD5F4FF278B19414C32AE776C625841287FD95C2B8B194165ED92F2636258416587DC472C8B1941AA34A7B05F625841362B4EE1F98A194117B396126162584143E6E385B68A19419C991E15636258418CA46766538A194155C7A7F06562584148FBAD14118A1941C6C6EDA86762584167FE78C3E2891941B2D745D168625841BAAD0F86B68919411FEFC6D569625841968F647BA589194124AFA3406A625841FFDC7BB8988919416AADDA936A6258413CFFD8AE88891941D8AB95126B6258410371600A76891941530FC0B56B625841F9FA71004D891941003E7B046D6258417F96435C15891941243303706E625841BDF4E35CD78819414A51F5F86F625841E29D1252A88819410161FE5F716258419759D6147A8819415F185ABF72625841C6B7464A5C88194114BCE1A373625841480FDC6A458A1941233B928D98625841A31B9B4CA88A19411A091621976258411A47ECE0CF8A19410D0FAEBB96625841DBC94A1F0B8B1941440567559562584112DB3F1A198B19418938CF2795625841</t>
  </si>
  <si>
    <t>D1510k</t>
  </si>
  <si>
    <t>23845.53</t>
  </si>
  <si>
    <t>01060000206A080000010000000103000000010000001000000012DB3F1A198B19418938CF2795625841E13E1C5D168B1941FCCFE8119D6258412A4A44D7128B19419588A0C0A6625841FF93850A0F8B19414FA37F94B0625841178CF95C0B8B19413EE26EFDB96258410AC0AB66088B1941BD0E8E32C3625841D09D3267058B1941F139300CC76258416AFA9752138C194192239649C6625841A4A82F0A3E8D19412F3B857BC562584184F273BEF78D1941404723F2C46258413A3D7988E88D1941B9125D50C16258419CFA65BF0E8D1941237B6B2BB2625841237AF686FD8C194153EB6CE9B1625841114E22797D8B194173EC59A3936258413BD77771488B1941CCF9798D9462584112DB3F1A198B19418938CF2795625841</t>
  </si>
  <si>
    <t>D1511j</t>
  </si>
  <si>
    <t>0770000D1511</t>
  </si>
  <si>
    <t>21994.46</t>
  </si>
  <si>
    <t>01060000206A08000001000000010300000001000000080000006897A531B38F1941B34DF98AC3625841D4DC4152B89019410EE30FBEC26258410BDC0A7BB990194191486EBDC26258414FA8C47B23911941258DBB05BE62584179488F4D269119417643C980AC625841B5ADDDA6C090194183A9E69FAC6258414F583924FE8F1941418634DBAC6258416897A531B38F1941B34DF98AC3625841</t>
  </si>
  <si>
    <t>D1511k</t>
  </si>
  <si>
    <t>7140.46</t>
  </si>
  <si>
    <t>01060000206A080000010000000103000000010000007100000064090BBCE68E194187454C7B6E62584160D35841EE8D1941CEA83EFC7A6258415C836BEB9F8D1941AA41C77774625841266262CD538D19411E91A3F27B62584198401458D28C1941FD2A6F93846258412BDCF0E5C08C1941A68E771087625841D8C983E7968C19410E66AC3F9162584149108E81758C19411978AD20936258410D1DB642368C19417C991D489462584112974922FC8B1941F204BA3A90625841114E22797D8B194173EC59A393625841237AF686FD8C194153EB6CE9B16258419CFA65BF0E8D1941237B6B2BB26258413A3D7988E88D1941B9125D50C162584184F273BEF78D1941404723F2C462584102E17AC34C8E19413E8D3AB3C4625841E695FE51508E19411CC356AFC462584110B25933068F19418F7EA717C46258411F6CB7F67F8F1941159132B3C36258416897A531B38F1941B34DF98AC36258414F583924FE8F1941418634DBAC625841B5ADDDA6C090194183A9E69FAC62584179488F4D269119417643C980AC625841D171597126911941F2B477A4AB625841C4DF34002B91194154FFFA9F98625841991A1D312E9119410CE0FA5389625841547BAF67D8901941220DAE97886258417CD7485F91901941F6A8C4997F6258419ECFF1C0E68F19413CCD0F2B846258415DFB33240090194173202CFC916258411C262047A28F19416A8ADC9D96625841283FE6CC758F1941B083EFD9A06258417408C9B8B28F19418AC9F365AB625841D88FF512628F1941A38E0EE0AD6258412B939CF7B98E19413007059CA862584140F21967448E1941D38B6A6DAB6258415C8FC2F53E8E194114AE4701AC625841E17A14AE3A8E194114AE47B1AC625841D7A3703D388E1941713D0A77AD625841C3F5285C3B8E19417B14AE67AE6258417B14AE47438E19419A9999F9AE6258414D9B59484C8E19419BCFC195AF625841CAE54CC3518E1941C875393AB062584114AE47E1508E19417B14AE27B16258413E471DEF488E19416F73F4CCB1625841192D3A00418E1941F92826F5B16258415C6094AE288E19413A3A7E54B262584165B57429188E1941260BD11CB362584121FDA91E138E1941A3E45778B36258410DCD0CB90D8E1941021D2EDCB3625841C9196733098E19416266F9BFB46258415C36FAC2058E1941E6B95EAFB56258415866CF7B038E194153F410AEB662584192F52671058E19413942B98EB7625841236766C30A8E1941F4575A8FB8625841584AA3D70D8E194183BAEF91B9625841B1156F8F0D8E1941EA26A750BA625841DF919148098E1941439F5EEFBA625841FD2D879A008E1941962F46A1BB625841AF855233F48D194142AE2105BC62584150A19052ED8D1941AD899112BC625841DA5CBAA4E78D19414D62BA1EBC625841CA6CE9C2D98D1941FC69E6E1BB625841E554997BD08D1941D3725C7FBB625841003831C3C78D1941B95E69E6BA6258412F123467BD8D1941A8F4D2F3B962584115F6B0F6B38D1941D41E1C35B96258414DEB9771AA8D1941B3BA2A7CB8625841EC46967B9D8D194110FD6BEDB7625841B330D9148E8D19412C84747DB76258414986EFCC7E8D194134EF05C7B662584107E267D76F8D1941A5081027B6625841473CEF855E8D19412ECA7694B56258418B7CF0EB538D1941E21881CBB4625841FAE175C3438D194197721AC5B362584162D26DC3388D1941A3F3DDEAB2625841395D957B2E8D1941874A9B09B2625841B05B1D90288D1941A4CF7E2BB162584199094A90248D19415526C675B062584136A7FAEB1F8D19417722106EAF625841F33EF87A1D8D19412DEB7854AE62584120C8E0851E8D194152563763AD62584154CE45B9248D19410DE43D4AAC625841AD739AE12B8D1941ECDC0B87AB62584197E0BA14358D1941BAE8E59AAA625841444C22003F8D1941C1314DA8A96258415F48F9A34B8D19410366BAFEA8625841B74943D75A8D19417889A570A862584159E7F6C26E8D1941B73F8BEBA762584199BAC2857F8D1941BC0A627FA7625841C1CD1F0B928D1941CBE60A07A7625841470470859C8D19411B81C68CA662584102720F3EA38D1941E841849BA562584153F44871A58D1941F4CDC58CA46258416D2A7CCDA38D19419DCEF98FA36258413BB890C29E8D1941EDA96A66A262584144CA61A49A8D1941AEDC9392A16258417B461152948D19414D49129EA062584141D7719A888D1941489B18D59F625841204A23677D8D1941EB16142E9F625841FB6EBC66758D1941AE4607809E62584107A48B146F8D194107805D7F9D6258418ECA0E5D698D1941D2D1F9789C6258414A7BA3B8688D1941736F51589B625841B946E8286A8D194137DFE39A9A62584148AADF8F6D8D194191A89689996258416D2C1A29768D1941F6733B3A986258414B99E1EB7D8D194109D3554F97625841BD6FC63D898D1941E737C3E596625841FA5F9A97978D1941A0D79470896258415808EDFF2A8E194177FCF2C482625841B2983E7C168F1941A2BCE2108262584164090BBCE68E194187454C7B6E625841</t>
  </si>
  <si>
    <t>D1511l</t>
  </si>
  <si>
    <t>46587.82</t>
  </si>
  <si>
    <t>01060000206A08000001000000010300000002000000310000003C0C1C71319119415DA72ED3776258418F87EA47679019411EF8AB77696258414C7CD3F5F08F19419BC2BE156162584164090BBCE68E194187454C7B6E625841B2983E7C168F1941A2BCE210826258415808EDFF2A8E194177FCF2C482625841FA5F9A97978D1941A0D7947089625841BD6FC63D898D1941E737C3E596625841BA7E735C948D194107012EC3966258411F4E4DC3A18D1941468BF3D196625841C95EFA28B68D194155F662169762584195598EC2C58D1941ACF6013097625841C7552FA4D48D194107BABC3E976258419CCBF266E48D19413F28310C97625841A948EA33F48D19415B925FE696625841CC8238EC078E19410481A5A096625841200CA8E1188E1941C35223859662584116650552228E1941A9EE10AE96625841CDA0AE5C308E1941CB5B74249762584122D2E1B83A8E1941F2A6689D976258411240C133448E194174176C569862584138D209EC4B8E19418013F32199625841C3906F3D548E19417BAD4E389A625841742904CD5B8E19410D20FF5F9B625841ACB26D3D618E194159844AB19C625841799FDDA3658E19415470D6039E625841CE2AC1E1688E1941029019459F6258418EE0C6C26C8E19419AD63AE3A0625841A2A84AC36E8E19416EB21E65A2625841F38353716E8E19414C67C0AEA362584152330B3E6C8E1941E06E06D7A4625841E6D631A4698E1941901615FEA562584131BFFDE1658E1941CBD04EE1A6625841B9C7EC66618E19419AF11BEEA7625841B675835C588E1941B680F91FA962584112623F5C4F8E194148094251AA62584140F21967448E1941D38B6A6DAB6258412B939CF7B98E19413007059CA8625841D88FF512628F1941A38E0EE0AD6258417408C9B8B28F19418AC9F365AB625841283FE6CC758F1941B083EFD9A06258411C262047A28F19416A8ADC9D966258415DFB33240090194173202CFC916258419ECFF1C0E68F19413CCD0F2B846258417CD7485F91901941F6A8C4997F625841547BAF67D8901941220DAE9788625841991A1D312E9119410CE0FA538962584142B836CD2E91194185974B68866258413C0C1C71319119415DA72ED3776258411B000000E25F1FB9969019414CFD2E437E62584181845D1F859019419BFE192E7E62584181845D1F859019419BFE192E7E625841C8ABE8337B90194104B8CFDC7D6258415FF0439071901941874E96727D625841A6B7CA296A901941339C42DA7C62584187B0EA285F90194165AF190E7C625841C9F29E0A5C901941A00DD3537B6258417BC32E905C90194192BF784D7A6258415D809A5C60901941F554097779625841A3E43E0A66901941BBBFA180786258413F3024716F901941B76DC6E5776258418501EDD7789019416EF2364A77625841EC751C8588901941F05C6BD6766258418CEC9E1F9990194146C24A8876625841E9B82867A6901941D229C88C76625841DA56E047B89019418C83EB1177625841CC7F62E1C19019415556CA7C77625841E73A0DECCA901941140DE83178625841A6AE3D1FD0901941C2090110796258411B62BB3DD49019414EFA96197A6258413D13DB70D290194120F5E7FA7A625841D97A9D7BCD9019414F93B4DE7B6258417B23DA52C5901941BB6E55987C625841F06698D7BA901941D470DD537D62584168CE59D7A89019417493D1EC7D625841E25F1FB9969019414CFD2E437E625841</t>
  </si>
  <si>
    <t>D1511m</t>
  </si>
  <si>
    <t>31422.03</t>
  </si>
  <si>
    <t>01060000206A080000010000000103000000010000002C0000004C7CD3F5F08F19419BC2BE1561625841C72D44C3E08F19416354FFEF5F6258411EB683AE568F1941FCD6B107566258413508A970F98E19414230748D4F625841CE229C8F738E19410315B21E46625841EF0E4DF62C8E1941AB113B6A41625841281605F6098E194125C65F3642625841B7B9121CEF8D1941A9A5BCEE42625841D2B69258FC8D1941317EFEF043625841D0531B9CF28D1941EB96F70F45625841AA62E50B2C8E1941AAEB934A51625841A92292910C8E1941D36322CC526258411CD7FEF1DE8D19415086F193526258410EC69649B78D194190237B7A52625841C7423B37138D1941F4B02E4E55625841AC77F91BD18C19418B6F11485062584199E8BEB8BB8C19416F9ACA5C51625841704686C27C8C194142AA3983546258411101C21E4B8C1941884463D65662584139743FAE1E8C19415AF376C4586258415644E23DE48B1941AACCEB015B6258414580693DBD8B1941E6B3C7255C625841307AF9C2698B1941D8DE61265E6258416587DC472C8B1941AA34A7B05F625841287FD95C2B8B194165ED92F2636258415BD5F4FF278B19414C32AE776C625841A7CBA5A4248B1941CAD3187E7662584128D4A63D218B194139A91A657F625841DC1CD3AE1C8B1941A6B102D789625841674F66AE198B1941A9CDE57A9362584112DB3F1A198B19418938CF27956258413BD77771488B1941CCF9798D94625841114E22797D8B194173EC59A39362584112974922FC8B1941F204BA3A906258410D1DB642368C19417C991D489462584149108E81758C19411978AD2093625841D8C983E7968C19410E66AC3F916258412BDCF0E5C08C1941A68E77108762584198401458D28C1941FD2A6F9384625841266262CD538D19411E91A3F27B6258415C836BEB9F8D1941AA41C7777462584160D35841EE8D1941CEA83EFC7A62584164090BBCE68E194187454C7B6E6258414C7CD3F5F08F19419BC2BE1561625841</t>
  </si>
  <si>
    <t>D1511n</t>
  </si>
  <si>
    <t>51137.37</t>
  </si>
  <si>
    <t>01060000206A080000010000000103000000010000000E000000B7B9121CEF8D1941A9A5BCEE42625841B71490E1E18D19416350934943625841EE7B43A4B28D19415319C61C4562584157415900658D19416497728D486258415F2CF97A098D194196A4B06E4D625841AC77F91BD18C19418B6F114850625841C7423B37138D1941F4B02E4E556258410EC69649B78D194190237B7A526258411CD7FEF1DE8D19415086F19352625841A92292910C8E1941D36322CC52625841AA62E50B2C8E1941AAEB934A51625841D0531B9CF28D1941EB96F70F45625841D2B69258FC8D1941317EFEF043625841B7B9121CEF8D1941A9A5BCEE42625841</t>
  </si>
  <si>
    <t>D1511o</t>
  </si>
  <si>
    <t>3404.27</t>
  </si>
  <si>
    <t>01060000206A08000001000000010300000001000000170000002D0EA7C76284194197E8F48B0D6258417DCB2167408419413C53968613625841300953D1FE83194154A2A4F61E62584196216821CC8319417B206C5224625841F88D307BA8831941F1850FAE28625841654A24539183194106CB93A82C625841618F5EA7A183194179DE259F2F6258410216BCD7B983194111D9C52A32625841502FD6A79C831941111F82C839625841DF771BC1798319412C4CB6B23E6258412509E7BE5F8319417B57655B4162584135C1BECF4883194160D856BD46625841F853E8E31D83194156F8910F4B625841B7654A70FE821941DFC15ABB4C62584109CDEF47E682194154B8C0434D62584162B96752A5831941FF23724D5C62584120308E3D3984194105B5062068625841DC02B0F61D851941028FA2E07A625841CD800BAE24851941A0140A376F62584177BBC7DD77851941ADD81903666258414DEA518E9E84194103DA274538625841696314DF2C8519412129711E2D6258412D0EA7C76284194197E8F48B0D625841</t>
  </si>
  <si>
    <t>D2295j</t>
  </si>
  <si>
    <t>0770000D2295</t>
  </si>
  <si>
    <t>31794.84</t>
  </si>
  <si>
    <t>01060000206A0800000100000001030000000100000010000000E483A47BBE861941E73332731B6258414F73A000EF851941653005D71C6258419FBAA2E5888519416ACC0BD9026258415DE60B2BEE841941ED39FB4A04625841C6890EA38B84194142D1D170066258412D0EA7C76284194197E8F48B0D625841696314DF2C8519412129711E2D6258414DEA518E9E84194103DA27453862584177BBC7DD77851941ADD819036662584101F7A3A4118619411A01020055625841FBED42523686194161D851685162584177D43DA4938619418559121749625841F87FD58F0A871941A15EC6353E625841E9D41C7BE98619412AD52F431C6258412A75CE85DC861941EF14123E1B625841E483A47BBE861941E73332731B625841</t>
  </si>
  <si>
    <t>D2295k</t>
  </si>
  <si>
    <t>36971.78</t>
  </si>
  <si>
    <t>01060000206A08000001000000010300000001000000320000001C914615498419416467A637FC615841FA7677DC14841941387C470CFC6158411286F77AF38319418D339CF0FB61584116183B3ECF831941801FFBC8FC615841E1990E29C1831941950D2F8CFA615841D11F403EE8831941D5869E90F96158414637C20ADD8319410C4723A5F76158417BE9CCF5848119419D14EFC80362584126B1DC14B2801941D1236616086258415912B5F5498019411B742B230A625841D4C2D8AED87F1941460142AA0F62584124C8B6F67F8019417D99E6EA1C6258413D9D0DD76C8119414CE6E9812F6258413340A17B878119417BBB5FE62D625841E01E1A29928119411548557F2D62584183DBF6AE9881194122E2C46C2D62584189CE7C66A981194100DF52882D6258416CAD7BEBB18119416B98B4BE2D625841D61A5667B8811941EE3D8B1B2E62584105AA7429BB811941CB3CE47A2E6258416F8CC7B8BD811941A9ED135E2F6258419E60FBFFC0811941C99CDEC32F62584162EC82CDCA8119418428A767306258412A31BFCCCC811941992BEDF130625841F131F214CD8119411157069731625841725CB100CB8119414C51FC18326258412E4CD514BF8119413AF2546F33625841962CA747B5811941AD48505834625841FB409E0AAF811941AAD2CACC346258410E2BD81419821941AA960E273D625841D7173AE2BD821941DD2BBE154A62584109CDEF47E682194154B8C0434D625841B7654A70FE821941DFC15ABB4C625841F853E8E31D83194156F8910F4B62584135C1BECF4883194160D856BD466258412509E7BE5F8319417B57655B41625841DF771BC1798319412C4CB6B23E625841502FD6A79C831941111F82C8396258410216BCD7B983194111D9C52A32625841618F5EA7A183194179DE259F2F625841654A24539183194106CB93A82C625841F88D307BA8831941F1850FAE2862584196216821CC8319417B206C5224625841300953D1FE83194154A2A4F61E6258417DCB2167408419413C539686136258412D0EA7C76284194197E8F48B0D625841C6890EA38B84194142D1D170066258415DE60B2BEE841941ED39FB4A046258417792838AD9841941A77C902E016258411C914615498419416467A637FC615841</t>
  </si>
  <si>
    <t>D2295l</t>
  </si>
  <si>
    <t>53730.05</t>
  </si>
  <si>
    <t>01060000206A080000010000000103000000010000000A0000007792838AD9841941A77C902E01625841F04F479F62841941D838133FEF615841A4703D0A54841941D7A3703DF5615841A4703D0ADD83194152B81EA5F7615841D7A3703DE88319410AD7A390F96158418FC2F528C1831941C3F5288CFA615841D7A3703DCF8319418FC2F5C8FC615841AE47E17AF38319410AD7A3F0FB61584148E17A14498419417B14AE37FC6158417792838AD9841941A77C902E01625841</t>
  </si>
  <si>
    <t>D2297</t>
  </si>
  <si>
    <t>0770000D2297</t>
  </si>
  <si>
    <t>1696.95</t>
  </si>
  <si>
    <t>01060000206A0800000100000001030000000100000014000000F04F479F62841941D838133FEF6158414F70BEEE21841941F0A7647DE561584185EB51B8F783194185EB5138E66158410AD7A370768319419A999999E8615841C3F5285C58831941D7A3704DE96158418FC2F5283283194148E17A44EA6158415C8FC2F5E382194185EB5188EC615841F6285C8F8F821941CDCCCC5CEF615841E17A14AE2C8219411F85EB11F3615841713D0AD7FD8119419A999929F561584114AE47E1C2811941000000F0F7615841C3F5285C66811941AE47E14AFC6158413D0AD7A3328119410AD7A3E0FE61584100000000608019411F85EB01096258415C8FC2F549801941333333230A62584148E17A14B280194166666616086258415C8FC2F5848119418FC2F5C803625841A4703D0ADD83194152B81EA5F7615841A4703D0A54841941D7A3703DF5615841F04F479F62841941D838133FEF615841</t>
  </si>
  <si>
    <t>D2299</t>
  </si>
  <si>
    <t>0770000D2299</t>
  </si>
  <si>
    <t>12053.56</t>
  </si>
  <si>
    <t>01060000206A080000010000000103000000010000000A000000ECF8B60F87881941EB27361AFB61584117E5FF3F898819412B5C7DAFFB615841D825A649FA87194131DCD201FD6158415C8FC2F5F287194148E17A5402625841713D0AD7F4871941000000600462584114AE47E191891941B81E850B02625841D7A3703DBC891941F6285CEFFD6158413D0AD7A3A189194185EB5118F8615841D7A3703DD0881941CDCCCC1CFA615841ECF8B60F87881941EB27361AFB615841</t>
  </si>
  <si>
    <t>D2303</t>
  </si>
  <si>
    <t>0770000D2303</t>
  </si>
  <si>
    <t>3817.72</t>
  </si>
  <si>
    <t>01060000206A080000010000000103000000010000000F00000055B2CBCBD2881941298C3ECE136258415917AC114D8819410FF8BD1A0A62584130503FF9228819419085B2F10A625841504EF7EBEF8719416ECD042B0B625841C7D2411FB2871941B575394E07625841EAE7D44B8E8719410CDDD46C08625841DEE54AD06C871941F795A1E40762584168947A7D7A871941B296D0140D625841EDC2F0669C87194173F388F2196258412C98608F09871941C3E9DDEA1A6258412A75CE85DC861941EF14123E1B625841E9D41C7BE98619412AD52F431C625841F87FD58F0A871941A15EC6353E62584183C3ABF18E881941C79BB61C1A62584155B2CBCBD2881941298C3ECE13625841</t>
  </si>
  <si>
    <t>D2305j</t>
  </si>
  <si>
    <t>0770000D2305</t>
  </si>
  <si>
    <t>12136.32</t>
  </si>
  <si>
    <t>01060000206A080000010000000103000000010000000F000000DEE54AD06C871941F795A1E407625841EAE7D44B8E8719410CDDD46C08625841C7D2411FB2871941B575394E07625841504EF7EBEF8719416ECD042B0B62584130503FF9228819419085B2F10A6258415917AC114D8819410FF8BD1A0A62584155B2CBCBD2881941298C3ECE13625841EE9C07E2918919417405880B026258410FF086D7F4871941078C0460046258413EEF72F6F28719411E0C7A5402625841B093504AFA8719415D2C9B01FD61584109A1FE7154871941C371548EFE6158417A26A22F56871941A497A539FF61584164F9A52966871941B69ABA5E05625841DEE54AD06C871941F795A1E407625841</t>
  </si>
  <si>
    <t>D2305k</t>
  </si>
  <si>
    <t>5333.10</t>
  </si>
  <si>
    <t>01060000206A080000010000000103000000010000000700000009A1FE7154871941C371548EFE61584163CF5411D1861941EF7A6FC8FF615841666666668B861941B81E85FB00625841EC51B81E98861941B81E858B0762584100000000D08619419A9999F9066258418FC2F52866871941EC51B85E0562584109A1FE7154871941C371548EFE615841</t>
  </si>
  <si>
    <t>D2307</t>
  </si>
  <si>
    <t>0770000D2307</t>
  </si>
  <si>
    <t>ilôt 1</t>
  </si>
  <si>
    <t>1434.46</t>
  </si>
  <si>
    <t>01060000206A080000010000000103000000010000000400000063CF5411D1861941EF7A6FC8FF615841C2922E588A861941EE61867100625841666666668B861941B81E85FB0062584163CF5411D1861941EF7A6FC8FF615841</t>
  </si>
  <si>
    <t>D2309</t>
  </si>
  <si>
    <t>0770000D2309</t>
  </si>
  <si>
    <t>19.41</t>
  </si>
  <si>
    <t>01060000206A0800000100000001030000000100000007000000C2922E588A861941EE618671006258419FBAA2E5888519416ACC0BD90262584100000000EF851941713D0AD71C625841AE47E17ABE861941333333731B625841EC51B81E98861941B81E858B07625841666666668B861941B81E85FB00625841C2922E588A861941EE61867100625841</t>
  </si>
  <si>
    <t>D2311</t>
  </si>
  <si>
    <t>0770000D2311</t>
  </si>
  <si>
    <t>6307.38</t>
  </si>
  <si>
    <t>01060000206A080000010000000103000000010000001C000000F4D69429F2031941970B1C65665358412C5D140036031941D3F3432A63535841FA09888FBB0219411D917A046153584149B59A520D021941A2B0D4F35D5358419747DA99ED0119410770C2755D535841C5272B3ECA011941D456DEDA5B535841C24347C36D011941B6138FF2575358415ABF7A291D011941DDD6D0AC54535841E60FF614BC0019418040FEAF505358411C3EDC8FB500194120BC76B4545358414E00BFE104001941AAA73B7A565358410BD6CD8F050019416744ADE756535841974532EC4EFF18411DE7812B57535841A2419FE14FFF184162180D97575358415A5E547B7BFF184108730C875F535841B8ECD14789FF184124E4285C6453584105B2493EA0FF1841751E53986C53584185093271AFFF1841C140ED0172535841B230286706001941EB385C7F6E535841553AF8EB9B001941AB84135E6853584151AFFED68201194132513C1A6A535841DFC2113E27021941A8539C606B5358419521A80A04031941900B580F6D53584169A3E799BE03194192F502906E53584114464A33DF03194188F39F796C53584145A75952E9031941D6D2E391685358415545033EF3031941B36D604667535841F4D69429F2031941970B1C6566535841</t>
  </si>
  <si>
    <t>D262</t>
  </si>
  <si>
    <t>1710000D0262</t>
  </si>
  <si>
    <t>COURTE ROTATION + INCENDIE 2022</t>
  </si>
  <si>
    <t>18485.43</t>
  </si>
  <si>
    <t>01060000206A080000010000000103000000010000002B000000E60FF614BC0019418040FEAF505358415ABF7A291D011941DDD6D0AC54535841C24347C36D011941B6138FF257535841C5272B3ECA011941D456DEDA5B5358419747DA99ED0119410770C2755D53584149B59A520D021941A2B0D4F35D535841FA09888FBB0219411D917A04615358412C5D140036031941D3F3432A63535841F4D69429F2031941970B1C656653584167EC5333F30319410783AC9763535841746CFEFFF703194156952EDC5D535841F38D3490000419411FE34CC85C535841D4547C7BF80319416136DEF35953584191DB47B9E80319412A0D5F565853584168A8ECB8D50319413697B447575358417759655CAC031941BA5700E05553584151AC7E337F031941E8CA87B25353584192D6121F7A031941529103F7525358414E6BB1E154031941A656AC474E535841056AB04743031941A9C95C4F4F5358413DBE9C1F31031941E00A13BE4F535841E8DF3671230319410786BA5E4F53584176CCF4511703194107376E5D4E535841B861AE140A03194116683A334D5358414F5E9E5C00031941C1AFAF574C535841E2F62F9AE5021941CDF084FB495358415A30C114C5021941C3D4B9CE47535841589BE45CA3021941B6A20F6E46535841272363E185021941C7B2E381455358416287F37A6002194170D4E0AA44535841BCD842B84402194136F34B8843535841575F1E1F23021941FFD0199542535841AFB2601FFB0119416E32E951415358413AF64733AB0119411C0F61AF4153584115EA9A0A8901194133A4459A445358419A0408F665011941C4C8221547535841D78077E139011941D78F63C648535841B28463C325011941F1C8DBB3495358413D8CF5F50D011941182DB87E4A535841BDFDE38FF600194177CBC57C4B5358417B66B266CF001941D582A1394C535841E882E37AC400194185A213AE4B535841E60FF614BC0019418040FEAF50535841</t>
  </si>
  <si>
    <t>D263</t>
  </si>
  <si>
    <t>1710000D0263</t>
  </si>
  <si>
    <t>16420.34</t>
  </si>
  <si>
    <t>01060000206A0800000100000001030000000100000033000000C269A485F606194179ECA86773535841FD00001FF6061941F2C6D05C6D53584166F400ECF506194165959F19625358410B4810ECEE0619414FE1E711625358413C55AE99C2061941E49B76146453584118BE722991061941162811BE63535841CB4E92C254061941A67F06805F53584123297B3D4A0619411DED374A5F535841ADA4E8D737061941EC3D55985F53584153D6241F190619416582FEAF60535841280B747B0A0619416EDB7B1461535841A412371FFE051941940226A56153584137BAD13DE8051941844C92196253584140CFAFC2CF051941A29BB0DE61535841A3B2373EAD051941C4535558605358412397FF707C05194120421AD55A53584108FEC7476305194175E5FC2F58535841DDD7E67A2A0519412C158AEB55535841D77BB2AE0D0519418AC74A6155535841D137B1F6DD041941818E4A015353584133ACF8D7C7041941B0909B5951535841A38EE685BD041941457A32534F535841C6A4EAF5A70419419306BD0E4E5358419C9ED48F820419415CC463064D535841A5A80786660419410A281B954C5358413724B3334C041941F2EF93724C535841593EA71418041941B46733D34D5358419973EE33F70319416C7F38834E5358416D97C1A4E7031941A284D7734E5358412ED4763DC80319410BD0B43E4D535841B9EEAEF6B60319416229CA0C4D5358418FCBDCD7810319414AB595394D535841B296350B5C031941976CFBD84D5358418ADE86D77603194134BAE3A15153584191644F6781031941D4B0CAF552535841D2A4FFA38A031941EC06AFC7535358411BD1C0CCB7031941BDD46BAD55535841F270219AE40319417E9B806457535841C7C7B747FA031941348A870259535841827C56B800041941401B5FA65A5358415F2039E208041941CA67E1CA5C5358419A2B4915FF0319414BAF767D5E53584155981B48F9031941A23201D0645358418637E851F803194154B504D0665358413EA03A90EB0319416A9580AB6A53584137F873CDE3031941B13481CB6C535841A052703DC60319413BAC35A36E535841E45E6A1FE20419414325BB5E6F535841D9259C5CA00519416D6448F16F535841190FF3E1540619414A16D2CC71535841C269A485F606194179ECA86773535841</t>
  </si>
  <si>
    <t>D264</t>
  </si>
  <si>
    <t>1710000D0264</t>
  </si>
  <si>
    <t>18890.98</t>
  </si>
  <si>
    <t>01060000206A0800000100000001030000000100000026000000FCC12667888F184111765848F2525841ACF7B78F4E8F18419355EFB8F2525841AC9FE9CC5F8E1841788D1C95F4525841822F47AEA28D184135086366FC5258414BCC8233C08D184160B54F480053584170AF05CD2C8D18419D14DD33035358416487D1E15C8C184132947F7407535841C328D366678C1841994706900853584172FB735C7C8C1841A18910CE0A5358413BFEF6A3858C1841EFAE28DC0B535841202A0E15878C1841DF4F2C2C0C5358411AED94CDA38C1841544DB30E115358419D87FEC2C48C18418106A14010535841F4CBD00AEC8C1841BFE70C770F53584168D90448FB8C1841B0A5F9380F535841A7140A860A8D184128F66A060F53584174AB03A4138D1841F88B9CF00E53584153F253C31C8D1841DA1596E90E535841BAC2E947208D1841E64F0AE70E53584181E61E9A318D18412D852EF30E5358418F7AA0C2358D1841857619FE0E535841B37C1090538D18413F5B235C0F535841D3007852768D184127565FD60F53584150B79870918D1841EEDABB4510535841E68B9BF6A28D184113408A821053584183CF5A9AA58D18412616F78810535841C8B5C0CCA78D1841FC8EDA8A105358411B36A747AA8D184192928B8B105358412A150D48B08D18411C4E968210535841987F030BB68D1841AD799A791053584197261C1FBB8D1841AAAD8B6B105358412D647652BF8D1841B0923C5A10535841F7EF8ACDCD8D1841FFB2501810535841CC3B9D99DC8D1841EDBE3FCA0F535841D869C1F5E28D18412B4324A50F535841850A89524D8E1841DA70C045085358416C06F38FF98E1841F305D45CFC525841FCC12667888F184111765848F2525841</t>
  </si>
  <si>
    <t>M1</t>
  </si>
  <si>
    <t>2000000M0001</t>
  </si>
  <si>
    <t>01006C</t>
  </si>
  <si>
    <t>Directive Habitat - Vallées de la Grande et de la Petite Leyre
ZNIEFF2 - Vallées de l'Eyre, de la Grande et de la Petite Leyre</t>
  </si>
  <si>
    <t>10033.86</t>
  </si>
  <si>
    <t>01060000206A0800000100000001030000000100000010000000E2377E22E4921841C69BFC501E535841337E1E9A049318413BFB7A7120535841642A1B532D931841DC89825F225358411A566168449318412E83323D23535841A5E939FE6393184124A34A1323535841C2BA6A9B78931841C2EEAF942253584107E59699929318413423F6CE21535841C247109EAB931841BEFCBD83215358418935BC63C1931841A4BE1B5C2153584198213E3DDA9318418F17E15020535841244EAB65EA93184178CD8D6A1F535841CD6C35DAFA93184118C81A331E5358419C0E9E14EC931841D4F9BFDEFA5258419BE6C7AE889318419CC6272CFC5258413CEB93D72A931841EDCCDF7AF7525841E2377E22E4921841C69BFC501E535841</t>
  </si>
  <si>
    <t>M11a</t>
  </si>
  <si>
    <t>2000000M0011</t>
  </si>
  <si>
    <t>9376.69</t>
  </si>
  <si>
    <t>01060000206A0800000100000001030000000100000035000000E2377E22E4921841C69BFC501E535841E45541A4DC9218410BC2B46E22535841F6ADAB8FDF921841960B598822535841911DAC3DF1921841842CBF6523535841630E0D90FA92184184DEE4EA23535841ADD0C35CFF9218412897862B24535841067D861F02931841E69B724D245358412DDE953D0B9318410ECD53B82453584179EED6A31193184132C65BFF2453584114F918D014931841F0D7882125535841E1581D9516931841AD40503125535841563F72CD1893184171A91D4525535841553594A4269318419440F8A825535841CFDFCD8F36931841709CB01726535841A4EB88003F931841AFCA0947265358411FF1B70A469318411352BD6E26535841B8A7DE7A4D931841A91F6B8D26535841CD40449A4E931841D30FE99126535841AFAD911F4F931841BDC62B93265358419FD77D7157931841B23BE7A12653584111AC5A675A9318412CD238A3265358412C5E5AE15E9318411D2FBB9E26535841DDF6C5C26093184120A2A19926535841F10CCD4763931841A885D08C2653584122270D9A65931841F59F307C26535841C79771C367931841F5B02A6C26535841B9BA2CA46E931841B60D0B3726535841BC5FC5E19B931841984350C824535841FA0B77A4A3931841E9D54191245358415612F314AB931841226D216524535841AC42C14BB09318412AD23643245358417C511967C4931841EDDCF9D8235358417D03EA1EDE9318411C398A5B23535841893843F6E09318412071E54A23535841677B5CD7E8931841F5DF4C1823535841F1966029EC931841FA74070023535841DE304252EE9318410186CEEC2253584172548133F59318418A64AFA722535841B6F48F5CF8931841BBF8F988225358413E3964C3FA9318413B70947222535841598ED999FC9318416B608B6222535841CD6C35DAFA93184118C81A331E535841244EAB65EA93184178CD8D6A1F53584198213E3DDA9318418F17E150205358418935BC63C1931841A4BE1B5C21535841C247109EAB931841BEFCBD832153584107E59699929318413423F6CE21535841C2BA6A9B78931841C2EEAF9422535841A5E939FE6393184124A34A13235358411A566168449318412E83323D23535841642A1B532D931841DC89825F22535841337E1E9A049318413BFB7A7120535841E2377E22E4921841C69BFC501E535841</t>
  </si>
  <si>
    <t>M11b</t>
  </si>
  <si>
    <t>bdr</t>
  </si>
  <si>
    <t>TAIL1986</t>
  </si>
  <si>
    <t>976.73</t>
  </si>
  <si>
    <t>01060000206A080000010000000103000000010000000B0000007E97329054911841F7EABEDEB1525841D024B90AE790184173A8EED8B752584138E1E0992D911841E349A0D0C1525841585D6E4840931841C12C121EC3525841403B4C1532931841E6D2E2BAC15258410804911F2793184137B61EC5C052584121E28ED712931841E8EC3F31BF525841735C3E67E89218410309C375BC525841F60FD33DA792184178589ED0BA525841DD67BC7BC8911841C00904E0B45258417E97329054911841F7EABEDEB1525841</t>
  </si>
  <si>
    <t>M20</t>
  </si>
  <si>
    <t>2000000M0020</t>
  </si>
  <si>
    <t>5914.54</t>
  </si>
  <si>
    <t>01060000206A0800000100000001030000000100000008000000E4D11AF5DB8F1841E0C1D0C5AA525841076D3B523A90184143A8BFD5B0525841630570F6BF9018419AC053B8B9525841D024B90AE790184173A8EED8B75258417E97329054911841F7EABEDEB15258416E22F45CAF901841A4458C6BAD525841E7E1DC1E5E901841061CF847AB525841E4D11AF5DB8F1841E0C1D0C5AA525841</t>
  </si>
  <si>
    <t>M21a</t>
  </si>
  <si>
    <t>2000000M0021</t>
  </si>
  <si>
    <t>2375.88</t>
  </si>
  <si>
    <t>01060000206A0800000100000001030000000100000006000000102A1CA4B38F18413B43B82EA8525841E4D11AF5DB8F1841E0C1D0C5AA525841E7E1DC1E5E901841061CF847AB5258414D69A470958F1841683C56FFA5525841C123E9F59E8F1841B98396C2A6525841102A1CA4B38F18413B43B82EA8525841</t>
  </si>
  <si>
    <t>M21b</t>
  </si>
  <si>
    <t>298.91</t>
  </si>
  <si>
    <t>01060000206A0800000100000001030000000100000024000000102A1CA4B38F18413B43B82EA8525841C123E9F59E8F1841B98396C2A65258414D69A470958F1841683C56FFA5525841C841CBA3728F1841C0220B17A552584104BB6CAE698F1841110D48D1A5525841830B00E25A8F1841D286A810A7525841C3C16B00488F1841DB6FDE2AA85258412655A7143A8F1841F56E69E6A852584111DECB851C8F18417BD2A0E9A952584193AA7CA4028F18416F9B6C7DAA525841127E4D90EE8E1841BDA043C1AA5258416F21D1A3DB8E1841D0DF6FDDAA525841C3893C67B28E1841FF70CCCCAA525841CF088AA49C8E1841BD42DDB3AA5258411F490CB98A8E1841BC7D0390AA5258419C273F0A718E1841001D9592AA5258412C1715F6508E1841613A76CDAA52584148BF29713F8E184170D64611AB525841AE44001F288E1841D9AE4E71AC5258414F107FE1078E1841AFAAD383AE5258415E74E28F108E1841869B4981AE525841DB125C52248E18417236834BAE5258418CFA9348378E1841CC45BD05AE5258412A78BD7B5B8E184127A3459AAD525841BE8745E16D8E18414B28228CAD5258415D3B490A8C8E1841495B9D99AD525841A426A466978E184140829FD0AD5258410BB8B014AF8E18419401301CAE52584168AAF18FC98E184114BFB057AE525841D0A4A133DC8E184115C37534AE5258410D37C5000D8F18412A16B187AD525841E2034552368F18416752E7DAAC52584114255429568F1841FEA8EF21AC525841A61048AE848F1841E15079A4AA5258412C025385968F1841F2ADE601AA525841102A1CA4B38F18413B43B82EA8525841</t>
  </si>
  <si>
    <t>M22</t>
  </si>
  <si>
    <t>2000000M0022</t>
  </si>
  <si>
    <t>1405.15</t>
  </si>
  <si>
    <t>01060000206A0800000100000001030000000100000019000000630570F6BF9018419AC053B8B9525841076D3B523A90184143A8BFD5B0525841E4D11AF5DB8F1841E0C1D0C5AA52584196B75E3EA68F184189870717AB52584167998C94728F18414D9462D3AC525841F24B0F7F4F8F1841349ED038AE5258410F152A9A178F1841A814EAA2AF5258417EEB3C69F78E18415E2D3BFDAF525841F39A85C4CC8E1841079EE127B052584162AC3AD59F8E18410CBF4459AF525841D37837BA6B8E1841A80E8B11AF52584170EC92844B8E18414151295BAF52584182CC41A5328E18413D3733D5AF525841903DC042248E184101D4F0B0B0525841938517511E8E1841D161FC0FB25258410C239CB5218E1841B400B04BB3525841AF975977558E1841410CF9B2B6525841E08D5844248E18410EE37830BA52584198DB9370248E1841EC475AF8BA525841D38D801F4C8E18410420BD4EC252584181BCAFE1538F1841ECF5B38EC55258419ECBE629B38F1841C3AAB0A7C65258415C7E45F6E98F1841D784382AC4525841EADCB00A4A90184142871A7EBF525841630570F6BF9018419AC053B8B9525841</t>
  </si>
  <si>
    <t>M23a</t>
  </si>
  <si>
    <t>2000000M0023</t>
  </si>
  <si>
    <t>12380.06</t>
  </si>
  <si>
    <t>01060000206A0800000100000001030000000100000036000000D38D801F4C8E18410420BD4EC252584198DB9370248E1841EC475AF8BA525841E08D5844248E18410EE37830BA525841AF975977558E1841410CF9B2B65258410C239CB5218E1841B400B04BB3525841938517511E8E1841D161FC0FB2525841903DC042248E184101D4F0B0B052584182CC41A5328E18413D3733D5AF52584170EC92844B8E18414151295BAF525841D37837BA6B8E1841A80E8B11AF52584162AC3AD59F8E18410CBF4459AF525841F39A85C4CC8E1841079EE127B05258417EEB3C69F78E18415E2D3BFDAF5258410F152A9A178F1841A814EAA2AF525841F24B0F7F4F8F1841349ED038AE52584167998C94728F18414D9462D3AC52584196B75E3EA68F184189870717AB525841E4D11AF5DB8F1841E0C1D0C5AA525841102A1CA4B38F18413B43B82EA85258412C025385968F1841F2ADE601AA525841A61048AE848F1841E15079A4AA52584114255429568F1841FEA8EF21AC525841E2034552368F18416752E7DAAC5258410D37C5000D8F18412A16B187AD525841D0A4A133DC8E184115C37534AE52584168AAF18FC98E184114BFB057AE5258410BB8B014AF8E18419401301CAE525841A426A466978E184140829FD0AD5258415D3B490A8C8E1841495B9D99AD525841BE8745E16D8E18414B28228CAD5258412A78BD7B5B8E184127A3459AAD5258418CFA9348378E1841CC45BD05AE525841DB125C52248E18417236834BAE5258415E74E28F108E1841869B4981AE5258414F107FE1078E1841AFAAD383AE525841F9ADA6E1DD8D184156B18F82B1525841C1C2B30ADB8D184140EB8EC2B1525841E6FC0971D98D1841ABCA4D28B2525841BB1FD20AD98D18410BF66836B3525841A0BB4752DD8D184168DF92C9B45258414C073ACDE08D1841EF1DDC2AB55258412B40DC52E78D184162349E29B7525841476F4DAEEB8D1841D2EAC84CB8525841C455D766ED8D18419F00B90EB9525841C8CAA270ED8D18410039C905BA525841A1FF1C5DEE8D184154CF8AB2BA525841EEEA345CED8D184163DB6446BB525841F21DB514EB8D1841CD8FAB80BB525841D578D20AE38D1841AB1D164EBC525841DD76A4D7DB8D184152276106BD5258414E89CE3DD68D1841B9B90DD7BD525841DF5634B9C58D1841BC87358ABF52584194441AA4B98D1841B04E737DC0525841D38D801F4C8E18410420BD4EC2525841</t>
  </si>
  <si>
    <t>M23b</t>
  </si>
  <si>
    <t>2336.97</t>
  </si>
  <si>
    <t>01060000206A0800000100000001030000000100000019000000A471433E3A9418413C51C3B57A53584155A8DC9816941841D73C608379535841ABE8E7BFA9931841D6ABDDD077535841237A5FDF7C931841136B8A7E78535841602867392F931841D8CC9B1279535841DEDAA533DD9218410305EFC87A53584138E14F5237931841CA11D76390535841664FEDEB3F931841B2AFC0C58F53584116E2A5294C9318412FDE364A8F535841DB8E413D61931841E42126E38E5358416B69BC1E6A931841C46935B38E535841FE2972E184931841E9556A2D8E53584110C77566969318413DA90D978D5358411EC86CC39F93184142857D048D5358419081DF0AAA931841E0C2B9FE8B53584184B2DDF5B5931841AC9D3A6A89535841B71AB45CC2931841AD6E8CC287535841D2817F8FDA9318416B09BE1E86535841018F90AEF693184154BC08C78453584148C62BCD119418412799C3458353584141990E7B1E941841B4FFDAD38153584103D2EA14279418415DFB9D50805358416196AB3D2C9418417C56FC8F7E5358416B39CB66339418412BC4892B7C535841A471433E3A9418413C51C3B57A535841</t>
  </si>
  <si>
    <t>M33j</t>
  </si>
  <si>
    <t>2000000M0033</t>
  </si>
  <si>
    <t>5235.82</t>
  </si>
  <si>
    <t>01060000206A08000001000000010300000001000000A201000076CA349A069318417E72AB20255358412B086352FA9218411C6A07902453584112DDA548F5921841D929884B2453584188F20449EC921841F1C13EC5235358410B41DD1EDB9218413BE137F322535841DA01BE52D992184180E5D3E32253584161D2B2E1D3921841DCF76DC622535841DB78A8F6D192184165752DBC22535841C39A8400D1921841E86094B9225358417C06AC70CD921841C8EA21BC2253584123E9FDD7C792184127399CC0225358413FA0D2A3C3921841ACB866C6225358415612EE1EC0921841FE396DCD22535841219F16E2BA9218415A1FCADC2253584133612548B69218418191D1EC225358411FAF2BECB39218417FF03FFA22535841BBB10BE2AD9218417BF5CF0C23535841F9217A52A89218415CFEA4102353584142434390A4921841CBF2F211235358417C8C6871A292184134C59F10235358419BD46AA49C921841A249B207235358411F3E31DF9B921841B7FEA8032353584105518D3D9B921841C705770423535841D8A1BC149A92184113F5B2FE22535841421F06EC9892184141B192F92253584185A72C0097921841EA53AAF022535841E5567571939218412701A9E022535841D748C75292921841C7803FDA225358414A1CFC7A909218411149B4CE22535841DF0E78B88C921841642C7EB4225358418BFBC6F5779218413C14BF0E22535841F7D029C365921841E14DE47A2153584128C4F1B85792184142B5B517215358419F0AB8F64B92184134A2A3D0205358416CEB0CEC2B9218410ACD6D06205358413D402E482492184100430EDE1F535841608517291B9218413B75A1B91F5358413DBF8F7B149218411F44BBAE1F535841D9B252AE019218416F534AA11F535841FB594071FA9118417C39899B1F535841A8799E48E391184112E585AB1F53584113D488C2D091184168E34BC11F5358417BAB4429CA91184149A919D51F535841AC73CE8FC39118416C6116EE1F53584140BBA0CDBB9118415356251520535841072F9499B991184116558D2220535841DA0EA2CDB59118410499A8402053584118F544AEB091184105FEB76E2053584178D657A4AD91184136446E9620535841213F72EC91911841221BFD1F225358416D82DE668D911841277DC25522535841C5D5A31F89911841EEEC738422535841A82A9F3D8191184191524AB1225358418730FAEB6D911841D10EEE2123535841F393FD7A63911841AE3B725D23535841F0ADE0AE5B9118411ABBA099235358418364BFAE4A91184153EA4A2824535841570348AE29911841B585B5172553584179A341710C911841AD0F3EDA25535841699A8233FE9018410D9C8C1B2653584150814833F69018419F35BE3E2653584117D0E18FEF9018417E6D315326535841ECB04529E7901841E3AC966926535841115794D7E0901841A740F96F2653584180ED8C52D390184101A7DC732653584138A8FAAECE9018412881136E2653584104057B9AC99018413B3D94592653584110E3439AC4901841FC250E372653584116C50CAEBE901841E5E0B0F725535841758D377BB2901841F549705D255358418EF6397BAF901841BA265F3625535841C8C21FC39F9018416B42772D24535841680C56489D9018414FB338FA235358415EA3350A9A9018413A1C1EB523535841E96B15F693901841FD0D9722235358416A06FA0A8C9018419224FA6F22535841E98EB51E7B901841D878A0E020535841DEEF642975901841B1CEEA61205358410A276A9A709018414330F80F20535841DA40405C66901841CDB5C8951F5358418532E133649018416F1C597F1F53584144E3490061901841E873F3681F535841D862F6E15B90184149DC9E501F535841B1504E29579018417EAFCF331F535841A477FA9953901841593D2B131F5358410973640A4C901841FCBA5ED61E535841E5B4B97B449018415E97BAA51E53584172215C5C3D9018413825A0791E535841F725D08535901841FFCF7B541E535841CFF439AE28901841ECD2B1271E535841D7469DC22290184193B15C1F1E5358410C61CB1EFB8F1841DE3602F01D53584191AE87C2F28F18416CCE0AE71D5358415F22F466EB8F184102BD63CF1D53584147C8DC85E38F1841FAA455A81D53584154BB84D7DC8F18413B68B87E1D5358417C8E4ECDD68F18415F7C743D1D53584119A45CA4C18F184151B384AB1B535841C3859DD7B58F1841A26627DC1A5358416DDCE03DAC8F1841FF6E92521A535841B67EFCE19F8F1841ED434DD119535841DBAD2F71968F18419F97158E1953584162E1E7EB8F8F18416ED3BF5E1953584119F1A30A8A8F1841D5DCA7301953584198AA4D33848F18415B326F0D19535841896B687B7B8F1841494EAAE7185358419A0988CD6D8F1841C9072AAC185358415498B670698F184118733D9A18535841208F16855E8F1841F8021077185358415B77771F4C8F1841A5F14D5118535841A521E0EB3A8F1841474CE82A1853584163BA2E711C8F18412A90B2FE1753584138810F670B8F1841161856E8175358419B1DC847048F1841EDBF67D6175358414E8218A4FA8E18410756BCAE17535841F0FF079AF08E1841A6E6AB601753584147A73A7BEA8E18419369832B175358411D4BF45CE48E184136789FD9165358416FB47115E08E18413AD99D791653584148B6AF3DCE8E1841B15707B71453584188ACDDF5C98E18415CD24C681453584196D46FCDC68E184164110F3E145358414B599852C38E1841AA911117145358411161D5E1C08E1841979C8802145358413069861FBA8E184184A821DC13535841BA187985B88E1841546A88D2135358419AFCDA8FB78E1841628ECCCC135358419C4A8E71B48E18410034E8C113535841ACDB8EE19E8E184148B2F27813535841C6ABA599868E1841F2B0B21E13535841A5E2BF477B8E184128602BBC125358411AAC4AE1718E18410061636612535841DD9289E1688E1841B503310C12535841B6B63FC3528E184164CF0410115358411237888F4D8E1841C376F2D1105358414EDE4515488E18416328E67A1053584138B365293C8E18416A3F97C20F535841E9DB71F6328E184110CCB42E0F5358410ED84EC32E8E1841F0D24D010F535841846BF3CC288E18410DAD2EDC0E535841E6BBCEE1268E184128614AD10E53584146EA4C5C268E18418911C0CE0E5358415743F25C258E1841DB7728CC0E535841C7183248248E1841B91A38CA0E535841A50A7948228E18417D9D7FCB0E535841CFE2CE8F208E1841EF6A5BCF0E53584101B908521E8E18410BE691D90E5358419C5C2BD7EF8D184137DF8FE20F5358415E750634DF8D184192453943105358413FCDEF33D08D184149CA899210535841E32C2967C18D1841AF5ACAD51053584175FF9DCDBC8D184198A950E8105358410D4AFE14B78D1841E4D254F81053584197CB750AB18D18410D87EF011153584136E55390AA8D1841BCAF8B0B11535841A3681185A78D1841065DE10A115358418FCE38C3A48D1841023D500811535841E7DB3871A18D1841C43CA700115358413DE3E18F8F8D1841A36C8FC210535841821DBB70748D1841F0113353105358412C43DDEB518D18412674A1D90F535841FE2E3767348D184171BE2F7C0F535841432FC0B8308D18417C4F89720F5358412DA2BB66288D184137AFA0690F535841976FB766208D1841CAEFB4670F5358419848741F1D8D1841881793690F535841FBF0AB70148D18418F8304700F535841B3180EEC0B8D184199C872840F5358410EF9CA79048D18413BFD0A9F0F5358412C79000BFD8C1841AF5BBBB50F53584196FF1F3EEE8C1841BAF9F1F10F535841DA868466C78C18411546F5B810535841680B5CE1A58C1841220BE58A1153584172003E00B78C184120F7424A15535841F15BD514C58C18414BF65E8F1A53584158CF9490C98C1841112F4CC91B5358412E91B3C2D38C184118CB87EB1C53584121D8FFD7FD8C1841767EE7DA1F535841AB7A225C098D18417BF1782421535841E324C87B0D8D184161E6E871225358410D54D5A60C8D18418726E4DE2253584149FB2BF6088D18410DA87374235358416C035B66048D184136366DBD235358412A3162A4F98C184126E17DEB235358412E196C15D58C1841F654234C24535841565BAB3D898C1841A59067562453584196A94129798C1841B5A9CE8C245358411AAFF0C2708C18413D8B4FF824535841EF878FAE6D8C1841B7E1896B25535841E326A0D76F8C18413EB02DD325535841CD27D5A38E8C18418C0BA95028535841DC9780009E8C184159FCE2CA2953584153863848A48C1841023ACACC2A5358410062807BA68C184178C475F42B5358418EB993A4A98C1841F2013B432E535841D39E9FB8AE8C1841A2DA875B2F535841AE306B0ABA8C184153FD149E3253584116261567BF8C1841C022FB2833535841368DE0F5C58C184193C99F8033535841F781650AD08C18412004D4BC335358415C76BB0AE08C18417CE696C233535841A741309AF68C1841CAD9BAAE3353584100770E86148D1841B473E98A335358412074379A368D184196CF362A335358415A874A7B4A8D184138970A0733535841120BFC66618D18411B019E4033535841F8566D1F7C8D18411171B427345358415FE3D314958D1841AE4AEEB1355358412C854D90CA8D18419217F80F3B535841140CC266D98D1841451D63363C53584146E7693DEB8D18417727802B3D53584117D463C3028E1841DE6D6EF63D535841F3C83F7B168E1841B91680EB3E5358413E853FEC3D8E1841AFCE781D405358416015768F618E184144ACB8EE40535841B3E4CEF5758E18415957C96C41535841E2F6983D888E18417E9BB15E42535841215ABE29978E1841F848F8BF43535841079E4F1FA68E1841DA75FA48455358418E648B29BB8E184153A3148E46535841DC7C95D7C38E1841D5F9314347535841B29C41AEC78E184124E71ED547535841646C9EEBC88E1841FBC7E38148535841CC319CC2C68E184143BAA62749535841A81968A4B48E18413EFAD7734A535841FE2D9AA4978E18411B884EA84B535841E121ACEB858E1841222F12A74C5358414B7DDE29818E1841D095AD574D53584174346733808E1841FFC799F94D535841BCCEC047858E184108D16B0D4F53584171FB38528B8E184182E3059750535841E56100908D8E1841CB1407E7525358411DBF07488F8E1841D378919253535841069BF228988E1841138A8752545358415B4611C3A28E1841AAB7E8B15453584186DED0C2C48E184109BAB13E555358412BB586C2DA8E184136951A1555535841398369B8018F1841A8B5B47E54535841C8F15E661B8F1841B0086C5D54535841CFB53F522A8F1841185B69D654535841FB610C86328F18418E95956255535841A9F9DA29388F184141ECD50356535841F1CACEA3398F18414EBBB03E57535841EAC3CF3D388F184168A216CE58535841BCA175002E8F1841B735F9BF5A5358414501A2B82E8F1841455FC9655B53584160352A00358F1841FD7F07E05B535841DF33447B478F184196955D3F5C5358416AC9D37B538F1841EBEF8CB25C5358419B994BEC618F184117C41FF55D535841290B0DE2758F1841ACE8D61360535841FF60039A828F1841317321BC64535841B555ABF6878F184149103A5A655358417586A714938F1841873F1BC565535841B00BCAEBC58F1841AE054E9867535841FC879E3DDD8F18411D87D4C368535841C52D8100E48F1841148B80D4695358411563FF14E78F18411B55F0886B535841C0C74B1FED8F1841A2817D446C535841139C0490F58F1841EE6ED5936C535841ADC11DCD069018416B7D57CF6C5358411813C48527901841520129CC6C535841CE3677F63E90184156B88CCB6C5358418237ADF64690184170C258E86C535841C06A5E006890184185E26BE66D535841D55055717A901841144401406E535841979A340AA19018414E3073846E535841D1336B9AC69018413342FDF86E53584193F28048DC90184129C14A316F535841258B6E52E79018411045E5316F53584143A4950AEF901841AAC5C9056F53584112627CAE069118415CB019856E5358414ACC39E2169118412E56615F6E5358414BDF5A852491184156F07E646E5358415F00C8293891184155CDFFBF6E535841BC00247B4991184188DA435A6F5358412E1CE3296791184157F3F91871535841DC871600809118415F0205C7735358410F846D2986911841A8471C4576535841C124C3F5829118412D4350E877535841082374AE7F911841861E424A795358411A68A8F87E9118418274F1467A535841BA00BA1481911841ECCED4E37A535841488E5E488891184184954E087B535841D4B2792990911841AB10FAC87A5358416210D20096911841A669F3787A535841720BA2AE9D9118415D14F4187A535841850A5771AA911841538234037A53584198DA0415B191184165F7A7707A5358414FBD7700B59118418226E30A7B5358412DFDC470C19118410CD9F5D87C535841390E1048CD9118415B2E3F6A7D535841B9157514DB9118410C5A103E7D5358413EA300D8E19118419DF45A1F7D5358415AA6B133F591184132CD722D7C5358413FD72C713292184157651ED57A535841E3C77C3D50921841059089B27A535841FD8E7F486C921841A1337D847B535841F740D51E809218415C30B4FE7C535841718D8D33969218419956854B7C5358419FFD66E1C0921841ACEA05C77B535841DEDAA533DD9218410305EFC87A535841602867392F931841D8CC9B1279535841237A5FDF7C931841136B8A7E78535841ABE8E7BFA9931841D6ABDDD07753584155A8DC9816941841D73C608379535841A471433E3A9418413C51C3B57A535841DBC05DCD4894184151DF370A79535841CDF1E61E889418412CAAF4A876535841F0DA4C355E94184193C03CAB76535841841727D024941841E8BD3D3F76535841470108A2C6931841233D2CEF74535841BBFC2CD1AB931841F30F818F74535841C6CE43046C9318414A4E9C7272535841F83C591F2293184102EAC56A72535841876E533B229318414733447372535841739C8939EC921841EBEAE328745358419ED72B59D7921841C72AE036755358418C8532C591921841B703D93C74535841368F9892739218417FE5261374535841D0D9D1003B92184170C0E3D673535841ACA832301B921841BE1E42CA715358415877CD5C109218415E324CD76E535841F2A0D187F5911841930A9E436C535841DA25110DD791184100003F636A5358410B3E246FAD911841E1689AB1695358417C734D08809118418273528469535841D9C675A052911841136E2B5769535841BA713D46299118412D82105368535841D4F1B8C003911841E27DE27A6753584104A9FED2E4901841640F43B265535841CE4B52AEBA9018410F2A915C64535841ED7DE350939018410C9F30D8635358413C5CE3976A9018418E896BE464535841D9CD41654790184101B554AC6353584123D172AE2D9018419A52302F61535841B399D97A1C901841978281CE5E5358418809B5FD0890184167EFC9345C535841FB28A451E98F1841E3CC57265A5358416213973DDF8F1841DC5734795753584102ABDB5DCA8F18410447E47654535841002B452BB98F1841F4E0241652535841E69D5F3AAE8F1841113B97A44F535841DB91476F978F1841DE7910834D53584164E41A76718F1841D9C03D1E4C535841677E7C26518F18415F549B914A5358414050A03A308F1841A4B8E7ED4853584171A4B87E1A8F184116CD91CB46535841C40B9F391F8F18412C71B93544535841B8CABBA01D8F184194C32599415358412C8C7C3C068F1841DA0EAE603F5358419C8CC991ED8E1841FBE5BAE23C535841751A7EBFCD8E1841B6AD56A53A535841CA4A21D4A38E18410CDD0F963953584171B2E72A708E1841D40032D538535841294EF1E2498E1841EF0032B7375358415AF679082E8E1841DD728CD435535841141B403F148E1841A27284E4335358417CE40285F38D184168A4F1D63153584126F78AC1CF8D184179CD08EF2F535841D80E1440A68D1841DAE71CBC2E53584178344AD47A8D1841A0A20A6A2E535841C44F319D508D1841BE5875A12D535841096C47A02F8D18417B2D69E62B5358415C2AC8F0428D18417A01502129535841935A220D5D8D18418590004B26535841172A727B648D184187895ACA23535841EB540DA0668D1841B83E3B4221535841963233A4578D18414ABF755E1E535841C0D9DBD34D8D1841F765FC5E1B5358418AE395D75A8D1841C359FD9E18535841246781CA768D1841ABD26519165358419B168A259D8D1841F2084F61155358418162F444CE8D18417ED645971553584101E4855EF78D18410BC946001553584131C5AACC1D8E18418B0CA95F14535841FE488491478E184116F4A3E4155358410AFF6FE56B8E1841577C5433175358412B85B22A978E18411F830AFB175358411A8ED604BF8E18413E37C41719535841151A87E1DE8E1841F77A57BC1A535841B40DBA2B098F18410D8C559C1B53584157A6105F318F1841E09C9CD91B535841924403B55B8F1841CE82547C1B535841C516AC3F828F1841CCC5EE471C53584162D23FF9A88F1841706BA4F21D535841A1F7DFF0C48F18410DFF66F81F5358410C86D0FBF58F1841160E5ABB205358417070BBD65D901841E7EA499821535841276B3996719018419B7500842453584181189E8B9990184156E74DC527535841BCD01884BD901841741C82A62D535841F381AD2FF690184156EA4F7F3453584138E7ACC21991184155077B4B36535841068703E11C91184188ACA94F3453584127DF44B319911841B99977FD325358413B9CB0FD2A911841E298253F3253584139A4AE17459118413E035C0D30535841DF75DDFB44911841A24CA9452F535841179CC57033911841C679E1682E535841C1DF5BC219911841BB959C402D535841C790027FFD901841BE738B812B5358416AD830E1F190184180E98D2A2A535841555339970A9118410180903428535841DD0B31CB2C911841389D35E726535841B5FA9F945D911841F230EE492653584100AEED2884911841CBEE40F12453584187BCA0B3A8911841ED2928DC235358410DF419E1C69118417A4B458522535841CA727F42E991184191F8742D21535841150724DD0A921841D7AF351521535841554B381836921841AB601DCA2153584190B6DE9A5C9218414EA1138A225358416930ACE380921841658BEFCC2353584185FA90E5AB92184160B3B74224535841463DB353D3921841293C01C924535841FF1DFACDFB921841B349B3E12453584176CA349A069318417E72AB2025535841</t>
  </si>
  <si>
    <t>M33k</t>
  </si>
  <si>
    <t>31247.78</t>
  </si>
  <si>
    <t>01060000206A08000001000000010300000001000000A0000000876E533B229318414733447372535841F83C591F2293184102EAC56A72535841C6CE43046C9318414A4E9C727253584171E8FB728A931841E43A9D7473535841BBFC2CD1AB931841F30F818F74535841F3E0D53EA69318419300BC4D6653584143AE6C17C99318412045341F5E5358411004A046F6931841E6072DA85E53584142CC25FA0B941841F910798254535841CD3E57E80F94184100092ECD49535841AF5B6AF3459418413CE105BC475358415C7F5DD62B941841F9B56DD039535841419CF8455594184132BC1C313253584119043E3A67941841F363AADA25535841ADB3600A3F9418414182AB5021535841D7B397E13C941841945C4551215358411F9C449A3B941841BCF733532153584180DCEEF52C941841BF7B6E86215358412971EBA3299418411891E79121535841EDE0201F299418415ADAD79321535841F7A28400299418418B8F80942153584136C9D5EB259418410BBE28AC21535841DF0C6D3D0F94184126D2555822535841AC9896700A941841BAF4727D225358415D4EB3E1FF931841740FB3D722535841E4E921AEFE9318416120F0E1225358411E9A1271FC931841265A07F722535841FFD5A266F9931841FF7124152353584127ABAA66F2931841661A385A2353584157BADACCEF931841816AED71235358419E629700EC931841A4E20C8E23535841F22400D7E39318417349E8C123535841ED98CFA3E0931841ADCF76D423535841027C9FD7C6931841B2858D5224535841563A4ED7B29318417D6D55BF24535841F89850E1AD9318416957CBDC24535841B8D929AEA6931841EB834E0825535841481507489F931841BBA2873B2553584111B50A29729318411BB799A926535841A2F12C3E6B931841EEC95EDF2653584186FE5DF6689318418FA644F126535841B350AA2966931841C0FF760427535841F96D15C362931841BA1AC615275358410638CFCC5F931841F0A5B11E27535841240147905A931841369B2D2327535841ADAF9AF656931841E7CFE52127535841D61A611F4E93184112A4E711275358414B074A004D931841811A550F27535841DCBF78854B931841DF52FA0827535841D437F5B84393184109E2F2E826535841C738E8663C9318416C3403C02653584162C70FA43393184177215F8F26535841635F8466239318413F47141E26535841EEBF163E15931841DE07A7B72553584103DF6BAE12931841DDBEEBA125535841DD2D728510931841F7E11B8E25535841DEC97A1F0D931841CFE999692553584176CA349A069318417E72AB2025535841FF1DFACDFB921841B349B3E124535841463DB353D3921841293C01C92453584185FA90E5AB92184160B3B742245358416930ACE380921841658BEFCC2353584190B6DE9A5C9218414EA1138A22535841554B381836921841AB601DCA21535841150724DD0A921841D7AF351521535841CA727F42E991184191F8742D215358410DF419E1C69118417A4B45852253584187BCA0B3A8911841ED2928DC2353584100AEED2884911841CBEE40F124535841B5FA9F945D911841F230EE4926535841DD0B31CB2C911841389D35E726535841555339970A91184101809034285358416AD830E1F190184180E98D2A2A535841C790027FFD901841BE738B812B535841C1DF5BC219911841BB959C402D535841179CC57033911841C679E1682E535841DF75DDFB44911841A24CA9452F53584139A4AE17459118413E035C0D305358413B9CB0FD2A911841E298253F3253584127DF44B319911841B99977FD32535841068703E11C91184188ACA94F3453584138E7ACC21991184155077B4B36535841F381AD2FF690184156EA4F7F34535841BCD01884BD901841741C82A62D53584181189E8B9990184156E74DC527535841276B3996719018419B750084245358417070BBD65D901841E7EA4998215358410C86D0FBF58F1841160E5ABB20535841A1F7DFF0C48F18410DFF66F81F53584162D23FF9A88F1841706BA4F21D535841C516AC3F828F1841CCC5EE471C535841924403B55B8F1841CE82547C1B53584157A6105F318F1841E09C9CD91B535841B40DBA2B098F18410D8C559C1B535841151A87E1DE8E1841F77A57BC1A5358411A8ED604BF8E18413E37C417195358412B85B22A978E18411F830AFB175358410AFF6FE56B8E1841577C543317535841FE488491478E184116F4A3E41553584131C5AACC1D8E18418B0CA95F1453584101E4855EF78D18410BC94600155358418162F444CE8D18417ED64597155358419B168A259D8D1841F2084F6115535841246781CA768D1841ABD26519165358418AE395D75A8D1841C359FD9E18535841C0D9DBD34D8D1841F765FC5E1B535841963233A4578D18414ABF755E1E535841EB540DA0668D1841B83E3B4221535841172A727B648D184187895ACA23535841935A220D5D8D18418590004B265358415C2AC8F0428D18417A01502129535841096C47A02F8D18417B2D69E62B535841C44F319D508D1841BE5875A12D53584178344AD47A8D1841A0A20A6A2E535841D80E1440A68D1841DAE71CBC2E53584126F78AC1CF8D184179CD08EF2F5358417CE40285F38D184168A4F1D631535841141B403F148E1841A27284E4335358415AF679082E8E1841DD728CD435535841294EF1E2498E1841EF0032B73753584171B2E72A708E1841D40032D538535841CA4A21D4A38E18410CDD0F9639535841751A7EBFCD8E1841B6AD56A53A5358419C8CC991ED8E1841FBE5BAE23C5358412C8C7C3C068F1841DA0EAE603F535841B8CABBA01D8F184194C3259941535841C40B9F391F8F18412C71B9354453584171A4B87E1A8F184116CD91CB465358414050A03A308F1841A4B8E7ED48535841677E7C26518F18415F549B914A53584164E41A76718F1841D9C03D1E4C535841DB91476F978F1841DE7910834D535841E69D5F3AAE8F1841113B97A44F535841002B452BB98F1841F4E024165253584102ABDB5DCA8F18410447E476545358416213973DDF8F1841DC57347957535841FB28A451E98F1841E3CC57265A5358418809B5FD0890184167EFC9345C535841B399D97A1C901841978281CE5E53584123D172AE2D9018419A52302F61535841D9CD41654790184101B554AC635358413C5CE3976A9018418E896BE464535841ED7DE350939018410C9F30D863535841CE4B52AEBA9018410F2A915C6453584104A9FED2E4901841640F43B265535841D4F1B8C003911841E27DE27A67535841BA713D46299118412D82105368535841D9C675A052911841136E2B57695358417C734D088091184182735284695358410B3E246FAD911841E1689AB169535841DA25110DD791184100003F636A535841F2A0D187F5911841930A9E436C5358415877CD5C109218415E324CD76E535841ACA832301B921841BE1E42CA71535841D0D9D1003B92184170C0E3D673535841368F9892739218417FE52613745358418C8532C591921841B703D93C745358419ED72B59D7921841C72AE03675535841739C8939EC921841EBEAE32874535841876E533B229318414733447372535841</t>
  </si>
  <si>
    <t>M33l</t>
  </si>
  <si>
    <t>99464.14</t>
  </si>
  <si>
    <t>01060000206A080000010000000103000000010000007A00000043AE6C17C99318412045341F5E535841F3E0D53EA69318419300BC4D66535841BBFC2CD1AB931841F30F818F74535841841727D024941841E8BD3D3F76535841F0DA4C355E94184193C03CAB76535841CDF1E61E889418412CAAF4A876535841651624F6C29418415036113774535841A58A9C66F3941841B628DF7372535841DC2978EC15951841190D9CF970535841CFD4B45C429518418AA6ABC06E535841D78ADFE18695184159D4C2356A535841CC4D5B5297951841346D58786953584117DBBAE1B39518418F43E671685358419DDE171FEF951841F6D3162567535841B3C82A5229961841F48FAEB7655358417A7F7B002896184124B7B337625358412D87311F299618413B4A0B975F535841E247E7852F9618418F6460E65C5358417DB00E482B961841BCEA7A1458535841F31C8D3D2F961841C6742B8C54535841556E149A3B9618415680607650535841110A9AA44E9618419BB1E07A4B53584133753FC354961841EB4B19AE48535841D6EDCA52579618417055E9414553584182F8558F60961841F3BB9C304253584149586F48719618416D2E4B183F5358416D35CB3D82961841C4B4C9053D5358418F9E28F6AC96184139A5ABA73753584184EC9033BD96184169B7A2D03453584188BA2534EB96184155D791C92E535841300F1E29E59618411DF461962E535841EB4DB17BE19618414C2E99792E5358412CB376AEDC961841BC185D4F2E53584191C63B1FCC96184166A1F2982D5358414A8C77EBCA961841E46C4F882D535841531A6215CA961841A8B7E07A2D535841E4DEE0AEC79618413BA567462D5358413F2B3215C79618418E49EF382D5358410144B999C69618413391B52E2D5358418CBC3429C6961841A8A58E222D535841877D85A4C5961841A13BF0112D535841873B2200C496184157EE0CCE2C5358414C874FE1C196184106CB33732C535841A7D94600C196184164C97F542C5358411831F500B896184158D0D07C2B5358412AC7EFD7AC96184145262D932A5358411174B014AC961841C4B24A882A535841B509135DA79618411407F3512A535841C4E408B99E9618411DF6B84E2A5358414BF7C9D79D961841662FBC4E2A535841735B50C39D961841D874BF4E2A5358413A3D36CD9896184165FF1A652A535841D0887EC392961841D457A0802A5358419B5455D78D961841703A1F952A535841FB789CEB879618414C3B8BB22A53584142A704D75F961841BDD42D9C2B53584107C6B7A45A96184187CA40BA2B53584115C7842958961841660D81C42B535841A0C5FCD752961841C23489D22B535841253D6AD74E9618418AB3DADA2B53584198EFC2664C961841CF8F9EE02B5358410C72403E4B9618417D0E2CE32B535841CD5F8A293B9618419051DCEA2B5358417AE60771399618418EA147E92B535841B73E280137961841A20A1CE72B5358413A2FB7CD3496184112F117E52B5358415B4F05A4329618410EF7FFDF2B5358414AAF68C32B961841DE5FF9C82B53584144FACC0022961841789C94992B53584121029A0A20961841ECB0F98F2B5358415821DB141D96184171C5297C2B5358413CCA4367CD951841AD3021CC28535841114FF9D7CB9518415D8263BF285358416406BDEBC8951841AB236DAD28535841F640B0F6C095184146E9C87C28535841A03C0848BD951841340A856B285358418F25F0CCBA9518418BC59C6928535841C3ED50C3B7951841930BC96C28535841E948D670A2951841B0A7AC97285358414CDDE1E17A9518414791A6D728535841542AD0A378951841CBD49BD9285358411E9DAF1E76951841EBCCFCD82853584178B22CEC5795184109AE63D628535841A216C22951951841EFDABDD5285358417B1D578F4B951841648857CF285358417A2A091523951841B678328328535841F3B8AC7020951841CBF7547F28535841ADE897AE1E9518416B74847B2853584122CADC66FC94184194B3CAEC275358411699C585F4941841C3B522CC2753584175E81648F0941841946E04B02753584174F2AB33E9941841D12F867B27535841802B271FE2941841A9F9FD3F275358411725CC14DD9418414168DA0A275358419C90BC0AD694184113E00FB72653584147D1E40AD2941841A551DE8326535841ABD4FEB8CE94184170B363562653584179E57A7BCB9418412464522826535841B62FC170A99418419DD904F0235358413B3BFF66A2941841BD81167E235358414F820C2995941841E3300EBE225358412D506C1F909418412C1B437A22535841843A48158894184172FB551F22535841FB0F025285941841B849030722535841DB368BC2829418416AC3F5F82153584110DBD4D77A94184189E159CF21535841B851150B74941841DEE6ACA7215358418E0BDA997094184112395F9621535841A87129F6699418419C61928221535841FFD4D49960941841665DBC6521535841B3D0BF7B5A94184195CE835B21535841839278B857941841009D635621535841C9DA4E5C4F941841511C765421535841ADB3600A3F9418414182AB502153584119043E3A67941841F363AADA25535841419CF8455594184132BC1C31325358415C7F5DD62B941841F9B56DD039535841AF5B6AF3459418413CE105BC47535841CD3E57E80F94184100092ECD4953584142CC25FA0B941841F9107982545358411004A046F6931841E6072DA85E53584143AE6C17C99318412045341F5E535841</t>
  </si>
  <si>
    <t>M33m</t>
  </si>
  <si>
    <t>42906.30</t>
  </si>
  <si>
    <t>01060000206A080000010000000103000000010000000500000016E55967D49C18417864DB532954584195F36AECD19C1841AD5BB8BE26545841F733D4339B9C1841EC0A6EF626545841984F7A339D9C1841EC5C8DA22954584116E55967D49C18417864DB5329545841</t>
  </si>
  <si>
    <t>M35</t>
  </si>
  <si>
    <t>2000000M0035</t>
  </si>
  <si>
    <t>145.00</t>
  </si>
  <si>
    <t>01060000206A08000001000000010300000001000000050000004A3DC0F1EC991841058C2B3C9B53584146101857FF9918418B7E7B9298535841E081FEF6DB99184169DA0E9E97535841AFCEA691C999184138EABE479A5358414A3DC0F1EC991841058C2B3C9B535841</t>
  </si>
  <si>
    <t>M42</t>
  </si>
  <si>
    <t>2000000M0042</t>
  </si>
  <si>
    <t>111.76</t>
  </si>
  <si>
    <t>01060000206A08000001000000010300000001000000280000007762ED8507991841AFDF4FD1645358413FF78F5C81971841231E6C5657535841FE5B3BD7829718410061DCB3525358410C02363E81971841B54BAA9052535841B20DB5F67E97184133A12C1C4D5358417447C03D7E971841453F75044C535841389DE55184971841B810B28E465358410A7707716C97184185A67C943A5358412C15C070559718411AE86F1D31535841C398AE3D4A97184142ADEEA130535841A2DC3071FE961841CB21F2F12E535841665C5652F9961841E57934232F535841B984DDC2C8961841D98BF99F355358414C2D860ABA96184117D60577385358410DFBD63D7F961841FB3B9C19405358415CF1ACEB71961841A5CFC455425358414B36577B66961841910A638F44535841838E56855F9618414DD8E4E14B535841A3EB885C459618416CBABB6553535841EA631B523E961841548B0CFE57535841F6633DE1409618417CFE25A55C535841CF0613CD38961841453E2D1360535841820AAE7038961841100FC1E5625358411BB687F63996184185607F6B65535841FBB2D1855B961841E007FAB8645358413A93397180961841131ADC5364535841FBD42F90B99618419CF38A426453584117582C67E296184195511EE563535841CF258CE12F9718415243DFF363535841B5BC31A4709718412705687663535841E8D14590AD97184190FF81B462535841AF7D5B67C597184150AD708D62535841F7D7B2F6FF9718418C82DD9A62535841A33557852E981841C7267F1463535841A69408F660981841339E718D6353584117AF3D5C87981841F1C4879B63535841CFC726B9B59818414FAFE88A6353584153D4ACF6D3981841237BBEE563535841733FE10AF698184187A32CAC645358417762ED8507991841AFDF4FD164535841</t>
  </si>
  <si>
    <t>M43</t>
  </si>
  <si>
    <t>2000000M0043</t>
  </si>
  <si>
    <t>15785.42</t>
  </si>
  <si>
    <t>01060000206A080000010000000103000000010000001A000000022E69B810AA1841C2648CE2805458413B5BD0001EAA18413142D49C7F5458417EB1173432AA18416FD2BE0E7F5458419118863350AA18410D45541F7F54584114C0B13D96AA184179613D6A80545841A62E8C85B8AA1841C08FC26572545841FA15519ABEAA1841D72BE6017154584156300BCDC5AA1841C6016EC66F54584167709333CFAA184107ACF0A86E545841F77332909EAB18413F1F2D6C59545841D2860A7145AB1841DD4B0D77535458419B06CC990BAB184135B8F2914E5458414F8D083ED5AA1841BD1E4A784A5458417906B3E173AA1841CFFA53A84254584187CB648527AA18414C53129E3B5458410AF1222903AA18417251D1CC38545841B85C4248D1A9184190E15628365458413D19597BAEA91841A3254FF13354584186E89B5C8FA9184156A68E8232545841F815963D76A91841E0650BC731545841C1A2286745A91841CBC62405315458412B14990A31A9184152A2787D30545841F26E4DC3EAA81841D84FD1732D545841051A31D739A91841276C56D84954584196E54531F7A9184154E9BAA981545841022E69B810AA1841C2648CE280545841</t>
  </si>
  <si>
    <t>M48</t>
  </si>
  <si>
    <t>2000000M0048</t>
  </si>
  <si>
    <t>27242.88</t>
  </si>
  <si>
    <t>01060000206A0800000100000001030000000100000023000000D36666E117AC18414B5721AC09545841632A491FFFA81841D6896A5606545841DA6104D789A71841F388A189E65358410F45163EBEA618416699F95FEB53584125F2B9479CA61841764A4701EC5358415AF53990ABA61841F71445B1ED5358413A262D48B9A618416F3EA0B9EF535841F31DE885C8A618413C96DEF3F2535841B375D9A3D1A81841F28A44512454584167359A14E5A81841166A0C472B545841F2F49B8507A918417BBF5D1F2D54584125CF4F0A2CA918410E79CCCC2E545841AFB892AE49A91841C98744CA2F54584165266A3D59A91841AF104F11305458411BC119F67EA91841147ACF5C3054584146BFED1E9BA91841F83D39433154584189185148B5A918415CAD9F79325458414F8E99F6E3A91841F0D47C743554584181F5210B09AA184127D8BF5E375458417E8AA7331CAA18416EF9DF9A385458415BD4C24734AA1841726B577F3A5458412672EFA387AA18419649485142545841C9E01026DAAA1841B6F6E30249545841EF8DD99301AB18419B0B29FC4B545841B0828A7B22AB18413393AB604E545841B59298F65CAB1841933D563F535458416638661FA5AB1841A1A1553F585458417F8BFEEBADAB1841369C88B2565458419E3F50E1B4AB18410FCA300354545841EC3BC57BADAB1841E99E2E53535458412F7CD052B6AB1841229C50E8525458417C6BC129CEAB18417AE9B2974254584103389AAEB5AB1841572D41E13E545841F1977352D4AB184124684B283E545841D36666E117AC18414B5721AC09545841</t>
  </si>
  <si>
    <t>M62a</t>
  </si>
  <si>
    <t>2000000M0062</t>
  </si>
  <si>
    <t>58795.74</t>
  </si>
  <si>
    <t>01060000206A080000010000000103000000010000000900000048A94190BCA6184169F592D01054584146CBC8F9DBA5184134C5009C135458417027CEF733A51841D875AF8B1554584152A276B006A51841720F4686185458411D17A2AB09A518418EF680711D545841635A27920BA51841283F4394205458411119FF5C19A71841E19004B01D545841BB539048DAA61841B9C70EF01454584148A94190BCA6184169F592D010545841</t>
  </si>
  <si>
    <t>M66a</t>
  </si>
  <si>
    <t>2000000M0066</t>
  </si>
  <si>
    <t>5760.96</t>
  </si>
  <si>
    <t>01060000206A0800000100000001030000000100000010000000635A27920BA51841283F4394205458411D17A2AB09A518418EF680711D54584152A276B006A51841720F4686185458417027CEF733A51841D875AF8B1554584146CBC8F9DBA5184134C5009C1354584148A94190BCA6184169F592D0105458411EF8BAC2CEA51841DC512BD3EF5358419D067AB881A318416ABB9152FA535841C502FE3394A418415F5260D63A5458414F96B927D0A418416A45585D38545841EF4F13F60FA518419E1683BB35545841CD57773331A51841FD1E8B6234545841D624226CE5A41841B64194C6285458416FAA761FB3A41841078A461121545841C97EB18EF2A41841F2747AB720545841635A27920BA51841283F439420545841</t>
  </si>
  <si>
    <t>M66b</t>
  </si>
  <si>
    <t>28352.31</t>
  </si>
  <si>
    <t>01060000206A08000001000000010300000001000000280000002EAB769CA19518414314BDE9A45358418BB7D4D72B9518417295EB6DA45358416AA6815ACB9418410AABE41AA353584150D369062F9418414EA8B8879F535841905A3EA6DA931841483B8A6D9D535841C6046B77A59318417DDD01DC9C53584105A581009D9318416D18DEF99D535841ACDFF09374931841DC50EC639F5358415EAD4812649318416037CFBCA1535841FC0FEC4C4D9318419AC5B126A4535841700ED3CC329318411ADBC5C6A5535841FA0BA6382C9318411E52F2DAA75358410A7540EB419318413BE3DF89AA535841B13D51604F93184122CA3149AC535841EC60C8AD789318411C28CEF7AE5358416588465C879318419F643CB8B15358410AA8D6FF83931841980F03BDB453584191D85EB18C931841579F18AFB7535841C41D1F78A59318416690BACFB95358414E9E241BD1931841627D3868BA535841C005780601941841FF52A8CBB95358418A5C389F289418415862E4A8B85358412BB38CCC52941841DEF350C1B85358410BD0AED2889418416AF30A2EB953584160BDF011B69418419856FF23B95358414A4CBCB1DE941841C24A83BAB8535841A18D61AA05951841F5968CA8B7535841A6FABBBB3095184159D613F2B6535841AE2FBDBE609518414A9D28D6B5535841F078F0B88A9518413D6065BBB45358412050CADFBB951841CCBFF93FB45358413A8ADD5DDE95184154C1EA88B453584137FB53D1D89518417B937D20B75358411F2613C31E97184193B7BA7EB1535841DBB2D2E13297184176B7FA2FB0535841D00EBAEB2E97184183938ED2AD5358415DF0ED333F971841588DC9E5AB535841678C355DAA961841EDC6F1C1A253584121C37C8D2C96184176E546ECA35358412EAB769CA19518414314BDE9A4535841</t>
  </si>
  <si>
    <t>M71jk</t>
  </si>
  <si>
    <t>2000000M0071</t>
  </si>
  <si>
    <t>19300.49</t>
  </si>
  <si>
    <t>01060000206A080000010000000103000000010000001E000000C6046B77A59318417DDD01DC9C535841905A3EA6DA931841483B8A6D9D53584150D369062F9418414EA8B8879F5358416AA6815ACB9418410AABE41AA35358418BB7D4D72B9518417295EB6DA45358412EAB769CA19518414314BDE9A4535841050332E32895184119D55EA079535841DC2D68B85A9418412B57E671795358418F61209052941841ACE0DB1A7A5358416A08111F4C941841136B731D7B535841B831573E3B94184168994BB17E5358414376AE70379418410B774F388053584132C821EC3394184106CEB4AE815358413BBEAFE1299418416889521883535841F5C4737B21941841F97973E4835358419DEB900A179418416CDCDB7384535841C36B6848E2931841429C74E4865358419F382FF6D293184172CA5E1F88535841603D0DECC8931841F6BF734489535841F4DE4FD9DD9318418B3E4BEE8A5358418972872EDE931841CE8D3B708C53584111CB8790D89318418F0501548E535841F743DF1FCB9318413FCB5E58925358415E4E276ECB9318412DF11FC29353584183D06CC8C2931841E59D728E9553584177568924C093184126043D41975358416CE3159BBA931841A9058F859953584121B9F688AD93184180DF87CB9B535841C0B4E2A6A7931841F9B533929C535841C6046B77A59318417DDD01DC9C535841</t>
  </si>
  <si>
    <t>M71jl</t>
  </si>
  <si>
    <t>Directive Habitat - Vallï¿½es de la Grande et de la Petite Leyre
ZNIEFF2 - Vallï¿½es de l'Eyre, de la Grande et de la Petite Leyre</t>
  </si>
  <si>
    <t>15103.78</t>
  </si>
  <si>
    <t>01060000206A080000010000000103000000010000005200000037FB53D1D89518417B937D20B75358413A8ADD5DDE95184154C1EA88B45358412050CADFBB951841CCBFF93FB4535841F078F0B88A9518413D6065BBB4535841AE2FBDBE609518414A9D28D6B5535841A6FABBBB3095184159D613F2B6535841A18D61AA05951841F5968CA8B75358414A4CBCB1DE941841C24A83BAB853584160BDF011B69418419856FF23B95358410BD0AED2889418416AF30A2EB95358412BB38CCC52941841DEF350C1B85358418A5C389F289418415862E4A8B8535841C005780601941841FF52A8CBB95358414E9E241BD1931841627D3868BA535841C41D1F78A59318416690BACFB953584191D85EB18C931841579F18AFB75358410AA8D6FF83931841980F03BDB45358416588465C879318419F643CB8B1535841EC60C8AD789318411C28CEF7AE535841B13D51604F93184122CA3149AC5358410A7540EB419318413BE3DF89AA535841FA0BA6382C9318411E52F2DAA7535841700ED3CC329318411ADBC5C6A5535841FC0FEC4C4D9318419AC5B126A45358415EAD4812649318416037CFBCA1535841ACDFF09374931841DC50EC639F53584105A581009D9318416D18DEF99D535841C0B4E2A6A7931841F9B533929C53584121B9F688AD93184180DF87CB9B5358416CE3159BBA931841A9058F859953584177568924C093184126043D419753584183D06CC8C2931841E59D728E955358415E4E276ECB9318412DF11FC293535841F743DF1FCB9318413FCB5E589253584111CB8790D89318418F0501548E5358418972872EDE931841CE8D3B708C535841F4DE4FD9DD9318418B3E4BEE8A535841603D0DECC8931841F6BF734489535841AB005215C1931841A97F1F258B53584152CD9685B5931841CD5DA2E08C5358412FF2B2A4AC931841E34F74B48D53584108CB8DF699931841FC542EA38E5358413EB74B2984931841BF6C7F7B8F535841B5BF3BB960931841637C3A0A905358410441F4F54F931841D5B0BF6E90535841C9ADA766459318412BD8A1F9905358413E25AB29409318410B9852E8915358411D44BE143C931841A802BBBE93535841F17E5E8F459318414C0963DF9353584123D952004D9318410B58FA2F94535841484982D750931841E73FB59E94535841037B0C905B931841D655FDAF96535841D9FF53C3689318419A6F15CE99535841155DBAAE6A931841B1F342C19A535841ACB714486893184123A6607F9B53584151A969A4599318415F2D71DD9C5358413C6CD0002D9318411EE7F608A15358410A62F1B8F49218413E5A9762A653584112CC6133EF92184148DA50F8A6535841CDD05929EE921841403701C0A75358415ECE300AF192184193418364A8535841A0809E5205931841F5F15528AB5358413D8472A44193184115EC4D78B35358411002C18545931841F8F86026B45358419B79E5CC5C931841B6B73D2ABA535841DBBAE0146A9318410DEA04D0BC535841A066DC8570931841F6C63B5ABD5358416D02B8D77993184193562EDCBD535841490BD6C27E931841EB5D130EBE535841E7E62567829318415B331B25BE535841F63CE029869318419B1B433ABE535841CF40C47B8993184187A6144EBE535841D18BBC668A93184187F24251BE53584112E10E489C931841AE36C275BE5358414FC72052B993184154282595BE53584151379733C793184199AC2DB3BE5358412BDE4915CF931841CC3F46D1BE535841C21BB5B8DC931841C06C1A05BF535841FF00C23DE993184102AF7F54BF535841E0FB4485F59318411CBDA0A9BF53584144FFD0334D9418412B661027BE53584137FB53D1D89518417B937D20B7535841</t>
  </si>
  <si>
    <t>M71k</t>
  </si>
  <si>
    <t>6156.38</t>
  </si>
  <si>
    <t>01060000206A0800000100000001030000000100000026000000DC2D68B85A9418412B57E67179535841050332E32895184119D55EA0795358412EAB769CA19518414314BDE9A453584121C37C8D2C96184176E546ECA3535841678C355DAA961841EDC6F1C1A25358415DF0ED333F971841588DC9E5AB5358413E91DA4C0E9818413D1106D7A7535841991DB8F23598184105513AE6A65358411C9D5AC369981841703A35E3A4535841D2D73171649818410C113693A353584152CDACEB4F981841D8B7169EA0535841ABCA820038981841018C597F9B53584166E18A8F22981841D6CB35CA975358412758D03D0A981841EA82B337945358418D5794AEF89718418B6FA5A09253584167784F90DE9718416310D1FC90535841CBF68C29A497184114F095B28E53584141BB25AE8A9718418602F2688D5358415D52CBF577971841C77CDDE38B5358410B66B0EB44971841BD85A2908653584126F368330B9718415A6AE7E181535841D0BF4CA4F9961841DB304ED87F535841CEC5D6F5DD961841B744B3A77B53584143BDDCB8C996184176F6545879535841BD2B291FA7961841391BEF817653584167E1589A8796184196D6805B73535841D0DE47C36096184168EB63366C5358415C0C0C7148961841F40EDFFA6953584167DE19522C9618418CC383CB66535841DB58880A1B9618414DFF1C15675358418A3F97F602961841C1B5F8DF67535841B94CAC8FAD9518412DC8FBAF69535841DE0E7D5C959518418DB43FD16A5358416F3249C34F9518411CE718656F53584188B991293595184181BD2005715358419FFE363317951841A5CD7D54725358417BC149C3EE94184157156CB673535841DC2D68B85A9418412B57E67179535841</t>
  </si>
  <si>
    <t>M71l</t>
  </si>
  <si>
    <t>32533.54</t>
  </si>
  <si>
    <t>01060000206A080000010000000103000000010000000F000000B4E1625D0D901841D2235D261753584185FABFB73C9018411A4BC0CC185358418DAE271D4D9018416EFC83FD185358419467E4916F901841B8E2B17819535841876D8A877E9018419AA84D951A53584139714DD68B9018417D4A11981B535841306A053F8F901841EDE84C341C53584103E7FCCD9A901841EB5A9CB41C53584126EEA5DFB6901841DFD1D39C1D535841E76527EC2491184154FF92B20C53584187481DD75A9118415AB69452045358411EE00CA4EF91184188EEB0AEED525841D23533003991184188B7C005EF5258414FEA41C3729018410E44675609535841B4E1625D0D901841D2235D2617535841</t>
  </si>
  <si>
    <t>M7a</t>
  </si>
  <si>
    <t>2000000M0007</t>
  </si>
  <si>
    <t>8484.18</t>
  </si>
  <si>
    <t>01060000206A0800000100000001030000000100000020000000B4E1625D0D901841D2235D2617535841426C4AC3FF8F18415B94A9001953584129E439C3E08F18414744780D1D53584152A7B929E68F184142925A2F1D5358418F007C66ED8F1841BC142F531D535841BE2A31D7F38F184173A74B681D535841169B41AEFB8F18419E26A4701D535841E8F3C97023901841ECB8F99F1D535841DCE699E129901841A0C3EDA81D5358415CB15A85379018416E8957D81D5358417D43FCF53F901841F0B5A6001E53584103F98D66479018419F64C02E1E535841A2C1CA524F9018417ED8E4611E535841CA76136757901841EACF93A21E535841A25C6E625A901841B34BDBBF1E535841D7BB59715E9018412810A7D71E53584114E2DFC263901841F9DA03F01E535841C1D41C0B68901841783F1C0E1F535841360650F66A901841CDB5CE2C1F535841445B150B76901841CB1A4AB11F53584158CD72527B901841FAC99F1020535841112603A481901841B413619620535841DD144FE196901841764DA6872253584126EEA5DFB6901841DFD1D39C1D53584103E7FCCD9A901841EB5A9CB41C535841306A053F8F901841EDE84C341C53584139714DD68B9018417D4A11981B535841876D8A877E9018419AA84D951A5358419467E4916F901841B8E2B178195358418DAE271D4D9018416EFC83FD1853584185FABFB73C9018411A4BC0CC18535841B4E1625D0D901841D2235D2617535841</t>
  </si>
  <si>
    <t>M7b</t>
  </si>
  <si>
    <t>1016.13</t>
  </si>
  <si>
    <t>01060000206A0800000100000001030000000100000086000000385DF6EED1A318413C5E269170545841A3BFA7B26CA31841068AF2FE6E545841DA083DDECDA218415AEBD7F86754584172FB2DD472A2184129480B0366545841ED6B397527A218415F2C8044635458414890D25FFEA11841236FCDED615458413A8893C72CA118412EDC575D625458418CF4A78E9EA01841C87A59E36054584158ECD6C571A01841A53507845F545841CEC4182118A01841FFA34AC05A5458417404CB4BDE9F184180AC0C835954584147E3A496819F18413CEB28C058545841A8A034D8549F18416533E5C7565458416EF5BEC20C9F1841B0904E2356545841F54DA9BFB19E184154844739545458415D79CC27929E184173341D4252545841495DCFDA199E1841A2DACF074C545841D2D103DE039E1841CB56E6EE485458412D9990D3E99D1841B48CCFAC46545841F54018188E9D184176462976465458417E3C54A91F9D18411AFF6C40455458413EAFA7479E9C18419B1903833F5458410CB71C2C709C1841CA6C32F13C545841FBC6C15E489C1841111051363A5458411E0CB7E2319C1841306103893854584134000548199C184192796D5B365458413F0E3C5ED99B18413B9EEEB53354584138FEA8DFBB9B1841152D622A325458416BF81558949B184194ED02B130545841F4B47EB16F9B1841A15E3E962E545841AC9FE24D2D9B1841FC7B81642E5458418AE973E5E69A1841D680AA332E54584188C3A859D69A1841941404B92D545841A07C557B959A1841ABE9B29733545841E25ADA47AD9A1841E9E4EC41335458418DDA6DF6C59A18419284740433545841DFD854B8E29A184108FAA58032545841AF27B65CF79A1841BD1CF06832545841B89FC299099B1841CD90AF7732545841F8E301C33F9B18411043A30034545841DD37C9006A9B1841C7176B6D3554584172E1C28FA49B18413E2FC7CC36545841D6B5D2A3C79B184178DA347338545841AC49F151DB9B184152D2F1783A545841DD42E500E29B184135570B273C54584145D8397BE39B1841942E41713D545841DF4B908FE29B184186CAD8C33E54584103D364D7E59B1841F3C089323F545841819610AEEC9B1841656326653F5458418B62B18FFB9B1841AF2580643F5458412F3B5600099C18413CD4122E3F54584197DFD8471A9C18411E19DB6A3F5458410E8CD870399C18417529FEFF405458416CBCB2AE3F9C18418FE47504425458411770CBB83F9C18416C4E73BD42545841842997713B9C1841963ACB4C44545841E657A6333F9C184193FE141E45545841CA535A52629C1841593710C746545841138F08487D9C184170A74E81495458419CF02E90A79C1841D84F2FFC4B545841DAF24B90CB9C184101D4C5854C5458419C77860AE49C1841CEDAE0BA4C545841C76709B9EB9C18414078278C4C545841626E2529F89C18412A478ACB4B54584176960434059D1841C0C0F3984B5458419E7F0E67169D1841ACDA8CC24B545841A7D8E5EB229D1841743F6ABD4B545841205949672E9D1841E1AFCF5C4B545841DDCE1C483A9D1841C41E60364B54584124418E0A459D184158D2B25E4B545841A099CC00549D184116C6236C4C545841A8BFA9CD5E9D18417B95FB084D545841A7659DD77D9D1841DFB74E284D545841C841F2999B9D18413D941B4E4D545841309D5C67AD9D1841FF0396A94D545841B1E71A85C29D184150CCC9B54E5458414048FB14CE9D1841999B299C4F545841C9CB4E15DC9D184172888902525458415A189CA4E29D1841B7CC723D52545841A093195D029E1841805E60C652545841668037F60B9E18415E779712535458416BED1A481E9E1841F84AE84A555458418F13471F239E18416D26DFB3565458410A8352E1299E1841CA1B2C6C57545841F2BFF48F819E18411C2BC1C559545841E226F651AD9E18410D1F6E2D5B5458413670F4CCB99E1841A3E8D96A5B545841666B24C3C69E1841F5B3406A5B5458415F6D6A8FD79E1841830682245B54584193150C00E59E184108B379145B5458418BC566F4EF9E18414FC16D4E5B545841C821987B0B9F184195AC33235E545841F173D633129F1841EE04AF775E545841D50A29F6179F1841CACC0D9E5E545841DA6B7D8F219F1841087218A55E545841F86EDF29369F1841C4737EFB5D5458419FC4B1E1489F1841C027CDBC5D545841CCEB89716B9F184102DFE4015E545841FBFB75298A9F18410560D1735E5458417C51D77BAC9F1841646BC9655F5458418A6BEEEBD39F1841157A6186615458419C5E9233E69F1841BC990E3E625458412E020FECF89F1841120A9EB06254584177B0B43316A01841A4D6E52A6354584117FBB0662AA018413F96F2E163545841A0C49C8556A01841B8849262675458416F51C3856FA018415C72A1F068545841AB3F17007DA018412E1BD66369545841FB79B5708AA018418A06A8A06954584194A5BB1E9EA01841CB6BB9BE6954584133428229C0A01841817E0D9769545841C1FD711FD9A01841E8C648516954584185FD27341DA11841E93A5DCF67545841FDA5AA0A2EA1184173FD9C896754584114DADD006FA118414DFF5BAF675458419167691585A118415071B6AE675458418ABABF14CCA11841C302EC216754584196FDD4E1DCA11841F96CE4FA66545841FEB17CAEEDA118418E2B4B11675458417B569EAEF9A118415342BA4E6754584191C6CB8507A218414520D0EC67545841971CFC6623A2184198F19BC0695458414D474AF62EA21841C52ED41C6A5458413107283371A21841EB202FC36A545841F2E1DD1E01A31841059DD3FC6F545841EE438E0A10A318415A6E7FDB705458411038EF3D30A31841799EFDD873545841F22A3A154DA3184133ACF808765458414EED600A67A31841CA01EE7877545841610F8F7B81A31841218BCB7C78545841D236D2668FA31841704BEBD17854584168CC8D7BA5A31841F37958FF78545841789FC97BCBA318417037D26379545841385DF6EED1A318413C5E269170545841</t>
  </si>
  <si>
    <t>M80j</t>
  </si>
  <si>
    <t>2000000M0080</t>
  </si>
  <si>
    <t>17289.41</t>
  </si>
  <si>
    <t>01060000206A0800000100000001030000000100000041000000E4E639104B9E1841278036B52D5458417C9DF512469E1841910AA72D28545841F3FACC67D39C18415294C2492854584116E55967D49C18417864DB5329545841984F7A339D9C1841EC5C8DA22954584130CB9E63149B18413CEBF98A29545841943C2AD64F9B184109177E2924545841B73561BB9D9B1841371F096E23545841A391532AE29B1841CFECCE031B5458412CBBCCBD249D1841587C75CA1A54584165D7FB2B579D18416EFBDA85175458416A02BB1A219D1841DF2E63AC155458418DF016A1BE9C18413617D51412545841CCC18A20A09C184102558F2A135458412D9462E1099C18419C76E8E11154584188C3A859D69A1841941404B92D5458418AE973E5E69A1841D680AA332E545841AC9FE24D2D9B1841FC7B81642E545841F4B47EB16F9B1841A15E3E962E5458416BF81558949B184194ED02B13054584138FEA8DFBB9B1841152D622A325458413F0E3C5ED99B18413B9EEEB53354584134000548199C184192796D5B365458411E0CB7E2319C18413061038938545841FBC6C15E489C1841111051363A5458410CB71C2C709C1841CA6C32F13C5458413EAFA7479E9C18419B1903833F5458417E3C54A91F9D18411AFF6C4045545841F54018188E9D184176462976465458412D9990D3E99D1841B48CCFAC46545841D2D103DE039E1841CB56E6EE48545841495DCFDA199E1841A2DACF074C5458415D79CC27929E184173341D4252545841F54DA9BFB19E184154844739545458416EF5BEC20C9F1841B0904E2356545841A8A034D8549F18416533E5C75654584147E3A496819F18413CEB28C0585458417404CB4BDE9F184180AC0C8359545841CEC4182118A01841FFA34AC05A54584158ECD6C571A01841A53507845F5458418CF4A78E9EA01841C87A59E3605458413A8893C72CA118412EDC575D625458414890D25FFEA11841236FCDED61545841ED6B397527A218415F2C80446354584172FB2DD472A2184129480B0366545841DA083DDECDA218415AEBD7F867545841A3BFA7B26CA31841068AF2FE6E545841385DF6EED1A318413C5E2691705458413D264772DCA3184168848E2E625458415540958562A21841CC426BFE6054584181D46F3268A21841E21D46695C545841A911F31048A2184106088DEF5A54584151591271A9A1184114F241A85A5458410515388AC9A1184115243F214E5458414FCEE94354A1184127220FE74D54584161BE4CF57FA01841E442CBF54E545841072AF1A77BA01841349668F353545841FCFA218001A018410D7ABAF653545841B97EBA18FE9F18412181B4D45054584147AB93C4ED9E184107DBAA634D54584143D84EF7E79E1841C0EE094A48545841991D3E529D9E18415B85173F3D5458410203DB494E9E1841FB22443D3B545841FA0F3BFC4A9E1841C43E26052E545841E4E639104B9E1841278036B52D545841</t>
  </si>
  <si>
    <t>M80k</t>
  </si>
  <si>
    <t>CR2021</t>
  </si>
  <si>
    <t>38630.40</t>
  </si>
  <si>
    <t>01060000206A080000010000000103000000010000002E000000F3FACC67D39C18415294C249285458417C9DF512469E1841910AA72D28545841E4E639104B9E1841278036B52D545841FA0F3BFC4A9E1841C43E26052E5458410203DB494E9E1841FB22443D3B545841991D3E529D9E18415B85173F3D54584143D84EF7E79E1841C0EE094A4854584147AB93C4ED9E184107DBAA634D545841B97EBA18FE9F18412181B4D450545841FCFA218001A018410D7ABAF653545841072AF1A77BA01841349668F35354584161BE4CF57FA01841E442CBF54E5458414FCEE94354A1184127220FE74D5458410515388AC9A1184115243F214E54584151591271A9A1184114F241A85A545841A911F31048A2184106088DEF5A54584181D46F3268A21841E21D46695C5458415540958562A21841CC426BFE605458413D264772DCA3184168848E2E625458417388E48FDFA318410FB96AE65D54584189B43585DDA31841BB6391A25C54584129C33A342DA3184190BFDA1F375458411B8E3D71ADA21841A483B7841A545841679F572F48A01841094D43E31A545841D44879CE799F18418B731F5B1B54584112E1ECB8A59E1841D6AB45211A5458417B54147EFA9D1841235CC28E195458414B3213890F9E18413F733B7B105458414F4B26C4459E1841D1B96E45EF53584127DE8A48A69C18412B76BDEEE75358414B94D5705D9C1841BD11A040EA535841ACC4ACAEA49B1841FBA969ADF15358412D9462E1099C18419C76E8E111545841CCC18A20A09C184102558F2A135458418DF016A1BE9C18413617D514125458416A02BB1A219D1841DF2E63AC1554584165D7FB2B579D18416EFBDA85175458412CBBCCBD249D1841587C75CA1A545841A391532AE29B1841CFECCE031B545841B73561BB9D9B1841371F096E23545841943C2AD64F9B184109177E292454584130CB9E63149B18413CEBF98A29545841984F7A339D9C1841EC5C8DA229545841F733D4339B9C1841EC0A6EF62654584195F36AECD19C1841AD5BB8BE26545841F3FACC67D39C18415294C24928545841</t>
  </si>
  <si>
    <t>M80l</t>
  </si>
  <si>
    <t>106369.40</t>
  </si>
  <si>
    <t>01060000206A08000001000000010300000001000000080000004B3213890F9E18413F733B7B105458417B54147EFA9D1841235CC28E1954584112E1ECB8A59E1841D6AB45211A545841D44879CE799F18418B731F5B1B545841679F572F48A01841094D43E31A5458411B8E3D71ADA21841A483B7841A545841E0861AF485A218416A591AF6115458414B3213890F9E18413F733B7B10545841</t>
  </si>
  <si>
    <t>M80m</t>
  </si>
  <si>
    <t>11075.69</t>
  </si>
  <si>
    <t>01060000206A08000001000000010300000002000000560000004BBC7991319D1841A54361E1865358415E25F9B7B89C18415A9AC27C81535841D08B6095AB9C18415EC371597D53584108E37AE98E9A1841F62B97C572535841BF1E514EAD9A1841B0BAF8096F535841BB1E514EAD9A1841B0BAF8096F5358414D3974E0E79A1841C55896DF625358416C95350A819A1841B8B55FCF62535841495B19297399184134BF216562535841BDDC86A456991841ACBCDCA367535841FC291E5C2A99184102F7DEFA65535841B2887D7B10991841CF5B54DF65535841274005A4E8981841FADF6B4665535841DFC688D7CA98184128A615AE64535841B67EB847A898184164959169645358415B9693E15E98184131A8D27364535841D6AF75C3129818412F2DC5C563535841F15850E1DF971841CA41E77A6353584131BB56B8B397184159C945AA6353584124C202A46E97184169071855645358418782C00A3B971841FDB752F8645358419B6568D7EB961841F52482EB64535841F433095DBC961841F3F8A55065535841F8C73FAE84961841E3D9915265535841603B88666C961841957494796553584186F3F1EB479618414CE2383366535841AFAEA57B3B9618419ACBF97866535841E5EA972943961841A7FB778D6753584185A7DAAE5A961841E60A4FC169535841C23ECFC2729618410AB877646C535841D59ED19992961841CCE83FDA7153584143508C1FAA961841925710BE745358414712FAFFE0961841F9473D7A79535841B4268A9A06971841C6BB111E7F535841C84D86142097184152DDFD18825358414FDBD53336971841E79DF54884535841D1606C295D9718419B05EC3187535841B6FD1C2977971841695D763D8A535841F763FAFF939718414344717D8C5358412B07BF14AB971841361518E58D535841B11362AEE3971841C0A334F38F5358414C9E9F29FC971841D897BD0E9153584102F4E1660F981841C487637F9253584175C2C23D219818417819306394535841167A0CAF3D981841CB532DBC98535841B4F921A45998184122446EED9E535841455619C36398184162447F8BA0535841A692F828749818417F4B39D3A2535841BD00CEEB7A9818410453D143A45358419B205BD79E9818410FE1619FA35358412880B88536991841E4BA123EA3535841261BB3B84199184127A376B4A85358418E8D17EC7B991841D978A510BC535841BD097B487F99184161C96806BD535841D194D2C2F59A184194592505B6535841E201480A5D9B1841DABA43CACA5358417E86718F769B1841151C220CD053584145BAD3297B9C1841173382EBD85358414ADB751F809C18415B5A168EDE535841625689CD899C184174AD0DDEE053584127DE8A48A69C18412B76BDEEE75358414F4B26C4459E1841D1B96E45EF5358414B3213890F9E18413F733B7B10545841E0861AF485A218416A591AF61154584130C7DC3336A21841A4E1CB3C00545841551A38FA22A2184128BF2EA0F9535841636A827E1EA218419ACB3C82F1535841307A402C63A2184165D2441AE9535841029590939CA218418F348745E85358410BE6982BC2A21841A3394CF7E2535841EAEA9E0928A318410832E944E3535841273D8E1D4DA3184176C345C4DE5358416C18CD7563A3184142C1F301DB535841C594480F17A3184176175C5DCD535841D8488ED9DCA2184149C17CB2CB535841CEB0C2E5ACA21841812B5D99CC5358417FD3DCB87FA2184145575591CD535841EC85EEF05FA21841BD98EF35C8535841D5CF2C5446A21841E092DC7AC25358414420ED606CA21841E9058B85BE5358411AA77AF90CA2184139AB381ABB535841F374C097AFA0184159736979AE535841129C134CB99F18419385EA0FA653584190A67345A49E18419014656C975358411A7FF66B309E18414BA6E540925358414BBC7991319D1841A54361E186535841050000004A3DC0F1EC991841058C2B3C9B535841AFCEA691C999184138EABE479A535841E081FEF6DB99184169DA0E9E9753584146101857FF9918418B7E7B92985358414A3DC0F1EC991841058C2B3C9B535841</t>
  </si>
  <si>
    <t>M80n</t>
  </si>
  <si>
    <t>Directive Habitat - Vallées de la Grande et de la Petite Leyre</t>
  </si>
  <si>
    <t>259180.41</t>
  </si>
  <si>
    <t>01060000206A080000010000000103000000010000003C000000D08B6095AB9C18415EC371597D5358415E25F9B7B89C18415A9AC27C815358414BBC7991319D1841A54361E1865358411A7FF66B309E18414BA6E5409253584190A67345A49E18419014656C97535841129C134CB99F18419385EA0FA6535841F374C097AFA0184159736979AE5358411AA77AF90CA2184139AB381ABB5358414420ED606CA21841E9058B85BE535841D5CF2C5446A21841E092DC7AC2535841EC85EEF05FA21841BD98EF35C85358417FD3DCB87FA2184145575591CD535841CEB0C2E5ACA21841812B5D99CC535841D8488ED9DCA2184149C17CB2CB535841C594480F17A3184176175C5DCD5358416C18CD7563A3184142C1F301DB535841273D8E1D4DA3184176C345C4DE535841EAEA9E0928A318410832E944E35358410BE6982BC2A21841A3394CF7E2535841029590939CA218418F348745E8535841307A402C63A2184165D2441AE9535841636A827E1EA218419ACB3C82F1535841551A38FA22A2184128BF2EA0F953584130C7DC3336A21841A4E1CB3C00545841E8C486B8DEA21841954EDA33FD5358419D067AB881A318416ABB9152FA5358411EF8BAC2CEA51841DC512BD3EF5358413F122E338AA61841EF41FD6FEC5358412947D85282A6184155CA0507EC5358415AAB6AF664A6184126D0D823EA535841F1F280B81FA6184119FB4341E55358412C8E4F48F8A518419499C5ECE25358419F925F9A9BA51841F6CE4341DC53584122C042155BA51841B922C3B5D6535841EB30B5E13AA51841759B681DD3535841AFE569AE90A41841BEDF59C8C6535841B86F229A6FA4184110F99B40C45358413A0C00D74FA41841BA7EAF07C2535841D4AC3BB9DDA318416A7AEA61B95358412B4627E2A7A31841A2A62C73B55358413ACFEFE18FA31841CA7BF011B4535841CC665A1F4EA31841787ED053B05358415ADA3AC33EA31841673BF84FAF5358413E625429F8A21841FF3089FBAA53584119B5AFC2B9A218416DB2D01CA7535841B19BF9336BA21841B27B0680A3535841D59A49B94AA21841F4069412A25358414C1358672DA21841BA56B397A0535841F1E6D57AF8A11841788B0BB79D535841235A1F67F2A118414CE89B409D535841B3FF153495A118414E62CD3C985358419FD0974836A118417D3814FE925358418EA30DCD07A118412A3080B490535841171206004F9F1841A92826BC7953584174F9697B3E9E1841101C0DA76B5358418743ED472C9E1841AF92D9B36A535841ABC6741FFB9D18419B8BAA17695358416695B13FD49D1841474D97B7675358416CD1C88F889D1841759BE23C6D535841D08B6095AB9C18415EC371597D535841</t>
  </si>
  <si>
    <t>M80o</t>
  </si>
  <si>
    <t>94330.95</t>
  </si>
  <si>
    <t>01060000206A080000010000000103000000010000000E000000BB1E514EAD9A1841B0BAF8096F53584108E37AE98E9A1841F62B97C572535841D08B6095AB9C18415EC371597D5358416CD1C88F889D1841759BE23C6D5358419464BEA04C9D1841C329BC926D5358413447CA53069D18416D3E498E6D5358416479192BBE9C18417FA899E46A535841902CD9A09D9C18416E5D21B669535841E0ABD9E45A9C18410C73965363535841DDB467520C9C184120197F3463535841794EC052EA9B18411A9955086353584168168928109B1841692AF0E5625358414D3974E0E79A1841C55896DF62535841BB1E514EAD9A1841B0BAF8096F535841</t>
  </si>
  <si>
    <t>M80p</t>
  </si>
  <si>
    <t>12140.69</t>
  </si>
  <si>
    <t>01060000206A080000010000000103000000010000000A0000006695B13FD49D1841474D97B7675358415749043E609D18412D12699D63535841255001F6EC9C1841A6F6758D63535841E0ABD9E45A9C18410C73965363535841902CD9A09D9C18416E5D21B6695358416479192BBE9C18417FA899E46A5358413447CA53069D18416D3E498E6D5358419464BEA04C9D1841C329BC926D5358416CD1C88F889D1841759BE23C6D5358416695B13FD49D1841474D97B767535841</t>
  </si>
  <si>
    <t>M80q</t>
  </si>
  <si>
    <t>TAIL1993</t>
  </si>
  <si>
    <t>2629.58</t>
  </si>
  <si>
    <t>01060000206A080000010000000103000000010000000D00000075F4E85B81911841FD7200ED1C535841F084A4CCA69118412027DDC21C535841B1FD8B29DD911841000890931B535841C038CD73FE911841B5FA1E2B1B535841B0D439FE22921841A0DBBFB41B535841EF268BA853921841462CAC3B1C53584122BB3676819218412E7685851D535841490BC52499921841A6C2C0BA1D535841BD00D9CCB1921841E10A42D112535841B3C77D5CEA9218415D17B73EF952584107C7FBE108931841A91CAB90EB52584165AECA997C92184123AD7D94EC52584175F4E85B81911841FD7200ED1C535841</t>
  </si>
  <si>
    <t>M9a</t>
  </si>
  <si>
    <t>2000000M0009</t>
  </si>
  <si>
    <t>10036.49</t>
  </si>
  <si>
    <t>01060000206A080000010000000103000000010000002400000075F4E85B81911841FD7200ED1C5358414ADF089062911841EC3838DA22535841AC9FFB336B91184110149DA922535841616BDD8F7E911841D6B4F7382253584190EF8F7480911841B917BF2E225358410627CC70859118417FFAEB11225358416B94ABB888911841FC446FED21535841979ACAE18C911841EAFE22BC21535841B8102371A8911841F784193520535841466EBF29AC911841BE0A8304205358413585820AB2911841F3235BCF1F535841AC75FF5CB6911841013D74AD1F5358412492FB28B991184102722D9C1F53584106C3DF70C1911841783C8A721F5358418CCEC97BC89118415C8454581F53584154C574B8CF91184159BFED411F5358418AAA19D7E29118416023302C1F535841FD840767FA911841FC247F1B1F535841CCBC3F000292184105E741211F5358412F0E2915159218416FC5B72E1F535841CFB2C48F1C921841C967893B1F5358418061E370269218419B6E3B631F5358414CDF0C9A2E921841154ECD8C1F535841F9148AE14E9218417F119959205358412C94AEC25A9218410AD6EDA120535841E9327529699218417C4AAD0721535841DEBF768F7B921841DC7CC79C21535841509D98008F921841D97EAA3722535841490BC52499921841A6C2C0BA1D53584122BB3676819218412E7685851D535841EF268BA853921841462CAC3B1C535841B0D439FE22921841A0DBBFB41B535841C038CD73FE911841B5FA1E2B1B535841B1FD8B29DD911841000890931B535841F084A4CCA69118412027DDC21C53584175F4E85B81911841FD7200ED1C535841</t>
  </si>
  <si>
    <t>M9b</t>
  </si>
  <si>
    <t>1159.79</t>
  </si>
  <si>
    <t>01060000206A0800000100000001030000000100000007000000080203713F9318413162160EC1525841725404C35B9318417EC4F4A8C35258412D60B98FE7931841CCF5AC87C3525841865AC35CE493184186DAED21C3525841C2E946D7199318411C92D4C3BD525841A92AFBC21493184107B336AABD525841080203713F9318413162160EC1525841</t>
  </si>
  <si>
    <t>N146</t>
  </si>
  <si>
    <t>2000000N0146</t>
  </si>
  <si>
    <t>452.09</t>
  </si>
  <si>
    <t>01060000206A080000010000000103000000010000002A0000002B6E4A3E46911841934D29CC91525841954523346C9118418B86E89A8F525841C462BB3D82911841D76283BB8E52584159EDEF47A2911841C9EAE8018D5258416AE05415B291184171AE245C8C5258412101EB3DA0911841843196228C525841460F7DE17A911841EC75F6588D525841E2F714F66D91184175D8D4238E52584112B71A715C9118416B66AAA78F52584189B34A1F53911841FA2C3013905258411A44B4EB1B911841FAA5B01E92525841361C8F00FB901841E51C06E793525841BC79DEE1D09018418530880B97525841270251D7C790184159621C8E975258416E17AA529C9018416E1B1CCE98525841202796F67F901841EF3F8F229B5258418815E8E17690184121D9637F9B525841F7E60C7162901841178B37F39B5258414D48E69953901841BB43C3759C5258412981BD8F33901841517D562F9D525841D7171029F88F184157639C009E5258419C880CE2ED8F184108A7F6489E525841CA0C57B8E58F1841ACBA5FAF9E5258419D3F30E2CD8F184120DA6516A0525841A0AADF70A28F184179E496E2A15258411E46673E898F18410A2E7F3BA352584116E9351FFD8F18411B2FC54CA6525841C44B46D70090184137FAEE91A4525841D06745B901901841F68739E3A3525841C0B60A0005901841AC4AA817A35258417A8E36B90A90184117AC7664A25258413317823313901841A3CA26DCA1525841EA835CCD1D9018413FD3C66CA1525841E95F6B9A4E90184120342E6CA052584113DD2F718090184180C881BB9E52584181ABABC290901841D72764EF9D525841D29F2B85CE901841C360B46E995258413EC960B8D5901841F23A3A4398525841C7CF86AEDC9018416335A9C0975258418F59405CF69018419AE86D9D96525841280EA7EB10911841E5949D49955258412B6E4A3E46911841934D29CC91525841</t>
  </si>
  <si>
    <t>N154</t>
  </si>
  <si>
    <t>2000000N0154</t>
  </si>
  <si>
    <t>1677.71</t>
  </si>
  <si>
    <t>01060000206A080000010000000103000000010000001D000000C6319A730693184192D40EAC995258416A7E7348A3931841AB2E721DA252584160C4AB66AF931841BEB8C22AA5525841AF32AC8215941841EC2AAB3DA6525841E719D67C62941841AF433A2CAC52584166EB1F6EAA941841A6701747AD52584118D90B19E49418412FE3A945AA525841B4AC2A7205951841E499C6FFA7525841E7C4808F1F95184110CB66E9A6525841EC8F8B504495184176A00C55A7525841907DD1D7A2951841A4148FC2A152584140569D3D8E951841F2C66C06A05258413BA452338E951841B958C3059F525841385BE9B78E9518414E4925FC9E5258414DCCCE5FB7951841118047579C52584174D889EABF9518418A6C855498525841ABD28E7DBC95184128E6618891525841E991F2FCB595184130B405CF8E52584157EB7AF5A095184107390E4E8C5258416C173AE485951841C0615FF58A525841BA0FDAF80F951841BABF124785525841A4A8CA3EBF94184181EA9E6384525841F368FB2F78941841ABAB7E10835258411733DFCDEF931841BC7C3F8D8352584178326CDDC3931841A4D6AFD782525841FA293BA1939318410C96B82885525841F4D4EB0D769318418404911686525841FF7DC3AEB29318410334D1538E525841C6319A730693184192D40EAC99525841</t>
  </si>
  <si>
    <t>N161a</t>
  </si>
  <si>
    <t>2000000N0161</t>
  </si>
  <si>
    <t>CR2019</t>
  </si>
  <si>
    <t>19781.15</t>
  </si>
  <si>
    <t>01060000206A0800000100000001030000000100000018000000EC8F8B504495184176A00C55A7525841E7C4808F1F95184110CB66E9A6525841B4AC2A7205951841E499C6FFA752584118D90B19E49418412FE3A945AA52584166EB1F6EAA941841A6701747AD525841E719D67C62941841AF433A2CAC525841AF32AC8215941841EC2AAB3DA652584160C4AB66AF931841BEB8C22AA55258416A7E7348A3931841AB2E721DA2525841C6319A730693184192D40EAC995258415C178DEBDF9218416D4055389C5258419A9240F64493184178294EF8B1525841AC457E5C849218414989E64AAD525841351F0CF65C921841C32AAA67AB5258412891261F5292184197899E59AC5258418E5921A420921841037D0F87AB525841A8120B67E4911841F2DA5688AA5258412FCE5CE16B91184194A25418B05258414919863340921841F89C78A4B55258414FCCFDFF8E93184134ECC99CBE525841232B1534DD931841F6BCB4A7C05258414D59D05C5F9418413BB9DCD3B75258418524177B04951841ABDA5418AB525841EC8F8B504495184176A00C55A7525841</t>
  </si>
  <si>
    <t>N161b</t>
  </si>
  <si>
    <t>13440.16</t>
  </si>
  <si>
    <t>01060000206A0800000100000001030000000100000041000000F4D4EB0D769318418404911686525841FA293BA1939318410C96B8288552584178326CDDC3931841A4D6AFD7825258411733DFCDEF931841BC7C3F8D83525841F368FB2F78941841ABAB7E1083525841A4A8CA3EBF94184181EA9E6384525841BA0FDAF80F951841BABF1247855258416C173AE485951841C0615FF58A52584157EB7AF5A095184107390E4E8C525841E991F2FCB595184130B405CF8E525841ABD28E7DBC95184128E661889152584174D889EABF9518418A6C8554985258414DCCCE5FB7951841118047579C525841D883C30ACE9518412FC6EAE19A5258415239716FCE951841AF523BD79A5258411027D285DC9518416A16F058995258417F426BCDDF951841C4B1F2B89852584113329471DC951841CB3936F3965258415947AF33F1951841C8F47D74955258417C95C47B0896184132AD877B935258414C73917B21961841AC72CA2592525841E42D46CD0A961841D97DC50592525841E3DA2F3E06961841CC7761C6915258416E9788B804961841DA03F248915258411ED0CEC001961841407768B590525841BF78371D00961841266FCAE28E5258410149B1C2FF951841C74ABF858C5258410E1BA42CFA951841D5A67EC08A525841412AC81EF89518410892564F895258419BAA1E3EF39518410CC8BABE88525841775688B8E195184153294C11885258411B197741DB9518413CBEE71A88525841D7074071C0951841C67F254C8752584155758871B6951841A2791FC586525841D352FBDEAE951841E9E5DA08865258418DA98749AB95184151C1E93485525841495787A4A69518414A8091D283525841113F8385A79518417EACA9108352584176E3D40AAF95184105969CF981525841B9C2B047AF951841C96AF62881525841D9D4A50AAB9518412BAB715D8052584141728E5C9E951841BD96746D7F52584144664FF694951841869AC2E57E5258419E8B259A84951841046321557E5258411594247B78951841CBFCAA507E5258411C3C526969951841E24545B17E5258411F26CA025795184192CB924C7F525841401D37D7449518417F3BE6917F525841599A2933259518415826C79C7F52584140688666F89418413A516A6D7F525841D31422A4D3941841CC3937B37F525841A6CFC329C2941841C3AFF3B87F525841CF3FD570A89418418A14F9887F525841887B577B90941841FDEF24E57E52584135F9C5D73F941841EB6917357F5258416B761A1F119418418D2F886280525841A5D3C785039418416B6B1B8E80525841327C2E7BF39318416B3A7D7B805258412A1A345CE49318416E00A12980525841518C1D90C8931841A0D5186E7F5258415ADA38C3BC931841DB4A44517F5258412E697C9AA79318410D0BA6877F525841A94B53859193184139A6224580525841FA5D85EB61931841CBDD435A83525841F4D4EB0D769318418404911686525841</t>
  </si>
  <si>
    <t>N161c</t>
  </si>
  <si>
    <t>4542.85</t>
  </si>
  <si>
    <t>01060000206A08000001000000010300000001000000090000002A15A35C5E9B184138256996D75258414B9ABF99579B1841CBE0A8C7DB525841A56E7FA4899B1841E6D093E2DA5258418B59E47AAB9B1841D385C8E5D9525841CF2D50A4BF9B1841369AC415CF5258419F9E4E3E7C9B18419AC121BCCE525841B66124EC6B9B1841CC8D3F0ACF52584117946B29619B1841CAB2E8E1D25258412A15A35C5E9B184138256996D7525841</t>
  </si>
  <si>
    <t>N175</t>
  </si>
  <si>
    <t>2000000N0175</t>
  </si>
  <si>
    <t>TAIL1996</t>
  </si>
  <si>
    <t>1010.42</t>
  </si>
  <si>
    <t>01060000206A08000001000000010300000001000000070000003D5ABB3DE69C1841EABFB65EE25258410896CD7BF09C1841A6000420D65258415DA0ACC2A59C1841E7A63AE3D452584128EA2BECB39C184148E857DFCA52584126542834A39C184147B236AACA525841E8F2D470809C184148D93E3AE25258413D5ABB3DE69C1841EABFB65EE2525841</t>
  </si>
  <si>
    <t>N180</t>
  </si>
  <si>
    <t>2000000N0180</t>
  </si>
  <si>
    <t>1438.49</t>
  </si>
  <si>
    <t>01060000206A08000001000000010300000001000000180000003D5ABB3DE69C1841EABFB65EE2525841472D159A279D1841FEFE1975E2525841BC927DCD099E1841BF75B1D7E5525841BF7EE88F079E1841046C6666DE52584163B7C4CD009E1841A1A25F3FDA525841B0F3C983FA9D1841478AB39BD85258418E4613F9F39D1841938B7AB6D65258416EFEFE33E69D18410E7D1D95D2525841519D0129E59D1841330C8D1BCF5258413E5E95F6D69D184115C09109CE52584166B0107BD59D18415E0381FBC552584185B9E07ADE9D18410D315808C4525841533AA3EBDF9D1841955EBC6EC1525841A4DAC10ADB9D18419C09217CBF525841B68A1471D69D1841BCDD11A7BE525841D42EDBE1CE9D18412B444FF8BB525841F9A36671949D18415ABAD513AF5258412521531FCD9C1841A894D06CAF525841119DAE7BC29C184198594BE8B652584126542834A39C184147B236AACA52584128EA2BECB39C184148E857DFCA5258415DA0ACC2A59C1841E7A63AE3D45258410896CD7BF09C1841A6000420D65258413D5ABB3DE69C1841EABFB65EE2525841</t>
  </si>
  <si>
    <t>N181</t>
  </si>
  <si>
    <t>2000000N0181</t>
  </si>
  <si>
    <t>14727.04</t>
  </si>
  <si>
    <t>01060000206A08000001000000010300000001000000050000005C14280B59A51841C0131BA5B3535841FC1A439A5CA41841393A3F6AAA5358418BC9889A1CA418416119E6E1B4535841211FD29900A51841FBF9D343BD5358415C14280B59A51841C0131BA5B3535841</t>
  </si>
  <si>
    <t>N5</t>
  </si>
  <si>
    <t>2000000N0005</t>
  </si>
  <si>
    <t>3083.91</t>
  </si>
  <si>
    <t>01060000206A0800000100000001030000000100000007000000D36666E117AC18414B5721AC09545841E7F2C75220AC1841E29711D7EE53584123071CAEE7AA1841344E78BDF353584103E3B70A3FA91841BB6C9D19D8535841DA6104D789A71841F388A189E6535841632A491FFFA81841D6896A5606545841D36666E117AC18414B5721AC09545841</t>
  </si>
  <si>
    <t>N627</t>
  </si>
  <si>
    <t>2000000N0627</t>
  </si>
  <si>
    <t>32706.66</t>
  </si>
  <si>
    <t>01060000206A080000010000000103000000010000000B000000DDB8B0C2619A184195F92BC352535841BFA328153A9A1841FD0D97223E535841A010DA52F3991841496974ED3D535841F1D191E1FF99184128287DB4425358417DFDA88FEB991841B7C661F642535841F4BF8F8FE7991841AA232D7C4553584153EA3FB9D6991841D5D338634553584191FC4E3EDA991841B833EF2152535841EA8ECF7B1F9A1841D375C1E5525358415EFC72B82C9A184126F16DFD52535841DDB8B0C2619A184195F92BC352535841</t>
  </si>
  <si>
    <t>N715</t>
  </si>
  <si>
    <t>2000000N0715</t>
  </si>
  <si>
    <t>2217.36</t>
  </si>
  <si>
    <t>01060000206A080000010000000103000000010000000F00000091FC4E3EDA991841B833EF215253584153EA3FB9D6991841D5D3386345535841F4BF8F8FE7991841AA232D7C455358417DFDA88FEB991841B7C661F642535841F1D191E1FF99184128287DB442535841A010DA52F3991841496974ED3D535841BFA328153A9A1841FD0D97223E5358418C999D5C349A18419B085A183B5358410AD0AFB8E5991841CC7C8C123B5358413BA10EF6C5991841F689AE373B53584112B9047BA8991841D51C5F563B535841E4433D85879918414470E8613B5358410C02363E81971841B54BAA9052535841FE5B3BD7829718410061DCB35253584191FC4E3EDA991841B833EF2152535841</t>
  </si>
  <si>
    <t>N717</t>
  </si>
  <si>
    <t>2000000N0717</t>
  </si>
  <si>
    <t>8288.64</t>
  </si>
  <si>
    <t>01060000206A080000010000000103000000010000002900000003E3B70A3FA91841BB6C9D19D853584108E6E41EC9A81841FC8B32D3D353584105DFC21E86A81841FD66DA5AD1535841322E026753A61841FB52BDD5BC5358415C14280B59A51841C0131BA5B3535841211FD29900A51841FBF9D343BD5358418BC9889A1CA418416119E6E1B4535841FC1A439A5CA41841393A3F6AAA53584116199B8FE3A21841CABCC2B59C5358418330E43DCFA218416D0E88EB9B53584173403F673EA21841BAE724DC945358413E9B6D0AF2A11841ABC01C1E9153584145299071CEA01841DE64260C8453584162406885969F18411B60D40C76535841ADA26D0A219F1841C62F81BB70535841DC2946F68E9E1841EDE0F7386A53584174F9697B3E9E1841101C0DA76B535841171206004F9F1841A92826BC795358418EA30DCD07A118412A3080B4905358419FD0974836A118417D3814FE92535841B3FF153495A118414E62CD3C98535841235A1F67F2A118414CE89B409D535841F1E6D57AF8A11841788B0BB79D5358414C1358672DA21841BA56B397A0535841D59A49B94AA21841F4069412A2535841B19BF9336BA21841B27B0680A353584119B5AFC2B9A218416DB2D01CA75358413E625429F8A21841FF3089FBAA5358415ADA3AC33EA31841673BF84FAF535841CC665A1F4EA31841787ED053B05358413ACFEFE18FA31841CA7BF011B45358412B4627E2A7A31841A2A62C73B5535841D4AC3BB9DDA318416A7AEA61B95358413A0C00D74FA41841BA7EAF07C2535841B86F229A6FA4184110F99B40C4535841AFE569AE90A41841BEDF59C8C6535841EB30B5E13AA51841759B681DD3535841B985BB8569A51841068C0DBED55358410F45163EBEA618416699F95FEB535841DA6104D789A71841F388A189E653584103E3B70A3FA91841BB6C9D19D8535841</t>
  </si>
  <si>
    <t>N762</t>
  </si>
  <si>
    <t>2000000N0762</t>
  </si>
  <si>
    <t>49436.33</t>
  </si>
  <si>
    <t>01060000206A080000010000000103000000010000000D0000006C95350A819A1841B8B55FCF6253584134E839906D9A18418CFBF8DF58535841DDB8B0C2619A184195F92BC3525358415EFC72B82C9A184126F16DFD52535841EA8ECF7B1F9A1841D375C1E55253584191FC4E3EDA991841B833EF2152535841FE5B3BD7829718410061DCB3525358413FF78F5C81971841231E6C56575358417762ED8507991841AFDF4FD164535841FC291E5C2A99184102F7DEFA65535841BDDC86A456991841ACBCDCA367535841495B19297399184134BF2165625358416C95350A819A1841B8B55FCF62535841</t>
  </si>
  <si>
    <t>N787</t>
  </si>
  <si>
    <t>2000000N0787</t>
  </si>
  <si>
    <t>10707.46</t>
  </si>
  <si>
    <t>01060000206A0800000100000001030000000100000007000000BC9D57001B8F1841D913D133A95258418DC83133378F1841CCF94331A852584123F813A4548F1841E5D5F6B8A65258414293B5146B8F1841A61AA4F0A4525841E04397F6498F18411FF00220A452584194D7665B338F18417C81AE91A6525841BC9D57001B8F1841D913D133A9525841</t>
  </si>
  <si>
    <t>R89</t>
  </si>
  <si>
    <t>2000000R0089</t>
  </si>
  <si>
    <t>132.62</t>
  </si>
  <si>
    <t>srfcH</t>
  </si>
  <si>
    <t>age :</t>
  </si>
  <si>
    <t>EC1</t>
  </si>
  <si>
    <t>EC2</t>
  </si>
  <si>
    <t>EC3</t>
  </si>
  <si>
    <t>EC4</t>
  </si>
  <si>
    <t>Eclaircie/ha</t>
  </si>
  <si>
    <t>Deb/ha</t>
  </si>
  <si>
    <t>Moyenne par ans :</t>
  </si>
  <si>
    <t>TOTAL :</t>
  </si>
  <si>
    <t>Coupé Rase :</t>
  </si>
  <si>
    <t>Plantation :</t>
  </si>
  <si>
    <t>Eclaircie :</t>
  </si>
  <si>
    <t>BASE :</t>
  </si>
  <si>
    <t>Decoupe tige/ha :</t>
  </si>
  <si>
    <t>ANNEES :</t>
  </si>
  <si>
    <t>(vide)</t>
  </si>
  <si>
    <t>077</t>
  </si>
  <si>
    <t>197</t>
  </si>
  <si>
    <t>202</t>
  </si>
  <si>
    <t>536</t>
  </si>
  <si>
    <t>171</t>
  </si>
  <si>
    <t>200</t>
  </si>
  <si>
    <t>st</t>
  </si>
  <si>
    <t>kg</t>
  </si>
  <si>
    <t>m3</t>
  </si>
  <si>
    <t>St / ha :</t>
  </si>
  <si>
    <t>revenu % :</t>
  </si>
  <si>
    <t>coupe % :</t>
  </si>
  <si>
    <t>vente / ha :</t>
  </si>
  <si>
    <t>vente / St :</t>
  </si>
  <si>
    <t>Coupe Rase :</t>
  </si>
  <si>
    <t>&gt;=40</t>
  </si>
  <si>
    <t>nmbr tige/ha :</t>
  </si>
  <si>
    <t>reste tige / ha :</t>
  </si>
  <si>
    <t>inter_N+1</t>
  </si>
  <si>
    <t>budget_N+1</t>
  </si>
  <si>
    <t>inter_N+2</t>
  </si>
  <si>
    <t>budget_N+2</t>
  </si>
  <si>
    <t>inter_N+3</t>
  </si>
  <si>
    <t>budget_N+3</t>
  </si>
  <si>
    <t>inter_N+4</t>
  </si>
  <si>
    <t>budget_N+4</t>
  </si>
  <si>
    <t>inter_N+5</t>
  </si>
  <si>
    <t>budget_N+5</t>
  </si>
  <si>
    <t>inter_N+6</t>
  </si>
  <si>
    <t>budget_N+6</t>
  </si>
  <si>
    <t>inter_N+7</t>
  </si>
  <si>
    <t>budget_N+7</t>
  </si>
  <si>
    <t>inter_N+8</t>
  </si>
  <si>
    <t>budget_N+8</t>
  </si>
  <si>
    <t>inter_N+9</t>
  </si>
  <si>
    <t>budget_N+9</t>
  </si>
  <si>
    <t>inter_N+10</t>
  </si>
  <si>
    <t>budget_N+10</t>
  </si>
  <si>
    <t>CRsi</t>
  </si>
  <si>
    <t>N+1</t>
  </si>
  <si>
    <t>N+2</t>
  </si>
  <si>
    <t>N+3</t>
  </si>
  <si>
    <t>N+4</t>
  </si>
  <si>
    <t>N+5</t>
  </si>
  <si>
    <t>N+6</t>
  </si>
  <si>
    <t>N+7</t>
  </si>
  <si>
    <t>N+8</t>
  </si>
  <si>
    <t>N+9</t>
  </si>
  <si>
    <t>N+10</t>
  </si>
  <si>
    <t/>
  </si>
  <si>
    <t>RBST</t>
  </si>
  <si>
    <t>Ecart moyen :</t>
  </si>
  <si>
    <t>ENT1</t>
  </si>
  <si>
    <t>ENT2</t>
  </si>
  <si>
    <t>DGT</t>
  </si>
  <si>
    <t>Entretiein :</t>
  </si>
  <si>
    <t>Decalage max :</t>
  </si>
  <si>
    <t>MAX :</t>
  </si>
  <si>
    <t>MODIF :</t>
  </si>
  <si>
    <t>Nom :</t>
  </si>
  <si>
    <t>Age moy :</t>
  </si>
  <si>
    <t>Trie-local :</t>
  </si>
  <si>
    <t>donne un sens de prioriter par localisation</t>
  </si>
  <si>
    <t>CR-etaler :</t>
  </si>
  <si>
    <t>PL25 :</t>
  </si>
  <si>
    <t>si on plantes des parcelles pour 25 ans</t>
  </si>
  <si>
    <t>PLage</t>
  </si>
  <si>
    <t>etale au maximaume la superfici des coupes rases
, besoin de refer modif1</t>
  </si>
  <si>
    <t>si on coupe a 25ans pour homogenéisé rapidement
, besoin de refer modif1</t>
  </si>
  <si>
    <t>SmmBdgt :</t>
  </si>
  <si>
    <t>prix / ha :</t>
  </si>
  <si>
    <t>CUMULE :</t>
  </si>
  <si>
    <t>Decalage min :</t>
  </si>
  <si>
    <t>Bénéfice …</t>
  </si>
  <si>
    <t>Surface …</t>
  </si>
  <si>
    <t>Parcelles …</t>
  </si>
  <si>
    <t>Tige / ha :</t>
  </si>
  <si>
    <t>PLA-1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</si>
</sst>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€&quot;_-;\-* #,##0.00\ &quot;€&quot;_-;_-* &quot;-&quot;??\ &quot;€&quot;_-;_-@_-"/>
    <numFmt numFmtId="164" formatCode="0.00&quot; ha&quot;"/>
    <numFmt numFmtId="165" formatCode="0.0000"/>
    <numFmt numFmtId="166" formatCode="_-* #,##0\ &quot;€&quot;_-;\-* #,##0\ &quot;€&quot;_-;_-* &quot;-&quot;??\ &quot;€&quot;_-;_-@_-"/>
    <numFmt numFmtId="167" formatCode="_-* #,##0.0,\k&quot;€&quot;_-;\-* #,##0.0,\k&quot;€&quot;_-;_-* &quot;-&quot;??,\k&quot;€&quot;_-;_-@_-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i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7">
    <xf numFmtId="0" fontId="0" fillId="0" borderId="0" xfId="0"/>
    <xf numFmtId="0" fontId="0" fillId="0" borderId="0" xfId="0" applyAlignment="1">
      <alignment wrapText="1"/>
    </xf>
    <xf numFmtId="0" fontId="0" fillId="0" borderId="0" xfId="0" pivotButton="1"/>
    <xf numFmtId="16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/>
    <xf numFmtId="4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 vertical="center"/>
    </xf>
    <xf numFmtId="10" fontId="0" fillId="0" borderId="0" xfId="0" applyNumberFormat="1"/>
    <xf numFmtId="0" fontId="0" fillId="33" borderId="0" xfId="0" applyFill="1"/>
    <xf numFmtId="165" fontId="0" fillId="0" borderId="0" xfId="0" applyNumberFormat="1"/>
    <xf numFmtId="44" fontId="0" fillId="0" borderId="0" xfId="42" applyFont="1"/>
    <xf numFmtId="0" fontId="0" fillId="0" borderId="0" xfId="0" applyAlignment="1">
      <alignment horizontal="center" vertical="center"/>
    </xf>
    <xf numFmtId="166" fontId="0" fillId="0" borderId="0" xfId="0" applyNumberFormat="1"/>
    <xf numFmtId="1" fontId="0" fillId="0" borderId="0" xfId="0" applyNumberFormat="1"/>
    <xf numFmtId="1" fontId="0" fillId="0" borderId="0" xfId="42" applyNumberFormat="1" applyFont="1"/>
    <xf numFmtId="166" fontId="0" fillId="0" borderId="0" xfId="42" applyNumberFormat="1" applyFont="1"/>
    <xf numFmtId="0" fontId="0" fillId="0" borderId="0" xfId="0" applyAlignment="1">
      <alignment horizontal="left" vertical="top"/>
    </xf>
    <xf numFmtId="165" fontId="0" fillId="0" borderId="0" xfId="0" applyNumberFormat="1" applyAlignment="1">
      <alignment horizontal="left" vertical="top"/>
    </xf>
    <xf numFmtId="44" fontId="0" fillId="0" borderId="0" xfId="42" applyFont="1" applyAlignment="1">
      <alignment horizontal="left" vertical="top"/>
    </xf>
    <xf numFmtId="1" fontId="0" fillId="0" borderId="0" xfId="0" applyNumberFormat="1" applyAlignment="1">
      <alignment horizontal="left" vertical="top"/>
    </xf>
    <xf numFmtId="0" fontId="0" fillId="38" borderId="0" xfId="0" applyFill="1"/>
    <xf numFmtId="2" fontId="0" fillId="0" borderId="0" xfId="0" applyNumberFormat="1"/>
    <xf numFmtId="0" fontId="0" fillId="0" borderId="0" xfId="0" applyAlignment="1">
      <alignment vertical="top"/>
    </xf>
    <xf numFmtId="166" fontId="23" fillId="36" borderId="10" xfId="0" applyNumberFormat="1" applyFont="1" applyFill="1" applyBorder="1"/>
    <xf numFmtId="166" fontId="24" fillId="0" borderId="10" xfId="42" applyNumberFormat="1" applyFont="1" applyBorder="1"/>
    <xf numFmtId="166" fontId="24" fillId="0" borderId="10" xfId="0" applyNumberFormat="1" applyFont="1" applyBorder="1"/>
    <xf numFmtId="166" fontId="26" fillId="37" borderId="10" xfId="0" applyNumberFormat="1" applyFont="1" applyFill="1" applyBorder="1"/>
    <xf numFmtId="0" fontId="25" fillId="36" borderId="10" xfId="0" applyFont="1" applyFill="1" applyBorder="1" applyAlignment="1">
      <alignment horizontal="right"/>
    </xf>
    <xf numFmtId="0" fontId="21" fillId="34" borderId="10" xfId="0" applyFont="1" applyFill="1" applyBorder="1" applyAlignment="1">
      <alignment horizontal="right"/>
    </xf>
    <xf numFmtId="0" fontId="21" fillId="34" borderId="10" xfId="0" applyFont="1" applyFill="1" applyBorder="1" applyAlignment="1">
      <alignment horizontal="center"/>
    </xf>
    <xf numFmtId="0" fontId="20" fillId="0" borderId="10" xfId="0" applyFont="1" applyBorder="1" applyAlignment="1">
      <alignment horizontal="right"/>
    </xf>
    <xf numFmtId="0" fontId="22" fillId="0" borderId="0" xfId="0" applyFont="1"/>
    <xf numFmtId="2" fontId="22" fillId="0" borderId="0" xfId="0" applyNumberFormat="1" applyFont="1"/>
    <xf numFmtId="2" fontId="24" fillId="0" borderId="10" xfId="42" applyNumberFormat="1" applyFont="1" applyBorder="1"/>
    <xf numFmtId="2" fontId="24" fillId="0" borderId="10" xfId="0" applyNumberFormat="1" applyFont="1" applyBorder="1"/>
    <xf numFmtId="2" fontId="26" fillId="37" borderId="10" xfId="0" applyNumberFormat="1" applyFont="1" applyFill="1" applyBorder="1"/>
    <xf numFmtId="2" fontId="23" fillId="36" borderId="10" xfId="0" applyNumberFormat="1" applyFont="1" applyFill="1" applyBorder="1"/>
    <xf numFmtId="0" fontId="27" fillId="0" borderId="0" xfId="0" applyFont="1"/>
    <xf numFmtId="1" fontId="26" fillId="37" borderId="10" xfId="0" applyNumberFormat="1" applyFont="1" applyFill="1" applyBorder="1"/>
    <xf numFmtId="1" fontId="24" fillId="0" borderId="10" xfId="42" applyNumberFormat="1" applyFont="1" applyBorder="1"/>
    <xf numFmtId="1" fontId="23" fillId="36" borderId="10" xfId="0" applyNumberFormat="1" applyFont="1" applyFill="1" applyBorder="1"/>
    <xf numFmtId="1" fontId="24" fillId="0" borderId="10" xfId="0" applyNumberFormat="1" applyFont="1" applyBorder="1"/>
    <xf numFmtId="0" fontId="21" fillId="0" borderId="0" xfId="0" applyFont="1" applyAlignment="1">
      <alignment horizontal="right"/>
    </xf>
    <xf numFmtId="167" fontId="21" fillId="0" borderId="0" xfId="0" applyNumberFormat="1" applyFont="1"/>
    <xf numFmtId="166" fontId="24" fillId="0" borderId="11" xfId="0" applyNumberFormat="1" applyFont="1" applyBorder="1" applyAlignment="1">
      <alignment horizontal="center" vertical="center"/>
    </xf>
    <xf numFmtId="166" fontId="24" fillId="0" borderId="10" xfId="0" applyNumberFormat="1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166" fontId="28" fillId="35" borderId="10" xfId="42" applyNumberFormat="1" applyFont="1" applyFill="1" applyBorder="1" applyAlignment="1">
      <alignment horizontal="center" vertical="center"/>
    </xf>
    <xf numFmtId="166" fontId="28" fillId="35" borderId="14" xfId="42" applyNumberFormat="1" applyFont="1" applyFill="1" applyBorder="1" applyAlignment="1">
      <alignment horizontal="center" vertical="center"/>
    </xf>
    <xf numFmtId="166" fontId="23" fillId="36" borderId="11" xfId="0" applyNumberFormat="1" applyFont="1" applyFill="1" applyBorder="1" applyAlignment="1">
      <alignment horizontal="center" vertical="center"/>
    </xf>
    <xf numFmtId="166" fontId="23" fillId="36" borderId="10" xfId="42" applyNumberFormat="1" applyFont="1" applyFill="1" applyBorder="1" applyAlignment="1">
      <alignment horizontal="center" vertical="center"/>
    </xf>
    <xf numFmtId="166" fontId="23" fillId="36" borderId="10" xfId="0" applyNumberFormat="1" applyFont="1" applyFill="1" applyBorder="1" applyAlignment="1">
      <alignment horizontal="center" vertical="center"/>
    </xf>
    <xf numFmtId="0" fontId="21" fillId="0" borderId="10" xfId="0" applyFont="1" applyBorder="1" applyAlignment="1">
      <alignment horizontal="right" vertical="center"/>
    </xf>
    <xf numFmtId="0" fontId="25" fillId="36" borderId="10" xfId="0" applyFont="1" applyFill="1" applyBorder="1" applyAlignment="1">
      <alignment horizontal="right" vertical="center"/>
    </xf>
    <xf numFmtId="0" fontId="25" fillId="35" borderId="17" xfId="0" applyFont="1" applyFill="1" applyBorder="1" applyAlignment="1">
      <alignment horizontal="right" vertical="center"/>
    </xf>
    <xf numFmtId="0" fontId="25" fillId="35" borderId="19" xfId="0" applyFont="1" applyFill="1" applyBorder="1" applyAlignment="1">
      <alignment horizontal="right" vertical="center"/>
    </xf>
    <xf numFmtId="0" fontId="21" fillId="0" borderId="15" xfId="0" applyFont="1" applyBorder="1" applyAlignment="1">
      <alignment horizontal="right" vertical="center"/>
    </xf>
    <xf numFmtId="0" fontId="25" fillId="36" borderId="17" xfId="0" applyFont="1" applyFill="1" applyBorder="1" applyAlignment="1">
      <alignment horizontal="right" vertical="center"/>
    </xf>
    <xf numFmtId="0" fontId="29" fillId="34" borderId="21" xfId="0" applyFont="1" applyFill="1" applyBorder="1" applyAlignment="1">
      <alignment horizontal="right" vertical="center"/>
    </xf>
    <xf numFmtId="0" fontId="30" fillId="34" borderId="22" xfId="0" applyFont="1" applyFill="1" applyBorder="1" applyAlignment="1">
      <alignment horizontal="center" vertical="center"/>
    </xf>
    <xf numFmtId="0" fontId="31" fillId="36" borderId="22" xfId="0" applyFont="1" applyFill="1" applyBorder="1" applyAlignment="1">
      <alignment horizontal="center" vertical="center"/>
    </xf>
    <xf numFmtId="0" fontId="29" fillId="34" borderId="22" xfId="0" applyFont="1" applyFill="1" applyBorder="1" applyAlignment="1">
      <alignment horizontal="center" vertical="center"/>
    </xf>
    <xf numFmtId="0" fontId="29" fillId="34" borderId="25" xfId="0" applyFont="1" applyFill="1" applyBorder="1" applyAlignment="1">
      <alignment horizontal="right" vertical="center"/>
    </xf>
    <xf numFmtId="0" fontId="31" fillId="36" borderId="26" xfId="0" applyFont="1" applyFill="1" applyBorder="1" applyAlignment="1">
      <alignment horizontal="center" vertical="center"/>
    </xf>
    <xf numFmtId="0" fontId="29" fillId="34" borderId="26" xfId="0" applyFont="1" applyFill="1" applyBorder="1" applyAlignment="1">
      <alignment horizontal="center" vertical="center"/>
    </xf>
    <xf numFmtId="9" fontId="0" fillId="0" borderId="0" xfId="43" applyFont="1"/>
    <xf numFmtId="0" fontId="24" fillId="33" borderId="10" xfId="0" applyFont="1" applyFill="1" applyBorder="1" applyAlignment="1">
      <alignment horizontal="center" vertical="center"/>
    </xf>
    <xf numFmtId="0" fontId="24" fillId="40" borderId="10" xfId="0" applyFont="1" applyFill="1" applyBorder="1" applyAlignment="1">
      <alignment horizontal="center" vertical="center"/>
    </xf>
    <xf numFmtId="0" fontId="24" fillId="0" borderId="0" xfId="0" applyFont="1"/>
    <xf numFmtId="0" fontId="24" fillId="0" borderId="10" xfId="0" applyFont="1" applyBorder="1" applyAlignment="1">
      <alignment horizontal="center" vertical="center"/>
    </xf>
    <xf numFmtId="1" fontId="24" fillId="0" borderId="10" xfId="0" applyNumberFormat="1" applyFont="1" applyBorder="1" applyAlignment="1">
      <alignment horizontal="center" vertical="center"/>
    </xf>
    <xf numFmtId="1" fontId="24" fillId="0" borderId="0" xfId="0" applyNumberFormat="1" applyFont="1"/>
    <xf numFmtId="1" fontId="24" fillId="0" borderId="10" xfId="42" applyNumberFormat="1" applyFont="1" applyFill="1" applyBorder="1" applyAlignment="1">
      <alignment horizontal="center"/>
    </xf>
    <xf numFmtId="0" fontId="24" fillId="33" borderId="10" xfId="0" applyFont="1" applyFill="1" applyBorder="1" applyAlignment="1">
      <alignment horizontal="center"/>
    </xf>
    <xf numFmtId="44" fontId="24" fillId="33" borderId="10" xfId="42" applyFont="1" applyFill="1" applyBorder="1" applyAlignment="1">
      <alignment horizontal="center"/>
    </xf>
    <xf numFmtId="44" fontId="24" fillId="33" borderId="10" xfId="42" applyFont="1" applyFill="1" applyBorder="1" applyAlignment="1">
      <alignment horizontal="center" vertical="center"/>
    </xf>
    <xf numFmtId="44" fontId="24" fillId="0" borderId="10" xfId="42" applyFont="1" applyBorder="1" applyAlignment="1">
      <alignment horizontal="center"/>
    </xf>
    <xf numFmtId="44" fontId="24" fillId="33" borderId="28" xfId="42" applyFont="1" applyFill="1" applyBorder="1" applyAlignment="1">
      <alignment horizontal="center"/>
    </xf>
    <xf numFmtId="166" fontId="24" fillId="33" borderId="10" xfId="42" applyNumberFormat="1" applyFont="1" applyFill="1" applyBorder="1"/>
    <xf numFmtId="44" fontId="24" fillId="0" borderId="10" xfId="42" applyFont="1" applyFill="1" applyBorder="1" applyAlignment="1">
      <alignment horizontal="center"/>
    </xf>
    <xf numFmtId="44" fontId="24" fillId="0" borderId="23" xfId="42" applyFont="1" applyFill="1" applyBorder="1" applyAlignment="1">
      <alignment horizontal="center"/>
    </xf>
    <xf numFmtId="0" fontId="21" fillId="0" borderId="10" xfId="0" applyFont="1" applyBorder="1" applyAlignment="1">
      <alignment horizontal="right"/>
    </xf>
    <xf numFmtId="0" fontId="21" fillId="0" borderId="27" xfId="0" applyFont="1" applyBorder="1" applyAlignment="1">
      <alignment horizontal="right"/>
    </xf>
    <xf numFmtId="0" fontId="21" fillId="34" borderId="10" xfId="0" applyFont="1" applyFill="1" applyBorder="1" applyAlignment="1">
      <alignment horizontal="center" vertical="center"/>
    </xf>
    <xf numFmtId="164" fontId="21" fillId="34" borderId="10" xfId="0" applyNumberFormat="1" applyFont="1" applyFill="1" applyBorder="1" applyAlignment="1">
      <alignment horizontal="center" vertical="center"/>
    </xf>
    <xf numFmtId="0" fontId="24" fillId="0" borderId="10" xfId="0" applyFont="1" applyBorder="1" applyAlignment="1">
      <alignment horizontal="center"/>
    </xf>
    <xf numFmtId="0" fontId="24" fillId="33" borderId="10" xfId="0" applyFont="1" applyFill="1" applyBorder="1"/>
    <xf numFmtId="14" fontId="21" fillId="34" borderId="10" xfId="0" applyNumberFormat="1" applyFont="1" applyFill="1" applyBorder="1" applyAlignment="1">
      <alignment horizontal="center" vertical="center"/>
    </xf>
    <xf numFmtId="0" fontId="21" fillId="34" borderId="12" xfId="0" applyFont="1" applyFill="1" applyBorder="1" applyAlignment="1">
      <alignment horizontal="center" vertical="center"/>
    </xf>
    <xf numFmtId="0" fontId="21" fillId="34" borderId="13" xfId="0" applyFont="1" applyFill="1" applyBorder="1" applyAlignment="1">
      <alignment horizontal="center" vertical="center"/>
    </xf>
    <xf numFmtId="0" fontId="21" fillId="0" borderId="15" xfId="0" applyFont="1" applyBorder="1" applyAlignment="1">
      <alignment horizontal="right"/>
    </xf>
    <xf numFmtId="0" fontId="21" fillId="0" borderId="17" xfId="0" applyFont="1" applyBorder="1" applyAlignment="1">
      <alignment horizontal="right"/>
    </xf>
    <xf numFmtId="164" fontId="21" fillId="0" borderId="17" xfId="0" applyNumberFormat="1" applyFont="1" applyBorder="1" applyAlignment="1">
      <alignment horizontal="right"/>
    </xf>
    <xf numFmtId="164" fontId="21" fillId="0" borderId="19" xfId="0" applyNumberFormat="1" applyFont="1" applyBorder="1" applyAlignment="1">
      <alignment horizontal="right"/>
    </xf>
    <xf numFmtId="164" fontId="24" fillId="0" borderId="16" xfId="0" applyNumberFormat="1" applyFont="1" applyBorder="1"/>
    <xf numFmtId="164" fontId="24" fillId="0" borderId="18" xfId="0" applyNumberFormat="1" applyFont="1" applyBorder="1"/>
    <xf numFmtId="9" fontId="24" fillId="33" borderId="24" xfId="43" applyFont="1" applyFill="1" applyBorder="1"/>
    <xf numFmtId="0" fontId="24" fillId="0" borderId="16" xfId="0" applyFont="1" applyBorder="1"/>
    <xf numFmtId="0" fontId="24" fillId="0" borderId="18" xfId="0" applyFont="1" applyBorder="1"/>
    <xf numFmtId="0" fontId="24" fillId="33" borderId="20" xfId="0" applyFont="1" applyFill="1" applyBorder="1"/>
    <xf numFmtId="0" fontId="24" fillId="33" borderId="16" xfId="0" applyFont="1" applyFill="1" applyBorder="1"/>
    <xf numFmtId="0" fontId="24" fillId="39" borderId="16" xfId="0" applyFont="1" applyFill="1" applyBorder="1"/>
    <xf numFmtId="0" fontId="24" fillId="33" borderId="18" xfId="0" applyFont="1" applyFill="1" applyBorder="1"/>
    <xf numFmtId="0" fontId="21" fillId="0" borderId="10" xfId="0" applyFont="1" applyFill="1" applyBorder="1" applyAlignment="1">
      <alignment horizontal="right"/>
    </xf>
    <xf numFmtId="9" fontId="0" fillId="33" borderId="10" xfId="43" applyFont="1" applyFill="1" applyBorder="1"/>
  </cellXfs>
  <cellStyles count="44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Monétaire" xfId="42" builtinId="4"/>
    <cellStyle name="Neutre" xfId="8" builtinId="28" customBuiltin="1"/>
    <cellStyle name="Normal" xfId="0" builtinId="0"/>
    <cellStyle name="Note" xfId="15" builtinId="10" customBuiltin="1"/>
    <cellStyle name="Pourcentage" xfId="43" builtinId="5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99"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font>
        <color rgb="FF9C0006"/>
      </font>
      <fill>
        <patternFill>
          <bgColor rgb="FFFFC7CE"/>
        </patternFill>
      </fill>
    </dxf>
    <dxf>
      <numFmt numFmtId="166" formatCode="_-* #,##0\ &quot;€&quot;_-;\-* #,##0\ &quot;€&quot;_-;_-* &quot;-&quot;??\ &quot;€&quot;_-;_-@_-"/>
    </dxf>
    <dxf>
      <numFmt numFmtId="0" formatCode="General"/>
    </dxf>
    <dxf>
      <numFmt numFmtId="0" formatCode="General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0" formatCode="General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9"/>
        </patternFill>
      </fill>
    </dxf>
    <dxf>
      <fill>
        <patternFill patternType="solid">
          <fgColor indexed="64"/>
          <bgColor theme="9"/>
        </patternFill>
      </fill>
    </dxf>
    <dxf>
      <numFmt numFmtId="165" formatCode="0.0000"/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9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9"/>
        </patternFill>
      </fill>
    </dxf>
    <dxf>
      <fill>
        <patternFill patternType="solid">
          <fgColor indexed="64"/>
          <bgColor theme="9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theme="9"/>
        </patternFill>
      </fill>
    </dxf>
    <dxf>
      <numFmt numFmtId="0" formatCode="General"/>
    </dxf>
    <dxf>
      <fill>
        <patternFill patternType="solid">
          <fgColor indexed="64"/>
          <bgColor theme="9"/>
        </patternFill>
      </fill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165" formatCode="0.0000"/>
    </dxf>
    <dxf>
      <numFmt numFmtId="165" formatCode="0.00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165" formatCode="0.0000"/>
    </dxf>
    <dxf>
      <numFmt numFmtId="165" formatCode="0.00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left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2.xml"/><Relationship Id="rId13" Type="http://schemas.openxmlformats.org/officeDocument/2006/relationships/worksheet" Target="worksheets/sheet7.xml"/><Relationship Id="rId18" Type="http://schemas.openxmlformats.org/officeDocument/2006/relationships/pivotCacheDefinition" Target="pivotCache/pivotCacheDefinition1.xml"/><Relationship Id="rId3" Type="http://schemas.openxmlformats.org/officeDocument/2006/relationships/chartsheet" Target="chart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1.xml"/><Relationship Id="rId12" Type="http://schemas.openxmlformats.org/officeDocument/2006/relationships/worksheet" Target="worksheets/sheet6.xml"/><Relationship Id="rId17" Type="http://schemas.openxmlformats.org/officeDocument/2006/relationships/worksheet" Target="worksheets/sheet11.xml"/><Relationship Id="rId25" Type="http://schemas.microsoft.com/office/2006/relationships/vbaProject" Target="vbaProject.bin"/><Relationship Id="rId2" Type="http://schemas.openxmlformats.org/officeDocument/2006/relationships/chartsheet" Target="chartsheets/sheet2.xml"/><Relationship Id="rId16" Type="http://schemas.openxmlformats.org/officeDocument/2006/relationships/worksheet" Target="worksheets/sheet10.xml"/><Relationship Id="rId20" Type="http://schemas.openxmlformats.org/officeDocument/2006/relationships/connections" Target="connections.xml"/><Relationship Id="rId1" Type="http://schemas.openxmlformats.org/officeDocument/2006/relationships/chartsheet" Target="chartsheets/sheet1.xml"/><Relationship Id="rId6" Type="http://schemas.openxmlformats.org/officeDocument/2006/relationships/chartsheet" Target="chartsheets/sheet6.xml"/><Relationship Id="rId11" Type="http://schemas.openxmlformats.org/officeDocument/2006/relationships/worksheet" Target="worksheets/sheet5.xml"/><Relationship Id="rId24" Type="http://schemas.openxmlformats.org/officeDocument/2006/relationships/customXml" Target="../customXml/item1.xml"/><Relationship Id="rId5" Type="http://schemas.openxmlformats.org/officeDocument/2006/relationships/chartsheet" Target="chartsheets/sheet5.xml"/><Relationship Id="rId15" Type="http://schemas.openxmlformats.org/officeDocument/2006/relationships/worksheet" Target="worksheets/sheet9.xml"/><Relationship Id="rId23" Type="http://schemas.openxmlformats.org/officeDocument/2006/relationships/calcChain" Target="calcChain.xml"/><Relationship Id="rId10" Type="http://schemas.openxmlformats.org/officeDocument/2006/relationships/worksheet" Target="worksheets/sheet4.xml"/><Relationship Id="rId19" Type="http://schemas.openxmlformats.org/officeDocument/2006/relationships/theme" Target="theme/theme1.xml"/><Relationship Id="rId4" Type="http://schemas.openxmlformats.org/officeDocument/2006/relationships/chartsheet" Target="chartsheets/sheet4.xml"/><Relationship Id="rId9" Type="http://schemas.openxmlformats.org/officeDocument/2006/relationships/worksheet" Target="worksheets/sheet3.xml"/><Relationship Id="rId14" Type="http://schemas.openxmlformats.org/officeDocument/2006/relationships/worksheet" Target="worksheets/sheet8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inter_graph!$R$1</c:f>
              <c:strCache>
                <c:ptCount val="1"/>
                <c:pt idx="0">
                  <c:v>2024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inter_graph!$O$2:$O$11</c:f>
              <c:strCache>
                <c:ptCount val="10"/>
                <c:pt idx="0">
                  <c:v>CR</c:v>
                </c:pt>
                <c:pt idx="1">
                  <c:v>00 - 04 ans</c:v>
                </c:pt>
                <c:pt idx="2">
                  <c:v>05 - 09 ans</c:v>
                </c:pt>
                <c:pt idx="3">
                  <c:v>10 - 14 ans</c:v>
                </c:pt>
                <c:pt idx="4">
                  <c:v>15 - 19 ans</c:v>
                </c:pt>
                <c:pt idx="5">
                  <c:v>20 - 24 ans</c:v>
                </c:pt>
                <c:pt idx="6">
                  <c:v>25 - 29 ans</c:v>
                </c:pt>
                <c:pt idx="7">
                  <c:v>30 - 34 ans</c:v>
                </c:pt>
                <c:pt idx="8">
                  <c:v>35 - 39 ans</c:v>
                </c:pt>
                <c:pt idx="9">
                  <c:v>40 ans &amp; +</c:v>
                </c:pt>
              </c:strCache>
            </c:strRef>
          </c:cat>
          <c:val>
            <c:numRef>
              <c:f>inter_graph!$R$2:$R$11</c:f>
              <c:numCache>
                <c:formatCode>#,##0.00</c:formatCode>
                <c:ptCount val="10"/>
                <c:pt idx="0">
                  <c:v>116.66459999999999</c:v>
                </c:pt>
                <c:pt idx="1">
                  <c:v>39.159599999999998</c:v>
                </c:pt>
                <c:pt idx="2">
                  <c:v>189.52190000000002</c:v>
                </c:pt>
                <c:pt idx="3">
                  <c:v>170.77819999999997</c:v>
                </c:pt>
                <c:pt idx="4">
                  <c:v>147.96629999999996</c:v>
                </c:pt>
                <c:pt idx="5">
                  <c:v>46.795200000000008</c:v>
                </c:pt>
                <c:pt idx="6">
                  <c:v>13.8187</c:v>
                </c:pt>
                <c:pt idx="7">
                  <c:v>8.5400000000000004E-2</c:v>
                </c:pt>
                <c:pt idx="8">
                  <c:v>14.866900000000001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0C-4426-A4A1-FF4E93D2014E}"/>
            </c:ext>
          </c:extLst>
        </c:ser>
        <c:ser>
          <c:idx val="1"/>
          <c:order val="1"/>
          <c:tx>
            <c:strRef>
              <c:f>inter_graph!$W$1</c:f>
              <c:strCache>
                <c:ptCount val="1"/>
                <c:pt idx="0">
                  <c:v>2029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inter_graph!$O$2:$O$11</c:f>
              <c:strCache>
                <c:ptCount val="10"/>
                <c:pt idx="0">
                  <c:v>CR</c:v>
                </c:pt>
                <c:pt idx="1">
                  <c:v>00 - 04 ans</c:v>
                </c:pt>
                <c:pt idx="2">
                  <c:v>05 - 09 ans</c:v>
                </c:pt>
                <c:pt idx="3">
                  <c:v>10 - 14 ans</c:v>
                </c:pt>
                <c:pt idx="4">
                  <c:v>15 - 19 ans</c:v>
                </c:pt>
                <c:pt idx="5">
                  <c:v>20 - 24 ans</c:v>
                </c:pt>
                <c:pt idx="6">
                  <c:v>25 - 29 ans</c:v>
                </c:pt>
                <c:pt idx="7">
                  <c:v>30 - 34 ans</c:v>
                </c:pt>
                <c:pt idx="8">
                  <c:v>35 - 39 ans</c:v>
                </c:pt>
                <c:pt idx="9">
                  <c:v>40 ans &amp; +</c:v>
                </c:pt>
              </c:strCache>
            </c:strRef>
          </c:cat>
          <c:val>
            <c:numRef>
              <c:f>inter_graph!$W$2:$W$11</c:f>
              <c:numCache>
                <c:formatCode>#,##0.00</c:formatCode>
                <c:ptCount val="10"/>
                <c:pt idx="0">
                  <c:v>17.468300000000003</c:v>
                </c:pt>
                <c:pt idx="1">
                  <c:v>149.47719999999998</c:v>
                </c:pt>
                <c:pt idx="2">
                  <c:v>39.159599999999998</c:v>
                </c:pt>
                <c:pt idx="3">
                  <c:v>189.52190000000002</c:v>
                </c:pt>
                <c:pt idx="4">
                  <c:v>170.77819999999997</c:v>
                </c:pt>
                <c:pt idx="5">
                  <c:v>147.96629999999996</c:v>
                </c:pt>
                <c:pt idx="6">
                  <c:v>11.4666</c:v>
                </c:pt>
                <c:pt idx="7">
                  <c:v>13.8187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0C-4426-A4A1-FF4E93D2014E}"/>
            </c:ext>
          </c:extLst>
        </c:ser>
        <c:ser>
          <c:idx val="2"/>
          <c:order val="2"/>
          <c:tx>
            <c:strRef>
              <c:f>inter_graph!$AA$1</c:f>
              <c:strCache>
                <c:ptCount val="1"/>
                <c:pt idx="0">
                  <c:v>2033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inter_graph!$O$2:$O$11</c:f>
              <c:strCache>
                <c:ptCount val="10"/>
                <c:pt idx="0">
                  <c:v>CR</c:v>
                </c:pt>
                <c:pt idx="1">
                  <c:v>00 - 04 ans</c:v>
                </c:pt>
                <c:pt idx="2">
                  <c:v>05 - 09 ans</c:v>
                </c:pt>
                <c:pt idx="3">
                  <c:v>10 - 14 ans</c:v>
                </c:pt>
                <c:pt idx="4">
                  <c:v>15 - 19 ans</c:v>
                </c:pt>
                <c:pt idx="5">
                  <c:v>20 - 24 ans</c:v>
                </c:pt>
                <c:pt idx="6">
                  <c:v>25 - 29 ans</c:v>
                </c:pt>
                <c:pt idx="7">
                  <c:v>30 - 34 ans</c:v>
                </c:pt>
                <c:pt idx="8">
                  <c:v>35 - 39 ans</c:v>
                </c:pt>
                <c:pt idx="9">
                  <c:v>40 ans &amp; +</c:v>
                </c:pt>
              </c:strCache>
            </c:strRef>
          </c:cat>
          <c:val>
            <c:numRef>
              <c:f>inter_graph!$AA$2:$AA$11</c:f>
              <c:numCache>
                <c:formatCode>#,##0.00</c:formatCode>
                <c:ptCount val="10"/>
                <c:pt idx="0">
                  <c:v>18.321400000000001</c:v>
                </c:pt>
                <c:pt idx="1">
                  <c:v>84.121399999999994</c:v>
                </c:pt>
                <c:pt idx="2">
                  <c:v>166.93059999999997</c:v>
                </c:pt>
                <c:pt idx="3">
                  <c:v>32.475900000000003</c:v>
                </c:pt>
                <c:pt idx="4">
                  <c:v>230.13549999999998</c:v>
                </c:pt>
                <c:pt idx="5">
                  <c:v>129.28249999999997</c:v>
                </c:pt>
                <c:pt idx="6">
                  <c:v>68.353700000000003</c:v>
                </c:pt>
                <c:pt idx="7">
                  <c:v>10.0358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0C-4426-A4A1-FF4E93D201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7512415"/>
        <c:axId val="250245775"/>
      </c:radarChart>
      <c:catAx>
        <c:axId val="42751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50245775"/>
        <c:crosses val="autoZero"/>
        <c:auto val="1"/>
        <c:lblAlgn val="ctr"/>
        <c:lblOffset val="100"/>
        <c:noMultiLvlLbl val="0"/>
      </c:catAx>
      <c:valAx>
        <c:axId val="25024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751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2"/>
          <c:tx>
            <c:strRef>
              <c:f>inter_graph!$R$1</c:f>
              <c:strCache>
                <c:ptCount val="1"/>
                <c:pt idx="0">
                  <c:v>2024</c:v>
                </c:pt>
              </c:strCache>
              <c:extLst xmlns:c15="http://schemas.microsoft.com/office/drawing/2012/chart"/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inter_graph!$O$3:$O$15</c:f>
              <c:strCache>
                <c:ptCount val="9"/>
                <c:pt idx="0">
                  <c:v>00 - 04 ans</c:v>
                </c:pt>
                <c:pt idx="1">
                  <c:v>05 - 09 ans</c:v>
                </c:pt>
                <c:pt idx="2">
                  <c:v>10 - 14 ans</c:v>
                </c:pt>
                <c:pt idx="3">
                  <c:v>15 - 19 ans</c:v>
                </c:pt>
                <c:pt idx="4">
                  <c:v>20 - 24 ans</c:v>
                </c:pt>
                <c:pt idx="5">
                  <c:v>25 - 29 ans</c:v>
                </c:pt>
                <c:pt idx="6">
                  <c:v>30 - 34 ans</c:v>
                </c:pt>
                <c:pt idx="7">
                  <c:v>35 - 39 ans</c:v>
                </c:pt>
                <c:pt idx="8">
                  <c:v>40 ans &amp; +</c:v>
                </c:pt>
              </c:strCache>
            </c:strRef>
          </c:cat>
          <c:val>
            <c:numRef>
              <c:f>inter_graph!$R$2:$R$11</c:f>
              <c:numCache>
                <c:formatCode>#,##0.00</c:formatCode>
                <c:ptCount val="10"/>
                <c:pt idx="0">
                  <c:v>116.66459999999999</c:v>
                </c:pt>
                <c:pt idx="1">
                  <c:v>39.159599999999998</c:v>
                </c:pt>
                <c:pt idx="2">
                  <c:v>189.52190000000002</c:v>
                </c:pt>
                <c:pt idx="3">
                  <c:v>170.77819999999997</c:v>
                </c:pt>
                <c:pt idx="4">
                  <c:v>147.96629999999996</c:v>
                </c:pt>
                <c:pt idx="5">
                  <c:v>46.795200000000008</c:v>
                </c:pt>
                <c:pt idx="6">
                  <c:v>13.8187</c:v>
                </c:pt>
                <c:pt idx="7">
                  <c:v>8.5400000000000004E-2</c:v>
                </c:pt>
                <c:pt idx="8">
                  <c:v>14.866900000000001</c:v>
                </c:pt>
                <c:pt idx="9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27A8-41BF-977D-68BFF3D7A44A}"/>
            </c:ext>
          </c:extLst>
        </c:ser>
        <c:ser>
          <c:idx val="8"/>
          <c:order val="7"/>
          <c:tx>
            <c:strRef>
              <c:f>inter_graph!$W$1</c:f>
              <c:strCache>
                <c:ptCount val="1"/>
                <c:pt idx="0">
                  <c:v>2029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inter_graph!$O$3:$O$15</c:f>
              <c:strCache>
                <c:ptCount val="9"/>
                <c:pt idx="0">
                  <c:v>00 - 04 ans</c:v>
                </c:pt>
                <c:pt idx="1">
                  <c:v>05 - 09 ans</c:v>
                </c:pt>
                <c:pt idx="2">
                  <c:v>10 - 14 ans</c:v>
                </c:pt>
                <c:pt idx="3">
                  <c:v>15 - 19 ans</c:v>
                </c:pt>
                <c:pt idx="4">
                  <c:v>20 - 24 ans</c:v>
                </c:pt>
                <c:pt idx="5">
                  <c:v>25 - 29 ans</c:v>
                </c:pt>
                <c:pt idx="6">
                  <c:v>30 - 34 ans</c:v>
                </c:pt>
                <c:pt idx="7">
                  <c:v>35 - 39 ans</c:v>
                </c:pt>
                <c:pt idx="8">
                  <c:v>40 ans &amp; +</c:v>
                </c:pt>
              </c:strCache>
            </c:strRef>
          </c:cat>
          <c:val>
            <c:numRef>
              <c:f>inter_graph!$W$2:$W$11</c:f>
              <c:numCache>
                <c:formatCode>#,##0.00</c:formatCode>
                <c:ptCount val="10"/>
                <c:pt idx="0">
                  <c:v>17.468300000000003</c:v>
                </c:pt>
                <c:pt idx="1">
                  <c:v>149.47719999999998</c:v>
                </c:pt>
                <c:pt idx="2">
                  <c:v>39.159599999999998</c:v>
                </c:pt>
                <c:pt idx="3">
                  <c:v>189.52190000000002</c:v>
                </c:pt>
                <c:pt idx="4">
                  <c:v>170.77819999999997</c:v>
                </c:pt>
                <c:pt idx="5">
                  <c:v>147.96629999999996</c:v>
                </c:pt>
                <c:pt idx="6">
                  <c:v>11.4666</c:v>
                </c:pt>
                <c:pt idx="7">
                  <c:v>13.8187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7A8-41BF-977D-68BFF3D7A44A}"/>
            </c:ext>
          </c:extLst>
        </c:ser>
        <c:ser>
          <c:idx val="12"/>
          <c:order val="11"/>
          <c:tx>
            <c:strRef>
              <c:f>inter_graph!$AA$1</c:f>
              <c:strCache>
                <c:ptCount val="1"/>
                <c:pt idx="0">
                  <c:v>2033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inter_graph!$O$3:$O$15</c:f>
              <c:strCache>
                <c:ptCount val="9"/>
                <c:pt idx="0">
                  <c:v>00 - 04 ans</c:v>
                </c:pt>
                <c:pt idx="1">
                  <c:v>05 - 09 ans</c:v>
                </c:pt>
                <c:pt idx="2">
                  <c:v>10 - 14 ans</c:v>
                </c:pt>
                <c:pt idx="3">
                  <c:v>15 - 19 ans</c:v>
                </c:pt>
                <c:pt idx="4">
                  <c:v>20 - 24 ans</c:v>
                </c:pt>
                <c:pt idx="5">
                  <c:v>25 - 29 ans</c:v>
                </c:pt>
                <c:pt idx="6">
                  <c:v>30 - 34 ans</c:v>
                </c:pt>
                <c:pt idx="7">
                  <c:v>35 - 39 ans</c:v>
                </c:pt>
                <c:pt idx="8">
                  <c:v>40 ans &amp; +</c:v>
                </c:pt>
              </c:strCache>
              <c:extLst xmlns:c15="http://schemas.microsoft.com/office/drawing/2012/chart"/>
            </c:strRef>
          </c:cat>
          <c:val>
            <c:numRef>
              <c:f>inter_graph!$AA$2:$AA$11</c:f>
              <c:numCache>
                <c:formatCode>#,##0.00</c:formatCode>
                <c:ptCount val="10"/>
                <c:pt idx="0">
                  <c:v>18.321400000000001</c:v>
                </c:pt>
                <c:pt idx="1">
                  <c:v>84.121399999999994</c:v>
                </c:pt>
                <c:pt idx="2">
                  <c:v>166.93059999999997</c:v>
                </c:pt>
                <c:pt idx="3">
                  <c:v>32.475900000000003</c:v>
                </c:pt>
                <c:pt idx="4">
                  <c:v>230.13549999999998</c:v>
                </c:pt>
                <c:pt idx="5">
                  <c:v>129.28249999999997</c:v>
                </c:pt>
                <c:pt idx="6">
                  <c:v>68.353700000000003</c:v>
                </c:pt>
                <c:pt idx="7">
                  <c:v>10.0358</c:v>
                </c:pt>
                <c:pt idx="8">
                  <c:v>0</c:v>
                </c:pt>
                <c:pt idx="9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A-27A8-41BF-977D-68BFF3D7A4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8621120"/>
        <c:axId val="8621952"/>
        <c:extLst>
          <c:ext xmlns:c15="http://schemas.microsoft.com/office/drawing/2012/chart" uri="{02D57815-91ED-43cb-92C2-25804820EDAC}">
            <c15:filteredBarSeries>
              <c15:ser>
                <c:idx val="4"/>
                <c:order val="3"/>
                <c:tx>
                  <c:strRef>
                    <c:extLst>
                      <c:ext uri="{02D57815-91ED-43cb-92C2-25804820EDAC}">
                        <c15:formulaRef>
                          <c15:sqref>inter_graph!$S$1</c15:sqref>
                        </c15:formulaRef>
                      </c:ext>
                    </c:extLst>
                    <c:strCache>
                      <c:ptCount val="1"/>
                      <c:pt idx="0">
                        <c:v>2025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inter_graph!$O$3:$O$15</c15:sqref>
                        </c15:formulaRef>
                      </c:ext>
                    </c:extLst>
                    <c:strCache>
                      <c:ptCount val="9"/>
                      <c:pt idx="0">
                        <c:v>00 - 04 ans</c:v>
                      </c:pt>
                      <c:pt idx="1">
                        <c:v>05 - 09 ans</c:v>
                      </c:pt>
                      <c:pt idx="2">
                        <c:v>10 - 14 ans</c:v>
                      </c:pt>
                      <c:pt idx="3">
                        <c:v>15 - 19 ans</c:v>
                      </c:pt>
                      <c:pt idx="4">
                        <c:v>20 - 24 ans</c:v>
                      </c:pt>
                      <c:pt idx="5">
                        <c:v>25 - 29 ans</c:v>
                      </c:pt>
                      <c:pt idx="6">
                        <c:v>30 - 34 ans</c:v>
                      </c:pt>
                      <c:pt idx="7">
                        <c:v>35 - 39 ans</c:v>
                      </c:pt>
                      <c:pt idx="8">
                        <c:v>40 ans &amp; +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inter_graph!$S$2:$S$11</c15:sqref>
                        </c15:formulaRef>
                      </c:ext>
                    </c:extLst>
                    <c:numCache>
                      <c:formatCode>#,##0.00</c:formatCode>
                      <c:ptCount val="10"/>
                      <c:pt idx="0">
                        <c:v>24.915100000000002</c:v>
                      </c:pt>
                      <c:pt idx="1">
                        <c:v>142.85049999999998</c:v>
                      </c:pt>
                      <c:pt idx="2">
                        <c:v>103.49289999999999</c:v>
                      </c:pt>
                      <c:pt idx="3">
                        <c:v>246.80259999999998</c:v>
                      </c:pt>
                      <c:pt idx="4">
                        <c:v>80.989199999999983</c:v>
                      </c:pt>
                      <c:pt idx="5">
                        <c:v>126.78779999999998</c:v>
                      </c:pt>
                      <c:pt idx="6">
                        <c:v>3.1713000000000005</c:v>
                      </c:pt>
                      <c:pt idx="7">
                        <c:v>10.647399999999999</c:v>
                      </c:pt>
                      <c:pt idx="8">
                        <c:v>0</c:v>
                      </c:pt>
                      <c:pt idx="9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27A8-41BF-977D-68BFF3D7A44A}"/>
                  </c:ext>
                </c:extLst>
              </c15:ser>
            </c15:filteredBarSeries>
            <c15:filteredBarSeries>
              <c15:ser>
                <c:idx val="5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inter_graph!$T$1</c15:sqref>
                        </c15:formulaRef>
                      </c:ext>
                    </c:extLst>
                    <c:strCache>
                      <c:ptCount val="1"/>
                      <c:pt idx="0">
                        <c:v>2026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inter_graph!$O$3:$O$15</c15:sqref>
                        </c15:formulaRef>
                      </c:ext>
                    </c:extLst>
                    <c:strCache>
                      <c:ptCount val="9"/>
                      <c:pt idx="0">
                        <c:v>00 - 04 ans</c:v>
                      </c:pt>
                      <c:pt idx="1">
                        <c:v>05 - 09 ans</c:v>
                      </c:pt>
                      <c:pt idx="2">
                        <c:v>10 - 14 ans</c:v>
                      </c:pt>
                      <c:pt idx="3">
                        <c:v>15 - 19 ans</c:v>
                      </c:pt>
                      <c:pt idx="4">
                        <c:v>20 - 24 ans</c:v>
                      </c:pt>
                      <c:pt idx="5">
                        <c:v>25 - 29 ans</c:v>
                      </c:pt>
                      <c:pt idx="6">
                        <c:v>30 - 34 ans</c:v>
                      </c:pt>
                      <c:pt idx="7">
                        <c:v>35 - 39 ans</c:v>
                      </c:pt>
                      <c:pt idx="8">
                        <c:v>40 ans &amp; +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inter_graph!$T$2:$T$11</c15:sqref>
                        </c15:formulaRef>
                      </c:ext>
                    </c:extLst>
                    <c:numCache>
                      <c:formatCode>#,##0.00</c:formatCode>
                      <c:ptCount val="10"/>
                      <c:pt idx="0">
                        <c:v>8.5400000000000004E-2</c:v>
                      </c:pt>
                      <c:pt idx="1">
                        <c:v>167.68019999999999</c:v>
                      </c:pt>
                      <c:pt idx="2">
                        <c:v>103.49289999999999</c:v>
                      </c:pt>
                      <c:pt idx="3">
                        <c:v>246.80259999999998</c:v>
                      </c:pt>
                      <c:pt idx="4">
                        <c:v>48.632099999999994</c:v>
                      </c:pt>
                      <c:pt idx="5">
                        <c:v>159.14489999999998</c:v>
                      </c:pt>
                      <c:pt idx="6">
                        <c:v>3.1713000000000005</c:v>
                      </c:pt>
                      <c:pt idx="7">
                        <c:v>10.647399999999999</c:v>
                      </c:pt>
                      <c:pt idx="8">
                        <c:v>0</c:v>
                      </c:pt>
                      <c:pt idx="9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27A8-41BF-977D-68BFF3D7A44A}"/>
                  </c:ext>
                </c:extLst>
              </c15:ser>
            </c15:filteredBarSeries>
            <c15:filteredBarSeries>
              <c15:ser>
                <c:idx val="6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inter_graph!$U$1</c15:sqref>
                        </c15:formulaRef>
                      </c:ext>
                    </c:extLst>
                    <c:strCache>
                      <c:ptCount val="1"/>
                      <c:pt idx="0">
                        <c:v>2027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inter_graph!$O$3:$O$15</c15:sqref>
                        </c15:formulaRef>
                      </c:ext>
                    </c:extLst>
                    <c:strCache>
                      <c:ptCount val="9"/>
                      <c:pt idx="0">
                        <c:v>00 - 04 ans</c:v>
                      </c:pt>
                      <c:pt idx="1">
                        <c:v>05 - 09 ans</c:v>
                      </c:pt>
                      <c:pt idx="2">
                        <c:v>10 - 14 ans</c:v>
                      </c:pt>
                      <c:pt idx="3">
                        <c:v>15 - 19 ans</c:v>
                      </c:pt>
                      <c:pt idx="4">
                        <c:v>20 - 24 ans</c:v>
                      </c:pt>
                      <c:pt idx="5">
                        <c:v>25 - 29 ans</c:v>
                      </c:pt>
                      <c:pt idx="6">
                        <c:v>30 - 34 ans</c:v>
                      </c:pt>
                      <c:pt idx="7">
                        <c:v>35 - 39 ans</c:v>
                      </c:pt>
                      <c:pt idx="8">
                        <c:v>40 ans &amp; +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inter_graph!$U$2:$U$11</c15:sqref>
                        </c15:formulaRef>
                      </c:ext>
                    </c:extLst>
                    <c:numCache>
                      <c:formatCode>#,##0.00</c:formatCode>
                      <c:ptCount val="10"/>
                      <c:pt idx="0">
                        <c:v>8.5400000000000004E-2</c:v>
                      </c:pt>
                      <c:pt idx="1">
                        <c:v>167.68019999999999</c:v>
                      </c:pt>
                      <c:pt idx="2">
                        <c:v>57.782999999999987</c:v>
                      </c:pt>
                      <c:pt idx="3">
                        <c:v>210.31209999999999</c:v>
                      </c:pt>
                      <c:pt idx="4">
                        <c:v>130.83249999999998</c:v>
                      </c:pt>
                      <c:pt idx="5">
                        <c:v>159.14489999999998</c:v>
                      </c:pt>
                      <c:pt idx="6">
                        <c:v>0</c:v>
                      </c:pt>
                      <c:pt idx="7">
                        <c:v>13.8187</c:v>
                      </c:pt>
                      <c:pt idx="8">
                        <c:v>0</c:v>
                      </c:pt>
                      <c:pt idx="9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27A8-41BF-977D-68BFF3D7A44A}"/>
                  </c:ext>
                </c:extLst>
              </c15:ser>
            </c15:filteredBarSeries>
            <c15:filteredBarSeries>
              <c15:ser>
                <c:idx val="7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inter_graph!$V$1</c15:sqref>
                        </c15:formulaRef>
                      </c:ext>
                    </c:extLst>
                    <c:strCache>
                      <c:ptCount val="1"/>
                      <c:pt idx="0">
                        <c:v>2028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inter_graph!$O$3:$O$15</c15:sqref>
                        </c15:formulaRef>
                      </c:ext>
                    </c:extLst>
                    <c:strCache>
                      <c:ptCount val="9"/>
                      <c:pt idx="0">
                        <c:v>00 - 04 ans</c:v>
                      </c:pt>
                      <c:pt idx="1">
                        <c:v>05 - 09 ans</c:v>
                      </c:pt>
                      <c:pt idx="2">
                        <c:v>10 - 14 ans</c:v>
                      </c:pt>
                      <c:pt idx="3">
                        <c:v>15 - 19 ans</c:v>
                      </c:pt>
                      <c:pt idx="4">
                        <c:v>20 - 24 ans</c:v>
                      </c:pt>
                      <c:pt idx="5">
                        <c:v>25 - 29 ans</c:v>
                      </c:pt>
                      <c:pt idx="6">
                        <c:v>30 - 34 ans</c:v>
                      </c:pt>
                      <c:pt idx="7">
                        <c:v>35 - 39 ans</c:v>
                      </c:pt>
                      <c:pt idx="8">
                        <c:v>40 ans &amp; +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inter_graph!$V$2:$V$11</c15:sqref>
                        </c15:formulaRef>
                      </c:ext>
                    </c:extLst>
                    <c:numCache>
                      <c:formatCode>#,##0.00</c:formatCode>
                      <c:ptCount val="10"/>
                      <c:pt idx="0">
                        <c:v>17.860299999999999</c:v>
                      </c:pt>
                      <c:pt idx="1">
                        <c:v>166.93059999999997</c:v>
                      </c:pt>
                      <c:pt idx="2">
                        <c:v>32.475900000000003</c:v>
                      </c:pt>
                      <c:pt idx="3">
                        <c:v>230.13549999999998</c:v>
                      </c:pt>
                      <c:pt idx="4">
                        <c:v>129.28249999999997</c:v>
                      </c:pt>
                      <c:pt idx="5">
                        <c:v>139.11749999999998</c:v>
                      </c:pt>
                      <c:pt idx="6">
                        <c:v>10.0358</c:v>
                      </c:pt>
                      <c:pt idx="7">
                        <c:v>13.8187</c:v>
                      </c:pt>
                      <c:pt idx="8">
                        <c:v>0</c:v>
                      </c:pt>
                      <c:pt idx="9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7A8-41BF-977D-68BFF3D7A44A}"/>
                  </c:ext>
                </c:extLst>
              </c15:ser>
            </c15:filteredBarSeries>
            <c15:filteredBarSeries>
              <c15:ser>
                <c:idx val="9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inter_graph!$X$1</c15:sqref>
                        </c15:formulaRef>
                      </c:ext>
                    </c:extLst>
                    <c:strCache>
                      <c:ptCount val="1"/>
                      <c:pt idx="0">
                        <c:v>2030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inter_graph!$O$3:$O$15</c15:sqref>
                        </c15:formulaRef>
                      </c:ext>
                    </c:extLst>
                    <c:strCache>
                      <c:ptCount val="9"/>
                      <c:pt idx="0">
                        <c:v>00 - 04 ans</c:v>
                      </c:pt>
                      <c:pt idx="1">
                        <c:v>05 - 09 ans</c:v>
                      </c:pt>
                      <c:pt idx="2">
                        <c:v>10 - 14 ans</c:v>
                      </c:pt>
                      <c:pt idx="3">
                        <c:v>15 - 19 ans</c:v>
                      </c:pt>
                      <c:pt idx="4">
                        <c:v>20 - 24 ans</c:v>
                      </c:pt>
                      <c:pt idx="5">
                        <c:v>25 - 29 ans</c:v>
                      </c:pt>
                      <c:pt idx="6">
                        <c:v>30 - 34 ans</c:v>
                      </c:pt>
                      <c:pt idx="7">
                        <c:v>35 - 39 ans</c:v>
                      </c:pt>
                      <c:pt idx="8">
                        <c:v>40 ans &amp; +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inter_graph!$X$2:$X$11</c15:sqref>
                        </c15:formulaRef>
                      </c:ext>
                    </c:extLst>
                    <c:numCache>
                      <c:formatCode>#,##0.00</c:formatCode>
                      <c:ptCount val="10"/>
                      <c:pt idx="0">
                        <c:v>28.189399999999999</c:v>
                      </c:pt>
                      <c:pt idx="1">
                        <c:v>49.478899999999996</c:v>
                      </c:pt>
                      <c:pt idx="2">
                        <c:v>142.85049999999998</c:v>
                      </c:pt>
                      <c:pt idx="3">
                        <c:v>103.49289999999999</c:v>
                      </c:pt>
                      <c:pt idx="4">
                        <c:v>246.80259999999998</c:v>
                      </c:pt>
                      <c:pt idx="5">
                        <c:v>80.989199999999983</c:v>
                      </c:pt>
                      <c:pt idx="6">
                        <c:v>84.682000000000002</c:v>
                      </c:pt>
                      <c:pt idx="7">
                        <c:v>3.1713000000000005</c:v>
                      </c:pt>
                      <c:pt idx="8">
                        <c:v>0</c:v>
                      </c:pt>
                      <c:pt idx="9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27A8-41BF-977D-68BFF3D7A44A}"/>
                  </c:ext>
                </c:extLst>
              </c15:ser>
            </c15:filteredBarSeries>
            <c15:filteredBarSeries>
              <c15:ser>
                <c:idx val="10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inter_graph!$Y$1</c15:sqref>
                        </c15:formulaRef>
                      </c:ext>
                    </c:extLst>
                    <c:strCache>
                      <c:ptCount val="1"/>
                      <c:pt idx="0">
                        <c:v>2031</c:v>
                      </c:pt>
                    </c:strCache>
                  </c:strRef>
                </c:tx>
                <c:spPr>
                  <a:solidFill>
                    <a:schemeClr val="accent5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inter_graph!$O$3:$O$15</c15:sqref>
                        </c15:formulaRef>
                      </c:ext>
                    </c:extLst>
                    <c:strCache>
                      <c:ptCount val="9"/>
                      <c:pt idx="0">
                        <c:v>00 - 04 ans</c:v>
                      </c:pt>
                      <c:pt idx="1">
                        <c:v>05 - 09 ans</c:v>
                      </c:pt>
                      <c:pt idx="2">
                        <c:v>10 - 14 ans</c:v>
                      </c:pt>
                      <c:pt idx="3">
                        <c:v>15 - 19 ans</c:v>
                      </c:pt>
                      <c:pt idx="4">
                        <c:v>20 - 24 ans</c:v>
                      </c:pt>
                      <c:pt idx="5">
                        <c:v>25 - 29 ans</c:v>
                      </c:pt>
                      <c:pt idx="6">
                        <c:v>30 - 34 ans</c:v>
                      </c:pt>
                      <c:pt idx="7">
                        <c:v>35 - 39 ans</c:v>
                      </c:pt>
                      <c:pt idx="8">
                        <c:v>40 ans &amp; +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inter_graph!$Y$2:$Y$11</c15:sqref>
                        </c15:formulaRef>
                      </c:ext>
                    </c:extLst>
                    <c:numCache>
                      <c:formatCode>#,##0.00</c:formatCode>
                      <c:ptCount val="10"/>
                      <c:pt idx="0">
                        <c:v>17.404699999999998</c:v>
                      </c:pt>
                      <c:pt idx="1">
                        <c:v>52.078799999999994</c:v>
                      </c:pt>
                      <c:pt idx="2">
                        <c:v>167.68019999999999</c:v>
                      </c:pt>
                      <c:pt idx="3">
                        <c:v>103.49289999999999</c:v>
                      </c:pt>
                      <c:pt idx="4">
                        <c:v>246.80259999999998</c:v>
                      </c:pt>
                      <c:pt idx="5">
                        <c:v>48.632099999999994</c:v>
                      </c:pt>
                      <c:pt idx="6">
                        <c:v>100.3942</c:v>
                      </c:pt>
                      <c:pt idx="7">
                        <c:v>3.1713000000000005</c:v>
                      </c:pt>
                      <c:pt idx="8">
                        <c:v>0</c:v>
                      </c:pt>
                      <c:pt idx="9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27A8-41BF-977D-68BFF3D7A44A}"/>
                  </c:ext>
                </c:extLst>
              </c15:ser>
            </c15:filteredBarSeries>
            <c15:filteredBarSeries>
              <c15:ser>
                <c:idx val="11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inter_graph!$Z$1</c15:sqref>
                        </c15:formulaRef>
                      </c:ext>
                    </c:extLst>
                    <c:strCache>
                      <c:ptCount val="1"/>
                      <c:pt idx="0">
                        <c:v>2032</c:v>
                      </c:pt>
                    </c:strCache>
                  </c:strRef>
                </c:tx>
                <c:spPr>
                  <a:solidFill>
                    <a:schemeClr val="accent6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inter_graph!$O$3:$O$15</c15:sqref>
                        </c15:formulaRef>
                      </c:ext>
                    </c:extLst>
                    <c:strCache>
                      <c:ptCount val="9"/>
                      <c:pt idx="0">
                        <c:v>00 - 04 ans</c:v>
                      </c:pt>
                      <c:pt idx="1">
                        <c:v>05 - 09 ans</c:v>
                      </c:pt>
                      <c:pt idx="2">
                        <c:v>10 - 14 ans</c:v>
                      </c:pt>
                      <c:pt idx="3">
                        <c:v>15 - 19 ans</c:v>
                      </c:pt>
                      <c:pt idx="4">
                        <c:v>20 - 24 ans</c:v>
                      </c:pt>
                      <c:pt idx="5">
                        <c:v>25 - 29 ans</c:v>
                      </c:pt>
                      <c:pt idx="6">
                        <c:v>30 - 34 ans</c:v>
                      </c:pt>
                      <c:pt idx="7">
                        <c:v>35 - 39 ans</c:v>
                      </c:pt>
                      <c:pt idx="8">
                        <c:v>40 ans &amp; +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inter_graph!$Z$2:$Z$11</c15:sqref>
                        </c15:formulaRef>
                      </c:ext>
                    </c:extLst>
                    <c:numCache>
                      <c:formatCode>#,##0.00</c:formatCode>
                      <c:ptCount val="10"/>
                      <c:pt idx="0">
                        <c:v>18.394100000000002</c:v>
                      </c:pt>
                      <c:pt idx="1">
                        <c:v>65.812700000000007</c:v>
                      </c:pt>
                      <c:pt idx="2">
                        <c:v>167.68019999999999</c:v>
                      </c:pt>
                      <c:pt idx="3">
                        <c:v>57.782999999999987</c:v>
                      </c:pt>
                      <c:pt idx="4">
                        <c:v>210.31209999999999</c:v>
                      </c:pt>
                      <c:pt idx="5">
                        <c:v>130.83249999999998</c:v>
                      </c:pt>
                      <c:pt idx="6">
                        <c:v>88.842199999999991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27A8-41BF-977D-68BFF3D7A44A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0"/>
          <c:order val="0"/>
          <c:tx>
            <c:strRef>
              <c:f>inter_graph!$P$1</c:f>
              <c:strCache>
                <c:ptCount val="1"/>
                <c:pt idx="0">
                  <c:v>p_25 :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inter_graph!$O$2:$O$11</c:f>
              <c:strCache>
                <c:ptCount val="10"/>
                <c:pt idx="0">
                  <c:v>CR</c:v>
                </c:pt>
                <c:pt idx="1">
                  <c:v>00 - 04 ans</c:v>
                </c:pt>
                <c:pt idx="2">
                  <c:v>05 - 09 ans</c:v>
                </c:pt>
                <c:pt idx="3">
                  <c:v>10 - 14 ans</c:v>
                </c:pt>
                <c:pt idx="4">
                  <c:v>15 - 19 ans</c:v>
                </c:pt>
                <c:pt idx="5">
                  <c:v>20 - 24 ans</c:v>
                </c:pt>
                <c:pt idx="6">
                  <c:v>25 - 29 ans</c:v>
                </c:pt>
                <c:pt idx="7">
                  <c:v>30 - 34 ans</c:v>
                </c:pt>
                <c:pt idx="8">
                  <c:v>35 - 39 ans</c:v>
                </c:pt>
                <c:pt idx="9">
                  <c:v>40 ans &amp; +</c:v>
                </c:pt>
              </c:strCache>
            </c:strRef>
          </c:cat>
          <c:val>
            <c:numRef>
              <c:f>inter_graph!$P$2:$P$11</c:f>
              <c:numCache>
                <c:formatCode>#,##0.00</c:formatCode>
                <c:ptCount val="10"/>
                <c:pt idx="0">
                  <c:v>54.789392592592563</c:v>
                </c:pt>
                <c:pt idx="1">
                  <c:v>136.9734814814814</c:v>
                </c:pt>
                <c:pt idx="2">
                  <c:v>136.9734814814814</c:v>
                </c:pt>
                <c:pt idx="3">
                  <c:v>136.9734814814814</c:v>
                </c:pt>
                <c:pt idx="4">
                  <c:v>136.9734814814814</c:v>
                </c:pt>
                <c:pt idx="5">
                  <c:v>136.9734814814814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27A8-41BF-977D-68BFF3D7A44A}"/>
            </c:ext>
          </c:extLst>
        </c:ser>
        <c:ser>
          <c:idx val="1"/>
          <c:order val="1"/>
          <c:tx>
            <c:strRef>
              <c:f>inter_graph!$Q$1</c:f>
              <c:strCache>
                <c:ptCount val="1"/>
                <c:pt idx="0">
                  <c:v>p_40 :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inter_graph!$O$2:$O$11</c:f>
              <c:strCache>
                <c:ptCount val="10"/>
                <c:pt idx="0">
                  <c:v>CR</c:v>
                </c:pt>
                <c:pt idx="1">
                  <c:v>00 - 04 ans</c:v>
                </c:pt>
                <c:pt idx="2">
                  <c:v>05 - 09 ans</c:v>
                </c:pt>
                <c:pt idx="3">
                  <c:v>10 - 14 ans</c:v>
                </c:pt>
                <c:pt idx="4">
                  <c:v>15 - 19 ans</c:v>
                </c:pt>
                <c:pt idx="5">
                  <c:v>20 - 24 ans</c:v>
                </c:pt>
                <c:pt idx="6">
                  <c:v>25 - 29 ans</c:v>
                </c:pt>
                <c:pt idx="7">
                  <c:v>30 - 34 ans</c:v>
                </c:pt>
                <c:pt idx="8">
                  <c:v>35 - 39 ans</c:v>
                </c:pt>
                <c:pt idx="9">
                  <c:v>40 ans &amp; +</c:v>
                </c:pt>
              </c:strCache>
            </c:strRef>
          </c:cat>
          <c:val>
            <c:numRef>
              <c:f>inter_graph!$Q$2:$Q$11</c:f>
              <c:numCache>
                <c:formatCode>#,##0.00</c:formatCode>
                <c:ptCount val="10"/>
                <c:pt idx="0">
                  <c:v>35.221752380952367</c:v>
                </c:pt>
                <c:pt idx="1">
                  <c:v>88.05438095238091</c:v>
                </c:pt>
                <c:pt idx="2">
                  <c:v>88.05438095238091</c:v>
                </c:pt>
                <c:pt idx="3">
                  <c:v>88.05438095238091</c:v>
                </c:pt>
                <c:pt idx="4">
                  <c:v>88.05438095238091</c:v>
                </c:pt>
                <c:pt idx="5">
                  <c:v>88.05438095238091</c:v>
                </c:pt>
                <c:pt idx="6">
                  <c:v>88.05438095238091</c:v>
                </c:pt>
                <c:pt idx="7">
                  <c:v>88.05438095238091</c:v>
                </c:pt>
                <c:pt idx="8">
                  <c:v>88.05438095238091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7A8-41BF-977D-68BFF3D7A4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21120"/>
        <c:axId val="8621952"/>
      </c:lineChart>
      <c:catAx>
        <c:axId val="862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621952"/>
        <c:crosses val="autoZero"/>
        <c:auto val="1"/>
        <c:lblAlgn val="ctr"/>
        <c:lblOffset val="100"/>
        <c:noMultiLvlLbl val="0"/>
      </c:catAx>
      <c:valAx>
        <c:axId val="862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62112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10"/>
          <c:order val="9"/>
          <c:tx>
            <c:strRef>
              <c:f>inter_graph!$K$1</c:f>
              <c:strCache>
                <c:ptCount val="1"/>
                <c:pt idx="0">
                  <c:v>2031</c:v>
                </c:pt>
              </c:strCache>
              <c:extLst xmlns:c15="http://schemas.microsoft.com/office/drawing/2012/chart"/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inter_graph!$A$3:$A$44</c:f>
              <c:strCache>
                <c:ptCount val="42"/>
                <c:pt idx="0">
                  <c:v>-1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  <c:pt idx="17">
                  <c:v>16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&gt;=40</c:v>
                </c:pt>
              </c:strCache>
              <c:extLst xmlns:c15="http://schemas.microsoft.com/office/drawing/2012/chart"/>
            </c:strRef>
          </c:cat>
          <c:val>
            <c:numRef>
              <c:f>inter_graph!$K$2:$K$44</c:f>
              <c:numCache>
                <c:formatCode>#,##0.00</c:formatCode>
                <c:ptCount val="43"/>
                <c:pt idx="0">
                  <c:v>16.6449</c:v>
                </c:pt>
                <c:pt idx="1">
                  <c:v>0.75980000000000003</c:v>
                </c:pt>
                <c:pt idx="2">
                  <c:v>27.429600000000001</c:v>
                </c:pt>
                <c:pt idx="3">
                  <c:v>6.7035</c:v>
                </c:pt>
                <c:pt idx="4">
                  <c:v>17.860299999999999</c:v>
                </c:pt>
                <c:pt idx="5">
                  <c:v>8.5400000000000004E-2</c:v>
                </c:pt>
                <c:pt idx="6">
                  <c:v>0</c:v>
                </c:pt>
                <c:pt idx="7">
                  <c:v>24.829699999999999</c:v>
                </c:pt>
                <c:pt idx="8">
                  <c:v>106.70179999999999</c:v>
                </c:pt>
                <c:pt idx="9">
                  <c:v>35.313699999999997</c:v>
                </c:pt>
                <c:pt idx="10">
                  <c:v>0.83499999999999996</c:v>
                </c:pt>
                <c:pt idx="11">
                  <c:v>0</c:v>
                </c:pt>
                <c:pt idx="12">
                  <c:v>0</c:v>
                </c:pt>
                <c:pt idx="13">
                  <c:v>3.0108999999999999</c:v>
                </c:pt>
                <c:pt idx="14">
                  <c:v>28.630000000000003</c:v>
                </c:pt>
                <c:pt idx="15">
                  <c:v>26.142099999999989</c:v>
                </c:pt>
                <c:pt idx="16">
                  <c:v>45.709899999999998</c:v>
                </c:pt>
                <c:pt idx="17">
                  <c:v>0</c:v>
                </c:pt>
                <c:pt idx="18">
                  <c:v>89.039900000000003</c:v>
                </c:pt>
                <c:pt idx="19">
                  <c:v>69.243599999999986</c:v>
                </c:pt>
                <c:pt idx="20">
                  <c:v>6.3186999999999989</c:v>
                </c:pt>
                <c:pt idx="21">
                  <c:v>82.200399999999988</c:v>
                </c:pt>
                <c:pt idx="22">
                  <c:v>0</c:v>
                </c:pt>
                <c:pt idx="23">
                  <c:v>13.015499999999999</c:v>
                </c:pt>
                <c:pt idx="24">
                  <c:v>27.747899999999998</c:v>
                </c:pt>
                <c:pt idx="25">
                  <c:v>7.8686999999999987</c:v>
                </c:pt>
                <c:pt idx="26">
                  <c:v>0</c:v>
                </c:pt>
                <c:pt idx="27">
                  <c:v>15.712199999999999</c:v>
                </c:pt>
                <c:pt idx="28">
                  <c:v>73.215400000000002</c:v>
                </c:pt>
                <c:pt idx="29">
                  <c:v>1.4307999999999998</c:v>
                </c:pt>
                <c:pt idx="30">
                  <c:v>10.0358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3.1713000000000005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8-5F8D-4C52-96B1-3F6FADBED325}"/>
            </c:ext>
          </c:extLst>
        </c:ser>
        <c:ser>
          <c:idx val="11"/>
          <c:order val="10"/>
          <c:tx>
            <c:strRef>
              <c:f>inter_graph!$L$1</c:f>
              <c:strCache>
                <c:ptCount val="1"/>
                <c:pt idx="0">
                  <c:v>2032</c:v>
                </c:pt>
              </c:strCache>
              <c:extLst xmlns:c15="http://schemas.microsoft.com/office/drawing/2012/chart"/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inter_graph!$A$3:$A$44</c:f>
              <c:strCache>
                <c:ptCount val="42"/>
                <c:pt idx="0">
                  <c:v>-1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  <c:pt idx="17">
                  <c:v>16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&gt;=40</c:v>
                </c:pt>
              </c:strCache>
              <c:extLst xmlns:c15="http://schemas.microsoft.com/office/drawing/2012/chart"/>
            </c:strRef>
          </c:cat>
          <c:val>
            <c:numRef>
              <c:f>inter_graph!$L$2:$L$44</c:f>
              <c:numCache>
                <c:formatCode>#,##0.00</c:formatCode>
                <c:ptCount val="43"/>
                <c:pt idx="0">
                  <c:v>14.7233</c:v>
                </c:pt>
                <c:pt idx="1">
                  <c:v>3.6707999999999998</c:v>
                </c:pt>
                <c:pt idx="2">
                  <c:v>13.7339</c:v>
                </c:pt>
                <c:pt idx="3">
                  <c:v>27.429600000000001</c:v>
                </c:pt>
                <c:pt idx="4">
                  <c:v>6.7035</c:v>
                </c:pt>
                <c:pt idx="5">
                  <c:v>17.860299999999999</c:v>
                </c:pt>
                <c:pt idx="6">
                  <c:v>8.5400000000000004E-2</c:v>
                </c:pt>
                <c:pt idx="7">
                  <c:v>0</c:v>
                </c:pt>
                <c:pt idx="8">
                  <c:v>24.829699999999999</c:v>
                </c:pt>
                <c:pt idx="9">
                  <c:v>106.70179999999999</c:v>
                </c:pt>
                <c:pt idx="10">
                  <c:v>35.313699999999997</c:v>
                </c:pt>
                <c:pt idx="11">
                  <c:v>0.83499999999999996</c:v>
                </c:pt>
                <c:pt idx="12">
                  <c:v>0</c:v>
                </c:pt>
                <c:pt idx="13">
                  <c:v>0</c:v>
                </c:pt>
                <c:pt idx="14">
                  <c:v>3.0108999999999999</c:v>
                </c:pt>
                <c:pt idx="15">
                  <c:v>28.630000000000003</c:v>
                </c:pt>
                <c:pt idx="16">
                  <c:v>26.142099999999989</c:v>
                </c:pt>
                <c:pt idx="17">
                  <c:v>45.709899999999998</c:v>
                </c:pt>
                <c:pt idx="18">
                  <c:v>0</c:v>
                </c:pt>
                <c:pt idx="19">
                  <c:v>89.039900000000003</c:v>
                </c:pt>
                <c:pt idx="20">
                  <c:v>69.243599999999986</c:v>
                </c:pt>
                <c:pt idx="21">
                  <c:v>6.3186999999999989</c:v>
                </c:pt>
                <c:pt idx="22">
                  <c:v>82.200399999999988</c:v>
                </c:pt>
                <c:pt idx="23">
                  <c:v>0</c:v>
                </c:pt>
                <c:pt idx="24">
                  <c:v>13.015499999999999</c:v>
                </c:pt>
                <c:pt idx="25">
                  <c:v>27.747899999999998</c:v>
                </c:pt>
                <c:pt idx="26">
                  <c:v>7.8686999999999987</c:v>
                </c:pt>
                <c:pt idx="27">
                  <c:v>0</c:v>
                </c:pt>
                <c:pt idx="28">
                  <c:v>5.3432000000000004</c:v>
                </c:pt>
                <c:pt idx="29">
                  <c:v>72.032399999999996</c:v>
                </c:pt>
                <c:pt idx="30">
                  <c:v>1.4307999999999998</c:v>
                </c:pt>
                <c:pt idx="31">
                  <c:v>10.0358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9-5F8D-4C52-96B1-3F6FADBED325}"/>
            </c:ext>
          </c:extLst>
        </c:ser>
        <c:ser>
          <c:idx val="12"/>
          <c:order val="11"/>
          <c:tx>
            <c:strRef>
              <c:f>inter_graph!$M$1</c:f>
              <c:strCache>
                <c:ptCount val="1"/>
                <c:pt idx="0">
                  <c:v>2033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inter_graph!$A$3:$A$44</c:f>
              <c:strCache>
                <c:ptCount val="42"/>
                <c:pt idx="0">
                  <c:v>-1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  <c:pt idx="17">
                  <c:v>16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&gt;=40</c:v>
                </c:pt>
              </c:strCache>
            </c:strRef>
          </c:cat>
          <c:val>
            <c:numRef>
              <c:f>inter_graph!$M$2:$M$44</c:f>
              <c:numCache>
                <c:formatCode>#,##0.00</c:formatCode>
                <c:ptCount val="43"/>
                <c:pt idx="0">
                  <c:v>18.321400000000001</c:v>
                </c:pt>
                <c:pt idx="1">
                  <c:v>0</c:v>
                </c:pt>
                <c:pt idx="2">
                  <c:v>18.394099999999998</c:v>
                </c:pt>
                <c:pt idx="3">
                  <c:v>13.7339</c:v>
                </c:pt>
                <c:pt idx="4">
                  <c:v>27.429600000000001</c:v>
                </c:pt>
                <c:pt idx="5">
                  <c:v>6.7035</c:v>
                </c:pt>
                <c:pt idx="6">
                  <c:v>17.860299999999999</c:v>
                </c:pt>
                <c:pt idx="7">
                  <c:v>8.5400000000000004E-2</c:v>
                </c:pt>
                <c:pt idx="8">
                  <c:v>0</c:v>
                </c:pt>
                <c:pt idx="9">
                  <c:v>24.829699999999999</c:v>
                </c:pt>
                <c:pt idx="10">
                  <c:v>106.70179999999999</c:v>
                </c:pt>
                <c:pt idx="11">
                  <c:v>35.313699999999997</c:v>
                </c:pt>
                <c:pt idx="12">
                  <c:v>0.83499999999999996</c:v>
                </c:pt>
                <c:pt idx="13">
                  <c:v>0</c:v>
                </c:pt>
                <c:pt idx="14">
                  <c:v>0</c:v>
                </c:pt>
                <c:pt idx="15">
                  <c:v>3.0108999999999999</c:v>
                </c:pt>
                <c:pt idx="16">
                  <c:v>28.630000000000003</c:v>
                </c:pt>
                <c:pt idx="17">
                  <c:v>26.142099999999989</c:v>
                </c:pt>
                <c:pt idx="18">
                  <c:v>45.709899999999998</c:v>
                </c:pt>
                <c:pt idx="19">
                  <c:v>0</c:v>
                </c:pt>
                <c:pt idx="20">
                  <c:v>89.039900000000003</c:v>
                </c:pt>
                <c:pt idx="21">
                  <c:v>69.243599999999986</c:v>
                </c:pt>
                <c:pt idx="22">
                  <c:v>6.3186999999999989</c:v>
                </c:pt>
                <c:pt idx="23">
                  <c:v>82.200399999999988</c:v>
                </c:pt>
                <c:pt idx="24">
                  <c:v>0</c:v>
                </c:pt>
                <c:pt idx="25">
                  <c:v>13.015499999999999</c:v>
                </c:pt>
                <c:pt idx="26">
                  <c:v>27.747899999999998</c:v>
                </c:pt>
                <c:pt idx="27">
                  <c:v>0.70179999999999998</c:v>
                </c:pt>
                <c:pt idx="28">
                  <c:v>0</c:v>
                </c:pt>
                <c:pt idx="29">
                  <c:v>4.6753000000000018</c:v>
                </c:pt>
                <c:pt idx="30">
                  <c:v>61.545799999999993</c:v>
                </c:pt>
                <c:pt idx="31">
                  <c:v>1.4307999999999998</c:v>
                </c:pt>
                <c:pt idx="32">
                  <c:v>10.0358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A-5F8D-4C52-96B1-3F6FADBED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01931328"/>
        <c:axId val="901934240"/>
        <c:extLst>
          <c:ext xmlns:c15="http://schemas.microsoft.com/office/drawing/2012/chart" uri="{02D57815-91ED-43cb-92C2-25804820EDAC}">
            <c15:filteredBarSeries>
              <c15:ser>
                <c:idx val="3"/>
                <c:order val="2"/>
                <c:tx>
                  <c:strRef>
                    <c:extLst>
                      <c:ext uri="{02D57815-91ED-43cb-92C2-25804820EDAC}">
                        <c15:formulaRef>
                          <c15:sqref>inter_graph!$D$1</c15:sqref>
                        </c15:formulaRef>
                      </c:ext>
                    </c:extLst>
                    <c:strCache>
                      <c:ptCount val="1"/>
                      <c:pt idx="0">
                        <c:v>2024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inter_graph!$A$3:$A$44</c15:sqref>
                        </c15:formulaRef>
                      </c:ext>
                    </c:extLst>
                    <c:strCache>
                      <c:ptCount val="42"/>
                      <c:pt idx="0">
                        <c:v>-1</c:v>
                      </c:pt>
                      <c:pt idx="1">
                        <c:v>0</c:v>
                      </c:pt>
                      <c:pt idx="2">
                        <c:v>1</c:v>
                      </c:pt>
                      <c:pt idx="3">
                        <c:v>2</c:v>
                      </c:pt>
                      <c:pt idx="4">
                        <c:v>3</c:v>
                      </c:pt>
                      <c:pt idx="5">
                        <c:v>4</c:v>
                      </c:pt>
                      <c:pt idx="6">
                        <c:v>5</c:v>
                      </c:pt>
                      <c:pt idx="7">
                        <c:v>6</c:v>
                      </c:pt>
                      <c:pt idx="8">
                        <c:v>7</c:v>
                      </c:pt>
                      <c:pt idx="9">
                        <c:v>8</c:v>
                      </c:pt>
                      <c:pt idx="10">
                        <c:v>9</c:v>
                      </c:pt>
                      <c:pt idx="11">
                        <c:v>10</c:v>
                      </c:pt>
                      <c:pt idx="12">
                        <c:v>11</c:v>
                      </c:pt>
                      <c:pt idx="13">
                        <c:v>12</c:v>
                      </c:pt>
                      <c:pt idx="14">
                        <c:v>13</c:v>
                      </c:pt>
                      <c:pt idx="15">
                        <c:v>14</c:v>
                      </c:pt>
                      <c:pt idx="16">
                        <c:v>15</c:v>
                      </c:pt>
                      <c:pt idx="17">
                        <c:v>16</c:v>
                      </c:pt>
                      <c:pt idx="18">
                        <c:v>17</c:v>
                      </c:pt>
                      <c:pt idx="19">
                        <c:v>18</c:v>
                      </c:pt>
                      <c:pt idx="20">
                        <c:v>19</c:v>
                      </c:pt>
                      <c:pt idx="21">
                        <c:v>20</c:v>
                      </c:pt>
                      <c:pt idx="22">
                        <c:v>21</c:v>
                      </c:pt>
                      <c:pt idx="23">
                        <c:v>22</c:v>
                      </c:pt>
                      <c:pt idx="24">
                        <c:v>23</c:v>
                      </c:pt>
                      <c:pt idx="25">
                        <c:v>24</c:v>
                      </c:pt>
                      <c:pt idx="26">
                        <c:v>25</c:v>
                      </c:pt>
                      <c:pt idx="27">
                        <c:v>26</c:v>
                      </c:pt>
                      <c:pt idx="28">
                        <c:v>27</c:v>
                      </c:pt>
                      <c:pt idx="29">
                        <c:v>28</c:v>
                      </c:pt>
                      <c:pt idx="30">
                        <c:v>29</c:v>
                      </c:pt>
                      <c:pt idx="31">
                        <c:v>30</c:v>
                      </c:pt>
                      <c:pt idx="32">
                        <c:v>31</c:v>
                      </c:pt>
                      <c:pt idx="33">
                        <c:v>32</c:v>
                      </c:pt>
                      <c:pt idx="34">
                        <c:v>33</c:v>
                      </c:pt>
                      <c:pt idx="35">
                        <c:v>34</c:v>
                      </c:pt>
                      <c:pt idx="36">
                        <c:v>35</c:v>
                      </c:pt>
                      <c:pt idx="37">
                        <c:v>36</c:v>
                      </c:pt>
                      <c:pt idx="38">
                        <c:v>37</c:v>
                      </c:pt>
                      <c:pt idx="39">
                        <c:v>38</c:v>
                      </c:pt>
                      <c:pt idx="40">
                        <c:v>39</c:v>
                      </c:pt>
                      <c:pt idx="41">
                        <c:v>&gt;=40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inter_graph!$D$2:$D$44</c15:sqref>
                        </c15:formulaRef>
                      </c:ext>
                    </c:extLst>
                    <c:numCache>
                      <c:formatCode>#,##0.00</c:formatCode>
                      <c:ptCount val="43"/>
                      <c:pt idx="0">
                        <c:v>9.9627999999999997</c:v>
                      </c:pt>
                      <c:pt idx="1">
                        <c:v>106.70179999999999</c:v>
                      </c:pt>
                      <c:pt idx="2">
                        <c:v>35.313699999999997</c:v>
                      </c:pt>
                      <c:pt idx="3">
                        <c:v>0.83499999999999996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3.0108999999999999</c:v>
                      </c:pt>
                      <c:pt idx="7">
                        <c:v>28.630000000000003</c:v>
                      </c:pt>
                      <c:pt idx="8">
                        <c:v>26.142099999999989</c:v>
                      </c:pt>
                      <c:pt idx="9">
                        <c:v>45.709899999999998</c:v>
                      </c:pt>
                      <c:pt idx="10">
                        <c:v>0</c:v>
                      </c:pt>
                      <c:pt idx="11">
                        <c:v>89.039900000000003</c:v>
                      </c:pt>
                      <c:pt idx="12">
                        <c:v>69.243599999999986</c:v>
                      </c:pt>
                      <c:pt idx="13">
                        <c:v>6.3186999999999989</c:v>
                      </c:pt>
                      <c:pt idx="14">
                        <c:v>82.200399999999988</c:v>
                      </c:pt>
                      <c:pt idx="15">
                        <c:v>0</c:v>
                      </c:pt>
                      <c:pt idx="16">
                        <c:v>13.015499999999999</c:v>
                      </c:pt>
                      <c:pt idx="17">
                        <c:v>27.747899999999998</c:v>
                      </c:pt>
                      <c:pt idx="18">
                        <c:v>7.8686999999999987</c:v>
                      </c:pt>
                      <c:pt idx="19">
                        <c:v>0</c:v>
                      </c:pt>
                      <c:pt idx="20">
                        <c:v>32.357099999999988</c:v>
                      </c:pt>
                      <c:pt idx="21">
                        <c:v>79.992599999999982</c:v>
                      </c:pt>
                      <c:pt idx="22">
                        <c:v>18.899100000000008</c:v>
                      </c:pt>
                      <c:pt idx="23">
                        <c:v>27.896099999999997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3.1713000000000005</c:v>
                      </c:pt>
                      <c:pt idx="30">
                        <c:v>0</c:v>
                      </c:pt>
                      <c:pt idx="31">
                        <c:v>10.647399999999999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8.5400000000000004E-2</c:v>
                      </c:pt>
                      <c:pt idx="37">
                        <c:v>0</c:v>
                      </c:pt>
                      <c:pt idx="38">
                        <c:v>3.2961</c:v>
                      </c:pt>
                      <c:pt idx="39">
                        <c:v>11.5708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5F8D-4C52-96B1-3F6FADBED325}"/>
                  </c:ext>
                </c:extLst>
              </c15:ser>
            </c15:filteredBarSeries>
            <c15:filteredBarSeries>
              <c15:ser>
                <c:idx val="4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inter_graph!$E$1</c15:sqref>
                        </c15:formulaRef>
                      </c:ext>
                    </c:extLst>
                    <c:strCache>
                      <c:ptCount val="1"/>
                      <c:pt idx="0">
                        <c:v>2025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inter_graph!$A$3:$A$44</c15:sqref>
                        </c15:formulaRef>
                      </c:ext>
                    </c:extLst>
                    <c:strCache>
                      <c:ptCount val="42"/>
                      <c:pt idx="0">
                        <c:v>-1</c:v>
                      </c:pt>
                      <c:pt idx="1">
                        <c:v>0</c:v>
                      </c:pt>
                      <c:pt idx="2">
                        <c:v>1</c:v>
                      </c:pt>
                      <c:pt idx="3">
                        <c:v>2</c:v>
                      </c:pt>
                      <c:pt idx="4">
                        <c:v>3</c:v>
                      </c:pt>
                      <c:pt idx="5">
                        <c:v>4</c:v>
                      </c:pt>
                      <c:pt idx="6">
                        <c:v>5</c:v>
                      </c:pt>
                      <c:pt idx="7">
                        <c:v>6</c:v>
                      </c:pt>
                      <c:pt idx="8">
                        <c:v>7</c:v>
                      </c:pt>
                      <c:pt idx="9">
                        <c:v>8</c:v>
                      </c:pt>
                      <c:pt idx="10">
                        <c:v>9</c:v>
                      </c:pt>
                      <c:pt idx="11">
                        <c:v>10</c:v>
                      </c:pt>
                      <c:pt idx="12">
                        <c:v>11</c:v>
                      </c:pt>
                      <c:pt idx="13">
                        <c:v>12</c:v>
                      </c:pt>
                      <c:pt idx="14">
                        <c:v>13</c:v>
                      </c:pt>
                      <c:pt idx="15">
                        <c:v>14</c:v>
                      </c:pt>
                      <c:pt idx="16">
                        <c:v>15</c:v>
                      </c:pt>
                      <c:pt idx="17">
                        <c:v>16</c:v>
                      </c:pt>
                      <c:pt idx="18">
                        <c:v>17</c:v>
                      </c:pt>
                      <c:pt idx="19">
                        <c:v>18</c:v>
                      </c:pt>
                      <c:pt idx="20">
                        <c:v>19</c:v>
                      </c:pt>
                      <c:pt idx="21">
                        <c:v>20</c:v>
                      </c:pt>
                      <c:pt idx="22">
                        <c:v>21</c:v>
                      </c:pt>
                      <c:pt idx="23">
                        <c:v>22</c:v>
                      </c:pt>
                      <c:pt idx="24">
                        <c:v>23</c:v>
                      </c:pt>
                      <c:pt idx="25">
                        <c:v>24</c:v>
                      </c:pt>
                      <c:pt idx="26">
                        <c:v>25</c:v>
                      </c:pt>
                      <c:pt idx="27">
                        <c:v>26</c:v>
                      </c:pt>
                      <c:pt idx="28">
                        <c:v>27</c:v>
                      </c:pt>
                      <c:pt idx="29">
                        <c:v>28</c:v>
                      </c:pt>
                      <c:pt idx="30">
                        <c:v>29</c:v>
                      </c:pt>
                      <c:pt idx="31">
                        <c:v>30</c:v>
                      </c:pt>
                      <c:pt idx="32">
                        <c:v>31</c:v>
                      </c:pt>
                      <c:pt idx="33">
                        <c:v>32</c:v>
                      </c:pt>
                      <c:pt idx="34">
                        <c:v>33</c:v>
                      </c:pt>
                      <c:pt idx="35">
                        <c:v>34</c:v>
                      </c:pt>
                      <c:pt idx="36">
                        <c:v>35</c:v>
                      </c:pt>
                      <c:pt idx="37">
                        <c:v>36</c:v>
                      </c:pt>
                      <c:pt idx="38">
                        <c:v>37</c:v>
                      </c:pt>
                      <c:pt idx="39">
                        <c:v>38</c:v>
                      </c:pt>
                      <c:pt idx="40">
                        <c:v>39</c:v>
                      </c:pt>
                      <c:pt idx="41">
                        <c:v>&gt;=40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inter_graph!$E$2:$E$44</c15:sqref>
                        </c15:formulaRef>
                      </c:ext>
                    </c:extLst>
                    <c:numCache>
                      <c:formatCode>#,##0.00</c:formatCode>
                      <c:ptCount val="43"/>
                      <c:pt idx="0">
                        <c:v>14.952300000000001</c:v>
                      </c:pt>
                      <c:pt idx="1">
                        <c:v>9.9627999999999997</c:v>
                      </c:pt>
                      <c:pt idx="2">
                        <c:v>106.70179999999999</c:v>
                      </c:pt>
                      <c:pt idx="3">
                        <c:v>35.313699999999997</c:v>
                      </c:pt>
                      <c:pt idx="4">
                        <c:v>0.83499999999999996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3.0108999999999999</c:v>
                      </c:pt>
                      <c:pt idx="8">
                        <c:v>28.630000000000003</c:v>
                      </c:pt>
                      <c:pt idx="9">
                        <c:v>26.142099999999989</c:v>
                      </c:pt>
                      <c:pt idx="10">
                        <c:v>45.709899999999998</c:v>
                      </c:pt>
                      <c:pt idx="11">
                        <c:v>0</c:v>
                      </c:pt>
                      <c:pt idx="12">
                        <c:v>89.039900000000003</c:v>
                      </c:pt>
                      <c:pt idx="13">
                        <c:v>69.243599999999986</c:v>
                      </c:pt>
                      <c:pt idx="14">
                        <c:v>6.3186999999999989</c:v>
                      </c:pt>
                      <c:pt idx="15">
                        <c:v>82.200399999999988</c:v>
                      </c:pt>
                      <c:pt idx="16">
                        <c:v>0</c:v>
                      </c:pt>
                      <c:pt idx="17">
                        <c:v>13.015499999999999</c:v>
                      </c:pt>
                      <c:pt idx="18">
                        <c:v>27.747899999999998</c:v>
                      </c:pt>
                      <c:pt idx="19">
                        <c:v>7.8686999999999987</c:v>
                      </c:pt>
                      <c:pt idx="20">
                        <c:v>0</c:v>
                      </c:pt>
                      <c:pt idx="21">
                        <c:v>32.357099999999988</c:v>
                      </c:pt>
                      <c:pt idx="22">
                        <c:v>79.992599999999982</c:v>
                      </c:pt>
                      <c:pt idx="23">
                        <c:v>18.899100000000008</c:v>
                      </c:pt>
                      <c:pt idx="24">
                        <c:v>27.896099999999997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3.1713000000000005</c:v>
                      </c:pt>
                      <c:pt idx="31">
                        <c:v>0</c:v>
                      </c:pt>
                      <c:pt idx="32">
                        <c:v>10.647399999999999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F8D-4C52-96B1-3F6FADBED325}"/>
                  </c:ext>
                </c:extLst>
              </c15:ser>
            </c15:filteredBarSeries>
            <c15:filteredBarSeries>
              <c15:ser>
                <c:idx val="5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inter_graph!$F$1</c15:sqref>
                        </c15:formulaRef>
                      </c:ext>
                    </c:extLst>
                    <c:strCache>
                      <c:ptCount val="1"/>
                      <c:pt idx="0">
                        <c:v>2026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inter_graph!$A$3:$A$44</c15:sqref>
                        </c15:formulaRef>
                      </c:ext>
                    </c:extLst>
                    <c:strCache>
                      <c:ptCount val="42"/>
                      <c:pt idx="0">
                        <c:v>-1</c:v>
                      </c:pt>
                      <c:pt idx="1">
                        <c:v>0</c:v>
                      </c:pt>
                      <c:pt idx="2">
                        <c:v>1</c:v>
                      </c:pt>
                      <c:pt idx="3">
                        <c:v>2</c:v>
                      </c:pt>
                      <c:pt idx="4">
                        <c:v>3</c:v>
                      </c:pt>
                      <c:pt idx="5">
                        <c:v>4</c:v>
                      </c:pt>
                      <c:pt idx="6">
                        <c:v>5</c:v>
                      </c:pt>
                      <c:pt idx="7">
                        <c:v>6</c:v>
                      </c:pt>
                      <c:pt idx="8">
                        <c:v>7</c:v>
                      </c:pt>
                      <c:pt idx="9">
                        <c:v>8</c:v>
                      </c:pt>
                      <c:pt idx="10">
                        <c:v>9</c:v>
                      </c:pt>
                      <c:pt idx="11">
                        <c:v>10</c:v>
                      </c:pt>
                      <c:pt idx="12">
                        <c:v>11</c:v>
                      </c:pt>
                      <c:pt idx="13">
                        <c:v>12</c:v>
                      </c:pt>
                      <c:pt idx="14">
                        <c:v>13</c:v>
                      </c:pt>
                      <c:pt idx="15">
                        <c:v>14</c:v>
                      </c:pt>
                      <c:pt idx="16">
                        <c:v>15</c:v>
                      </c:pt>
                      <c:pt idx="17">
                        <c:v>16</c:v>
                      </c:pt>
                      <c:pt idx="18">
                        <c:v>17</c:v>
                      </c:pt>
                      <c:pt idx="19">
                        <c:v>18</c:v>
                      </c:pt>
                      <c:pt idx="20">
                        <c:v>19</c:v>
                      </c:pt>
                      <c:pt idx="21">
                        <c:v>20</c:v>
                      </c:pt>
                      <c:pt idx="22">
                        <c:v>21</c:v>
                      </c:pt>
                      <c:pt idx="23">
                        <c:v>22</c:v>
                      </c:pt>
                      <c:pt idx="24">
                        <c:v>23</c:v>
                      </c:pt>
                      <c:pt idx="25">
                        <c:v>24</c:v>
                      </c:pt>
                      <c:pt idx="26">
                        <c:v>25</c:v>
                      </c:pt>
                      <c:pt idx="27">
                        <c:v>26</c:v>
                      </c:pt>
                      <c:pt idx="28">
                        <c:v>27</c:v>
                      </c:pt>
                      <c:pt idx="29">
                        <c:v>28</c:v>
                      </c:pt>
                      <c:pt idx="30">
                        <c:v>29</c:v>
                      </c:pt>
                      <c:pt idx="31">
                        <c:v>30</c:v>
                      </c:pt>
                      <c:pt idx="32">
                        <c:v>31</c:v>
                      </c:pt>
                      <c:pt idx="33">
                        <c:v>32</c:v>
                      </c:pt>
                      <c:pt idx="34">
                        <c:v>33</c:v>
                      </c:pt>
                      <c:pt idx="35">
                        <c:v>34</c:v>
                      </c:pt>
                      <c:pt idx="36">
                        <c:v>35</c:v>
                      </c:pt>
                      <c:pt idx="37">
                        <c:v>36</c:v>
                      </c:pt>
                      <c:pt idx="38">
                        <c:v>37</c:v>
                      </c:pt>
                      <c:pt idx="39">
                        <c:v>38</c:v>
                      </c:pt>
                      <c:pt idx="40">
                        <c:v>39</c:v>
                      </c:pt>
                      <c:pt idx="41">
                        <c:v>&gt;=40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inter_graph!$F$2:$F$44</c15:sqref>
                        </c15:formulaRef>
                      </c:ext>
                    </c:extLst>
                    <c:numCache>
                      <c:formatCode>#,##0.00</c:formatCode>
                      <c:ptCount val="43"/>
                      <c:pt idx="0">
                        <c:v>0</c:v>
                      </c:pt>
                      <c:pt idx="1">
                        <c:v>8.5400000000000004E-2</c:v>
                      </c:pt>
                      <c:pt idx="2">
                        <c:v>24.829699999999999</c:v>
                      </c:pt>
                      <c:pt idx="3">
                        <c:v>106.70179999999999</c:v>
                      </c:pt>
                      <c:pt idx="4">
                        <c:v>35.313699999999997</c:v>
                      </c:pt>
                      <c:pt idx="5">
                        <c:v>0.83499999999999996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3.0108999999999999</c:v>
                      </c:pt>
                      <c:pt idx="9">
                        <c:v>28.630000000000003</c:v>
                      </c:pt>
                      <c:pt idx="10">
                        <c:v>26.142099999999989</c:v>
                      </c:pt>
                      <c:pt idx="11">
                        <c:v>45.709899999999998</c:v>
                      </c:pt>
                      <c:pt idx="12">
                        <c:v>0</c:v>
                      </c:pt>
                      <c:pt idx="13">
                        <c:v>89.039900000000003</c:v>
                      </c:pt>
                      <c:pt idx="14">
                        <c:v>69.243599999999986</c:v>
                      </c:pt>
                      <c:pt idx="15">
                        <c:v>6.3186999999999989</c:v>
                      </c:pt>
                      <c:pt idx="16">
                        <c:v>82.200399999999988</c:v>
                      </c:pt>
                      <c:pt idx="17">
                        <c:v>0</c:v>
                      </c:pt>
                      <c:pt idx="18">
                        <c:v>13.015499999999999</c:v>
                      </c:pt>
                      <c:pt idx="19">
                        <c:v>27.747899999999998</c:v>
                      </c:pt>
                      <c:pt idx="20">
                        <c:v>7.8686999999999987</c:v>
                      </c:pt>
                      <c:pt idx="21">
                        <c:v>0</c:v>
                      </c:pt>
                      <c:pt idx="22">
                        <c:v>32.357099999999988</c:v>
                      </c:pt>
                      <c:pt idx="23">
                        <c:v>79.992599999999982</c:v>
                      </c:pt>
                      <c:pt idx="24">
                        <c:v>18.899100000000008</c:v>
                      </c:pt>
                      <c:pt idx="25">
                        <c:v>27.896099999999997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3.1713000000000005</c:v>
                      </c:pt>
                      <c:pt idx="32">
                        <c:v>0</c:v>
                      </c:pt>
                      <c:pt idx="33">
                        <c:v>10.647399999999999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5F8D-4C52-96B1-3F6FADBED325}"/>
                  </c:ext>
                </c:extLst>
              </c15:ser>
            </c15:filteredBarSeries>
            <c15:filteredBarSeries>
              <c15:ser>
                <c:idx val="6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inter_graph!$G$1</c15:sqref>
                        </c15:formulaRef>
                      </c:ext>
                    </c:extLst>
                    <c:strCache>
                      <c:ptCount val="1"/>
                      <c:pt idx="0">
                        <c:v>2027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inter_graph!$A$3:$A$44</c15:sqref>
                        </c15:formulaRef>
                      </c:ext>
                    </c:extLst>
                    <c:strCache>
                      <c:ptCount val="42"/>
                      <c:pt idx="0">
                        <c:v>-1</c:v>
                      </c:pt>
                      <c:pt idx="1">
                        <c:v>0</c:v>
                      </c:pt>
                      <c:pt idx="2">
                        <c:v>1</c:v>
                      </c:pt>
                      <c:pt idx="3">
                        <c:v>2</c:v>
                      </c:pt>
                      <c:pt idx="4">
                        <c:v>3</c:v>
                      </c:pt>
                      <c:pt idx="5">
                        <c:v>4</c:v>
                      </c:pt>
                      <c:pt idx="6">
                        <c:v>5</c:v>
                      </c:pt>
                      <c:pt idx="7">
                        <c:v>6</c:v>
                      </c:pt>
                      <c:pt idx="8">
                        <c:v>7</c:v>
                      </c:pt>
                      <c:pt idx="9">
                        <c:v>8</c:v>
                      </c:pt>
                      <c:pt idx="10">
                        <c:v>9</c:v>
                      </c:pt>
                      <c:pt idx="11">
                        <c:v>10</c:v>
                      </c:pt>
                      <c:pt idx="12">
                        <c:v>11</c:v>
                      </c:pt>
                      <c:pt idx="13">
                        <c:v>12</c:v>
                      </c:pt>
                      <c:pt idx="14">
                        <c:v>13</c:v>
                      </c:pt>
                      <c:pt idx="15">
                        <c:v>14</c:v>
                      </c:pt>
                      <c:pt idx="16">
                        <c:v>15</c:v>
                      </c:pt>
                      <c:pt idx="17">
                        <c:v>16</c:v>
                      </c:pt>
                      <c:pt idx="18">
                        <c:v>17</c:v>
                      </c:pt>
                      <c:pt idx="19">
                        <c:v>18</c:v>
                      </c:pt>
                      <c:pt idx="20">
                        <c:v>19</c:v>
                      </c:pt>
                      <c:pt idx="21">
                        <c:v>20</c:v>
                      </c:pt>
                      <c:pt idx="22">
                        <c:v>21</c:v>
                      </c:pt>
                      <c:pt idx="23">
                        <c:v>22</c:v>
                      </c:pt>
                      <c:pt idx="24">
                        <c:v>23</c:v>
                      </c:pt>
                      <c:pt idx="25">
                        <c:v>24</c:v>
                      </c:pt>
                      <c:pt idx="26">
                        <c:v>25</c:v>
                      </c:pt>
                      <c:pt idx="27">
                        <c:v>26</c:v>
                      </c:pt>
                      <c:pt idx="28">
                        <c:v>27</c:v>
                      </c:pt>
                      <c:pt idx="29">
                        <c:v>28</c:v>
                      </c:pt>
                      <c:pt idx="30">
                        <c:v>29</c:v>
                      </c:pt>
                      <c:pt idx="31">
                        <c:v>30</c:v>
                      </c:pt>
                      <c:pt idx="32">
                        <c:v>31</c:v>
                      </c:pt>
                      <c:pt idx="33">
                        <c:v>32</c:v>
                      </c:pt>
                      <c:pt idx="34">
                        <c:v>33</c:v>
                      </c:pt>
                      <c:pt idx="35">
                        <c:v>34</c:v>
                      </c:pt>
                      <c:pt idx="36">
                        <c:v>35</c:v>
                      </c:pt>
                      <c:pt idx="37">
                        <c:v>36</c:v>
                      </c:pt>
                      <c:pt idx="38">
                        <c:v>37</c:v>
                      </c:pt>
                      <c:pt idx="39">
                        <c:v>38</c:v>
                      </c:pt>
                      <c:pt idx="40">
                        <c:v>39</c:v>
                      </c:pt>
                      <c:pt idx="41">
                        <c:v>&gt;=40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inter_graph!$G$2:$G$44</c15:sqref>
                        </c15:formulaRef>
                      </c:ext>
                    </c:extLst>
                    <c:numCache>
                      <c:formatCode>#,##0.00</c:formatCode>
                      <c:ptCount val="43"/>
                      <c:pt idx="0">
                        <c:v>0</c:v>
                      </c:pt>
                      <c:pt idx="1">
                        <c:v>8.5400000000000004E-2</c:v>
                      </c:pt>
                      <c:pt idx="2">
                        <c:v>0</c:v>
                      </c:pt>
                      <c:pt idx="3">
                        <c:v>24.829699999999999</c:v>
                      </c:pt>
                      <c:pt idx="4">
                        <c:v>106.70179999999999</c:v>
                      </c:pt>
                      <c:pt idx="5">
                        <c:v>35.313699999999997</c:v>
                      </c:pt>
                      <c:pt idx="6">
                        <c:v>0.83499999999999996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3.0108999999999999</c:v>
                      </c:pt>
                      <c:pt idx="10">
                        <c:v>28.630000000000003</c:v>
                      </c:pt>
                      <c:pt idx="11">
                        <c:v>26.142099999999989</c:v>
                      </c:pt>
                      <c:pt idx="12">
                        <c:v>45.709899999999998</c:v>
                      </c:pt>
                      <c:pt idx="13">
                        <c:v>0</c:v>
                      </c:pt>
                      <c:pt idx="14">
                        <c:v>89.039900000000003</c:v>
                      </c:pt>
                      <c:pt idx="15">
                        <c:v>69.243599999999986</c:v>
                      </c:pt>
                      <c:pt idx="16">
                        <c:v>6.3186999999999989</c:v>
                      </c:pt>
                      <c:pt idx="17">
                        <c:v>82.200399999999988</c:v>
                      </c:pt>
                      <c:pt idx="18">
                        <c:v>0</c:v>
                      </c:pt>
                      <c:pt idx="19">
                        <c:v>13.015499999999999</c:v>
                      </c:pt>
                      <c:pt idx="20">
                        <c:v>27.747899999999998</c:v>
                      </c:pt>
                      <c:pt idx="21">
                        <c:v>7.8686999999999987</c:v>
                      </c:pt>
                      <c:pt idx="22">
                        <c:v>0</c:v>
                      </c:pt>
                      <c:pt idx="23">
                        <c:v>32.357099999999988</c:v>
                      </c:pt>
                      <c:pt idx="24">
                        <c:v>79.992599999999982</c:v>
                      </c:pt>
                      <c:pt idx="25">
                        <c:v>18.899100000000008</c:v>
                      </c:pt>
                      <c:pt idx="26">
                        <c:v>27.896099999999997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3.1713000000000005</c:v>
                      </c:pt>
                      <c:pt idx="33">
                        <c:v>0</c:v>
                      </c:pt>
                      <c:pt idx="34">
                        <c:v>10.647399999999999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F8D-4C52-96B1-3F6FADBED325}"/>
                  </c:ext>
                </c:extLst>
              </c15:ser>
            </c15:filteredBarSeries>
            <c15:filteredBarSeries>
              <c15:ser>
                <c:idx val="7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inter_graph!$H$1</c15:sqref>
                        </c15:formulaRef>
                      </c:ext>
                    </c:extLst>
                    <c:strCache>
                      <c:ptCount val="1"/>
                      <c:pt idx="0">
                        <c:v>2028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inter_graph!$A$3:$A$44</c15:sqref>
                        </c15:formulaRef>
                      </c:ext>
                    </c:extLst>
                    <c:strCache>
                      <c:ptCount val="42"/>
                      <c:pt idx="0">
                        <c:v>-1</c:v>
                      </c:pt>
                      <c:pt idx="1">
                        <c:v>0</c:v>
                      </c:pt>
                      <c:pt idx="2">
                        <c:v>1</c:v>
                      </c:pt>
                      <c:pt idx="3">
                        <c:v>2</c:v>
                      </c:pt>
                      <c:pt idx="4">
                        <c:v>3</c:v>
                      </c:pt>
                      <c:pt idx="5">
                        <c:v>4</c:v>
                      </c:pt>
                      <c:pt idx="6">
                        <c:v>5</c:v>
                      </c:pt>
                      <c:pt idx="7">
                        <c:v>6</c:v>
                      </c:pt>
                      <c:pt idx="8">
                        <c:v>7</c:v>
                      </c:pt>
                      <c:pt idx="9">
                        <c:v>8</c:v>
                      </c:pt>
                      <c:pt idx="10">
                        <c:v>9</c:v>
                      </c:pt>
                      <c:pt idx="11">
                        <c:v>10</c:v>
                      </c:pt>
                      <c:pt idx="12">
                        <c:v>11</c:v>
                      </c:pt>
                      <c:pt idx="13">
                        <c:v>12</c:v>
                      </c:pt>
                      <c:pt idx="14">
                        <c:v>13</c:v>
                      </c:pt>
                      <c:pt idx="15">
                        <c:v>14</c:v>
                      </c:pt>
                      <c:pt idx="16">
                        <c:v>15</c:v>
                      </c:pt>
                      <c:pt idx="17">
                        <c:v>16</c:v>
                      </c:pt>
                      <c:pt idx="18">
                        <c:v>17</c:v>
                      </c:pt>
                      <c:pt idx="19">
                        <c:v>18</c:v>
                      </c:pt>
                      <c:pt idx="20">
                        <c:v>19</c:v>
                      </c:pt>
                      <c:pt idx="21">
                        <c:v>20</c:v>
                      </c:pt>
                      <c:pt idx="22">
                        <c:v>21</c:v>
                      </c:pt>
                      <c:pt idx="23">
                        <c:v>22</c:v>
                      </c:pt>
                      <c:pt idx="24">
                        <c:v>23</c:v>
                      </c:pt>
                      <c:pt idx="25">
                        <c:v>24</c:v>
                      </c:pt>
                      <c:pt idx="26">
                        <c:v>25</c:v>
                      </c:pt>
                      <c:pt idx="27">
                        <c:v>26</c:v>
                      </c:pt>
                      <c:pt idx="28">
                        <c:v>27</c:v>
                      </c:pt>
                      <c:pt idx="29">
                        <c:v>28</c:v>
                      </c:pt>
                      <c:pt idx="30">
                        <c:v>29</c:v>
                      </c:pt>
                      <c:pt idx="31">
                        <c:v>30</c:v>
                      </c:pt>
                      <c:pt idx="32">
                        <c:v>31</c:v>
                      </c:pt>
                      <c:pt idx="33">
                        <c:v>32</c:v>
                      </c:pt>
                      <c:pt idx="34">
                        <c:v>33</c:v>
                      </c:pt>
                      <c:pt idx="35">
                        <c:v>34</c:v>
                      </c:pt>
                      <c:pt idx="36">
                        <c:v>35</c:v>
                      </c:pt>
                      <c:pt idx="37">
                        <c:v>36</c:v>
                      </c:pt>
                      <c:pt idx="38">
                        <c:v>37</c:v>
                      </c:pt>
                      <c:pt idx="39">
                        <c:v>38</c:v>
                      </c:pt>
                      <c:pt idx="40">
                        <c:v>39</c:v>
                      </c:pt>
                      <c:pt idx="41">
                        <c:v>&gt;=40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inter_graph!$H$2:$H$44</c15:sqref>
                        </c15:formulaRef>
                      </c:ext>
                    </c:extLst>
                    <c:numCache>
                      <c:formatCode>#,##0.00</c:formatCode>
                      <c:ptCount val="43"/>
                      <c:pt idx="0">
                        <c:v>17.860299999999999</c:v>
                      </c:pt>
                      <c:pt idx="1">
                        <c:v>0</c:v>
                      </c:pt>
                      <c:pt idx="2">
                        <c:v>8.5400000000000004E-2</c:v>
                      </c:pt>
                      <c:pt idx="3">
                        <c:v>0</c:v>
                      </c:pt>
                      <c:pt idx="4">
                        <c:v>24.829699999999999</c:v>
                      </c:pt>
                      <c:pt idx="5">
                        <c:v>106.70179999999999</c:v>
                      </c:pt>
                      <c:pt idx="6">
                        <c:v>35.313699999999997</c:v>
                      </c:pt>
                      <c:pt idx="7">
                        <c:v>0.83499999999999996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3.0108999999999999</c:v>
                      </c:pt>
                      <c:pt idx="11">
                        <c:v>28.630000000000003</c:v>
                      </c:pt>
                      <c:pt idx="12">
                        <c:v>26.142099999999989</c:v>
                      </c:pt>
                      <c:pt idx="13">
                        <c:v>45.709899999999998</c:v>
                      </c:pt>
                      <c:pt idx="14">
                        <c:v>0</c:v>
                      </c:pt>
                      <c:pt idx="15">
                        <c:v>89.039900000000003</c:v>
                      </c:pt>
                      <c:pt idx="16">
                        <c:v>69.243599999999986</c:v>
                      </c:pt>
                      <c:pt idx="17">
                        <c:v>6.3186999999999989</c:v>
                      </c:pt>
                      <c:pt idx="18">
                        <c:v>82.200399999999988</c:v>
                      </c:pt>
                      <c:pt idx="19">
                        <c:v>0</c:v>
                      </c:pt>
                      <c:pt idx="20">
                        <c:v>13.015499999999999</c:v>
                      </c:pt>
                      <c:pt idx="21">
                        <c:v>27.747899999999998</c:v>
                      </c:pt>
                      <c:pt idx="22">
                        <c:v>7.8686999999999987</c:v>
                      </c:pt>
                      <c:pt idx="23">
                        <c:v>0</c:v>
                      </c:pt>
                      <c:pt idx="24">
                        <c:v>32.357099999999988</c:v>
                      </c:pt>
                      <c:pt idx="25">
                        <c:v>79.992599999999982</c:v>
                      </c:pt>
                      <c:pt idx="26">
                        <c:v>18.899100000000008</c:v>
                      </c:pt>
                      <c:pt idx="27">
                        <c:v>10.0358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3.1713000000000005</c:v>
                      </c:pt>
                      <c:pt idx="34">
                        <c:v>0</c:v>
                      </c:pt>
                      <c:pt idx="35">
                        <c:v>10.647399999999999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F8D-4C52-96B1-3F6FADBED325}"/>
                  </c:ext>
                </c:extLst>
              </c15:ser>
            </c15:filteredBarSeries>
            <c15:filteredBarSeries>
              <c15:ser>
                <c:idx val="8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inter_graph!$I$1</c15:sqref>
                        </c15:formulaRef>
                      </c:ext>
                    </c:extLst>
                    <c:strCache>
                      <c:ptCount val="1"/>
                      <c:pt idx="0">
                        <c:v>2029</c:v>
                      </c:pt>
                    </c:strCache>
                  </c:strRef>
                </c:tx>
                <c:spPr>
                  <a:solidFill>
                    <a:schemeClr val="accent3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inter_graph!$A$3:$A$44</c15:sqref>
                        </c15:formulaRef>
                      </c:ext>
                    </c:extLst>
                    <c:strCache>
                      <c:ptCount val="42"/>
                      <c:pt idx="0">
                        <c:v>-1</c:v>
                      </c:pt>
                      <c:pt idx="1">
                        <c:v>0</c:v>
                      </c:pt>
                      <c:pt idx="2">
                        <c:v>1</c:v>
                      </c:pt>
                      <c:pt idx="3">
                        <c:v>2</c:v>
                      </c:pt>
                      <c:pt idx="4">
                        <c:v>3</c:v>
                      </c:pt>
                      <c:pt idx="5">
                        <c:v>4</c:v>
                      </c:pt>
                      <c:pt idx="6">
                        <c:v>5</c:v>
                      </c:pt>
                      <c:pt idx="7">
                        <c:v>6</c:v>
                      </c:pt>
                      <c:pt idx="8">
                        <c:v>7</c:v>
                      </c:pt>
                      <c:pt idx="9">
                        <c:v>8</c:v>
                      </c:pt>
                      <c:pt idx="10">
                        <c:v>9</c:v>
                      </c:pt>
                      <c:pt idx="11">
                        <c:v>10</c:v>
                      </c:pt>
                      <c:pt idx="12">
                        <c:v>11</c:v>
                      </c:pt>
                      <c:pt idx="13">
                        <c:v>12</c:v>
                      </c:pt>
                      <c:pt idx="14">
                        <c:v>13</c:v>
                      </c:pt>
                      <c:pt idx="15">
                        <c:v>14</c:v>
                      </c:pt>
                      <c:pt idx="16">
                        <c:v>15</c:v>
                      </c:pt>
                      <c:pt idx="17">
                        <c:v>16</c:v>
                      </c:pt>
                      <c:pt idx="18">
                        <c:v>17</c:v>
                      </c:pt>
                      <c:pt idx="19">
                        <c:v>18</c:v>
                      </c:pt>
                      <c:pt idx="20">
                        <c:v>19</c:v>
                      </c:pt>
                      <c:pt idx="21">
                        <c:v>20</c:v>
                      </c:pt>
                      <c:pt idx="22">
                        <c:v>21</c:v>
                      </c:pt>
                      <c:pt idx="23">
                        <c:v>22</c:v>
                      </c:pt>
                      <c:pt idx="24">
                        <c:v>23</c:v>
                      </c:pt>
                      <c:pt idx="25">
                        <c:v>24</c:v>
                      </c:pt>
                      <c:pt idx="26">
                        <c:v>25</c:v>
                      </c:pt>
                      <c:pt idx="27">
                        <c:v>26</c:v>
                      </c:pt>
                      <c:pt idx="28">
                        <c:v>27</c:v>
                      </c:pt>
                      <c:pt idx="29">
                        <c:v>28</c:v>
                      </c:pt>
                      <c:pt idx="30">
                        <c:v>29</c:v>
                      </c:pt>
                      <c:pt idx="31">
                        <c:v>30</c:v>
                      </c:pt>
                      <c:pt idx="32">
                        <c:v>31</c:v>
                      </c:pt>
                      <c:pt idx="33">
                        <c:v>32</c:v>
                      </c:pt>
                      <c:pt idx="34">
                        <c:v>33</c:v>
                      </c:pt>
                      <c:pt idx="35">
                        <c:v>34</c:v>
                      </c:pt>
                      <c:pt idx="36">
                        <c:v>35</c:v>
                      </c:pt>
                      <c:pt idx="37">
                        <c:v>36</c:v>
                      </c:pt>
                      <c:pt idx="38">
                        <c:v>37</c:v>
                      </c:pt>
                      <c:pt idx="39">
                        <c:v>38</c:v>
                      </c:pt>
                      <c:pt idx="40">
                        <c:v>39</c:v>
                      </c:pt>
                      <c:pt idx="41">
                        <c:v>&gt;=40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inter_graph!$I$2:$I$44</c15:sqref>
                        </c15:formulaRef>
                      </c:ext>
                    </c:extLst>
                    <c:numCache>
                      <c:formatCode>#,##0.00</c:formatCode>
                      <c:ptCount val="43"/>
                      <c:pt idx="0">
                        <c:v>17.468300000000003</c:v>
                      </c:pt>
                      <c:pt idx="1">
                        <c:v>0</c:v>
                      </c:pt>
                      <c:pt idx="2">
                        <c:v>17.860299999999999</c:v>
                      </c:pt>
                      <c:pt idx="3">
                        <c:v>8.5400000000000004E-2</c:v>
                      </c:pt>
                      <c:pt idx="4">
                        <c:v>0</c:v>
                      </c:pt>
                      <c:pt idx="5">
                        <c:v>24.829699999999999</c:v>
                      </c:pt>
                      <c:pt idx="6">
                        <c:v>106.70179999999999</c:v>
                      </c:pt>
                      <c:pt idx="7">
                        <c:v>35.313699999999997</c:v>
                      </c:pt>
                      <c:pt idx="8">
                        <c:v>0.83499999999999996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3.0108999999999999</c:v>
                      </c:pt>
                      <c:pt idx="12">
                        <c:v>28.630000000000003</c:v>
                      </c:pt>
                      <c:pt idx="13">
                        <c:v>26.142099999999989</c:v>
                      </c:pt>
                      <c:pt idx="14">
                        <c:v>45.709899999999998</c:v>
                      </c:pt>
                      <c:pt idx="15">
                        <c:v>0</c:v>
                      </c:pt>
                      <c:pt idx="16">
                        <c:v>89.039900000000003</c:v>
                      </c:pt>
                      <c:pt idx="17">
                        <c:v>69.243599999999986</c:v>
                      </c:pt>
                      <c:pt idx="18">
                        <c:v>6.3186999999999989</c:v>
                      </c:pt>
                      <c:pt idx="19">
                        <c:v>82.200399999999988</c:v>
                      </c:pt>
                      <c:pt idx="20">
                        <c:v>0</c:v>
                      </c:pt>
                      <c:pt idx="21">
                        <c:v>13.015499999999999</c:v>
                      </c:pt>
                      <c:pt idx="22">
                        <c:v>27.747899999999998</c:v>
                      </c:pt>
                      <c:pt idx="23">
                        <c:v>7.8686999999999987</c:v>
                      </c:pt>
                      <c:pt idx="24">
                        <c:v>0</c:v>
                      </c:pt>
                      <c:pt idx="25">
                        <c:v>32.357099999999988</c:v>
                      </c:pt>
                      <c:pt idx="26">
                        <c:v>79.992599999999982</c:v>
                      </c:pt>
                      <c:pt idx="27">
                        <c:v>1.4307999999999998</c:v>
                      </c:pt>
                      <c:pt idx="28">
                        <c:v>10.0358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3.1713000000000005</c:v>
                      </c:pt>
                      <c:pt idx="35">
                        <c:v>0</c:v>
                      </c:pt>
                      <c:pt idx="36">
                        <c:v>10.647399999999999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F8D-4C52-96B1-3F6FADBED325}"/>
                  </c:ext>
                </c:extLst>
              </c15:ser>
            </c15:filteredBarSeries>
            <c15:filteredBarSeries>
              <c15:ser>
                <c:idx val="9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inter_graph!$J$1</c15:sqref>
                        </c15:formulaRef>
                      </c:ext>
                    </c:extLst>
                    <c:strCache>
                      <c:ptCount val="1"/>
                      <c:pt idx="0">
                        <c:v>2030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inter_graph!$A$3:$A$44</c15:sqref>
                        </c15:formulaRef>
                      </c:ext>
                    </c:extLst>
                    <c:strCache>
                      <c:ptCount val="42"/>
                      <c:pt idx="0">
                        <c:v>-1</c:v>
                      </c:pt>
                      <c:pt idx="1">
                        <c:v>0</c:v>
                      </c:pt>
                      <c:pt idx="2">
                        <c:v>1</c:v>
                      </c:pt>
                      <c:pt idx="3">
                        <c:v>2</c:v>
                      </c:pt>
                      <c:pt idx="4">
                        <c:v>3</c:v>
                      </c:pt>
                      <c:pt idx="5">
                        <c:v>4</c:v>
                      </c:pt>
                      <c:pt idx="6">
                        <c:v>5</c:v>
                      </c:pt>
                      <c:pt idx="7">
                        <c:v>6</c:v>
                      </c:pt>
                      <c:pt idx="8">
                        <c:v>7</c:v>
                      </c:pt>
                      <c:pt idx="9">
                        <c:v>8</c:v>
                      </c:pt>
                      <c:pt idx="10">
                        <c:v>9</c:v>
                      </c:pt>
                      <c:pt idx="11">
                        <c:v>10</c:v>
                      </c:pt>
                      <c:pt idx="12">
                        <c:v>11</c:v>
                      </c:pt>
                      <c:pt idx="13">
                        <c:v>12</c:v>
                      </c:pt>
                      <c:pt idx="14">
                        <c:v>13</c:v>
                      </c:pt>
                      <c:pt idx="15">
                        <c:v>14</c:v>
                      </c:pt>
                      <c:pt idx="16">
                        <c:v>15</c:v>
                      </c:pt>
                      <c:pt idx="17">
                        <c:v>16</c:v>
                      </c:pt>
                      <c:pt idx="18">
                        <c:v>17</c:v>
                      </c:pt>
                      <c:pt idx="19">
                        <c:v>18</c:v>
                      </c:pt>
                      <c:pt idx="20">
                        <c:v>19</c:v>
                      </c:pt>
                      <c:pt idx="21">
                        <c:v>20</c:v>
                      </c:pt>
                      <c:pt idx="22">
                        <c:v>21</c:v>
                      </c:pt>
                      <c:pt idx="23">
                        <c:v>22</c:v>
                      </c:pt>
                      <c:pt idx="24">
                        <c:v>23</c:v>
                      </c:pt>
                      <c:pt idx="25">
                        <c:v>24</c:v>
                      </c:pt>
                      <c:pt idx="26">
                        <c:v>25</c:v>
                      </c:pt>
                      <c:pt idx="27">
                        <c:v>26</c:v>
                      </c:pt>
                      <c:pt idx="28">
                        <c:v>27</c:v>
                      </c:pt>
                      <c:pt idx="29">
                        <c:v>28</c:v>
                      </c:pt>
                      <c:pt idx="30">
                        <c:v>29</c:v>
                      </c:pt>
                      <c:pt idx="31">
                        <c:v>30</c:v>
                      </c:pt>
                      <c:pt idx="32">
                        <c:v>31</c:v>
                      </c:pt>
                      <c:pt idx="33">
                        <c:v>32</c:v>
                      </c:pt>
                      <c:pt idx="34">
                        <c:v>33</c:v>
                      </c:pt>
                      <c:pt idx="35">
                        <c:v>34</c:v>
                      </c:pt>
                      <c:pt idx="36">
                        <c:v>35</c:v>
                      </c:pt>
                      <c:pt idx="37">
                        <c:v>36</c:v>
                      </c:pt>
                      <c:pt idx="38">
                        <c:v>37</c:v>
                      </c:pt>
                      <c:pt idx="39">
                        <c:v>38</c:v>
                      </c:pt>
                      <c:pt idx="40">
                        <c:v>39</c:v>
                      </c:pt>
                      <c:pt idx="41">
                        <c:v>&gt;=40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inter_graph!$J$2:$J$44</c15:sqref>
                        </c15:formulaRef>
                      </c:ext>
                    </c:extLst>
                    <c:numCache>
                      <c:formatCode>#,##0.00</c:formatCode>
                      <c:ptCount val="43"/>
                      <c:pt idx="0">
                        <c:v>17.424599999999998</c:v>
                      </c:pt>
                      <c:pt idx="1">
                        <c:v>10.764799999999999</c:v>
                      </c:pt>
                      <c:pt idx="2">
                        <c:v>6.7035</c:v>
                      </c:pt>
                      <c:pt idx="3">
                        <c:v>17.860299999999999</c:v>
                      </c:pt>
                      <c:pt idx="4">
                        <c:v>8.5400000000000004E-2</c:v>
                      </c:pt>
                      <c:pt idx="5">
                        <c:v>0</c:v>
                      </c:pt>
                      <c:pt idx="6">
                        <c:v>24.829699999999999</c:v>
                      </c:pt>
                      <c:pt idx="7">
                        <c:v>106.70179999999999</c:v>
                      </c:pt>
                      <c:pt idx="8">
                        <c:v>35.313699999999997</c:v>
                      </c:pt>
                      <c:pt idx="9">
                        <c:v>0.83499999999999996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3.0108999999999999</c:v>
                      </c:pt>
                      <c:pt idx="13">
                        <c:v>28.630000000000003</c:v>
                      </c:pt>
                      <c:pt idx="14">
                        <c:v>26.142099999999989</c:v>
                      </c:pt>
                      <c:pt idx="15">
                        <c:v>45.709899999999998</c:v>
                      </c:pt>
                      <c:pt idx="16">
                        <c:v>0</c:v>
                      </c:pt>
                      <c:pt idx="17">
                        <c:v>89.039900000000003</c:v>
                      </c:pt>
                      <c:pt idx="18">
                        <c:v>69.243599999999986</c:v>
                      </c:pt>
                      <c:pt idx="19">
                        <c:v>6.3186999999999989</c:v>
                      </c:pt>
                      <c:pt idx="20">
                        <c:v>82.200399999999988</c:v>
                      </c:pt>
                      <c:pt idx="21">
                        <c:v>0</c:v>
                      </c:pt>
                      <c:pt idx="22">
                        <c:v>13.015499999999999</c:v>
                      </c:pt>
                      <c:pt idx="23">
                        <c:v>27.747899999999998</c:v>
                      </c:pt>
                      <c:pt idx="24">
                        <c:v>7.8686999999999987</c:v>
                      </c:pt>
                      <c:pt idx="25">
                        <c:v>0</c:v>
                      </c:pt>
                      <c:pt idx="26">
                        <c:v>32.357099999999988</c:v>
                      </c:pt>
                      <c:pt idx="27">
                        <c:v>73.215400000000002</c:v>
                      </c:pt>
                      <c:pt idx="28">
                        <c:v>1.4307999999999998</c:v>
                      </c:pt>
                      <c:pt idx="29">
                        <c:v>10.0358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3.1713000000000005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F8D-4C52-96B1-3F6FADBED325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0"/>
          <c:order val="0"/>
          <c:tx>
            <c:strRef>
              <c:f>inter_graph!$B$1</c:f>
              <c:strCache>
                <c:ptCount val="1"/>
                <c:pt idx="0">
                  <c:v>p_25 :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inter_graph!$A$2:$A$64</c:f>
              <c:strCache>
                <c:ptCount val="43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  <c:pt idx="12">
                  <c:v>10</c:v>
                </c:pt>
                <c:pt idx="13">
                  <c:v>11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15</c:v>
                </c:pt>
                <c:pt idx="18">
                  <c:v>16</c:v>
                </c:pt>
                <c:pt idx="19">
                  <c:v>17</c:v>
                </c:pt>
                <c:pt idx="20">
                  <c:v>18</c:v>
                </c:pt>
                <c:pt idx="21">
                  <c:v>19</c:v>
                </c:pt>
                <c:pt idx="22">
                  <c:v>20</c:v>
                </c:pt>
                <c:pt idx="23">
                  <c:v>21</c:v>
                </c:pt>
                <c:pt idx="24">
                  <c:v>22</c:v>
                </c:pt>
                <c:pt idx="25">
                  <c:v>23</c:v>
                </c:pt>
                <c:pt idx="26">
                  <c:v>24</c:v>
                </c:pt>
                <c:pt idx="27">
                  <c:v>25</c:v>
                </c:pt>
                <c:pt idx="28">
                  <c:v>26</c:v>
                </c:pt>
                <c:pt idx="29">
                  <c:v>27</c:v>
                </c:pt>
                <c:pt idx="30">
                  <c:v>28</c:v>
                </c:pt>
                <c:pt idx="31">
                  <c:v>29</c:v>
                </c:pt>
                <c:pt idx="32">
                  <c:v>30</c:v>
                </c:pt>
                <c:pt idx="33">
                  <c:v>31</c:v>
                </c:pt>
                <c:pt idx="34">
                  <c:v>32</c:v>
                </c:pt>
                <c:pt idx="35">
                  <c:v>33</c:v>
                </c:pt>
                <c:pt idx="36">
                  <c:v>34</c:v>
                </c:pt>
                <c:pt idx="37">
                  <c:v>35</c:v>
                </c:pt>
                <c:pt idx="38">
                  <c:v>36</c:v>
                </c:pt>
                <c:pt idx="39">
                  <c:v>37</c:v>
                </c:pt>
                <c:pt idx="40">
                  <c:v>38</c:v>
                </c:pt>
                <c:pt idx="41">
                  <c:v>39</c:v>
                </c:pt>
                <c:pt idx="42">
                  <c:v>&gt;=40</c:v>
                </c:pt>
              </c:strCache>
            </c:strRef>
          </c:cat>
          <c:val>
            <c:numRef>
              <c:f>inter_graph!$B$2:$B$44</c:f>
              <c:numCache>
                <c:formatCode>#,##0.00</c:formatCode>
                <c:ptCount val="43"/>
                <c:pt idx="0">
                  <c:v>27.394696296296281</c:v>
                </c:pt>
                <c:pt idx="1">
                  <c:v>27.394696296296281</c:v>
                </c:pt>
                <c:pt idx="2">
                  <c:v>27.394696296296281</c:v>
                </c:pt>
                <c:pt idx="3">
                  <c:v>27.394696296296281</c:v>
                </c:pt>
                <c:pt idx="4">
                  <c:v>27.394696296296281</c:v>
                </c:pt>
                <c:pt idx="5">
                  <c:v>27.394696296296281</c:v>
                </c:pt>
                <c:pt idx="6">
                  <c:v>27.394696296296281</c:v>
                </c:pt>
                <c:pt idx="7">
                  <c:v>27.394696296296281</c:v>
                </c:pt>
                <c:pt idx="8">
                  <c:v>27.394696296296281</c:v>
                </c:pt>
                <c:pt idx="9">
                  <c:v>27.394696296296281</c:v>
                </c:pt>
                <c:pt idx="10">
                  <c:v>27.394696296296281</c:v>
                </c:pt>
                <c:pt idx="11">
                  <c:v>27.394696296296281</c:v>
                </c:pt>
                <c:pt idx="12">
                  <c:v>27.394696296296281</c:v>
                </c:pt>
                <c:pt idx="13">
                  <c:v>27.394696296296281</c:v>
                </c:pt>
                <c:pt idx="14">
                  <c:v>27.394696296296281</c:v>
                </c:pt>
                <c:pt idx="15">
                  <c:v>27.394696296296281</c:v>
                </c:pt>
                <c:pt idx="16">
                  <c:v>27.394696296296281</c:v>
                </c:pt>
                <c:pt idx="17">
                  <c:v>27.394696296296281</c:v>
                </c:pt>
                <c:pt idx="18">
                  <c:v>27.394696296296281</c:v>
                </c:pt>
                <c:pt idx="19">
                  <c:v>27.394696296296281</c:v>
                </c:pt>
                <c:pt idx="20">
                  <c:v>27.394696296296281</c:v>
                </c:pt>
                <c:pt idx="21">
                  <c:v>27.394696296296281</c:v>
                </c:pt>
                <c:pt idx="22">
                  <c:v>27.394696296296281</c:v>
                </c:pt>
                <c:pt idx="23">
                  <c:v>27.394696296296281</c:v>
                </c:pt>
                <c:pt idx="24">
                  <c:v>27.394696296296281</c:v>
                </c:pt>
                <c:pt idx="25">
                  <c:v>27.394696296296281</c:v>
                </c:pt>
                <c:pt idx="26">
                  <c:v>27.394696296296281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F8D-4C52-96B1-3F6FADBED325}"/>
            </c:ext>
          </c:extLst>
        </c:ser>
        <c:ser>
          <c:idx val="1"/>
          <c:order val="1"/>
          <c:tx>
            <c:strRef>
              <c:f>inter_graph!$C$1</c:f>
              <c:strCache>
                <c:ptCount val="1"/>
                <c:pt idx="0">
                  <c:v>p_40 :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inter_graph!$A$2:$A$64</c:f>
              <c:strCache>
                <c:ptCount val="43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  <c:pt idx="12">
                  <c:v>10</c:v>
                </c:pt>
                <c:pt idx="13">
                  <c:v>11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15</c:v>
                </c:pt>
                <c:pt idx="18">
                  <c:v>16</c:v>
                </c:pt>
                <c:pt idx="19">
                  <c:v>17</c:v>
                </c:pt>
                <c:pt idx="20">
                  <c:v>18</c:v>
                </c:pt>
                <c:pt idx="21">
                  <c:v>19</c:v>
                </c:pt>
                <c:pt idx="22">
                  <c:v>20</c:v>
                </c:pt>
                <c:pt idx="23">
                  <c:v>21</c:v>
                </c:pt>
                <c:pt idx="24">
                  <c:v>22</c:v>
                </c:pt>
                <c:pt idx="25">
                  <c:v>23</c:v>
                </c:pt>
                <c:pt idx="26">
                  <c:v>24</c:v>
                </c:pt>
                <c:pt idx="27">
                  <c:v>25</c:v>
                </c:pt>
                <c:pt idx="28">
                  <c:v>26</c:v>
                </c:pt>
                <c:pt idx="29">
                  <c:v>27</c:v>
                </c:pt>
                <c:pt idx="30">
                  <c:v>28</c:v>
                </c:pt>
                <c:pt idx="31">
                  <c:v>29</c:v>
                </c:pt>
                <c:pt idx="32">
                  <c:v>30</c:v>
                </c:pt>
                <c:pt idx="33">
                  <c:v>31</c:v>
                </c:pt>
                <c:pt idx="34">
                  <c:v>32</c:v>
                </c:pt>
                <c:pt idx="35">
                  <c:v>33</c:v>
                </c:pt>
                <c:pt idx="36">
                  <c:v>34</c:v>
                </c:pt>
                <c:pt idx="37">
                  <c:v>35</c:v>
                </c:pt>
                <c:pt idx="38">
                  <c:v>36</c:v>
                </c:pt>
                <c:pt idx="39">
                  <c:v>37</c:v>
                </c:pt>
                <c:pt idx="40">
                  <c:v>38</c:v>
                </c:pt>
                <c:pt idx="41">
                  <c:v>39</c:v>
                </c:pt>
                <c:pt idx="42">
                  <c:v>&gt;=40</c:v>
                </c:pt>
              </c:strCache>
            </c:strRef>
          </c:cat>
          <c:val>
            <c:numRef>
              <c:f>inter_graph!$C$2:$C$44</c:f>
              <c:numCache>
                <c:formatCode>#,##0.00</c:formatCode>
                <c:ptCount val="43"/>
                <c:pt idx="0">
                  <c:v>17.610876190476183</c:v>
                </c:pt>
                <c:pt idx="1">
                  <c:v>17.610876190476183</c:v>
                </c:pt>
                <c:pt idx="2">
                  <c:v>17.610876190476183</c:v>
                </c:pt>
                <c:pt idx="3">
                  <c:v>17.610876190476183</c:v>
                </c:pt>
                <c:pt idx="4">
                  <c:v>17.610876190476183</c:v>
                </c:pt>
                <c:pt idx="5">
                  <c:v>17.610876190476183</c:v>
                </c:pt>
                <c:pt idx="6">
                  <c:v>17.610876190476183</c:v>
                </c:pt>
                <c:pt idx="7">
                  <c:v>17.610876190476183</c:v>
                </c:pt>
                <c:pt idx="8">
                  <c:v>17.610876190476183</c:v>
                </c:pt>
                <c:pt idx="9">
                  <c:v>17.610876190476183</c:v>
                </c:pt>
                <c:pt idx="10">
                  <c:v>17.610876190476183</c:v>
                </c:pt>
                <c:pt idx="11">
                  <c:v>17.610876190476183</c:v>
                </c:pt>
                <c:pt idx="12">
                  <c:v>17.610876190476183</c:v>
                </c:pt>
                <c:pt idx="13">
                  <c:v>17.610876190476183</c:v>
                </c:pt>
                <c:pt idx="14">
                  <c:v>17.610876190476183</c:v>
                </c:pt>
                <c:pt idx="15">
                  <c:v>17.610876190476183</c:v>
                </c:pt>
                <c:pt idx="16">
                  <c:v>17.610876190476183</c:v>
                </c:pt>
                <c:pt idx="17">
                  <c:v>17.610876190476183</c:v>
                </c:pt>
                <c:pt idx="18">
                  <c:v>17.610876190476183</c:v>
                </c:pt>
                <c:pt idx="19">
                  <c:v>17.610876190476183</c:v>
                </c:pt>
                <c:pt idx="20">
                  <c:v>17.610876190476183</c:v>
                </c:pt>
                <c:pt idx="21">
                  <c:v>17.610876190476183</c:v>
                </c:pt>
                <c:pt idx="22">
                  <c:v>17.610876190476183</c:v>
                </c:pt>
                <c:pt idx="23">
                  <c:v>17.610876190476183</c:v>
                </c:pt>
                <c:pt idx="24">
                  <c:v>17.610876190476183</c:v>
                </c:pt>
                <c:pt idx="25">
                  <c:v>17.610876190476183</c:v>
                </c:pt>
                <c:pt idx="26">
                  <c:v>17.610876190476183</c:v>
                </c:pt>
                <c:pt idx="27">
                  <c:v>17.610876190476183</c:v>
                </c:pt>
                <c:pt idx="28">
                  <c:v>17.610876190476183</c:v>
                </c:pt>
                <c:pt idx="29">
                  <c:v>17.610876190476183</c:v>
                </c:pt>
                <c:pt idx="30">
                  <c:v>17.610876190476183</c:v>
                </c:pt>
                <c:pt idx="31">
                  <c:v>17.610876190476183</c:v>
                </c:pt>
                <c:pt idx="32">
                  <c:v>17.610876190476183</c:v>
                </c:pt>
                <c:pt idx="33">
                  <c:v>17.610876190476183</c:v>
                </c:pt>
                <c:pt idx="34">
                  <c:v>17.610876190476183</c:v>
                </c:pt>
                <c:pt idx="35">
                  <c:v>17.610876190476183</c:v>
                </c:pt>
                <c:pt idx="36">
                  <c:v>17.610876190476183</c:v>
                </c:pt>
                <c:pt idx="37">
                  <c:v>17.610876190476183</c:v>
                </c:pt>
                <c:pt idx="38">
                  <c:v>17.610876190476183</c:v>
                </c:pt>
                <c:pt idx="39">
                  <c:v>17.610876190476183</c:v>
                </c:pt>
                <c:pt idx="40">
                  <c:v>17.610876190476183</c:v>
                </c:pt>
                <c:pt idx="41">
                  <c:v>17.610876190476183</c:v>
                </c:pt>
                <c:pt idx="4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F8D-4C52-96B1-3F6FADBED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1931328"/>
        <c:axId val="901934240"/>
      </c:lineChart>
      <c:catAx>
        <c:axId val="901931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1934240"/>
        <c:crosses val="autoZero"/>
        <c:auto val="1"/>
        <c:lblAlgn val="ctr"/>
        <c:lblOffset val="100"/>
        <c:noMultiLvlLbl val="0"/>
      </c:catAx>
      <c:valAx>
        <c:axId val="90193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19313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8"/>
          <c:order val="7"/>
          <c:tx>
            <c:strRef>
              <c:f>inter_graph!$K$1</c:f>
              <c:strCache>
                <c:ptCount val="1"/>
                <c:pt idx="0">
                  <c:v>2031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inter_graph!$A$28:$A$44</c15:sqref>
                  </c15:fullRef>
                </c:ext>
              </c:extLst>
              <c:f>inter_graph!$A$28:$A$44</c:f>
              <c:strCache>
                <c:ptCount val="17"/>
                <c:pt idx="0">
                  <c:v>24</c:v>
                </c:pt>
                <c:pt idx="1">
                  <c:v>25</c:v>
                </c:pt>
                <c:pt idx="2">
                  <c:v>26</c:v>
                </c:pt>
                <c:pt idx="3">
                  <c:v>27</c:v>
                </c:pt>
                <c:pt idx="4">
                  <c:v>28</c:v>
                </c:pt>
                <c:pt idx="5">
                  <c:v>29</c:v>
                </c:pt>
                <c:pt idx="6">
                  <c:v>30</c:v>
                </c:pt>
                <c:pt idx="7">
                  <c:v>31</c:v>
                </c:pt>
                <c:pt idx="8">
                  <c:v>32</c:v>
                </c:pt>
                <c:pt idx="9">
                  <c:v>33</c:v>
                </c:pt>
                <c:pt idx="10">
                  <c:v>34</c:v>
                </c:pt>
                <c:pt idx="11">
                  <c:v>35</c:v>
                </c:pt>
                <c:pt idx="12">
                  <c:v>36</c:v>
                </c:pt>
                <c:pt idx="13">
                  <c:v>37</c:v>
                </c:pt>
                <c:pt idx="14">
                  <c:v>38</c:v>
                </c:pt>
                <c:pt idx="15">
                  <c:v>39</c:v>
                </c:pt>
                <c:pt idx="16">
                  <c:v>&gt;=40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inter_graph!$K$28:$K$45</c15:sqref>
                  </c15:fullRef>
                </c:ext>
              </c:extLst>
              <c:f>inter_graph!$K$28:$K$44</c:f>
              <c:numCache>
                <c:formatCode>#,##0.00</c:formatCode>
                <c:ptCount val="17"/>
                <c:pt idx="0">
                  <c:v>0</c:v>
                </c:pt>
                <c:pt idx="1">
                  <c:v>15.712199999999999</c:v>
                </c:pt>
                <c:pt idx="2">
                  <c:v>73.215400000000002</c:v>
                </c:pt>
                <c:pt idx="3">
                  <c:v>1.4307999999999998</c:v>
                </c:pt>
                <c:pt idx="4">
                  <c:v>10.0358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3.1713000000000005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BB5-49AA-A3C8-FF92E7D0CE67}"/>
            </c:ext>
          </c:extLst>
        </c:ser>
        <c:ser>
          <c:idx val="9"/>
          <c:order val="8"/>
          <c:tx>
            <c:strRef>
              <c:f>inter_graph!$L$1</c:f>
              <c:strCache>
                <c:ptCount val="1"/>
                <c:pt idx="0">
                  <c:v>2032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inter_graph!$A$28:$A$44</c15:sqref>
                  </c15:fullRef>
                </c:ext>
              </c:extLst>
              <c:f>inter_graph!$A$28:$A$44</c:f>
              <c:strCache>
                <c:ptCount val="17"/>
                <c:pt idx="0">
                  <c:v>24</c:v>
                </c:pt>
                <c:pt idx="1">
                  <c:v>25</c:v>
                </c:pt>
                <c:pt idx="2">
                  <c:v>26</c:v>
                </c:pt>
                <c:pt idx="3">
                  <c:v>27</c:v>
                </c:pt>
                <c:pt idx="4">
                  <c:v>28</c:v>
                </c:pt>
                <c:pt idx="5">
                  <c:v>29</c:v>
                </c:pt>
                <c:pt idx="6">
                  <c:v>30</c:v>
                </c:pt>
                <c:pt idx="7">
                  <c:v>31</c:v>
                </c:pt>
                <c:pt idx="8">
                  <c:v>32</c:v>
                </c:pt>
                <c:pt idx="9">
                  <c:v>33</c:v>
                </c:pt>
                <c:pt idx="10">
                  <c:v>34</c:v>
                </c:pt>
                <c:pt idx="11">
                  <c:v>35</c:v>
                </c:pt>
                <c:pt idx="12">
                  <c:v>36</c:v>
                </c:pt>
                <c:pt idx="13">
                  <c:v>37</c:v>
                </c:pt>
                <c:pt idx="14">
                  <c:v>38</c:v>
                </c:pt>
                <c:pt idx="15">
                  <c:v>39</c:v>
                </c:pt>
                <c:pt idx="16">
                  <c:v>&gt;=40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inter_graph!$L$28:$L$45</c15:sqref>
                  </c15:fullRef>
                </c:ext>
              </c:extLst>
              <c:f>inter_graph!$L$28:$L$44</c:f>
              <c:numCache>
                <c:formatCode>#,##0.00</c:formatCode>
                <c:ptCount val="17"/>
                <c:pt idx="0">
                  <c:v>7.8686999999999987</c:v>
                </c:pt>
                <c:pt idx="1">
                  <c:v>0</c:v>
                </c:pt>
                <c:pt idx="2">
                  <c:v>5.3432000000000004</c:v>
                </c:pt>
                <c:pt idx="3">
                  <c:v>72.032399999999996</c:v>
                </c:pt>
                <c:pt idx="4">
                  <c:v>1.4307999999999998</c:v>
                </c:pt>
                <c:pt idx="5">
                  <c:v>10.0358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BB5-49AA-A3C8-FF92E7D0CE67}"/>
            </c:ext>
          </c:extLst>
        </c:ser>
        <c:ser>
          <c:idx val="10"/>
          <c:order val="9"/>
          <c:tx>
            <c:strRef>
              <c:f>inter_graph!$M$1</c:f>
              <c:strCache>
                <c:ptCount val="1"/>
                <c:pt idx="0">
                  <c:v>2033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inter_graph!$A$28:$A$44</c15:sqref>
                  </c15:fullRef>
                </c:ext>
              </c:extLst>
              <c:f>inter_graph!$A$28:$A$44</c:f>
              <c:strCache>
                <c:ptCount val="17"/>
                <c:pt idx="0">
                  <c:v>24</c:v>
                </c:pt>
                <c:pt idx="1">
                  <c:v>25</c:v>
                </c:pt>
                <c:pt idx="2">
                  <c:v>26</c:v>
                </c:pt>
                <c:pt idx="3">
                  <c:v>27</c:v>
                </c:pt>
                <c:pt idx="4">
                  <c:v>28</c:v>
                </c:pt>
                <c:pt idx="5">
                  <c:v>29</c:v>
                </c:pt>
                <c:pt idx="6">
                  <c:v>30</c:v>
                </c:pt>
                <c:pt idx="7">
                  <c:v>31</c:v>
                </c:pt>
                <c:pt idx="8">
                  <c:v>32</c:v>
                </c:pt>
                <c:pt idx="9">
                  <c:v>33</c:v>
                </c:pt>
                <c:pt idx="10">
                  <c:v>34</c:v>
                </c:pt>
                <c:pt idx="11">
                  <c:v>35</c:v>
                </c:pt>
                <c:pt idx="12">
                  <c:v>36</c:v>
                </c:pt>
                <c:pt idx="13">
                  <c:v>37</c:v>
                </c:pt>
                <c:pt idx="14">
                  <c:v>38</c:v>
                </c:pt>
                <c:pt idx="15">
                  <c:v>39</c:v>
                </c:pt>
                <c:pt idx="16">
                  <c:v>&gt;=40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inter_graph!$M$28:$M$45</c15:sqref>
                  </c15:fullRef>
                </c:ext>
              </c:extLst>
              <c:f>inter_graph!$M$28:$M$44</c:f>
              <c:numCache>
                <c:formatCode>#,##0.00</c:formatCode>
                <c:ptCount val="17"/>
                <c:pt idx="0">
                  <c:v>27.747899999999998</c:v>
                </c:pt>
                <c:pt idx="1">
                  <c:v>0.70179999999999998</c:v>
                </c:pt>
                <c:pt idx="2">
                  <c:v>0</c:v>
                </c:pt>
                <c:pt idx="3">
                  <c:v>4.6753000000000018</c:v>
                </c:pt>
                <c:pt idx="4">
                  <c:v>61.545799999999993</c:v>
                </c:pt>
                <c:pt idx="5">
                  <c:v>1.4307999999999998</c:v>
                </c:pt>
                <c:pt idx="6">
                  <c:v>10.0358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BB5-49AA-A3C8-FF92E7D0C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7938032"/>
        <c:axId val="1857948016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tx>
                  <c:strRef>
                    <c:extLst>
                      <c:ext uri="{02D57815-91ED-43cb-92C2-25804820EDAC}">
                        <c15:formulaRef>
                          <c15:sqref>inter_graph!$D$1</c15:sqref>
                        </c15:formulaRef>
                      </c:ext>
                    </c:extLst>
                    <c:strCache>
                      <c:ptCount val="1"/>
                      <c:pt idx="0">
                        <c:v>2024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inter_graph!$A$28:$A$44</c15:sqref>
                        </c15:fullRef>
                        <c15:formulaRef>
                          <c15:sqref>inter_graph!$A$28:$A$44</c15:sqref>
                        </c15:formulaRef>
                      </c:ext>
                    </c:extLst>
                    <c:strCache>
                      <c:ptCount val="17"/>
                      <c:pt idx="0">
                        <c:v>24</c:v>
                      </c:pt>
                      <c:pt idx="1">
                        <c:v>25</c:v>
                      </c:pt>
                      <c:pt idx="2">
                        <c:v>26</c:v>
                      </c:pt>
                      <c:pt idx="3">
                        <c:v>27</c:v>
                      </c:pt>
                      <c:pt idx="4">
                        <c:v>28</c:v>
                      </c:pt>
                      <c:pt idx="5">
                        <c:v>29</c:v>
                      </c:pt>
                      <c:pt idx="6">
                        <c:v>30</c:v>
                      </c:pt>
                      <c:pt idx="7">
                        <c:v>31</c:v>
                      </c:pt>
                      <c:pt idx="8">
                        <c:v>32</c:v>
                      </c:pt>
                      <c:pt idx="9">
                        <c:v>33</c:v>
                      </c:pt>
                      <c:pt idx="10">
                        <c:v>34</c:v>
                      </c:pt>
                      <c:pt idx="11">
                        <c:v>35</c:v>
                      </c:pt>
                      <c:pt idx="12">
                        <c:v>36</c:v>
                      </c:pt>
                      <c:pt idx="13">
                        <c:v>37</c:v>
                      </c:pt>
                      <c:pt idx="14">
                        <c:v>38</c:v>
                      </c:pt>
                      <c:pt idx="15">
                        <c:v>39</c:v>
                      </c:pt>
                      <c:pt idx="16">
                        <c:v>&gt;=40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inter_graph!$D$28:$D$44</c15:sqref>
                        </c15:fullRef>
                        <c15:formulaRef>
                          <c15:sqref>inter_graph!$D$28:$D$44</c15:sqref>
                        </c15:formulaRef>
                      </c:ext>
                    </c:extLst>
                    <c:numCache>
                      <c:formatCode>#,##0.00</c:formatCode>
                      <c:ptCount val="1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3.1713000000000005</c:v>
                      </c:pt>
                      <c:pt idx="4">
                        <c:v>0</c:v>
                      </c:pt>
                      <c:pt idx="5">
                        <c:v>10.647399999999999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8.5400000000000004E-2</c:v>
                      </c:pt>
                      <c:pt idx="11">
                        <c:v>0</c:v>
                      </c:pt>
                      <c:pt idx="12">
                        <c:v>3.2961</c:v>
                      </c:pt>
                      <c:pt idx="13">
                        <c:v>11.5708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BB5-49AA-A3C8-FF92E7D0CE67}"/>
                  </c:ext>
                </c:extLst>
              </c15:ser>
            </c15:filteredLineSeries>
            <c15:filteredLineSeries>
              <c15:ser>
                <c:idx val="2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inter_graph!$E$1</c15:sqref>
                        </c15:formulaRef>
                      </c:ext>
                    </c:extLst>
                    <c:strCache>
                      <c:ptCount val="1"/>
                      <c:pt idx="0">
                        <c:v>2025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inter_graph!$A$28:$A$44</c15:sqref>
                        </c15:fullRef>
                        <c15:formulaRef>
                          <c15:sqref>inter_graph!$A$28:$A$44</c15:sqref>
                        </c15:formulaRef>
                      </c:ext>
                    </c:extLst>
                    <c:strCache>
                      <c:ptCount val="17"/>
                      <c:pt idx="0">
                        <c:v>24</c:v>
                      </c:pt>
                      <c:pt idx="1">
                        <c:v>25</c:v>
                      </c:pt>
                      <c:pt idx="2">
                        <c:v>26</c:v>
                      </c:pt>
                      <c:pt idx="3">
                        <c:v>27</c:v>
                      </c:pt>
                      <c:pt idx="4">
                        <c:v>28</c:v>
                      </c:pt>
                      <c:pt idx="5">
                        <c:v>29</c:v>
                      </c:pt>
                      <c:pt idx="6">
                        <c:v>30</c:v>
                      </c:pt>
                      <c:pt idx="7">
                        <c:v>31</c:v>
                      </c:pt>
                      <c:pt idx="8">
                        <c:v>32</c:v>
                      </c:pt>
                      <c:pt idx="9">
                        <c:v>33</c:v>
                      </c:pt>
                      <c:pt idx="10">
                        <c:v>34</c:v>
                      </c:pt>
                      <c:pt idx="11">
                        <c:v>35</c:v>
                      </c:pt>
                      <c:pt idx="12">
                        <c:v>36</c:v>
                      </c:pt>
                      <c:pt idx="13">
                        <c:v>37</c:v>
                      </c:pt>
                      <c:pt idx="14">
                        <c:v>38</c:v>
                      </c:pt>
                      <c:pt idx="15">
                        <c:v>39</c:v>
                      </c:pt>
                      <c:pt idx="16">
                        <c:v>&gt;=40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inter_graph!$E$28:$E$44</c15:sqref>
                        </c15:fullRef>
                        <c15:formulaRef>
                          <c15:sqref>inter_graph!$E$28:$E$44</c15:sqref>
                        </c15:formulaRef>
                      </c:ext>
                    </c:extLst>
                    <c:numCache>
                      <c:formatCode>#,##0.00</c:formatCode>
                      <c:ptCount val="1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3.1713000000000005</c:v>
                      </c:pt>
                      <c:pt idx="5">
                        <c:v>0</c:v>
                      </c:pt>
                      <c:pt idx="6">
                        <c:v>10.647399999999999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BB5-49AA-A3C8-FF92E7D0CE67}"/>
                  </c:ext>
                </c:extLst>
              </c15:ser>
            </c15:filteredLineSeries>
            <c15:filteredLineSeries>
              <c15:ser>
                <c:idx val="3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inter_graph!$F$1</c15:sqref>
                        </c15:formulaRef>
                      </c:ext>
                    </c:extLst>
                    <c:strCache>
                      <c:ptCount val="1"/>
                      <c:pt idx="0">
                        <c:v>2026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inter_graph!$A$28:$A$44</c15:sqref>
                        </c15:fullRef>
                        <c15:formulaRef>
                          <c15:sqref>inter_graph!$A$28:$A$44</c15:sqref>
                        </c15:formulaRef>
                      </c:ext>
                    </c:extLst>
                    <c:strCache>
                      <c:ptCount val="17"/>
                      <c:pt idx="0">
                        <c:v>24</c:v>
                      </c:pt>
                      <c:pt idx="1">
                        <c:v>25</c:v>
                      </c:pt>
                      <c:pt idx="2">
                        <c:v>26</c:v>
                      </c:pt>
                      <c:pt idx="3">
                        <c:v>27</c:v>
                      </c:pt>
                      <c:pt idx="4">
                        <c:v>28</c:v>
                      </c:pt>
                      <c:pt idx="5">
                        <c:v>29</c:v>
                      </c:pt>
                      <c:pt idx="6">
                        <c:v>30</c:v>
                      </c:pt>
                      <c:pt idx="7">
                        <c:v>31</c:v>
                      </c:pt>
                      <c:pt idx="8">
                        <c:v>32</c:v>
                      </c:pt>
                      <c:pt idx="9">
                        <c:v>33</c:v>
                      </c:pt>
                      <c:pt idx="10">
                        <c:v>34</c:v>
                      </c:pt>
                      <c:pt idx="11">
                        <c:v>35</c:v>
                      </c:pt>
                      <c:pt idx="12">
                        <c:v>36</c:v>
                      </c:pt>
                      <c:pt idx="13">
                        <c:v>37</c:v>
                      </c:pt>
                      <c:pt idx="14">
                        <c:v>38</c:v>
                      </c:pt>
                      <c:pt idx="15">
                        <c:v>39</c:v>
                      </c:pt>
                      <c:pt idx="16">
                        <c:v>&gt;=40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inter_graph!$F$28:$F$44</c15:sqref>
                        </c15:fullRef>
                        <c15:formulaRef>
                          <c15:sqref>inter_graph!$F$28:$F$44</c15:sqref>
                        </c15:formulaRef>
                      </c:ext>
                    </c:extLst>
                    <c:numCache>
                      <c:formatCode>#,##0.00</c:formatCode>
                      <c:ptCount val="1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3.1713000000000005</c:v>
                      </c:pt>
                      <c:pt idx="6">
                        <c:v>0</c:v>
                      </c:pt>
                      <c:pt idx="7">
                        <c:v>10.647399999999999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BBB5-49AA-A3C8-FF92E7D0CE67}"/>
                  </c:ext>
                </c:extLst>
              </c15:ser>
            </c15:filteredLineSeries>
            <c15:filteredLineSeries>
              <c15:ser>
                <c:idx val="4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inter_graph!$G$1</c15:sqref>
                        </c15:formulaRef>
                      </c:ext>
                    </c:extLst>
                    <c:strCache>
                      <c:ptCount val="1"/>
                      <c:pt idx="0">
                        <c:v>2027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inter_graph!$A$28:$A$44</c15:sqref>
                        </c15:fullRef>
                        <c15:formulaRef>
                          <c15:sqref>inter_graph!$A$28:$A$44</c15:sqref>
                        </c15:formulaRef>
                      </c:ext>
                    </c:extLst>
                    <c:strCache>
                      <c:ptCount val="17"/>
                      <c:pt idx="0">
                        <c:v>24</c:v>
                      </c:pt>
                      <c:pt idx="1">
                        <c:v>25</c:v>
                      </c:pt>
                      <c:pt idx="2">
                        <c:v>26</c:v>
                      </c:pt>
                      <c:pt idx="3">
                        <c:v>27</c:v>
                      </c:pt>
                      <c:pt idx="4">
                        <c:v>28</c:v>
                      </c:pt>
                      <c:pt idx="5">
                        <c:v>29</c:v>
                      </c:pt>
                      <c:pt idx="6">
                        <c:v>30</c:v>
                      </c:pt>
                      <c:pt idx="7">
                        <c:v>31</c:v>
                      </c:pt>
                      <c:pt idx="8">
                        <c:v>32</c:v>
                      </c:pt>
                      <c:pt idx="9">
                        <c:v>33</c:v>
                      </c:pt>
                      <c:pt idx="10">
                        <c:v>34</c:v>
                      </c:pt>
                      <c:pt idx="11">
                        <c:v>35</c:v>
                      </c:pt>
                      <c:pt idx="12">
                        <c:v>36</c:v>
                      </c:pt>
                      <c:pt idx="13">
                        <c:v>37</c:v>
                      </c:pt>
                      <c:pt idx="14">
                        <c:v>38</c:v>
                      </c:pt>
                      <c:pt idx="15">
                        <c:v>39</c:v>
                      </c:pt>
                      <c:pt idx="16">
                        <c:v>&gt;=40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inter_graph!$G$28:$G$44</c15:sqref>
                        </c15:fullRef>
                        <c15:formulaRef>
                          <c15:sqref>inter_graph!$G$28:$G$44</c15:sqref>
                        </c15:formulaRef>
                      </c:ext>
                    </c:extLst>
                    <c:numCache>
                      <c:formatCode>#,##0.00</c:formatCode>
                      <c:ptCount val="17"/>
                      <c:pt idx="0">
                        <c:v>27.896099999999997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3.1713000000000005</c:v>
                      </c:pt>
                      <c:pt idx="7">
                        <c:v>0</c:v>
                      </c:pt>
                      <c:pt idx="8">
                        <c:v>10.647399999999999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BB5-49AA-A3C8-FF92E7D0CE67}"/>
                  </c:ext>
                </c:extLst>
              </c15:ser>
            </c15:filteredLineSeries>
            <c15:filteredLineSeries>
              <c15:ser>
                <c:idx val="5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inter_graph!$H$1</c15:sqref>
                        </c15:formulaRef>
                      </c:ext>
                    </c:extLst>
                    <c:strCache>
                      <c:ptCount val="1"/>
                      <c:pt idx="0">
                        <c:v>2028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inter_graph!$A$28:$A$44</c15:sqref>
                        </c15:fullRef>
                        <c15:formulaRef>
                          <c15:sqref>inter_graph!$A$28:$A$44</c15:sqref>
                        </c15:formulaRef>
                      </c:ext>
                    </c:extLst>
                    <c:strCache>
                      <c:ptCount val="17"/>
                      <c:pt idx="0">
                        <c:v>24</c:v>
                      </c:pt>
                      <c:pt idx="1">
                        <c:v>25</c:v>
                      </c:pt>
                      <c:pt idx="2">
                        <c:v>26</c:v>
                      </c:pt>
                      <c:pt idx="3">
                        <c:v>27</c:v>
                      </c:pt>
                      <c:pt idx="4">
                        <c:v>28</c:v>
                      </c:pt>
                      <c:pt idx="5">
                        <c:v>29</c:v>
                      </c:pt>
                      <c:pt idx="6">
                        <c:v>30</c:v>
                      </c:pt>
                      <c:pt idx="7">
                        <c:v>31</c:v>
                      </c:pt>
                      <c:pt idx="8">
                        <c:v>32</c:v>
                      </c:pt>
                      <c:pt idx="9">
                        <c:v>33</c:v>
                      </c:pt>
                      <c:pt idx="10">
                        <c:v>34</c:v>
                      </c:pt>
                      <c:pt idx="11">
                        <c:v>35</c:v>
                      </c:pt>
                      <c:pt idx="12">
                        <c:v>36</c:v>
                      </c:pt>
                      <c:pt idx="13">
                        <c:v>37</c:v>
                      </c:pt>
                      <c:pt idx="14">
                        <c:v>38</c:v>
                      </c:pt>
                      <c:pt idx="15">
                        <c:v>39</c:v>
                      </c:pt>
                      <c:pt idx="16">
                        <c:v>&gt;=40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inter_graph!$H$28:$H$45</c15:sqref>
                        </c15:fullRef>
                        <c15:formulaRef>
                          <c15:sqref>inter_graph!$H$28:$H$44</c15:sqref>
                        </c15:formulaRef>
                      </c:ext>
                    </c:extLst>
                    <c:numCache>
                      <c:formatCode>#,##0.00</c:formatCode>
                      <c:ptCount val="17"/>
                      <c:pt idx="0">
                        <c:v>18.899100000000008</c:v>
                      </c:pt>
                      <c:pt idx="1">
                        <c:v>10.0358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3.1713000000000005</c:v>
                      </c:pt>
                      <c:pt idx="8">
                        <c:v>0</c:v>
                      </c:pt>
                      <c:pt idx="9">
                        <c:v>10.647399999999999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BBB5-49AA-A3C8-FF92E7D0CE67}"/>
                  </c:ext>
                </c:extLst>
              </c15:ser>
            </c15:filteredLineSeries>
            <c15:filteredLineSeries>
              <c15:ser>
                <c:idx val="6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inter_graph!$I$1</c15:sqref>
                        </c15:formulaRef>
                      </c:ext>
                    </c:extLst>
                    <c:strCache>
                      <c:ptCount val="1"/>
                      <c:pt idx="0">
                        <c:v>2029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inter_graph!$A$28:$A$44</c15:sqref>
                        </c15:fullRef>
                        <c15:formulaRef>
                          <c15:sqref>inter_graph!$A$28:$A$44</c15:sqref>
                        </c15:formulaRef>
                      </c:ext>
                    </c:extLst>
                    <c:strCache>
                      <c:ptCount val="17"/>
                      <c:pt idx="0">
                        <c:v>24</c:v>
                      </c:pt>
                      <c:pt idx="1">
                        <c:v>25</c:v>
                      </c:pt>
                      <c:pt idx="2">
                        <c:v>26</c:v>
                      </c:pt>
                      <c:pt idx="3">
                        <c:v>27</c:v>
                      </c:pt>
                      <c:pt idx="4">
                        <c:v>28</c:v>
                      </c:pt>
                      <c:pt idx="5">
                        <c:v>29</c:v>
                      </c:pt>
                      <c:pt idx="6">
                        <c:v>30</c:v>
                      </c:pt>
                      <c:pt idx="7">
                        <c:v>31</c:v>
                      </c:pt>
                      <c:pt idx="8">
                        <c:v>32</c:v>
                      </c:pt>
                      <c:pt idx="9">
                        <c:v>33</c:v>
                      </c:pt>
                      <c:pt idx="10">
                        <c:v>34</c:v>
                      </c:pt>
                      <c:pt idx="11">
                        <c:v>35</c:v>
                      </c:pt>
                      <c:pt idx="12">
                        <c:v>36</c:v>
                      </c:pt>
                      <c:pt idx="13">
                        <c:v>37</c:v>
                      </c:pt>
                      <c:pt idx="14">
                        <c:v>38</c:v>
                      </c:pt>
                      <c:pt idx="15">
                        <c:v>39</c:v>
                      </c:pt>
                      <c:pt idx="16">
                        <c:v>&gt;=40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inter_graph!$I$28:$I$45</c15:sqref>
                        </c15:fullRef>
                        <c15:formulaRef>
                          <c15:sqref>inter_graph!$I$28:$I$44</c15:sqref>
                        </c15:formulaRef>
                      </c:ext>
                    </c:extLst>
                    <c:numCache>
                      <c:formatCode>#,##0.00</c:formatCode>
                      <c:ptCount val="17"/>
                      <c:pt idx="0">
                        <c:v>79.992599999999982</c:v>
                      </c:pt>
                      <c:pt idx="1">
                        <c:v>1.4307999999999998</c:v>
                      </c:pt>
                      <c:pt idx="2">
                        <c:v>10.0358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3.1713000000000005</c:v>
                      </c:pt>
                      <c:pt idx="9">
                        <c:v>0</c:v>
                      </c:pt>
                      <c:pt idx="10">
                        <c:v>10.647399999999999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BBB5-49AA-A3C8-FF92E7D0CE67}"/>
                  </c:ext>
                </c:extLst>
              </c15:ser>
            </c15:filteredLineSeries>
            <c15:filteredLineSeries>
              <c15:ser>
                <c:idx val="7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inter_graph!$J$1</c15:sqref>
                        </c15:formulaRef>
                      </c:ext>
                    </c:extLst>
                    <c:strCache>
                      <c:ptCount val="1"/>
                      <c:pt idx="0">
                        <c:v>2030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inter_graph!$A$28:$A$44</c15:sqref>
                        </c15:fullRef>
                        <c15:formulaRef>
                          <c15:sqref>inter_graph!$A$28:$A$44</c15:sqref>
                        </c15:formulaRef>
                      </c:ext>
                    </c:extLst>
                    <c:strCache>
                      <c:ptCount val="17"/>
                      <c:pt idx="0">
                        <c:v>24</c:v>
                      </c:pt>
                      <c:pt idx="1">
                        <c:v>25</c:v>
                      </c:pt>
                      <c:pt idx="2">
                        <c:v>26</c:v>
                      </c:pt>
                      <c:pt idx="3">
                        <c:v>27</c:v>
                      </c:pt>
                      <c:pt idx="4">
                        <c:v>28</c:v>
                      </c:pt>
                      <c:pt idx="5">
                        <c:v>29</c:v>
                      </c:pt>
                      <c:pt idx="6">
                        <c:v>30</c:v>
                      </c:pt>
                      <c:pt idx="7">
                        <c:v>31</c:v>
                      </c:pt>
                      <c:pt idx="8">
                        <c:v>32</c:v>
                      </c:pt>
                      <c:pt idx="9">
                        <c:v>33</c:v>
                      </c:pt>
                      <c:pt idx="10">
                        <c:v>34</c:v>
                      </c:pt>
                      <c:pt idx="11">
                        <c:v>35</c:v>
                      </c:pt>
                      <c:pt idx="12">
                        <c:v>36</c:v>
                      </c:pt>
                      <c:pt idx="13">
                        <c:v>37</c:v>
                      </c:pt>
                      <c:pt idx="14">
                        <c:v>38</c:v>
                      </c:pt>
                      <c:pt idx="15">
                        <c:v>39</c:v>
                      </c:pt>
                      <c:pt idx="16">
                        <c:v>&gt;=40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inter_graph!$J$28:$J$45</c15:sqref>
                        </c15:fullRef>
                        <c15:formulaRef>
                          <c15:sqref>inter_graph!$J$28:$J$44</c15:sqref>
                        </c15:formulaRef>
                      </c:ext>
                    </c:extLst>
                    <c:numCache>
                      <c:formatCode>#,##0.00</c:formatCode>
                      <c:ptCount val="17"/>
                      <c:pt idx="0">
                        <c:v>32.357099999999988</c:v>
                      </c:pt>
                      <c:pt idx="1">
                        <c:v>73.215400000000002</c:v>
                      </c:pt>
                      <c:pt idx="2">
                        <c:v>1.4307999999999998</c:v>
                      </c:pt>
                      <c:pt idx="3">
                        <c:v>10.0358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3.1713000000000005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BBB5-49AA-A3C8-FF92E7D0CE67}"/>
                  </c:ext>
                </c:extLst>
              </c15:ser>
            </c15:filteredLineSeries>
          </c:ext>
        </c:extLst>
      </c:lineChart>
      <c:catAx>
        <c:axId val="1857938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7948016"/>
        <c:crosses val="autoZero"/>
        <c:auto val="1"/>
        <c:lblAlgn val="ctr"/>
        <c:lblOffset val="100"/>
        <c:noMultiLvlLbl val="0"/>
      </c:catAx>
      <c:valAx>
        <c:axId val="1857948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793803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Suivi des classes</a:t>
            </a:r>
            <a:r>
              <a:rPr lang="fr-FR" baseline="0"/>
              <a:t> d'ages en fonction du temps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inter_graph!$BC$7</c:f>
              <c:strCache>
                <c:ptCount val="1"/>
                <c:pt idx="0">
                  <c:v>15 - 19 ans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inter_graph!$BF$1:$BH$1</c:f>
              <c:numCache>
                <c:formatCode>General</c:formatCode>
                <c:ptCount val="3"/>
                <c:pt idx="0">
                  <c:v>2024</c:v>
                </c:pt>
                <c:pt idx="1">
                  <c:v>2029</c:v>
                </c:pt>
                <c:pt idx="2">
                  <c:v>2033</c:v>
                </c:pt>
              </c:numCache>
            </c:numRef>
          </c:cat>
          <c:val>
            <c:numRef>
              <c:f>inter_graph!$BF$7:$BH$7</c:f>
              <c:numCache>
                <c:formatCode>#,##0.00</c:formatCode>
                <c:ptCount val="3"/>
                <c:pt idx="0">
                  <c:v>147.96629999999996</c:v>
                </c:pt>
                <c:pt idx="1">
                  <c:v>147.96629999999996</c:v>
                </c:pt>
                <c:pt idx="2">
                  <c:v>94.670799999999986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5FF-446B-8EB5-5472FFA8B98E}"/>
            </c:ext>
          </c:extLst>
        </c:ser>
        <c:ser>
          <c:idx val="0"/>
          <c:order val="1"/>
          <c:tx>
            <c:strRef>
              <c:f>inter_graph!$BC$8</c:f>
              <c:strCache>
                <c:ptCount val="1"/>
                <c:pt idx="0">
                  <c:v>20 - 24 ans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inter_graph!$BF$1:$BH$1</c:f>
              <c:numCache>
                <c:formatCode>General</c:formatCode>
                <c:ptCount val="3"/>
                <c:pt idx="0">
                  <c:v>2024</c:v>
                </c:pt>
                <c:pt idx="1">
                  <c:v>2029</c:v>
                </c:pt>
                <c:pt idx="2">
                  <c:v>2033</c:v>
                </c:pt>
              </c:numCache>
            </c:numRef>
          </c:cat>
          <c:val>
            <c:numRef>
              <c:f>inter_graph!$BF$8:$BH$8</c:f>
              <c:numCache>
                <c:formatCode>#,##0.00</c:formatCode>
                <c:ptCount val="3"/>
                <c:pt idx="0">
                  <c:v>46.795200000000008</c:v>
                </c:pt>
                <c:pt idx="1">
                  <c:v>11.4666</c:v>
                </c:pt>
                <c:pt idx="2">
                  <c:v>11.4666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FF-446B-8EB5-5472FFA8B98E}"/>
            </c:ext>
          </c:extLst>
        </c:ser>
        <c:ser>
          <c:idx val="1"/>
          <c:order val="2"/>
          <c:tx>
            <c:strRef>
              <c:f>inter_graph!$BC$9</c:f>
              <c:strCache>
                <c:ptCount val="1"/>
                <c:pt idx="0">
                  <c:v>25 - 29 ans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inter_graph!$BF$1:$BH$1</c:f>
              <c:numCache>
                <c:formatCode>General</c:formatCode>
                <c:ptCount val="3"/>
                <c:pt idx="0">
                  <c:v>2024</c:v>
                </c:pt>
                <c:pt idx="1">
                  <c:v>2029</c:v>
                </c:pt>
                <c:pt idx="2">
                  <c:v>2033</c:v>
                </c:pt>
              </c:numCache>
            </c:numRef>
          </c:cat>
          <c:val>
            <c:numRef>
              <c:f>inter_graph!$BF$9:$BH$9</c:f>
              <c:numCache>
                <c:formatCode>#,##0.00</c:formatCode>
                <c:ptCount val="3"/>
                <c:pt idx="0">
                  <c:v>13.8187</c:v>
                </c:pt>
                <c:pt idx="1">
                  <c:v>13.8187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FF-446B-8EB5-5472FFA8B98E}"/>
            </c:ext>
          </c:extLst>
        </c:ser>
        <c:ser>
          <c:idx val="2"/>
          <c:order val="3"/>
          <c:tx>
            <c:strRef>
              <c:f>inter_graph!$BC$10</c:f>
              <c:strCache>
                <c:ptCount val="1"/>
                <c:pt idx="0">
                  <c:v>30 - 34 ans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inter_graph!$BF$1:$BH$1</c:f>
              <c:numCache>
                <c:formatCode>General</c:formatCode>
                <c:ptCount val="3"/>
                <c:pt idx="0">
                  <c:v>2024</c:v>
                </c:pt>
                <c:pt idx="1">
                  <c:v>2029</c:v>
                </c:pt>
                <c:pt idx="2">
                  <c:v>2033</c:v>
                </c:pt>
              </c:numCache>
            </c:numRef>
          </c:cat>
          <c:val>
            <c:numRef>
              <c:f>inter_graph!$BF$10:$BH$10</c:f>
              <c:numCache>
                <c:formatCode>#,##0.00</c:formatCode>
                <c:ptCount val="3"/>
                <c:pt idx="0">
                  <c:v>8.5400000000000004E-2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FF-446B-8EB5-5472FFA8B98E}"/>
            </c:ext>
          </c:extLst>
        </c:ser>
        <c:ser>
          <c:idx val="3"/>
          <c:order val="4"/>
          <c:tx>
            <c:strRef>
              <c:f>inter_graph!$BC$11</c:f>
              <c:strCache>
                <c:ptCount val="1"/>
                <c:pt idx="0">
                  <c:v>35 - 39 ans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inter_graph!$BF$1:$BH$1</c:f>
              <c:numCache>
                <c:formatCode>General</c:formatCode>
                <c:ptCount val="3"/>
                <c:pt idx="0">
                  <c:v>2024</c:v>
                </c:pt>
                <c:pt idx="1">
                  <c:v>2029</c:v>
                </c:pt>
                <c:pt idx="2">
                  <c:v>2033</c:v>
                </c:pt>
              </c:numCache>
            </c:numRef>
          </c:cat>
          <c:val>
            <c:numRef>
              <c:f>inter_graph!$BF$11:$BH$11</c:f>
              <c:numCache>
                <c:formatCode>#,##0.00</c:formatCode>
                <c:ptCount val="3"/>
                <c:pt idx="0">
                  <c:v>14.866900000000001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5FF-446B-8EB5-5472FFA8B9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352880"/>
        <c:axId val="165366192"/>
      </c:lineChart>
      <c:catAx>
        <c:axId val="165352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5366192"/>
        <c:crosses val="autoZero"/>
        <c:auto val="1"/>
        <c:lblAlgn val="ctr"/>
        <c:lblOffset val="100"/>
        <c:noMultiLvlLbl val="0"/>
      </c:catAx>
      <c:valAx>
        <c:axId val="165366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53528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</c:dTable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suivie des</a:t>
            </a:r>
            <a:r>
              <a:rPr lang="fr-FR" baseline="0"/>
              <a:t> ages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inter_graph!$AO$29</c:f>
              <c:strCache>
                <c:ptCount val="1"/>
                <c:pt idx="0">
                  <c:v>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inter_graph!$AR$1:$BA$1</c:f>
              <c:numCache>
                <c:formatCode>General</c:formatCode>
                <c:ptCount val="10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</c:numCache>
            </c:numRef>
          </c:cat>
          <c:val>
            <c:numRef>
              <c:f>inter_graph!$AR$29:$BA$29</c:f>
              <c:numCache>
                <c:formatCode>0.00" ha"</c:formatCode>
                <c:ptCount val="10"/>
                <c:pt idx="0">
                  <c:v>27.747899999999998</c:v>
                </c:pt>
                <c:pt idx="1">
                  <c:v>27.747899999999998</c:v>
                </c:pt>
                <c:pt idx="2">
                  <c:v>27.747899999999998</c:v>
                </c:pt>
                <c:pt idx="3">
                  <c:v>27.747899999999998</c:v>
                </c:pt>
                <c:pt idx="4">
                  <c:v>27.747899999999998</c:v>
                </c:pt>
                <c:pt idx="5">
                  <c:v>27.747899999999998</c:v>
                </c:pt>
                <c:pt idx="6">
                  <c:v>27.747899999999998</c:v>
                </c:pt>
                <c:pt idx="7">
                  <c:v>27.747899999999998</c:v>
                </c:pt>
                <c:pt idx="8">
                  <c:v>27.747899999999998</c:v>
                </c:pt>
                <c:pt idx="9">
                  <c:v>27.747899999999998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F0-46C7-BAF1-0274B3A50DE3}"/>
            </c:ext>
          </c:extLst>
        </c:ser>
        <c:ser>
          <c:idx val="1"/>
          <c:order val="1"/>
          <c:tx>
            <c:strRef>
              <c:f>inter_graph!$AO$30</c:f>
              <c:strCache>
                <c:ptCount val="1"/>
                <c:pt idx="0">
                  <c:v>16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inter_graph!$AR$1:$BA$1</c:f>
              <c:numCache>
                <c:formatCode>General</c:formatCode>
                <c:ptCount val="10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</c:numCache>
            </c:numRef>
          </c:cat>
          <c:val>
            <c:numRef>
              <c:f>inter_graph!$AR$30:$BA$30</c:f>
              <c:numCache>
                <c:formatCode>0.00" ha"</c:formatCode>
                <c:ptCount val="10"/>
                <c:pt idx="0">
                  <c:v>7.8686999999999987</c:v>
                </c:pt>
                <c:pt idx="1">
                  <c:v>7.8686999999999987</c:v>
                </c:pt>
                <c:pt idx="2">
                  <c:v>7.8686999999999987</c:v>
                </c:pt>
                <c:pt idx="3">
                  <c:v>7.8686999999999987</c:v>
                </c:pt>
                <c:pt idx="4">
                  <c:v>7.8686999999999987</c:v>
                </c:pt>
                <c:pt idx="5">
                  <c:v>7.8686999999999987</c:v>
                </c:pt>
                <c:pt idx="6">
                  <c:v>7.8686999999999987</c:v>
                </c:pt>
                <c:pt idx="7">
                  <c:v>7.8686999999999987</c:v>
                </c:pt>
                <c:pt idx="8">
                  <c:v>7.8686999999999987</c:v>
                </c:pt>
                <c:pt idx="9">
                  <c:v>0.70179999999999998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F0-46C7-BAF1-0274B3A50DE3}"/>
            </c:ext>
          </c:extLst>
        </c:ser>
        <c:ser>
          <c:idx val="2"/>
          <c:order val="2"/>
          <c:tx>
            <c:strRef>
              <c:f>inter_graph!$AO$31</c:f>
              <c:strCache>
                <c:ptCount val="1"/>
                <c:pt idx="0">
                  <c:v>17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inter_graph!$AR$1:$BA$1</c:f>
              <c:numCache>
                <c:formatCode>General</c:formatCode>
                <c:ptCount val="10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</c:numCache>
            </c:numRef>
          </c:cat>
          <c:val>
            <c:numRef>
              <c:f>inter_graph!$AR$31:$BA$31</c:f>
              <c:numCache>
                <c:formatCode>0.00" ha"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CF0-46C7-BAF1-0274B3A50DE3}"/>
            </c:ext>
          </c:extLst>
        </c:ser>
        <c:ser>
          <c:idx val="3"/>
          <c:order val="3"/>
          <c:tx>
            <c:strRef>
              <c:f>inter_graph!$AO$32</c:f>
              <c:strCache>
                <c:ptCount val="1"/>
                <c:pt idx="0">
                  <c:v>18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inter_graph!$AR$1:$BA$1</c:f>
              <c:numCache>
                <c:formatCode>General</c:formatCode>
                <c:ptCount val="10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</c:numCache>
            </c:numRef>
          </c:cat>
          <c:val>
            <c:numRef>
              <c:f>inter_graph!$AR$32:$BA$32</c:f>
              <c:numCache>
                <c:formatCode>0.00" ha"</c:formatCode>
                <c:ptCount val="10"/>
                <c:pt idx="0">
                  <c:v>32.357099999999988</c:v>
                </c:pt>
                <c:pt idx="1">
                  <c:v>32.357099999999988</c:v>
                </c:pt>
                <c:pt idx="2">
                  <c:v>32.357099999999988</c:v>
                </c:pt>
                <c:pt idx="3">
                  <c:v>32.357099999999988</c:v>
                </c:pt>
                <c:pt idx="4">
                  <c:v>32.357099999999988</c:v>
                </c:pt>
                <c:pt idx="5">
                  <c:v>32.357099999999988</c:v>
                </c:pt>
                <c:pt idx="6">
                  <c:v>32.357099999999988</c:v>
                </c:pt>
                <c:pt idx="7">
                  <c:v>15.712199999999999</c:v>
                </c:pt>
                <c:pt idx="8">
                  <c:v>5.3432000000000004</c:v>
                </c:pt>
                <c:pt idx="9">
                  <c:v>4.6753000000000018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CF0-46C7-BAF1-0274B3A50DE3}"/>
            </c:ext>
          </c:extLst>
        </c:ser>
        <c:ser>
          <c:idx val="4"/>
          <c:order val="4"/>
          <c:tx>
            <c:strRef>
              <c:f>inter_graph!$AO$33</c:f>
              <c:strCache>
                <c:ptCount val="1"/>
                <c:pt idx="0">
                  <c:v>19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inter_graph!$AR$1:$BA$1</c:f>
              <c:numCache>
                <c:formatCode>General</c:formatCode>
                <c:ptCount val="10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</c:numCache>
            </c:numRef>
          </c:cat>
          <c:val>
            <c:numRef>
              <c:f>inter_graph!$AR$33:$BA$33</c:f>
              <c:numCache>
                <c:formatCode>0.00" ha"</c:formatCode>
                <c:ptCount val="10"/>
                <c:pt idx="0">
                  <c:v>79.992599999999982</c:v>
                </c:pt>
                <c:pt idx="1">
                  <c:v>79.992599999999982</c:v>
                </c:pt>
                <c:pt idx="2">
                  <c:v>79.992599999999982</c:v>
                </c:pt>
                <c:pt idx="3">
                  <c:v>79.992599999999982</c:v>
                </c:pt>
                <c:pt idx="4">
                  <c:v>79.992599999999982</c:v>
                </c:pt>
                <c:pt idx="5">
                  <c:v>79.992599999999982</c:v>
                </c:pt>
                <c:pt idx="6">
                  <c:v>73.215400000000002</c:v>
                </c:pt>
                <c:pt idx="7">
                  <c:v>73.215400000000002</c:v>
                </c:pt>
                <c:pt idx="8">
                  <c:v>72.032399999999996</c:v>
                </c:pt>
                <c:pt idx="9">
                  <c:v>61.545799999999993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CF0-46C7-BAF1-0274B3A50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629232"/>
        <c:axId val="300618832"/>
      </c:lineChart>
      <c:catAx>
        <c:axId val="30062923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00618832"/>
        <c:crosses val="autoZero"/>
        <c:auto val="1"/>
        <c:lblAlgn val="ctr"/>
        <c:lblOffset val="100"/>
        <c:noMultiLvlLbl val="0"/>
      </c:catAx>
      <c:valAx>
        <c:axId val="300618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&quot; ha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00629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Gain initial</a:t>
            </a:r>
          </a:p>
        </c:rich>
      </c:tx>
      <c:overlay val="1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Revenu!$A$46</c:f>
              <c:strCache>
                <c:ptCount val="1"/>
                <c:pt idx="0">
                  <c:v>Plantation :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Revenu!$C$43:$L$43</c:f>
              <c:numCache>
                <c:formatCode>General</c:formatCode>
                <c:ptCount val="10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</c:numCache>
            </c:numRef>
          </c:cat>
          <c:val>
            <c:numRef>
              <c:f>Revenu!$C$46:$L$46</c:f>
              <c:numCache>
                <c:formatCode>_-* #\ ##0\ "€"_-;\-* #\ ##0\ "€"_-;_-* "-"??\ "€"_-;_-@_-</c:formatCode>
                <c:ptCount val="10"/>
                <c:pt idx="0">
                  <c:v>-241426.34999999998</c:v>
                </c:pt>
                <c:pt idx="1">
                  <c:v>0</c:v>
                </c:pt>
                <c:pt idx="2">
                  <c:v>-7006.5499999999993</c:v>
                </c:pt>
                <c:pt idx="3">
                  <c:v>0</c:v>
                </c:pt>
                <c:pt idx="4">
                  <c:v>0</c:v>
                </c:pt>
                <c:pt idx="5">
                  <c:v>-29600.57</c:v>
                </c:pt>
                <c:pt idx="6">
                  <c:v>-5603.37</c:v>
                </c:pt>
                <c:pt idx="7">
                  <c:v>0</c:v>
                </c:pt>
                <c:pt idx="8">
                  <c:v>-145.18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1E-4AD0-A650-C30FA2E0C0E4}"/>
            </c:ext>
          </c:extLst>
        </c:ser>
        <c:ser>
          <c:idx val="4"/>
          <c:order val="1"/>
          <c:tx>
            <c:strRef>
              <c:f>Revenu!$A$47</c:f>
              <c:strCache>
                <c:ptCount val="1"/>
                <c:pt idx="0">
                  <c:v>Entretiein :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Revenu!$C$47:$L$47</c:f>
              <c:numCache>
                <c:formatCode>_-* #\ ##0\ "€"_-;\-* #\ ##0\ "€"_-;_-* "-"??\ "€"_-;_-@_-</c:formatCode>
                <c:ptCount val="10"/>
                <c:pt idx="0">
                  <c:v>-2576.7000000000003</c:v>
                </c:pt>
                <c:pt idx="1">
                  <c:v>-4447.4970000000003</c:v>
                </c:pt>
                <c:pt idx="2">
                  <c:v>-13003.951500000003</c:v>
                </c:pt>
                <c:pt idx="3">
                  <c:v>-2576.7000000000003</c:v>
                </c:pt>
                <c:pt idx="4">
                  <c:v>-655.24349999999993</c:v>
                </c:pt>
                <c:pt idx="5">
                  <c:v>-12781.394999999995</c:v>
                </c:pt>
                <c:pt idx="6">
                  <c:v>0</c:v>
                </c:pt>
                <c:pt idx="7">
                  <c:v>-1751.9925000000001</c:v>
                </c:pt>
                <c:pt idx="8">
                  <c:v>-13028.602499999995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4A-428B-BE66-AB708F0B392C}"/>
            </c:ext>
          </c:extLst>
        </c:ser>
        <c:ser>
          <c:idx val="1"/>
          <c:order val="2"/>
          <c:tx>
            <c:strRef>
              <c:f>Revenu!$A$48</c:f>
              <c:strCache>
                <c:ptCount val="1"/>
                <c:pt idx="0">
                  <c:v>Coupé Rase :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Revenu!$C$43:$L$43</c:f>
              <c:numCache>
                <c:formatCode>General</c:formatCode>
                <c:ptCount val="10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</c:numCache>
            </c:numRef>
          </c:cat>
          <c:val>
            <c:numRef>
              <c:f>Revenu!$C$48:$L$48</c:f>
              <c:numCache>
                <c:formatCode>_-* #\ ##0\ "€"_-;\-* #\ ##0\ "€"_-;_-* "-"??\ "€"_-;_-@_-</c:formatCode>
                <c:ptCount val="10"/>
                <c:pt idx="0">
                  <c:v>36269.199999999997</c:v>
                </c:pt>
                <c:pt idx="1">
                  <c:v>0</c:v>
                </c:pt>
                <c:pt idx="2">
                  <c:v>0</c:v>
                </c:pt>
                <c:pt idx="3">
                  <c:v>153226.48000000001</c:v>
                </c:pt>
                <c:pt idx="4">
                  <c:v>29005.68</c:v>
                </c:pt>
                <c:pt idx="5">
                  <c:v>0</c:v>
                </c:pt>
                <c:pt idx="6">
                  <c:v>751.52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1E-4AD0-A650-C30FA2E0C0E4}"/>
            </c:ext>
          </c:extLst>
        </c:ser>
        <c:ser>
          <c:idx val="2"/>
          <c:order val="3"/>
          <c:tx>
            <c:strRef>
              <c:f>Revenu!$A$49</c:f>
              <c:strCache>
                <c:ptCount val="1"/>
                <c:pt idx="0">
                  <c:v>Eclaircie :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Revenu!$C$43:$L$43</c:f>
              <c:numCache>
                <c:formatCode>General</c:formatCode>
                <c:ptCount val="10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</c:numCache>
            </c:numRef>
          </c:cat>
          <c:val>
            <c:numRef>
              <c:f>Revenu!$C$49:$L$49</c:f>
              <c:numCache>
                <c:formatCode>_-* #\ ##0\ "€"_-;\-* #\ ##0\ "€"_-;_-* "-"??\ "€"_-;_-@_-</c:formatCode>
                <c:ptCount val="10"/>
                <c:pt idx="0">
                  <c:v>27179.964000000007</c:v>
                </c:pt>
                <c:pt idx="1">
                  <c:v>51406.6944</c:v>
                </c:pt>
                <c:pt idx="2">
                  <c:v>49526.987999999998</c:v>
                </c:pt>
                <c:pt idx="3">
                  <c:v>89802.482399999994</c:v>
                </c:pt>
                <c:pt idx="4">
                  <c:v>174849.58320000005</c:v>
                </c:pt>
                <c:pt idx="5">
                  <c:v>45558.796799999996</c:v>
                </c:pt>
                <c:pt idx="6">
                  <c:v>95377.238400000002</c:v>
                </c:pt>
                <c:pt idx="7">
                  <c:v>67151.695199999987</c:v>
                </c:pt>
                <c:pt idx="8">
                  <c:v>137915.39520000003</c:v>
                </c:pt>
                <c:pt idx="9">
                  <c:v>197244.14640000003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1E-4AD0-A650-C30FA2E0C0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39426991"/>
        <c:axId val="439444271"/>
      </c:barChart>
      <c:lineChart>
        <c:grouping val="standard"/>
        <c:varyColors val="0"/>
        <c:ser>
          <c:idx val="3"/>
          <c:order val="4"/>
          <c:tx>
            <c:strRef>
              <c:f>Revenu!$A$45</c:f>
              <c:strCache>
                <c:ptCount val="1"/>
                <c:pt idx="0">
                  <c:v>TOTAL :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Revenu!$D$43:$L$43</c:f>
              <c:numCache>
                <c:formatCode>General</c:formatCode>
                <c:ptCount val="9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</c:numCache>
            </c:numRef>
          </c:cat>
          <c:val>
            <c:numRef>
              <c:f>Revenu!$C$45:$L$45</c:f>
              <c:numCache>
                <c:formatCode>_-* #\ ##0\ "€"_-;\-* #\ ##0\ "€"_-;_-* "-"??\ "€"_-;_-@_-</c:formatCode>
                <c:ptCount val="10"/>
                <c:pt idx="0">
                  <c:v>-180553.88599999997</c:v>
                </c:pt>
                <c:pt idx="1">
                  <c:v>46959.197399999997</c:v>
                </c:pt>
                <c:pt idx="2">
                  <c:v>29516.486499999995</c:v>
                </c:pt>
                <c:pt idx="3">
                  <c:v>240452.26240000001</c:v>
                </c:pt>
                <c:pt idx="4">
                  <c:v>203200.01970000006</c:v>
                </c:pt>
                <c:pt idx="5">
                  <c:v>3176.8317999999999</c:v>
                </c:pt>
                <c:pt idx="6">
                  <c:v>90525.388399999996</c:v>
                </c:pt>
                <c:pt idx="7">
                  <c:v>65399.702699999987</c:v>
                </c:pt>
                <c:pt idx="8">
                  <c:v>124741.61270000003</c:v>
                </c:pt>
                <c:pt idx="9">
                  <c:v>197244.14640000003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1E-4AD0-A650-C30FA2E0C0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426991"/>
        <c:axId val="439444271"/>
      </c:lineChart>
      <c:catAx>
        <c:axId val="4394269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39444271"/>
        <c:crosses val="autoZero"/>
        <c:auto val="1"/>
        <c:lblAlgn val="ctr"/>
        <c:lblOffset val="100"/>
        <c:noMultiLvlLbl val="0"/>
      </c:catAx>
      <c:valAx>
        <c:axId val="439444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\ &quot;€&quot;_-;\-* #\ ##0\ &quot;€&quot;_-;_-* &quot;-&quot;??\ &quot;€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394269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25" r="0.25" t="0.75" header="0.3" footer="0.3"/>
    <c:pageSetup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Gain maximal</a:t>
            </a:r>
          </a:p>
        </c:rich>
      </c:tx>
      <c:overlay val="1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0645362395265719"/>
          <c:y val="3.5277777777777776E-2"/>
          <c:w val="0.87717560203902267"/>
          <c:h val="0.8241006172839505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Revenu!$A$46</c:f>
              <c:strCache>
                <c:ptCount val="1"/>
                <c:pt idx="0">
                  <c:v>Plantation :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Revenu!$C$43:$L$43</c:f>
              <c:numCache>
                <c:formatCode>General</c:formatCode>
                <c:ptCount val="10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</c:numCache>
            </c:numRef>
          </c:cat>
          <c:val>
            <c:numRef>
              <c:f>Revenu!$C$73:$L$73</c:f>
              <c:numCache>
                <c:formatCode>_-* #\ ##0\ "€"_-;\-* #\ ##0\ "€"_-;_-* "-"??\ "€"_-;_-@_-</c:formatCode>
                <c:ptCount val="10"/>
                <c:pt idx="0">
                  <c:v>-241426.35</c:v>
                </c:pt>
                <c:pt idx="1">
                  <c:v>-25538.216</c:v>
                </c:pt>
                <c:pt idx="2">
                  <c:v>-21053.021000000004</c:v>
                </c:pt>
                <c:pt idx="3">
                  <c:v>0</c:v>
                </c:pt>
                <c:pt idx="4">
                  <c:v>0</c:v>
                </c:pt>
                <c:pt idx="5">
                  <c:v>-33398.760999999999</c:v>
                </c:pt>
                <c:pt idx="6">
                  <c:v>-32665.721000000001</c:v>
                </c:pt>
                <c:pt idx="7">
                  <c:v>-32584.002000000004</c:v>
                </c:pt>
                <c:pt idx="8">
                  <c:v>-31125.963000000003</c:v>
                </c:pt>
                <c:pt idx="9">
                  <c:v>-28781.543999999998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6D-4E59-8F9B-32CE3798ED63}"/>
            </c:ext>
          </c:extLst>
        </c:ser>
        <c:ser>
          <c:idx val="4"/>
          <c:order val="1"/>
          <c:tx>
            <c:strRef>
              <c:f>Revenu!$A$74</c:f>
              <c:strCache>
                <c:ptCount val="1"/>
                <c:pt idx="0">
                  <c:v>Entretiein :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Revenu!$C$74:$L$74</c:f>
              <c:numCache>
                <c:formatCode>_-* #\ ##0\ "€"_-;\-* #\ ##0\ "€"_-;_-* "-"??\ "€"_-;_-@_-</c:formatCode>
                <c:ptCount val="10"/>
                <c:pt idx="0">
                  <c:v>-6961.5720000000001</c:v>
                </c:pt>
                <c:pt idx="1">
                  <c:v>-2415.4140000000002</c:v>
                </c:pt>
                <c:pt idx="2">
                  <c:v>-3910.8825000000015</c:v>
                </c:pt>
                <c:pt idx="3">
                  <c:v>-843.94349999999997</c:v>
                </c:pt>
                <c:pt idx="4">
                  <c:v>-2445.3914999999997</c:v>
                </c:pt>
                <c:pt idx="5">
                  <c:v>-597.375</c:v>
                </c:pt>
                <c:pt idx="6">
                  <c:v>-1088.3970000000002</c:v>
                </c:pt>
                <c:pt idx="7">
                  <c:v>-2940.5415000000003</c:v>
                </c:pt>
                <c:pt idx="8">
                  <c:v>-1907.4975000000004</c:v>
                </c:pt>
                <c:pt idx="9">
                  <c:v>-3927.5190000000002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C2-4C02-AC62-6E43A60C4CED}"/>
            </c:ext>
          </c:extLst>
        </c:ser>
        <c:ser>
          <c:idx val="1"/>
          <c:order val="2"/>
          <c:tx>
            <c:strRef>
              <c:f>Revenu!$A$48</c:f>
              <c:strCache>
                <c:ptCount val="1"/>
                <c:pt idx="0">
                  <c:v>Coupé Rase :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Revenu!$C$43:$L$43</c:f>
              <c:numCache>
                <c:formatCode>General</c:formatCode>
                <c:ptCount val="10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</c:numCache>
            </c:numRef>
          </c:cat>
          <c:val>
            <c:numRef>
              <c:f>Revenu!$C$75:$L$75</c:f>
              <c:numCache>
                <c:formatCode>_-* #\ ##0\ "€"_-;\-* #\ ##0\ "€"_-;_-* "-"??\ "€"_-;_-@_-</c:formatCode>
                <c:ptCount val="10"/>
                <c:pt idx="0">
                  <c:v>120179.84000000001</c:v>
                </c:pt>
                <c:pt idx="1">
                  <c:v>99073.04</c:v>
                </c:pt>
                <c:pt idx="2">
                  <c:v>0</c:v>
                </c:pt>
                <c:pt idx="3">
                  <c:v>0</c:v>
                </c:pt>
                <c:pt idx="4">
                  <c:v>92873.56</c:v>
                </c:pt>
                <c:pt idx="5">
                  <c:v>90835.159999999974</c:v>
                </c:pt>
                <c:pt idx="6">
                  <c:v>128938.56</c:v>
                </c:pt>
                <c:pt idx="7">
                  <c:v>86553.48</c:v>
                </c:pt>
                <c:pt idx="8">
                  <c:v>91450.92</c:v>
                </c:pt>
                <c:pt idx="9">
                  <c:v>91798.2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6D-4E59-8F9B-32CE3798ED63}"/>
            </c:ext>
          </c:extLst>
        </c:ser>
        <c:ser>
          <c:idx val="2"/>
          <c:order val="3"/>
          <c:tx>
            <c:strRef>
              <c:f>Revenu!$A$49</c:f>
              <c:strCache>
                <c:ptCount val="1"/>
                <c:pt idx="0">
                  <c:v>Eclaircie :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Revenu!$C$43:$L$43</c:f>
              <c:numCache>
                <c:formatCode>General</c:formatCode>
                <c:ptCount val="10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</c:numCache>
            </c:numRef>
          </c:cat>
          <c:val>
            <c:numRef>
              <c:f>Revenu!$C$76:$L$76</c:f>
              <c:numCache>
                <c:formatCode>_-* #\ ##0\ "€"_-;\-* #\ ##0\ "€"_-;_-* "-"??\ "€"_-;_-@_-</c:formatCode>
                <c:ptCount val="10"/>
                <c:pt idx="0">
                  <c:v>55333.946400000001</c:v>
                </c:pt>
                <c:pt idx="1">
                  <c:v>18359.489600000001</c:v>
                </c:pt>
                <c:pt idx="2">
                  <c:v>65207.115999999987</c:v>
                </c:pt>
                <c:pt idx="3">
                  <c:v>148876.48879999999</c:v>
                </c:pt>
                <c:pt idx="4">
                  <c:v>6582.8223999999991</c:v>
                </c:pt>
                <c:pt idx="5">
                  <c:v>95377.238399999987</c:v>
                </c:pt>
                <c:pt idx="6">
                  <c:v>34199.516000000003</c:v>
                </c:pt>
                <c:pt idx="7">
                  <c:v>115555.97120000001</c:v>
                </c:pt>
                <c:pt idx="8">
                  <c:v>173632.24239999996</c:v>
                </c:pt>
                <c:pt idx="9">
                  <c:v>5984.3840000000018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6D-4E59-8F9B-32CE3798E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39426991"/>
        <c:axId val="439444271"/>
      </c:barChart>
      <c:lineChart>
        <c:grouping val="standard"/>
        <c:varyColors val="0"/>
        <c:ser>
          <c:idx val="3"/>
          <c:order val="4"/>
          <c:tx>
            <c:strRef>
              <c:f>Revenu!$A$45</c:f>
              <c:strCache>
                <c:ptCount val="1"/>
                <c:pt idx="0">
                  <c:v>TOTAL :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Revenu!$D$43:$L$43</c:f>
              <c:numCache>
                <c:formatCode>General</c:formatCode>
                <c:ptCount val="9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</c:numCache>
            </c:numRef>
          </c:cat>
          <c:val>
            <c:numRef>
              <c:f>Revenu!$C$72:$L$72</c:f>
              <c:numCache>
                <c:formatCode>_-* #\ ##0\ "€"_-;\-* #\ ##0\ "€"_-;_-* "-"??\ "€"_-;_-@_-</c:formatCode>
                <c:ptCount val="10"/>
                <c:pt idx="0">
                  <c:v>-72874.135600000009</c:v>
                </c:pt>
                <c:pt idx="1">
                  <c:v>89478.89959999999</c:v>
                </c:pt>
                <c:pt idx="2">
                  <c:v>40243.21249999998</c:v>
                </c:pt>
                <c:pt idx="3">
                  <c:v>148032.5453</c:v>
                </c:pt>
                <c:pt idx="4">
                  <c:v>97010.990900000004</c:v>
                </c:pt>
                <c:pt idx="5">
                  <c:v>152216.26239999995</c:v>
                </c:pt>
                <c:pt idx="6">
                  <c:v>129383.958</c:v>
                </c:pt>
                <c:pt idx="7">
                  <c:v>166584.90770000001</c:v>
                </c:pt>
                <c:pt idx="8">
                  <c:v>232049.70189999996</c:v>
                </c:pt>
                <c:pt idx="9">
                  <c:v>65073.521000000008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16D-4E59-8F9B-32CE3798E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426991"/>
        <c:axId val="439444271"/>
      </c:lineChart>
      <c:catAx>
        <c:axId val="4394269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39444271"/>
        <c:crosses val="autoZero"/>
        <c:auto val="1"/>
        <c:lblAlgn val="ctr"/>
        <c:lblOffset val="100"/>
        <c:noMultiLvlLbl val="0"/>
      </c:catAx>
      <c:valAx>
        <c:axId val="439444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\ &quot;€&quot;_-;\-* #\ ##0\ &quot;€&quot;_-;_-* &quot;-&quot;??\ &quot;€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394269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Gain harmonisé</a:t>
            </a:r>
          </a:p>
        </c:rich>
      </c:tx>
      <c:overlay val="1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0645362395265719"/>
          <c:y val="3.5277777777777776E-2"/>
          <c:w val="0.87717560203902267"/>
          <c:h val="0.8241006172839505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Revenu!$A$99</c:f>
              <c:strCache>
                <c:ptCount val="1"/>
                <c:pt idx="0">
                  <c:v>Plantation :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Revenu!$C$43:$L$43</c:f>
              <c:numCache>
                <c:formatCode>General</c:formatCode>
                <c:ptCount val="10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</c:numCache>
            </c:numRef>
          </c:cat>
          <c:val>
            <c:numRef>
              <c:f>Revenu!$C$99:$L$99</c:f>
              <c:numCache>
                <c:formatCode>_-* #\ ##0\ "€"_-;\-* #\ ##0\ "€"_-;_-* "-"??\ "€"_-;_-@_-</c:formatCode>
                <c:ptCount val="10"/>
                <c:pt idx="0">
                  <c:v>-60033.289999999994</c:v>
                </c:pt>
                <c:pt idx="1">
                  <c:v>-181393.06000000003</c:v>
                </c:pt>
                <c:pt idx="2">
                  <c:v>-44737.863000000005</c:v>
                </c:pt>
                <c:pt idx="3">
                  <c:v>0</c:v>
                </c:pt>
                <c:pt idx="4">
                  <c:v>-145.18</c:v>
                </c:pt>
                <c:pt idx="5">
                  <c:v>-33398.760999999999</c:v>
                </c:pt>
                <c:pt idx="6">
                  <c:v>-12535.545</c:v>
                </c:pt>
                <c:pt idx="7">
                  <c:v>-49463.336000000003</c:v>
                </c:pt>
                <c:pt idx="8">
                  <c:v>-25682.393000000004</c:v>
                </c:pt>
                <c:pt idx="9">
                  <c:v>-33772.931000000011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C8-4A3D-A74C-1D738CEC175B}"/>
            </c:ext>
          </c:extLst>
        </c:ser>
        <c:ser>
          <c:idx val="4"/>
          <c:order val="1"/>
          <c:tx>
            <c:strRef>
              <c:f>Revenu!$A$100</c:f>
              <c:strCache>
                <c:ptCount val="1"/>
                <c:pt idx="0">
                  <c:v>Entretiein :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Revenu!$C$100:$L$100</c:f>
              <c:numCache>
                <c:formatCode>_-* #\ ##0\ "€"_-;\-* #\ ##0\ "€"_-;_-* "-"??\ "€"_-;_-@_-</c:formatCode>
                <c:ptCount val="10"/>
                <c:pt idx="0">
                  <c:v>-6961.5719999999983</c:v>
                </c:pt>
                <c:pt idx="1">
                  <c:v>-62.625</c:v>
                </c:pt>
                <c:pt idx="2">
                  <c:v>-5714.6624999999995</c:v>
                </c:pt>
                <c:pt idx="3">
                  <c:v>-2019.7725</c:v>
                </c:pt>
                <c:pt idx="4">
                  <c:v>-2936.799</c:v>
                </c:pt>
                <c:pt idx="5">
                  <c:v>-1349.559</c:v>
                </c:pt>
                <c:pt idx="6">
                  <c:v>-1600.116</c:v>
                </c:pt>
                <c:pt idx="7">
                  <c:v>-3024.9164999999998</c:v>
                </c:pt>
                <c:pt idx="8">
                  <c:v>-1852.3215</c:v>
                </c:pt>
                <c:pt idx="9">
                  <c:v>-4467.9089999999997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C8-4A3D-A74C-1D738CEC175B}"/>
            </c:ext>
          </c:extLst>
        </c:ser>
        <c:ser>
          <c:idx val="1"/>
          <c:order val="2"/>
          <c:tx>
            <c:strRef>
              <c:f>Revenu!$A$101</c:f>
              <c:strCache>
                <c:ptCount val="1"/>
                <c:pt idx="0">
                  <c:v>Coupe Rase :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Revenu!$C$43:$L$43</c:f>
              <c:numCache>
                <c:formatCode>General</c:formatCode>
                <c:ptCount val="10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</c:numCache>
            </c:numRef>
          </c:cat>
          <c:val>
            <c:numRef>
              <c:f>Revenu!$C$101:$L$101</c:f>
              <c:numCache>
                <c:formatCode>_-* #\ ##0\ "€"_-;\-* #\ ##0\ "€"_-;_-* "-"??\ "€"_-;_-@_-</c:formatCode>
                <c:ptCount val="10"/>
                <c:pt idx="0">
                  <c:v>87672.639999999999</c:v>
                </c:pt>
                <c:pt idx="1">
                  <c:v>131580.24</c:v>
                </c:pt>
                <c:pt idx="2">
                  <c:v>0</c:v>
                </c:pt>
                <c:pt idx="3">
                  <c:v>0</c:v>
                </c:pt>
                <c:pt idx="4">
                  <c:v>92873.56</c:v>
                </c:pt>
                <c:pt idx="5">
                  <c:v>90835.159999999974</c:v>
                </c:pt>
                <c:pt idx="6">
                  <c:v>128938.56</c:v>
                </c:pt>
                <c:pt idx="7">
                  <c:v>86553.48</c:v>
                </c:pt>
                <c:pt idx="8">
                  <c:v>87977.84</c:v>
                </c:pt>
                <c:pt idx="9">
                  <c:v>95271.28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C8-4A3D-A74C-1D738CEC175B}"/>
            </c:ext>
          </c:extLst>
        </c:ser>
        <c:ser>
          <c:idx val="2"/>
          <c:order val="3"/>
          <c:tx>
            <c:strRef>
              <c:f>Revenu!$A$102</c:f>
              <c:strCache>
                <c:ptCount val="1"/>
                <c:pt idx="0">
                  <c:v>Eclaircie :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Revenu!$C$43:$L$43</c:f>
              <c:numCache>
                <c:formatCode>General</c:formatCode>
                <c:ptCount val="10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</c:numCache>
            </c:numRef>
          </c:cat>
          <c:val>
            <c:numRef>
              <c:f>Revenu!$C$102:$L$102</c:f>
              <c:numCache>
                <c:formatCode>_-* #\ ##0\ "€"_-;\-* #\ ##0\ "€"_-;_-* "-"??\ "€"_-;_-@_-</c:formatCode>
                <c:ptCount val="10"/>
                <c:pt idx="0">
                  <c:v>0</c:v>
                </c:pt>
                <c:pt idx="1">
                  <c:v>70079.208799999993</c:v>
                </c:pt>
                <c:pt idx="2">
                  <c:v>68518.597599999994</c:v>
                </c:pt>
                <c:pt idx="3">
                  <c:v>129931.04240000001</c:v>
                </c:pt>
                <c:pt idx="4">
                  <c:v>19248.192000000003</c:v>
                </c:pt>
                <c:pt idx="5">
                  <c:v>90742.633600000001</c:v>
                </c:pt>
                <c:pt idx="6">
                  <c:v>37711.675999999999</c:v>
                </c:pt>
                <c:pt idx="7">
                  <c:v>117028.86080000001</c:v>
                </c:pt>
                <c:pt idx="8">
                  <c:v>89521.93280000001</c:v>
                </c:pt>
                <c:pt idx="9">
                  <c:v>96327.071200000006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C8-4A3D-A74C-1D738CEC1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39426991"/>
        <c:axId val="439444271"/>
      </c:barChart>
      <c:lineChart>
        <c:grouping val="standard"/>
        <c:varyColors val="0"/>
        <c:ser>
          <c:idx val="3"/>
          <c:order val="4"/>
          <c:tx>
            <c:strRef>
              <c:f>Revenu!$A$98</c:f>
              <c:strCache>
                <c:ptCount val="1"/>
                <c:pt idx="0">
                  <c:v>TOTAL :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Revenu!$D$43:$L$43</c:f>
              <c:numCache>
                <c:formatCode>General</c:formatCode>
                <c:ptCount val="9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</c:numCache>
            </c:numRef>
          </c:cat>
          <c:val>
            <c:numRef>
              <c:f>Revenu!$C$98:$L$98</c:f>
              <c:numCache>
                <c:formatCode>_-* #\ ##0\ "€"_-;\-* #\ ##0\ "€"_-;_-* "-"??\ "€"_-;_-@_-</c:formatCode>
                <c:ptCount val="10"/>
                <c:pt idx="0">
                  <c:v>20677.778000000006</c:v>
                </c:pt>
                <c:pt idx="1">
                  <c:v>20203.763799999957</c:v>
                </c:pt>
                <c:pt idx="2">
                  <c:v>18066.07209999999</c:v>
                </c:pt>
                <c:pt idx="3">
                  <c:v>127911.2699</c:v>
                </c:pt>
                <c:pt idx="4">
                  <c:v>109039.77299999999</c:v>
                </c:pt>
                <c:pt idx="5">
                  <c:v>146829.47359999997</c:v>
                </c:pt>
                <c:pt idx="6">
                  <c:v>152514.57500000001</c:v>
                </c:pt>
                <c:pt idx="7">
                  <c:v>151094.0883</c:v>
                </c:pt>
                <c:pt idx="8">
                  <c:v>149965.0583</c:v>
                </c:pt>
                <c:pt idx="9">
                  <c:v>153357.51120000001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0C8-4A3D-A74C-1D738CEC1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426991"/>
        <c:axId val="439444271"/>
      </c:lineChart>
      <c:catAx>
        <c:axId val="4394269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39444271"/>
        <c:crosses val="autoZero"/>
        <c:auto val="1"/>
        <c:lblAlgn val="ctr"/>
        <c:lblOffset val="100"/>
        <c:noMultiLvlLbl val="0"/>
      </c:catAx>
      <c:valAx>
        <c:axId val="439444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\ &quot;€&quot;_-;\-* #\ ##0\ &quot;€&quot;_-;_-* &quot;-&quot;??\ &quot;€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394269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Gain initial</a:t>
            </a:r>
          </a:p>
        </c:rich>
      </c:tx>
      <c:overlay val="1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Revenu!$A$20</c:f>
              <c:strCache>
                <c:ptCount val="1"/>
                <c:pt idx="0">
                  <c:v>BASE :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Revenu!$C$43:$L$43</c:f>
              <c:numCache>
                <c:formatCode>General</c:formatCode>
                <c:ptCount val="10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</c:numCache>
            </c:numRef>
          </c:cat>
          <c:val>
            <c:numRef>
              <c:f>Revenu!$B$20:$K$20</c:f>
              <c:numCache>
                <c:formatCode>_-* #\ ##0\ "€"_-;\-* #\ ##0\ "€"_-;_-* "-"??\ "€"_-;_-@_-</c:formatCode>
                <c:ptCount val="10"/>
                <c:pt idx="0">
                  <c:v>-180553.88599999997</c:v>
                </c:pt>
                <c:pt idx="1">
                  <c:v>-133594.68859999996</c:v>
                </c:pt>
                <c:pt idx="2">
                  <c:v>-104078.20209999997</c:v>
                </c:pt>
                <c:pt idx="3">
                  <c:v>136374.06030000004</c:v>
                </c:pt>
                <c:pt idx="4">
                  <c:v>339574.08000000007</c:v>
                </c:pt>
                <c:pt idx="5">
                  <c:v>342750.91180000006</c:v>
                </c:pt>
                <c:pt idx="6">
                  <c:v>433276.30020000006</c:v>
                </c:pt>
                <c:pt idx="7">
                  <c:v>498676.00290000002</c:v>
                </c:pt>
                <c:pt idx="8">
                  <c:v>623417.61560000002</c:v>
                </c:pt>
                <c:pt idx="9">
                  <c:v>820661.7620000001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DD-48CA-AF10-7DF734D176DD}"/>
            </c:ext>
          </c:extLst>
        </c:ser>
        <c:ser>
          <c:idx val="4"/>
          <c:order val="1"/>
          <c:tx>
            <c:strRef>
              <c:f>Revenu!$A$21</c:f>
              <c:strCache>
                <c:ptCount val="1"/>
                <c:pt idx="0">
                  <c:v>MAX :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Revenu!$B$21:$K$21</c:f>
              <c:numCache>
                <c:formatCode>_-* #\ ##0\ "€"_-;\-* #\ ##0\ "€"_-;_-* "-"??\ "€"_-;_-@_-</c:formatCode>
                <c:ptCount val="10"/>
                <c:pt idx="0">
                  <c:v>-72874.135600000009</c:v>
                </c:pt>
                <c:pt idx="1">
                  <c:v>16604.763999999981</c:v>
                </c:pt>
                <c:pt idx="2">
                  <c:v>56847.976499999961</c:v>
                </c:pt>
                <c:pt idx="3">
                  <c:v>204880.52179999996</c:v>
                </c:pt>
                <c:pt idx="4">
                  <c:v>301891.51269999996</c:v>
                </c:pt>
                <c:pt idx="5">
                  <c:v>454107.77509999991</c:v>
                </c:pt>
                <c:pt idx="6">
                  <c:v>583491.73309999995</c:v>
                </c:pt>
                <c:pt idx="7">
                  <c:v>750076.64079999994</c:v>
                </c:pt>
                <c:pt idx="8">
                  <c:v>982126.34269999992</c:v>
                </c:pt>
                <c:pt idx="9">
                  <c:v>1047199.8636999999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DD-48CA-AF10-7DF734D176DD}"/>
            </c:ext>
          </c:extLst>
        </c:ser>
        <c:ser>
          <c:idx val="1"/>
          <c:order val="2"/>
          <c:tx>
            <c:strRef>
              <c:f>Revenu!$A$22</c:f>
              <c:strCache>
                <c:ptCount val="1"/>
                <c:pt idx="0">
                  <c:v>MODIF :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Revenu!$C$43:$L$43</c:f>
              <c:numCache>
                <c:formatCode>General</c:formatCode>
                <c:ptCount val="10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</c:numCache>
            </c:numRef>
          </c:cat>
          <c:val>
            <c:numRef>
              <c:f>Revenu!$B$22:$K$22</c:f>
              <c:numCache>
                <c:formatCode>_-* #\ ##0\ "€"_-;\-* #\ ##0\ "€"_-;_-* "-"??\ "€"_-;_-@_-</c:formatCode>
                <c:ptCount val="10"/>
                <c:pt idx="0">
                  <c:v>20677.778000000006</c:v>
                </c:pt>
                <c:pt idx="1">
                  <c:v>40881.541799999963</c:v>
                </c:pt>
                <c:pt idx="2">
                  <c:v>58947.613899999953</c:v>
                </c:pt>
                <c:pt idx="3">
                  <c:v>186858.88379999995</c:v>
                </c:pt>
                <c:pt idx="4">
                  <c:v>295898.65679999994</c:v>
                </c:pt>
                <c:pt idx="5">
                  <c:v>442728.13039999991</c:v>
                </c:pt>
                <c:pt idx="6">
                  <c:v>595242.70539999986</c:v>
                </c:pt>
                <c:pt idx="7">
                  <c:v>746336.79369999981</c:v>
                </c:pt>
                <c:pt idx="8">
                  <c:v>896301.85199999984</c:v>
                </c:pt>
                <c:pt idx="9">
                  <c:v>1049659.3631999998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DD-48CA-AF10-7DF734D176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9426991"/>
        <c:axId val="439444271"/>
      </c:lineChart>
      <c:catAx>
        <c:axId val="4394269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39444271"/>
        <c:crosses val="autoZero"/>
        <c:auto val="1"/>
        <c:lblAlgn val="ctr"/>
        <c:lblOffset val="100"/>
        <c:noMultiLvlLbl val="0"/>
      </c:catAx>
      <c:valAx>
        <c:axId val="439444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\ &quot;€&quot;_-;\-* #\ ##0\ &quot;€&quot;_-;_-* &quot;-&quot;??\ &quot;€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394269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25" r="0.25" t="0.75" header="0.3" footer="0.3"/>
    <c:pageSetup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PL!$A$3</c:f>
              <c:strCache>
                <c:ptCount val="1"/>
                <c:pt idx="0">
                  <c:v>BASE :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PL!$C$2:$L$2</c:f>
              <c:numCache>
                <c:formatCode>General</c:formatCode>
                <c:ptCount val="10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</c:numCache>
            </c:numRef>
          </c:cat>
          <c:val>
            <c:numRef>
              <c:f>PL!$C$3:$L$3</c:f>
              <c:numCache>
                <c:formatCode>_-* #\ ##0\ "€"_-;\-* #\ ##0\ "€"_-;_-* "-"??\ "€"_-;_-@_-</c:formatCode>
                <c:ptCount val="10"/>
                <c:pt idx="0">
                  <c:v>-241426.34999999998</c:v>
                </c:pt>
                <c:pt idx="1">
                  <c:v>0</c:v>
                </c:pt>
                <c:pt idx="2">
                  <c:v>-7006.5499999999993</c:v>
                </c:pt>
                <c:pt idx="3">
                  <c:v>0</c:v>
                </c:pt>
                <c:pt idx="4">
                  <c:v>0</c:v>
                </c:pt>
                <c:pt idx="5">
                  <c:v>-29600.57</c:v>
                </c:pt>
                <c:pt idx="6">
                  <c:v>-5603.37</c:v>
                </c:pt>
                <c:pt idx="7">
                  <c:v>0</c:v>
                </c:pt>
                <c:pt idx="8">
                  <c:v>-145.18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8B-445A-A797-2513EA529A3D}"/>
            </c:ext>
          </c:extLst>
        </c:ser>
        <c:ser>
          <c:idx val="2"/>
          <c:order val="1"/>
          <c:tx>
            <c:strRef>
              <c:f>PL!$A$4</c:f>
              <c:strCache>
                <c:ptCount val="1"/>
                <c:pt idx="0">
                  <c:v>MAX :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PL!$C$4:$L$4</c:f>
              <c:numCache>
                <c:formatCode>_-* #\ ##0\ "€"_-;\-* #\ ##0\ "€"_-;_-* "-"??\ "€"_-;_-@_-</c:formatCode>
                <c:ptCount val="10"/>
                <c:pt idx="0">
                  <c:v>-241426.35</c:v>
                </c:pt>
                <c:pt idx="1">
                  <c:v>-25538.216</c:v>
                </c:pt>
                <c:pt idx="2">
                  <c:v>-21053.021000000004</c:v>
                </c:pt>
                <c:pt idx="3">
                  <c:v>0</c:v>
                </c:pt>
                <c:pt idx="4">
                  <c:v>0</c:v>
                </c:pt>
                <c:pt idx="5">
                  <c:v>-33398.760999999999</c:v>
                </c:pt>
                <c:pt idx="6">
                  <c:v>-32665.721000000001</c:v>
                </c:pt>
                <c:pt idx="7">
                  <c:v>-32584.002000000004</c:v>
                </c:pt>
                <c:pt idx="8">
                  <c:v>-31125.963000000003</c:v>
                </c:pt>
                <c:pt idx="9">
                  <c:v>-28781.543999999998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BC-4A38-A8FA-56F776A0E92E}"/>
            </c:ext>
          </c:extLst>
        </c:ser>
        <c:ser>
          <c:idx val="1"/>
          <c:order val="2"/>
          <c:tx>
            <c:strRef>
              <c:f>PL!$A$5</c:f>
              <c:strCache>
                <c:ptCount val="1"/>
                <c:pt idx="0">
                  <c:v>TOTAL :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PL!$C$2:$L$2</c:f>
              <c:numCache>
                <c:formatCode>General</c:formatCode>
                <c:ptCount val="10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</c:numCache>
            </c:numRef>
          </c:cat>
          <c:val>
            <c:numRef>
              <c:f>PL!$C$5:$L$5</c:f>
              <c:numCache>
                <c:formatCode>_-* #\ ##0\ "€"_-;\-* #\ ##0\ "€"_-;_-* "-"??\ "€"_-;_-@_-</c:formatCode>
                <c:ptCount val="10"/>
                <c:pt idx="0">
                  <c:v>-60033.289999999994</c:v>
                </c:pt>
                <c:pt idx="1">
                  <c:v>-181393.06000000003</c:v>
                </c:pt>
                <c:pt idx="2">
                  <c:v>-44737.863000000005</c:v>
                </c:pt>
                <c:pt idx="3">
                  <c:v>0</c:v>
                </c:pt>
                <c:pt idx="4">
                  <c:v>-145.18</c:v>
                </c:pt>
                <c:pt idx="5">
                  <c:v>-33398.760999999999</c:v>
                </c:pt>
                <c:pt idx="6">
                  <c:v>-12535.545</c:v>
                </c:pt>
                <c:pt idx="7">
                  <c:v>-49463.336000000003</c:v>
                </c:pt>
                <c:pt idx="8">
                  <c:v>-25682.393000000004</c:v>
                </c:pt>
                <c:pt idx="9">
                  <c:v>-33772.931000000011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8B-445A-A797-2513EA529A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358880"/>
        <c:axId val="35355520"/>
      </c:barChart>
      <c:catAx>
        <c:axId val="35358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5355520"/>
        <c:crosses val="autoZero"/>
        <c:auto val="1"/>
        <c:lblAlgn val="ctr"/>
        <c:lblOffset val="100"/>
        <c:noMultiLvlLbl val="0"/>
      </c:catAx>
      <c:valAx>
        <c:axId val="3535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\ &quot;€&quot;_-;\-* #\ ##0\ &quot;€&quot;_-;_-* &quot;-&quot;??\ &quot;€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5358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ENT!$A$3</c:f>
              <c:strCache>
                <c:ptCount val="1"/>
                <c:pt idx="0">
                  <c:v>BASE :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PL!$C$2:$L$2</c:f>
              <c:numCache>
                <c:formatCode>General</c:formatCode>
                <c:ptCount val="10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</c:numCache>
            </c:numRef>
          </c:cat>
          <c:val>
            <c:numRef>
              <c:f>ENT!$C$3:$L$3</c:f>
              <c:numCache>
                <c:formatCode>_-* #\ ##0\ "€"_-;\-* #\ ##0\ "€"_-;_-* "-"??\ "€"_-;_-@_-</c:formatCode>
                <c:ptCount val="10"/>
                <c:pt idx="0">
                  <c:v>-2576.7000000000003</c:v>
                </c:pt>
                <c:pt idx="1">
                  <c:v>-4447.4970000000003</c:v>
                </c:pt>
                <c:pt idx="2">
                  <c:v>-13003.951500000003</c:v>
                </c:pt>
                <c:pt idx="3">
                  <c:v>-2576.7000000000003</c:v>
                </c:pt>
                <c:pt idx="4">
                  <c:v>-655.24349999999993</c:v>
                </c:pt>
                <c:pt idx="5">
                  <c:v>-12781.394999999995</c:v>
                </c:pt>
                <c:pt idx="6">
                  <c:v>0</c:v>
                </c:pt>
                <c:pt idx="7">
                  <c:v>-1751.9925000000001</c:v>
                </c:pt>
                <c:pt idx="8">
                  <c:v>-13028.602499999995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FF-453A-8DC7-73C9C45119AD}"/>
            </c:ext>
          </c:extLst>
        </c:ser>
        <c:ser>
          <c:idx val="2"/>
          <c:order val="1"/>
          <c:tx>
            <c:strRef>
              <c:f>ENT!$A$4</c:f>
              <c:strCache>
                <c:ptCount val="1"/>
                <c:pt idx="0">
                  <c:v>MAX :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ENT!$C$4:$L$4</c:f>
              <c:numCache>
                <c:formatCode>_-* #\ ##0\ "€"_-;\-* #\ ##0\ "€"_-;_-* "-"??\ "€"_-;_-@_-</c:formatCode>
                <c:ptCount val="10"/>
                <c:pt idx="0">
                  <c:v>-6961.5720000000001</c:v>
                </c:pt>
                <c:pt idx="1">
                  <c:v>-2415.4140000000002</c:v>
                </c:pt>
                <c:pt idx="2">
                  <c:v>-3910.8825000000015</c:v>
                </c:pt>
                <c:pt idx="3">
                  <c:v>-843.94349999999997</c:v>
                </c:pt>
                <c:pt idx="4">
                  <c:v>-2445.3914999999997</c:v>
                </c:pt>
                <c:pt idx="5">
                  <c:v>-597.375</c:v>
                </c:pt>
                <c:pt idx="6">
                  <c:v>-1088.3970000000002</c:v>
                </c:pt>
                <c:pt idx="7">
                  <c:v>-2940.5415000000003</c:v>
                </c:pt>
                <c:pt idx="8">
                  <c:v>-1907.4975000000004</c:v>
                </c:pt>
                <c:pt idx="9">
                  <c:v>-3927.5190000000002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FF-453A-8DC7-73C9C45119AD}"/>
            </c:ext>
          </c:extLst>
        </c:ser>
        <c:ser>
          <c:idx val="1"/>
          <c:order val="2"/>
          <c:tx>
            <c:strRef>
              <c:f>ENT!$A$5</c:f>
              <c:strCache>
                <c:ptCount val="1"/>
                <c:pt idx="0">
                  <c:v>TOTAL :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PL!$C$2:$L$2</c:f>
              <c:numCache>
                <c:formatCode>General</c:formatCode>
                <c:ptCount val="10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</c:numCache>
            </c:numRef>
          </c:cat>
          <c:val>
            <c:numRef>
              <c:f>ENT!$C$5:$L$5</c:f>
              <c:numCache>
                <c:formatCode>_-* #\ ##0\ "€"_-;\-* #\ ##0\ "€"_-;_-* "-"??\ "€"_-;_-@_-</c:formatCode>
                <c:ptCount val="10"/>
                <c:pt idx="0">
                  <c:v>-6961.5719999999983</c:v>
                </c:pt>
                <c:pt idx="1">
                  <c:v>-62.625</c:v>
                </c:pt>
                <c:pt idx="2">
                  <c:v>-5714.6624999999995</c:v>
                </c:pt>
                <c:pt idx="3">
                  <c:v>-2019.7725</c:v>
                </c:pt>
                <c:pt idx="4">
                  <c:v>-2936.799</c:v>
                </c:pt>
                <c:pt idx="5">
                  <c:v>-1349.559</c:v>
                </c:pt>
                <c:pt idx="6">
                  <c:v>-1600.116</c:v>
                </c:pt>
                <c:pt idx="7">
                  <c:v>-3024.9164999999998</c:v>
                </c:pt>
                <c:pt idx="8">
                  <c:v>-1852.3215</c:v>
                </c:pt>
                <c:pt idx="9">
                  <c:v>-4467.9089999999997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FF-453A-8DC7-73C9C451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358880"/>
        <c:axId val="35355520"/>
      </c:barChart>
      <c:catAx>
        <c:axId val="35358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5355520"/>
        <c:crosses val="autoZero"/>
        <c:auto val="1"/>
        <c:lblAlgn val="ctr"/>
        <c:lblOffset val="100"/>
        <c:noMultiLvlLbl val="0"/>
      </c:catAx>
      <c:valAx>
        <c:axId val="3535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\ &quot;€&quot;_-;\-* #\ ##0\ &quot;€&quot;_-;_-* &quot;-&quot;??\ &quot;€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5358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CR!$A$3</c:f>
              <c:strCache>
                <c:ptCount val="1"/>
                <c:pt idx="0">
                  <c:v>BASE :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PL!$C$2:$L$2</c:f>
              <c:numCache>
                <c:formatCode>General</c:formatCode>
                <c:ptCount val="10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</c:numCache>
            </c:numRef>
          </c:cat>
          <c:val>
            <c:numRef>
              <c:f>CR!$C$3:$L$3</c:f>
              <c:numCache>
                <c:formatCode>_-* #\ ##0\ "€"_-;\-* #\ ##0\ "€"_-;_-* "-"??\ "€"_-;_-@_-</c:formatCode>
                <c:ptCount val="10"/>
                <c:pt idx="0">
                  <c:v>36269.199999999997</c:v>
                </c:pt>
                <c:pt idx="1">
                  <c:v>0</c:v>
                </c:pt>
                <c:pt idx="2">
                  <c:v>0</c:v>
                </c:pt>
                <c:pt idx="3">
                  <c:v>153226.48000000001</c:v>
                </c:pt>
                <c:pt idx="4">
                  <c:v>29005.68</c:v>
                </c:pt>
                <c:pt idx="5">
                  <c:v>0</c:v>
                </c:pt>
                <c:pt idx="6">
                  <c:v>751.52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0B-4E89-8137-7E0CE7823FE0}"/>
            </c:ext>
          </c:extLst>
        </c:ser>
        <c:ser>
          <c:idx val="2"/>
          <c:order val="1"/>
          <c:tx>
            <c:strRef>
              <c:f>CR!$A$4</c:f>
              <c:strCache>
                <c:ptCount val="1"/>
                <c:pt idx="0">
                  <c:v>MAX :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CR!$C$4:$L$4</c:f>
              <c:numCache>
                <c:formatCode>_-* #\ ##0\ "€"_-;\-* #\ ##0\ "€"_-;_-* "-"??\ "€"_-;_-@_-</c:formatCode>
                <c:ptCount val="10"/>
                <c:pt idx="0">
                  <c:v>120179.84000000001</c:v>
                </c:pt>
                <c:pt idx="1">
                  <c:v>99073.04</c:v>
                </c:pt>
                <c:pt idx="2">
                  <c:v>0</c:v>
                </c:pt>
                <c:pt idx="3">
                  <c:v>0</c:v>
                </c:pt>
                <c:pt idx="4">
                  <c:v>92873.56</c:v>
                </c:pt>
                <c:pt idx="5">
                  <c:v>90835.159999999974</c:v>
                </c:pt>
                <c:pt idx="6">
                  <c:v>128938.56</c:v>
                </c:pt>
                <c:pt idx="7">
                  <c:v>86553.48</c:v>
                </c:pt>
                <c:pt idx="8">
                  <c:v>91450.92</c:v>
                </c:pt>
                <c:pt idx="9">
                  <c:v>91798.2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0B-4E89-8137-7E0CE7823FE0}"/>
            </c:ext>
          </c:extLst>
        </c:ser>
        <c:ser>
          <c:idx val="1"/>
          <c:order val="2"/>
          <c:tx>
            <c:strRef>
              <c:f>CR!$A$5</c:f>
              <c:strCache>
                <c:ptCount val="1"/>
                <c:pt idx="0">
                  <c:v>TOTAL :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PL!$C$2:$L$2</c:f>
              <c:numCache>
                <c:formatCode>General</c:formatCode>
                <c:ptCount val="10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</c:numCache>
            </c:numRef>
          </c:cat>
          <c:val>
            <c:numRef>
              <c:f>CR!$C$5:$L$5</c:f>
              <c:numCache>
                <c:formatCode>_-* #\ ##0\ "€"_-;\-* #\ ##0\ "€"_-;_-* "-"??\ "€"_-;_-@_-</c:formatCode>
                <c:ptCount val="10"/>
                <c:pt idx="0">
                  <c:v>87672.639999999999</c:v>
                </c:pt>
                <c:pt idx="1">
                  <c:v>131580.24</c:v>
                </c:pt>
                <c:pt idx="2">
                  <c:v>0</c:v>
                </c:pt>
                <c:pt idx="3">
                  <c:v>0</c:v>
                </c:pt>
                <c:pt idx="4">
                  <c:v>92873.56</c:v>
                </c:pt>
                <c:pt idx="5">
                  <c:v>90835.159999999974</c:v>
                </c:pt>
                <c:pt idx="6">
                  <c:v>128938.56</c:v>
                </c:pt>
                <c:pt idx="7">
                  <c:v>86553.48</c:v>
                </c:pt>
                <c:pt idx="8">
                  <c:v>87977.84</c:v>
                </c:pt>
                <c:pt idx="9">
                  <c:v>95271.28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0B-4E89-8137-7E0CE7823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358880"/>
        <c:axId val="35355520"/>
      </c:barChart>
      <c:catAx>
        <c:axId val="35358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5355520"/>
        <c:crosses val="autoZero"/>
        <c:auto val="1"/>
        <c:lblAlgn val="ctr"/>
        <c:lblOffset val="100"/>
        <c:noMultiLvlLbl val="0"/>
      </c:catAx>
      <c:valAx>
        <c:axId val="3535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\ &quot;€&quot;_-;\-* #\ ##0\ &quot;€&quot;_-;_-* &quot;-&quot;??\ &quot;€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5358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EC!$A$79</c:f>
              <c:strCache>
                <c:ptCount val="1"/>
              </c:strCache>
            </c:strRef>
          </c:tx>
          <c:spPr>
            <a:solidFill>
              <a:srgbClr val="ED7D31"/>
            </a:solidFill>
            <a:ln>
              <a:noFill/>
            </a:ln>
            <a:effectLst/>
          </c:spPr>
          <c:invertIfNegative val="0"/>
          <c:cat>
            <c:numRef>
              <c:f>PL!$C$47:$L$47</c:f>
              <c:numCache>
                <c:formatCode>General</c:formatCode>
                <c:ptCount val="10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</c:numCache>
            </c:numRef>
          </c:cat>
          <c:val>
            <c:numRef>
              <c:f>EC!$C$79:$L$79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0-97C0-4B34-8924-9C8B4A56464E}"/>
            </c:ext>
          </c:extLst>
        </c:ser>
        <c:ser>
          <c:idx val="3"/>
          <c:order val="1"/>
          <c:tx>
            <c:strRef>
              <c:f>EC!$A$80</c:f>
              <c:strCache>
                <c:ptCount val="1"/>
              </c:strCache>
            </c:strRef>
          </c:tx>
          <c:spPr>
            <a:solidFill>
              <a:srgbClr val="A5A5A5"/>
            </a:solidFill>
            <a:ln>
              <a:noFill/>
            </a:ln>
            <a:effectLst/>
          </c:spPr>
          <c:invertIfNegative val="0"/>
          <c:cat>
            <c:numRef>
              <c:f>PL!$C$47:$L$47</c:f>
              <c:numCache>
                <c:formatCode>General</c:formatCode>
                <c:ptCount val="10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</c:numCache>
            </c:numRef>
          </c:cat>
          <c:val>
            <c:numRef>
              <c:f>EC!$C$80:$L$80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1-97C0-4B34-8924-9C8B4A56464E}"/>
            </c:ext>
          </c:extLst>
        </c:ser>
        <c:ser>
          <c:idx val="4"/>
          <c:order val="2"/>
          <c:tx>
            <c:strRef>
              <c:f>EC!$A$81</c:f>
              <c:strCache>
                <c:ptCount val="1"/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PL!$C$47:$L$47</c:f>
              <c:numCache>
                <c:formatCode>General</c:formatCode>
                <c:ptCount val="10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</c:numCache>
            </c:numRef>
          </c:cat>
          <c:val>
            <c:numRef>
              <c:f>EC!$C$81:$L$81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97C0-4B34-8924-9C8B4A56464E}"/>
            </c:ext>
          </c:extLst>
        </c:ser>
        <c:ser>
          <c:idx val="5"/>
          <c:order val="3"/>
          <c:tx>
            <c:strRef>
              <c:f>EC!$A$82</c:f>
              <c:strCache>
                <c:ptCount val="1"/>
              </c:strCache>
            </c:strRef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Ref>
              <c:f>PL!$C$47:$L$47</c:f>
              <c:numCache>
                <c:formatCode>General</c:formatCode>
                <c:ptCount val="10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</c:numCache>
            </c:numRef>
          </c:cat>
          <c:val>
            <c:numRef>
              <c:f>EC!$C$82:$L$82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3-97C0-4B34-8924-9C8B4A56464E}"/>
            </c:ext>
          </c:extLst>
        </c:ser>
        <c:ser>
          <c:idx val="6"/>
          <c:order val="4"/>
          <c:tx>
            <c:strRef>
              <c:f>EC!$A$83</c:f>
              <c:strCache>
                <c:ptCount val="1"/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numRef>
              <c:f>PL!$C$47:$L$47</c:f>
              <c:numCache>
                <c:formatCode>General</c:formatCode>
                <c:ptCount val="10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</c:numCache>
            </c:numRef>
          </c:cat>
          <c:val>
            <c:numRef>
              <c:f>EC!$C$83:$L$83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4-97C0-4B34-8924-9C8B4A5646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62675896"/>
        <c:axId val="2069852935"/>
      </c:barChart>
      <c:catAx>
        <c:axId val="2062675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69852935"/>
        <c:crosses val="autoZero"/>
        <c:auto val="1"/>
        <c:lblAlgn val="ctr"/>
        <c:lblOffset val="100"/>
        <c:noMultiLvlLbl val="0"/>
      </c:catAx>
      <c:valAx>
        <c:axId val="2069852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62675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EC!$A$3</c:f>
              <c:strCache>
                <c:ptCount val="1"/>
                <c:pt idx="0">
                  <c:v>BASE :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PL!$C$2:$L$2</c:f>
              <c:numCache>
                <c:formatCode>General</c:formatCode>
                <c:ptCount val="10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</c:numCache>
            </c:numRef>
          </c:cat>
          <c:val>
            <c:numRef>
              <c:f>EC!$C$3:$L$3</c:f>
              <c:numCache>
                <c:formatCode>_-* #\ ##0\ "€"_-;\-* #\ ##0\ "€"_-;_-* "-"??\ "€"_-;_-@_-</c:formatCode>
                <c:ptCount val="10"/>
                <c:pt idx="0">
                  <c:v>27179.964000000007</c:v>
                </c:pt>
                <c:pt idx="1">
                  <c:v>51406.6944</c:v>
                </c:pt>
                <c:pt idx="2">
                  <c:v>49526.987999999998</c:v>
                </c:pt>
                <c:pt idx="3">
                  <c:v>89802.482399999994</c:v>
                </c:pt>
                <c:pt idx="4">
                  <c:v>174849.58320000005</c:v>
                </c:pt>
                <c:pt idx="5">
                  <c:v>45558.796799999996</c:v>
                </c:pt>
                <c:pt idx="6">
                  <c:v>95377.238400000002</c:v>
                </c:pt>
                <c:pt idx="7">
                  <c:v>67151.695199999987</c:v>
                </c:pt>
                <c:pt idx="8">
                  <c:v>137915.39520000003</c:v>
                </c:pt>
                <c:pt idx="9">
                  <c:v>197244.14640000003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87-4C21-B85E-D72B02B5FA7A}"/>
            </c:ext>
          </c:extLst>
        </c:ser>
        <c:ser>
          <c:idx val="2"/>
          <c:order val="1"/>
          <c:tx>
            <c:strRef>
              <c:f>EC!$A$4</c:f>
              <c:strCache>
                <c:ptCount val="1"/>
                <c:pt idx="0">
                  <c:v>MAX :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EC!$C$4:$L$4</c:f>
              <c:numCache>
                <c:formatCode>_-* #\ ##0\ "€"_-;\-* #\ ##0\ "€"_-;_-* "-"??\ "€"_-;_-@_-</c:formatCode>
                <c:ptCount val="10"/>
                <c:pt idx="0">
                  <c:v>55333.946400000001</c:v>
                </c:pt>
                <c:pt idx="1">
                  <c:v>18359.489600000001</c:v>
                </c:pt>
                <c:pt idx="2">
                  <c:v>65207.115999999987</c:v>
                </c:pt>
                <c:pt idx="3">
                  <c:v>148876.48879999999</c:v>
                </c:pt>
                <c:pt idx="4">
                  <c:v>6582.8223999999991</c:v>
                </c:pt>
                <c:pt idx="5">
                  <c:v>95377.238399999987</c:v>
                </c:pt>
                <c:pt idx="6">
                  <c:v>34199.516000000003</c:v>
                </c:pt>
                <c:pt idx="7">
                  <c:v>115555.97120000001</c:v>
                </c:pt>
                <c:pt idx="8">
                  <c:v>173632.24239999996</c:v>
                </c:pt>
                <c:pt idx="9">
                  <c:v>5984.3840000000018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87-4C21-B85E-D72B02B5FA7A}"/>
            </c:ext>
          </c:extLst>
        </c:ser>
        <c:ser>
          <c:idx val="1"/>
          <c:order val="2"/>
          <c:tx>
            <c:strRef>
              <c:f>EC!$A$5</c:f>
              <c:strCache>
                <c:ptCount val="1"/>
                <c:pt idx="0">
                  <c:v>TOTAL :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PL!$C$2:$L$2</c:f>
              <c:numCache>
                <c:formatCode>General</c:formatCode>
                <c:ptCount val="10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</c:numCache>
            </c:numRef>
          </c:cat>
          <c:val>
            <c:numRef>
              <c:f>EC!$C$5:$L$5</c:f>
              <c:numCache>
                <c:formatCode>_-* #\ ##0\ "€"_-;\-* #\ ##0\ "€"_-;_-* "-"??\ "€"_-;_-@_-</c:formatCode>
                <c:ptCount val="10"/>
                <c:pt idx="0">
                  <c:v>0</c:v>
                </c:pt>
                <c:pt idx="1">
                  <c:v>70079.208799999993</c:v>
                </c:pt>
                <c:pt idx="2">
                  <c:v>68518.597599999994</c:v>
                </c:pt>
                <c:pt idx="3">
                  <c:v>129931.04240000001</c:v>
                </c:pt>
                <c:pt idx="4">
                  <c:v>19248.192000000003</c:v>
                </c:pt>
                <c:pt idx="5">
                  <c:v>90742.633600000001</c:v>
                </c:pt>
                <c:pt idx="6">
                  <c:v>37711.675999999999</c:v>
                </c:pt>
                <c:pt idx="7">
                  <c:v>117028.86080000001</c:v>
                </c:pt>
                <c:pt idx="8">
                  <c:v>89521.93280000001</c:v>
                </c:pt>
                <c:pt idx="9">
                  <c:v>96327.071200000006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87-4C21-B85E-D72B02B5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358880"/>
        <c:axId val="35355520"/>
      </c:barChart>
      <c:catAx>
        <c:axId val="35358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5355520"/>
        <c:crosses val="autoZero"/>
        <c:auto val="1"/>
        <c:lblAlgn val="ctr"/>
        <c:lblOffset val="100"/>
        <c:noMultiLvlLbl val="0"/>
      </c:catAx>
      <c:valAx>
        <c:axId val="3535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\ &quot;€&quot;_-;\-* #\ ##0\ &quot;€&quot;_-;_-* &quot;-&quot;??\ &quot;€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5358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ACEB951-4B98-4479-B813-3CE670D0ABD1}">
  <sheetPr codeName="Graphique1"/>
  <sheetViews>
    <sheetView zoomScale="145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Graphique2"/>
  <sheetViews>
    <sheetView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Graphique3"/>
  <sheetViews>
    <sheetView zoomScale="119"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Graphique4"/>
  <sheetViews>
    <sheetView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81A1D94-9286-4A23-82D0-AD1DF9772E2B}">
  <sheetPr codeName="Graphique5"/>
  <sheetViews>
    <sheetView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9FC9F32-C71E-4B29-9948-E403849F929A}">
  <sheetPr codeName="Graphique6"/>
  <sheetViews>
    <sheetView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5086" cy="6056586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86875" cy="6048375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2878" cy="6051176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86875" cy="6048375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86875" cy="6048375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286875" cy="6048375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23</xdr:row>
      <xdr:rowOff>190499</xdr:rowOff>
    </xdr:from>
    <xdr:to>
      <xdr:col>8</xdr:col>
      <xdr:colOff>498300</xdr:colOff>
      <xdr:row>41</xdr:row>
      <xdr:rowOff>1499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51</xdr:row>
      <xdr:rowOff>0</xdr:rowOff>
    </xdr:from>
    <xdr:to>
      <xdr:col>8</xdr:col>
      <xdr:colOff>498300</xdr:colOff>
      <xdr:row>68</xdr:row>
      <xdr:rowOff>1500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0</xdr:colOff>
      <xdr:row>77</xdr:row>
      <xdr:rowOff>0</xdr:rowOff>
    </xdr:from>
    <xdr:to>
      <xdr:col>8</xdr:col>
      <xdr:colOff>498300</xdr:colOff>
      <xdr:row>94</xdr:row>
      <xdr:rowOff>1500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498300</xdr:colOff>
      <xdr:row>17</xdr:row>
      <xdr:rowOff>1500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12</xdr:row>
      <xdr:rowOff>0</xdr:rowOff>
    </xdr:from>
    <xdr:to>
      <xdr:col>8</xdr:col>
      <xdr:colOff>222075</xdr:colOff>
      <xdr:row>31</xdr:row>
      <xdr:rowOff>87225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12</xdr:row>
      <xdr:rowOff>0</xdr:rowOff>
    </xdr:from>
    <xdr:to>
      <xdr:col>6</xdr:col>
      <xdr:colOff>488775</xdr:colOff>
      <xdr:row>29</xdr:row>
      <xdr:rowOff>1500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12</xdr:row>
      <xdr:rowOff>0</xdr:rowOff>
    </xdr:from>
    <xdr:to>
      <xdr:col>8</xdr:col>
      <xdr:colOff>145875</xdr:colOff>
      <xdr:row>28</xdr:row>
      <xdr:rowOff>172950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84</xdr:row>
      <xdr:rowOff>66675</xdr:rowOff>
    </xdr:from>
    <xdr:to>
      <xdr:col>12</xdr:col>
      <xdr:colOff>0</xdr:colOff>
      <xdr:row>101</xdr:row>
      <xdr:rowOff>68175</xdr:rowOff>
    </xdr:to>
    <xdr:graphicFrame macro="">
      <xdr:nvGraphicFramePr>
        <xdr:cNvPr id="3" name="Graphique 7">
          <a:extLst>
            <a:ext uri="{FF2B5EF4-FFF2-40B4-BE49-F238E27FC236}">
              <a16:creationId xmlns:a16="http://schemas.microsoft.com/office/drawing/2014/main" id="{00000000-0008-0000-0A00-000003000000}"/>
            </a:ext>
            <a:ext uri="{147F2762-F138-4A5C-976F-8EAC2B608ADB}">
              <a16:predDERef xmlns:a16="http://schemas.microsoft.com/office/drawing/2014/main" pred="{37E02C0F-4FEB-4DAA-935F-59447BE634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12</xdr:row>
      <xdr:rowOff>0</xdr:rowOff>
    </xdr:from>
    <xdr:to>
      <xdr:col>8</xdr:col>
      <xdr:colOff>98250</xdr:colOff>
      <xdr:row>28</xdr:row>
      <xdr:rowOff>172950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4</xdr:row>
          <xdr:rowOff>0</xdr:rowOff>
        </xdr:from>
        <xdr:to>
          <xdr:col>5</xdr:col>
          <xdr:colOff>352425</xdr:colOff>
          <xdr:row>5</xdr:row>
          <xdr:rowOff>161925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781050</xdr:colOff>
          <xdr:row>3</xdr:row>
          <xdr:rowOff>180975</xdr:rowOff>
        </xdr:from>
        <xdr:to>
          <xdr:col>7</xdr:col>
          <xdr:colOff>285750</xdr:colOff>
          <xdr:row>5</xdr:row>
          <xdr:rowOff>152400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B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 2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larcade" refreshedDate="45215.532347106484" createdVersion="8" refreshedVersion="8" minRefreshableVersion="3" recordCount="444" xr:uid="{29D5C99C-5620-4394-9F8F-A34990287066}">
  <cacheSource type="worksheet">
    <worksheetSource ref="D1:E1048576" sheet="modif0"/>
  </cacheSource>
  <cacheFields count="2">
    <cacheField name="cd_cmmn" numFmtId="0">
      <sharedItems containsBlank="1" count="7">
        <s v="202"/>
        <s v="536"/>
        <s v="197"/>
        <s v="171"/>
        <s v="077"/>
        <s v="200"/>
        <m/>
      </sharedItems>
    </cacheField>
    <cacheField name="nm_cmmn" numFmtId="0">
      <sharedItems containsBlank="1" count="7">
        <s v="HOSTENS"/>
        <s v="LE TUZAN"/>
        <s v="GUILLOS"/>
        <s v="MANO"/>
        <s v="CABANAC-ET-VILLAGRAINS"/>
        <s v="MOUSTEY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4"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0"/>
    <x v="0"/>
  </r>
  <r>
    <x v="1"/>
    <x v="1"/>
  </r>
  <r>
    <x v="1"/>
    <x v="1"/>
  </r>
  <r>
    <x v="1"/>
    <x v="1"/>
  </r>
  <r>
    <x v="0"/>
    <x v="0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2"/>
    <x v="2"/>
  </r>
  <r>
    <x v="2"/>
    <x v="2"/>
  </r>
  <r>
    <x v="2"/>
    <x v="2"/>
  </r>
  <r>
    <x v="2"/>
    <x v="2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3"/>
    <x v="3"/>
  </r>
  <r>
    <x v="3"/>
    <x v="3"/>
  </r>
  <r>
    <x v="3"/>
    <x v="3"/>
  </r>
  <r>
    <x v="3"/>
    <x v="3"/>
  </r>
  <r>
    <x v="3"/>
    <x v="3"/>
  </r>
  <r>
    <x v="3"/>
    <x v="3"/>
  </r>
  <r>
    <x v="3"/>
    <x v="3"/>
  </r>
  <r>
    <x v="3"/>
    <x v="3"/>
  </r>
  <r>
    <x v="3"/>
    <x v="3"/>
  </r>
  <r>
    <x v="0"/>
    <x v="0"/>
  </r>
  <r>
    <x v="0"/>
    <x v="0"/>
  </r>
  <r>
    <x v="0"/>
    <x v="0"/>
  </r>
  <r>
    <x v="0"/>
    <x v="0"/>
  </r>
  <r>
    <x v="0"/>
    <x v="0"/>
  </r>
  <r>
    <x v="3"/>
    <x v="3"/>
  </r>
  <r>
    <x v="3"/>
    <x v="3"/>
  </r>
  <r>
    <x v="3"/>
    <x v="3"/>
  </r>
  <r>
    <x v="3"/>
    <x v="3"/>
  </r>
  <r>
    <x v="3"/>
    <x v="3"/>
  </r>
  <r>
    <x v="3"/>
    <x v="3"/>
  </r>
  <r>
    <x v="3"/>
    <x v="3"/>
  </r>
  <r>
    <x v="3"/>
    <x v="3"/>
  </r>
  <r>
    <x v="3"/>
    <x v="3"/>
  </r>
  <r>
    <x v="3"/>
    <x v="3"/>
  </r>
  <r>
    <x v="3"/>
    <x v="3"/>
  </r>
  <r>
    <x v="3"/>
    <x v="3"/>
  </r>
  <r>
    <x v="3"/>
    <x v="3"/>
  </r>
  <r>
    <x v="3"/>
    <x v="3"/>
  </r>
  <r>
    <x v="3"/>
    <x v="3"/>
  </r>
  <r>
    <x v="3"/>
    <x v="3"/>
  </r>
  <r>
    <x v="3"/>
    <x v="3"/>
  </r>
  <r>
    <x v="3"/>
    <x v="3"/>
  </r>
  <r>
    <x v="3"/>
    <x v="3"/>
  </r>
  <r>
    <x v="3"/>
    <x v="3"/>
  </r>
  <r>
    <x v="3"/>
    <x v="3"/>
  </r>
  <r>
    <x v="3"/>
    <x v="3"/>
  </r>
  <r>
    <x v="3"/>
    <x v="3"/>
  </r>
  <r>
    <x v="3"/>
    <x v="3"/>
  </r>
  <r>
    <x v="3"/>
    <x v="3"/>
  </r>
  <r>
    <x v="3"/>
    <x v="3"/>
  </r>
  <r>
    <x v="3"/>
    <x v="3"/>
  </r>
  <r>
    <x v="3"/>
    <x v="3"/>
  </r>
  <r>
    <x v="3"/>
    <x v="3"/>
  </r>
  <r>
    <x v="3"/>
    <x v="3"/>
  </r>
  <r>
    <x v="3"/>
    <x v="3"/>
  </r>
  <r>
    <x v="3"/>
    <x v="3"/>
  </r>
  <r>
    <x v="3"/>
    <x v="3"/>
  </r>
  <r>
    <x v="3"/>
    <x v="3"/>
  </r>
  <r>
    <x v="3"/>
    <x v="3"/>
  </r>
  <r>
    <x v="3"/>
    <x v="3"/>
  </r>
  <r>
    <x v="3"/>
    <x v="3"/>
  </r>
  <r>
    <x v="3"/>
    <x v="3"/>
  </r>
  <r>
    <x v="3"/>
    <x v="3"/>
  </r>
  <r>
    <x v="3"/>
    <x v="3"/>
  </r>
  <r>
    <x v="3"/>
    <x v="3"/>
  </r>
  <r>
    <x v="3"/>
    <x v="3"/>
  </r>
  <r>
    <x v="3"/>
    <x v="3"/>
  </r>
  <r>
    <x v="1"/>
    <x v="1"/>
  </r>
  <r>
    <x v="1"/>
    <x v="1"/>
  </r>
  <r>
    <x v="1"/>
    <x v="1"/>
  </r>
  <r>
    <x v="1"/>
    <x v="1"/>
  </r>
  <r>
    <x v="1"/>
    <x v="1"/>
  </r>
  <r>
    <x v="3"/>
    <x v="3"/>
  </r>
  <r>
    <x v="3"/>
    <x v="3"/>
  </r>
  <r>
    <x v="3"/>
    <x v="3"/>
  </r>
  <r>
    <x v="3"/>
    <x v="3"/>
  </r>
  <r>
    <x v="3"/>
    <x v="3"/>
  </r>
  <r>
    <x v="3"/>
    <x v="3"/>
  </r>
  <r>
    <x v="3"/>
    <x v="3"/>
  </r>
  <r>
    <x v="3"/>
    <x v="3"/>
  </r>
  <r>
    <x v="3"/>
    <x v="3"/>
  </r>
  <r>
    <x v="3"/>
    <x v="3"/>
  </r>
  <r>
    <x v="3"/>
    <x v="3"/>
  </r>
  <r>
    <x v="3"/>
    <x v="3"/>
  </r>
  <r>
    <x v="3"/>
    <x v="3"/>
  </r>
  <r>
    <x v="3"/>
    <x v="3"/>
  </r>
  <r>
    <x v="4"/>
    <x v="4"/>
  </r>
  <r>
    <x v="4"/>
    <x v="4"/>
  </r>
  <r>
    <x v="4"/>
    <x v="4"/>
  </r>
  <r>
    <x v="4"/>
    <x v="4"/>
  </r>
  <r>
    <x v="4"/>
    <x v="4"/>
  </r>
  <r>
    <x v="4"/>
    <x v="4"/>
  </r>
  <r>
    <x v="4"/>
    <x v="4"/>
  </r>
  <r>
    <x v="4"/>
    <x v="4"/>
  </r>
  <r>
    <x v="4"/>
    <x v="4"/>
  </r>
  <r>
    <x v="4"/>
    <x v="4"/>
  </r>
  <r>
    <x v="4"/>
    <x v="4"/>
  </r>
  <r>
    <x v="4"/>
    <x v="4"/>
  </r>
  <r>
    <x v="4"/>
    <x v="4"/>
  </r>
  <r>
    <x v="4"/>
    <x v="4"/>
  </r>
  <r>
    <x v="4"/>
    <x v="4"/>
  </r>
  <r>
    <x v="4"/>
    <x v="4"/>
  </r>
  <r>
    <x v="4"/>
    <x v="4"/>
  </r>
  <r>
    <x v="4"/>
    <x v="4"/>
  </r>
  <r>
    <x v="4"/>
    <x v="4"/>
  </r>
  <r>
    <x v="4"/>
    <x v="4"/>
  </r>
  <r>
    <x v="4"/>
    <x v="4"/>
  </r>
  <r>
    <x v="4"/>
    <x v="4"/>
  </r>
  <r>
    <x v="4"/>
    <x v="4"/>
  </r>
  <r>
    <x v="4"/>
    <x v="4"/>
  </r>
  <r>
    <x v="4"/>
    <x v="4"/>
  </r>
  <r>
    <x v="4"/>
    <x v="4"/>
  </r>
  <r>
    <x v="4"/>
    <x v="4"/>
  </r>
  <r>
    <x v="4"/>
    <x v="4"/>
  </r>
  <r>
    <x v="4"/>
    <x v="4"/>
  </r>
  <r>
    <x v="3"/>
    <x v="3"/>
  </r>
  <r>
    <x v="3"/>
    <x v="3"/>
  </r>
  <r>
    <x v="3"/>
    <x v="3"/>
  </r>
  <r>
    <x v="5"/>
    <x v="5"/>
  </r>
  <r>
    <x v="5"/>
    <x v="5"/>
  </r>
  <r>
    <x v="5"/>
    <x v="5"/>
  </r>
  <r>
    <x v="5"/>
    <x v="5"/>
  </r>
  <r>
    <x v="5"/>
    <x v="5"/>
  </r>
  <r>
    <x v="5"/>
    <x v="5"/>
  </r>
  <r>
    <x v="5"/>
    <x v="5"/>
  </r>
  <r>
    <x v="5"/>
    <x v="5"/>
  </r>
  <r>
    <x v="5"/>
    <x v="5"/>
  </r>
  <r>
    <x v="5"/>
    <x v="5"/>
  </r>
  <r>
    <x v="5"/>
    <x v="5"/>
  </r>
  <r>
    <x v="5"/>
    <x v="5"/>
  </r>
  <r>
    <x v="5"/>
    <x v="5"/>
  </r>
  <r>
    <x v="5"/>
    <x v="5"/>
  </r>
  <r>
    <x v="5"/>
    <x v="5"/>
  </r>
  <r>
    <x v="5"/>
    <x v="5"/>
  </r>
  <r>
    <x v="5"/>
    <x v="5"/>
  </r>
  <r>
    <x v="5"/>
    <x v="5"/>
  </r>
  <r>
    <x v="5"/>
    <x v="5"/>
  </r>
  <r>
    <x v="5"/>
    <x v="5"/>
  </r>
  <r>
    <x v="5"/>
    <x v="5"/>
  </r>
  <r>
    <x v="5"/>
    <x v="5"/>
  </r>
  <r>
    <x v="5"/>
    <x v="5"/>
  </r>
  <r>
    <x v="5"/>
    <x v="5"/>
  </r>
  <r>
    <x v="5"/>
    <x v="5"/>
  </r>
  <r>
    <x v="5"/>
    <x v="5"/>
  </r>
  <r>
    <x v="5"/>
    <x v="5"/>
  </r>
  <r>
    <x v="5"/>
    <x v="5"/>
  </r>
  <r>
    <x v="5"/>
    <x v="5"/>
  </r>
  <r>
    <x v="5"/>
    <x v="5"/>
  </r>
  <r>
    <x v="5"/>
    <x v="5"/>
  </r>
  <r>
    <x v="5"/>
    <x v="5"/>
  </r>
  <r>
    <x v="5"/>
    <x v="5"/>
  </r>
  <r>
    <x v="5"/>
    <x v="5"/>
  </r>
  <r>
    <x v="5"/>
    <x v="5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3"/>
    <x v="3"/>
  </r>
  <r>
    <x v="3"/>
    <x v="3"/>
  </r>
  <r>
    <x v="3"/>
    <x v="3"/>
  </r>
  <r>
    <x v="3"/>
    <x v="3"/>
  </r>
  <r>
    <x v="3"/>
    <x v="3"/>
  </r>
  <r>
    <x v="1"/>
    <x v="1"/>
  </r>
  <r>
    <x v="1"/>
    <x v="1"/>
  </r>
  <r>
    <x v="4"/>
    <x v="4"/>
  </r>
  <r>
    <x v="5"/>
    <x v="5"/>
  </r>
  <r>
    <x v="5"/>
    <x v="5"/>
  </r>
  <r>
    <x v="5"/>
    <x v="5"/>
  </r>
  <r>
    <x v="5"/>
    <x v="5"/>
  </r>
  <r>
    <x v="5"/>
    <x v="5"/>
  </r>
  <r>
    <x v="5"/>
    <x v="5"/>
  </r>
  <r>
    <x v="5"/>
    <x v="5"/>
  </r>
  <r>
    <x v="5"/>
    <x v="5"/>
  </r>
  <r>
    <x v="5"/>
    <x v="5"/>
  </r>
  <r>
    <x v="5"/>
    <x v="5"/>
  </r>
  <r>
    <x v="5"/>
    <x v="5"/>
  </r>
  <r>
    <x v="5"/>
    <x v="5"/>
  </r>
  <r>
    <x v="5"/>
    <x v="5"/>
  </r>
  <r>
    <x v="5"/>
    <x v="5"/>
  </r>
  <r>
    <x v="5"/>
    <x v="5"/>
  </r>
  <r>
    <x v="5"/>
    <x v="5"/>
  </r>
  <r>
    <x v="6"/>
    <x v="6"/>
  </r>
  <r>
    <x v="6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5D9A64-178B-42BB-8187-BB2865C9DD10}" name="Tableau croisé dynamique1" cacheId="0" applyNumberFormats="0" applyBorderFormats="0" applyFontFormats="0" applyPatternFormats="0" applyAlignmentFormats="0" applyWidthHeightFormats="1" dataCaption="Valeurs" updatedVersion="8" minRefreshableVersion="3" rowGrandTotals="0" itemPrintTitles="1" createdVersion="8" indent="0" outline="1" outlineData="1" multipleFieldFilters="0">
  <location ref="A38:B45" firstHeaderRow="1" firstDataRow="1" firstDataCol="2"/>
  <pivotFields count="2">
    <pivotField axis="axisRow" outline="0" showAll="0" defaultSubtotal="0">
      <items count="7">
        <item x="4"/>
        <item x="3"/>
        <item x="2"/>
        <item x="5"/>
        <item x="0"/>
        <item x="1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7">
        <item x="4"/>
        <item x="2"/>
        <item x="0"/>
        <item x="1"/>
        <item x="3"/>
        <item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7">
    <i>
      <x/>
      <x/>
    </i>
    <i>
      <x v="1"/>
      <x v="4"/>
    </i>
    <i>
      <x v="2"/>
      <x v="1"/>
    </i>
    <i>
      <x v="3"/>
      <x v="5"/>
    </i>
    <i>
      <x v="4"/>
      <x v="2"/>
    </i>
    <i>
      <x v="5"/>
      <x v="3"/>
    </i>
    <i>
      <x v="6"/>
      <x v="6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D24AA5F-BB2D-45FC-8C3D-6F6E963EA0A3}" name="modif2" displayName="modif2" ref="A1:AT443" totalsRowShown="0" headerRowDxfId="98">
  <autoFilter ref="A1:AT443" xr:uid="{7D24AA5F-BB2D-45FC-8C3D-6F6E963EA0A3}"/>
  <sortState xmlns:xlrd2="http://schemas.microsoft.com/office/spreadsheetml/2017/richdata2" ref="A2:AT443">
    <sortCondition descending="1" ref="A1"/>
    <sortCondition ref="B1"/>
  </sortState>
  <tableColumns count="46">
    <tableColumn id="1" xr3:uid="{F81CC8F4-07A8-4105-A5AF-072DC79071B4}" name="prndr" dataDxfId="97">
      <calculatedColumnFormula>modif1!A2</calculatedColumnFormula>
    </tableColumn>
    <tableColumn id="22" xr3:uid="{41114B00-BBE2-426D-8AE8-D4653008D321}" name="ordr" dataDxfId="96">
      <calculatedColumnFormula>ROW(modif1!B2)</calculatedColumnFormula>
    </tableColumn>
    <tableColumn id="2" xr3:uid="{1CA02928-B09D-473B-B5D8-1FDABBCAB93D}" name="cd_cmmn" dataDxfId="95">
      <calculatedColumnFormula>modif1!C5</calculatedColumnFormula>
    </tableColumn>
    <tableColumn id="3" xr3:uid="{44AAEB0E-5D69-45B2-B794-8D5EABA92EE7}" name="nm_cmmn" dataDxfId="94">
      <calculatedColumnFormula>modif1!D2</calculatedColumnFormula>
    </tableColumn>
    <tableColumn id="4" xr3:uid="{A6372A4F-4C6A-4078-A9A6-15980B126D34}" name="cd_ldt" dataDxfId="93">
      <calculatedColumnFormula>modif1!E2</calculatedColumnFormula>
    </tableColumn>
    <tableColumn id="5" xr3:uid="{C0BA3AD4-9D7C-493C-9E60-20AAC6586210}" name="l_dt">
      <calculatedColumnFormula>modif1!F2</calculatedColumnFormula>
    </tableColumn>
    <tableColumn id="6" xr3:uid="{993A111B-A133-4762-A696-F8F8AC11A648}" name="sctn" dataDxfId="92">
      <calculatedColumnFormula>modif1!G2</calculatedColumnFormula>
    </tableColumn>
    <tableColumn id="7" xr3:uid="{43EB7811-77DD-45F4-AA96-D83735C2A555}" name="nmr">
      <calculatedColumnFormula>modif1!H2</calculatedColumnFormula>
    </tableColumn>
    <tableColumn id="8" xr3:uid="{A9886BBE-5A17-4800-ABB6-2E0BE2967D85}" name="lttr">
      <calculatedColumnFormula>modif1!I2</calculatedColumnFormula>
    </tableColumn>
    <tableColumn id="9" xr3:uid="{1A926A14-D01B-40F8-B621-5BBE87C889AF}" name="srfcH" dataDxfId="91">
      <calculatedColumnFormula>modif1!J2</calculatedColumnFormula>
    </tableColumn>
    <tableColumn id="53" xr3:uid="{E01ADFCE-33DE-4A3F-A7B2-F8DCA18A0FE7}" name="tp" dataDxfId="90">
      <calculatedColumnFormula>modif1!K2</calculatedColumnFormula>
    </tableColumn>
    <tableColumn id="10" xr3:uid="{BBF9B7E1-91BC-4A4B-B712-C806032768F9}" name="essnc">
      <calculatedColumnFormula>modif1!L2</calculatedColumnFormula>
    </tableColumn>
    <tableColumn id="20" xr3:uid="{326B99A4-9891-42E3-B9C0-1A34D9B29CD1}" name="anns" dataDxfId="89">
      <calculatedColumnFormula>modif1!M2</calculatedColumnFormula>
    </tableColumn>
    <tableColumn id="11" xr3:uid="{8EF9F342-3A16-4DF7-9D08-D03CDB38D094}" name="ntr" dataDxfId="88">
      <calculatedColumnFormula>modif1!N2</calculatedColumnFormula>
    </tableColumn>
    <tableColumn id="37" xr3:uid="{5EA89F47-0B69-4A95-A5B3-94B6E3CFB777}" name="CRsi" dataDxfId="87">
      <calculatedColumnFormula>modif1!O2</calculatedColumnFormula>
    </tableColumn>
    <tableColumn id="35" xr3:uid="{97765BCF-BB87-45BB-8241-5B80A364E976}" name="PLage"/>
    <tableColumn id="12" xr3:uid="{982387A9-0892-4F76-968F-6B1CF6C0CCFF}" name="inter_N+1" dataDxfId="86"/>
    <tableColumn id="13" xr3:uid="{F7A213EC-E300-47D4-9715-640C45CD3EB7}" name="inter_N+2" dataDxfId="85"/>
    <tableColumn id="14" xr3:uid="{3E3ABE84-4CA7-4293-9776-E7DCF7C20288}" name="inter_N+3" dataDxfId="84"/>
    <tableColumn id="15" xr3:uid="{E25AE13A-501E-40F4-A4F1-0DF801599F29}" name="inter_N+4"/>
    <tableColumn id="16" xr3:uid="{89786873-6C5F-441D-AB14-D58252D55787}" name="inter_N+5"/>
    <tableColumn id="17" xr3:uid="{3009C2CB-1029-4B84-BBF8-BD7D9232A2B2}" name="inter_N+6"/>
    <tableColumn id="18" xr3:uid="{21CBFB21-4BC2-43EB-8D19-5D4079DD08E5}" name="inter_N+7"/>
    <tableColumn id="19" xr3:uid="{091D2A83-5E2B-46B0-9036-013CDDBBCE33}" name="inter_N+8"/>
    <tableColumn id="21" xr3:uid="{1D48AD77-1DE7-4990-B69C-98E85D2B0219}" name="inter_N+9"/>
    <tableColumn id="23" xr3:uid="{16DB6E69-25CF-48E9-BAC8-94C936B7210B}" name="inter_N+10"/>
    <tableColumn id="25" xr3:uid="{D3860E59-321B-490A-ADCC-4EC3F429D2A4}" name="budget_N+1" dataDxfId="0" dataCellStyle="Monétaire">
      <calculatedColumnFormula>IF($A2,$J2*(IF(Q2=regle!$B$11,regle!$B$23*IF(AJ2=-2,1+regle!$B$35,1),
IF(Q2=regle!$C$11,regle!$C$23,
IF(Q2=regle!$D$11,regle!$D$23,
IF(Q2=regle!$E$11,regle!$E$23,
IF(Q2=regle!$F$11,regle!$F$23,
IF(Q2=regle!$G$11,regle!$G$23,
IF(Q2=regle!$H$11,regle!$H$23,
IF(Q2=regle!$I$11,regle!$I$23,
IF(Q2=regle!$J$11,regle!$J$23,
IF(Q2=regle!$K$11,regle!$K$23,0))))))))))))</calculatedColumnFormula>
    </tableColumn>
    <tableColumn id="26" xr3:uid="{07602849-AB1A-462D-84E8-FAD98D5D1157}" name="budget_N+2" dataDxfId="83" dataCellStyle="Monétaire">
      <calculatedColumnFormula>IF($A2,$J2*(IF(R2=regle!$B$11,regle!$B$23*IF(AK2=-2,1+regle!$B$35,1),
IF(R2=regle!$C$11,regle!$C$23,
IF(R2=regle!$D$11,regle!$D$23,
IF(R2=regle!$E$11,regle!$E$23,
IF(R2=regle!$F$11,regle!$F$23,
IF(R2=regle!$G$11,regle!$G$23,
IF(R2=regle!$H$11,regle!$H$23,
IF(R2=regle!$I$11,regle!$I$23,
IF(R2=regle!$J$11,regle!$J$23,
IF(R2=regle!$K$11,regle!$K$23,0))))))))))))</calculatedColumnFormula>
    </tableColumn>
    <tableColumn id="27" xr3:uid="{678D959E-3D0F-467B-9C41-000E8E23CE64}" name="budget_N+3" dataDxfId="82" dataCellStyle="Monétaire">
      <calculatedColumnFormula>IF($A2,$J2*(IF(S2=regle!$B$11,regle!$B$23*IF(AL2=-2,1+regle!$B$35,1),
IF(S2=regle!$C$11,regle!$C$23,
IF(S2=regle!$D$11,regle!$D$23,
IF(S2=regle!$E$11,regle!$E$23,
IF(S2=regle!$F$11,regle!$F$23,
IF(S2=regle!$G$11,regle!$G$23,
IF(S2=regle!$H$11,regle!$H$23,
IF(S2=regle!$I$11,regle!$I$23,
IF(S2=regle!$J$11,regle!$J$23,
IF(S2=regle!$K$11,regle!$K$23,0))))))))))))</calculatedColumnFormula>
    </tableColumn>
    <tableColumn id="28" xr3:uid="{84BBFA4A-920E-4FC8-9297-29F4501D1D1E}" name="budget_N+4" dataDxfId="81" dataCellStyle="Monétaire">
      <calculatedColumnFormula>IF($A2,$J2*(IF(T2=regle!$B$11,regle!$B$23*IF(AM2=-2,1+regle!$B$35,1),
IF(T2=regle!$C$11,regle!$C$23,
IF(T2=regle!$D$11,regle!$D$23,
IF(T2=regle!$E$11,regle!$E$23,
IF(T2=regle!$F$11,regle!$F$23,
IF(T2=regle!$G$11,regle!$G$23,
IF(T2=regle!$H$11,regle!$H$23,
IF(T2=regle!$I$11,regle!$I$23,
IF(T2=regle!$J$11,regle!$J$23,
IF(T2=regle!$K$11,regle!$K$23,0))))))))))))</calculatedColumnFormula>
    </tableColumn>
    <tableColumn id="29" xr3:uid="{E306AE83-0B5A-45C4-968A-CCCDC74C1435}" name="budget_N+5" dataDxfId="80" dataCellStyle="Monétaire">
      <calculatedColumnFormula>IF($A2,$J2*(IF(U2=regle!$B$11,regle!$B$23*IF(AN2=-2,1+regle!$B$35,1),
IF(U2=regle!$C$11,regle!$C$23,
IF(U2=regle!$D$11,regle!$D$23,
IF(U2=regle!$E$11,regle!$E$23,
IF(U2=regle!$F$11,regle!$F$23,
IF(U2=regle!$G$11,regle!$G$23,
IF(U2=regle!$H$11,regle!$H$23,
IF(U2=regle!$I$11,regle!$I$23,
IF(U2=regle!$J$11,regle!$J$23,
IF(U2=regle!$K$11,regle!$K$23,0))))))))))))</calculatedColumnFormula>
    </tableColumn>
    <tableColumn id="30" xr3:uid="{B4539439-FD73-4764-94D4-3650A930A513}" name="budget_N+6" dataDxfId="79" dataCellStyle="Monétaire">
      <calculatedColumnFormula>IF($A2,$J2*(IF(V2=regle!$B$11,regle!$B$23*IF(AO2=-2,1+regle!$B$35,1),
IF(V2=regle!$C$11,regle!$C$23,
IF(V2=regle!$D$11,regle!$D$23,
IF(V2=regle!$E$11,regle!$E$23,
IF(V2=regle!$F$11,regle!$F$23,
IF(V2=regle!$G$11,regle!$G$23,
IF(V2=regle!$H$11,regle!$H$23,
IF(V2=regle!$I$11,regle!$I$23,
IF(V2=regle!$J$11,regle!$J$23,
IF(V2=regle!$K$11,regle!$K$23,0))))))))))))</calculatedColumnFormula>
    </tableColumn>
    <tableColumn id="31" xr3:uid="{F96414F3-D8C1-4453-87AA-A46A7173DBDB}" name="budget_N+7" dataDxfId="78" dataCellStyle="Monétaire">
      <calculatedColumnFormula>IF($A2,$J2*(IF(W2=regle!$B$11,regle!$B$23*IF(AP2=-2,1+regle!$B$35,1),
IF(W2=regle!$C$11,regle!$C$23,
IF(W2=regle!$D$11,regle!$D$23,
IF(W2=regle!$E$11,regle!$E$23,
IF(W2=regle!$F$11,regle!$F$23,
IF(W2=regle!$G$11,regle!$G$23,
IF(W2=regle!$H$11,regle!$H$23,
IF(W2=regle!$I$11,regle!$I$23,
IF(W2=regle!$J$11,regle!$J$23,
IF(W2=regle!$K$11,regle!$K$23,0))))))))))))</calculatedColumnFormula>
    </tableColumn>
    <tableColumn id="32" xr3:uid="{0CF74CF6-F0C0-41E2-AB96-AAA28C861ED2}" name="budget_N+8" dataDxfId="77" dataCellStyle="Monétaire">
      <calculatedColumnFormula>IF($A2,$J2*(IF(X2=regle!$B$11,regle!$B$23*IF(AQ2=-2,1+regle!$B$35,1),
IF(X2=regle!$C$11,regle!$C$23,
IF(X2=regle!$D$11,regle!$D$23,
IF(X2=regle!$E$11,regle!$E$23,
IF(X2=regle!$F$11,regle!$F$23,
IF(X2=regle!$G$11,regle!$G$23,
IF(X2=regle!$H$11,regle!$H$23,
IF(X2=regle!$I$11,regle!$I$23,
IF(X2=regle!$J$11,regle!$J$23,
IF(X2=regle!$K$11,regle!$K$23,0))))))))))))</calculatedColumnFormula>
    </tableColumn>
    <tableColumn id="33" xr3:uid="{B6C17BF7-D43C-4663-8EB5-313E49AF3AC5}" name="budget_N+9" dataDxfId="76" dataCellStyle="Monétaire">
      <calculatedColumnFormula>IF($A2,$J2*(IF(Y2=regle!$B$11,regle!$B$23*IF(AR2=-2,1+regle!$B$35,1),
IF(Y2=regle!$C$11,regle!$C$23,
IF(Y2=regle!$D$11,regle!$D$23,
IF(Y2=regle!$E$11,regle!$E$23,
IF(Y2=regle!$F$11,regle!$F$23,
IF(Y2=regle!$G$11,regle!$G$23,
IF(Y2=regle!$H$11,regle!$H$23,
IF(Y2=regle!$I$11,regle!$I$23,
IF(Y2=regle!$J$11,regle!$J$23,
IF(Y2=regle!$K$11,regle!$K$23,0))))))))))))</calculatedColumnFormula>
    </tableColumn>
    <tableColumn id="34" xr3:uid="{085D1E94-C839-47B2-9F0D-03B1B2CE925D}" name="budget_N+10" dataDxfId="75" dataCellStyle="Monétaire">
      <calculatedColumnFormula>IF($A2,$J2*(IF(Z2=regle!$B$11,regle!$B$23*IF(AS2=-2,1+regle!$B$35,1),
IF(Z2=regle!$C$11,regle!$C$23,
IF(Z2=regle!$D$11,regle!$D$23,
IF(Z2=regle!$E$11,regle!$E$23,
IF(Z2=regle!$F$11,regle!$F$23,
IF(Z2=regle!$G$11,regle!$G$23,
IF(Z2=regle!$H$11,regle!$H$23,
IF(Z2=regle!$I$11,regle!$I$23,
IF(Z2=regle!$J$11,regle!$J$23,
IF(Z2=regle!$K$11,regle!$K$23,0))))))))))))</calculatedColumnFormula>
    </tableColumn>
    <tableColumn id="72" xr3:uid="{1F9AD8BF-E24C-4348-AF90-65DD4E5E6CAC}" name="N+1" dataDxfId="74" dataCellStyle="Monétaire">
      <calculatedColumnFormula>IF(OR(Q2=regle!$J$11,Q2=regle!$K$11),-2,IF(Q2=regle!$B$11,0,IF(AK$1=$AK$1,IF($O2,-1,regle!$B$2-$M2),IF(AJ2=-1,-1,AJ2+1))))</calculatedColumnFormula>
    </tableColumn>
    <tableColumn id="73" xr3:uid="{9829CE82-399D-4987-B6FB-76DE5462BC5B}" name="N+2" dataDxfId="73" dataCellStyle="Monétaire">
      <calculatedColumnFormula>IF(OR(R2=regle!$J$11,R2=regle!$K$11),-2,IF(R2=regle!$B$11,0,IF(AL$1=$AK$1,IF($O2,-1,regle!$B$2-$M2),IF(AK2=-1,-1,AK2+1))))</calculatedColumnFormula>
    </tableColumn>
    <tableColumn id="74" xr3:uid="{4FB9A152-5EA3-48E6-B615-BCF9FDD49026}" name="N+3" dataDxfId="72" dataCellStyle="Monétaire">
      <calculatedColumnFormula>IF(OR(S2=regle!$J$11,S2=regle!$K$11),-2,IF(S2=regle!$B$11,0,IF(AM$1=$AK$1,IF($O2,-1,regle!$B$2-$M2),IF(AL2=-1,-1,AL2+1))))</calculatedColumnFormula>
    </tableColumn>
    <tableColumn id="75" xr3:uid="{908E6BA3-7A08-4F41-B25D-8B1FB2C0C162}" name="N+4" dataDxfId="71" dataCellStyle="Monétaire">
      <calculatedColumnFormula>IF(OR(T2=regle!$J$11,T2=regle!$K$11),-2,IF(T2=regle!$B$11,0,IF(AN$1=$AK$1,IF($O2,-1,regle!$B$2-$M2),IF(AM2=-1,-1,AM2+1))))</calculatedColumnFormula>
    </tableColumn>
    <tableColumn id="76" xr3:uid="{0AA05DCA-0112-4CAC-BCD4-0C474EE2C7A0}" name="N+5" dataDxfId="70" dataCellStyle="Monétaire">
      <calculatedColumnFormula>IF(OR(U2=regle!$J$11,U2=regle!$K$11),-2,IF(U2=regle!$B$11,0,IF(AO$1=$AK$1,IF($O2,-1,regle!$B$2-$M2),IF(AN2=-1,-1,AN2+1))))</calculatedColumnFormula>
    </tableColumn>
    <tableColumn id="77" xr3:uid="{B7856748-5BCA-45A9-987D-EA9AF0EDF5AD}" name="N+6" dataDxfId="69" dataCellStyle="Monétaire">
      <calculatedColumnFormula>IF(OR(V2=regle!$J$11,V2=regle!$K$11),-2,IF(V2=regle!$B$11,0,IF(AP$1=$AK$1,IF($O2,-1,regle!$B$2-$M2),IF(AO2=-1,-1,AO2+1))))</calculatedColumnFormula>
    </tableColumn>
    <tableColumn id="78" xr3:uid="{64C467B9-3D4D-4B40-91A2-6AFBAC68C79B}" name="N+7" dataDxfId="68" dataCellStyle="Monétaire">
      <calculatedColumnFormula>IF(OR(W2=regle!$J$11,W2=regle!$K$11),-2,IF(W2=regle!$B$11,0,IF(AQ$1=$AK$1,IF($O2,-1,regle!$B$2-$M2),IF(AP2=-1,-1,AP2+1))))</calculatedColumnFormula>
    </tableColumn>
    <tableColumn id="79" xr3:uid="{3B970758-C6D2-4C65-8F61-F27F3D4A8D8D}" name="N+8" dataDxfId="67" dataCellStyle="Monétaire">
      <calculatedColumnFormula>IF(OR(X2=regle!$J$11,X2=regle!$K$11),-2,IF(X2=regle!$B$11,0,IF(AR$1=$AK$1,IF($O2,-1,regle!$B$2-$M2),IF(AQ2=-1,-1,AQ2+1))))</calculatedColumnFormula>
    </tableColumn>
    <tableColumn id="80" xr3:uid="{B3E62871-3E87-4FED-8AEF-FC42B9FF4387}" name="N+9" dataDxfId="66" dataCellStyle="Monétaire">
      <calculatedColumnFormula>IF(OR(Y2=regle!$J$11,Y2=regle!$K$11),-2,IF(Y2=regle!$B$11,0,IF(AS$1=$AK$1,IF($O2,-1,regle!$B$2-$M2),IF(AR2=-1,-1,AR2+1))))</calculatedColumnFormula>
    </tableColumn>
    <tableColumn id="81" xr3:uid="{F7364951-10D4-4BA2-9421-C1633141594C}" name="N+10" dataDxfId="65" dataCellStyle="Monétaire">
      <calculatedColumnFormula>IF(OR(Z2=regle!$J$11,Z2=regle!$K$11),-2,IF(Z2=regle!$B$11,0,IF(AT$1=$AK$1,IF($O2,-1,regle!$B$2-$M2),IF(AS2=-1,-1,AS2+1))))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8AA1E1B-34F1-43C1-BA49-0D67B2EF72B0}" name="modif1" displayName="modif1" ref="A1:AT443" totalsRowShown="0">
  <autoFilter ref="A1:AT443" xr:uid="{D8AA1E1B-34F1-43C1-BA49-0D67B2EF72B0}"/>
  <sortState xmlns:xlrd2="http://schemas.microsoft.com/office/spreadsheetml/2017/richdata2" ref="A2:AT443">
    <sortCondition descending="1" ref="A1"/>
    <sortCondition descending="1" ref="O1"/>
    <sortCondition descending="1" ref="M1"/>
    <sortCondition descending="1" ref="J1"/>
  </sortState>
  <tableColumns count="46">
    <tableColumn id="1" xr3:uid="{70C6E915-D07C-45D1-9F4D-C0775F9A845B}" name="prndr" dataDxfId="64">
      <calculatedColumnFormula>modif0!A2</calculatedColumnFormula>
    </tableColumn>
    <tableColumn id="22" xr3:uid="{BA620650-E835-4B8C-9C01-146DB77975BC}" name="ordr" dataDxfId="63">
      <calculatedColumnFormula>ROW(modif0!B2)</calculatedColumnFormula>
    </tableColumn>
    <tableColumn id="2" xr3:uid="{A435527E-4F82-4258-9A8F-5C6953BAF2F8}" name="cd_cmmn" dataDxfId="62">
      <calculatedColumnFormula>modif0!D2</calculatedColumnFormula>
    </tableColumn>
    <tableColumn id="3" xr3:uid="{BE0F447F-83E3-417B-9042-1FAA6F663286}" name="nm_cmmn">
      <calculatedColumnFormula>modif0!E2</calculatedColumnFormula>
    </tableColumn>
    <tableColumn id="4" xr3:uid="{39AB9E45-140B-44B4-A8EB-4F18975DC97F}" name="cd_ldt" dataDxfId="61">
      <calculatedColumnFormula>modif0!F2</calculatedColumnFormula>
    </tableColumn>
    <tableColumn id="5" xr3:uid="{0AB82625-C64C-49E4-92DD-3F55DEC2CB95}" name="l_dt">
      <calculatedColumnFormula>modif0!G2</calculatedColumnFormula>
    </tableColumn>
    <tableColumn id="6" xr3:uid="{7868E817-54B7-426E-BC1F-9A5DF24691F0}" name="sctn" dataDxfId="60">
      <calculatedColumnFormula>modif0!I2</calculatedColumnFormula>
    </tableColumn>
    <tableColumn id="7" xr3:uid="{E429E449-4972-46FD-8C9C-B4BA9552C8F4}" name="nmr">
      <calculatedColumnFormula>modif0!J2</calculatedColumnFormula>
    </tableColumn>
    <tableColumn id="8" xr3:uid="{3992E244-675D-4A15-A35A-B01DA5B85AE3}" name="lttr">
      <calculatedColumnFormula>modif0!K2</calculatedColumnFormula>
    </tableColumn>
    <tableColumn id="9" xr3:uid="{6E50867C-833D-47C0-AF6B-6FE0321D0178}" name="srfcH" dataDxfId="59">
      <calculatedColumnFormula>modif0!M2</calculatedColumnFormula>
    </tableColumn>
    <tableColumn id="53" xr3:uid="{AED29BFE-8A9C-4BF9-B557-D55A6D2D981B}" name="tp" dataDxfId="58">
      <calculatedColumnFormula>modif0!P2</calculatedColumnFormula>
    </tableColumn>
    <tableColumn id="10" xr3:uid="{D65A42CB-79E7-4E97-961C-5880252B887E}" name="essnc">
      <calculatedColumnFormula>modif0!N2</calculatedColumnFormula>
    </tableColumn>
    <tableColumn id="20" xr3:uid="{A938D482-7091-47FC-8DF5-D94A72AF1D32}" name="anns" dataDxfId="57">
      <calculatedColumnFormula>modif0!Q2</calculatedColumnFormula>
    </tableColumn>
    <tableColumn id="11" xr3:uid="{EE971041-CDF7-43E7-B95F-ABB0BE213E6F}" name="ntr" dataDxfId="56">
      <calculatedColumnFormula>modif0!R2</calculatedColumnFormula>
    </tableColumn>
    <tableColumn id="37" xr3:uid="{86679D22-143C-4120-AB94-A8BAEB3E2780}" name="CRsi" dataDxfId="55">
      <calculatedColumnFormula>modif0!S2</calculatedColumnFormula>
    </tableColumn>
    <tableColumn id="35" xr3:uid="{84BBB7C2-30B9-48CF-8C97-7EFDC0AD02F5}" name="PLage"/>
    <tableColumn id="12" xr3:uid="{E4C6F92D-6386-4C8C-A430-72C9439F5F6B}" name="inter_N+1" dataDxfId="54"/>
    <tableColumn id="13" xr3:uid="{09E950AF-06E8-4047-857A-01A00E73086F}" name="inter_N+2" dataDxfId="53"/>
    <tableColumn id="14" xr3:uid="{4C2B260E-CBF1-417B-8A72-A6256E413BEC}" name="inter_N+3" dataDxfId="52"/>
    <tableColumn id="15" xr3:uid="{DC42D269-717E-45F4-852A-B85CDDFC3F26}" name="inter_N+4"/>
    <tableColumn id="16" xr3:uid="{1CA90D67-A2E5-4614-9F43-36B21D724C7E}" name="inter_N+5"/>
    <tableColumn id="17" xr3:uid="{FD4E8744-073A-46B7-9486-70A1E10DC6E4}" name="inter_N+6"/>
    <tableColumn id="18" xr3:uid="{D683CAAE-A4B8-4D37-BF32-4762240A194E}" name="inter_N+7"/>
    <tableColumn id="19" xr3:uid="{2DEA9E3F-D258-49D0-9CCE-096CF94C0FD5}" name="inter_N+8"/>
    <tableColumn id="21" xr3:uid="{67C2DADD-7438-4C09-BFF8-9DA6EC794A49}" name="inter_N+9"/>
    <tableColumn id="23" xr3:uid="{A7C5226E-8CF6-41F0-8C2D-6E04762C424F}" name="inter_N+10"/>
    <tableColumn id="25" xr3:uid="{07D708DF-32A9-4A90-8058-E71DEC28E63B}" name="budget_N+1" dataDxfId="1" dataCellStyle="Monétaire">
      <calculatedColumnFormula>IF($A2,$J2*(IF(Q2=regle!$B$11,regle!$B$23*IF(AJ2=-2,1+regle!$B$35,1),
IF(Q2=regle!$C$11,regle!$C$23,
IF(Q2=regle!$D$11,regle!$D$23,
IF(Q2=regle!$E$11,regle!$E$23,
IF(Q2=regle!$F$11,regle!$F$23,
IF(Q2=regle!$G$11,regle!$G$23,
IF(Q2=regle!$H$11,regle!$H$23,
IF(Q2=regle!$I$11,regle!$I$23,
IF(Q2=regle!$J$11,regle!$J$23,
IF(Q2=regle!$K$11,regle!$K$23,0))))))))))))</calculatedColumnFormula>
    </tableColumn>
    <tableColumn id="26" xr3:uid="{A325833E-CFEF-4242-883B-681EA604DDD6}" name="budget_N+2" dataDxfId="3" dataCellStyle="Monétaire">
      <calculatedColumnFormula>IF($A2,$J2*(IF(R2=regle!$B$11,regle!$B$23*IF(AK2=-2,1+regle!$B$35,1),
IF(R2=regle!$C$11,regle!$C$23,
IF(R2=regle!$D$11,regle!$D$23,
IF(R2=regle!$E$11,regle!$E$23,
IF(R2=regle!$F$11,regle!$F$23,
IF(R2=regle!$G$11,regle!$G$23,
IF(R2=regle!$H$11,regle!$H$23,
IF(R2=regle!$I$11,regle!$I$23,
IF(R2=regle!$J$11,regle!$J$23,
IF(R2=regle!$K$11,regle!$K$23,0))))))))))))</calculatedColumnFormula>
    </tableColumn>
    <tableColumn id="27" xr3:uid="{579C2F6A-EDB7-4E60-8D50-03BF0D7468E0}" name="budget_N+3" dataDxfId="51" dataCellStyle="Monétaire">
      <calculatedColumnFormula>IF($A2,$J2*(IF(S2=regle!$B$11,regle!$B$23*IF(AL2=-2,1+regle!$B$35,1),
IF(S2=regle!$C$11,regle!$C$23,
IF(S2=regle!$D$11,regle!$D$23,
IF(S2=regle!$E$11,regle!$E$23,
IF(S2=regle!$F$11,regle!$F$23,
IF(S2=regle!$G$11,regle!$G$23,
IF(S2=regle!$H$11,regle!$H$23,
IF(S2=regle!$I$11,regle!$I$23,
IF(S2=regle!$J$11,regle!$J$23,
IF(S2=regle!$K$11,regle!$K$23,0))))))))))))</calculatedColumnFormula>
    </tableColumn>
    <tableColumn id="28" xr3:uid="{DB48E7E6-7F1C-4588-803A-9B5EBE5E3CA9}" name="budget_N+4" dataDxfId="50" dataCellStyle="Monétaire">
      <calculatedColumnFormula>IF($A2,$J2*(IF(T2=regle!$B$11,regle!$B$23*IF(AM2=-2,1+regle!$B$35,1),
IF(T2=regle!$C$11,regle!$C$23,
IF(T2=regle!$D$11,regle!$D$23,
IF(T2=regle!$E$11,regle!$E$23,
IF(T2=regle!$F$11,regle!$F$23,
IF(T2=regle!$G$11,regle!$G$23,
IF(T2=regle!$H$11,regle!$H$23,
IF(T2=regle!$I$11,regle!$I$23,
IF(T2=regle!$J$11,regle!$J$23,
IF(T2=regle!$K$11,regle!$K$23,0))))))))))))</calculatedColumnFormula>
    </tableColumn>
    <tableColumn id="29" xr3:uid="{DD21FA31-D5C1-4852-B18F-469D1971AA83}" name="budget_N+5" dataDxfId="49" dataCellStyle="Monétaire">
      <calculatedColumnFormula>IF($A2,$J2*(IF(U2=regle!$B$11,regle!$B$23*IF(AN2=-2,1+regle!$B$35,1),
IF(U2=regle!$C$11,regle!$C$23,
IF(U2=regle!$D$11,regle!$D$23,
IF(U2=regle!$E$11,regle!$E$23,
IF(U2=regle!$F$11,regle!$F$23,
IF(U2=regle!$G$11,regle!$G$23,
IF(U2=regle!$H$11,regle!$H$23,
IF(U2=regle!$I$11,regle!$I$23,
IF(U2=regle!$J$11,regle!$J$23,
IF(U2=regle!$K$11,regle!$K$23,0))))))))))))</calculatedColumnFormula>
    </tableColumn>
    <tableColumn id="30" xr3:uid="{E451D710-D9A5-4F7C-966E-A490BE517725}" name="budget_N+6" dataDxfId="48" dataCellStyle="Monétaire">
      <calculatedColumnFormula>IF($A2,$J2*(IF(V2=regle!$B$11,regle!$B$23*IF(AO2=-2,1+regle!$B$35,1),
IF(V2=regle!$C$11,regle!$C$23,
IF(V2=regle!$D$11,regle!$D$23,
IF(V2=regle!$E$11,regle!$E$23,
IF(V2=regle!$F$11,regle!$F$23,
IF(V2=regle!$G$11,regle!$G$23,
IF(V2=regle!$H$11,regle!$H$23,
IF(V2=regle!$I$11,regle!$I$23,
IF(V2=regle!$J$11,regle!$J$23,
IF(V2=regle!$K$11,regle!$K$23,0))))))))))))</calculatedColumnFormula>
    </tableColumn>
    <tableColumn id="31" xr3:uid="{FFAF9AD5-4E8D-445A-81CB-3DC731FC34A4}" name="budget_N+7" dataDxfId="47" dataCellStyle="Monétaire">
      <calculatedColumnFormula>IF($A2,$J2*(IF(W2=regle!$B$11,regle!$B$23*IF(AP2=-2,1+regle!$B$35,1),
IF(W2=regle!$C$11,regle!$C$23,
IF(W2=regle!$D$11,regle!$D$23,
IF(W2=regle!$E$11,regle!$E$23,
IF(W2=regle!$F$11,regle!$F$23,
IF(W2=regle!$G$11,regle!$G$23,
IF(W2=regle!$H$11,regle!$H$23,
IF(W2=regle!$I$11,regle!$I$23,
IF(W2=regle!$J$11,regle!$J$23,
IF(W2=regle!$K$11,regle!$K$23,0))))))))))))</calculatedColumnFormula>
    </tableColumn>
    <tableColumn id="32" xr3:uid="{38FB2E5B-A447-477A-AFB9-4004D93CC8DE}" name="budget_N+8" dataDxfId="46" dataCellStyle="Monétaire">
      <calculatedColumnFormula>IF($A2,$J2*(IF(X2=regle!$B$11,regle!$B$23*IF(AQ2=-2,1+regle!$B$35,1),
IF(X2=regle!$C$11,regle!$C$23,
IF(X2=regle!$D$11,regle!$D$23,
IF(X2=regle!$E$11,regle!$E$23,
IF(X2=regle!$F$11,regle!$F$23,
IF(X2=regle!$G$11,regle!$G$23,
IF(X2=regle!$H$11,regle!$H$23,
IF(X2=regle!$I$11,regle!$I$23,
IF(X2=regle!$J$11,regle!$J$23,
IF(X2=regle!$K$11,regle!$K$23,0))))))))))))</calculatedColumnFormula>
    </tableColumn>
    <tableColumn id="33" xr3:uid="{E981286B-F278-4DFC-B639-0D5EBF4303EA}" name="budget_N+9" dataCellStyle="Monétaire">
      <calculatedColumnFormula>IF($A2,$J2*(IF(Y2=regle!$B$11,regle!$B$23*IF(AR2=-2,1+regle!$B$35,1),
IF(Y2=regle!$C$11,regle!$C$23,
IF(Y2=regle!$D$11,regle!$D$23,
IF(Y2=regle!$E$11,regle!$E$23,
IF(Y2=regle!$F$11,regle!$F$23,
IF(Y2=regle!$G$11,regle!$G$23,
IF(Y2=regle!$H$11,regle!$H$23,
IF(Y2=regle!$I$11,regle!$I$23,
IF(Y2=regle!$J$11,regle!$J$23,
IF(Y2=regle!$K$11,regle!$K$23,0))))))))))))</calculatedColumnFormula>
    </tableColumn>
    <tableColumn id="34" xr3:uid="{532730A9-87D2-4ECC-84FE-8616238CE42F}" name="budget_N+10" dataCellStyle="Monétaire">
      <calculatedColumnFormula>IF($A2,$J2*(IF(Z2=regle!$B$11,regle!$B$23*IF(AS2=-2,1+regle!$B$35,1),
IF(Z2=regle!$C$11,regle!$C$23,
IF(Z2=regle!$D$11,regle!$D$23,
IF(Z2=regle!$E$11,regle!$E$23,
IF(Z2=regle!$F$11,regle!$F$23,
IF(Z2=regle!$G$11,regle!$G$23,
IF(Z2=regle!$H$11,regle!$H$23,
IF(Z2=regle!$I$11,regle!$I$23,
IF(Z2=regle!$J$11,regle!$J$23,
IF(Z2=regle!$K$11,regle!$K$23,0))))))))))))</calculatedColumnFormula>
    </tableColumn>
    <tableColumn id="72" xr3:uid="{44F227FE-B15A-45E4-B3CC-7A61F66F421F}" name="N+1" dataDxfId="45" dataCellStyle="Monétaire">
      <calculatedColumnFormula>IF(OR(Q2=regle!$J$11,Q2=regle!$K$11),-2,IF(Q2=regle!$B$11,0,IF(AK$1=$AK$1,IF($O2,-1,regle!$B$2-$M2),IF(AJ2=-1,-1,AJ2+1))))</calculatedColumnFormula>
    </tableColumn>
    <tableColumn id="73" xr3:uid="{71F8ABC6-2651-4302-9CA8-E320311F54F4}" name="N+2" dataDxfId="44" dataCellStyle="Monétaire">
      <calculatedColumnFormula>IF(OR(R2=regle!$J$11,R2=regle!$K$11),-2,IF(R2=regle!$B$11,0,IF(AL$1=$AK$1,IF($O2,-1,regle!$B$2-$M2),IF(AK2=-1,-1,AK2+1))))</calculatedColumnFormula>
    </tableColumn>
    <tableColumn id="74" xr3:uid="{6A792905-0F6A-464A-949D-1069692E3B55}" name="N+3" dataDxfId="43" dataCellStyle="Monétaire">
      <calculatedColumnFormula>IF(OR(S2=regle!$J$11,S2=regle!$K$11),-2,IF(S2=regle!$B$11,0,IF(AM$1=$AK$1,IF($O2,-1,regle!$B$2-$M2),IF(AL2=-1,-1,AL2+1))))</calculatedColumnFormula>
    </tableColumn>
    <tableColumn id="75" xr3:uid="{C6D6AAAB-2A8A-4B09-AD84-DA1D7746C8BA}" name="N+4" dataDxfId="42" dataCellStyle="Monétaire">
      <calculatedColumnFormula>IF(OR(T2=regle!$J$11,T2=regle!$K$11),-2,IF(T2=regle!$B$11,0,IF(AN$1=$AK$1,IF($O2,-1,regle!$B$2-$M2),IF(AM2=-1,-1,AM2+1))))</calculatedColumnFormula>
    </tableColumn>
    <tableColumn id="76" xr3:uid="{F7EE58BF-EFB5-4582-A0A6-704A55F7657C}" name="N+5" dataDxfId="41" dataCellStyle="Monétaire">
      <calculatedColumnFormula>IF(OR(U2=regle!$J$11,U2=regle!$K$11),-2,IF(U2=regle!$B$11,0,IF(AO$1=$AK$1,IF($O2,-1,regle!$B$2-$M2),IF(AN2=-1,-1,AN2+1))))</calculatedColumnFormula>
    </tableColumn>
    <tableColumn id="77" xr3:uid="{875C711B-1708-44C6-94B4-4B7C0840B7C9}" name="N+6" dataDxfId="40" dataCellStyle="Monétaire">
      <calculatedColumnFormula>IF(OR(V2=regle!$J$11,V2=regle!$K$11),-2,IF(V2=regle!$B$11,0,IF(AP$1=$AK$1,IF($O2,-1,regle!$B$2-$M2),IF(AO2=-1,-1,AO2+1))))</calculatedColumnFormula>
    </tableColumn>
    <tableColumn id="78" xr3:uid="{63D0CAE6-153A-46F8-AB0F-6F0919876086}" name="N+7" dataDxfId="39" dataCellStyle="Monétaire">
      <calculatedColumnFormula>IF(OR(W2=regle!$J$11,W2=regle!$K$11),-2,IF(W2=regle!$B$11,0,IF(AQ$1=$AK$1,IF($O2,-1,regle!$B$2-$M2),IF(AP2=-1,-1,AP2+1))))</calculatedColumnFormula>
    </tableColumn>
    <tableColumn id="79" xr3:uid="{A3A9986F-39DD-48C9-9A35-2B68F1BC04AA}" name="N+8" dataDxfId="38" dataCellStyle="Monétaire">
      <calculatedColumnFormula>IF(OR(X2=regle!$J$11,X2=regle!$K$11),-2,IF(X2=regle!$B$11,0,IF(AR$1=$AK$1,IF($O2,-1,regle!$B$2-$M2),IF(AQ2=-1,-1,AQ2+1))))</calculatedColumnFormula>
    </tableColumn>
    <tableColumn id="80" xr3:uid="{D0A5D611-B48E-4D04-99D9-9016085DFC0C}" name="N+9" dataDxfId="37" dataCellStyle="Monétaire">
      <calculatedColumnFormula>IF(OR(Y2=regle!$J$11,Y2=regle!$K$11),-2,IF(Y2=regle!$B$11,0,IF(AS$1=$AK$1,IF($O2,-1,regle!$B$2-$M2),IF(AR2=-1,-1,AR2+1))))</calculatedColumnFormula>
    </tableColumn>
    <tableColumn id="81" xr3:uid="{EC4A32D7-D2B7-466B-A25E-0E0B538E1F6F}" name="N+10" dataDxfId="36" dataCellStyle="Monétaire">
      <calculatedColumnFormula>IF(OR(Z2=regle!$J$11,Z2=regle!$K$11),-2,IF(Z2=regle!$B$11,0,IF(AT$1=$AK$1,IF($O2,-1,regle!$B$2-$M2),IF(AS2=-1,-1,AS2+1))))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01EDE6-C75C-4C2B-8063-09ABC094EBE2}" name="modif0" displayName="modif0" ref="A1:AX443" totalsRowShown="0">
  <autoFilter ref="A1:AX443" xr:uid="{DB01EDE6-C75C-4C2B-8063-09ABC094EBE2}"/>
  <sortState xmlns:xlrd2="http://schemas.microsoft.com/office/spreadsheetml/2017/richdata2" ref="A2:AX443">
    <sortCondition descending="1" ref="A1"/>
    <sortCondition ref="B1"/>
  </sortState>
  <tableColumns count="50">
    <tableColumn id="1" xr3:uid="{A60C7CC3-9D37-4033-9F66-0AC864486C82}" name="prndr" dataDxfId="35">
      <calculatedColumnFormula>AND(modif0[[#This Row],[cdstr]]&lt;&gt;0,OR(regle!$H$27=FALSE,modif0[[#This Row],[essnc]]="PM"))</calculatedColumnFormula>
    </tableColumn>
    <tableColumn id="44" xr3:uid="{08B4E826-AF7A-49E7-A196-0393395249E7}" name="ordr" dataDxfId="34">
      <calculatedColumnFormula>ROW(objet!A2)</calculatedColumnFormula>
    </tableColumn>
    <tableColumn id="3" xr3:uid="{C8B45CB1-5778-49DF-A0F5-D5AE11B30CAB}" name="cdstr" dataDxfId="33">
      <calculatedColumnFormula>objet!D2</calculatedColumnFormula>
    </tableColumn>
    <tableColumn id="4" xr3:uid="{FFAAAF91-6C84-46D3-9F6F-F387F3FB981C}" name="cd_cmmn" dataDxfId="32">
      <calculatedColumnFormula>LEFT(modif0[[#This Row],[cdstr]],3)</calculatedColumnFormula>
    </tableColumn>
    <tableColumn id="2" xr3:uid="{5B59F79D-92D5-4086-A208-916DDC25B565}" name="nm_cmmn" dataDxfId="31">
      <calculatedColumnFormula>objet!G2</calculatedColumnFormula>
    </tableColumn>
    <tableColumn id="7" xr3:uid="{0F804ED0-B2C5-4A35-AEDE-71542DF32705}" name="cd_ldt" dataDxfId="30">
      <calculatedColumnFormula>LEN(modif0[[#This Row],[l_dt]])</calculatedColumnFormula>
    </tableColumn>
    <tableColumn id="6" xr3:uid="{504EC416-04A0-46E0-91DF-2A062F246963}" name="l_dt" dataDxfId="29">
      <calculatedColumnFormula>objet!H2</calculatedColumnFormula>
    </tableColumn>
    <tableColumn id="8" xr3:uid="{A05BD6AB-61E9-4C65-A163-90F21E7831BC}" name="idntfn" dataDxfId="28">
      <calculatedColumnFormula>objet!C2</calculatedColumnFormula>
    </tableColumn>
    <tableColumn id="9" xr3:uid="{3B42C939-E2F2-46E2-AD1B-63CF6E016199}" name="sctn" dataDxfId="27">
      <calculatedColumnFormula>IF(ISNUMBER(VALUE(RIGHT(LEFT(modif0[[#This Row],[idntfn]],2),1))),_xlfn.CONCAT(0,LEFT(modif0[[#This Row],[idntfn]],1)),LEFT(modif0[[#This Row],[idntfn]],2))</calculatedColumnFormula>
    </tableColumn>
    <tableColumn id="10" xr3:uid="{6E03184F-B9CC-436A-96DA-89807AF3C2A5}" name="nmr" dataDxfId="26">
      <calculatedColumnFormula>VALUE(LEFT(RIGHT(modif0[[#This Row],[idntfn]],LEN(modif0[[#This Row],[idntfn]])-IF(LEFT(modif0[[#This Row],[sctn]],1)="0",1,2)),LEN(modif0[[#This Row],[idntfn]])-IF(LEFT(modif0[[#This Row],[sctn]],1)="0",1,2)-LEN(modif0[[#This Row],[lttr]])))</calculatedColumnFormula>
    </tableColumn>
    <tableColumn id="11" xr3:uid="{59835CE6-AC3B-4635-8A9A-807DED3766D0}" name="lttr" dataDxfId="25">
      <calculatedColumnFormula>IF(ISNUMBER(VALUE(RIGHT(modif0[[#This Row],[idntfn]],1))),"",IF(ISNUMBER(VALUE(LEFT(RIGHT(modif0[[#This Row],[idntfn]],2),1))),RIGHT(modif0[[#This Row],[idntfn]],1),RIGHT(modif0[[#This Row],[idntfn]],2)))</calculatedColumnFormula>
    </tableColumn>
    <tableColumn id="12" xr3:uid="{7B764A77-6FA6-4549-831C-8300FD95F2FE}" name="srfc" dataDxfId="24">
      <calculatedColumnFormula>objet!I2</calculatedColumnFormula>
    </tableColumn>
    <tableColumn id="19" xr3:uid="{81553D0A-BDDD-4259-B514-2D73B2363F0C}" name="srfcH" dataDxfId="23">
      <calculatedColumnFormula>modif0[[#This Row],[srfc]]/10000</calculatedColumnFormula>
    </tableColumn>
    <tableColumn id="17" xr3:uid="{4E6B95C2-5DB1-40A0-ADB2-99331723610C}" name="essnc" dataDxfId="22">
      <calculatedColumnFormula>objet!Z2</calculatedColumnFormula>
    </tableColumn>
    <tableColumn id="13" xr3:uid="{0D3E9943-A452-4A2A-855D-BA62EE34753F}" name="trvx" dataDxfId="21">
      <calculatedColumnFormula>objet!AA2</calculatedColumnFormula>
    </tableColumn>
    <tableColumn id="14" xr3:uid="{D782A565-528A-43BD-B047-13E0C9D9D1D4}" name="tp" dataDxfId="20">
      <calculatedColumnFormula>IF(ISNUMBER(modif0[[#This Row],[trvx]]),"",LEFT(modif0[[#This Row],[trvx]],LEN(modif0[[#This Row],[trvx]])-4))</calculatedColumnFormula>
    </tableColumn>
    <tableColumn id="15" xr3:uid="{2745989D-4568-4565-B2DC-91FAD7F5E194}" name="anns" dataDxfId="19">
      <calculatedColumnFormula>VALUE(RIGHT(modif0[[#This Row],[trvx]],4))</calculatedColumnFormula>
    </tableColumn>
    <tableColumn id="32" xr3:uid="{CDACB5E1-A81E-42B6-8D62-1C475CB069F8}" name="ntr" dataDxfId="18">
      <calculatedColumnFormula>_xlfn.CONCAT(modif0[[#This Row],[tp]],"-",modif0[[#This Row],[essnc]],"_",modif0[[#This Row],[anns]])</calculatedColumnFormula>
    </tableColumn>
    <tableColumn id="42" xr3:uid="{278B8992-DF72-4665-AEF6-6A66B36C8221}" name="CRsi" dataDxfId="17">
      <calculatedColumnFormula>modif0[[#This Row],[tp]]="CR"</calculatedColumnFormula>
    </tableColumn>
    <tableColumn id="5" xr3:uid="{04F76848-0E95-4D40-8E7E-7D498C02DE0F}" name="PLage"/>
    <tableColumn id="16" xr3:uid="{590C6192-DCAB-456B-9838-C55ADB77503C}" name="inter_N+1" dataDxfId="16">
      <calculatedColumnFormula>IF(NOT($A2),"",
IF(AO2=-2,regle!$J$11,
IF(AO2=regle!$B$12,regle!$B$11,
IF(AO2=regle!$C$12,regle!$C$11,
IF(AO2=regle!$D$12,regle!$D$11,
IF(AO2=regle!$E$12,regle!$E$11,
IF(AO2=regle!$F$12,regle!$F$11,
IF(AO2=regle!$G$12,regle!$G$11,
IF(AO2=regle!$H$12,regle!$H$11,
IF(AO2=regle!$I$12,regle!$I$11,""))))))))))</calculatedColumnFormula>
    </tableColumn>
    <tableColumn id="18" xr3:uid="{EA992AA5-9991-4E51-ADE3-6174DCFFC8DD}" name="inter_N+2">
      <calculatedColumnFormula>IF(NOT($A2),"",
IF(AP2=-2,regle!$J$11,
IF(AP2=regle!$B$12,regle!$B$11,
IF(AP2=regle!$C$12,regle!$C$11,
IF(AP2=regle!$D$12,regle!$D$11,
IF(AP2=regle!$E$12,regle!$E$11,
IF(AP2=regle!$F$12,regle!$F$11,
IF(AP2=regle!$G$12,regle!$G$11,
IF(AP2=regle!$H$12,regle!$H$11,
IF(AP2=regle!$I$12,regle!$I$11,""))))))))))</calculatedColumnFormula>
    </tableColumn>
    <tableColumn id="20" xr3:uid="{5C517691-A3A1-4D8C-BD25-D9FDA17863DA}" name="inter_N+3">
      <calculatedColumnFormula>IF(NOT($A2),"",
IF(AQ2=-2,regle!$J$11,
IF(AQ2=regle!$B$12,regle!$B$11,
IF(AQ2=regle!$C$12,regle!$C$11,
IF(AQ2=regle!$D$12,regle!$D$11,
IF(AQ2=regle!$E$12,regle!$E$11,
IF(AQ2=regle!$F$12,regle!$F$11,
IF(AQ2=regle!$G$12,regle!$G$11,
IF(AQ2=regle!$H$12,regle!$H$11,
IF(AQ2=regle!$I$12,regle!$I$11,""))))))))))</calculatedColumnFormula>
    </tableColumn>
    <tableColumn id="21" xr3:uid="{73C596E4-81D8-4C8F-A6AE-5EE1EB7AE0CD}" name="inter_N+4">
      <calculatedColumnFormula>IF(NOT($A2),"",
IF(AR2=-2,regle!$J$11,
IF(AR2=regle!$B$12,regle!$B$11,
IF(AR2=regle!$C$12,regle!$C$11,
IF(AR2=regle!$D$12,regle!$D$11,
IF(AR2=regle!$E$12,regle!$E$11,
IF(AR2=regle!$F$12,regle!$F$11,
IF(AR2=regle!$G$12,regle!$G$11,
IF(AR2=regle!$H$12,regle!$H$11,
IF(AR2=regle!$I$12,regle!$I$11,""))))))))))</calculatedColumnFormula>
    </tableColumn>
    <tableColumn id="22" xr3:uid="{C6FD04A9-CE92-4B36-B7CC-DC84B235277A}" name="inter_N+5">
      <calculatedColumnFormula>IF(NOT($A2),"",
IF(AS2=-2,regle!$J$11,
IF(AS2=regle!$B$12,regle!$B$11,
IF(AS2=regle!$C$12,regle!$C$11,
IF(AS2=regle!$D$12,regle!$D$11,
IF(AS2=regle!$E$12,regle!$E$11,
IF(AS2=regle!$F$12,regle!$F$11,
IF(AS2=regle!$G$12,regle!$G$11,
IF(AS2=regle!$H$12,regle!$H$11,
IF(AS2=regle!$I$12,regle!$I$11,""))))))))))</calculatedColumnFormula>
    </tableColumn>
    <tableColumn id="23" xr3:uid="{82A4ED40-62D5-48B8-84C3-2D5E4D6A3719}" name="inter_N+6">
      <calculatedColumnFormula>IF(NOT($A2),"",
IF(AT2=-2,regle!$J$11,
IF(AT2=regle!$B$12,regle!$B$11,
IF(AT2=regle!$C$12,regle!$C$11,
IF(AT2=regle!$D$12,regle!$D$11,
IF(AT2=regle!$E$12,regle!$E$11,
IF(AT2=regle!$F$12,regle!$F$11,
IF(AT2=regle!$G$12,regle!$G$11,
IF(AT2=regle!$H$12,regle!$H$11,
IF(AT2=regle!$I$12,regle!$I$11,""))))))))))</calculatedColumnFormula>
    </tableColumn>
    <tableColumn id="24" xr3:uid="{B9C468F1-4AF7-4E9E-8C77-48C2FFA9FC62}" name="inter_N+7">
      <calculatedColumnFormula>IF(NOT($A2),"",
IF(AU2=-2,regle!$J$11,
IF(AU2=regle!$B$12,regle!$B$11,
IF(AU2=regle!$C$12,regle!$C$11,
IF(AU2=regle!$D$12,regle!$D$11,
IF(AU2=regle!$E$12,regle!$E$11,
IF(AU2=regle!$F$12,regle!$F$11,
IF(AU2=regle!$G$12,regle!$G$11,
IF(AU2=regle!$H$12,regle!$H$11,
IF(AU2=regle!$I$12,regle!$I$11,""))))))))))</calculatedColumnFormula>
    </tableColumn>
    <tableColumn id="25" xr3:uid="{0C2CBAB4-D877-4C5E-8208-6F9267A77198}" name="inter_N+8">
      <calculatedColumnFormula>IF(NOT($A2),"",
IF(AV2=-2,regle!$J$11,
IF(AV2=regle!$B$12,regle!$B$11,
IF(AV2=regle!$C$12,regle!$C$11,
IF(AV2=regle!$D$12,regle!$D$11,
IF(AV2=regle!$E$12,regle!$E$11,
IF(AV2=regle!$F$12,regle!$F$11,
IF(AV2=regle!$G$12,regle!$G$11,
IF(AV2=regle!$H$12,regle!$H$11,
IF(AV2=regle!$I$12,regle!$I$11,""))))))))))</calculatedColumnFormula>
    </tableColumn>
    <tableColumn id="26" xr3:uid="{A37C6E63-3607-44F3-9691-430539E86B22}" name="inter_N+9">
      <calculatedColumnFormula>IF(NOT($A2),"",
IF(AW2=-2,regle!$J$11,
IF(AW2=regle!$B$12,regle!$B$11,
IF(AW2=regle!$C$12,regle!$C$11,
IF(AW2=regle!$D$12,regle!$D$11,
IF(AW2=regle!$E$12,regle!$E$11,
IF(AW2=regle!$F$12,regle!$F$11,
IF(AW2=regle!$G$12,regle!$G$11,
IF(AW2=regle!$H$12,regle!$H$11,
IF(AW2=regle!$I$12,regle!$I$11,""))))))))))</calculatedColumnFormula>
    </tableColumn>
    <tableColumn id="27" xr3:uid="{8BC1C98C-05FF-4D85-BB38-76D2231BF7DB}" name="inter_N+10">
      <calculatedColumnFormula>IF(NOT($A2),"",
IF(AX2=-2,regle!$J$11,
IF(AX2=regle!$B$12,regle!$B$11,
IF(AX2=regle!$C$12,regle!$C$11,
IF(AX2=regle!$D$12,regle!$D$11,
IF(AX2=regle!$E$12,regle!$E$11,
IF(AX2=regle!$F$12,regle!$F$11,
IF(AX2=regle!$G$12,regle!$G$11,
IF(AX2=regle!$H$12,regle!$H$11,
IF(AX2=regle!$I$12,regle!$I$11,""))))))))))</calculatedColumnFormula>
    </tableColumn>
    <tableColumn id="28" xr3:uid="{D998A4E0-AE19-43EA-B54E-DF84DFED4957}" name="budget_N+1" dataDxfId="15">
      <calculatedColumnFormula>IF($A2,$M2*(IF(U2=regle!$B$11,regle!$B$23,IF(U2=regle!$C$11,regle!$C$23,IF(U2=regle!$D$11,regle!$D$23,IF(U2=regle!$E$11,regle!$E$23,IF(U2=regle!$F$11,regle!$F$23,IF(U2=regle!$G$11,regle!$G$23,IF(U2=regle!$H$11,regle!$H$23,IF(U2=regle!$I$11,regle!$I$23,IF(U2=regle!$J$11,regle!$J$23,0)))))))))))</calculatedColumnFormula>
    </tableColumn>
    <tableColumn id="29" xr3:uid="{3D36D350-8C15-415E-B567-915848EBC5B2}" name="budget_N+2" dataDxfId="14">
      <calculatedColumnFormula>IF($A2,$M2*(IF(V2=regle!$B$11,regle!$B$23,IF(V2=regle!$C$11,regle!$C$23,IF(V2=regle!$D$11,regle!$D$23,IF(V2=regle!$E$11,regle!$E$23,IF(V2=regle!$F$11,regle!$F$23,IF(V2=regle!$G$11,regle!$G$23,IF(V2=regle!$H$11,regle!$H$23,IF(V2=regle!$I$11,regle!$I$23,IF(V2=regle!$J$11,regle!$J$23,0)))))))))))</calculatedColumnFormula>
    </tableColumn>
    <tableColumn id="30" xr3:uid="{FB7BDBCB-2F68-4330-A030-FE58B03F7C6B}" name="budget_N+3" dataDxfId="13">
      <calculatedColumnFormula>IF($A2,$M2*(IF(W2=regle!$B$11,regle!$B$23,IF(W2=regle!$C$11,regle!$C$23,IF(W2=regle!$D$11,regle!$D$23,IF(W2=regle!$E$11,regle!$E$23,IF(W2=regle!$F$11,regle!$F$23,IF(W2=regle!$G$11,regle!$G$23,IF(W2=regle!$H$11,regle!$H$23,IF(W2=regle!$I$11,regle!$I$23,IF(W2=regle!$J$11,regle!$J$23,0)))))))))))</calculatedColumnFormula>
    </tableColumn>
    <tableColumn id="31" xr3:uid="{000B0642-E4E4-47FF-9A2C-5BF9CC1F2A87}" name="budget_N+4" dataDxfId="12">
      <calculatedColumnFormula>IF($A2,$M2*(IF(X2=regle!$B$11,regle!$B$23,IF(X2=regle!$C$11,regle!$C$23,IF(X2=regle!$D$11,regle!$D$23,IF(X2=regle!$E$11,regle!$E$23,IF(X2=regle!$F$11,regle!$F$23,IF(X2=regle!$G$11,regle!$G$23,IF(X2=regle!$H$11,regle!$H$23,IF(X2=regle!$I$11,regle!$I$23,IF(X2=regle!$J$11,regle!$J$23,0)))))))))))</calculatedColumnFormula>
    </tableColumn>
    <tableColumn id="33" xr3:uid="{BE8E3948-9AF4-4B05-AA3D-4DAA0A39C350}" name="budget_N+5" dataDxfId="11">
      <calculatedColumnFormula>IF($A2,$M2*(IF(Y2=regle!$B$11,regle!$B$23,IF(Y2=regle!$C$11,regle!$C$23,IF(Y2=regle!$D$11,regle!$D$23,IF(Y2=regle!$E$11,regle!$E$23,IF(Y2=regle!$F$11,regle!$F$23,IF(Y2=regle!$G$11,regle!$G$23,IF(Y2=regle!$H$11,regle!$H$23,IF(Y2=regle!$I$11,regle!$I$23,IF(Y2=regle!$J$11,regle!$J$23,0)))))))))))</calculatedColumnFormula>
    </tableColumn>
    <tableColumn id="34" xr3:uid="{2DEC43EF-DABF-4C44-82A1-B3774D1AB132}" name="budget_N+6" dataDxfId="10">
      <calculatedColumnFormula>IF($A2,$M2*(IF(Z2=regle!$B$11,regle!$B$23,IF(Z2=regle!$C$11,regle!$C$23,IF(Z2=regle!$D$11,regle!$D$23,IF(Z2=regle!$E$11,regle!$E$23,IF(Z2=regle!$F$11,regle!$F$23,IF(Z2=regle!$G$11,regle!$G$23,IF(Z2=regle!$H$11,regle!$H$23,IF(Z2=regle!$I$11,regle!$I$23,IF(Z2=regle!$J$11,regle!$J$23,0)))))))))))</calculatedColumnFormula>
    </tableColumn>
    <tableColumn id="35" xr3:uid="{B761C8F2-7842-4F3F-9E8F-712099729D89}" name="budget_N+7" dataDxfId="9">
      <calculatedColumnFormula>IF($A2,$M2*(IF(AA2=regle!$B$11,regle!$B$23,IF(AA2=regle!$C$11,regle!$C$23,IF(AA2=regle!$D$11,regle!$D$23,IF(AA2=regle!$E$11,regle!$E$23,IF(AA2=regle!$F$11,regle!$F$23,IF(AA2=regle!$G$11,regle!$G$23,IF(AA2=regle!$H$11,regle!$H$23,IF(AA2=regle!$I$11,regle!$I$23,IF(AA2=regle!$J$11,regle!$J$23,0)))))))))))</calculatedColumnFormula>
    </tableColumn>
    <tableColumn id="36" xr3:uid="{AFD7FCAC-CAE6-4682-9CEB-C00D3092A3BB}" name="budget_N+8" dataDxfId="8">
      <calculatedColumnFormula>IF($A2,$M2*(IF(AB2=regle!$B$11,regle!$B$23,IF(AB2=regle!$C$11,regle!$C$23,IF(AB2=regle!$D$11,regle!$D$23,IF(AB2=regle!$E$11,regle!$E$23,IF(AB2=regle!$F$11,regle!$F$23,IF(AB2=regle!$G$11,regle!$G$23,IF(AB2=regle!$H$11,regle!$H$23,IF(AB2=regle!$I$11,regle!$I$23,IF(AB2=regle!$J$11,regle!$J$23,0)))))))))))</calculatedColumnFormula>
    </tableColumn>
    <tableColumn id="37" xr3:uid="{74F456A4-FCFC-439C-924E-F2A1BA9EA311}" name="budget_N+9" dataDxfId="7">
      <calculatedColumnFormula>IF($A2,$M2*(IF(AC2=regle!$B$11,regle!$B$23,IF(AC2=regle!$C$11,regle!$C$23,IF(AC2=regle!$D$11,regle!$D$23,IF(AC2=regle!$E$11,regle!$E$23,IF(AC2=regle!$F$11,regle!$F$23,IF(AC2=regle!$G$11,regle!$G$23,IF(AC2=regle!$H$11,regle!$H$23,IF(AC2=regle!$I$11,regle!$I$23,IF(AC2=regle!$J$11,regle!$J$23,0)))))))))))</calculatedColumnFormula>
    </tableColumn>
    <tableColumn id="38" xr3:uid="{F4E05812-1960-41A4-90EB-B0EBDADD7A0C}" name="budget_N+10" dataDxfId="6">
      <calculatedColumnFormula>IF($A2,$M2*(IF(AD2=regle!$B$11,regle!$B$23,IF(AD2=regle!$C$11,regle!$C$23,IF(AD2=regle!$D$11,regle!$D$23,IF(AD2=regle!$E$11,regle!$E$23,IF(AD2=regle!$F$11,regle!$F$23,IF(AD2=regle!$G$11,regle!$G$23,IF(AD2=regle!$H$11,regle!$H$23,IF(AD2=regle!$I$11,regle!$I$23,IF(AD2=regle!$J$11,regle!$J$23,0)))))))))))</calculatedColumnFormula>
    </tableColumn>
    <tableColumn id="39" xr3:uid="{0348E1CD-1414-4968-8185-23D3CDC29421}" name="N+1" dataDxfId="5">
      <calculatedColumnFormula>IF(AO$1=$AO$1,IF(regle!B$2-$Q2&gt;=regle!$J$12,-2,IF($S2,IF(regle!$B$2-$Q2&gt;=2,0,-1),regle!B$2-$Q2)),IF(AN2+1&gt;=regle!$J$12,-2,AN2+1))</calculatedColumnFormula>
    </tableColumn>
    <tableColumn id="40" xr3:uid="{CFF9A1B2-F916-4F31-8C6F-A6DCB7A1F055}" name="N+2" dataDxfId="4">
      <calculatedColumnFormula>IF(AP$1=$AO$1,IF(regle!C$2-$Q2&gt;=regle!$J$12,-2,IF($S2,IF(regle!$B$2-$Q2&gt;=2,0,-1),regle!C$2-$Q2)),IF(AO2+1&gt;=regle!$J$12,-2,AO2+1))</calculatedColumnFormula>
    </tableColumn>
    <tableColumn id="41" xr3:uid="{4D2D782D-358B-405E-A908-0A1E5F3BC1F0}" name="N+3">
      <calculatedColumnFormula>IF(AQ$1=$AO$1,IF(regle!D$2-$Q2&gt;=regle!$J$12,-2,IF($S2,IF(regle!$B$2-$Q2&gt;=2,0,-1),regle!D$2-$Q2)),IF(AP2+1&gt;=regle!$J$12,-2,AP2+1))</calculatedColumnFormula>
    </tableColumn>
    <tableColumn id="43" xr3:uid="{78638432-B0C9-4763-97B8-EB22BD10D8EE}" name="N+4">
      <calculatedColumnFormula>IF(AR$1=$AO$1,IF(regle!E$2-$Q2&gt;=regle!$J$12,-2,IF($S2,IF(regle!$B$2-$Q2&gt;=2,0,-1),regle!E$2-$Q2)),IF(AQ2+1&gt;=regle!$J$12,-2,AQ2+1))</calculatedColumnFormula>
    </tableColumn>
    <tableColumn id="45" xr3:uid="{D4C72307-BF0E-4A6D-B0CA-A903F233AC5A}" name="N+5">
      <calculatedColumnFormula>IF(AS$1=$AO$1,IF(regle!F$2-$Q2&gt;=regle!$J$12,-2,IF($S2,IF(regle!$B$2-$Q2&gt;=2,0,-1),regle!F$2-$Q2)),IF(AR2+1&gt;=regle!$J$12,-2,AR2+1))</calculatedColumnFormula>
    </tableColumn>
    <tableColumn id="46" xr3:uid="{EE9FCB7D-FDA9-4335-B4BC-23EB1ADC0C60}" name="N+6">
      <calculatedColumnFormula>IF(AT$1=$AO$1,IF(regle!G$2-$Q2&gt;=regle!$J$12,-2,IF($S2,IF(regle!$B$2-$Q2&gt;=2,0,-1),regle!G$2-$Q2)),IF(AS2+1&gt;=regle!$J$12,-2,AS2+1))</calculatedColumnFormula>
    </tableColumn>
    <tableColumn id="47" xr3:uid="{A6E30DB3-C9EC-4CE9-A2F6-CFEF53F80D53}" name="N+7">
      <calculatedColumnFormula>IF(AU$1=$AO$1,IF(regle!H$2-$Q2&gt;=regle!$J$12,-2,IF($S2,IF(regle!$B$2-$Q2&gt;=2,0,-1),regle!H$2-$Q2)),IF(AT2+1&gt;=regle!$J$12,-2,AT2+1))</calculatedColumnFormula>
    </tableColumn>
    <tableColumn id="48" xr3:uid="{D7DCC0F5-0CE9-4ED4-A526-8E94423DAF48}" name="N+8">
      <calculatedColumnFormula>IF(AV$1=$AO$1,IF(regle!I$2-$Q2&gt;=regle!$J$12,-2,IF($S2,IF(regle!$B$2-$Q2&gt;=2,0,-1),regle!I$2-$Q2)),IF(AU2+1&gt;=regle!$J$12,-2,AU2+1))</calculatedColumnFormula>
    </tableColumn>
    <tableColumn id="49" xr3:uid="{E546D819-9744-4165-954F-3B9C898C7219}" name="N+9">
      <calculatedColumnFormula>IF(AW$1=$AO$1,IF(regle!J$2-$Q2&gt;=regle!$J$12,-2,IF($S2,IF(regle!$B$2-$Q2&gt;=2,0,-1),regle!J$2-$Q2)),IF(AV2+1&gt;=regle!$J$12,-2,AV2+1))</calculatedColumnFormula>
    </tableColumn>
    <tableColumn id="50" xr3:uid="{C4F0CC05-D08F-4544-BA1F-C41E93C835E0}" name="N+10">
      <calculatedColumnFormula>IF(AX$1=$AO$1,IF(regle!K$2-$Q2&gt;=regle!$J$12,-2,IF($S2,IF(regle!$B$2-$Q2&gt;=2,0,-1),regle!K$2-$Q2)),IF(AW2+1&gt;=regle!$J$12,-2,AW2+1))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39172-19FE-48BD-B41E-34E65C28E330}">
  <sheetPr codeName="Feuil7"/>
  <dimension ref="A18:L102"/>
  <sheetViews>
    <sheetView topLeftCell="A79" workbookViewId="0">
      <selection activeCell="J85" sqref="J85"/>
    </sheetView>
  </sheetViews>
  <sheetFormatPr baseColWidth="10" defaultRowHeight="15" x14ac:dyDescent="0.25"/>
  <cols>
    <col min="1" max="1" width="15.140625" style="48" bestFit="1" customWidth="1"/>
    <col min="2" max="2" width="11.7109375" style="48" bestFit="1" customWidth="1"/>
    <col min="3" max="3" width="11.42578125" style="48" bestFit="1" customWidth="1"/>
    <col min="4" max="9" width="10.28515625" style="48" bestFit="1" customWidth="1"/>
    <col min="10" max="12" width="11.7109375" style="48" bestFit="1" customWidth="1"/>
  </cols>
  <sheetData>
    <row r="18" spans="1:11" ht="15.75" thickBot="1" x14ac:dyDescent="0.3"/>
    <row r="19" spans="1:11" ht="18.75" x14ac:dyDescent="0.25">
      <c r="A19" s="60" t="s">
        <v>1889</v>
      </c>
      <c r="B19" s="61">
        <f t="shared" ref="B19:K19" si="0">C43</f>
        <v>2024</v>
      </c>
      <c r="C19" s="61">
        <f t="shared" si="0"/>
        <v>2025</v>
      </c>
      <c r="D19" s="61">
        <f t="shared" si="0"/>
        <v>2026</v>
      </c>
      <c r="E19" s="61">
        <f t="shared" si="0"/>
        <v>2027</v>
      </c>
      <c r="F19" s="61">
        <f t="shared" si="0"/>
        <v>2028</v>
      </c>
      <c r="G19" s="61">
        <f t="shared" si="0"/>
        <v>2029</v>
      </c>
      <c r="H19" s="61">
        <f t="shared" si="0"/>
        <v>2030</v>
      </c>
      <c r="I19" s="61">
        <f t="shared" si="0"/>
        <v>2031</v>
      </c>
      <c r="J19" s="61">
        <f t="shared" si="0"/>
        <v>2032</v>
      </c>
      <c r="K19" s="61">
        <f t="shared" si="0"/>
        <v>2033</v>
      </c>
    </row>
    <row r="20" spans="1:11" ht="15.75" x14ac:dyDescent="0.25">
      <c r="A20" s="58" t="str">
        <f>A43</f>
        <v>BASE :</v>
      </c>
      <c r="B20" s="46">
        <f>SUM($C$45:C$45)</f>
        <v>-180553.88599999997</v>
      </c>
      <c r="C20" s="46">
        <f>SUM($C$45:D$45)</f>
        <v>-133594.68859999996</v>
      </c>
      <c r="D20" s="46">
        <f>SUM($C$45:E$45)</f>
        <v>-104078.20209999997</v>
      </c>
      <c r="E20" s="46">
        <f>SUM($C$45:F$45)</f>
        <v>136374.06030000004</v>
      </c>
      <c r="F20" s="46">
        <f>SUM($C$45:G$45)</f>
        <v>339574.08000000007</v>
      </c>
      <c r="G20" s="46">
        <f>SUM($C$45:H$45)</f>
        <v>342750.91180000006</v>
      </c>
      <c r="H20" s="46">
        <f>SUM($C$45:I$45)</f>
        <v>433276.30020000006</v>
      </c>
      <c r="I20" s="46">
        <f>SUM($C$45:J$45)</f>
        <v>498676.00290000002</v>
      </c>
      <c r="J20" s="46">
        <f>SUM($C$45:K$45)</f>
        <v>623417.61560000002</v>
      </c>
      <c r="K20" s="46">
        <f>SUM($C$45:L$45)</f>
        <v>820661.7620000001</v>
      </c>
    </row>
    <row r="21" spans="1:11" ht="15.75" x14ac:dyDescent="0.25">
      <c r="A21" s="58" t="str">
        <f>A70</f>
        <v>MAX :</v>
      </c>
      <c r="B21" s="46">
        <f>SUM($C$72:C$72)</f>
        <v>-72874.135600000009</v>
      </c>
      <c r="C21" s="46">
        <f>SUM($C$72:D$72)</f>
        <v>16604.763999999981</v>
      </c>
      <c r="D21" s="46">
        <f>SUM($C$72:E$72)</f>
        <v>56847.976499999961</v>
      </c>
      <c r="E21" s="46">
        <f>SUM($C$72:F$72)</f>
        <v>204880.52179999996</v>
      </c>
      <c r="F21" s="46">
        <f>SUM($C$72:G$72)</f>
        <v>301891.51269999996</v>
      </c>
      <c r="G21" s="46">
        <f>SUM($C$72:H$72)</f>
        <v>454107.77509999991</v>
      </c>
      <c r="H21" s="46">
        <f>SUM($C$72:I$72)</f>
        <v>583491.73309999995</v>
      </c>
      <c r="I21" s="46">
        <f>SUM($C$72:J$72)</f>
        <v>750076.64079999994</v>
      </c>
      <c r="J21" s="46">
        <f>SUM($C$72:K$72)</f>
        <v>982126.34269999992</v>
      </c>
      <c r="K21" s="46">
        <f>SUM($C$72:L$72)</f>
        <v>1047199.8636999999</v>
      </c>
    </row>
    <row r="22" spans="1:11" ht="15.75" x14ac:dyDescent="0.25">
      <c r="A22" s="58" t="str">
        <f>A96</f>
        <v>MODIF :</v>
      </c>
      <c r="B22" s="46">
        <f>SUM($C$98:C$98)</f>
        <v>20677.778000000006</v>
      </c>
      <c r="C22" s="46">
        <f>SUM($C$98:D$98)</f>
        <v>40881.541799999963</v>
      </c>
      <c r="D22" s="46">
        <f>SUM($C$98:E$98)</f>
        <v>58947.613899999953</v>
      </c>
      <c r="E22" s="46">
        <f>SUM($C$98:F$98)</f>
        <v>186858.88379999995</v>
      </c>
      <c r="F22" s="46">
        <f>SUM($C$98:G$98)</f>
        <v>295898.65679999994</v>
      </c>
      <c r="G22" s="46">
        <f>SUM($C$98:H$98)</f>
        <v>442728.13039999991</v>
      </c>
      <c r="H22" s="46">
        <f>SUM($C$98:I$98)</f>
        <v>595242.70539999986</v>
      </c>
      <c r="I22" s="46">
        <f>SUM($C$98:J$98)</f>
        <v>746336.79369999981</v>
      </c>
      <c r="J22" s="46">
        <f>SUM($C$98:K$98)</f>
        <v>896301.85199999984</v>
      </c>
      <c r="K22" s="46">
        <f>SUM($C$98:L$98)</f>
        <v>1049659.3631999998</v>
      </c>
    </row>
    <row r="42" spans="1:12" ht="15.75" thickBot="1" x14ac:dyDescent="0.3"/>
    <row r="43" spans="1:12" ht="18.75" x14ac:dyDescent="0.25">
      <c r="A43" s="60" t="s">
        <v>1814</v>
      </c>
      <c r="B43" s="62" t="s">
        <v>0</v>
      </c>
      <c r="C43" s="63">
        <f>regle!B2</f>
        <v>2024</v>
      </c>
      <c r="D43" s="63">
        <f>regle!C2</f>
        <v>2025</v>
      </c>
      <c r="E43" s="63">
        <f>regle!D2</f>
        <v>2026</v>
      </c>
      <c r="F43" s="63">
        <f>regle!E2</f>
        <v>2027</v>
      </c>
      <c r="G43" s="63">
        <f>regle!F2</f>
        <v>2028</v>
      </c>
      <c r="H43" s="63">
        <f>regle!G2</f>
        <v>2029</v>
      </c>
      <c r="I43" s="63">
        <f>regle!H2</f>
        <v>2030</v>
      </c>
      <c r="J43" s="63">
        <f>regle!I2</f>
        <v>2031</v>
      </c>
      <c r="K43" s="63">
        <f>regle!J2</f>
        <v>2032</v>
      </c>
      <c r="L43" s="63">
        <f>regle!K2</f>
        <v>2033</v>
      </c>
    </row>
    <row r="44" spans="1:12" ht="15.75" x14ac:dyDescent="0.25">
      <c r="A44" s="58" t="s">
        <v>1869</v>
      </c>
      <c r="B44" s="51">
        <f>$B45/10</f>
        <v>82066.176200000016</v>
      </c>
      <c r="C44" s="47">
        <f>C45-$B44</f>
        <v>-262620.06219999999</v>
      </c>
      <c r="D44" s="47">
        <f t="shared" ref="D44" si="1">D45-$B44</f>
        <v>-35106.978800000019</v>
      </c>
      <c r="E44" s="47">
        <f t="shared" ref="E44" si="2">E45-$B44</f>
        <v>-52549.689700000017</v>
      </c>
      <c r="F44" s="47">
        <f t="shared" ref="F44" si="3">F45-$B44</f>
        <v>158386.08619999999</v>
      </c>
      <c r="G44" s="47">
        <f t="shared" ref="G44" si="4">G45-$B44</f>
        <v>121133.84350000005</v>
      </c>
      <c r="H44" s="47">
        <f t="shared" ref="H44" si="5">H45-$B44</f>
        <v>-78889.344400000016</v>
      </c>
      <c r="I44" s="47">
        <f t="shared" ref="I44" si="6">I45-$B44</f>
        <v>8459.2121999999799</v>
      </c>
      <c r="J44" s="47">
        <f t="shared" ref="J44" si="7">J45-$B44</f>
        <v>-16666.473500000029</v>
      </c>
      <c r="K44" s="47">
        <f t="shared" ref="K44" si="8">K45-$B44</f>
        <v>42675.436500000011</v>
      </c>
      <c r="L44" s="47">
        <f t="shared" ref="L44" si="9">L45-$B44</f>
        <v>115177.97020000001</v>
      </c>
    </row>
    <row r="45" spans="1:12" ht="15.75" x14ac:dyDescent="0.25">
      <c r="A45" s="59" t="s">
        <v>1810</v>
      </c>
      <c r="B45" s="52">
        <f>SUM(C45:L45)</f>
        <v>820661.7620000001</v>
      </c>
      <c r="C45" s="52">
        <f>SUM(C46:C49)</f>
        <v>-180553.88599999997</v>
      </c>
      <c r="D45" s="52">
        <f t="shared" ref="D45:L45" si="10">SUM(D46:D49)</f>
        <v>46959.197399999997</v>
      </c>
      <c r="E45" s="52">
        <f t="shared" si="10"/>
        <v>29516.486499999995</v>
      </c>
      <c r="F45" s="52">
        <f t="shared" si="10"/>
        <v>240452.26240000001</v>
      </c>
      <c r="G45" s="52">
        <f t="shared" si="10"/>
        <v>203200.01970000006</v>
      </c>
      <c r="H45" s="52">
        <f t="shared" si="10"/>
        <v>3176.8317999999999</v>
      </c>
      <c r="I45" s="52">
        <f t="shared" si="10"/>
        <v>90525.388399999996</v>
      </c>
      <c r="J45" s="52">
        <f t="shared" si="10"/>
        <v>65399.702699999987</v>
      </c>
      <c r="K45" s="52">
        <f t="shared" si="10"/>
        <v>124741.61270000003</v>
      </c>
      <c r="L45" s="52">
        <f t="shared" si="10"/>
        <v>197244.14640000003</v>
      </c>
    </row>
    <row r="46" spans="1:12" ht="15.75" x14ac:dyDescent="0.25">
      <c r="A46" s="56" t="s">
        <v>1812</v>
      </c>
      <c r="B46" s="52">
        <f>SUM(C46:L46)</f>
        <v>-283782.01999999996</v>
      </c>
      <c r="C46" s="49">
        <f>PL!C3</f>
        <v>-241426.34999999998</v>
      </c>
      <c r="D46" s="49">
        <f>PL!D3</f>
        <v>0</v>
      </c>
      <c r="E46" s="49">
        <f>PL!E3</f>
        <v>-7006.5499999999993</v>
      </c>
      <c r="F46" s="49">
        <f>PL!F3</f>
        <v>0</v>
      </c>
      <c r="G46" s="49">
        <f>PL!G3</f>
        <v>0</v>
      </c>
      <c r="H46" s="49">
        <f>PL!H3</f>
        <v>-29600.57</v>
      </c>
      <c r="I46" s="49">
        <f>PL!I3</f>
        <v>-5603.37</v>
      </c>
      <c r="J46" s="49">
        <f>PL!J3</f>
        <v>0</v>
      </c>
      <c r="K46" s="49">
        <f>PL!K3</f>
        <v>-145.18</v>
      </c>
      <c r="L46" s="49">
        <f>PL!L3</f>
        <v>0</v>
      </c>
    </row>
    <row r="47" spans="1:12" ht="15.75" x14ac:dyDescent="0.25">
      <c r="A47" s="56" t="s">
        <v>1873</v>
      </c>
      <c r="B47" s="52">
        <f>SUM(C47:L47)</f>
        <v>-50822.081999999995</v>
      </c>
      <c r="C47" s="49">
        <f>ENT!C3</f>
        <v>-2576.7000000000003</v>
      </c>
      <c r="D47" s="49">
        <f>ENT!D3</f>
        <v>-4447.4970000000003</v>
      </c>
      <c r="E47" s="49">
        <f>ENT!E3</f>
        <v>-13003.951500000003</v>
      </c>
      <c r="F47" s="49">
        <f>ENT!F3</f>
        <v>-2576.7000000000003</v>
      </c>
      <c r="G47" s="49">
        <f>ENT!G3</f>
        <v>-655.24349999999993</v>
      </c>
      <c r="H47" s="49">
        <f>ENT!H3</f>
        <v>-12781.394999999995</v>
      </c>
      <c r="I47" s="49">
        <f>ENT!I3</f>
        <v>0</v>
      </c>
      <c r="J47" s="49">
        <f>ENT!J3</f>
        <v>-1751.9925000000001</v>
      </c>
      <c r="K47" s="49">
        <f>ENT!K3</f>
        <v>-13028.602499999995</v>
      </c>
      <c r="L47" s="49">
        <f>ENT!L3</f>
        <v>0</v>
      </c>
    </row>
    <row r="48" spans="1:12" ht="15.75" x14ac:dyDescent="0.25">
      <c r="A48" s="56" t="s">
        <v>1811</v>
      </c>
      <c r="B48" s="52">
        <f>SUM(C48:L48)</f>
        <v>219252.87999999998</v>
      </c>
      <c r="C48" s="49">
        <f>CR!C3</f>
        <v>36269.199999999997</v>
      </c>
      <c r="D48" s="49">
        <f>CR!D3</f>
        <v>0</v>
      </c>
      <c r="E48" s="49">
        <f>CR!E3</f>
        <v>0</v>
      </c>
      <c r="F48" s="49">
        <f>CR!F3</f>
        <v>153226.48000000001</v>
      </c>
      <c r="G48" s="49">
        <f>CR!G3</f>
        <v>29005.68</v>
      </c>
      <c r="H48" s="49">
        <f>CR!H3</f>
        <v>0</v>
      </c>
      <c r="I48" s="49">
        <f>CR!I3</f>
        <v>751.52</v>
      </c>
      <c r="J48" s="49">
        <f>CR!J3</f>
        <v>0</v>
      </c>
      <c r="K48" s="49">
        <f>CR!K3</f>
        <v>0</v>
      </c>
      <c r="L48" s="49">
        <f>CR!L3</f>
        <v>0</v>
      </c>
    </row>
    <row r="49" spans="1:12" ht="16.5" thickBot="1" x14ac:dyDescent="0.3">
      <c r="A49" s="57" t="s">
        <v>1813</v>
      </c>
      <c r="B49" s="52">
        <f>SUM(C49:L49)</f>
        <v>936012.98400000017</v>
      </c>
      <c r="C49" s="50">
        <f>EC!C3</f>
        <v>27179.964000000007</v>
      </c>
      <c r="D49" s="50">
        <f>EC!D3</f>
        <v>51406.6944</v>
      </c>
      <c r="E49" s="50">
        <f>EC!E3</f>
        <v>49526.987999999998</v>
      </c>
      <c r="F49" s="50">
        <f>EC!F3</f>
        <v>89802.482399999994</v>
      </c>
      <c r="G49" s="50">
        <f>EC!G3</f>
        <v>174849.58320000005</v>
      </c>
      <c r="H49" s="50">
        <f>EC!H3</f>
        <v>45558.796799999996</v>
      </c>
      <c r="I49" s="50">
        <f>EC!I3</f>
        <v>95377.238400000002</v>
      </c>
      <c r="J49" s="50">
        <f>EC!J3</f>
        <v>67151.695199999987</v>
      </c>
      <c r="K49" s="50">
        <f>EC!K3</f>
        <v>137915.39520000003</v>
      </c>
      <c r="L49" s="50">
        <f>EC!L3</f>
        <v>197244.14640000003</v>
      </c>
    </row>
    <row r="69" spans="1:12" ht="15.75" thickBot="1" x14ac:dyDescent="0.3"/>
    <row r="70" spans="1:12" ht="18.75" x14ac:dyDescent="0.25">
      <c r="A70" s="64" t="s">
        <v>1875</v>
      </c>
      <c r="B70" s="65" t="s">
        <v>0</v>
      </c>
      <c r="C70" s="66">
        <f t="shared" ref="C70:L70" si="11">C43</f>
        <v>2024</v>
      </c>
      <c r="D70" s="66">
        <f t="shared" si="11"/>
        <v>2025</v>
      </c>
      <c r="E70" s="66">
        <f t="shared" si="11"/>
        <v>2026</v>
      </c>
      <c r="F70" s="66">
        <f t="shared" si="11"/>
        <v>2027</v>
      </c>
      <c r="G70" s="66">
        <f t="shared" si="11"/>
        <v>2028</v>
      </c>
      <c r="H70" s="66">
        <f t="shared" si="11"/>
        <v>2029</v>
      </c>
      <c r="I70" s="66">
        <f t="shared" si="11"/>
        <v>2030</v>
      </c>
      <c r="J70" s="66">
        <f t="shared" si="11"/>
        <v>2031</v>
      </c>
      <c r="K70" s="66">
        <f t="shared" si="11"/>
        <v>2032</v>
      </c>
      <c r="L70" s="66">
        <f t="shared" si="11"/>
        <v>2033</v>
      </c>
    </row>
    <row r="71" spans="1:12" ht="15.75" x14ac:dyDescent="0.25">
      <c r="A71" s="54" t="s">
        <v>1869</v>
      </c>
      <c r="B71" s="53">
        <f>$B72/10</f>
        <v>104719.98636999998</v>
      </c>
      <c r="C71" s="47">
        <f>C72-$B71</f>
        <v>-177594.12196999998</v>
      </c>
      <c r="D71" s="47">
        <f t="shared" ref="D71" si="12">D72-$B71</f>
        <v>-15241.086769999994</v>
      </c>
      <c r="E71" s="47">
        <f t="shared" ref="E71" si="13">E72-$B71</f>
        <v>-64476.773870000005</v>
      </c>
      <c r="F71" s="47">
        <f t="shared" ref="F71" si="14">F72-$B71</f>
        <v>43312.558930000014</v>
      </c>
      <c r="G71" s="47">
        <f t="shared" ref="G71" si="15">G72-$B71</f>
        <v>-7708.9954699999798</v>
      </c>
      <c r="H71" s="47">
        <f t="shared" ref="H71" si="16">H72-$B71</f>
        <v>47496.276029999965</v>
      </c>
      <c r="I71" s="47">
        <f t="shared" ref="I71" si="17">I72-$B71</f>
        <v>24663.971630000015</v>
      </c>
      <c r="J71" s="47">
        <f t="shared" ref="J71" si="18">J72-$B71</f>
        <v>61864.921330000027</v>
      </c>
      <c r="K71" s="47">
        <f t="shared" ref="K71" si="19">K72-$B71</f>
        <v>127329.71552999997</v>
      </c>
      <c r="L71" s="47">
        <f t="shared" ref="L71" si="20">L72-$B71</f>
        <v>-39646.465369999976</v>
      </c>
    </row>
    <row r="72" spans="1:12" ht="15.75" x14ac:dyDescent="0.25">
      <c r="A72" s="55" t="s">
        <v>1810</v>
      </c>
      <c r="B72" s="52">
        <f>SUM(C72:L72)</f>
        <v>1047199.8636999999</v>
      </c>
      <c r="C72" s="52">
        <f>SUM(C73:C76)</f>
        <v>-72874.135600000009</v>
      </c>
      <c r="D72" s="52">
        <f t="shared" ref="D72:L72" si="21">SUM(D73:D76)</f>
        <v>89478.89959999999</v>
      </c>
      <c r="E72" s="52">
        <f t="shared" si="21"/>
        <v>40243.21249999998</v>
      </c>
      <c r="F72" s="52">
        <f t="shared" si="21"/>
        <v>148032.5453</v>
      </c>
      <c r="G72" s="52">
        <f t="shared" si="21"/>
        <v>97010.990900000004</v>
      </c>
      <c r="H72" s="52">
        <f t="shared" si="21"/>
        <v>152216.26239999995</v>
      </c>
      <c r="I72" s="52">
        <f t="shared" si="21"/>
        <v>129383.958</v>
      </c>
      <c r="J72" s="52">
        <f t="shared" si="21"/>
        <v>166584.90770000001</v>
      </c>
      <c r="K72" s="52">
        <f t="shared" si="21"/>
        <v>232049.70189999996</v>
      </c>
      <c r="L72" s="52">
        <f t="shared" si="21"/>
        <v>65073.521000000008</v>
      </c>
    </row>
    <row r="73" spans="1:12" ht="15.75" x14ac:dyDescent="0.25">
      <c r="A73" s="56" t="s">
        <v>1812</v>
      </c>
      <c r="B73" s="52">
        <f>SUM(C73:L73)</f>
        <v>-446573.57799999998</v>
      </c>
      <c r="C73" s="49">
        <f>PL!C4</f>
        <v>-241426.35</v>
      </c>
      <c r="D73" s="49">
        <f>PL!D4</f>
        <v>-25538.216</v>
      </c>
      <c r="E73" s="49">
        <f>PL!E4</f>
        <v>-21053.021000000004</v>
      </c>
      <c r="F73" s="49">
        <f>PL!F4</f>
        <v>0</v>
      </c>
      <c r="G73" s="49">
        <f>PL!G4</f>
        <v>0</v>
      </c>
      <c r="H73" s="49">
        <f>PL!H4</f>
        <v>-33398.760999999999</v>
      </c>
      <c r="I73" s="49">
        <f>PL!I4</f>
        <v>-32665.721000000001</v>
      </c>
      <c r="J73" s="49">
        <f>PL!J4</f>
        <v>-32584.002000000004</v>
      </c>
      <c r="K73" s="49">
        <f>PL!K4</f>
        <v>-31125.963000000003</v>
      </c>
      <c r="L73" s="49">
        <f>PL!L4</f>
        <v>-28781.543999999998</v>
      </c>
    </row>
    <row r="74" spans="1:12" ht="15.75" x14ac:dyDescent="0.25">
      <c r="A74" s="56" t="str">
        <f>A47</f>
        <v>Entretiein :</v>
      </c>
      <c r="B74" s="52">
        <f>SUM(C74:L74)</f>
        <v>-27038.533500000005</v>
      </c>
      <c r="C74" s="49">
        <f>ENT!C4</f>
        <v>-6961.5720000000001</v>
      </c>
      <c r="D74" s="49">
        <f>ENT!D4</f>
        <v>-2415.4140000000002</v>
      </c>
      <c r="E74" s="49">
        <f>ENT!E4</f>
        <v>-3910.8825000000015</v>
      </c>
      <c r="F74" s="49">
        <f>ENT!F4</f>
        <v>-843.94349999999997</v>
      </c>
      <c r="G74" s="49">
        <f>ENT!G4</f>
        <v>-2445.3914999999997</v>
      </c>
      <c r="H74" s="49">
        <f>ENT!H4</f>
        <v>-597.375</v>
      </c>
      <c r="I74" s="49">
        <f>ENT!I4</f>
        <v>-1088.3970000000002</v>
      </c>
      <c r="J74" s="49">
        <f>ENT!J4</f>
        <v>-2940.5415000000003</v>
      </c>
      <c r="K74" s="49">
        <f>ENT!K4</f>
        <v>-1907.4975000000004</v>
      </c>
      <c r="L74" s="49">
        <f>ENT!L4</f>
        <v>-3927.5190000000002</v>
      </c>
    </row>
    <row r="75" spans="1:12" ht="15.75" x14ac:dyDescent="0.25">
      <c r="A75" s="56" t="s">
        <v>1832</v>
      </c>
      <c r="B75" s="52">
        <f>SUM(C75:L75)</f>
        <v>801702.75999999989</v>
      </c>
      <c r="C75" s="49">
        <f>CR!C4</f>
        <v>120179.84000000001</v>
      </c>
      <c r="D75" s="49">
        <f>CR!D4</f>
        <v>99073.04</v>
      </c>
      <c r="E75" s="49">
        <f>CR!E4</f>
        <v>0</v>
      </c>
      <c r="F75" s="49">
        <f>CR!F4</f>
        <v>0</v>
      </c>
      <c r="G75" s="49">
        <f>CR!G4</f>
        <v>92873.56</v>
      </c>
      <c r="H75" s="49">
        <f>CR!H4</f>
        <v>90835.159999999974</v>
      </c>
      <c r="I75" s="49">
        <f>CR!I4</f>
        <v>128938.56</v>
      </c>
      <c r="J75" s="49">
        <f>CR!J4</f>
        <v>86553.48</v>
      </c>
      <c r="K75" s="49">
        <f>CR!K4</f>
        <v>91450.92</v>
      </c>
      <c r="L75" s="49">
        <f>CR!L4</f>
        <v>91798.2</v>
      </c>
    </row>
    <row r="76" spans="1:12" ht="16.5" thickBot="1" x14ac:dyDescent="0.3">
      <c r="A76" s="57" t="s">
        <v>1813</v>
      </c>
      <c r="B76" s="52">
        <f>SUM(C76:L76)</f>
        <v>719109.21519999986</v>
      </c>
      <c r="C76" s="50">
        <f>EC!C4</f>
        <v>55333.946400000001</v>
      </c>
      <c r="D76" s="50">
        <f>EC!D4</f>
        <v>18359.489600000001</v>
      </c>
      <c r="E76" s="50">
        <f>EC!E4</f>
        <v>65207.115999999987</v>
      </c>
      <c r="F76" s="50">
        <f>EC!F4</f>
        <v>148876.48879999999</v>
      </c>
      <c r="G76" s="50">
        <f>EC!G4</f>
        <v>6582.8223999999991</v>
      </c>
      <c r="H76" s="50">
        <f>EC!H4</f>
        <v>95377.238399999987</v>
      </c>
      <c r="I76" s="50">
        <f>EC!I4</f>
        <v>34199.516000000003</v>
      </c>
      <c r="J76" s="50">
        <f>EC!J4</f>
        <v>115555.97120000001</v>
      </c>
      <c r="K76" s="50">
        <f>EC!K4</f>
        <v>173632.24239999996</v>
      </c>
      <c r="L76" s="50">
        <f>EC!L4</f>
        <v>5984.3840000000018</v>
      </c>
    </row>
    <row r="95" spans="1:12" ht="15.75" thickBot="1" x14ac:dyDescent="0.3"/>
    <row r="96" spans="1:12" ht="18.75" x14ac:dyDescent="0.25">
      <c r="A96" s="64" t="s">
        <v>1876</v>
      </c>
      <c r="B96" s="65" t="s">
        <v>0</v>
      </c>
      <c r="C96" s="66">
        <f t="shared" ref="C96:L96" si="22">C70</f>
        <v>2024</v>
      </c>
      <c r="D96" s="66">
        <f t="shared" si="22"/>
        <v>2025</v>
      </c>
      <c r="E96" s="66">
        <f t="shared" si="22"/>
        <v>2026</v>
      </c>
      <c r="F96" s="66">
        <f t="shared" si="22"/>
        <v>2027</v>
      </c>
      <c r="G96" s="66">
        <f t="shared" si="22"/>
        <v>2028</v>
      </c>
      <c r="H96" s="66">
        <f t="shared" si="22"/>
        <v>2029</v>
      </c>
      <c r="I96" s="66">
        <f t="shared" si="22"/>
        <v>2030</v>
      </c>
      <c r="J96" s="66">
        <f t="shared" si="22"/>
        <v>2031</v>
      </c>
      <c r="K96" s="66">
        <f t="shared" si="22"/>
        <v>2032</v>
      </c>
      <c r="L96" s="66">
        <f t="shared" si="22"/>
        <v>2033</v>
      </c>
    </row>
    <row r="97" spans="1:12" ht="15.75" x14ac:dyDescent="0.25">
      <c r="A97" s="54" t="s">
        <v>1869</v>
      </c>
      <c r="B97" s="53">
        <f>$B98/10</f>
        <v>104965.93631999998</v>
      </c>
      <c r="C97" s="47">
        <f>C98-$B97</f>
        <v>-84288.158319999973</v>
      </c>
      <c r="D97" s="47">
        <f t="shared" ref="D97:L97" si="23">D98-$B97</f>
        <v>-84762.172520000022</v>
      </c>
      <c r="E97" s="47">
        <f t="shared" si="23"/>
        <v>-86899.864219999989</v>
      </c>
      <c r="F97" s="47">
        <f t="shared" si="23"/>
        <v>22945.33358000002</v>
      </c>
      <c r="G97" s="47">
        <f t="shared" si="23"/>
        <v>4073.8366800000076</v>
      </c>
      <c r="H97" s="47">
        <f t="shared" si="23"/>
        <v>41863.53727999999</v>
      </c>
      <c r="I97" s="47">
        <f t="shared" si="23"/>
        <v>47548.638680000033</v>
      </c>
      <c r="J97" s="47">
        <f t="shared" si="23"/>
        <v>46128.151980000024</v>
      </c>
      <c r="K97" s="47">
        <f t="shared" si="23"/>
        <v>44999.121980000025</v>
      </c>
      <c r="L97" s="47">
        <f t="shared" si="23"/>
        <v>48391.574880000029</v>
      </c>
    </row>
    <row r="98" spans="1:12" ht="15.75" x14ac:dyDescent="0.25">
      <c r="A98" s="55" t="s">
        <v>1810</v>
      </c>
      <c r="B98" s="52">
        <f>SUM(C98:L98)</f>
        <v>1049659.3631999998</v>
      </c>
      <c r="C98" s="52">
        <f>SUM(C99:C102)</f>
        <v>20677.778000000006</v>
      </c>
      <c r="D98" s="52">
        <f t="shared" ref="D98:L98" si="24">SUM(D99:D102)</f>
        <v>20203.763799999957</v>
      </c>
      <c r="E98" s="52">
        <f t="shared" si="24"/>
        <v>18066.07209999999</v>
      </c>
      <c r="F98" s="52">
        <f t="shared" si="24"/>
        <v>127911.2699</v>
      </c>
      <c r="G98" s="52">
        <f t="shared" si="24"/>
        <v>109039.77299999999</v>
      </c>
      <c r="H98" s="52">
        <f t="shared" si="24"/>
        <v>146829.47359999997</v>
      </c>
      <c r="I98" s="52">
        <f t="shared" si="24"/>
        <v>152514.57500000001</v>
      </c>
      <c r="J98" s="52">
        <f t="shared" si="24"/>
        <v>151094.0883</v>
      </c>
      <c r="K98" s="52">
        <f t="shared" si="24"/>
        <v>149965.0583</v>
      </c>
      <c r="L98" s="52">
        <f t="shared" si="24"/>
        <v>153357.51120000001</v>
      </c>
    </row>
    <row r="99" spans="1:12" ht="15.75" x14ac:dyDescent="0.25">
      <c r="A99" s="56" t="s">
        <v>1812</v>
      </c>
      <c r="B99" s="52">
        <f>SUM(C99:L99)</f>
        <v>-441162.35900000005</v>
      </c>
      <c r="C99" s="49">
        <f>PL!C5</f>
        <v>-60033.289999999994</v>
      </c>
      <c r="D99" s="49">
        <f>PL!D5</f>
        <v>-181393.06000000003</v>
      </c>
      <c r="E99" s="49">
        <f>PL!E5</f>
        <v>-44737.863000000005</v>
      </c>
      <c r="F99" s="49">
        <f>PL!F5</f>
        <v>0</v>
      </c>
      <c r="G99" s="49">
        <f>PL!G5</f>
        <v>-145.18</v>
      </c>
      <c r="H99" s="49">
        <f>PL!H5</f>
        <v>-33398.760999999999</v>
      </c>
      <c r="I99" s="49">
        <f>PL!I5</f>
        <v>-12535.545</v>
      </c>
      <c r="J99" s="49">
        <f>PL!J5</f>
        <v>-49463.336000000003</v>
      </c>
      <c r="K99" s="49">
        <f>PL!K5</f>
        <v>-25682.393000000004</v>
      </c>
      <c r="L99" s="49">
        <f>PL!L5</f>
        <v>-33772.931000000011</v>
      </c>
    </row>
    <row r="100" spans="1:12" ht="15.75" x14ac:dyDescent="0.25">
      <c r="A100" s="56" t="str">
        <f>A74</f>
        <v>Entretiein :</v>
      </c>
      <c r="B100" s="52">
        <f>SUM(C100:L100)</f>
        <v>-29990.252999999997</v>
      </c>
      <c r="C100" s="49">
        <f>ENT!C5</f>
        <v>-6961.5719999999983</v>
      </c>
      <c r="D100" s="49">
        <f>ENT!D5</f>
        <v>-62.625</v>
      </c>
      <c r="E100" s="49">
        <f>ENT!E5</f>
        <v>-5714.6624999999995</v>
      </c>
      <c r="F100" s="49">
        <f>ENT!F5</f>
        <v>-2019.7725</v>
      </c>
      <c r="G100" s="49">
        <f>ENT!G5</f>
        <v>-2936.799</v>
      </c>
      <c r="H100" s="49">
        <f>ENT!H5</f>
        <v>-1349.559</v>
      </c>
      <c r="I100" s="49">
        <f>ENT!I5</f>
        <v>-1600.116</v>
      </c>
      <c r="J100" s="49">
        <f>ENT!J5</f>
        <v>-3024.9164999999998</v>
      </c>
      <c r="K100" s="49">
        <f>ENT!K5</f>
        <v>-1852.3215</v>
      </c>
      <c r="L100" s="49">
        <f>ENT!L5</f>
        <v>-4467.9089999999997</v>
      </c>
    </row>
    <row r="101" spans="1:12" ht="15.75" x14ac:dyDescent="0.25">
      <c r="A101" s="56" t="s">
        <v>1832</v>
      </c>
      <c r="B101" s="52">
        <f>SUM(C101:L101)</f>
        <v>801702.75999999989</v>
      </c>
      <c r="C101" s="49">
        <f>CR!C5</f>
        <v>87672.639999999999</v>
      </c>
      <c r="D101" s="49">
        <f>CR!D5</f>
        <v>131580.24</v>
      </c>
      <c r="E101" s="49">
        <f>CR!E5</f>
        <v>0</v>
      </c>
      <c r="F101" s="49">
        <f>CR!F5</f>
        <v>0</v>
      </c>
      <c r="G101" s="49">
        <f>CR!G5</f>
        <v>92873.56</v>
      </c>
      <c r="H101" s="49">
        <f>CR!H5</f>
        <v>90835.159999999974</v>
      </c>
      <c r="I101" s="49">
        <f>CR!I5</f>
        <v>128938.56</v>
      </c>
      <c r="J101" s="49">
        <f>CR!J5</f>
        <v>86553.48</v>
      </c>
      <c r="K101" s="49">
        <f>CR!K5</f>
        <v>87977.84</v>
      </c>
      <c r="L101" s="49">
        <f>CR!L5</f>
        <v>95271.28</v>
      </c>
    </row>
    <row r="102" spans="1:12" ht="16.5" thickBot="1" x14ac:dyDescent="0.3">
      <c r="A102" s="57" t="s">
        <v>1813</v>
      </c>
      <c r="B102" s="52">
        <f>SUM(C102:L102)</f>
        <v>719109.21520000009</v>
      </c>
      <c r="C102" s="50">
        <f>EC!C5</f>
        <v>0</v>
      </c>
      <c r="D102" s="50">
        <f>EC!D5</f>
        <v>70079.208799999993</v>
      </c>
      <c r="E102" s="50">
        <f>EC!E5</f>
        <v>68518.597599999994</v>
      </c>
      <c r="F102" s="50">
        <f>EC!F5</f>
        <v>129931.04240000001</v>
      </c>
      <c r="G102" s="50">
        <f>EC!G5</f>
        <v>19248.192000000003</v>
      </c>
      <c r="H102" s="50">
        <f>EC!H5</f>
        <v>90742.633600000001</v>
      </c>
      <c r="I102" s="50">
        <f>EC!I5</f>
        <v>37711.675999999999</v>
      </c>
      <c r="J102" s="50">
        <f>EC!J5</f>
        <v>117028.86080000001</v>
      </c>
      <c r="K102" s="50">
        <f>EC!K5</f>
        <v>89521.93280000001</v>
      </c>
      <c r="L102" s="50">
        <f>EC!L5</f>
        <v>96327.071200000006</v>
      </c>
    </row>
  </sheetData>
  <conditionalFormatting sqref="A50:K72 A77:K98 A103:K1048576 A99:L102 A73:L76 A1:K44 A45:L49">
    <cfRule type="cellIs" dxfId="2" priority="1" operator="lessThan">
      <formula>0</formula>
    </cfRule>
  </conditionalFormatting>
  <pageMargins left="0.25" right="0.25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42CC5-D7AC-45EA-841E-A05B4B69A469}">
  <sheetPr codeName="Feuil8"/>
  <dimension ref="A1:L56"/>
  <sheetViews>
    <sheetView workbookViewId="0">
      <selection activeCell="C6" sqref="C6"/>
    </sheetView>
  </sheetViews>
  <sheetFormatPr baseColWidth="10" defaultColWidth="11.42578125" defaultRowHeight="12.75" x14ac:dyDescent="0.2"/>
  <cols>
    <col min="1" max="1" width="15.85546875" style="33" customWidth="1"/>
    <col min="2" max="2" width="12" style="33" bestFit="1" customWidth="1"/>
    <col min="3" max="4" width="12.42578125" style="33" bestFit="1" customWidth="1"/>
    <col min="5" max="5" width="11.28515625" style="33" bestFit="1" customWidth="1"/>
    <col min="6" max="6" width="8" style="33" bestFit="1" customWidth="1"/>
    <col min="7" max="7" width="10.5703125" style="33" bestFit="1" customWidth="1"/>
    <col min="8" max="12" width="11.28515625" style="33" bestFit="1" customWidth="1"/>
    <col min="13" max="13" width="10" style="33" customWidth="1"/>
    <col min="14" max="16384" width="11.42578125" style="33"/>
  </cols>
  <sheetData>
    <row r="1" spans="1:12" ht="18.75" x14ac:dyDescent="0.3">
      <c r="A1" s="39" t="s">
        <v>1891</v>
      </c>
    </row>
    <row r="2" spans="1:12" ht="15.75" x14ac:dyDescent="0.25">
      <c r="A2" s="30" t="s">
        <v>1816</v>
      </c>
      <c r="B2" s="31" t="s">
        <v>0</v>
      </c>
      <c r="C2" s="31">
        <f>regle!B2</f>
        <v>2024</v>
      </c>
      <c r="D2" s="31">
        <f>regle!C2</f>
        <v>2025</v>
      </c>
      <c r="E2" s="31">
        <f>regle!D2</f>
        <v>2026</v>
      </c>
      <c r="F2" s="31">
        <f>regle!E2</f>
        <v>2027</v>
      </c>
      <c r="G2" s="31">
        <f>regle!F2</f>
        <v>2028</v>
      </c>
      <c r="H2" s="31">
        <f>regle!G2</f>
        <v>2029</v>
      </c>
      <c r="I2" s="31">
        <f>regle!H2</f>
        <v>2030</v>
      </c>
      <c r="J2" s="31">
        <f>regle!I2</f>
        <v>2031</v>
      </c>
      <c r="K2" s="31">
        <f>regle!J2</f>
        <v>2032</v>
      </c>
      <c r="L2" s="31">
        <f>regle!K2</f>
        <v>2033</v>
      </c>
    </row>
    <row r="3" spans="1:12" ht="15.75" x14ac:dyDescent="0.25">
      <c r="A3" s="32" t="str">
        <f>Revenu!A43</f>
        <v>BASE :</v>
      </c>
      <c r="B3" s="28">
        <f t="shared" ref="B3:B11" si="0">SUM(C3:L3)</f>
        <v>-283782.01999999996</v>
      </c>
      <c r="C3" s="26">
        <f>SUMIFS(modif0[budget_N+1],modif0[inter_N+1],regle!$B$11)</f>
        <v>-241426.34999999998</v>
      </c>
      <c r="D3" s="26">
        <f>SUMIFS(modif0[budget_N+2],modif0[inter_N+2],regle!$B$11)</f>
        <v>0</v>
      </c>
      <c r="E3" s="26">
        <f>SUMIFS(modif0[budget_N+3],modif0[inter_N+3],regle!$B$11)</f>
        <v>-7006.5499999999993</v>
      </c>
      <c r="F3" s="26">
        <f>SUMIFS(modif0[budget_N+4],modif0[inter_N+4],regle!$B$11)</f>
        <v>0</v>
      </c>
      <c r="G3" s="26">
        <f>SUMIFS(modif0[budget_N+5],modif0[inter_N+5],regle!$B$11)</f>
        <v>0</v>
      </c>
      <c r="H3" s="26">
        <f>SUMIFS(modif0[budget_N+6],modif0[inter_N+6],regle!$B$11)</f>
        <v>-29600.57</v>
      </c>
      <c r="I3" s="26">
        <f>SUMIFS(modif0[budget_N+7],modif0[inter_N+7],regle!$B$11)</f>
        <v>-5603.37</v>
      </c>
      <c r="J3" s="26">
        <f>SUMIFS(modif0[budget_N+8],modif0[inter_N+8],regle!$B$11)</f>
        <v>0</v>
      </c>
      <c r="K3" s="26">
        <f>SUMIFS(modif0[budget_N+9],modif0[inter_N+9],regle!$B$11)</f>
        <v>-145.18</v>
      </c>
      <c r="L3" s="26">
        <f>SUMIFS(modif0[budget_N+10],modif0[inter_N+10],regle!$B$11)</f>
        <v>0</v>
      </c>
    </row>
    <row r="4" spans="1:12" ht="15.75" x14ac:dyDescent="0.25">
      <c r="A4" s="32" t="str">
        <f>Revenu!A70</f>
        <v>MAX :</v>
      </c>
      <c r="B4" s="28">
        <f t="shared" si="0"/>
        <v>-446573.57799999998</v>
      </c>
      <c r="C4" s="26">
        <f>SUMIFS(modif1[budget_N+1],modif1[inter_N+1],regle!$B$11)</f>
        <v>-241426.35</v>
      </c>
      <c r="D4" s="26">
        <f>SUMIFS(modif1[budget_N+2],modif1[inter_N+2],regle!$B$11)</f>
        <v>-25538.216</v>
      </c>
      <c r="E4" s="26">
        <f>SUMIFS(modif1[budget_N+3],modif1[inter_N+3],regle!$B$11)</f>
        <v>-21053.021000000004</v>
      </c>
      <c r="F4" s="26">
        <f>SUMIFS(modif1[budget_N+4],modif1[inter_N+4],regle!$B$11)</f>
        <v>0</v>
      </c>
      <c r="G4" s="26">
        <f>SUMIFS(modif1[budget_N+5],modif1[inter_N+5],regle!$B$11)</f>
        <v>0</v>
      </c>
      <c r="H4" s="26">
        <f>SUMIFS(modif1[budget_N+6],modif1[inter_N+6],regle!$B$11)</f>
        <v>-33398.760999999999</v>
      </c>
      <c r="I4" s="26">
        <f>SUMIFS(modif1[budget_N+7],modif1[inter_N+7],regle!$B$11)</f>
        <v>-32665.721000000001</v>
      </c>
      <c r="J4" s="26">
        <f>SUMIFS(modif1[budget_N+8],modif1[inter_N+8],regle!$B$11)</f>
        <v>-32584.002000000004</v>
      </c>
      <c r="K4" s="26">
        <f>SUMIFS(modif1[budget_N+9],modif1[inter_N+9],regle!$B$11)</f>
        <v>-31125.963000000003</v>
      </c>
      <c r="L4" s="26">
        <f>SUMIFS(modif1[budget_N+10],modif1[inter_N+10],regle!$B$11)</f>
        <v>-28781.543999999998</v>
      </c>
    </row>
    <row r="5" spans="1:12" ht="15.75" x14ac:dyDescent="0.25">
      <c r="A5" s="29" t="s">
        <v>1810</v>
      </c>
      <c r="B5" s="28">
        <f t="shared" si="0"/>
        <v>-441162.35900000005</v>
      </c>
      <c r="C5" s="25">
        <f t="shared" ref="C5" si="1">SUM(C6:C11)</f>
        <v>-60033.289999999994</v>
      </c>
      <c r="D5" s="25">
        <f t="shared" ref="D5:L5" si="2">SUM(D6:D11)</f>
        <v>-181393.06000000003</v>
      </c>
      <c r="E5" s="25">
        <f t="shared" si="2"/>
        <v>-44737.863000000005</v>
      </c>
      <c r="F5" s="25">
        <f t="shared" si="2"/>
        <v>0</v>
      </c>
      <c r="G5" s="25">
        <f t="shared" si="2"/>
        <v>-145.18</v>
      </c>
      <c r="H5" s="25">
        <f t="shared" si="2"/>
        <v>-33398.760999999999</v>
      </c>
      <c r="I5" s="25">
        <f t="shared" si="2"/>
        <v>-12535.545</v>
      </c>
      <c r="J5" s="25">
        <f t="shared" si="2"/>
        <v>-49463.336000000003</v>
      </c>
      <c r="K5" s="25">
        <f t="shared" si="2"/>
        <v>-25682.393000000004</v>
      </c>
      <c r="L5" s="25">
        <f t="shared" si="2"/>
        <v>-33772.931000000011</v>
      </c>
    </row>
    <row r="6" spans="1:12" ht="15.75" x14ac:dyDescent="0.25">
      <c r="A6" s="32" t="str">
        <f>regle!B39</f>
        <v>CABANAC-ET-VILLAGRAINS</v>
      </c>
      <c r="B6" s="28">
        <f t="shared" si="0"/>
        <v>-12318.625000000002</v>
      </c>
      <c r="C6" s="27">
        <f>SUMIFS(modif2[budget_N+1],modif2[[nm_cmmn]:[nm_cmmn]],$A6,modif2[inter_N+1],regle!$B$11)</f>
        <v>0</v>
      </c>
      <c r="D6" s="27">
        <f>SUMIFS(modif2[budget_N+2],modif2[[nm_cmmn]:[nm_cmmn]],$A6,modif2[inter_N+2],regle!$B$11)</f>
        <v>0</v>
      </c>
      <c r="E6" s="27">
        <f>SUMIFS(modif2[budget_N+3],modif2[[nm_cmmn]:[nm_cmmn]],$A6,modif2[inter_N+3],regle!$B$11)</f>
        <v>0</v>
      </c>
      <c r="F6" s="27">
        <f>SUMIFS(modif2[budget_N+4],modif2[[nm_cmmn]:[nm_cmmn]],$A6,modif2[inter_N+4],regle!$B$11)</f>
        <v>0</v>
      </c>
      <c r="G6" s="27">
        <f>SUMIFS(modif2[budget_N+5],modif2[[nm_cmmn]:[nm_cmmn]],$A6,modif2[inter_N+5],regle!$B$11)</f>
        <v>0</v>
      </c>
      <c r="H6" s="27">
        <f>SUMIFS(modif2[budget_N+6],modif2[[nm_cmmn]:[nm_cmmn]],$A6,modif2[inter_N+6],regle!$B$11)</f>
        <v>0</v>
      </c>
      <c r="I6" s="27">
        <f>SUMIFS(modif2[budget_N+7],modif2[[nm_cmmn]:[nm_cmmn]],$A6,modif2[inter_N+7],regle!$B$11)</f>
        <v>0</v>
      </c>
      <c r="J6" s="27">
        <f>SUMIFS(modif2[budget_N+8],modif2[[nm_cmmn]:[nm_cmmn]],$A6,modif2[inter_N+8],regle!$B$11)</f>
        <v>-10106.415000000001</v>
      </c>
      <c r="K6" s="27">
        <f>SUMIFS(modif2[budget_N+9],modif2[[nm_cmmn]:[nm_cmmn]],$A6,modif2[inter_N+9],regle!$B$11)</f>
        <v>0</v>
      </c>
      <c r="L6" s="27">
        <f>SUMIFS(modif2[budget_N+10],modif2[[nm_cmmn]:[nm_cmmn]],$A6,modif2[inter_N+10],regle!$B$11)</f>
        <v>-2212.2100000000005</v>
      </c>
    </row>
    <row r="7" spans="1:12" ht="15.75" x14ac:dyDescent="0.25">
      <c r="A7" s="32" t="str">
        <f>regle!B40</f>
        <v>MANO</v>
      </c>
      <c r="B7" s="28">
        <f t="shared" si="0"/>
        <v>-148270.31100000002</v>
      </c>
      <c r="C7" s="27">
        <f>SUMIFS(modif2[budget_N+1],modif2[[nm_cmmn]:[nm_cmmn]],$A7,modif2[inter_N+1],regle!$B$11)</f>
        <v>-29037.019999999997</v>
      </c>
      <c r="D7" s="27">
        <f>SUMIFS(modif2[budget_N+2],modif2[[nm_cmmn]:[nm_cmmn]],$A7,modif2[inter_N+2],regle!$B$11)</f>
        <v>-113302.96000000002</v>
      </c>
      <c r="E7" s="27">
        <f>SUMIFS(modif2[budget_N+3],modif2[[nm_cmmn]:[nm_cmmn]],$A7,modif2[inter_N+3],regle!$B$11)</f>
        <v>0</v>
      </c>
      <c r="F7" s="27">
        <f>SUMIFS(modif2[budget_N+4],modif2[[nm_cmmn]:[nm_cmmn]],$A7,modif2[inter_N+4],regle!$B$11)</f>
        <v>0</v>
      </c>
      <c r="G7" s="27">
        <f>SUMIFS(modif2[budget_N+5],modif2[[nm_cmmn]:[nm_cmmn]],$A7,modif2[inter_N+5],regle!$B$11)</f>
        <v>0</v>
      </c>
      <c r="H7" s="27">
        <f>SUMIFS(modif2[budget_N+6],modif2[[nm_cmmn]:[nm_cmmn]],$A7,modif2[inter_N+6],regle!$B$11)</f>
        <v>0</v>
      </c>
      <c r="I7" s="27">
        <f>SUMIFS(modif2[budget_N+7],modif2[[nm_cmmn]:[nm_cmmn]],$A7,modif2[inter_N+7],regle!$B$11)</f>
        <v>0</v>
      </c>
      <c r="J7" s="27">
        <f>SUMIFS(modif2[budget_N+8],modif2[[nm_cmmn]:[nm_cmmn]],$A7,modif2[inter_N+8],regle!$B$11)</f>
        <v>0</v>
      </c>
      <c r="K7" s="27">
        <f>SUMIFS(modif2[budget_N+9],modif2[[nm_cmmn]:[nm_cmmn]],$A7,modif2[inter_N+9],regle!$B$11)</f>
        <v>0</v>
      </c>
      <c r="L7" s="27">
        <f>SUMIFS(modif2[budget_N+10],modif2[[nm_cmmn]:[nm_cmmn]],$A7,modif2[inter_N+10],regle!$B$11)</f>
        <v>-5930.3310000000019</v>
      </c>
    </row>
    <row r="8" spans="1:12" ht="15.75" x14ac:dyDescent="0.25">
      <c r="A8" s="32" t="str">
        <f>regle!B41</f>
        <v>GUILLOS</v>
      </c>
      <c r="B8" s="28">
        <f t="shared" si="0"/>
        <v>-2566.9490000000005</v>
      </c>
      <c r="C8" s="27">
        <f>SUMIFS(modif2[budget_N+1],modif2[[nm_cmmn]:[nm_cmmn]],$A8,modif2[inter_N+1],regle!$B$11)</f>
        <v>0</v>
      </c>
      <c r="D8" s="27">
        <f>SUMIFS(modif2[budget_N+2],modif2[[nm_cmmn]:[nm_cmmn]],$A8,modif2[inter_N+2],regle!$B$11)</f>
        <v>0</v>
      </c>
      <c r="E8" s="27">
        <f>SUMIFS(modif2[budget_N+3],modif2[[nm_cmmn]:[nm_cmmn]],$A8,modif2[inter_N+3],regle!$B$11)</f>
        <v>0</v>
      </c>
      <c r="F8" s="27">
        <f>SUMIFS(modif2[budget_N+4],modif2[[nm_cmmn]:[nm_cmmn]],$A8,modif2[inter_N+4],regle!$B$11)</f>
        <v>0</v>
      </c>
      <c r="G8" s="27">
        <f>SUMIFS(modif2[budget_N+5],modif2[[nm_cmmn]:[nm_cmmn]],$A8,modif2[inter_N+5],regle!$B$11)</f>
        <v>0</v>
      </c>
      <c r="H8" s="27">
        <f>SUMIFS(modif2[budget_N+6],modif2[[nm_cmmn]:[nm_cmmn]],$A8,modif2[inter_N+6],regle!$B$11)</f>
        <v>0</v>
      </c>
      <c r="I8" s="27">
        <f>SUMIFS(modif2[budget_N+7],modif2[[nm_cmmn]:[nm_cmmn]],$A8,modif2[inter_N+7],regle!$B$11)</f>
        <v>0</v>
      </c>
      <c r="J8" s="27">
        <f>SUMIFS(modif2[budget_N+8],modif2[[nm_cmmn]:[nm_cmmn]],$A8,modif2[inter_N+8],regle!$B$11)</f>
        <v>-2566.9490000000005</v>
      </c>
      <c r="K8" s="27">
        <f>SUMIFS(modif2[budget_N+9],modif2[[nm_cmmn]:[nm_cmmn]],$A8,modif2[inter_N+9],regle!$B$11)</f>
        <v>0</v>
      </c>
      <c r="L8" s="27">
        <f>SUMIFS(modif2[budget_N+10],modif2[[nm_cmmn]:[nm_cmmn]],$A8,modif2[inter_N+10],regle!$B$11)</f>
        <v>0</v>
      </c>
    </row>
    <row r="9" spans="1:12" ht="15.75" x14ac:dyDescent="0.25">
      <c r="A9" s="32" t="str">
        <f>regle!B42</f>
        <v>MOUSTEY</v>
      </c>
      <c r="B9" s="28">
        <f t="shared" si="0"/>
        <v>-48436.570000000007</v>
      </c>
      <c r="C9" s="27">
        <f>SUMIFS(modif2[budget_N+1],modif2[[nm_cmmn]:[nm_cmmn]],$A9,modif2[inter_N+1],regle!$B$11)</f>
        <v>-23784.36</v>
      </c>
      <c r="D9" s="27">
        <f>SUMIFS(modif2[budget_N+2],modif2[[nm_cmmn]:[nm_cmmn]],$A9,modif2[inter_N+2],regle!$B$11)</f>
        <v>-24652.210000000003</v>
      </c>
      <c r="E9" s="27">
        <f>SUMIFS(modif2[budget_N+3],modif2[[nm_cmmn]:[nm_cmmn]],$A9,modif2[inter_N+3],regle!$B$11)</f>
        <v>0</v>
      </c>
      <c r="F9" s="27">
        <f>SUMIFS(modif2[budget_N+4],modif2[[nm_cmmn]:[nm_cmmn]],$A9,modif2[inter_N+4],regle!$B$11)</f>
        <v>0</v>
      </c>
      <c r="G9" s="27">
        <f>SUMIFS(modif2[budget_N+5],modif2[[nm_cmmn]:[nm_cmmn]],$A9,modif2[inter_N+5],regle!$B$11)</f>
        <v>0</v>
      </c>
      <c r="H9" s="27">
        <f>SUMIFS(modif2[budget_N+6],modif2[[nm_cmmn]:[nm_cmmn]],$A9,modif2[inter_N+6],regle!$B$11)</f>
        <v>0</v>
      </c>
      <c r="I9" s="27">
        <f>SUMIFS(modif2[budget_N+7],modif2[[nm_cmmn]:[nm_cmmn]],$A9,modif2[inter_N+7],regle!$B$11)</f>
        <v>0</v>
      </c>
      <c r="J9" s="27">
        <f>SUMIFS(modif2[budget_N+8],modif2[[nm_cmmn]:[nm_cmmn]],$A9,modif2[inter_N+8],regle!$B$11)</f>
        <v>0</v>
      </c>
      <c r="K9" s="27">
        <f>SUMIFS(modif2[budget_N+9],modif2[[nm_cmmn]:[nm_cmmn]],$A9,modif2[inter_N+9],regle!$B$11)</f>
        <v>0</v>
      </c>
      <c r="L9" s="27">
        <f>SUMIFS(modif2[budget_N+10],modif2[[nm_cmmn]:[nm_cmmn]],$A9,modif2[inter_N+10],regle!$B$11)</f>
        <v>0</v>
      </c>
    </row>
    <row r="10" spans="1:12" ht="15.75" x14ac:dyDescent="0.25">
      <c r="A10" s="32" t="str">
        <f>regle!B43</f>
        <v>HOSTENS</v>
      </c>
      <c r="B10" s="28">
        <f>SUM(C10:L10)</f>
        <v>-154705.98400000003</v>
      </c>
      <c r="C10" s="27">
        <f>SUMIFS(modif2[budget_N+1],modif2[[nm_cmmn]:[nm_cmmn]],$A10,modif2[inter_N+1],regle!$B$11)</f>
        <v>-6949.7699999999995</v>
      </c>
      <c r="D10" s="27">
        <f>SUMIFS(modif2[budget_N+2],modif2[[nm_cmmn]:[nm_cmmn]],$A10,modif2[inter_N+2],regle!$B$11)</f>
        <v>-28325.23</v>
      </c>
      <c r="E10" s="27">
        <f>SUMIFS(modif2[budget_N+3],modif2[[nm_cmmn]:[nm_cmmn]],$A10,modif2[inter_N+3],regle!$B$11)</f>
        <v>-38574.156000000003</v>
      </c>
      <c r="F10" s="27">
        <f>SUMIFS(modif2[budget_N+4],modif2[[nm_cmmn]:[nm_cmmn]],$A10,modif2[inter_N+4],regle!$B$11)</f>
        <v>0</v>
      </c>
      <c r="G10" s="27">
        <f>SUMIFS(modif2[budget_N+5],modif2[[nm_cmmn]:[nm_cmmn]],$A10,modif2[inter_N+5],regle!$B$11)</f>
        <v>0</v>
      </c>
      <c r="H10" s="27">
        <f>SUMIFS(modif2[budget_N+6],modif2[[nm_cmmn]:[nm_cmmn]],$A10,modif2[inter_N+6],regle!$B$11)</f>
        <v>0</v>
      </c>
      <c r="I10" s="27">
        <f>SUMIFS(modif2[budget_N+7],modif2[[nm_cmmn]:[nm_cmmn]],$A10,modif2[inter_N+7],regle!$B$11)</f>
        <v>-12535.545</v>
      </c>
      <c r="J10" s="27">
        <f>SUMIFS(modif2[budget_N+8],modif2[[nm_cmmn]:[nm_cmmn]],$A10,modif2[inter_N+8],regle!$B$11)</f>
        <v>-18300.16</v>
      </c>
      <c r="K10" s="27">
        <f>SUMIFS(modif2[budget_N+9],modif2[[nm_cmmn]:[nm_cmmn]],$A10,modif2[inter_N+9],regle!$B$11)</f>
        <v>-25682.393000000004</v>
      </c>
      <c r="L10" s="27">
        <f>SUMIFS(modif2[budget_N+10],modif2[[nm_cmmn]:[nm_cmmn]],$A10,modif2[inter_N+10],regle!$B$11)</f>
        <v>-24338.730000000003</v>
      </c>
    </row>
    <row r="11" spans="1:12" ht="15.75" x14ac:dyDescent="0.25">
      <c r="A11" s="32" t="str">
        <f>regle!B44</f>
        <v>LE TUZAN</v>
      </c>
      <c r="B11" s="28">
        <f t="shared" si="0"/>
        <v>-74863.920000000013</v>
      </c>
      <c r="C11" s="27">
        <f>SUMIFS(modif2[budget_N+1],modif2[[nm_cmmn]:[nm_cmmn]],$A11,modif2[inter_N+1],regle!$B$11)</f>
        <v>-262.14</v>
      </c>
      <c r="D11" s="27">
        <f>SUMIFS(modif2[budget_N+2],modif2[[nm_cmmn]:[nm_cmmn]],$A11,modif2[inter_N+2],regle!$B$11)</f>
        <v>-15112.66</v>
      </c>
      <c r="E11" s="27">
        <f>SUMIFS(modif2[budget_N+3],modif2[[nm_cmmn]:[nm_cmmn]],$A11,modif2[inter_N+3],regle!$B$11)</f>
        <v>-6163.7070000000012</v>
      </c>
      <c r="F11" s="27">
        <f>SUMIFS(modif2[budget_N+4],modif2[[nm_cmmn]:[nm_cmmn]],$A11,modif2[inter_N+4],regle!$B$11)</f>
        <v>0</v>
      </c>
      <c r="G11" s="27">
        <f>SUMIFS(modif2[budget_N+5],modif2[[nm_cmmn]:[nm_cmmn]],$A11,modif2[inter_N+5],regle!$B$11)</f>
        <v>-145.18</v>
      </c>
      <c r="H11" s="27">
        <f>SUMIFS(modif2[budget_N+6],modif2[[nm_cmmn]:[nm_cmmn]],$A11,modif2[inter_N+6],regle!$B$11)</f>
        <v>-33398.760999999999</v>
      </c>
      <c r="I11" s="27">
        <f>SUMIFS(modif2[budget_N+7],modif2[[nm_cmmn]:[nm_cmmn]],$A11,modif2[inter_N+7],regle!$B$11)</f>
        <v>0</v>
      </c>
      <c r="J11" s="27">
        <f>SUMIFS(modif2[budget_N+8],modif2[[nm_cmmn]:[nm_cmmn]],$A11,modif2[inter_N+8],regle!$B$11)</f>
        <v>-18489.812000000002</v>
      </c>
      <c r="K11" s="27">
        <f>SUMIFS(modif2[budget_N+9],modif2[[nm_cmmn]:[nm_cmmn]],$A11,modif2[inter_N+9],regle!$B$11)</f>
        <v>0</v>
      </c>
      <c r="L11" s="27">
        <f>SUMIFS(modif2[budget_N+10],modif2[[nm_cmmn]:[nm_cmmn]],$A11,modif2[inter_N+10],regle!$B$11)</f>
        <v>-1291.6600000000001</v>
      </c>
    </row>
    <row r="13" spans="1:12" ht="15.75" x14ac:dyDescent="0.25">
      <c r="K13" s="44" t="s">
        <v>1809</v>
      </c>
      <c r="L13" s="45">
        <f>B5/11</f>
        <v>-40105.669000000002</v>
      </c>
    </row>
    <row r="14" spans="1:12" ht="15.75" x14ac:dyDescent="0.25">
      <c r="K14" s="44" t="s">
        <v>15</v>
      </c>
      <c r="L14" s="45">
        <f>AVERAGEIF(D5:L5,"&lt;&gt;0")</f>
        <v>-47641.133625000002</v>
      </c>
    </row>
    <row r="15" spans="1:12" x14ac:dyDescent="0.2">
      <c r="L15" s="34"/>
    </row>
    <row r="34" spans="1:12" ht="18.75" x14ac:dyDescent="0.3">
      <c r="A34" s="39" t="s">
        <v>1892</v>
      </c>
    </row>
    <row r="35" spans="1:12" ht="15.75" x14ac:dyDescent="0.25">
      <c r="A35" s="30" t="s">
        <v>1816</v>
      </c>
      <c r="B35" s="31" t="s">
        <v>0</v>
      </c>
      <c r="C35" s="31">
        <f>C2</f>
        <v>2024</v>
      </c>
      <c r="D35" s="31">
        <f t="shared" ref="D35:L35" si="3">D2</f>
        <v>2025</v>
      </c>
      <c r="E35" s="31">
        <f t="shared" si="3"/>
        <v>2026</v>
      </c>
      <c r="F35" s="31">
        <f t="shared" si="3"/>
        <v>2027</v>
      </c>
      <c r="G35" s="31">
        <f t="shared" si="3"/>
        <v>2028</v>
      </c>
      <c r="H35" s="31">
        <f t="shared" si="3"/>
        <v>2029</v>
      </c>
      <c r="I35" s="31">
        <f t="shared" si="3"/>
        <v>2030</v>
      </c>
      <c r="J35" s="31">
        <f t="shared" si="3"/>
        <v>2031</v>
      </c>
      <c r="K35" s="31">
        <f t="shared" si="3"/>
        <v>2032</v>
      </c>
      <c r="L35" s="31">
        <f t="shared" si="3"/>
        <v>2033</v>
      </c>
    </row>
    <row r="36" spans="1:12" ht="15.75" x14ac:dyDescent="0.25">
      <c r="A36" s="32" t="str">
        <f>A3</f>
        <v>BASE :</v>
      </c>
      <c r="B36" s="37">
        <f t="shared" ref="B36:B44" si="4">SUM(C36:L36)</f>
        <v>166.93060000000003</v>
      </c>
      <c r="C36" s="35">
        <f>SUMIFS(modif0[[srfcH]:[srfcH]],modif0[inter_N+1],regle!$B$11)</f>
        <v>142.01550000000003</v>
      </c>
      <c r="D36" s="35">
        <f>SUMIFS(modif0[[srfcH]:[srfcH]],modif0[inter_N+2],regle!$B$11)</f>
        <v>0</v>
      </c>
      <c r="E36" s="35">
        <f>SUMIFS(modif0[[srfcH]:[srfcH]],modif0[inter_N+3],regle!$B$11)</f>
        <v>4.1214999999999993</v>
      </c>
      <c r="F36" s="35">
        <f>SUMIFS(modif0[[srfcH]:[srfcH]],modif0[inter_N+4],regle!$B$11)</f>
        <v>0</v>
      </c>
      <c r="G36" s="35">
        <f>SUMIFS(modif0[[srfcH]:[srfcH]],modif0[inter_N+5],regle!$B$11)</f>
        <v>0</v>
      </c>
      <c r="H36" s="35">
        <f>SUMIFS(modif0[[srfcH]:[srfcH]],modif0[inter_N+6],regle!$B$11)</f>
        <v>17.412099999999999</v>
      </c>
      <c r="I36" s="35">
        <f>SUMIFS(modif0[[srfcH]:[srfcH]],modif0[inter_N+7],regle!$B$11)</f>
        <v>3.2961</v>
      </c>
      <c r="J36" s="35">
        <f>SUMIFS(modif0[[srfcH]:[srfcH]],modif0[inter_N+8],regle!$B$11)</f>
        <v>0</v>
      </c>
      <c r="K36" s="35">
        <f>SUMIFS(modif0[[srfcH]:[srfcH]],modif0[inter_N+9],regle!$B$11)</f>
        <v>8.5400000000000004E-2</v>
      </c>
      <c r="L36" s="35">
        <f>SUMIFS(modif0[[srfcH]:[srfcH]],modif0[inter_N+10],regle!$B$11)</f>
        <v>0</v>
      </c>
    </row>
    <row r="37" spans="1:12" ht="15.75" x14ac:dyDescent="0.25">
      <c r="A37" s="32" t="str">
        <f>A4</f>
        <v>MAX :</v>
      </c>
      <c r="B37" s="37">
        <f t="shared" si="4"/>
        <v>251.71989999999997</v>
      </c>
      <c r="C37" s="35">
        <f>SUMIFS(modif1[[srfcH]:[srfcH]],modif1[inter_N+1],regle!$B$11)</f>
        <v>142.01549999999997</v>
      </c>
      <c r="D37" s="35">
        <f>SUMIFS(modif1[[srfcH]:[srfcH]],modif1[inter_N+2],regle!$B$11)</f>
        <v>13.6568</v>
      </c>
      <c r="E37" s="35">
        <f>SUMIFS(modif1[[srfcH]:[srfcH]],modif1[inter_N+3],regle!$B$11)</f>
        <v>11.2583</v>
      </c>
      <c r="F37" s="35">
        <f>SUMIFS(modif1[[srfcH]:[srfcH]],modif1[inter_N+4],regle!$B$11)</f>
        <v>0</v>
      </c>
      <c r="G37" s="35">
        <f>SUMIFS(modif1[[srfcH]:[srfcH]],modif1[inter_N+5],regle!$B$11)</f>
        <v>0</v>
      </c>
      <c r="H37" s="35">
        <f>SUMIFS(modif1[[srfcH]:[srfcH]],modif1[inter_N+6],regle!$B$11)</f>
        <v>17.860299999999999</v>
      </c>
      <c r="I37" s="35">
        <f>SUMIFS(modif1[[srfcH]:[srfcH]],modif1[inter_N+7],regle!$B$11)</f>
        <v>17.468300000000003</v>
      </c>
      <c r="J37" s="35">
        <f>SUMIFS(modif1[[srfcH]:[srfcH]],modif1[inter_N+8],regle!$B$11)</f>
        <v>17.424599999999998</v>
      </c>
      <c r="K37" s="35">
        <f>SUMIFS(modif1[[srfcH]:[srfcH]],modif1[inter_N+9],regle!$B$11)</f>
        <v>16.6449</v>
      </c>
      <c r="L37" s="35">
        <f>SUMIFS(modif1[[srfcH]:[srfcH]],modif1[inter_N+10],regle!$B$11)</f>
        <v>15.3912</v>
      </c>
    </row>
    <row r="38" spans="1:12" ht="15.75" x14ac:dyDescent="0.25">
      <c r="A38" s="29" t="s">
        <v>1810</v>
      </c>
      <c r="B38" s="37">
        <f t="shared" si="4"/>
        <v>251.05199999999999</v>
      </c>
      <c r="C38" s="38">
        <f t="shared" ref="C38:L38" si="5">SUM(C39:C44)</f>
        <v>35.313700000000004</v>
      </c>
      <c r="D38" s="38">
        <f t="shared" si="5"/>
        <v>106.70179999999999</v>
      </c>
      <c r="E38" s="38">
        <f t="shared" si="5"/>
        <v>24.829699999999999</v>
      </c>
      <c r="F38" s="38">
        <f t="shared" si="5"/>
        <v>0</v>
      </c>
      <c r="G38" s="38">
        <f t="shared" si="5"/>
        <v>8.5400000000000004E-2</v>
      </c>
      <c r="H38" s="38">
        <f t="shared" si="5"/>
        <v>17.860299999999999</v>
      </c>
      <c r="I38" s="38">
        <f t="shared" si="5"/>
        <v>6.7035</v>
      </c>
      <c r="J38" s="38">
        <f t="shared" si="5"/>
        <v>27.429599999999997</v>
      </c>
      <c r="K38" s="38">
        <f t="shared" si="5"/>
        <v>13.7339</v>
      </c>
      <c r="L38" s="38">
        <f t="shared" si="5"/>
        <v>18.394099999999998</v>
      </c>
    </row>
    <row r="39" spans="1:12" ht="15.75" x14ac:dyDescent="0.25">
      <c r="A39" s="32" t="str">
        <f>A6</f>
        <v>CABANAC-ET-VILLAGRAINS</v>
      </c>
      <c r="B39" s="37">
        <f t="shared" si="4"/>
        <v>6.5874999999999995</v>
      </c>
      <c r="C39" s="36">
        <f>SUMIFS(modif2[[srfcH]:[srfcH]],modif2[inter_N+1],regle!$B$11,modif2[[nm_cmmn]:[nm_cmmn]],$A39)
+SUMIFS(modif2[[srfcH]:[srfcH]],modif2[inter_N+1],_xlfn.CONCAT(regle!$B$11,2),modif2[[nm_cmmn]:[nm_cmmn]],$A39)</f>
        <v>0</v>
      </c>
      <c r="D39" s="36">
        <f>SUMIFS(modif2[[srfcH]:[srfcH]],modif2[inter_N+2],regle!$B$11,modif2[[nm_cmmn]:[nm_cmmn]],$A39)
+SUMIFS(modif2[[srfcH]:[srfcH]],modif2[inter_N+2],_xlfn.CONCAT(regle!$B$11,2),modif2[[nm_cmmn]:[nm_cmmn]],$A39)</f>
        <v>0</v>
      </c>
      <c r="E39" s="36">
        <f>SUMIFS(modif2[[srfcH]:[srfcH]],modif2[inter_N+3],regle!$B$11,modif2[[nm_cmmn]:[nm_cmmn]],$A39)
+SUMIFS(modif2[[srfcH]:[srfcH]],modif2[inter_N+3],_xlfn.CONCAT(regle!$B$11,2),modif2[[nm_cmmn]:[nm_cmmn]],$A39)</f>
        <v>0</v>
      </c>
      <c r="F39" s="36">
        <f>SUMIFS(modif2[[srfcH]:[srfcH]],modif2[inter_N+4],regle!$B$11,modif2[[nm_cmmn]:[nm_cmmn]],$A39)
+SUMIFS(modif2[[srfcH]:[srfcH]],modif2[inter_N+4],_xlfn.CONCAT(regle!$B$11,2),modif2[[nm_cmmn]:[nm_cmmn]],$A39)</f>
        <v>0</v>
      </c>
      <c r="G39" s="36">
        <f>SUMIFS(modif2[[srfcH]:[srfcH]],modif2[inter_N+5],regle!$B$11,modif2[[nm_cmmn]:[nm_cmmn]],$A39)
+SUMIFS(modif2[[srfcH]:[srfcH]],modif2[inter_N+5],_xlfn.CONCAT(regle!$B$11,2),modif2[[nm_cmmn]:[nm_cmmn]],$A39)</f>
        <v>0</v>
      </c>
      <c r="H39" s="36">
        <f>SUMIFS(modif2[[srfcH]:[srfcH]],modif2[inter_N+6],regle!$B$11,modif2[[nm_cmmn]:[nm_cmmn]],$A39)
+SUMIFS(modif2[[srfcH]:[srfcH]],modif2[inter_N+6],_xlfn.CONCAT(regle!$B$11,2),modif2[[nm_cmmn]:[nm_cmmn]],$A39)</f>
        <v>0</v>
      </c>
      <c r="I39" s="36">
        <f>SUMIFS(modif2[[srfcH]:[srfcH]],modif2[inter_N+7],regle!$B$11,modif2[[nm_cmmn]:[nm_cmmn]],$A39)
+SUMIFS(modif2[[srfcH]:[srfcH]],modif2[inter_N+7],_xlfn.CONCAT(regle!$B$11,2),modif2[[nm_cmmn]:[nm_cmmn]],$A39)</f>
        <v>0</v>
      </c>
      <c r="J39" s="36">
        <f>SUMIFS(modif2[[srfcH]:[srfcH]],modif2[inter_N+8],regle!$B$11,modif2[[nm_cmmn]:[nm_cmmn]],$A39)
+SUMIFS(modif2[[srfcH]:[srfcH]],modif2[inter_N+8],_xlfn.CONCAT(regle!$B$11,2),modif2[[nm_cmmn]:[nm_cmmn]],$A39)</f>
        <v>5.4044999999999996</v>
      </c>
      <c r="K39" s="36">
        <f>SUMIFS(modif2[[srfcH]:[srfcH]],modif2[inter_N+9],regle!$B$11,modif2[[nm_cmmn]:[nm_cmmn]],$A39)
+SUMIFS(modif2[[srfcH]:[srfcH]],modif2[inter_N+9],_xlfn.CONCAT(regle!$B$11,2),modif2[[nm_cmmn]:[nm_cmmn]],$A39)</f>
        <v>0</v>
      </c>
      <c r="L39" s="36">
        <f>SUMIFS(modif2[[srfcH]:[srfcH]],modif2[inter_N+10],regle!$B$11,modif2[[nm_cmmn]:[nm_cmmn]],$A39)
+SUMIFS(modif2[[srfcH]:[srfcH]],modif2[inter_N+10],_xlfn.CONCAT(regle!$B$11,2),modif2[[nm_cmmn]:[nm_cmmn]],$A39)</f>
        <v>1.1830000000000001</v>
      </c>
    </row>
    <row r="40" spans="1:12" ht="15.75" x14ac:dyDescent="0.25">
      <c r="A40" s="32" t="str">
        <f t="shared" ref="A40:A44" si="6">A7</f>
        <v>MANO</v>
      </c>
      <c r="B40" s="37">
        <f t="shared" si="4"/>
        <v>86.900700000000001</v>
      </c>
      <c r="C40" s="36">
        <f>SUMIFS(modif2[[srfcH]:[srfcH]],modif2[inter_N+1],regle!$B$11,modif2[[nm_cmmn]:[nm_cmmn]],$A40)
+SUMIFS(modif2[[srfcH]:[srfcH]],modif2[inter_N+1],_xlfn.CONCAT(regle!$B$11,2),modif2[[nm_cmmn]:[nm_cmmn]],$A40)</f>
        <v>17.080600000000004</v>
      </c>
      <c r="D40" s="36">
        <f>SUMIFS(modif2[[srfcH]:[srfcH]],modif2[inter_N+2],regle!$B$11,modif2[[nm_cmmn]:[nm_cmmn]],$A40)
+SUMIFS(modif2[[srfcH]:[srfcH]],modif2[inter_N+2],_xlfn.CONCAT(regle!$B$11,2),modif2[[nm_cmmn]:[nm_cmmn]],$A40)</f>
        <v>66.648799999999994</v>
      </c>
      <c r="E40" s="36">
        <f>SUMIFS(modif2[[srfcH]:[srfcH]],modif2[inter_N+3],regle!$B$11,modif2[[nm_cmmn]:[nm_cmmn]],$A40)
+SUMIFS(modif2[[srfcH]:[srfcH]],modif2[inter_N+3],_xlfn.CONCAT(regle!$B$11,2),modif2[[nm_cmmn]:[nm_cmmn]],$A40)</f>
        <v>0</v>
      </c>
      <c r="F40" s="36">
        <f>SUMIFS(modif2[[srfcH]:[srfcH]],modif2[inter_N+4],regle!$B$11,modif2[[nm_cmmn]:[nm_cmmn]],$A40)
+SUMIFS(modif2[[srfcH]:[srfcH]],modif2[inter_N+4],_xlfn.CONCAT(regle!$B$11,2),modif2[[nm_cmmn]:[nm_cmmn]],$A40)</f>
        <v>0</v>
      </c>
      <c r="G40" s="36">
        <f>SUMIFS(modif2[[srfcH]:[srfcH]],modif2[inter_N+5],regle!$B$11,modif2[[nm_cmmn]:[nm_cmmn]],$A40)
+SUMIFS(modif2[[srfcH]:[srfcH]],modif2[inter_N+5],_xlfn.CONCAT(regle!$B$11,2),modif2[[nm_cmmn]:[nm_cmmn]],$A40)</f>
        <v>0</v>
      </c>
      <c r="H40" s="36">
        <f>SUMIFS(modif2[[srfcH]:[srfcH]],modif2[inter_N+6],regle!$B$11,modif2[[nm_cmmn]:[nm_cmmn]],$A40)
+SUMIFS(modif2[[srfcH]:[srfcH]],modif2[inter_N+6],_xlfn.CONCAT(regle!$B$11,2),modif2[[nm_cmmn]:[nm_cmmn]],$A40)</f>
        <v>0</v>
      </c>
      <c r="I40" s="36">
        <f>SUMIFS(modif2[[srfcH]:[srfcH]],modif2[inter_N+7],regle!$B$11,modif2[[nm_cmmn]:[nm_cmmn]],$A40)
+SUMIFS(modif2[[srfcH]:[srfcH]],modif2[inter_N+7],_xlfn.CONCAT(regle!$B$11,2),modif2[[nm_cmmn]:[nm_cmmn]],$A40)</f>
        <v>0</v>
      </c>
      <c r="J40" s="36">
        <f>SUMIFS(modif2[[srfcH]:[srfcH]],modif2[inter_N+8],regle!$B$11,modif2[[nm_cmmn]:[nm_cmmn]],$A40)
+SUMIFS(modif2[[srfcH]:[srfcH]],modif2[inter_N+8],_xlfn.CONCAT(regle!$B$11,2),modif2[[nm_cmmn]:[nm_cmmn]],$A40)</f>
        <v>0</v>
      </c>
      <c r="K40" s="36">
        <f>SUMIFS(modif2[[srfcH]:[srfcH]],modif2[inter_N+9],regle!$B$11,modif2[[nm_cmmn]:[nm_cmmn]],$A40)
+SUMIFS(modif2[[srfcH]:[srfcH]],modif2[inter_N+9],_xlfn.CONCAT(regle!$B$11,2),modif2[[nm_cmmn]:[nm_cmmn]],$A40)</f>
        <v>0</v>
      </c>
      <c r="L40" s="36">
        <f>SUMIFS(modif2[[srfcH]:[srfcH]],modif2[inter_N+10],regle!$B$11,modif2[[nm_cmmn]:[nm_cmmn]],$A40)
+SUMIFS(modif2[[srfcH]:[srfcH]],modif2[inter_N+10],_xlfn.CONCAT(regle!$B$11,2),modif2[[nm_cmmn]:[nm_cmmn]],$A40)</f>
        <v>3.1713000000000005</v>
      </c>
    </row>
    <row r="41" spans="1:12" ht="15.75" x14ac:dyDescent="0.25">
      <c r="A41" s="32" t="str">
        <f t="shared" si="6"/>
        <v>GUILLOS</v>
      </c>
      <c r="B41" s="37">
        <f t="shared" si="4"/>
        <v>1.3727</v>
      </c>
      <c r="C41" s="36">
        <f>SUMIFS(modif2[[srfcH]:[srfcH]],modif2[inter_N+1],regle!$B$11,modif2[[nm_cmmn]:[nm_cmmn]],$A41)
+SUMIFS(modif2[[srfcH]:[srfcH]],modif2[inter_N+1],_xlfn.CONCAT(regle!$B$11,2),modif2[[nm_cmmn]:[nm_cmmn]],$A41)</f>
        <v>0</v>
      </c>
      <c r="D41" s="36">
        <f>SUMIFS(modif2[[srfcH]:[srfcH]],modif2[inter_N+2],regle!$B$11,modif2[[nm_cmmn]:[nm_cmmn]],$A41)
+SUMIFS(modif2[[srfcH]:[srfcH]],modif2[inter_N+2],_xlfn.CONCAT(regle!$B$11,2),modif2[[nm_cmmn]:[nm_cmmn]],$A41)</f>
        <v>0</v>
      </c>
      <c r="E41" s="36">
        <f>SUMIFS(modif2[[srfcH]:[srfcH]],modif2[inter_N+3],regle!$B$11,modif2[[nm_cmmn]:[nm_cmmn]],$A41)
+SUMIFS(modif2[[srfcH]:[srfcH]],modif2[inter_N+3],_xlfn.CONCAT(regle!$B$11,2),modif2[[nm_cmmn]:[nm_cmmn]],$A41)</f>
        <v>0</v>
      </c>
      <c r="F41" s="36">
        <f>SUMIFS(modif2[[srfcH]:[srfcH]],modif2[inter_N+4],regle!$B$11,modif2[[nm_cmmn]:[nm_cmmn]],$A41)
+SUMIFS(modif2[[srfcH]:[srfcH]],modif2[inter_N+4],_xlfn.CONCAT(regle!$B$11,2),modif2[[nm_cmmn]:[nm_cmmn]],$A41)</f>
        <v>0</v>
      </c>
      <c r="G41" s="36">
        <f>SUMIFS(modif2[[srfcH]:[srfcH]],modif2[inter_N+5],regle!$B$11,modif2[[nm_cmmn]:[nm_cmmn]],$A41)
+SUMIFS(modif2[[srfcH]:[srfcH]],modif2[inter_N+5],_xlfn.CONCAT(regle!$B$11,2),modif2[[nm_cmmn]:[nm_cmmn]],$A41)</f>
        <v>0</v>
      </c>
      <c r="H41" s="36">
        <f>SUMIFS(modif2[[srfcH]:[srfcH]],modif2[inter_N+6],regle!$B$11,modif2[[nm_cmmn]:[nm_cmmn]],$A41)
+SUMIFS(modif2[[srfcH]:[srfcH]],modif2[inter_N+6],_xlfn.CONCAT(regle!$B$11,2),modif2[[nm_cmmn]:[nm_cmmn]],$A41)</f>
        <v>0</v>
      </c>
      <c r="I41" s="36">
        <f>SUMIFS(modif2[[srfcH]:[srfcH]],modif2[inter_N+7],regle!$B$11,modif2[[nm_cmmn]:[nm_cmmn]],$A41)
+SUMIFS(modif2[[srfcH]:[srfcH]],modif2[inter_N+7],_xlfn.CONCAT(regle!$B$11,2),modif2[[nm_cmmn]:[nm_cmmn]],$A41)</f>
        <v>0</v>
      </c>
      <c r="J41" s="36">
        <f>SUMIFS(modif2[[srfcH]:[srfcH]],modif2[inter_N+8],regle!$B$11,modif2[[nm_cmmn]:[nm_cmmn]],$A41)
+SUMIFS(modif2[[srfcH]:[srfcH]],modif2[inter_N+8],_xlfn.CONCAT(regle!$B$11,2),modif2[[nm_cmmn]:[nm_cmmn]],$A41)</f>
        <v>1.3727</v>
      </c>
      <c r="K41" s="36">
        <f>SUMIFS(modif2[[srfcH]:[srfcH]],modif2[inter_N+9],regle!$B$11,modif2[[nm_cmmn]:[nm_cmmn]],$A41)
+SUMIFS(modif2[[srfcH]:[srfcH]],modif2[inter_N+9],_xlfn.CONCAT(regle!$B$11,2),modif2[[nm_cmmn]:[nm_cmmn]],$A41)</f>
        <v>0</v>
      </c>
      <c r="L41" s="36">
        <f>SUMIFS(modif2[[srfcH]:[srfcH]],modif2[inter_N+10],regle!$B$11,modif2[[nm_cmmn]:[nm_cmmn]],$A41)
+SUMIFS(modif2[[srfcH]:[srfcH]],modif2[inter_N+10],_xlfn.CONCAT(regle!$B$11,2),modif2[[nm_cmmn]:[nm_cmmn]],$A41)</f>
        <v>0</v>
      </c>
    </row>
    <row r="42" spans="1:12" ht="15.75" x14ac:dyDescent="0.25">
      <c r="A42" s="32" t="str">
        <f t="shared" si="6"/>
        <v>MOUSTEY</v>
      </c>
      <c r="B42" s="37">
        <f t="shared" si="4"/>
        <v>28.492100000000001</v>
      </c>
      <c r="C42" s="36">
        <f>SUMIFS(modif2[[srfcH]:[srfcH]],modif2[inter_N+1],regle!$B$11,modif2[[nm_cmmn]:[nm_cmmn]],$A42)
+SUMIFS(modif2[[srfcH]:[srfcH]],modif2[inter_N+1],_xlfn.CONCAT(regle!$B$11,2),modif2[[nm_cmmn]:[nm_cmmn]],$A42)</f>
        <v>13.9908</v>
      </c>
      <c r="D42" s="36">
        <f>SUMIFS(modif2[[srfcH]:[srfcH]],modif2[inter_N+2],regle!$B$11,modif2[[nm_cmmn]:[nm_cmmn]],$A42)
+SUMIFS(modif2[[srfcH]:[srfcH]],modif2[inter_N+2],_xlfn.CONCAT(regle!$B$11,2),modif2[[nm_cmmn]:[nm_cmmn]],$A42)</f>
        <v>14.501300000000001</v>
      </c>
      <c r="E42" s="36">
        <f>SUMIFS(modif2[[srfcH]:[srfcH]],modif2[inter_N+3],regle!$B$11,modif2[[nm_cmmn]:[nm_cmmn]],$A42)
+SUMIFS(modif2[[srfcH]:[srfcH]],modif2[inter_N+3],_xlfn.CONCAT(regle!$B$11,2),modif2[[nm_cmmn]:[nm_cmmn]],$A42)</f>
        <v>0</v>
      </c>
      <c r="F42" s="36">
        <f>SUMIFS(modif2[[srfcH]:[srfcH]],modif2[inter_N+4],regle!$B$11,modif2[[nm_cmmn]:[nm_cmmn]],$A42)
+SUMIFS(modif2[[srfcH]:[srfcH]],modif2[inter_N+4],_xlfn.CONCAT(regle!$B$11,2),modif2[[nm_cmmn]:[nm_cmmn]],$A42)</f>
        <v>0</v>
      </c>
      <c r="G42" s="36">
        <f>SUMIFS(modif2[[srfcH]:[srfcH]],modif2[inter_N+5],regle!$B$11,modif2[[nm_cmmn]:[nm_cmmn]],$A42)
+SUMIFS(modif2[[srfcH]:[srfcH]],modif2[inter_N+5],_xlfn.CONCAT(regle!$B$11,2),modif2[[nm_cmmn]:[nm_cmmn]],$A42)</f>
        <v>0</v>
      </c>
      <c r="H42" s="36">
        <f>SUMIFS(modif2[[srfcH]:[srfcH]],modif2[inter_N+6],regle!$B$11,modif2[[nm_cmmn]:[nm_cmmn]],$A42)
+SUMIFS(modif2[[srfcH]:[srfcH]],modif2[inter_N+6],_xlfn.CONCAT(regle!$B$11,2),modif2[[nm_cmmn]:[nm_cmmn]],$A42)</f>
        <v>0</v>
      </c>
      <c r="I42" s="36">
        <f>SUMIFS(modif2[[srfcH]:[srfcH]],modif2[inter_N+7],regle!$B$11,modif2[[nm_cmmn]:[nm_cmmn]],$A42)
+SUMIFS(modif2[[srfcH]:[srfcH]],modif2[inter_N+7],_xlfn.CONCAT(regle!$B$11,2),modif2[[nm_cmmn]:[nm_cmmn]],$A42)</f>
        <v>0</v>
      </c>
      <c r="J42" s="36">
        <f>SUMIFS(modif2[[srfcH]:[srfcH]],modif2[inter_N+8],regle!$B$11,modif2[[nm_cmmn]:[nm_cmmn]],$A42)
+SUMIFS(modif2[[srfcH]:[srfcH]],modif2[inter_N+8],_xlfn.CONCAT(regle!$B$11,2),modif2[[nm_cmmn]:[nm_cmmn]],$A42)</f>
        <v>0</v>
      </c>
      <c r="K42" s="36">
        <f>SUMIFS(modif2[[srfcH]:[srfcH]],modif2[inter_N+9],regle!$B$11,modif2[[nm_cmmn]:[nm_cmmn]],$A42)
+SUMIFS(modif2[[srfcH]:[srfcH]],modif2[inter_N+9],_xlfn.CONCAT(regle!$B$11,2),modif2[[nm_cmmn]:[nm_cmmn]],$A42)</f>
        <v>0</v>
      </c>
      <c r="L42" s="36">
        <f>SUMIFS(modif2[[srfcH]:[srfcH]],modif2[inter_N+10],regle!$B$11,modif2[[nm_cmmn]:[nm_cmmn]],$A42)
+SUMIFS(modif2[[srfcH]:[srfcH]],modif2[inter_N+10],_xlfn.CONCAT(regle!$B$11,2),modif2[[nm_cmmn]:[nm_cmmn]],$A42)</f>
        <v>0</v>
      </c>
    </row>
    <row r="43" spans="1:12" ht="15.75" x14ac:dyDescent="0.25">
      <c r="A43" s="32" t="str">
        <f t="shared" si="6"/>
        <v>HOSTENS</v>
      </c>
      <c r="B43" s="37">
        <f t="shared" si="4"/>
        <v>86.765799999999999</v>
      </c>
      <c r="C43" s="36">
        <f>SUMIFS(modif2[[srfcH]:[srfcH]],modif2[inter_N+1],regle!$B$11,modif2[[nm_cmmn]:[nm_cmmn]],$A43)
+SUMIFS(modif2[[srfcH]:[srfcH]],modif2[inter_N+1],_xlfn.CONCAT(regle!$B$11,2),modif2[[nm_cmmn]:[nm_cmmn]],$A43)</f>
        <v>4.0880999999999998</v>
      </c>
      <c r="D43" s="36">
        <f>SUMIFS(modif2[[srfcH]:[srfcH]],modif2[inter_N+2],regle!$B$11,modif2[[nm_cmmn]:[nm_cmmn]],$A43)
+SUMIFS(modif2[[srfcH]:[srfcH]],modif2[inter_N+2],_xlfn.CONCAT(regle!$B$11,2),modif2[[nm_cmmn]:[nm_cmmn]],$A43)</f>
        <v>16.661899999999999</v>
      </c>
      <c r="E43" s="36">
        <f>SUMIFS(modif2[[srfcH]:[srfcH]],modif2[inter_N+3],regle!$B$11,modif2[[nm_cmmn]:[nm_cmmn]],$A43)
+SUMIFS(modif2[[srfcH]:[srfcH]],modif2[inter_N+3],_xlfn.CONCAT(regle!$B$11,2),modif2[[nm_cmmn]:[nm_cmmn]],$A43)</f>
        <v>21.5336</v>
      </c>
      <c r="F43" s="36">
        <f>SUMIFS(modif2[[srfcH]:[srfcH]],modif2[inter_N+4],regle!$B$11,modif2[[nm_cmmn]:[nm_cmmn]],$A43)
+SUMIFS(modif2[[srfcH]:[srfcH]],modif2[inter_N+4],_xlfn.CONCAT(regle!$B$11,2),modif2[[nm_cmmn]:[nm_cmmn]],$A43)</f>
        <v>0</v>
      </c>
      <c r="G43" s="36">
        <f>SUMIFS(modif2[[srfcH]:[srfcH]],modif2[inter_N+5],regle!$B$11,modif2[[nm_cmmn]:[nm_cmmn]],$A43)
+SUMIFS(modif2[[srfcH]:[srfcH]],modif2[inter_N+5],_xlfn.CONCAT(regle!$B$11,2),modif2[[nm_cmmn]:[nm_cmmn]],$A43)</f>
        <v>0</v>
      </c>
      <c r="H43" s="36">
        <f>SUMIFS(modif2[[srfcH]:[srfcH]],modif2[inter_N+6],regle!$B$11,modif2[[nm_cmmn]:[nm_cmmn]],$A43)
+SUMIFS(modif2[[srfcH]:[srfcH]],modif2[inter_N+6],_xlfn.CONCAT(regle!$B$11,2),modif2[[nm_cmmn]:[nm_cmmn]],$A43)</f>
        <v>0</v>
      </c>
      <c r="I43" s="36">
        <f>SUMIFS(modif2[[srfcH]:[srfcH]],modif2[inter_N+7],regle!$B$11,modif2[[nm_cmmn]:[nm_cmmn]],$A43)
+SUMIFS(modif2[[srfcH]:[srfcH]],modif2[inter_N+7],_xlfn.CONCAT(regle!$B$11,2),modif2[[nm_cmmn]:[nm_cmmn]],$A43)</f>
        <v>6.7035</v>
      </c>
      <c r="J43" s="36">
        <f>SUMIFS(modif2[[srfcH]:[srfcH]],modif2[inter_N+8],regle!$B$11,modif2[[nm_cmmn]:[nm_cmmn]],$A43)
+SUMIFS(modif2[[srfcH]:[srfcH]],modif2[inter_N+8],_xlfn.CONCAT(regle!$B$11,2),modif2[[nm_cmmn]:[nm_cmmn]],$A43)</f>
        <v>10.764799999999999</v>
      </c>
      <c r="K43" s="36">
        <f>SUMIFS(modif2[[srfcH]:[srfcH]],modif2[inter_N+9],regle!$B$11,modif2[[nm_cmmn]:[nm_cmmn]],$A43)
+SUMIFS(modif2[[srfcH]:[srfcH]],modif2[inter_N+9],_xlfn.CONCAT(regle!$B$11,2),modif2[[nm_cmmn]:[nm_cmmn]],$A43)</f>
        <v>13.7339</v>
      </c>
      <c r="L43" s="36">
        <f>SUMIFS(modif2[[srfcH]:[srfcH]],modif2[inter_N+10],regle!$B$11,modif2[[nm_cmmn]:[nm_cmmn]],$A43)
+SUMIFS(modif2[[srfcH]:[srfcH]],modif2[inter_N+10],_xlfn.CONCAT(regle!$B$11,2),modif2[[nm_cmmn]:[nm_cmmn]],$A43)</f>
        <v>13.28</v>
      </c>
    </row>
    <row r="44" spans="1:12" ht="15.75" x14ac:dyDescent="0.25">
      <c r="A44" s="32" t="str">
        <f t="shared" si="6"/>
        <v>LE TUZAN</v>
      </c>
      <c r="B44" s="37">
        <f t="shared" si="4"/>
        <v>40.933199999999999</v>
      </c>
      <c r="C44" s="36">
        <f>SUMIFS(modif2[[srfcH]:[srfcH]],modif2[inter_N+1],regle!$B$11,modif2[[nm_cmmn]:[nm_cmmn]],$A44)
+SUMIFS(modif2[[srfcH]:[srfcH]],modif2[inter_N+1],_xlfn.CONCAT(regle!$B$11,2),modif2[[nm_cmmn]:[nm_cmmn]],$A44)</f>
        <v>0.1542</v>
      </c>
      <c r="D44" s="36">
        <f>SUMIFS(modif2[[srfcH]:[srfcH]],modif2[inter_N+2],regle!$B$11,modif2[[nm_cmmn]:[nm_cmmn]],$A44)
+SUMIFS(modif2[[srfcH]:[srfcH]],modif2[inter_N+2],_xlfn.CONCAT(regle!$B$11,2),modif2[[nm_cmmn]:[nm_cmmn]],$A44)</f>
        <v>8.889800000000001</v>
      </c>
      <c r="E44" s="36">
        <f>SUMIFS(modif2[[srfcH]:[srfcH]],modif2[inter_N+3],regle!$B$11,modif2[[nm_cmmn]:[nm_cmmn]],$A44)
+SUMIFS(modif2[[srfcH]:[srfcH]],modif2[inter_N+3],_xlfn.CONCAT(regle!$B$11,2),modif2[[nm_cmmn]:[nm_cmmn]],$A44)</f>
        <v>3.2961</v>
      </c>
      <c r="F44" s="36">
        <f>SUMIFS(modif2[[srfcH]:[srfcH]],modif2[inter_N+4],regle!$B$11,modif2[[nm_cmmn]:[nm_cmmn]],$A44)
+SUMIFS(modif2[[srfcH]:[srfcH]],modif2[inter_N+4],_xlfn.CONCAT(regle!$B$11,2),modif2[[nm_cmmn]:[nm_cmmn]],$A44)</f>
        <v>0</v>
      </c>
      <c r="G44" s="36">
        <f>SUMIFS(modif2[[srfcH]:[srfcH]],modif2[inter_N+5],regle!$B$11,modif2[[nm_cmmn]:[nm_cmmn]],$A44)
+SUMIFS(modif2[[srfcH]:[srfcH]],modif2[inter_N+5],_xlfn.CONCAT(regle!$B$11,2),modif2[[nm_cmmn]:[nm_cmmn]],$A44)</f>
        <v>8.5400000000000004E-2</v>
      </c>
      <c r="H44" s="36">
        <f>SUMIFS(modif2[[srfcH]:[srfcH]],modif2[inter_N+6],regle!$B$11,modif2[[nm_cmmn]:[nm_cmmn]],$A44)
+SUMIFS(modif2[[srfcH]:[srfcH]],modif2[inter_N+6],_xlfn.CONCAT(regle!$B$11,2),modif2[[nm_cmmn]:[nm_cmmn]],$A44)</f>
        <v>17.860299999999999</v>
      </c>
      <c r="I44" s="36">
        <f>SUMIFS(modif2[[srfcH]:[srfcH]],modif2[inter_N+7],regle!$B$11,modif2[[nm_cmmn]:[nm_cmmn]],$A44)
+SUMIFS(modif2[[srfcH]:[srfcH]],modif2[inter_N+7],_xlfn.CONCAT(regle!$B$11,2),modif2[[nm_cmmn]:[nm_cmmn]],$A44)</f>
        <v>0</v>
      </c>
      <c r="J44" s="36">
        <f>SUMIFS(modif2[[srfcH]:[srfcH]],modif2[inter_N+8],regle!$B$11,modif2[[nm_cmmn]:[nm_cmmn]],$A44)
+SUMIFS(modif2[[srfcH]:[srfcH]],modif2[inter_N+8],_xlfn.CONCAT(regle!$B$11,2),modif2[[nm_cmmn]:[nm_cmmn]],$A44)</f>
        <v>9.8875999999999991</v>
      </c>
      <c r="K44" s="36">
        <f>SUMIFS(modif2[[srfcH]:[srfcH]],modif2[inter_N+9],regle!$B$11,modif2[[nm_cmmn]:[nm_cmmn]],$A44)
+SUMIFS(modif2[[srfcH]:[srfcH]],modif2[inter_N+9],_xlfn.CONCAT(regle!$B$11,2),modif2[[nm_cmmn]:[nm_cmmn]],$A44)</f>
        <v>0</v>
      </c>
      <c r="L44" s="36">
        <f>SUMIFS(modif2[[srfcH]:[srfcH]],modif2[inter_N+10],regle!$B$11,modif2[[nm_cmmn]:[nm_cmmn]],$A44)
+SUMIFS(modif2[[srfcH]:[srfcH]],modif2[inter_N+10],_xlfn.CONCAT(regle!$B$11,2),modif2[[nm_cmmn]:[nm_cmmn]],$A44)</f>
        <v>0.75980000000000003</v>
      </c>
    </row>
    <row r="46" spans="1:12" ht="18.75" x14ac:dyDescent="0.3">
      <c r="A46" s="39" t="s">
        <v>1893</v>
      </c>
    </row>
    <row r="47" spans="1:12" ht="15.75" x14ac:dyDescent="0.25">
      <c r="A47" s="30" t="s">
        <v>1816</v>
      </c>
      <c r="B47" s="31" t="s">
        <v>0</v>
      </c>
      <c r="C47" s="31">
        <f>C35</f>
        <v>2024</v>
      </c>
      <c r="D47" s="31">
        <f t="shared" ref="D47:L47" si="7">D35</f>
        <v>2025</v>
      </c>
      <c r="E47" s="31">
        <f t="shared" si="7"/>
        <v>2026</v>
      </c>
      <c r="F47" s="31">
        <f t="shared" si="7"/>
        <v>2027</v>
      </c>
      <c r="G47" s="31">
        <f t="shared" si="7"/>
        <v>2028</v>
      </c>
      <c r="H47" s="31">
        <f t="shared" si="7"/>
        <v>2029</v>
      </c>
      <c r="I47" s="31">
        <f t="shared" si="7"/>
        <v>2030</v>
      </c>
      <c r="J47" s="31">
        <f t="shared" si="7"/>
        <v>2031</v>
      </c>
      <c r="K47" s="31">
        <f t="shared" si="7"/>
        <v>2032</v>
      </c>
      <c r="L47" s="31">
        <f t="shared" si="7"/>
        <v>2033</v>
      </c>
    </row>
    <row r="48" spans="1:12" ht="15.75" x14ac:dyDescent="0.25">
      <c r="A48" s="32" t="str">
        <f>A36</f>
        <v>BASE :</v>
      </c>
      <c r="B48" s="40">
        <f t="shared" ref="B48:B56" si="8">SUM(C48:L48)</f>
        <v>108</v>
      </c>
      <c r="C48" s="41">
        <f>COUNTIFS(modif0[inter_N+1],regle!$B$11)</f>
        <v>94</v>
      </c>
      <c r="D48" s="41">
        <f>COUNTIFS(modif0[inter_N+2],regle!$B$11)</f>
        <v>0</v>
      </c>
      <c r="E48" s="41">
        <f>COUNTIFS(modif0[inter_N+3],regle!$B$11)</f>
        <v>3</v>
      </c>
      <c r="F48" s="41">
        <f>COUNTIFS(modif0[inter_N+4],regle!$B$11)</f>
        <v>0</v>
      </c>
      <c r="G48" s="41">
        <f>COUNTIFS(modif0[inter_N+5],regle!$B$11)</f>
        <v>0</v>
      </c>
      <c r="H48" s="41">
        <f>COUNTIFS(modif0[inter_N+6],regle!$B$11)</f>
        <v>9</v>
      </c>
      <c r="I48" s="41">
        <f>COUNTIFS(modif0[inter_N+7],regle!$B$11)</f>
        <v>1</v>
      </c>
      <c r="J48" s="41">
        <f>COUNTIFS(modif0[inter_N+8],regle!$B$11)</f>
        <v>0</v>
      </c>
      <c r="K48" s="41">
        <f>COUNTIFS(modif0[inter_N+9],regle!$B$11)</f>
        <v>1</v>
      </c>
      <c r="L48" s="41">
        <f>COUNTIFS(modif0[inter_N+10],regle!$B$11)</f>
        <v>0</v>
      </c>
    </row>
    <row r="49" spans="1:12" ht="15.75" x14ac:dyDescent="0.25">
      <c r="A49" s="32" t="str">
        <f>A37</f>
        <v>MAX :</v>
      </c>
      <c r="B49" s="40">
        <f t="shared" si="8"/>
        <v>141</v>
      </c>
      <c r="C49" s="41">
        <f>COUNTIFS(modif1[inter_N+1],regle!$B$11)</f>
        <v>94</v>
      </c>
      <c r="D49" s="41">
        <f>COUNTIFS(modif1[inter_N+2],regle!$B$11)</f>
        <v>11</v>
      </c>
      <c r="E49" s="41">
        <f>COUNTIFS(modif1[inter_N+3],regle!$B$11)</f>
        <v>3</v>
      </c>
      <c r="F49" s="41">
        <f>COUNTIFS(modif1[inter_N+4],regle!$B$11)</f>
        <v>0</v>
      </c>
      <c r="G49" s="41">
        <f>COUNTIFS(modif1[inter_N+5],regle!$B$11)</f>
        <v>0</v>
      </c>
      <c r="H49" s="41">
        <f>COUNTIFS(modif1[inter_N+6],regle!$B$11)</f>
        <v>3</v>
      </c>
      <c r="I49" s="41">
        <f>COUNTIFS(modif1[inter_N+7],regle!$B$11)</f>
        <v>10</v>
      </c>
      <c r="J49" s="41">
        <f>COUNTIFS(modif1[inter_N+8],regle!$B$11)</f>
        <v>6</v>
      </c>
      <c r="K49" s="41">
        <f>COUNTIFS(modif1[inter_N+9],regle!$B$11)</f>
        <v>2</v>
      </c>
      <c r="L49" s="41">
        <f>COUNTIFS(modif1[inter_N+10],regle!$B$11)</f>
        <v>12</v>
      </c>
    </row>
    <row r="50" spans="1:12" ht="15.75" x14ac:dyDescent="0.25">
      <c r="A50" s="29" t="str">
        <f>A38</f>
        <v>TOTAL :</v>
      </c>
      <c r="B50" s="40">
        <f t="shared" si="8"/>
        <v>140</v>
      </c>
      <c r="C50" s="42">
        <f t="shared" ref="C50:L50" si="9">SUM(C51:C56)</f>
        <v>53</v>
      </c>
      <c r="D50" s="42">
        <f t="shared" si="9"/>
        <v>41</v>
      </c>
      <c r="E50" s="42">
        <f t="shared" si="9"/>
        <v>13</v>
      </c>
      <c r="F50" s="42">
        <f t="shared" si="9"/>
        <v>0</v>
      </c>
      <c r="G50" s="42">
        <f t="shared" si="9"/>
        <v>1</v>
      </c>
      <c r="H50" s="42">
        <f t="shared" si="9"/>
        <v>3</v>
      </c>
      <c r="I50" s="42">
        <f t="shared" si="9"/>
        <v>7</v>
      </c>
      <c r="J50" s="42">
        <f t="shared" si="9"/>
        <v>8</v>
      </c>
      <c r="K50" s="42">
        <f t="shared" si="9"/>
        <v>1</v>
      </c>
      <c r="L50" s="42">
        <f t="shared" si="9"/>
        <v>13</v>
      </c>
    </row>
    <row r="51" spans="1:12" ht="15.75" x14ac:dyDescent="0.25">
      <c r="A51" s="32" t="str">
        <f>A39</f>
        <v>CABANAC-ET-VILLAGRAINS</v>
      </c>
      <c r="B51" s="40">
        <f t="shared" si="8"/>
        <v>2</v>
      </c>
      <c r="C51" s="43">
        <f>COUNTIFS(modif2[inter_N+1],regle!$B$11,modif2[[nm_cmmn]:[nm_cmmn]],$A51)
+COUNTIFS(modif2[inter_N+1],_xlfn.CONCAT(regle!$B$11,2),modif2[[nm_cmmn]:[nm_cmmn]],$A51)</f>
        <v>0</v>
      </c>
      <c r="D51" s="43">
        <f>COUNTIFS(modif2[inter_N+2],regle!$B$11,modif2[[nm_cmmn]:[nm_cmmn]],$A51)
+COUNTIFS(modif2[inter_N+2],_xlfn.CONCAT(regle!$B$11,2),modif2[[nm_cmmn]:[nm_cmmn]],$A51)</f>
        <v>0</v>
      </c>
      <c r="E51" s="43">
        <f>COUNTIFS(modif2[inter_N+3],regle!$B$11,modif2[[nm_cmmn]:[nm_cmmn]],$A51)
+COUNTIFS(modif2[inter_N+3],_xlfn.CONCAT(regle!$B$11,2),modif2[[nm_cmmn]:[nm_cmmn]],$A51)</f>
        <v>0</v>
      </c>
      <c r="F51" s="43">
        <f>COUNTIFS(modif2[inter_N+4],regle!$B$11,modif2[[nm_cmmn]:[nm_cmmn]],$A51)
+COUNTIFS(modif2[inter_N+4],_xlfn.CONCAT(regle!$B$11,2),modif2[[nm_cmmn]:[nm_cmmn]],$A51)</f>
        <v>0</v>
      </c>
      <c r="G51" s="43">
        <f>COUNTIFS(modif2[inter_N+5],regle!$B$11,modif2[[nm_cmmn]:[nm_cmmn]],$A51)
+COUNTIFS(modif2[inter_N+5],_xlfn.CONCAT(regle!$B$11,2),modif2[[nm_cmmn]:[nm_cmmn]],$A51)</f>
        <v>0</v>
      </c>
      <c r="H51" s="43">
        <f>COUNTIFS(modif2[inter_N+6],regle!$B$11,modif2[[nm_cmmn]:[nm_cmmn]],$A51)
+COUNTIFS(modif2[inter_N+6],_xlfn.CONCAT(regle!$B$11,2),modif2[[nm_cmmn]:[nm_cmmn]],$A51)</f>
        <v>0</v>
      </c>
      <c r="I51" s="43">
        <f>COUNTIFS(modif2[inter_N+7],regle!$B$11,modif2[[nm_cmmn]:[nm_cmmn]],$A51)
+COUNTIFS(modif2[inter_N+7],_xlfn.CONCAT(regle!$B$11,2),modif2[[nm_cmmn]:[nm_cmmn]],$A51)</f>
        <v>0</v>
      </c>
      <c r="J51" s="43">
        <f>COUNTIFS(modif2[inter_N+8],regle!$B$11,modif2[[nm_cmmn]:[nm_cmmn]],$A51)
+COUNTIFS(modif2[inter_N+8],_xlfn.CONCAT(regle!$B$11,2),modif2[[nm_cmmn]:[nm_cmmn]],$A51)</f>
        <v>1</v>
      </c>
      <c r="K51" s="43">
        <f>COUNTIFS(modif2[inter_N+9],regle!$B$11,modif2[[nm_cmmn]:[nm_cmmn]],$A51)
+COUNTIFS(modif2[inter_N+9],_xlfn.CONCAT(regle!$B$11,2),modif2[[nm_cmmn]:[nm_cmmn]],$A51)</f>
        <v>0</v>
      </c>
      <c r="L51" s="43">
        <f>COUNTIFS(modif2[inter_N+10],regle!$B$11,modif2[[nm_cmmn]:[nm_cmmn]],$A51)
+COUNTIFS(modif2[inter_N+10],_xlfn.CONCAT(regle!$B$11,2),modif2[[nm_cmmn]:[nm_cmmn]],$A51)</f>
        <v>1</v>
      </c>
    </row>
    <row r="52" spans="1:12" ht="15.75" x14ac:dyDescent="0.25">
      <c r="A52" s="32" t="str">
        <f t="shared" ref="A52:A56" si="10">A40</f>
        <v>MANO</v>
      </c>
      <c r="B52" s="40">
        <f t="shared" si="8"/>
        <v>61</v>
      </c>
      <c r="C52" s="43">
        <f>COUNTIFS(modif2[inter_N+1],regle!$B$11,modif2[[nm_cmmn]:[nm_cmmn]],$A52)
+COUNTIFS(modif2[inter_N+1],_xlfn.CONCAT(regle!$B$11,2),modif2[[nm_cmmn]:[nm_cmmn]],$A52)</f>
        <v>33</v>
      </c>
      <c r="D52" s="43">
        <f>COUNTIFS(modif2[inter_N+2],regle!$B$11,modif2[[nm_cmmn]:[nm_cmmn]],$A52)
+COUNTIFS(modif2[inter_N+2],_xlfn.CONCAT(regle!$B$11,2),modif2[[nm_cmmn]:[nm_cmmn]],$A52)</f>
        <v>26</v>
      </c>
      <c r="E52" s="43">
        <f>COUNTIFS(modif2[inter_N+3],regle!$B$11,modif2[[nm_cmmn]:[nm_cmmn]],$A52)
+COUNTIFS(modif2[inter_N+3],_xlfn.CONCAT(regle!$B$11,2),modif2[[nm_cmmn]:[nm_cmmn]],$A52)</f>
        <v>0</v>
      </c>
      <c r="F52" s="43">
        <f>COUNTIFS(modif2[inter_N+4],regle!$B$11,modif2[[nm_cmmn]:[nm_cmmn]],$A52)
+COUNTIFS(modif2[inter_N+4],_xlfn.CONCAT(regle!$B$11,2),modif2[[nm_cmmn]:[nm_cmmn]],$A52)</f>
        <v>0</v>
      </c>
      <c r="G52" s="43">
        <f>COUNTIFS(modif2[inter_N+5],regle!$B$11,modif2[[nm_cmmn]:[nm_cmmn]],$A52)
+COUNTIFS(modif2[inter_N+5],_xlfn.CONCAT(regle!$B$11,2),modif2[[nm_cmmn]:[nm_cmmn]],$A52)</f>
        <v>0</v>
      </c>
      <c r="H52" s="43">
        <f>COUNTIFS(modif2[inter_N+6],regle!$B$11,modif2[[nm_cmmn]:[nm_cmmn]],$A52)
+COUNTIFS(modif2[inter_N+6],_xlfn.CONCAT(regle!$B$11,2),modif2[[nm_cmmn]:[nm_cmmn]],$A52)</f>
        <v>0</v>
      </c>
      <c r="I52" s="43">
        <f>COUNTIFS(modif2[inter_N+7],regle!$B$11,modif2[[nm_cmmn]:[nm_cmmn]],$A52)
+COUNTIFS(modif2[inter_N+7],_xlfn.CONCAT(regle!$B$11,2),modif2[[nm_cmmn]:[nm_cmmn]],$A52)</f>
        <v>0</v>
      </c>
      <c r="J52" s="43">
        <f>COUNTIFS(modif2[inter_N+8],regle!$B$11,modif2[[nm_cmmn]:[nm_cmmn]],$A52)
+COUNTIFS(modif2[inter_N+8],_xlfn.CONCAT(regle!$B$11,2),modif2[[nm_cmmn]:[nm_cmmn]],$A52)</f>
        <v>0</v>
      </c>
      <c r="K52" s="43">
        <f>COUNTIFS(modif2[inter_N+9],regle!$B$11,modif2[[nm_cmmn]:[nm_cmmn]],$A52)
+COUNTIFS(modif2[inter_N+9],_xlfn.CONCAT(regle!$B$11,2),modif2[[nm_cmmn]:[nm_cmmn]],$A52)</f>
        <v>0</v>
      </c>
      <c r="L52" s="43">
        <f>COUNTIFS(modif2[inter_N+10],regle!$B$11,modif2[[nm_cmmn]:[nm_cmmn]],$A52)
+COUNTIFS(modif2[inter_N+10],_xlfn.CONCAT(regle!$B$11,2),modif2[[nm_cmmn]:[nm_cmmn]],$A52)</f>
        <v>2</v>
      </c>
    </row>
    <row r="53" spans="1:12" ht="15.75" x14ac:dyDescent="0.25">
      <c r="A53" s="32" t="str">
        <f t="shared" si="10"/>
        <v>GUILLOS</v>
      </c>
      <c r="B53" s="40">
        <f t="shared" si="8"/>
        <v>1</v>
      </c>
      <c r="C53" s="43">
        <f>COUNTIFS(modif2[inter_N+1],regle!$B$11,modif2[[nm_cmmn]:[nm_cmmn]],$A53)
+COUNTIFS(modif2[inter_N+1],_xlfn.CONCAT(regle!$B$11,2),modif2[[nm_cmmn]:[nm_cmmn]],$A53)</f>
        <v>0</v>
      </c>
      <c r="D53" s="43">
        <f>COUNTIFS(modif2[inter_N+2],regle!$B$11,modif2[[nm_cmmn]:[nm_cmmn]],$A53)
+COUNTIFS(modif2[inter_N+2],_xlfn.CONCAT(regle!$B$11,2),modif2[[nm_cmmn]:[nm_cmmn]],$A53)</f>
        <v>0</v>
      </c>
      <c r="E53" s="43">
        <f>COUNTIFS(modif2[inter_N+3],regle!$B$11,modif2[[nm_cmmn]:[nm_cmmn]],$A53)
+COUNTIFS(modif2[inter_N+3],_xlfn.CONCAT(regle!$B$11,2),modif2[[nm_cmmn]:[nm_cmmn]],$A53)</f>
        <v>0</v>
      </c>
      <c r="F53" s="43">
        <f>COUNTIFS(modif2[inter_N+4],regle!$B$11,modif2[[nm_cmmn]:[nm_cmmn]],$A53)
+COUNTIFS(modif2[inter_N+4],_xlfn.CONCAT(regle!$B$11,2),modif2[[nm_cmmn]:[nm_cmmn]],$A53)</f>
        <v>0</v>
      </c>
      <c r="G53" s="43">
        <f>COUNTIFS(modif2[inter_N+5],regle!$B$11,modif2[[nm_cmmn]:[nm_cmmn]],$A53)
+COUNTIFS(modif2[inter_N+5],_xlfn.CONCAT(regle!$B$11,2),modif2[[nm_cmmn]:[nm_cmmn]],$A53)</f>
        <v>0</v>
      </c>
      <c r="H53" s="43">
        <f>COUNTIFS(modif2[inter_N+6],regle!$B$11,modif2[[nm_cmmn]:[nm_cmmn]],$A53)
+COUNTIFS(modif2[inter_N+6],_xlfn.CONCAT(regle!$B$11,2),modif2[[nm_cmmn]:[nm_cmmn]],$A53)</f>
        <v>0</v>
      </c>
      <c r="I53" s="43">
        <f>COUNTIFS(modif2[inter_N+7],regle!$B$11,modif2[[nm_cmmn]:[nm_cmmn]],$A53)
+COUNTIFS(modif2[inter_N+7],_xlfn.CONCAT(regle!$B$11,2),modif2[[nm_cmmn]:[nm_cmmn]],$A53)</f>
        <v>0</v>
      </c>
      <c r="J53" s="43">
        <f>COUNTIFS(modif2[inter_N+8],regle!$B$11,modif2[[nm_cmmn]:[nm_cmmn]],$A53)
+COUNTIFS(modif2[inter_N+8],_xlfn.CONCAT(regle!$B$11,2),modif2[[nm_cmmn]:[nm_cmmn]],$A53)</f>
        <v>1</v>
      </c>
      <c r="K53" s="43">
        <f>COUNTIFS(modif2[inter_N+9],regle!$B$11,modif2[[nm_cmmn]:[nm_cmmn]],$A53)
+COUNTIFS(modif2[inter_N+9],_xlfn.CONCAT(regle!$B$11,2),modif2[[nm_cmmn]:[nm_cmmn]],$A53)</f>
        <v>0</v>
      </c>
      <c r="L53" s="43">
        <f>COUNTIFS(modif2[inter_N+10],regle!$B$11,modif2[[nm_cmmn]:[nm_cmmn]],$A53)
+COUNTIFS(modif2[inter_N+10],_xlfn.CONCAT(regle!$B$11,2),modif2[[nm_cmmn]:[nm_cmmn]],$A53)</f>
        <v>0</v>
      </c>
    </row>
    <row r="54" spans="1:12" ht="15.75" x14ac:dyDescent="0.25">
      <c r="A54" s="32" t="str">
        <f t="shared" si="10"/>
        <v>MOUSTEY</v>
      </c>
      <c r="B54" s="40">
        <f t="shared" si="8"/>
        <v>18</v>
      </c>
      <c r="C54" s="43">
        <f>COUNTIFS(modif2[inter_N+1],regle!$B$11,modif2[[nm_cmmn]:[nm_cmmn]],$A54)
+COUNTIFS(modif2[inter_N+1],_xlfn.CONCAT(regle!$B$11,2),modif2[[nm_cmmn]:[nm_cmmn]],$A54)</f>
        <v>13</v>
      </c>
      <c r="D54" s="43">
        <f>COUNTIFS(modif2[inter_N+2],regle!$B$11,modif2[[nm_cmmn]:[nm_cmmn]],$A54)
+COUNTIFS(modif2[inter_N+2],_xlfn.CONCAT(regle!$B$11,2),modif2[[nm_cmmn]:[nm_cmmn]],$A54)</f>
        <v>5</v>
      </c>
      <c r="E54" s="43">
        <f>COUNTIFS(modif2[inter_N+3],regle!$B$11,modif2[[nm_cmmn]:[nm_cmmn]],$A54)
+COUNTIFS(modif2[inter_N+3],_xlfn.CONCAT(regle!$B$11,2),modif2[[nm_cmmn]:[nm_cmmn]],$A54)</f>
        <v>0</v>
      </c>
      <c r="F54" s="43">
        <f>COUNTIFS(modif2[inter_N+4],regle!$B$11,modif2[[nm_cmmn]:[nm_cmmn]],$A54)
+COUNTIFS(modif2[inter_N+4],_xlfn.CONCAT(regle!$B$11,2),modif2[[nm_cmmn]:[nm_cmmn]],$A54)</f>
        <v>0</v>
      </c>
      <c r="G54" s="43">
        <f>COUNTIFS(modif2[inter_N+5],regle!$B$11,modif2[[nm_cmmn]:[nm_cmmn]],$A54)
+COUNTIFS(modif2[inter_N+5],_xlfn.CONCAT(regle!$B$11,2),modif2[[nm_cmmn]:[nm_cmmn]],$A54)</f>
        <v>0</v>
      </c>
      <c r="H54" s="43">
        <f>COUNTIFS(modif2[inter_N+6],regle!$B$11,modif2[[nm_cmmn]:[nm_cmmn]],$A54)
+COUNTIFS(modif2[inter_N+6],_xlfn.CONCAT(regle!$B$11,2),modif2[[nm_cmmn]:[nm_cmmn]],$A54)</f>
        <v>0</v>
      </c>
      <c r="I54" s="43">
        <f>COUNTIFS(modif2[inter_N+7],regle!$B$11,modif2[[nm_cmmn]:[nm_cmmn]],$A54)
+COUNTIFS(modif2[inter_N+7],_xlfn.CONCAT(regle!$B$11,2),modif2[[nm_cmmn]:[nm_cmmn]],$A54)</f>
        <v>0</v>
      </c>
      <c r="J54" s="43">
        <f>COUNTIFS(modif2[inter_N+8],regle!$B$11,modif2[[nm_cmmn]:[nm_cmmn]],$A54)
+COUNTIFS(modif2[inter_N+8],_xlfn.CONCAT(regle!$B$11,2),modif2[[nm_cmmn]:[nm_cmmn]],$A54)</f>
        <v>0</v>
      </c>
      <c r="K54" s="43">
        <f>COUNTIFS(modif2[inter_N+9],regle!$B$11,modif2[[nm_cmmn]:[nm_cmmn]],$A54)
+COUNTIFS(modif2[inter_N+9],_xlfn.CONCAT(regle!$B$11,2),modif2[[nm_cmmn]:[nm_cmmn]],$A54)</f>
        <v>0</v>
      </c>
      <c r="L54" s="43">
        <f>COUNTIFS(modif2[inter_N+10],regle!$B$11,modif2[[nm_cmmn]:[nm_cmmn]],$A54)
+COUNTIFS(modif2[inter_N+10],_xlfn.CONCAT(regle!$B$11,2),modif2[[nm_cmmn]:[nm_cmmn]],$A54)</f>
        <v>0</v>
      </c>
    </row>
    <row r="55" spans="1:12" ht="15.75" x14ac:dyDescent="0.25">
      <c r="A55" s="32" t="str">
        <f t="shared" si="10"/>
        <v>HOSTENS</v>
      </c>
      <c r="B55" s="40">
        <f t="shared" si="8"/>
        <v>46</v>
      </c>
      <c r="C55" s="43">
        <f>COUNTIFS(modif2[inter_N+1],regle!$B$11,modif2[[nm_cmmn]:[nm_cmmn]],$A55)
+COUNTIFS(modif2[inter_N+1],_xlfn.CONCAT(regle!$B$11,2),modif2[[nm_cmmn]:[nm_cmmn]],$A55)</f>
        <v>6</v>
      </c>
      <c r="D55" s="43">
        <f>COUNTIFS(modif2[inter_N+2],regle!$B$11,modif2[[nm_cmmn]:[nm_cmmn]],$A55)
+COUNTIFS(modif2[inter_N+2],_xlfn.CONCAT(regle!$B$11,2),modif2[[nm_cmmn]:[nm_cmmn]],$A55)</f>
        <v>8</v>
      </c>
      <c r="E55" s="43">
        <f>COUNTIFS(modif2[inter_N+3],regle!$B$11,modif2[[nm_cmmn]:[nm_cmmn]],$A55)
+COUNTIFS(modif2[inter_N+3],_xlfn.CONCAT(regle!$B$11,2),modif2[[nm_cmmn]:[nm_cmmn]],$A55)</f>
        <v>12</v>
      </c>
      <c r="F55" s="43">
        <f>COUNTIFS(modif2[inter_N+4],regle!$B$11,modif2[[nm_cmmn]:[nm_cmmn]],$A55)
+COUNTIFS(modif2[inter_N+4],_xlfn.CONCAT(regle!$B$11,2),modif2[[nm_cmmn]:[nm_cmmn]],$A55)</f>
        <v>0</v>
      </c>
      <c r="G55" s="43">
        <f>COUNTIFS(modif2[inter_N+5],regle!$B$11,modif2[[nm_cmmn]:[nm_cmmn]],$A55)
+COUNTIFS(modif2[inter_N+5],_xlfn.CONCAT(regle!$B$11,2),modif2[[nm_cmmn]:[nm_cmmn]],$A55)</f>
        <v>0</v>
      </c>
      <c r="H55" s="43">
        <f>COUNTIFS(modif2[inter_N+6],regle!$B$11,modif2[[nm_cmmn]:[nm_cmmn]],$A55)
+COUNTIFS(modif2[inter_N+6],_xlfn.CONCAT(regle!$B$11,2),modif2[[nm_cmmn]:[nm_cmmn]],$A55)</f>
        <v>0</v>
      </c>
      <c r="I55" s="43">
        <f>COUNTIFS(modif2[inter_N+7],regle!$B$11,modif2[[nm_cmmn]:[nm_cmmn]],$A55)
+COUNTIFS(modif2[inter_N+7],_xlfn.CONCAT(regle!$B$11,2),modif2[[nm_cmmn]:[nm_cmmn]],$A55)</f>
        <v>7</v>
      </c>
      <c r="J55" s="43">
        <f>COUNTIFS(modif2[inter_N+8],regle!$B$11,modif2[[nm_cmmn]:[nm_cmmn]],$A55)
+COUNTIFS(modif2[inter_N+8],_xlfn.CONCAT(regle!$B$11,2),modif2[[nm_cmmn]:[nm_cmmn]],$A55)</f>
        <v>3</v>
      </c>
      <c r="K55" s="43">
        <f>COUNTIFS(modif2[inter_N+9],regle!$B$11,modif2[[nm_cmmn]:[nm_cmmn]],$A55)
+COUNTIFS(modif2[inter_N+9],_xlfn.CONCAT(regle!$B$11,2),modif2[[nm_cmmn]:[nm_cmmn]],$A55)</f>
        <v>1</v>
      </c>
      <c r="L55" s="43">
        <f>COUNTIFS(modif2[inter_N+10],regle!$B$11,modif2[[nm_cmmn]:[nm_cmmn]],$A55)
+COUNTIFS(modif2[inter_N+10],_xlfn.CONCAT(regle!$B$11,2),modif2[[nm_cmmn]:[nm_cmmn]],$A55)</f>
        <v>9</v>
      </c>
    </row>
    <row r="56" spans="1:12" ht="15.75" x14ac:dyDescent="0.25">
      <c r="A56" s="32" t="str">
        <f t="shared" si="10"/>
        <v>LE TUZAN</v>
      </c>
      <c r="B56" s="40">
        <f t="shared" si="8"/>
        <v>12</v>
      </c>
      <c r="C56" s="43">
        <f>COUNTIFS(modif2[inter_N+1],regle!$B$11,modif2[[nm_cmmn]:[nm_cmmn]],$A56)
+COUNTIFS(modif2[inter_N+1],_xlfn.CONCAT(regle!$B$11,2),modif2[[nm_cmmn]:[nm_cmmn]],$A56)</f>
        <v>1</v>
      </c>
      <c r="D56" s="43">
        <f>COUNTIFS(modif2[inter_N+2],regle!$B$11,modif2[[nm_cmmn]:[nm_cmmn]],$A56)
+COUNTIFS(modif2[inter_N+2],_xlfn.CONCAT(regle!$B$11,2),modif2[[nm_cmmn]:[nm_cmmn]],$A56)</f>
        <v>2</v>
      </c>
      <c r="E56" s="43">
        <f>COUNTIFS(modif2[inter_N+3],regle!$B$11,modif2[[nm_cmmn]:[nm_cmmn]],$A56)
+COUNTIFS(modif2[inter_N+3],_xlfn.CONCAT(regle!$B$11,2),modif2[[nm_cmmn]:[nm_cmmn]],$A56)</f>
        <v>1</v>
      </c>
      <c r="F56" s="43">
        <f>COUNTIFS(modif2[inter_N+4],regle!$B$11,modif2[[nm_cmmn]:[nm_cmmn]],$A56)
+COUNTIFS(modif2[inter_N+4],_xlfn.CONCAT(regle!$B$11,2),modif2[[nm_cmmn]:[nm_cmmn]],$A56)</f>
        <v>0</v>
      </c>
      <c r="G56" s="43">
        <f>COUNTIFS(modif2[inter_N+5],regle!$B$11,modif2[[nm_cmmn]:[nm_cmmn]],$A56)
+COUNTIFS(modif2[inter_N+5],_xlfn.CONCAT(regle!$B$11,2),modif2[[nm_cmmn]:[nm_cmmn]],$A56)</f>
        <v>1</v>
      </c>
      <c r="H56" s="43">
        <f>COUNTIFS(modif2[inter_N+6],regle!$B$11,modif2[[nm_cmmn]:[nm_cmmn]],$A56)
+COUNTIFS(modif2[inter_N+6],_xlfn.CONCAT(regle!$B$11,2),modif2[[nm_cmmn]:[nm_cmmn]],$A56)</f>
        <v>3</v>
      </c>
      <c r="I56" s="43">
        <f>COUNTIFS(modif2[inter_N+7],regle!$B$11,modif2[[nm_cmmn]:[nm_cmmn]],$A56)
+COUNTIFS(modif2[inter_N+7],_xlfn.CONCAT(regle!$B$11,2),modif2[[nm_cmmn]:[nm_cmmn]],$A56)</f>
        <v>0</v>
      </c>
      <c r="J56" s="43">
        <f>COUNTIFS(modif2[inter_N+8],regle!$B$11,modif2[[nm_cmmn]:[nm_cmmn]],$A56)
+COUNTIFS(modif2[inter_N+8],_xlfn.CONCAT(regle!$B$11,2),modif2[[nm_cmmn]:[nm_cmmn]],$A56)</f>
        <v>3</v>
      </c>
      <c r="K56" s="43">
        <f>COUNTIFS(modif2[inter_N+9],regle!$B$11,modif2[[nm_cmmn]:[nm_cmmn]],$A56)
+COUNTIFS(modif2[inter_N+9],_xlfn.CONCAT(regle!$B$11,2),modif2[[nm_cmmn]:[nm_cmmn]],$A56)</f>
        <v>0</v>
      </c>
      <c r="L56" s="43">
        <f>COUNTIFS(modif2[inter_N+10],regle!$B$11,modif2[[nm_cmmn]:[nm_cmmn]],$A56)
+COUNTIFS(modif2[inter_N+10],_xlfn.CONCAT(regle!$B$11,2),modif2[[nm_cmmn]:[nm_cmmn]],$A56)</f>
        <v>1</v>
      </c>
    </row>
  </sheetData>
  <pageMargins left="0.25" right="0.25" top="0.75" bottom="0.75" header="0.3" footer="0.3"/>
  <pageSetup paperSize="9" scale="91" orientation="portrait" r:id="rId1"/>
  <colBreaks count="1" manualBreakCount="1">
    <brk id="12" max="1048575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6CA6D-DA80-497E-B3C9-2091DF449D3F}">
  <sheetPr codeName="Feuil1"/>
  <dimension ref="A1:AT376"/>
  <sheetViews>
    <sheetView workbookViewId="0">
      <selection activeCell="C6" sqref="C6"/>
    </sheetView>
  </sheetViews>
  <sheetFormatPr baseColWidth="10" defaultRowHeight="15" x14ac:dyDescent="0.25"/>
  <cols>
    <col min="1" max="1" width="15.85546875" style="33" customWidth="1"/>
    <col min="2" max="2" width="10.7109375" style="33" bestFit="1" customWidth="1"/>
    <col min="3" max="4" width="12.5703125" style="33" bestFit="1" customWidth="1"/>
    <col min="5" max="5" width="11.42578125" style="33" bestFit="1" customWidth="1"/>
    <col min="6" max="7" width="8.5703125" style="33" bestFit="1" customWidth="1"/>
    <col min="8" max="12" width="11.42578125" style="33" bestFit="1" customWidth="1"/>
  </cols>
  <sheetData>
    <row r="1" spans="1:46" ht="18.75" x14ac:dyDescent="0.3">
      <c r="A1" s="39" t="s">
        <v>1891</v>
      </c>
    </row>
    <row r="2" spans="1:46" ht="15.75" x14ac:dyDescent="0.25">
      <c r="A2" s="30" t="s">
        <v>1816</v>
      </c>
      <c r="B2" s="31" t="s">
        <v>0</v>
      </c>
      <c r="C2" s="31">
        <f>regle!B2</f>
        <v>2024</v>
      </c>
      <c r="D2" s="31">
        <f>regle!C2</f>
        <v>2025</v>
      </c>
      <c r="E2" s="31">
        <f>regle!D2</f>
        <v>2026</v>
      </c>
      <c r="F2" s="31">
        <f>regle!E2</f>
        <v>2027</v>
      </c>
      <c r="G2" s="31">
        <f>regle!F2</f>
        <v>2028</v>
      </c>
      <c r="H2" s="31">
        <f>regle!G2</f>
        <v>2029</v>
      </c>
      <c r="I2" s="31">
        <f>regle!H2</f>
        <v>2030</v>
      </c>
      <c r="J2" s="31">
        <f>regle!I2</f>
        <v>2031</v>
      </c>
      <c r="K2" s="31">
        <f>regle!J2</f>
        <v>2032</v>
      </c>
      <c r="L2" s="31">
        <f>regle!K2</f>
        <v>2033</v>
      </c>
      <c r="AT2">
        <v>40</v>
      </c>
    </row>
    <row r="3" spans="1:46" ht="15.75" x14ac:dyDescent="0.25">
      <c r="A3" s="32" t="str">
        <f>Revenu!A43</f>
        <v>BASE :</v>
      </c>
      <c r="B3" s="28">
        <f t="shared" ref="B3:B11" si="0">SUM(C3:L3)</f>
        <v>-50822.081999999995</v>
      </c>
      <c r="C3" s="26">
        <f>SUM(SUMIFS(modif0[budget_N+1],modif0[inter_N+1],regle!$C$11),SUMIFS(modif0[budget_N+1],modif0[inter_N+1],regle!$D$11),SUMIFS(modif0[budget_N+1],modif0[inter_N+1],regle!$E$11))</f>
        <v>-2576.7000000000003</v>
      </c>
      <c r="D3" s="26">
        <f>SUM(SUMIFS(modif0[budget_N+2],modif0[inter_N+2],regle!$C$11),SUMIFS(modif0[budget_N+2],modif0[inter_N+2],regle!$D$11),SUMIFS(modif0[budget_N+2],modif0[inter_N+2],regle!$E$11))</f>
        <v>-4447.4970000000003</v>
      </c>
      <c r="E3" s="26">
        <f>SUM(SUMIFS(modif0[budget_N+3],modif0[inter_N+3],regle!$C$11),SUMIFS(modif0[budget_N+3],modif0[inter_N+3],regle!$D$11),SUMIFS(modif0[budget_N+3],modif0[inter_N+3],regle!$E$11))</f>
        <v>-13003.951500000003</v>
      </c>
      <c r="F3" s="26">
        <f>SUM(SUMIFS(modif0[budget_N+4],modif0[inter_N+4],regle!$C$11),SUMIFS(modif0[budget_N+4],modif0[inter_N+4],regle!$D$11),SUMIFS(modif0[budget_N+4],modif0[inter_N+4],regle!$E$11))</f>
        <v>-2576.7000000000003</v>
      </c>
      <c r="G3" s="26">
        <f>SUM(SUMIFS(modif0[budget_N+5],modif0[inter_N+5],regle!$C$11),SUMIFS(modif0[budget_N+5],modif0[inter_N+5],regle!$D$11),SUMIFS(modif0[budget_N+5],modif0[inter_N+5],regle!$E$11))</f>
        <v>-655.24349999999993</v>
      </c>
      <c r="H3" s="26">
        <f>SUM(SUMIFS(modif0[budget_N+6],modif0[inter_N+6],regle!$C$11),SUMIFS(modif0[budget_N+6],modif0[inter_N+6],regle!$D$11),SUMIFS(modif0[budget_N+6],modif0[inter_N+6],regle!$E$11))</f>
        <v>-12781.394999999995</v>
      </c>
      <c r="I3" s="26">
        <f>SUM(SUMIFS(modif0[budget_N+7],modif0[inter_N+7],regle!$C$11),SUMIFS(modif0[budget_N+7],modif0[inter_N+7],regle!$D$11),SUMIFS(modif0[budget_N+7],modif0[inter_N+7],regle!$E$11))</f>
        <v>0</v>
      </c>
      <c r="J3" s="26">
        <f>SUM(SUMIFS(modif0[budget_N+8],modif0[inter_N+8],regle!$C$11),SUMIFS(modif0[budget_N+8],modif0[inter_N+8],regle!$D$11),SUMIFS(modif0[budget_N+8],modif0[inter_N+8],regle!$E$11))</f>
        <v>-1751.9925000000001</v>
      </c>
      <c r="K3" s="26">
        <f>SUM(SUMIFS(modif0[budget_N+9],modif0[inter_N+9],regle!$C$11),SUMIFS(modif0[budget_N+9],modif0[inter_N+9],regle!$D$11),SUMIFS(modif0[budget_N+9],modif0[inter_N+9],regle!$E$11))</f>
        <v>-13028.602499999995</v>
      </c>
      <c r="L3" s="26">
        <f>SUM(SUMIFS(modif0[budget_N+10],modif0[inter_N+10],regle!$C$11),SUMIFS(modif0[budget_N+10],modif0[inter_N+10],regle!$D$11),SUMIFS(modif0[budget_N+10],modif0[inter_N+10],regle!$E$11))</f>
        <v>0</v>
      </c>
      <c r="AT3">
        <v>40</v>
      </c>
    </row>
    <row r="4" spans="1:46" ht="15.75" x14ac:dyDescent="0.25">
      <c r="A4" s="32" t="str">
        <f>Revenu!A70</f>
        <v>MAX :</v>
      </c>
      <c r="B4" s="28">
        <f t="shared" si="0"/>
        <v>-27038.533500000005</v>
      </c>
      <c r="C4" s="26">
        <f>SUM(SUMIFS(modif1[budget_N+1],modif1[inter_N+1],regle!$C$11),SUMIFS(modif1[budget_N+1],modif1[inter_N+1],regle!$D$11),SUMIFS(modif1[budget_N+1],modif1[inter_N+1],regle!$E$11))</f>
        <v>-6961.5720000000001</v>
      </c>
      <c r="D4" s="26">
        <f>SUM(SUMIFS(modif1[budget_N+2],modif1[inter_N+2],regle!$C$11),SUMIFS(modif1[budget_N+2],modif1[inter_N+2],regle!$D$11),SUMIFS(modif1[budget_N+2],modif1[inter_N+2],regle!$E$11))</f>
        <v>-2415.4140000000002</v>
      </c>
      <c r="E4" s="26">
        <f>SUM(SUMIFS(modif1[budget_N+3],modif1[inter_N+3],regle!$C$11),SUMIFS(modif1[budget_N+3],modif1[inter_N+3],regle!$D$11),SUMIFS(modif1[budget_N+3],modif1[inter_N+3],regle!$E$11))</f>
        <v>-3910.8825000000015</v>
      </c>
      <c r="F4" s="26">
        <f>SUM(SUMIFS(modif1[budget_N+4],modif1[inter_N+4],regle!$C$11),SUMIFS(modif1[budget_N+4],modif1[inter_N+4],regle!$D$11),SUMIFS(modif1[budget_N+4],modif1[inter_N+4],regle!$E$11))</f>
        <v>-843.94349999999997</v>
      </c>
      <c r="G4" s="26">
        <f>SUM(SUMIFS(modif1[budget_N+5],modif1[inter_N+5],regle!$C$11),SUMIFS(modif1[budget_N+5],modif1[inter_N+5],regle!$D$11),SUMIFS(modif1[budget_N+5],modif1[inter_N+5],regle!$E$11))</f>
        <v>-2445.3914999999997</v>
      </c>
      <c r="H4" s="26">
        <f>SUM(SUMIFS(modif1[budget_N+6],modif1[inter_N+6],regle!$C$11),SUMIFS(modif1[budget_N+6],modif1[inter_N+6],regle!$D$11),SUMIFS(modif1[budget_N+6],modif1[inter_N+6],regle!$E$11))</f>
        <v>-597.375</v>
      </c>
      <c r="I4" s="26">
        <f>SUM(SUMIFS(modif1[budget_N+7],modif1[inter_N+7],regle!$C$11),SUMIFS(modif1[budget_N+7],modif1[inter_N+7],regle!$D$11),SUMIFS(modif1[budget_N+7],modif1[inter_N+7],regle!$E$11))</f>
        <v>-1088.3970000000002</v>
      </c>
      <c r="J4" s="26">
        <f>SUM(SUMIFS(modif1[budget_N+8],modif1[inter_N+8],regle!$C$11),SUMIFS(modif1[budget_N+8],modif1[inter_N+8],regle!$D$11),SUMIFS(modif1[budget_N+8],modif1[inter_N+8],regle!$E$11))</f>
        <v>-2940.5415000000003</v>
      </c>
      <c r="K4" s="26">
        <f>SUM(SUMIFS(modif1[budget_N+9],modif1[inter_N+9],regle!$C$11),SUMIFS(modif1[budget_N+9],modif1[inter_N+9],regle!$D$11),SUMIFS(modif1[budget_N+9],modif1[inter_N+9],regle!$E$11))</f>
        <v>-1907.4975000000004</v>
      </c>
      <c r="L4" s="26">
        <f>SUM(SUMIFS(modif1[budget_N+10],modif1[inter_N+10],regle!$C$11),SUMIFS(modif1[budget_N+10],modif1[inter_N+10],regle!$D$11),SUMIFS(modif1[budget_N+10],modif1[inter_N+10],regle!$E$11))</f>
        <v>-3927.5190000000002</v>
      </c>
      <c r="AT4">
        <v>40</v>
      </c>
    </row>
    <row r="5" spans="1:46" ht="15.75" x14ac:dyDescent="0.25">
      <c r="A5" s="29" t="s">
        <v>1810</v>
      </c>
      <c r="B5" s="28">
        <f t="shared" si="0"/>
        <v>-29990.252999999997</v>
      </c>
      <c r="C5" s="25">
        <f>SUM(C6:C11)</f>
        <v>-6961.5719999999983</v>
      </c>
      <c r="D5" s="25">
        <f t="shared" ref="D5:L5" si="1">SUM(D6:D11)</f>
        <v>-62.625</v>
      </c>
      <c r="E5" s="25">
        <f t="shared" si="1"/>
        <v>-5714.6624999999995</v>
      </c>
      <c r="F5" s="25">
        <f t="shared" si="1"/>
        <v>-2019.7725</v>
      </c>
      <c r="G5" s="25">
        <f t="shared" si="1"/>
        <v>-2936.799</v>
      </c>
      <c r="H5" s="25">
        <f t="shared" si="1"/>
        <v>-1349.559</v>
      </c>
      <c r="I5" s="25">
        <f t="shared" si="1"/>
        <v>-1600.116</v>
      </c>
      <c r="J5" s="25">
        <f t="shared" si="1"/>
        <v>-3024.9164999999998</v>
      </c>
      <c r="K5" s="25">
        <f t="shared" si="1"/>
        <v>-1852.3215</v>
      </c>
      <c r="L5" s="25">
        <f t="shared" si="1"/>
        <v>-4467.9089999999997</v>
      </c>
      <c r="AT5">
        <v>40</v>
      </c>
    </row>
    <row r="6" spans="1:46" ht="15.75" x14ac:dyDescent="0.25">
      <c r="A6" s="32" t="str">
        <f>regle!B39</f>
        <v>CABANAC-ET-VILLAGRAINS</v>
      </c>
      <c r="B6" s="28">
        <f t="shared" si="0"/>
        <v>-3178.9214999999999</v>
      </c>
      <c r="C6" s="27">
        <f>SUM(SUMIFS(modif2[budget_N+1],modif2[inter_N+1],regle!$C$11,modif2[[nm_cmmn]:[nm_cmmn]],$A6),SUMIFS(modif2[budget_N+1],modif2[inter_N+1],regle!$D$11,modif2[[nm_cmmn]:[nm_cmmn]],$A6),SUMIFS(modif2[budget_N+1],modif2[inter_N+1],regle!$E$11,modif2[[nm_cmmn]:[nm_cmmn]],$A6))</f>
        <v>-1386.7919999999999</v>
      </c>
      <c r="D6" s="27">
        <f>SUM(SUMIFS(modif2[budget_N+2],modif2[inter_N+2],regle!$C$11,modif2[[nm_cmmn]:[nm_cmmn]],$A6),SUMIFS(modif2[budget_N+2],modif2[inter_N+2],regle!$D$11,modif2[[nm_cmmn]:[nm_cmmn]],$A6),SUMIFS(modif2[budget_N+2],modif2[inter_N+2],regle!$E$11,modif2[[nm_cmmn]:[nm_cmmn]],$A6))</f>
        <v>0</v>
      </c>
      <c r="E6" s="27">
        <f>SUM(SUMIFS(modif2[budget_N+3],modif2[inter_N+3],regle!$C$11,modif2[[nm_cmmn]:[nm_cmmn]],$A6),SUMIFS(modif2[budget_N+3],modif2[inter_N+3],regle!$D$11,modif2[[nm_cmmn]:[nm_cmmn]],$A6),SUMIFS(modif2[budget_N+3],modif2[inter_N+3],regle!$E$11,modif2[[nm_cmmn]:[nm_cmmn]],$A6))</f>
        <v>-837.78300000000002</v>
      </c>
      <c r="F6" s="27">
        <f>SUM(SUMIFS(modif2[budget_N+4],modif2[inter_N+4],regle!$C$11,modif2[[nm_cmmn]:[nm_cmmn]],$A6),SUMIFS(modif2[budget_N+4],modif2[inter_N+4],regle!$D$11,modif2[[nm_cmmn]:[nm_cmmn]],$A6),SUMIFS(modif2[budget_N+4],modif2[inter_N+4],regle!$E$11,modif2[[nm_cmmn]:[nm_cmmn]],$A6))</f>
        <v>-549.00900000000001</v>
      </c>
      <c r="G6" s="27">
        <f>SUM(SUMIFS(modif2[budget_N+5],modif2[inter_N+5],regle!$C$11,modif2[[nm_cmmn]:[nm_cmmn]],$A6),SUMIFS(modif2[budget_N+5],modif2[inter_N+5],regle!$D$11,modif2[[nm_cmmn]:[nm_cmmn]],$A6),SUMIFS(modif2[budget_N+5],modif2[inter_N+5],regle!$E$11,modif2[[nm_cmmn]:[nm_cmmn]],$A6))</f>
        <v>0</v>
      </c>
      <c r="H6" s="27">
        <f>SUM(SUMIFS(modif2[budget_N+6],modif2[inter_N+6],regle!$C$11,modif2[[nm_cmmn]:[nm_cmmn]],$A6),SUMIFS(modif2[budget_N+6],modif2[inter_N+6],regle!$D$11,modif2[[nm_cmmn]:[nm_cmmn]],$A6),SUMIFS(modif2[budget_N+6],modif2[inter_N+6],regle!$E$11,modif2[[nm_cmmn]:[nm_cmmn]],$A6))</f>
        <v>0</v>
      </c>
      <c r="I6" s="27">
        <f>SUM(SUMIFS(modif2[budget_N+7],modif2[inter_N+7],regle!$C$11,modif2[[nm_cmmn]:[nm_cmmn]],$A6),SUMIFS(modif2[budget_N+7],modif2[inter_N+7],regle!$D$11,modif2[[nm_cmmn]:[nm_cmmn]],$A6),SUMIFS(modif2[budget_N+7],modif2[inter_N+7],regle!$E$11,modif2[[nm_cmmn]:[nm_cmmn]],$A6))</f>
        <v>0</v>
      </c>
      <c r="J6" s="27">
        <f>SUM(SUMIFS(modif2[budget_N+8],modif2[inter_N+8],regle!$C$11,modif2[[nm_cmmn]:[nm_cmmn]],$A6),SUMIFS(modif2[budget_N+8],modif2[inter_N+8],regle!$D$11,modif2[[nm_cmmn]:[nm_cmmn]],$A6),SUMIFS(modif2[budget_N+8],modif2[inter_N+8],regle!$E$11,modif2[[nm_cmmn]:[nm_cmmn]],$A6))</f>
        <v>0</v>
      </c>
      <c r="K6" s="27">
        <f>SUM(SUMIFS(modif2[budget_N+9],modif2[inter_N+9],regle!$C$11,modif2[[nm_cmmn]:[nm_cmmn]],$A6),SUMIFS(modif2[budget_N+9],modif2[inter_N+9],regle!$D$11,modif2[[nm_cmmn]:[nm_cmmn]],$A6),SUMIFS(modif2[budget_N+9],modif2[inter_N+9],regle!$E$11,modif2[[nm_cmmn]:[nm_cmmn]],$A6))</f>
        <v>0</v>
      </c>
      <c r="L6" s="27">
        <f>SUM(SUMIFS(modif2[budget_N+10],modif2[inter_N+10],regle!$C$11,modif2[[nm_cmmn]:[nm_cmmn]],$A6),SUMIFS(modif2[budget_N+10],modif2[inter_N+10],regle!$D$11,modif2[[nm_cmmn]:[nm_cmmn]],$A6),SUMIFS(modif2[budget_N+10],modif2[inter_N+10],regle!$E$11,modif2[[nm_cmmn]:[nm_cmmn]],$A6))</f>
        <v>-405.33749999999998</v>
      </c>
      <c r="AT6">
        <v>40</v>
      </c>
    </row>
    <row r="7" spans="1:46" ht="15.75" x14ac:dyDescent="0.25">
      <c r="A7" s="32" t="str">
        <f>regle!B40</f>
        <v>MANO</v>
      </c>
      <c r="B7" s="28">
        <f t="shared" si="0"/>
        <v>-5462.1764999999996</v>
      </c>
      <c r="C7" s="27">
        <f>SUM(SUMIFS(modif2[budget_N+1],modif2[inter_N+1],regle!$C$11,modif2[[nm_cmmn]:[nm_cmmn]],$A7),SUMIFS(modif2[budget_N+1],modif2[inter_N+1],regle!$D$11,modif2[[nm_cmmn]:[nm_cmmn]],$A7),SUMIFS(modif2[budget_N+1],modif2[inter_N+1],regle!$E$11,modif2[[nm_cmmn]:[nm_cmmn]],$A7))</f>
        <v>0</v>
      </c>
      <c r="D7" s="27">
        <f>SUM(SUMIFS(modif2[budget_N+2],modif2[inter_N+2],regle!$C$11,modif2[[nm_cmmn]:[nm_cmmn]],$A7),SUMIFS(modif2[budget_N+2],modif2[inter_N+2],regle!$D$11,modif2[[nm_cmmn]:[nm_cmmn]],$A7),SUMIFS(modif2[budget_N+2],modif2[inter_N+2],regle!$E$11,modif2[[nm_cmmn]:[nm_cmmn]],$A7))</f>
        <v>-62.625</v>
      </c>
      <c r="E7" s="27">
        <f>SUM(SUMIFS(modif2[budget_N+3],modif2[inter_N+3],regle!$C$11,modif2[[nm_cmmn]:[nm_cmmn]],$A7),SUMIFS(modif2[budget_N+3],modif2[inter_N+3],regle!$D$11,modif2[[nm_cmmn]:[nm_cmmn]],$A7),SUMIFS(modif2[budget_N+3],modif2[inter_N+3],regle!$E$11,modif2[[nm_cmmn]:[nm_cmmn]],$A7))</f>
        <v>-503.05499999999995</v>
      </c>
      <c r="F7" s="27">
        <f>SUM(SUMIFS(modif2[budget_N+4],modif2[inter_N+4],regle!$C$11,modif2[[nm_cmmn]:[nm_cmmn]],$A7),SUMIFS(modif2[budget_N+4],modif2[inter_N+4],regle!$D$11,modif2[[nm_cmmn]:[nm_cmmn]],$A7),SUMIFS(modif2[budget_N+4],modif2[inter_N+4],regle!$E$11,modif2[[nm_cmmn]:[nm_cmmn]],$A7))</f>
        <v>-1115.9925000000001</v>
      </c>
      <c r="G7" s="27">
        <f>SUM(SUMIFS(modif2[budget_N+5],modif2[inter_N+5],regle!$C$11,modif2[[nm_cmmn]:[nm_cmmn]],$A7),SUMIFS(modif2[budget_N+5],modif2[inter_N+5],regle!$D$11,modif2[[nm_cmmn]:[nm_cmmn]],$A7),SUMIFS(modif2[budget_N+5],modif2[inter_N+5],regle!$E$11,modif2[[nm_cmmn]:[nm_cmmn]],$A7))</f>
        <v>-603.66599999999983</v>
      </c>
      <c r="H7" s="27">
        <f>SUM(SUMIFS(modif2[budget_N+6],modif2[inter_N+6],regle!$C$11,modif2[[nm_cmmn]:[nm_cmmn]],$A7),SUMIFS(modif2[budget_N+6],modif2[inter_N+6],regle!$D$11,modif2[[nm_cmmn]:[nm_cmmn]],$A7),SUMIFS(modif2[budget_N+6],modif2[inter_N+6],regle!$E$11,modif2[[nm_cmmn]:[nm_cmmn]],$A7))</f>
        <v>-1249.011</v>
      </c>
      <c r="I7" s="27">
        <f>SUM(SUMIFS(modif2[budget_N+7],modif2[inter_N+7],regle!$C$11,modif2[[nm_cmmn]:[nm_cmmn]],$A7),SUMIFS(modif2[budget_N+7],modif2[inter_N+7],regle!$D$11,modif2[[nm_cmmn]:[nm_cmmn]],$A7),SUMIFS(modif2[budget_N+7],modif2[inter_N+7],regle!$E$11,modif2[[nm_cmmn]:[nm_cmmn]],$A7))</f>
        <v>-75.149999999999991</v>
      </c>
      <c r="J7" s="27">
        <f>SUM(SUMIFS(modif2[budget_N+8],modif2[inter_N+8],regle!$C$11,modif2[[nm_cmmn]:[nm_cmmn]],$A7),SUMIFS(modif2[budget_N+8],modif2[inter_N+8],regle!$D$11,modif2[[nm_cmmn]:[nm_cmmn]],$A7),SUMIFS(modif2[budget_N+8],modif2[inter_N+8],regle!$E$11,modif2[[nm_cmmn]:[nm_cmmn]],$A7))</f>
        <v>-603.66599999999983</v>
      </c>
      <c r="K7" s="27">
        <f>SUM(SUMIFS(modif2[budget_N+9],modif2[inter_N+9],regle!$C$11,modif2[[nm_cmmn]:[nm_cmmn]],$A7),SUMIFS(modif2[budget_N+9],modif2[inter_N+9],regle!$D$11,modif2[[nm_cmmn]:[nm_cmmn]],$A7),SUMIFS(modif2[budget_N+9],modif2[inter_N+9],regle!$E$11,modif2[[nm_cmmn]:[nm_cmmn]],$A7))</f>
        <v>-1249.011</v>
      </c>
      <c r="L7" s="27">
        <f>SUM(SUMIFS(modif2[budget_N+10],modif2[inter_N+10],regle!$C$11,modif2[[nm_cmmn]:[nm_cmmn]],$A7),SUMIFS(modif2[budget_N+10],modif2[inter_N+10],regle!$D$11,modif2[[nm_cmmn]:[nm_cmmn]],$A7),SUMIFS(modif2[budget_N+10],modif2[inter_N+10],regle!$E$11,modif2[[nm_cmmn]:[nm_cmmn]],$A7))</f>
        <v>0</v>
      </c>
      <c r="AT7">
        <v>40</v>
      </c>
    </row>
    <row r="8" spans="1:46" ht="15.75" x14ac:dyDescent="0.25">
      <c r="A8" s="32" t="str">
        <f>regle!B41</f>
        <v>GUILLOS</v>
      </c>
      <c r="B8" s="28">
        <f t="shared" si="0"/>
        <v>-102.9525</v>
      </c>
      <c r="C8" s="27">
        <f>SUM(SUMIFS(modif2[budget_N+1],modif2[inter_N+1],regle!$C$11,modif2[[nm_cmmn]:[nm_cmmn]],$A8),SUMIFS(modif2[budget_N+1],modif2[inter_N+1],regle!$D$11,modif2[[nm_cmmn]:[nm_cmmn]],$A8),SUMIFS(modif2[budget_N+1],modif2[inter_N+1],regle!$E$11,modif2[[nm_cmmn]:[nm_cmmn]],$A8))</f>
        <v>0</v>
      </c>
      <c r="D8" s="27">
        <f>SUM(SUMIFS(modif2[budget_N+2],modif2[inter_N+2],regle!$C$11,modif2[[nm_cmmn]:[nm_cmmn]],$A8),SUMIFS(modif2[budget_N+2],modif2[inter_N+2],regle!$D$11,modif2[[nm_cmmn]:[nm_cmmn]],$A8),SUMIFS(modif2[budget_N+2],modif2[inter_N+2],regle!$E$11,modif2[[nm_cmmn]:[nm_cmmn]],$A8))</f>
        <v>0</v>
      </c>
      <c r="E8" s="27">
        <f>SUM(SUMIFS(modif2[budget_N+3],modif2[inter_N+3],regle!$C$11,modif2[[nm_cmmn]:[nm_cmmn]],$A8),SUMIFS(modif2[budget_N+3],modif2[inter_N+3],regle!$D$11,modif2[[nm_cmmn]:[nm_cmmn]],$A8),SUMIFS(modif2[budget_N+3],modif2[inter_N+3],regle!$E$11,modif2[[nm_cmmn]:[nm_cmmn]],$A8))</f>
        <v>0</v>
      </c>
      <c r="F8" s="27">
        <f>SUM(SUMIFS(modif2[budget_N+4],modif2[inter_N+4],regle!$C$11,modif2[[nm_cmmn]:[nm_cmmn]],$A8),SUMIFS(modif2[budget_N+4],modif2[inter_N+4],regle!$D$11,modif2[[nm_cmmn]:[nm_cmmn]],$A8),SUMIFS(modif2[budget_N+4],modif2[inter_N+4],regle!$E$11,modif2[[nm_cmmn]:[nm_cmmn]],$A8))</f>
        <v>0</v>
      </c>
      <c r="G8" s="27">
        <f>SUM(SUMIFS(modif2[budget_N+5],modif2[inter_N+5],regle!$C$11,modif2[[nm_cmmn]:[nm_cmmn]],$A8),SUMIFS(modif2[budget_N+5],modif2[inter_N+5],regle!$D$11,modif2[[nm_cmmn]:[nm_cmmn]],$A8),SUMIFS(modif2[budget_N+5],modif2[inter_N+5],regle!$E$11,modif2[[nm_cmmn]:[nm_cmmn]],$A8))</f>
        <v>0</v>
      </c>
      <c r="H8" s="27">
        <f>SUM(SUMIFS(modif2[budget_N+6],modif2[inter_N+6],regle!$C$11,modif2[[nm_cmmn]:[nm_cmmn]],$A8),SUMIFS(modif2[budget_N+6],modif2[inter_N+6],regle!$D$11,modif2[[nm_cmmn]:[nm_cmmn]],$A8),SUMIFS(modif2[budget_N+6],modif2[inter_N+6],regle!$E$11,modif2[[nm_cmmn]:[nm_cmmn]],$A8))</f>
        <v>0</v>
      </c>
      <c r="I8" s="27">
        <f>SUM(SUMIFS(modif2[budget_N+7],modif2[inter_N+7],regle!$C$11,modif2[[nm_cmmn]:[nm_cmmn]],$A8),SUMIFS(modif2[budget_N+7],modif2[inter_N+7],regle!$D$11,modif2[[nm_cmmn]:[nm_cmmn]],$A8),SUMIFS(modif2[budget_N+7],modif2[inter_N+7],regle!$E$11,modif2[[nm_cmmn]:[nm_cmmn]],$A8))</f>
        <v>0</v>
      </c>
      <c r="J8" s="27">
        <f>SUM(SUMIFS(modif2[budget_N+8],modif2[inter_N+8],regle!$C$11,modif2[[nm_cmmn]:[nm_cmmn]],$A8),SUMIFS(modif2[budget_N+8],modif2[inter_N+8],regle!$D$11,modif2[[nm_cmmn]:[nm_cmmn]],$A8),SUMIFS(modif2[budget_N+8],modif2[inter_N+8],regle!$E$11,modif2[[nm_cmmn]:[nm_cmmn]],$A8))</f>
        <v>0</v>
      </c>
      <c r="K8" s="27">
        <f>SUM(SUMIFS(modif2[budget_N+9],modif2[inter_N+9],regle!$C$11,modif2[[nm_cmmn]:[nm_cmmn]],$A8),SUMIFS(modif2[budget_N+9],modif2[inter_N+9],regle!$D$11,modif2[[nm_cmmn]:[nm_cmmn]],$A8),SUMIFS(modif2[budget_N+9],modif2[inter_N+9],regle!$E$11,modif2[[nm_cmmn]:[nm_cmmn]],$A8))</f>
        <v>0</v>
      </c>
      <c r="L8" s="27">
        <f>SUM(SUMIFS(modif2[budget_N+10],modif2[inter_N+10],regle!$C$11,modif2[[nm_cmmn]:[nm_cmmn]],$A8),SUMIFS(modif2[budget_N+10],modif2[inter_N+10],regle!$D$11,modif2[[nm_cmmn]:[nm_cmmn]],$A8),SUMIFS(modif2[budget_N+10],modif2[inter_N+10],regle!$E$11,modif2[[nm_cmmn]:[nm_cmmn]],$A8))</f>
        <v>-102.9525</v>
      </c>
      <c r="AT8">
        <v>40</v>
      </c>
    </row>
    <row r="9" spans="1:46" ht="15.75" x14ac:dyDescent="0.25">
      <c r="A9" s="32" t="str">
        <f>regle!B42</f>
        <v>MOUSTEY</v>
      </c>
      <c r="B9" s="28">
        <f t="shared" si="0"/>
        <v>-5072.3804999999993</v>
      </c>
      <c r="C9" s="27">
        <f>SUM(SUMIFS(modif2[budget_N+1],modif2[inter_N+1],regle!$C$11,modif2[[nm_cmmn]:[nm_cmmn]],$A9),SUMIFS(modif2[budget_N+1],modif2[inter_N+1],regle!$D$11,modif2[[nm_cmmn]:[nm_cmmn]],$A9),SUMIFS(modif2[budget_N+1],modif2[inter_N+1],regle!$E$11,modif2[[nm_cmmn]:[nm_cmmn]],$A9))</f>
        <v>-2655.261</v>
      </c>
      <c r="D9" s="27">
        <f>SUM(SUMIFS(modif2[budget_N+2],modif2[inter_N+2],regle!$C$11,modif2[[nm_cmmn]:[nm_cmmn]],$A9),SUMIFS(modif2[budget_N+2],modif2[inter_N+2],regle!$D$11,modif2[[nm_cmmn]:[nm_cmmn]],$A9),SUMIFS(modif2[budget_N+2],modif2[inter_N+2],regle!$E$11,modif2[[nm_cmmn]:[nm_cmmn]],$A9))</f>
        <v>0</v>
      </c>
      <c r="E9" s="27">
        <f>SUM(SUMIFS(modif2[budget_N+3],modif2[inter_N+3],regle!$C$11,modif2[[nm_cmmn]:[nm_cmmn]],$A9),SUMIFS(modif2[budget_N+3],modif2[inter_N+3],regle!$D$11,modif2[[nm_cmmn]:[nm_cmmn]],$A9),SUMIFS(modif2[budget_N+3],modif2[inter_N+3],regle!$E$11,modif2[[nm_cmmn]:[nm_cmmn]],$A9))</f>
        <v>-710.9174999999999</v>
      </c>
      <c r="F9" s="27">
        <f>SUM(SUMIFS(modif2[budget_N+4],modif2[inter_N+4],regle!$C$11,modif2[[nm_cmmn]:[nm_cmmn]],$A9),SUMIFS(modif2[budget_N+4],modif2[inter_N+4],regle!$D$11,modif2[[nm_cmmn]:[nm_cmmn]],$A9),SUMIFS(modif2[budget_N+4],modif2[inter_N+4],regle!$E$11,modif2[[nm_cmmn]:[nm_cmmn]],$A9))</f>
        <v>0</v>
      </c>
      <c r="G9" s="27">
        <f>SUM(SUMIFS(modif2[budget_N+5],modif2[inter_N+5],regle!$C$11,modif2[[nm_cmmn]:[nm_cmmn]],$A9),SUMIFS(modif2[budget_N+5],modif2[inter_N+5],regle!$D$11,modif2[[nm_cmmn]:[nm_cmmn]],$A9),SUMIFS(modif2[budget_N+5],modif2[inter_N+5],regle!$E$11,modif2[[nm_cmmn]:[nm_cmmn]],$A9))</f>
        <v>-853.101</v>
      </c>
      <c r="H9" s="27">
        <f>SUM(SUMIFS(modif2[budget_N+6],modif2[inter_N+6],regle!$C$11,modif2[[nm_cmmn]:[nm_cmmn]],$A9),SUMIFS(modif2[budget_N+6],modif2[inter_N+6],regle!$D$11,modif2[[nm_cmmn]:[nm_cmmn]],$A9),SUMIFS(modif2[budget_N+6],modif2[inter_N+6],regle!$E$11,modif2[[nm_cmmn]:[nm_cmmn]],$A9))</f>
        <v>0</v>
      </c>
      <c r="I9" s="27">
        <f>SUM(SUMIFS(modif2[budget_N+7],modif2[inter_N+7],regle!$C$11,modif2[[nm_cmmn]:[nm_cmmn]],$A9),SUMIFS(modif2[budget_N+7],modif2[inter_N+7],regle!$D$11,modif2[[nm_cmmn]:[nm_cmmn]],$A9),SUMIFS(modif2[budget_N+7],modif2[inter_N+7],regle!$E$11,modif2[[nm_cmmn]:[nm_cmmn]],$A9))</f>
        <v>0</v>
      </c>
      <c r="J9" s="27">
        <f>SUM(SUMIFS(modif2[budget_N+8],modif2[inter_N+8],regle!$C$11,modif2[[nm_cmmn]:[nm_cmmn]],$A9),SUMIFS(modif2[budget_N+8],modif2[inter_N+8],regle!$D$11,modif2[[nm_cmmn]:[nm_cmmn]],$A9),SUMIFS(modif2[budget_N+8],modif2[inter_N+8],regle!$E$11,modif2[[nm_cmmn]:[nm_cmmn]],$A9))</f>
        <v>-853.101</v>
      </c>
      <c r="K9" s="27">
        <f>SUM(SUMIFS(modif2[budget_N+9],modif2[inter_N+9],regle!$C$11,modif2[[nm_cmmn]:[nm_cmmn]],$A9),SUMIFS(modif2[budget_N+9],modif2[inter_N+9],regle!$D$11,modif2[[nm_cmmn]:[nm_cmmn]],$A9),SUMIFS(modif2[budget_N+9],modif2[inter_N+9],regle!$E$11,modif2[[nm_cmmn]:[nm_cmmn]],$A9))</f>
        <v>0</v>
      </c>
      <c r="L9" s="27">
        <f>SUM(SUMIFS(modif2[budget_N+10],modif2[inter_N+10],regle!$C$11,modif2[[nm_cmmn]:[nm_cmmn]],$A9),SUMIFS(modif2[budget_N+10],modif2[inter_N+10],regle!$D$11,modif2[[nm_cmmn]:[nm_cmmn]],$A9),SUMIFS(modif2[budget_N+10],modif2[inter_N+10],regle!$E$11,modif2[[nm_cmmn]:[nm_cmmn]],$A9))</f>
        <v>0</v>
      </c>
      <c r="AT9">
        <v>40</v>
      </c>
    </row>
    <row r="10" spans="1:46" ht="15.75" x14ac:dyDescent="0.25">
      <c r="A10" s="32" t="str">
        <f>regle!B43</f>
        <v>HOSTENS</v>
      </c>
      <c r="B10" s="28">
        <f t="shared" si="0"/>
        <v>-10132.754999999999</v>
      </c>
      <c r="C10" s="27">
        <f>SUM(SUMIFS(modif2[budget_N+1],modif2[inter_N+1],regle!$C$11,modif2[[nm_cmmn]:[nm_cmmn]],$A10),SUMIFS(modif2[budget_N+1],modif2[inter_N+1],regle!$D$11,modif2[[nm_cmmn]:[nm_cmmn]],$A10),SUMIFS(modif2[budget_N+1],modif2[inter_N+1],regle!$E$11,modif2[[nm_cmmn]:[nm_cmmn]],$A10))</f>
        <v>-1460.8889999999997</v>
      </c>
      <c r="D10" s="27">
        <f>SUM(SUMIFS(modif2[budget_N+2],modif2[inter_N+2],regle!$C$11,modif2[[nm_cmmn]:[nm_cmmn]],$A10),SUMIFS(modif2[budget_N+2],modif2[inter_N+2],regle!$D$11,modif2[[nm_cmmn]:[nm_cmmn]],$A10),SUMIFS(modif2[budget_N+2],modif2[inter_N+2],regle!$E$11,modif2[[nm_cmmn]:[nm_cmmn]],$A10))</f>
        <v>0</v>
      </c>
      <c r="E10" s="27">
        <f>SUM(SUMIFS(modif2[budget_N+3],modif2[inter_N+3],regle!$C$11,modif2[[nm_cmmn]:[nm_cmmn]],$A10),SUMIFS(modif2[budget_N+3],modif2[inter_N+3],regle!$D$11,modif2[[nm_cmmn]:[nm_cmmn]],$A10),SUMIFS(modif2[budget_N+3],modif2[inter_N+3],regle!$E$11,modif2[[nm_cmmn]:[nm_cmmn]],$A10))</f>
        <v>-3651.3420000000001</v>
      </c>
      <c r="F10" s="27">
        <f>SUM(SUMIFS(modif2[budget_N+4],modif2[inter_N+4],regle!$C$11,modif2[[nm_cmmn]:[nm_cmmn]],$A10),SUMIFS(modif2[budget_N+4],modif2[inter_N+4],regle!$D$11,modif2[[nm_cmmn]:[nm_cmmn]],$A10),SUMIFS(modif2[budget_N+4],modif2[inter_N+4],regle!$E$11,modif2[[nm_cmmn]:[nm_cmmn]],$A10))</f>
        <v>-354.77099999999996</v>
      </c>
      <c r="G10" s="27">
        <f>SUM(SUMIFS(modif2[budget_N+5],modif2[inter_N+5],regle!$C$11,modif2[[nm_cmmn]:[nm_cmmn]],$A10),SUMIFS(modif2[budget_N+5],modif2[inter_N+5],regle!$D$11,modif2[[nm_cmmn]:[nm_cmmn]],$A10),SUMIFS(modif2[budget_N+5],modif2[inter_N+5],regle!$E$11,modif2[[nm_cmmn]:[nm_cmmn]],$A10))</f>
        <v>-1218.9465</v>
      </c>
      <c r="H10" s="27">
        <f>SUM(SUMIFS(modif2[budget_N+6],modif2[inter_N+6],regle!$C$11,modif2[[nm_cmmn]:[nm_cmmn]],$A10),SUMIFS(modif2[budget_N+6],modif2[inter_N+6],regle!$D$11,modif2[[nm_cmmn]:[nm_cmmn]],$A10),SUMIFS(modif2[budget_N+6],modif2[inter_N+6],regle!$E$11,modif2[[nm_cmmn]:[nm_cmmn]],$A10))</f>
        <v>-100.548</v>
      </c>
      <c r="I10" s="27">
        <f>SUM(SUMIFS(modif2[budget_N+7],modif2[inter_N+7],regle!$C$11,modif2[[nm_cmmn]:[nm_cmmn]],$A10),SUMIFS(modif2[budget_N+7],modif2[inter_N+7],regle!$D$11,modif2[[nm_cmmn]:[nm_cmmn]],$A10),SUMIFS(modif2[budget_N+7],modif2[inter_N+7],regle!$E$11,modif2[[nm_cmmn]:[nm_cmmn]],$A10))</f>
        <v>-1221.912</v>
      </c>
      <c r="J10" s="27">
        <f>SUM(SUMIFS(modif2[budget_N+8],modif2[inter_N+8],regle!$C$11,modif2[[nm_cmmn]:[nm_cmmn]],$A10),SUMIFS(modif2[budget_N+8],modif2[inter_N+8],regle!$D$11,modif2[[nm_cmmn]:[nm_cmmn]],$A10),SUMIFS(modif2[budget_N+8],modif2[inter_N+8],regle!$E$11,modif2[[nm_cmmn]:[nm_cmmn]],$A10))</f>
        <v>-214.749</v>
      </c>
      <c r="K10" s="27">
        <f>SUM(SUMIFS(modif2[budget_N+9],modif2[inter_N+9],regle!$C$11,modif2[[nm_cmmn]:[nm_cmmn]],$A10),SUMIFS(modif2[budget_N+9],modif2[inter_N+9],regle!$D$11,modif2[[nm_cmmn]:[nm_cmmn]],$A10),SUMIFS(modif2[budget_N+9],modif2[inter_N+9],regle!$E$11,modif2[[nm_cmmn]:[nm_cmmn]],$A10))</f>
        <v>-603.31049999999993</v>
      </c>
      <c r="L10" s="27">
        <f>SUM(SUMIFS(modif2[budget_N+10],modif2[inter_N+10],regle!$C$11,modif2[[nm_cmmn]:[nm_cmmn]],$A10),SUMIFS(modif2[budget_N+10],modif2[inter_N+10],regle!$D$11,modif2[[nm_cmmn]:[nm_cmmn]],$A10),SUMIFS(modif2[budget_N+10],modif2[inter_N+10],regle!$E$11,modif2[[nm_cmmn]:[nm_cmmn]],$A10))</f>
        <v>-1306.287</v>
      </c>
      <c r="AT10">
        <v>40</v>
      </c>
    </row>
    <row r="11" spans="1:46" ht="15.75" x14ac:dyDescent="0.25">
      <c r="A11" s="32" t="str">
        <f>regle!B44</f>
        <v>LE TUZAN</v>
      </c>
      <c r="B11" s="28">
        <f t="shared" si="0"/>
        <v>-6041.0669999999991</v>
      </c>
      <c r="C11" s="27">
        <f>SUM(SUMIFS(modif2[budget_N+1],modif2[inter_N+1],regle!$C$11,modif2[[nm_cmmn]:[nm_cmmn]],$A11),SUMIFS(modif2[budget_N+1],modif2[inter_N+1],regle!$D$11,modif2[[nm_cmmn]:[nm_cmmn]],$A11),SUMIFS(modif2[budget_N+1],modif2[inter_N+1],regle!$E$11,modif2[[nm_cmmn]:[nm_cmmn]],$A11))</f>
        <v>-1458.6299999999997</v>
      </c>
      <c r="D11" s="27">
        <f>SUM(SUMIFS(modif2[budget_N+2],modif2[inter_N+2],regle!$C$11,modif2[[nm_cmmn]:[nm_cmmn]],$A11),SUMIFS(modif2[budget_N+2],modif2[inter_N+2],regle!$D$11,modif2[[nm_cmmn]:[nm_cmmn]],$A11),SUMIFS(modif2[budget_N+2],modif2[inter_N+2],regle!$E$11,modif2[[nm_cmmn]:[nm_cmmn]],$A11))</f>
        <v>0</v>
      </c>
      <c r="E11" s="27">
        <f>SUM(SUMIFS(modif2[budget_N+3],modif2[inter_N+3],regle!$C$11,modif2[[nm_cmmn]:[nm_cmmn]],$A11),SUMIFS(modif2[budget_N+3],modif2[inter_N+3],regle!$D$11,modif2[[nm_cmmn]:[nm_cmmn]],$A11),SUMIFS(modif2[budget_N+3],modif2[inter_N+3],regle!$E$11,modif2[[nm_cmmn]:[nm_cmmn]],$A11))</f>
        <v>-11.565</v>
      </c>
      <c r="F11" s="27">
        <f>SUM(SUMIFS(modif2[budget_N+4],modif2[inter_N+4],regle!$C$11,modif2[[nm_cmmn]:[nm_cmmn]],$A11),SUMIFS(modif2[budget_N+4],modif2[inter_N+4],regle!$D$11,modif2[[nm_cmmn]:[nm_cmmn]],$A11),SUMIFS(modif2[budget_N+4],modif2[inter_N+4],regle!$E$11,modif2[[nm_cmmn]:[nm_cmmn]],$A11))</f>
        <v>0</v>
      </c>
      <c r="G11" s="27">
        <f>SUM(SUMIFS(modif2[budget_N+5],modif2[inter_N+5],regle!$C$11,modif2[[nm_cmmn]:[nm_cmmn]],$A11),SUMIFS(modif2[budget_N+5],modif2[inter_N+5],regle!$D$11,modif2[[nm_cmmn]:[nm_cmmn]],$A11),SUMIFS(modif2[budget_N+5],modif2[inter_N+5],regle!$E$11,modif2[[nm_cmmn]:[nm_cmmn]],$A11))</f>
        <v>-261.08550000000002</v>
      </c>
      <c r="H11" s="27">
        <f>SUM(SUMIFS(modif2[budget_N+6],modif2[inter_N+6],regle!$C$11,modif2[[nm_cmmn]:[nm_cmmn]],$A11),SUMIFS(modif2[budget_N+6],modif2[inter_N+6],regle!$D$11,modif2[[nm_cmmn]:[nm_cmmn]],$A11),SUMIFS(modif2[budget_N+6],modif2[inter_N+6],regle!$E$11,modif2[[nm_cmmn]:[nm_cmmn]],$A11))</f>
        <v>0</v>
      </c>
      <c r="I11" s="27">
        <f>SUM(SUMIFS(modif2[budget_N+7],modif2[inter_N+7],regle!$C$11,modif2[[nm_cmmn]:[nm_cmmn]],$A11),SUMIFS(modif2[budget_N+7],modif2[inter_N+7],regle!$D$11,modif2[[nm_cmmn]:[nm_cmmn]],$A11),SUMIFS(modif2[budget_N+7],modif2[inter_N+7],regle!$E$11,modif2[[nm_cmmn]:[nm_cmmn]],$A11))</f>
        <v>-303.05399999999997</v>
      </c>
      <c r="J11" s="27">
        <f>SUM(SUMIFS(modif2[budget_N+8],modif2[inter_N+8],regle!$C$11,modif2[[nm_cmmn]:[nm_cmmn]],$A11),SUMIFS(modif2[budget_N+8],modif2[inter_N+8],regle!$D$11,modif2[[nm_cmmn]:[nm_cmmn]],$A11),SUMIFS(modif2[budget_N+8],modif2[inter_N+8],regle!$E$11,modif2[[nm_cmmn]:[nm_cmmn]],$A11))</f>
        <v>-1353.4005</v>
      </c>
      <c r="K11" s="27">
        <f>SUM(SUMIFS(modif2[budget_N+9],modif2[inter_N+9],regle!$C$11,modif2[[nm_cmmn]:[nm_cmmn]],$A11),SUMIFS(modif2[budget_N+9],modif2[inter_N+9],regle!$D$11,modif2[[nm_cmmn]:[nm_cmmn]],$A11),SUMIFS(modif2[budget_N+9],modif2[inter_N+9],regle!$E$11,modif2[[nm_cmmn]:[nm_cmmn]],$A11))</f>
        <v>0</v>
      </c>
      <c r="L11" s="27">
        <f>SUM(SUMIFS(modif2[budget_N+10],modif2[inter_N+10],regle!$C$11,modif2[[nm_cmmn]:[nm_cmmn]],$A11),SUMIFS(modif2[budget_N+10],modif2[inter_N+10],regle!$D$11,modif2[[nm_cmmn]:[nm_cmmn]],$A11),SUMIFS(modif2[budget_N+10],modif2[inter_N+10],regle!$E$11,modif2[[nm_cmmn]:[nm_cmmn]],$A11))</f>
        <v>-2653.3319999999999</v>
      </c>
      <c r="AT11">
        <v>40</v>
      </c>
    </row>
    <row r="12" spans="1:46" x14ac:dyDescent="0.25">
      <c r="AT12">
        <v>40</v>
      </c>
    </row>
    <row r="13" spans="1:46" ht="15.75" x14ac:dyDescent="0.25">
      <c r="K13" s="44" t="s">
        <v>1809</v>
      </c>
      <c r="L13" s="45">
        <f>B5/11</f>
        <v>-2726.3866363636362</v>
      </c>
      <c r="AT13">
        <v>40</v>
      </c>
    </row>
    <row r="14" spans="1:46" ht="15.75" x14ac:dyDescent="0.25">
      <c r="K14" s="44" t="s">
        <v>15</v>
      </c>
      <c r="L14" s="45">
        <f>AVERAGEIF(D5:L5,"&lt;&gt;0")</f>
        <v>-2558.7423333333331</v>
      </c>
      <c r="AT14">
        <v>40</v>
      </c>
    </row>
    <row r="15" spans="1:46" x14ac:dyDescent="0.25">
      <c r="L15" s="34"/>
      <c r="AT15">
        <v>40</v>
      </c>
    </row>
    <row r="16" spans="1:46" x14ac:dyDescent="0.25">
      <c r="AT16">
        <v>40</v>
      </c>
    </row>
    <row r="17" spans="46:46" x14ac:dyDescent="0.25">
      <c r="AT17">
        <v>40</v>
      </c>
    </row>
    <row r="18" spans="46:46" x14ac:dyDescent="0.25">
      <c r="AT18">
        <v>40</v>
      </c>
    </row>
    <row r="19" spans="46:46" x14ac:dyDescent="0.25">
      <c r="AT19">
        <v>40</v>
      </c>
    </row>
    <row r="20" spans="46:46" x14ac:dyDescent="0.25">
      <c r="AT20">
        <v>40</v>
      </c>
    </row>
    <row r="21" spans="46:46" x14ac:dyDescent="0.25">
      <c r="AT21">
        <v>40</v>
      </c>
    </row>
    <row r="22" spans="46:46" x14ac:dyDescent="0.25">
      <c r="AT22">
        <v>40</v>
      </c>
    </row>
    <row r="23" spans="46:46" x14ac:dyDescent="0.25">
      <c r="AT23">
        <v>40</v>
      </c>
    </row>
    <row r="24" spans="46:46" x14ac:dyDescent="0.25">
      <c r="AT24">
        <v>40</v>
      </c>
    </row>
    <row r="25" spans="46:46" x14ac:dyDescent="0.25">
      <c r="AT25">
        <v>40</v>
      </c>
    </row>
    <row r="26" spans="46:46" x14ac:dyDescent="0.25">
      <c r="AT26">
        <v>40</v>
      </c>
    </row>
    <row r="27" spans="46:46" x14ac:dyDescent="0.25">
      <c r="AT27">
        <v>40</v>
      </c>
    </row>
    <row r="28" spans="46:46" x14ac:dyDescent="0.25">
      <c r="AT28">
        <v>40</v>
      </c>
    </row>
    <row r="29" spans="46:46" x14ac:dyDescent="0.25">
      <c r="AT29">
        <v>40</v>
      </c>
    </row>
    <row r="30" spans="46:46" x14ac:dyDescent="0.25">
      <c r="AT30">
        <v>40</v>
      </c>
    </row>
    <row r="31" spans="46:46" x14ac:dyDescent="0.25">
      <c r="AT31">
        <v>40</v>
      </c>
    </row>
    <row r="32" spans="46:46" x14ac:dyDescent="0.25">
      <c r="AT32">
        <v>40</v>
      </c>
    </row>
    <row r="33" spans="1:46" x14ac:dyDescent="0.25">
      <c r="AT33">
        <v>40</v>
      </c>
    </row>
    <row r="34" spans="1:46" ht="18.75" x14ac:dyDescent="0.3">
      <c r="A34" s="39" t="s">
        <v>1892</v>
      </c>
      <c r="AT34">
        <v>40</v>
      </c>
    </row>
    <row r="35" spans="1:46" ht="15.75" x14ac:dyDescent="0.25">
      <c r="A35" s="30" t="s">
        <v>1816</v>
      </c>
      <c r="B35" s="31" t="s">
        <v>0</v>
      </c>
      <c r="C35" s="31">
        <f>C2</f>
        <v>2024</v>
      </c>
      <c r="D35" s="31">
        <f t="shared" ref="D35:L35" si="2">D2</f>
        <v>2025</v>
      </c>
      <c r="E35" s="31">
        <f t="shared" si="2"/>
        <v>2026</v>
      </c>
      <c r="F35" s="31">
        <f t="shared" si="2"/>
        <v>2027</v>
      </c>
      <c r="G35" s="31">
        <f t="shared" si="2"/>
        <v>2028</v>
      </c>
      <c r="H35" s="31">
        <f t="shared" si="2"/>
        <v>2029</v>
      </c>
      <c r="I35" s="31">
        <f t="shared" si="2"/>
        <v>2030</v>
      </c>
      <c r="J35" s="31">
        <f t="shared" si="2"/>
        <v>2031</v>
      </c>
      <c r="K35" s="31">
        <f t="shared" si="2"/>
        <v>2032</v>
      </c>
      <c r="L35" s="31">
        <f t="shared" si="2"/>
        <v>2033</v>
      </c>
      <c r="AT35">
        <v>40</v>
      </c>
    </row>
    <row r="36" spans="1:46" ht="15.75" x14ac:dyDescent="0.25">
      <c r="A36" s="32" t="str">
        <f>A3</f>
        <v>BASE :</v>
      </c>
      <c r="B36" s="37">
        <f t="shared" ref="B36:B44" si="3">SUM(C36:L36)</f>
        <v>592.63650000000007</v>
      </c>
      <c r="C36" s="35">
        <f>SUM(SUMIFS(modif0[[srfcH]:[srfcH]],modif0[inter_N+1],regle!$C$11),SUMIFS(modif0[[srfcH]:[srfcH]],modif0[inter_N+1],regle!$D$11),SUMIFS(modif0[[srfcH]:[srfcH]],modif0[inter_N+1],regle!$E$11))</f>
        <v>28.630000000000003</v>
      </c>
      <c r="D36" s="35">
        <f>SUM(SUMIFS(modif0[[srfcH]:[srfcH]],modif0[inter_N+2],regle!$C$11),SUMIFS(modif0[[srfcH]:[srfcH]],modif0[inter_N+2],regle!$D$11),SUMIFS(modif0[[srfcH]:[srfcH]],modif0[inter_N+2],regle!$E$11))</f>
        <v>49.555799999999998</v>
      </c>
      <c r="E36" s="35">
        <f>SUM(SUMIFS(modif0[[srfcH]:[srfcH]],modif0[inter_N+3],regle!$C$11),SUMIFS(modif0[[srfcH]:[srfcH]],modif0[inter_N+3],regle!$D$11),SUMIFS(modif0[[srfcH]:[srfcH]],modif0[inter_N+3],regle!$E$11))</f>
        <v>168.15760000000003</v>
      </c>
      <c r="F36" s="35">
        <f>SUM(SUMIFS(modif0[[srfcH]:[srfcH]],modif0[inter_N+4],regle!$C$11),SUMIFS(modif0[[srfcH]:[srfcH]],modif0[inter_N+4],regle!$D$11),SUMIFS(modif0[[srfcH]:[srfcH]],modif0[inter_N+4],regle!$E$11))</f>
        <v>28.630000000000003</v>
      </c>
      <c r="G36" s="35">
        <f>SUM(SUMIFS(modif0[[srfcH]:[srfcH]],modif0[inter_N+5],regle!$C$11),SUMIFS(modif0[[srfcH]:[srfcH]],modif0[inter_N+5],regle!$D$11),SUMIFS(modif0[[srfcH]:[srfcH]],modif0[inter_N+5],regle!$E$11))</f>
        <v>7.9673999999999996</v>
      </c>
      <c r="H36" s="35">
        <f>SUM(SUMIFS(modif0[[srfcH]:[srfcH]],modif0[inter_N+6],regle!$C$11),SUMIFS(modif0[[srfcH]:[srfcH]],modif0[inter_N+6],regle!$D$11),SUMIFS(modif0[[srfcH]:[srfcH]],modif0[inter_N+6],regle!$E$11))</f>
        <v>142.01550000000003</v>
      </c>
      <c r="I36" s="35">
        <f>SUM(SUMIFS(modif0[[srfcH]:[srfcH]],modif0[inter_N+7],regle!$C$11),SUMIFS(modif0[[srfcH]:[srfcH]],modif0[inter_N+7],regle!$D$11),SUMIFS(modif0[[srfcH]:[srfcH]],modif0[inter_N+7],regle!$E$11))</f>
        <v>0</v>
      </c>
      <c r="J36" s="35">
        <f>SUM(SUMIFS(modif0[[srfcH]:[srfcH]],modif0[inter_N+8],regle!$C$11),SUMIFS(modif0[[srfcH]:[srfcH]],modif0[inter_N+8],regle!$D$11),SUMIFS(modif0[[srfcH]:[srfcH]],modif0[inter_N+8],regle!$E$11))</f>
        <v>22.368600000000001</v>
      </c>
      <c r="K36" s="35">
        <f>SUM(SUMIFS(modif0[[srfcH]:[srfcH]],modif0[inter_N+9],regle!$C$11),SUMIFS(modif0[[srfcH]:[srfcH]],modif0[inter_N+9],regle!$D$11),SUMIFS(modif0[[srfcH]:[srfcH]],modif0[inter_N+9],regle!$E$11))</f>
        <v>145.31160000000003</v>
      </c>
      <c r="L36" s="35">
        <f>SUM(SUMIFS(modif0[[srfcH]:[srfcH]],modif0[inter_N+10],regle!$C$11),SUMIFS(modif0[[srfcH]:[srfcH]],modif0[inter_N+10],regle!$D$11),SUMIFS(modif0[[srfcH]:[srfcH]],modif0[inter_N+10],regle!$E$11))</f>
        <v>0</v>
      </c>
      <c r="AT36">
        <v>40</v>
      </c>
    </row>
    <row r="37" spans="1:46" ht="15.75" x14ac:dyDescent="0.25">
      <c r="A37" s="32" t="str">
        <f>A4</f>
        <v>MAX :</v>
      </c>
      <c r="B37" s="37">
        <f t="shared" si="3"/>
        <v>315.30700000000002</v>
      </c>
      <c r="C37" s="35">
        <f>SUM(SUMIFS(modif1[[srfcH]:[srfcH]],modif1[inter_N+1],regle!$C$11),SUMIFS(modif1[[srfcH]:[srfcH]],modif1[inter_N+1],regle!$D$11),SUMIFS(modif1[[srfcH]:[srfcH]],modif1[inter_N+1],regle!$E$11))</f>
        <v>77.350800000000007</v>
      </c>
      <c r="D37" s="35">
        <f>SUM(SUMIFS(modif1[[srfcH]:[srfcH]],modif1[inter_N+2],regle!$C$11),SUMIFS(modif1[[srfcH]:[srfcH]],modif1[inter_N+2],regle!$D$11),SUMIFS(modif1[[srfcH]:[srfcH]],modif1[inter_N+2],regle!$E$11))</f>
        <v>26.977099999999989</v>
      </c>
      <c r="E37" s="35">
        <f>SUM(SUMIFS(modif1[[srfcH]:[srfcH]],modif1[inter_N+3],regle!$C$11),SUMIFS(modif1[[srfcH]:[srfcH]],modif1[inter_N+3],regle!$D$11),SUMIFS(modif1[[srfcH]:[srfcH]],modif1[inter_N+3],regle!$E$11))</f>
        <v>46.4191</v>
      </c>
      <c r="F37" s="35">
        <f>SUM(SUMIFS(modif1[[srfcH]:[srfcH]],modif1[inter_N+4],regle!$C$11),SUMIFS(modif1[[srfcH]:[srfcH]],modif1[inter_N+4],regle!$D$11),SUMIFS(modif1[[srfcH]:[srfcH]],modif1[inter_N+4],regle!$E$11))</f>
        <v>10.4834</v>
      </c>
      <c r="G37" s="35">
        <f>SUM(SUMIFS(modif1[[srfcH]:[srfcH]],modif1[inter_N+5],regle!$C$11),SUMIFS(modif1[[srfcH]:[srfcH]],modif1[inter_N+5],regle!$D$11),SUMIFS(modif1[[srfcH]:[srfcH]],modif1[inter_N+5],regle!$E$11))</f>
        <v>29.047400000000003</v>
      </c>
      <c r="H37" s="35">
        <f>SUM(SUMIFS(modif1[[srfcH]:[srfcH]],modif1[inter_N+6],regle!$C$11),SUMIFS(modif1[[srfcH]:[srfcH]],modif1[inter_N+6],regle!$D$11),SUMIFS(modif1[[srfcH]:[srfcH]],modif1[inter_N+6],regle!$E$11))</f>
        <v>6.6375000000000002</v>
      </c>
      <c r="I37" s="35">
        <f>SUM(SUMIFS(modif1[[srfcH]:[srfcH]],modif1[inter_N+7],regle!$C$11),SUMIFS(modif1[[srfcH]:[srfcH]],modif1[inter_N+7],regle!$D$11),SUMIFS(modif1[[srfcH]:[srfcH]],modif1[inter_N+7],regle!$E$11))</f>
        <v>12.093299999999999</v>
      </c>
      <c r="J37" s="35">
        <f>SUM(SUMIFS(modif1[[srfcH]:[srfcH]],modif1[inter_N+8],regle!$C$11),SUMIFS(modif1[[srfcH]:[srfcH]],modif1[inter_N+8],regle!$D$11),SUMIFS(modif1[[srfcH]:[srfcH]],modif1[inter_N+8],regle!$E$11))</f>
        <v>35.6494</v>
      </c>
      <c r="K37" s="35">
        <f>SUM(SUMIFS(modif1[[srfcH]:[srfcH]],modif1[inter_N+9],regle!$C$11),SUMIFS(modif1[[srfcH]:[srfcH]],modif1[inter_N+9],regle!$D$11),SUMIFS(modif1[[srfcH]:[srfcH]],modif1[inter_N+9],regle!$E$11))</f>
        <v>24.105800000000002</v>
      </c>
      <c r="L37" s="35">
        <f>SUM(SUMIFS(modif1[[srfcH]:[srfcH]],modif1[inter_N+10],regle!$C$11),SUMIFS(modif1[[srfcH]:[srfcH]],modif1[inter_N+10],regle!$D$11),SUMIFS(modif1[[srfcH]:[srfcH]],modif1[inter_N+10],regle!$E$11))</f>
        <v>46.543199999999992</v>
      </c>
      <c r="AT37">
        <v>40</v>
      </c>
    </row>
    <row r="38" spans="1:46" ht="15.75" x14ac:dyDescent="0.25">
      <c r="A38" s="29" t="s">
        <v>1810</v>
      </c>
      <c r="B38" s="37">
        <f t="shared" si="3"/>
        <v>348.6823</v>
      </c>
      <c r="C38" s="38">
        <f t="shared" ref="C38" si="4">SUM(C39:C44)</f>
        <v>77.350799999999992</v>
      </c>
      <c r="D38" s="38">
        <f t="shared" ref="D38:L38" si="5">SUM(D39:D44)</f>
        <v>0.83499999999999996</v>
      </c>
      <c r="E38" s="38">
        <f t="shared" si="5"/>
        <v>66.461100000000002</v>
      </c>
      <c r="F38" s="38">
        <f t="shared" si="5"/>
        <v>24.941100000000002</v>
      </c>
      <c r="G38" s="38">
        <f t="shared" si="5"/>
        <v>35.599499999999999</v>
      </c>
      <c r="H38" s="38">
        <f t="shared" si="5"/>
        <v>14.995100000000001</v>
      </c>
      <c r="I38" s="38">
        <f t="shared" si="5"/>
        <v>17.793299999999999</v>
      </c>
      <c r="J38" s="38">
        <f t="shared" si="5"/>
        <v>36.5869</v>
      </c>
      <c r="K38" s="38">
        <f t="shared" si="5"/>
        <v>21.698599999999999</v>
      </c>
      <c r="L38" s="38">
        <f t="shared" si="5"/>
        <v>52.420899999999996</v>
      </c>
      <c r="AT38">
        <v>40</v>
      </c>
    </row>
    <row r="39" spans="1:46" ht="15.75" x14ac:dyDescent="0.25">
      <c r="A39" s="32" t="str">
        <f>A6</f>
        <v>CABANAC-ET-VILLAGRAINS</v>
      </c>
      <c r="B39" s="37">
        <f t="shared" si="3"/>
        <v>36.222100000000005</v>
      </c>
      <c r="C39" s="36">
        <f>SUM(SUMIFS(modif2[[srfcH]:[srfcH]],modif2[inter_N+1],regle!$C$11,modif2[[nm_cmmn]:[nm_cmmn]],$A39),SUMIFS(modif2[[srfcH]:[srfcH]],modif2[inter_N+1],regle!$D$11,modif2[[nm_cmmn]:[nm_cmmn]],$A39),SUMIFS(modif2[[srfcH]:[srfcH]],modif2[inter_N+1],regle!$E$11,modif2[[nm_cmmn]:[nm_cmmn]],$A39))</f>
        <v>15.408800000000001</v>
      </c>
      <c r="D39" s="36">
        <f>SUM(SUMIFS(modif2[[srfcH]:[srfcH]],modif2[inter_N+2],regle!$C$11,modif2[[nm_cmmn]:[nm_cmmn]],$A39),SUMIFS(modif2[[srfcH]:[srfcH]],modif2[inter_N+2],regle!$D$11,modif2[[nm_cmmn]:[nm_cmmn]],$A39),SUMIFS(modif2[[srfcH]:[srfcH]],modif2[inter_N+2],regle!$E$11,modif2[[nm_cmmn]:[nm_cmmn]],$A39))</f>
        <v>0</v>
      </c>
      <c r="E39" s="36">
        <f>SUM(SUMIFS(modif2[[srfcH]:[srfcH]],modif2[inter_N+3],regle!$C$11,modif2[[nm_cmmn]:[nm_cmmn]],$A39),SUMIFS(modif2[[srfcH]:[srfcH]],modif2[inter_N+3],regle!$D$11,modif2[[nm_cmmn]:[nm_cmmn]],$A39),SUMIFS(modif2[[srfcH]:[srfcH]],modif2[inter_N+3],regle!$E$11,modif2[[nm_cmmn]:[nm_cmmn]],$A39))</f>
        <v>9.3087</v>
      </c>
      <c r="F39" s="36">
        <f>SUM(SUMIFS(modif2[[srfcH]:[srfcH]],modif2[inter_N+4],regle!$C$11,modif2[[nm_cmmn]:[nm_cmmn]],$A39),SUMIFS(modif2[[srfcH]:[srfcH]],modif2[inter_N+4],regle!$D$11,modif2[[nm_cmmn]:[nm_cmmn]],$A39),SUMIFS(modif2[[srfcH]:[srfcH]],modif2[inter_N+4],regle!$E$11,modif2[[nm_cmmn]:[nm_cmmn]],$A39))</f>
        <v>6.1001000000000003</v>
      </c>
      <c r="G39" s="36">
        <f>SUM(SUMIFS(modif2[[srfcH]:[srfcH]],modif2[inter_N+5],regle!$C$11,modif2[[nm_cmmn]:[nm_cmmn]],$A39),SUMIFS(modif2[[srfcH]:[srfcH]],modif2[inter_N+5],regle!$D$11,modif2[[nm_cmmn]:[nm_cmmn]],$A39),SUMIFS(modif2[[srfcH]:[srfcH]],modif2[inter_N+5],regle!$E$11,modif2[[nm_cmmn]:[nm_cmmn]],$A39))</f>
        <v>0</v>
      </c>
      <c r="H39" s="36">
        <f>SUM(SUMIFS(modif2[[srfcH]:[srfcH]],modif2[inter_N+6],regle!$C$11,modif2[[nm_cmmn]:[nm_cmmn]],$A39),SUMIFS(modif2[[srfcH]:[srfcH]],modif2[inter_N+6],regle!$D$11,modif2[[nm_cmmn]:[nm_cmmn]],$A39),SUMIFS(modif2[[srfcH]:[srfcH]],modif2[inter_N+6],regle!$E$11,modif2[[nm_cmmn]:[nm_cmmn]],$A39))</f>
        <v>0</v>
      </c>
      <c r="I39" s="36">
        <f>SUM(SUMIFS(modif2[[srfcH]:[srfcH]],modif2[inter_N+7],regle!$C$11,modif2[[nm_cmmn]:[nm_cmmn]],$A39),SUMIFS(modif2[[srfcH]:[srfcH]],modif2[inter_N+7],regle!$D$11,modif2[[nm_cmmn]:[nm_cmmn]],$A39),SUMIFS(modif2[[srfcH]:[srfcH]],modif2[inter_N+7],regle!$E$11,modif2[[nm_cmmn]:[nm_cmmn]],$A39))</f>
        <v>0</v>
      </c>
      <c r="J39" s="36">
        <f>SUM(SUMIFS(modif2[[srfcH]:[srfcH]],modif2[inter_N+8],regle!$C$11,modif2[[nm_cmmn]:[nm_cmmn]],$A39),SUMIFS(modif2[[srfcH]:[srfcH]],modif2[inter_N+8],regle!$D$11,modif2[[nm_cmmn]:[nm_cmmn]],$A39),SUMIFS(modif2[[srfcH]:[srfcH]],modif2[inter_N+8],regle!$E$11,modif2[[nm_cmmn]:[nm_cmmn]],$A39))</f>
        <v>0</v>
      </c>
      <c r="K39" s="36">
        <f>SUM(SUMIFS(modif2[[srfcH]:[srfcH]],modif2[inter_N+9],regle!$C$11,modif2[[nm_cmmn]:[nm_cmmn]],$A39),SUMIFS(modif2[[srfcH]:[srfcH]],modif2[inter_N+9],regle!$D$11,modif2[[nm_cmmn]:[nm_cmmn]],$A39),SUMIFS(modif2[[srfcH]:[srfcH]],modif2[inter_N+9],regle!$E$11,modif2[[nm_cmmn]:[nm_cmmn]],$A39))</f>
        <v>0</v>
      </c>
      <c r="L39" s="36">
        <f>SUM(SUMIFS(modif2[[srfcH]:[srfcH]],modif2[inter_N+10],regle!$C$11,modif2[[nm_cmmn]:[nm_cmmn]],$A39),SUMIFS(modif2[[srfcH]:[srfcH]],modif2[inter_N+10],regle!$D$11,modif2[[nm_cmmn]:[nm_cmmn]],$A39),SUMIFS(modif2[[srfcH]:[srfcH]],modif2[inter_N+10],regle!$E$11,modif2[[nm_cmmn]:[nm_cmmn]],$A39))</f>
        <v>5.4044999999999996</v>
      </c>
      <c r="AT39">
        <v>40</v>
      </c>
    </row>
    <row r="40" spans="1:46" ht="15.75" x14ac:dyDescent="0.25">
      <c r="A40" s="32" t="str">
        <f t="shared" ref="A40:A44" si="6">A7</f>
        <v>MANO</v>
      </c>
      <c r="B40" s="37">
        <f t="shared" si="3"/>
        <v>64.260899999999992</v>
      </c>
      <c r="C40" s="36">
        <f>SUM(SUMIFS(modif2[[srfcH]:[srfcH]],modif2[inter_N+1],regle!$C$11,modif2[[nm_cmmn]:[nm_cmmn]],$A40),SUMIFS(modif2[[srfcH]:[srfcH]],modif2[inter_N+1],regle!$D$11,modif2[[nm_cmmn]:[nm_cmmn]],$A40),SUMIFS(modif2[[srfcH]:[srfcH]],modif2[inter_N+1],regle!$E$11,modif2[[nm_cmmn]:[nm_cmmn]],$A40))</f>
        <v>0</v>
      </c>
      <c r="D40" s="36">
        <f>SUM(SUMIFS(modif2[[srfcH]:[srfcH]],modif2[inter_N+2],regle!$C$11,modif2[[nm_cmmn]:[nm_cmmn]],$A40),SUMIFS(modif2[[srfcH]:[srfcH]],modif2[inter_N+2],regle!$D$11,modif2[[nm_cmmn]:[nm_cmmn]],$A40),SUMIFS(modif2[[srfcH]:[srfcH]],modif2[inter_N+2],regle!$E$11,modif2[[nm_cmmn]:[nm_cmmn]],$A40))</f>
        <v>0.83499999999999996</v>
      </c>
      <c r="E40" s="36">
        <f>SUM(SUMIFS(modif2[[srfcH]:[srfcH]],modif2[inter_N+3],regle!$C$11,modif2[[nm_cmmn]:[nm_cmmn]],$A40),SUMIFS(modif2[[srfcH]:[srfcH]],modif2[inter_N+3],regle!$D$11,modif2[[nm_cmmn]:[nm_cmmn]],$A40),SUMIFS(modif2[[srfcH]:[srfcH]],modif2[inter_N+3],regle!$E$11,modif2[[nm_cmmn]:[nm_cmmn]],$A40))</f>
        <v>6.7073999999999989</v>
      </c>
      <c r="F40" s="36">
        <f>SUM(SUMIFS(modif2[[srfcH]:[srfcH]],modif2[inter_N+4],regle!$C$11,modif2[[nm_cmmn]:[nm_cmmn]],$A40),SUMIFS(modif2[[srfcH]:[srfcH]],modif2[inter_N+4],regle!$D$11,modif2[[nm_cmmn]:[nm_cmmn]],$A40),SUMIFS(modif2[[srfcH]:[srfcH]],modif2[inter_N+4],regle!$E$11,modif2[[nm_cmmn]:[nm_cmmn]],$A40))</f>
        <v>14.712900000000001</v>
      </c>
      <c r="G40" s="36">
        <f>SUM(SUMIFS(modif2[[srfcH]:[srfcH]],modif2[inter_N+5],regle!$C$11,modif2[[nm_cmmn]:[nm_cmmn]],$A40),SUMIFS(modif2[[srfcH]:[srfcH]],modif2[inter_N+5],regle!$D$11,modif2[[nm_cmmn]:[nm_cmmn]],$A40),SUMIFS(modif2[[srfcH]:[srfcH]],modif2[inter_N+5],regle!$E$11,modif2[[nm_cmmn]:[nm_cmmn]],$A40))</f>
        <v>6.7073999999999989</v>
      </c>
      <c r="H40" s="36">
        <f>SUM(SUMIFS(modif2[[srfcH]:[srfcH]],modif2[inter_N+6],regle!$C$11,modif2[[nm_cmmn]:[nm_cmmn]],$A40),SUMIFS(modif2[[srfcH]:[srfcH]],modif2[inter_N+6],regle!$D$11,modif2[[nm_cmmn]:[nm_cmmn]],$A40),SUMIFS(modif2[[srfcH]:[srfcH]],modif2[inter_N+6],regle!$E$11,modif2[[nm_cmmn]:[nm_cmmn]],$A40))</f>
        <v>13.8779</v>
      </c>
      <c r="I40" s="36">
        <f>SUM(SUMIFS(modif2[[srfcH]:[srfcH]],modif2[inter_N+7],regle!$C$11,modif2[[nm_cmmn]:[nm_cmmn]],$A40),SUMIFS(modif2[[srfcH]:[srfcH]],modif2[inter_N+7],regle!$D$11,modif2[[nm_cmmn]:[nm_cmmn]],$A40),SUMIFS(modif2[[srfcH]:[srfcH]],modif2[inter_N+7],regle!$E$11,modif2[[nm_cmmn]:[nm_cmmn]],$A40))</f>
        <v>0.83499999999999996</v>
      </c>
      <c r="J40" s="36">
        <f>SUM(SUMIFS(modif2[[srfcH]:[srfcH]],modif2[inter_N+8],regle!$C$11,modif2[[nm_cmmn]:[nm_cmmn]],$A40),SUMIFS(modif2[[srfcH]:[srfcH]],modif2[inter_N+8],regle!$D$11,modif2[[nm_cmmn]:[nm_cmmn]],$A40),SUMIFS(modif2[[srfcH]:[srfcH]],modif2[inter_N+8],regle!$E$11,modif2[[nm_cmmn]:[nm_cmmn]],$A40))</f>
        <v>6.7073999999999989</v>
      </c>
      <c r="K40" s="36">
        <f>SUM(SUMIFS(modif2[[srfcH]:[srfcH]],modif2[inter_N+9],regle!$C$11,modif2[[nm_cmmn]:[nm_cmmn]],$A40),SUMIFS(modif2[[srfcH]:[srfcH]],modif2[inter_N+9],regle!$D$11,modif2[[nm_cmmn]:[nm_cmmn]],$A40),SUMIFS(modif2[[srfcH]:[srfcH]],modif2[inter_N+9],regle!$E$11,modif2[[nm_cmmn]:[nm_cmmn]],$A40))</f>
        <v>13.8779</v>
      </c>
      <c r="L40" s="36">
        <f>SUM(SUMIFS(modif2[[srfcH]:[srfcH]],modif2[inter_N+10],regle!$C$11,modif2[[nm_cmmn]:[nm_cmmn]],$A40),SUMIFS(modif2[[srfcH]:[srfcH]],modif2[inter_N+10],regle!$D$11,modif2[[nm_cmmn]:[nm_cmmn]],$A40),SUMIFS(modif2[[srfcH]:[srfcH]],modif2[inter_N+10],regle!$E$11,modif2[[nm_cmmn]:[nm_cmmn]],$A40))</f>
        <v>0</v>
      </c>
      <c r="AT40">
        <v>40</v>
      </c>
    </row>
    <row r="41" spans="1:46" ht="15.75" x14ac:dyDescent="0.25">
      <c r="A41" s="32" t="str">
        <f t="shared" si="6"/>
        <v>GUILLOS</v>
      </c>
      <c r="B41" s="37">
        <f t="shared" si="3"/>
        <v>1.3727</v>
      </c>
      <c r="C41" s="36">
        <f>SUM(SUMIFS(modif2[[srfcH]:[srfcH]],modif2[inter_N+1],regle!$C$11,modif2[[nm_cmmn]:[nm_cmmn]],$A41),SUMIFS(modif2[[srfcH]:[srfcH]],modif2[inter_N+1],regle!$D$11,modif2[[nm_cmmn]:[nm_cmmn]],$A41),SUMIFS(modif2[[srfcH]:[srfcH]],modif2[inter_N+1],regle!$E$11,modif2[[nm_cmmn]:[nm_cmmn]],$A41))</f>
        <v>0</v>
      </c>
      <c r="D41" s="36">
        <f>SUM(SUMIFS(modif2[[srfcH]:[srfcH]],modif2[inter_N+2],regle!$C$11,modif2[[nm_cmmn]:[nm_cmmn]],$A41),SUMIFS(modif2[[srfcH]:[srfcH]],modif2[inter_N+2],regle!$D$11,modif2[[nm_cmmn]:[nm_cmmn]],$A41),SUMIFS(modif2[[srfcH]:[srfcH]],modif2[inter_N+2],regle!$E$11,modif2[[nm_cmmn]:[nm_cmmn]],$A41))</f>
        <v>0</v>
      </c>
      <c r="E41" s="36">
        <f>SUM(SUMIFS(modif2[[srfcH]:[srfcH]],modif2[inter_N+3],regle!$C$11,modif2[[nm_cmmn]:[nm_cmmn]],$A41),SUMIFS(modif2[[srfcH]:[srfcH]],modif2[inter_N+3],regle!$D$11,modif2[[nm_cmmn]:[nm_cmmn]],$A41),SUMIFS(modif2[[srfcH]:[srfcH]],modif2[inter_N+3],regle!$E$11,modif2[[nm_cmmn]:[nm_cmmn]],$A41))</f>
        <v>0</v>
      </c>
      <c r="F41" s="36">
        <f>SUM(SUMIFS(modif2[[srfcH]:[srfcH]],modif2[inter_N+4],regle!$C$11,modif2[[nm_cmmn]:[nm_cmmn]],$A41),SUMIFS(modif2[[srfcH]:[srfcH]],modif2[inter_N+4],regle!$D$11,modif2[[nm_cmmn]:[nm_cmmn]],$A41),SUMIFS(modif2[[srfcH]:[srfcH]],modif2[inter_N+4],regle!$E$11,modif2[[nm_cmmn]:[nm_cmmn]],$A41))</f>
        <v>0</v>
      </c>
      <c r="G41" s="36">
        <f>SUM(SUMIFS(modif2[[srfcH]:[srfcH]],modif2[inter_N+5],regle!$C$11,modif2[[nm_cmmn]:[nm_cmmn]],$A41),SUMIFS(modif2[[srfcH]:[srfcH]],modif2[inter_N+5],regle!$D$11,modif2[[nm_cmmn]:[nm_cmmn]],$A41),SUMIFS(modif2[[srfcH]:[srfcH]],modif2[inter_N+5],regle!$E$11,modif2[[nm_cmmn]:[nm_cmmn]],$A41))</f>
        <v>0</v>
      </c>
      <c r="H41" s="36">
        <f>SUM(SUMIFS(modif2[[srfcH]:[srfcH]],modif2[inter_N+6],regle!$C$11,modif2[[nm_cmmn]:[nm_cmmn]],$A41),SUMIFS(modif2[[srfcH]:[srfcH]],modif2[inter_N+6],regle!$D$11,modif2[[nm_cmmn]:[nm_cmmn]],$A41),SUMIFS(modif2[[srfcH]:[srfcH]],modif2[inter_N+6],regle!$E$11,modif2[[nm_cmmn]:[nm_cmmn]],$A41))</f>
        <v>0</v>
      </c>
      <c r="I41" s="36">
        <f>SUM(SUMIFS(modif2[[srfcH]:[srfcH]],modif2[inter_N+7],regle!$C$11,modif2[[nm_cmmn]:[nm_cmmn]],$A41),SUMIFS(modif2[[srfcH]:[srfcH]],modif2[inter_N+7],regle!$D$11,modif2[[nm_cmmn]:[nm_cmmn]],$A41),SUMIFS(modif2[[srfcH]:[srfcH]],modif2[inter_N+7],regle!$E$11,modif2[[nm_cmmn]:[nm_cmmn]],$A41))</f>
        <v>0</v>
      </c>
      <c r="J41" s="36">
        <f>SUM(SUMIFS(modif2[[srfcH]:[srfcH]],modif2[inter_N+8],regle!$C$11,modif2[[nm_cmmn]:[nm_cmmn]],$A41),SUMIFS(modif2[[srfcH]:[srfcH]],modif2[inter_N+8],regle!$D$11,modif2[[nm_cmmn]:[nm_cmmn]],$A41),SUMIFS(modif2[[srfcH]:[srfcH]],modif2[inter_N+8],regle!$E$11,modif2[[nm_cmmn]:[nm_cmmn]],$A41))</f>
        <v>0</v>
      </c>
      <c r="K41" s="36">
        <f>SUM(SUMIFS(modif2[[srfcH]:[srfcH]],modif2[inter_N+9],regle!$C$11,modif2[[nm_cmmn]:[nm_cmmn]],$A41),SUMIFS(modif2[[srfcH]:[srfcH]],modif2[inter_N+9],regle!$D$11,modif2[[nm_cmmn]:[nm_cmmn]],$A41),SUMIFS(modif2[[srfcH]:[srfcH]],modif2[inter_N+9],regle!$E$11,modif2[[nm_cmmn]:[nm_cmmn]],$A41))</f>
        <v>0</v>
      </c>
      <c r="L41" s="36">
        <f>SUM(SUMIFS(modif2[[srfcH]:[srfcH]],modif2[inter_N+10],regle!$C$11,modif2[[nm_cmmn]:[nm_cmmn]],$A41),SUMIFS(modif2[[srfcH]:[srfcH]],modif2[inter_N+10],regle!$D$11,modif2[[nm_cmmn]:[nm_cmmn]],$A41),SUMIFS(modif2[[srfcH]:[srfcH]],modif2[inter_N+10],regle!$E$11,modif2[[nm_cmmn]:[nm_cmmn]],$A41))</f>
        <v>1.3727</v>
      </c>
      <c r="AT41">
        <v>40</v>
      </c>
    </row>
    <row r="42" spans="1:46" ht="15.75" x14ac:dyDescent="0.25">
      <c r="A42" s="32" t="str">
        <f t="shared" si="6"/>
        <v>MOUSTEY</v>
      </c>
      <c r="B42" s="37">
        <f t="shared" si="3"/>
        <v>57.939599999999984</v>
      </c>
      <c r="C42" s="36">
        <f>SUM(SUMIFS(modif2[[srfcH]:[srfcH]],modif2[inter_N+1],regle!$C$11,modif2[[nm_cmmn]:[nm_cmmn]],$A42),SUMIFS(modif2[[srfcH]:[srfcH]],modif2[inter_N+1],regle!$D$11,modif2[[nm_cmmn]:[nm_cmmn]],$A42),SUMIFS(modif2[[srfcH]:[srfcH]],modif2[inter_N+1],regle!$E$11,modif2[[nm_cmmn]:[nm_cmmn]],$A42))</f>
        <v>29.502899999999997</v>
      </c>
      <c r="D42" s="36">
        <f>SUM(SUMIFS(modif2[[srfcH]:[srfcH]],modif2[inter_N+2],regle!$C$11,modif2[[nm_cmmn]:[nm_cmmn]],$A42),SUMIFS(modif2[[srfcH]:[srfcH]],modif2[inter_N+2],regle!$D$11,modif2[[nm_cmmn]:[nm_cmmn]],$A42),SUMIFS(modif2[[srfcH]:[srfcH]],modif2[inter_N+2],regle!$E$11,modif2[[nm_cmmn]:[nm_cmmn]],$A42))</f>
        <v>0</v>
      </c>
      <c r="E42" s="36">
        <f>SUM(SUMIFS(modif2[[srfcH]:[srfcH]],modif2[inter_N+3],regle!$C$11,modif2[[nm_cmmn]:[nm_cmmn]],$A42),SUMIFS(modif2[[srfcH]:[srfcH]],modif2[inter_N+3],regle!$D$11,modif2[[nm_cmmn]:[nm_cmmn]],$A42),SUMIFS(modif2[[srfcH]:[srfcH]],modif2[inter_N+3],regle!$E$11,modif2[[nm_cmmn]:[nm_cmmn]],$A42))</f>
        <v>9.4788999999999994</v>
      </c>
      <c r="F42" s="36">
        <f>SUM(SUMIFS(modif2[[srfcH]:[srfcH]],modif2[inter_N+4],regle!$C$11,modif2[[nm_cmmn]:[nm_cmmn]],$A42),SUMIFS(modif2[[srfcH]:[srfcH]],modif2[inter_N+4],regle!$D$11,modif2[[nm_cmmn]:[nm_cmmn]],$A42),SUMIFS(modif2[[srfcH]:[srfcH]],modif2[inter_N+4],regle!$E$11,modif2[[nm_cmmn]:[nm_cmmn]],$A42))</f>
        <v>0</v>
      </c>
      <c r="G42" s="36">
        <f>SUM(SUMIFS(modif2[[srfcH]:[srfcH]],modif2[inter_N+5],regle!$C$11,modif2[[nm_cmmn]:[nm_cmmn]],$A42),SUMIFS(modif2[[srfcH]:[srfcH]],modif2[inter_N+5],regle!$D$11,modif2[[nm_cmmn]:[nm_cmmn]],$A42),SUMIFS(modif2[[srfcH]:[srfcH]],modif2[inter_N+5],regle!$E$11,modif2[[nm_cmmn]:[nm_cmmn]],$A42))</f>
        <v>9.4788999999999994</v>
      </c>
      <c r="H42" s="36">
        <f>SUM(SUMIFS(modif2[[srfcH]:[srfcH]],modif2[inter_N+6],regle!$C$11,modif2[[nm_cmmn]:[nm_cmmn]],$A42),SUMIFS(modif2[[srfcH]:[srfcH]],modif2[inter_N+6],regle!$D$11,modif2[[nm_cmmn]:[nm_cmmn]],$A42),SUMIFS(modif2[[srfcH]:[srfcH]],modif2[inter_N+6],regle!$E$11,modif2[[nm_cmmn]:[nm_cmmn]],$A42))</f>
        <v>0</v>
      </c>
      <c r="I42" s="36">
        <f>SUM(SUMIFS(modif2[[srfcH]:[srfcH]],modif2[inter_N+7],regle!$C$11,modif2[[nm_cmmn]:[nm_cmmn]],$A42),SUMIFS(modif2[[srfcH]:[srfcH]],modif2[inter_N+7],regle!$D$11,modif2[[nm_cmmn]:[nm_cmmn]],$A42),SUMIFS(modif2[[srfcH]:[srfcH]],modif2[inter_N+7],regle!$E$11,modif2[[nm_cmmn]:[nm_cmmn]],$A42))</f>
        <v>0</v>
      </c>
      <c r="J42" s="36">
        <f>SUM(SUMIFS(modif2[[srfcH]:[srfcH]],modif2[inter_N+8],regle!$C$11,modif2[[nm_cmmn]:[nm_cmmn]],$A42),SUMIFS(modif2[[srfcH]:[srfcH]],modif2[inter_N+8],regle!$D$11,modif2[[nm_cmmn]:[nm_cmmn]],$A42),SUMIFS(modif2[[srfcH]:[srfcH]],modif2[inter_N+8],regle!$E$11,modif2[[nm_cmmn]:[nm_cmmn]],$A42))</f>
        <v>9.4788999999999994</v>
      </c>
      <c r="K42" s="36">
        <f>SUM(SUMIFS(modif2[[srfcH]:[srfcH]],modif2[inter_N+9],regle!$C$11,modif2[[nm_cmmn]:[nm_cmmn]],$A42),SUMIFS(modif2[[srfcH]:[srfcH]],modif2[inter_N+9],regle!$D$11,modif2[[nm_cmmn]:[nm_cmmn]],$A42),SUMIFS(modif2[[srfcH]:[srfcH]],modif2[inter_N+9],regle!$E$11,modif2[[nm_cmmn]:[nm_cmmn]],$A42))</f>
        <v>0</v>
      </c>
      <c r="L42" s="36">
        <f>SUM(SUMIFS(modif2[[srfcH]:[srfcH]],modif2[inter_N+10],regle!$C$11,modif2[[nm_cmmn]:[nm_cmmn]],$A42),SUMIFS(modif2[[srfcH]:[srfcH]],modif2[inter_N+10],regle!$D$11,modif2[[nm_cmmn]:[nm_cmmn]],$A42),SUMIFS(modif2[[srfcH]:[srfcH]],modif2[inter_N+10],regle!$E$11,modif2[[nm_cmmn]:[nm_cmmn]],$A42))</f>
        <v>0</v>
      </c>
      <c r="AT42">
        <v>40</v>
      </c>
    </row>
    <row r="43" spans="1:46" ht="15.75" x14ac:dyDescent="0.25">
      <c r="A43" s="32" t="str">
        <f t="shared" si="6"/>
        <v>HOSTENS</v>
      </c>
      <c r="B43" s="37">
        <f t="shared" si="3"/>
        <v>116.55010000000001</v>
      </c>
      <c r="C43" s="36">
        <f>SUM(SUMIFS(modif2[[srfcH]:[srfcH]],modif2[inter_N+1],regle!$C$11,modif2[[nm_cmmn]:[nm_cmmn]],$A43),SUMIFS(modif2[[srfcH]:[srfcH]],modif2[inter_N+1],regle!$D$11,modif2[[nm_cmmn]:[nm_cmmn]],$A43),SUMIFS(modif2[[srfcH]:[srfcH]],modif2[inter_N+1],regle!$E$11,modif2[[nm_cmmn]:[nm_cmmn]],$A43))</f>
        <v>16.232099999999999</v>
      </c>
      <c r="D43" s="36">
        <f>SUM(SUMIFS(modif2[[srfcH]:[srfcH]],modif2[inter_N+2],regle!$C$11,modif2[[nm_cmmn]:[nm_cmmn]],$A43),SUMIFS(modif2[[srfcH]:[srfcH]],modif2[inter_N+2],regle!$D$11,modif2[[nm_cmmn]:[nm_cmmn]],$A43),SUMIFS(modif2[[srfcH]:[srfcH]],modif2[inter_N+2],regle!$E$11,modif2[[nm_cmmn]:[nm_cmmn]],$A43))</f>
        <v>0</v>
      </c>
      <c r="E43" s="36">
        <f>SUM(SUMIFS(modif2[[srfcH]:[srfcH]],modif2[inter_N+3],regle!$C$11,modif2[[nm_cmmn]:[nm_cmmn]],$A43),SUMIFS(modif2[[srfcH]:[srfcH]],modif2[inter_N+3],regle!$D$11,modif2[[nm_cmmn]:[nm_cmmn]],$A43),SUMIFS(modif2[[srfcH]:[srfcH]],modif2[inter_N+3],regle!$E$11,modif2[[nm_cmmn]:[nm_cmmn]],$A43))</f>
        <v>40.811900000000001</v>
      </c>
      <c r="F43" s="36">
        <f>SUM(SUMIFS(modif2[[srfcH]:[srfcH]],modif2[inter_N+4],regle!$C$11,modif2[[nm_cmmn]:[nm_cmmn]],$A43),SUMIFS(modif2[[srfcH]:[srfcH]],modif2[inter_N+4],regle!$D$11,modif2[[nm_cmmn]:[nm_cmmn]],$A43),SUMIFS(modif2[[srfcH]:[srfcH]],modif2[inter_N+4],regle!$E$11,modif2[[nm_cmmn]:[nm_cmmn]],$A43))</f>
        <v>4.1280999999999999</v>
      </c>
      <c r="G43" s="36">
        <f>SUM(SUMIFS(modif2[[srfcH]:[srfcH]],modif2[inter_N+5],regle!$C$11,modif2[[nm_cmmn]:[nm_cmmn]],$A43),SUMIFS(modif2[[srfcH]:[srfcH]],modif2[inter_N+5],regle!$D$11,modif2[[nm_cmmn]:[nm_cmmn]],$A43),SUMIFS(modif2[[srfcH]:[srfcH]],modif2[inter_N+5],regle!$E$11,modif2[[nm_cmmn]:[nm_cmmn]],$A43))</f>
        <v>15.962900000000001</v>
      </c>
      <c r="H43" s="36">
        <f>SUM(SUMIFS(modif2[[srfcH]:[srfcH]],modif2[inter_N+6],regle!$C$11,modif2[[nm_cmmn]:[nm_cmmn]],$A43),SUMIFS(modif2[[srfcH]:[srfcH]],modif2[inter_N+6],regle!$D$11,modif2[[nm_cmmn]:[nm_cmmn]],$A43),SUMIFS(modif2[[srfcH]:[srfcH]],modif2[inter_N+6],regle!$E$11,modif2[[nm_cmmn]:[nm_cmmn]],$A43))</f>
        <v>1.1172</v>
      </c>
      <c r="I43" s="36">
        <f>SUM(SUMIFS(modif2[[srfcH]:[srfcH]],modif2[inter_N+7],regle!$C$11,modif2[[nm_cmmn]:[nm_cmmn]],$A43),SUMIFS(modif2[[srfcH]:[srfcH]],modif2[inter_N+7],regle!$D$11,modif2[[nm_cmmn]:[nm_cmmn]],$A43),SUMIFS(modif2[[srfcH]:[srfcH]],modif2[inter_N+7],regle!$E$11,modif2[[nm_cmmn]:[nm_cmmn]],$A43))</f>
        <v>13.5768</v>
      </c>
      <c r="J43" s="36">
        <f>SUM(SUMIFS(modif2[[srfcH]:[srfcH]],modif2[inter_N+8],regle!$C$11,modif2[[nm_cmmn]:[nm_cmmn]],$A43),SUMIFS(modif2[[srfcH]:[srfcH]],modif2[inter_N+8],regle!$D$11,modif2[[nm_cmmn]:[nm_cmmn]],$A43),SUMIFS(modif2[[srfcH]:[srfcH]],modif2[inter_N+8],regle!$E$11,modif2[[nm_cmmn]:[nm_cmmn]],$A43))</f>
        <v>2.3860999999999999</v>
      </c>
      <c r="K43" s="36">
        <f>SUM(SUMIFS(modif2[[srfcH]:[srfcH]],modif2[inter_N+9],regle!$C$11,modif2[[nm_cmmn]:[nm_cmmn]],$A43),SUMIFS(modif2[[srfcH]:[srfcH]],modif2[inter_N+9],regle!$D$11,modif2[[nm_cmmn]:[nm_cmmn]],$A43),SUMIFS(modif2[[srfcH]:[srfcH]],modif2[inter_N+9],regle!$E$11,modif2[[nm_cmmn]:[nm_cmmn]],$A43))</f>
        <v>7.8207000000000004</v>
      </c>
      <c r="L43" s="36">
        <f>SUM(SUMIFS(modif2[[srfcH]:[srfcH]],modif2[inter_N+10],regle!$C$11,modif2[[nm_cmmn]:[nm_cmmn]],$A43),SUMIFS(modif2[[srfcH]:[srfcH]],modif2[inter_N+10],regle!$D$11,modif2[[nm_cmmn]:[nm_cmmn]],$A43),SUMIFS(modif2[[srfcH]:[srfcH]],modif2[inter_N+10],regle!$E$11,modif2[[nm_cmmn]:[nm_cmmn]],$A43))</f>
        <v>14.5143</v>
      </c>
      <c r="AT43">
        <v>40</v>
      </c>
    </row>
    <row r="44" spans="1:46" ht="15.75" x14ac:dyDescent="0.25">
      <c r="A44" s="32" t="str">
        <f t="shared" si="6"/>
        <v>LE TUZAN</v>
      </c>
      <c r="B44" s="37">
        <f t="shared" si="3"/>
        <v>72.336899999999986</v>
      </c>
      <c r="C44" s="36">
        <f>SUM(SUMIFS(modif2[[srfcH]:[srfcH]],modif2[inter_N+1],regle!$C$11,modif2[[nm_cmmn]:[nm_cmmn]],$A44),SUMIFS(modif2[[srfcH]:[srfcH]],modif2[inter_N+1],regle!$D$11,modif2[[nm_cmmn]:[nm_cmmn]],$A44),SUMIFS(modif2[[srfcH]:[srfcH]],modif2[inter_N+1],regle!$E$11,modif2[[nm_cmmn]:[nm_cmmn]],$A44))</f>
        <v>16.206999999999997</v>
      </c>
      <c r="D44" s="36">
        <f>SUM(SUMIFS(modif2[[srfcH]:[srfcH]],modif2[inter_N+2],regle!$C$11,modif2[[nm_cmmn]:[nm_cmmn]],$A44),SUMIFS(modif2[[srfcH]:[srfcH]],modif2[inter_N+2],regle!$D$11,modif2[[nm_cmmn]:[nm_cmmn]],$A44),SUMIFS(modif2[[srfcH]:[srfcH]],modif2[inter_N+2],regle!$E$11,modif2[[nm_cmmn]:[nm_cmmn]],$A44))</f>
        <v>0</v>
      </c>
      <c r="E44" s="36">
        <f>SUM(SUMIFS(modif2[[srfcH]:[srfcH]],modif2[inter_N+3],regle!$C$11,modif2[[nm_cmmn]:[nm_cmmn]],$A44),SUMIFS(modif2[[srfcH]:[srfcH]],modif2[inter_N+3],regle!$D$11,modif2[[nm_cmmn]:[nm_cmmn]],$A44),SUMIFS(modif2[[srfcH]:[srfcH]],modif2[inter_N+3],regle!$E$11,modif2[[nm_cmmn]:[nm_cmmn]],$A44))</f>
        <v>0.1542</v>
      </c>
      <c r="F44" s="36">
        <f>SUM(SUMIFS(modif2[[srfcH]:[srfcH]],modif2[inter_N+4],regle!$C$11,modif2[[nm_cmmn]:[nm_cmmn]],$A44),SUMIFS(modif2[[srfcH]:[srfcH]],modif2[inter_N+4],regle!$D$11,modif2[[nm_cmmn]:[nm_cmmn]],$A44),SUMIFS(modif2[[srfcH]:[srfcH]],modif2[inter_N+4],regle!$E$11,modif2[[nm_cmmn]:[nm_cmmn]],$A44))</f>
        <v>0</v>
      </c>
      <c r="G44" s="36">
        <f>SUM(SUMIFS(modif2[[srfcH]:[srfcH]],modif2[inter_N+5],regle!$C$11,modif2[[nm_cmmn]:[nm_cmmn]],$A44),SUMIFS(modif2[[srfcH]:[srfcH]],modif2[inter_N+5],regle!$D$11,modif2[[nm_cmmn]:[nm_cmmn]],$A44),SUMIFS(modif2[[srfcH]:[srfcH]],modif2[inter_N+5],regle!$E$11,modif2[[nm_cmmn]:[nm_cmmn]],$A44))</f>
        <v>3.4502999999999999</v>
      </c>
      <c r="H44" s="36">
        <f>SUM(SUMIFS(modif2[[srfcH]:[srfcH]],modif2[inter_N+6],regle!$C$11,modif2[[nm_cmmn]:[nm_cmmn]],$A44),SUMIFS(modif2[[srfcH]:[srfcH]],modif2[inter_N+6],regle!$D$11,modif2[[nm_cmmn]:[nm_cmmn]],$A44),SUMIFS(modif2[[srfcH]:[srfcH]],modif2[inter_N+6],regle!$E$11,modif2[[nm_cmmn]:[nm_cmmn]],$A44))</f>
        <v>0</v>
      </c>
      <c r="I44" s="36">
        <f>SUM(SUMIFS(modif2[[srfcH]:[srfcH]],modif2[inter_N+7],regle!$C$11,modif2[[nm_cmmn]:[nm_cmmn]],$A44),SUMIFS(modif2[[srfcH]:[srfcH]],modif2[inter_N+7],regle!$D$11,modif2[[nm_cmmn]:[nm_cmmn]],$A44),SUMIFS(modif2[[srfcH]:[srfcH]],modif2[inter_N+7],regle!$E$11,modif2[[nm_cmmn]:[nm_cmmn]],$A44))</f>
        <v>3.3815</v>
      </c>
      <c r="J44" s="36">
        <f>SUM(SUMIFS(modif2[[srfcH]:[srfcH]],modif2[inter_N+8],regle!$C$11,modif2[[nm_cmmn]:[nm_cmmn]],$A44),SUMIFS(modif2[[srfcH]:[srfcH]],modif2[inter_N+8],regle!$D$11,modif2[[nm_cmmn]:[nm_cmmn]],$A44),SUMIFS(modif2[[srfcH]:[srfcH]],modif2[inter_N+8],regle!$E$11,modif2[[nm_cmmn]:[nm_cmmn]],$A44))</f>
        <v>18.014499999999998</v>
      </c>
      <c r="K44" s="36">
        <f>SUM(SUMIFS(modif2[[srfcH]:[srfcH]],modif2[inter_N+9],regle!$C$11,modif2[[nm_cmmn]:[nm_cmmn]],$A44),SUMIFS(modif2[[srfcH]:[srfcH]],modif2[inter_N+9],regle!$D$11,modif2[[nm_cmmn]:[nm_cmmn]],$A44),SUMIFS(modif2[[srfcH]:[srfcH]],modif2[inter_N+9],regle!$E$11,modif2[[nm_cmmn]:[nm_cmmn]],$A44))</f>
        <v>0</v>
      </c>
      <c r="L44" s="36">
        <f>SUM(SUMIFS(modif2[[srfcH]:[srfcH]],modif2[inter_N+10],regle!$C$11,modif2[[nm_cmmn]:[nm_cmmn]],$A44),SUMIFS(modif2[[srfcH]:[srfcH]],modif2[inter_N+10],regle!$D$11,modif2[[nm_cmmn]:[nm_cmmn]],$A44),SUMIFS(modif2[[srfcH]:[srfcH]],modif2[inter_N+10],regle!$E$11,modif2[[nm_cmmn]:[nm_cmmn]],$A44))</f>
        <v>31.129399999999997</v>
      </c>
      <c r="AT44">
        <v>40</v>
      </c>
    </row>
    <row r="45" spans="1:46" x14ac:dyDescent="0.25">
      <c r="AT45">
        <v>40</v>
      </c>
    </row>
    <row r="46" spans="1:46" ht="18.75" x14ac:dyDescent="0.3">
      <c r="A46" s="39" t="s">
        <v>1893</v>
      </c>
      <c r="AT46">
        <v>40</v>
      </c>
    </row>
    <row r="47" spans="1:46" ht="15.75" x14ac:dyDescent="0.25">
      <c r="A47" s="30" t="s">
        <v>1816</v>
      </c>
      <c r="B47" s="31" t="s">
        <v>0</v>
      </c>
      <c r="C47" s="31">
        <f>C35</f>
        <v>2024</v>
      </c>
      <c r="D47" s="31">
        <f t="shared" ref="D47:L47" si="7">D35</f>
        <v>2025</v>
      </c>
      <c r="E47" s="31">
        <f t="shared" si="7"/>
        <v>2026</v>
      </c>
      <c r="F47" s="31">
        <f t="shared" si="7"/>
        <v>2027</v>
      </c>
      <c r="G47" s="31">
        <f t="shared" si="7"/>
        <v>2028</v>
      </c>
      <c r="H47" s="31">
        <f t="shared" si="7"/>
        <v>2029</v>
      </c>
      <c r="I47" s="31">
        <f t="shared" si="7"/>
        <v>2030</v>
      </c>
      <c r="J47" s="31">
        <f t="shared" si="7"/>
        <v>2031</v>
      </c>
      <c r="K47" s="31">
        <f t="shared" si="7"/>
        <v>2032</v>
      </c>
      <c r="L47" s="31">
        <f t="shared" si="7"/>
        <v>2033</v>
      </c>
      <c r="AT47">
        <v>40</v>
      </c>
    </row>
    <row r="48" spans="1:46" ht="15.75" x14ac:dyDescent="0.25">
      <c r="A48" s="32" t="str">
        <f>A36</f>
        <v>BASE :</v>
      </c>
      <c r="B48" s="40">
        <f t="shared" ref="B48:B56" si="8">SUM(C48:L48)</f>
        <v>384</v>
      </c>
      <c r="C48" s="41">
        <f>SUM(COUNTIFS(modif0[inter_N+1],regle!$C$11),COUNTIFS(modif0[inter_N+1],regle!$D$11),COUNTIFS(modif0[inter_N+1],regle!$E$11))</f>
        <v>20</v>
      </c>
      <c r="D48" s="41">
        <f>SUM(COUNTIFS(modif0[inter_N+2],regle!$C$11),COUNTIFS(modif0[inter_N+2],regle!$D$11),COUNTIFS(modif0[inter_N+2],regle!$E$11))</f>
        <v>23</v>
      </c>
      <c r="E48" s="41">
        <f>SUM(COUNTIFS(modif0[inter_N+3],regle!$C$11),COUNTIFS(modif0[inter_N+3],regle!$D$11),COUNTIFS(modif0[inter_N+3],regle!$E$11))</f>
        <v>110</v>
      </c>
      <c r="F48" s="41">
        <f>SUM(COUNTIFS(modif0[inter_N+4],regle!$C$11),COUNTIFS(modif0[inter_N+4],regle!$D$11),COUNTIFS(modif0[inter_N+4],regle!$E$11))</f>
        <v>20</v>
      </c>
      <c r="G48" s="41">
        <f>SUM(COUNTIFS(modif0[inter_N+5],regle!$C$11),COUNTIFS(modif0[inter_N+5],regle!$D$11),COUNTIFS(modif0[inter_N+5],regle!$E$11))</f>
        <v>9</v>
      </c>
      <c r="H48" s="41">
        <f>SUM(COUNTIFS(modif0[inter_N+6],regle!$C$11),COUNTIFS(modif0[inter_N+6],regle!$D$11),COUNTIFS(modif0[inter_N+6],regle!$E$11))</f>
        <v>94</v>
      </c>
      <c r="I48" s="41">
        <f>SUM(COUNTIFS(modif0[inter_N+7],regle!$C$11),COUNTIFS(modif0[inter_N+7],regle!$D$11),COUNTIFS(modif0[inter_N+7],regle!$E$11))</f>
        <v>0</v>
      </c>
      <c r="J48" s="41">
        <f>SUM(COUNTIFS(modif0[inter_N+8],regle!$C$11),COUNTIFS(modif0[inter_N+8],regle!$D$11),COUNTIFS(modif0[inter_N+8],regle!$E$11))</f>
        <v>13</v>
      </c>
      <c r="K48" s="41">
        <f>SUM(COUNTIFS(modif0[inter_N+9],regle!$C$11),COUNTIFS(modif0[inter_N+9],regle!$D$11),COUNTIFS(modif0[inter_N+9],regle!$E$11))</f>
        <v>95</v>
      </c>
      <c r="L48" s="41">
        <f>SUM(COUNTIFS(modif0[inter_N+10],regle!$C$11),COUNTIFS(modif0[inter_N+10],regle!$D$11),COUNTIFS(modif0[inter_N+10],regle!$E$11))</f>
        <v>0</v>
      </c>
      <c r="AT48">
        <v>40</v>
      </c>
    </row>
    <row r="49" spans="1:46" ht="15.75" x14ac:dyDescent="0.25">
      <c r="A49" s="32" t="str">
        <f>A37</f>
        <v>MAX :</v>
      </c>
      <c r="B49" s="40">
        <f t="shared" si="8"/>
        <v>228</v>
      </c>
      <c r="C49" s="41">
        <f>SUM(COUNTIFS(modif1[inter_N+1],regle!$C$11),COUNTIFS(modif1[inter_N+1],regle!$D$11),COUNTIFS(modif1[inter_N+1],regle!$E$11))</f>
        <v>42</v>
      </c>
      <c r="D49" s="41">
        <f>SUM(COUNTIFS(modif1[inter_N+2],regle!$C$11),COUNTIFS(modif1[inter_N+2],regle!$D$11),COUNTIFS(modif1[inter_N+2],regle!$E$11))</f>
        <v>17</v>
      </c>
      <c r="E49" s="41">
        <f>SUM(COUNTIFS(modif1[inter_N+3],regle!$C$11),COUNTIFS(modif1[inter_N+3],regle!$D$11),COUNTIFS(modif1[inter_N+3],regle!$E$11))</f>
        <v>53</v>
      </c>
      <c r="F49" s="41">
        <f>SUM(COUNTIFS(modif1[inter_N+4],regle!$C$11),COUNTIFS(modif1[inter_N+4],regle!$D$11),COUNTIFS(modif1[inter_N+4],regle!$E$11))</f>
        <v>10</v>
      </c>
      <c r="G49" s="41">
        <f>SUM(COUNTIFS(modif1[inter_N+5],regle!$C$11),COUNTIFS(modif1[inter_N+5],regle!$D$11),COUNTIFS(modif1[inter_N+5],regle!$E$11))</f>
        <v>36</v>
      </c>
      <c r="H49" s="41">
        <f>SUM(COUNTIFS(modif1[inter_N+6],regle!$C$11),COUNTIFS(modif1[inter_N+6],regle!$D$11),COUNTIFS(modif1[inter_N+6],regle!$E$11))</f>
        <v>4</v>
      </c>
      <c r="I49" s="41">
        <f>SUM(COUNTIFS(modif1[inter_N+7],regle!$C$11),COUNTIFS(modif1[inter_N+7],regle!$D$11),COUNTIFS(modif1[inter_N+7],regle!$E$11))</f>
        <v>4</v>
      </c>
      <c r="J49" s="41">
        <f>SUM(COUNTIFS(modif1[inter_N+8],regle!$C$11),COUNTIFS(modif1[inter_N+8],regle!$D$11),COUNTIFS(modif1[inter_N+8],regle!$E$11))</f>
        <v>36</v>
      </c>
      <c r="K49" s="41">
        <f>SUM(COUNTIFS(modif1[inter_N+9],regle!$C$11),COUNTIFS(modif1[inter_N+9],regle!$D$11),COUNTIFS(modif1[inter_N+9],regle!$E$11))</f>
        <v>14</v>
      </c>
      <c r="L49" s="41">
        <f>SUM(COUNTIFS(modif1[inter_N+10],regle!$C$11),COUNTIFS(modif1[inter_N+10],regle!$D$11),COUNTIFS(modif1[inter_N+10],regle!$E$11))</f>
        <v>12</v>
      </c>
      <c r="AT49">
        <v>40</v>
      </c>
    </row>
    <row r="50" spans="1:46" ht="15.75" x14ac:dyDescent="0.25">
      <c r="A50" s="29" t="str">
        <f>A38</f>
        <v>TOTAL :</v>
      </c>
      <c r="B50" s="40">
        <f t="shared" si="8"/>
        <v>229</v>
      </c>
      <c r="C50" s="42">
        <f t="shared" ref="C50:L50" si="9">SUM(C51:C56)</f>
        <v>42</v>
      </c>
      <c r="D50" s="42">
        <f t="shared" si="9"/>
        <v>1</v>
      </c>
      <c r="E50" s="42">
        <f t="shared" si="9"/>
        <v>68</v>
      </c>
      <c r="F50" s="42">
        <f t="shared" si="9"/>
        <v>9</v>
      </c>
      <c r="G50" s="42">
        <f t="shared" si="9"/>
        <v>39</v>
      </c>
      <c r="H50" s="42">
        <f t="shared" si="9"/>
        <v>2</v>
      </c>
      <c r="I50" s="42">
        <f t="shared" si="9"/>
        <v>7</v>
      </c>
      <c r="J50" s="42">
        <f t="shared" si="9"/>
        <v>37</v>
      </c>
      <c r="K50" s="42">
        <f t="shared" si="9"/>
        <v>9</v>
      </c>
      <c r="L50" s="42">
        <f t="shared" si="9"/>
        <v>15</v>
      </c>
      <c r="AT50">
        <v>40</v>
      </c>
    </row>
    <row r="51" spans="1:46" ht="15.75" x14ac:dyDescent="0.25">
      <c r="A51" s="32" t="str">
        <f>A39</f>
        <v>CABANAC-ET-VILLAGRAINS</v>
      </c>
      <c r="B51" s="40">
        <f t="shared" si="8"/>
        <v>17</v>
      </c>
      <c r="C51" s="43">
        <f>SUM(COUNTIFS(modif2[inter_N+1],regle!$C$11,modif2[[nm_cmmn]:[nm_cmmn]],$A51),COUNTIFS(modif2[inter_N+1],regle!$D$11,modif2[[nm_cmmn]:[nm_cmmn]],$A51),COUNTIFS(modif2[inter_N+1],regle!$E$11,modif2[[nm_cmmn]:[nm_cmmn]],$A51))</f>
        <v>8</v>
      </c>
      <c r="D51" s="43">
        <f>SUM(COUNTIFS(modif2[inter_N+2],regle!$C$11,modif2[[nm_cmmn]:[nm_cmmn]],$A51),COUNTIFS(modif2[inter_N+2],regle!$D$11,modif2[[nm_cmmn]:[nm_cmmn]],$A51),COUNTIFS(modif2[inter_N+2],regle!$E$11,modif2[[nm_cmmn]:[nm_cmmn]],$A51))</f>
        <v>0</v>
      </c>
      <c r="E51" s="43">
        <f>SUM(COUNTIFS(modif2[inter_N+3],regle!$C$11,modif2[[nm_cmmn]:[nm_cmmn]],$A51),COUNTIFS(modif2[inter_N+3],regle!$D$11,modif2[[nm_cmmn]:[nm_cmmn]],$A51),COUNTIFS(modif2[inter_N+3],regle!$E$11,modif2[[nm_cmmn]:[nm_cmmn]],$A51))</f>
        <v>7</v>
      </c>
      <c r="F51" s="43">
        <f>SUM(COUNTIFS(modif2[inter_N+4],regle!$C$11,modif2[[nm_cmmn]:[nm_cmmn]],$A51),COUNTIFS(modif2[inter_N+4],regle!$D$11,modif2[[nm_cmmn]:[nm_cmmn]],$A51),COUNTIFS(modif2[inter_N+4],regle!$E$11,modif2[[nm_cmmn]:[nm_cmmn]],$A51))</f>
        <v>1</v>
      </c>
      <c r="G51" s="43">
        <f>SUM(COUNTIFS(modif2[inter_N+5],regle!$C$11,modif2[[nm_cmmn]:[nm_cmmn]],$A51),COUNTIFS(modif2[inter_N+5],regle!$D$11,modif2[[nm_cmmn]:[nm_cmmn]],$A51),COUNTIFS(modif2[inter_N+5],regle!$E$11,modif2[[nm_cmmn]:[nm_cmmn]],$A51))</f>
        <v>0</v>
      </c>
      <c r="H51" s="43">
        <f>SUM(COUNTIFS(modif2[inter_N+6],regle!$C$11,modif2[[nm_cmmn]:[nm_cmmn]],$A51),COUNTIFS(modif2[inter_N+6],regle!$D$11,modif2[[nm_cmmn]:[nm_cmmn]],$A51),COUNTIFS(modif2[inter_N+6],regle!$E$11,modif2[[nm_cmmn]:[nm_cmmn]],$A51))</f>
        <v>0</v>
      </c>
      <c r="I51" s="43">
        <f>SUM(COUNTIFS(modif2[inter_N+7],regle!$C$11,modif2[[nm_cmmn]:[nm_cmmn]],$A51),COUNTIFS(modif2[inter_N+7],regle!$D$11,modif2[[nm_cmmn]:[nm_cmmn]],$A51),COUNTIFS(modif2[inter_N+7],regle!$E$11,modif2[[nm_cmmn]:[nm_cmmn]],$A51))</f>
        <v>0</v>
      </c>
      <c r="J51" s="43">
        <f>SUM(COUNTIFS(modif2[inter_N+8],regle!$C$11,modif2[[nm_cmmn]:[nm_cmmn]],$A51),COUNTIFS(modif2[inter_N+8],regle!$D$11,modif2[[nm_cmmn]:[nm_cmmn]],$A51),COUNTIFS(modif2[inter_N+8],regle!$E$11,modif2[[nm_cmmn]:[nm_cmmn]],$A51))</f>
        <v>0</v>
      </c>
      <c r="K51" s="43">
        <f>SUM(COUNTIFS(modif2[inter_N+9],regle!$C$11,modif2[[nm_cmmn]:[nm_cmmn]],$A51),COUNTIFS(modif2[inter_N+9],regle!$D$11,modif2[[nm_cmmn]:[nm_cmmn]],$A51),COUNTIFS(modif2[inter_N+9],regle!$E$11,modif2[[nm_cmmn]:[nm_cmmn]],$A51))</f>
        <v>0</v>
      </c>
      <c r="L51" s="43">
        <f>SUM(COUNTIFS(modif2[inter_N+10],regle!$C$11,modif2[[nm_cmmn]:[nm_cmmn]],$A51),COUNTIFS(modif2[inter_N+10],regle!$D$11,modif2[[nm_cmmn]:[nm_cmmn]],$A51),COUNTIFS(modif2[inter_N+10],regle!$E$11,modif2[[nm_cmmn]:[nm_cmmn]],$A51))</f>
        <v>1</v>
      </c>
      <c r="AT51">
        <v>40</v>
      </c>
    </row>
    <row r="52" spans="1:46" ht="15.75" x14ac:dyDescent="0.25">
      <c r="A52" s="32" t="str">
        <f t="shared" ref="A52:A56" si="10">A40</f>
        <v>MANO</v>
      </c>
      <c r="B52" s="40">
        <f t="shared" si="8"/>
        <v>69</v>
      </c>
      <c r="C52" s="43">
        <f>SUM(COUNTIFS(modif2[inter_N+1],regle!$C$11,modif2[[nm_cmmn]:[nm_cmmn]],$A52),COUNTIFS(modif2[inter_N+1],regle!$D$11,modif2[[nm_cmmn]:[nm_cmmn]],$A52),COUNTIFS(modif2[inter_N+1],regle!$E$11,modif2[[nm_cmmn]:[nm_cmmn]],$A52))</f>
        <v>0</v>
      </c>
      <c r="D52" s="43">
        <f>SUM(COUNTIFS(modif2[inter_N+2],regle!$C$11,modif2[[nm_cmmn]:[nm_cmmn]],$A52),COUNTIFS(modif2[inter_N+2],regle!$D$11,modif2[[nm_cmmn]:[nm_cmmn]],$A52),COUNTIFS(modif2[inter_N+2],regle!$E$11,modif2[[nm_cmmn]:[nm_cmmn]],$A52))</f>
        <v>1</v>
      </c>
      <c r="E52" s="43">
        <f>SUM(COUNTIFS(modif2[inter_N+3],regle!$C$11,modif2[[nm_cmmn]:[nm_cmmn]],$A52),COUNTIFS(modif2[inter_N+3],regle!$D$11,modif2[[nm_cmmn]:[nm_cmmn]],$A52),COUNTIFS(modif2[inter_N+3],regle!$E$11,modif2[[nm_cmmn]:[nm_cmmn]],$A52))</f>
        <v>21</v>
      </c>
      <c r="F52" s="43">
        <f>SUM(COUNTIFS(modif2[inter_N+4],regle!$C$11,modif2[[nm_cmmn]:[nm_cmmn]],$A52),COUNTIFS(modif2[inter_N+4],regle!$D$11,modif2[[nm_cmmn]:[nm_cmmn]],$A52),COUNTIFS(modif2[inter_N+4],regle!$E$11,modif2[[nm_cmmn]:[nm_cmmn]],$A52))</f>
        <v>2</v>
      </c>
      <c r="G52" s="43">
        <f>SUM(COUNTIFS(modif2[inter_N+5],regle!$C$11,modif2[[nm_cmmn]:[nm_cmmn]],$A52),COUNTIFS(modif2[inter_N+5],regle!$D$11,modif2[[nm_cmmn]:[nm_cmmn]],$A52),COUNTIFS(modif2[inter_N+5],regle!$E$11,modif2[[nm_cmmn]:[nm_cmmn]],$A52))</f>
        <v>21</v>
      </c>
      <c r="H52" s="43">
        <f>SUM(COUNTIFS(modif2[inter_N+6],regle!$C$11,modif2[[nm_cmmn]:[nm_cmmn]],$A52),COUNTIFS(modif2[inter_N+6],regle!$D$11,modif2[[nm_cmmn]:[nm_cmmn]],$A52),COUNTIFS(modif2[inter_N+6],regle!$E$11,modif2[[nm_cmmn]:[nm_cmmn]],$A52))</f>
        <v>1</v>
      </c>
      <c r="I52" s="43">
        <f>SUM(COUNTIFS(modif2[inter_N+7],regle!$C$11,modif2[[nm_cmmn]:[nm_cmmn]],$A52),COUNTIFS(modif2[inter_N+7],regle!$D$11,modif2[[nm_cmmn]:[nm_cmmn]],$A52),COUNTIFS(modif2[inter_N+7],regle!$E$11,modif2[[nm_cmmn]:[nm_cmmn]],$A52))</f>
        <v>1</v>
      </c>
      <c r="J52" s="43">
        <f>SUM(COUNTIFS(modif2[inter_N+8],regle!$C$11,modif2[[nm_cmmn]:[nm_cmmn]],$A52),COUNTIFS(modif2[inter_N+8],regle!$D$11,modif2[[nm_cmmn]:[nm_cmmn]],$A52),COUNTIFS(modif2[inter_N+8],regle!$E$11,modif2[[nm_cmmn]:[nm_cmmn]],$A52))</f>
        <v>21</v>
      </c>
      <c r="K52" s="43">
        <f>SUM(COUNTIFS(modif2[inter_N+9],regle!$C$11,modif2[[nm_cmmn]:[nm_cmmn]],$A52),COUNTIFS(modif2[inter_N+9],regle!$D$11,modif2[[nm_cmmn]:[nm_cmmn]],$A52),COUNTIFS(modif2[inter_N+9],regle!$E$11,modif2[[nm_cmmn]:[nm_cmmn]],$A52))</f>
        <v>1</v>
      </c>
      <c r="L52" s="43">
        <f>SUM(COUNTIFS(modif2[inter_N+10],regle!$C$11,modif2[[nm_cmmn]:[nm_cmmn]],$A52),COUNTIFS(modif2[inter_N+10],regle!$D$11,modif2[[nm_cmmn]:[nm_cmmn]],$A52),COUNTIFS(modif2[inter_N+10],regle!$E$11,modif2[[nm_cmmn]:[nm_cmmn]],$A52))</f>
        <v>0</v>
      </c>
      <c r="AT52">
        <v>40</v>
      </c>
    </row>
    <row r="53" spans="1:46" ht="15.75" x14ac:dyDescent="0.25">
      <c r="A53" s="32" t="str">
        <f t="shared" si="10"/>
        <v>GUILLOS</v>
      </c>
      <c r="B53" s="40">
        <f t="shared" si="8"/>
        <v>1</v>
      </c>
      <c r="C53" s="43">
        <f>SUM(COUNTIFS(modif2[inter_N+1],regle!$C$11,modif2[[nm_cmmn]:[nm_cmmn]],$A53),COUNTIFS(modif2[inter_N+1],regle!$D$11,modif2[[nm_cmmn]:[nm_cmmn]],$A53),COUNTIFS(modif2[inter_N+1],regle!$E$11,modif2[[nm_cmmn]:[nm_cmmn]],$A53))</f>
        <v>0</v>
      </c>
      <c r="D53" s="43">
        <f>SUM(COUNTIFS(modif2[inter_N+2],regle!$C$11,modif2[[nm_cmmn]:[nm_cmmn]],$A53),COUNTIFS(modif2[inter_N+2],regle!$D$11,modif2[[nm_cmmn]:[nm_cmmn]],$A53),COUNTIFS(modif2[inter_N+2],regle!$E$11,modif2[[nm_cmmn]:[nm_cmmn]],$A53))</f>
        <v>0</v>
      </c>
      <c r="E53" s="43">
        <f>SUM(COUNTIFS(modif2[inter_N+3],regle!$C$11,modif2[[nm_cmmn]:[nm_cmmn]],$A53),COUNTIFS(modif2[inter_N+3],regle!$D$11,modif2[[nm_cmmn]:[nm_cmmn]],$A53),COUNTIFS(modif2[inter_N+3],regle!$E$11,modif2[[nm_cmmn]:[nm_cmmn]],$A53))</f>
        <v>0</v>
      </c>
      <c r="F53" s="43">
        <f>SUM(COUNTIFS(modif2[inter_N+4],regle!$C$11,modif2[[nm_cmmn]:[nm_cmmn]],$A53),COUNTIFS(modif2[inter_N+4],regle!$D$11,modif2[[nm_cmmn]:[nm_cmmn]],$A53),COUNTIFS(modif2[inter_N+4],regle!$E$11,modif2[[nm_cmmn]:[nm_cmmn]],$A53))</f>
        <v>0</v>
      </c>
      <c r="G53" s="43">
        <f>SUM(COUNTIFS(modif2[inter_N+5],regle!$C$11,modif2[[nm_cmmn]:[nm_cmmn]],$A53),COUNTIFS(modif2[inter_N+5],regle!$D$11,modif2[[nm_cmmn]:[nm_cmmn]],$A53),COUNTIFS(modif2[inter_N+5],regle!$E$11,modif2[[nm_cmmn]:[nm_cmmn]],$A53))</f>
        <v>0</v>
      </c>
      <c r="H53" s="43">
        <f>SUM(COUNTIFS(modif2[inter_N+6],regle!$C$11,modif2[[nm_cmmn]:[nm_cmmn]],$A53),COUNTIFS(modif2[inter_N+6],regle!$D$11,modif2[[nm_cmmn]:[nm_cmmn]],$A53),COUNTIFS(modif2[inter_N+6],regle!$E$11,modif2[[nm_cmmn]:[nm_cmmn]],$A53))</f>
        <v>0</v>
      </c>
      <c r="I53" s="43">
        <f>SUM(COUNTIFS(modif2[inter_N+7],regle!$C$11,modif2[[nm_cmmn]:[nm_cmmn]],$A53),COUNTIFS(modif2[inter_N+7],regle!$D$11,modif2[[nm_cmmn]:[nm_cmmn]],$A53),COUNTIFS(modif2[inter_N+7],regle!$E$11,modif2[[nm_cmmn]:[nm_cmmn]],$A53))</f>
        <v>0</v>
      </c>
      <c r="J53" s="43">
        <f>SUM(COUNTIFS(modif2[inter_N+8],regle!$C$11,modif2[[nm_cmmn]:[nm_cmmn]],$A53),COUNTIFS(modif2[inter_N+8],regle!$D$11,modif2[[nm_cmmn]:[nm_cmmn]],$A53),COUNTIFS(modif2[inter_N+8],regle!$E$11,modif2[[nm_cmmn]:[nm_cmmn]],$A53))</f>
        <v>0</v>
      </c>
      <c r="K53" s="43">
        <f>SUM(COUNTIFS(modif2[inter_N+9],regle!$C$11,modif2[[nm_cmmn]:[nm_cmmn]],$A53),COUNTIFS(modif2[inter_N+9],regle!$D$11,modif2[[nm_cmmn]:[nm_cmmn]],$A53),COUNTIFS(modif2[inter_N+9],regle!$E$11,modif2[[nm_cmmn]:[nm_cmmn]],$A53))</f>
        <v>0</v>
      </c>
      <c r="L53" s="43">
        <f>SUM(COUNTIFS(modif2[inter_N+10],regle!$C$11,modif2[[nm_cmmn]:[nm_cmmn]],$A53),COUNTIFS(modif2[inter_N+10],regle!$D$11,modif2[[nm_cmmn]:[nm_cmmn]],$A53),COUNTIFS(modif2[inter_N+10],regle!$E$11,modif2[[nm_cmmn]:[nm_cmmn]],$A53))</f>
        <v>1</v>
      </c>
      <c r="AT53">
        <v>40</v>
      </c>
    </row>
    <row r="54" spans="1:46" ht="15.75" x14ac:dyDescent="0.25">
      <c r="A54" s="32" t="str">
        <f t="shared" si="10"/>
        <v>MOUSTEY</v>
      </c>
      <c r="B54" s="40">
        <f t="shared" si="8"/>
        <v>31</v>
      </c>
      <c r="C54" s="43">
        <f>SUM(COUNTIFS(modif2[inter_N+1],regle!$C$11,modif2[[nm_cmmn]:[nm_cmmn]],$A54),COUNTIFS(modif2[inter_N+1],regle!$D$11,modif2[[nm_cmmn]:[nm_cmmn]],$A54),COUNTIFS(modif2[inter_N+1],regle!$E$11,modif2[[nm_cmmn]:[nm_cmmn]],$A54))</f>
        <v>7</v>
      </c>
      <c r="D54" s="43">
        <f>SUM(COUNTIFS(modif2[inter_N+2],regle!$C$11,modif2[[nm_cmmn]:[nm_cmmn]],$A54),COUNTIFS(modif2[inter_N+2],regle!$D$11,modif2[[nm_cmmn]:[nm_cmmn]],$A54),COUNTIFS(modif2[inter_N+2],regle!$E$11,modif2[[nm_cmmn]:[nm_cmmn]],$A54))</f>
        <v>0</v>
      </c>
      <c r="E54" s="43">
        <f>SUM(COUNTIFS(modif2[inter_N+3],regle!$C$11,modif2[[nm_cmmn]:[nm_cmmn]],$A54),COUNTIFS(modif2[inter_N+3],regle!$D$11,modif2[[nm_cmmn]:[nm_cmmn]],$A54),COUNTIFS(modif2[inter_N+3],regle!$E$11,modif2[[nm_cmmn]:[nm_cmmn]],$A54))</f>
        <v>8</v>
      </c>
      <c r="F54" s="43">
        <f>SUM(COUNTIFS(modif2[inter_N+4],regle!$C$11,modif2[[nm_cmmn]:[nm_cmmn]],$A54),COUNTIFS(modif2[inter_N+4],regle!$D$11,modif2[[nm_cmmn]:[nm_cmmn]],$A54),COUNTIFS(modif2[inter_N+4],regle!$E$11,modif2[[nm_cmmn]:[nm_cmmn]],$A54))</f>
        <v>0</v>
      </c>
      <c r="G54" s="43">
        <f>SUM(COUNTIFS(modif2[inter_N+5],regle!$C$11,modif2[[nm_cmmn]:[nm_cmmn]],$A54),COUNTIFS(modif2[inter_N+5],regle!$D$11,modif2[[nm_cmmn]:[nm_cmmn]],$A54),COUNTIFS(modif2[inter_N+5],regle!$E$11,modif2[[nm_cmmn]:[nm_cmmn]],$A54))</f>
        <v>8</v>
      </c>
      <c r="H54" s="43">
        <f>SUM(COUNTIFS(modif2[inter_N+6],regle!$C$11,modif2[[nm_cmmn]:[nm_cmmn]],$A54),COUNTIFS(modif2[inter_N+6],regle!$D$11,modif2[[nm_cmmn]:[nm_cmmn]],$A54),COUNTIFS(modif2[inter_N+6],regle!$E$11,modif2[[nm_cmmn]:[nm_cmmn]],$A54))</f>
        <v>0</v>
      </c>
      <c r="I54" s="43">
        <f>SUM(COUNTIFS(modif2[inter_N+7],regle!$C$11,modif2[[nm_cmmn]:[nm_cmmn]],$A54),COUNTIFS(modif2[inter_N+7],regle!$D$11,modif2[[nm_cmmn]:[nm_cmmn]],$A54),COUNTIFS(modif2[inter_N+7],regle!$E$11,modif2[[nm_cmmn]:[nm_cmmn]],$A54))</f>
        <v>0</v>
      </c>
      <c r="J54" s="43">
        <f>SUM(COUNTIFS(modif2[inter_N+8],regle!$C$11,modif2[[nm_cmmn]:[nm_cmmn]],$A54),COUNTIFS(modif2[inter_N+8],regle!$D$11,modif2[[nm_cmmn]:[nm_cmmn]],$A54),COUNTIFS(modif2[inter_N+8],regle!$E$11,modif2[[nm_cmmn]:[nm_cmmn]],$A54))</f>
        <v>8</v>
      </c>
      <c r="K54" s="43">
        <f>SUM(COUNTIFS(modif2[inter_N+9],regle!$C$11,modif2[[nm_cmmn]:[nm_cmmn]],$A54),COUNTIFS(modif2[inter_N+9],regle!$D$11,modif2[[nm_cmmn]:[nm_cmmn]],$A54),COUNTIFS(modif2[inter_N+9],regle!$E$11,modif2[[nm_cmmn]:[nm_cmmn]],$A54))</f>
        <v>0</v>
      </c>
      <c r="L54" s="43">
        <f>SUM(COUNTIFS(modif2[inter_N+10],regle!$C$11,modif2[[nm_cmmn]:[nm_cmmn]],$A54),COUNTIFS(modif2[inter_N+10],regle!$D$11,modif2[[nm_cmmn]:[nm_cmmn]],$A54),COUNTIFS(modif2[inter_N+10],regle!$E$11,modif2[[nm_cmmn]:[nm_cmmn]],$A54))</f>
        <v>0</v>
      </c>
      <c r="AT54">
        <v>40</v>
      </c>
    </row>
    <row r="55" spans="1:46" ht="15.75" x14ac:dyDescent="0.25">
      <c r="A55" s="32" t="str">
        <f t="shared" si="10"/>
        <v>HOSTENS</v>
      </c>
      <c r="B55" s="40">
        <f t="shared" si="8"/>
        <v>84</v>
      </c>
      <c r="C55" s="43">
        <f>SUM(COUNTIFS(modif2[inter_N+1],regle!$C$11,modif2[[nm_cmmn]:[nm_cmmn]],$A55),COUNTIFS(modif2[inter_N+1],regle!$D$11,modif2[[nm_cmmn]:[nm_cmmn]],$A55),COUNTIFS(modif2[inter_N+1],regle!$E$11,modif2[[nm_cmmn]:[nm_cmmn]],$A55))</f>
        <v>17</v>
      </c>
      <c r="D55" s="43">
        <f>SUM(COUNTIFS(modif2[inter_N+2],regle!$C$11,modif2[[nm_cmmn]:[nm_cmmn]],$A55),COUNTIFS(modif2[inter_N+2],regle!$D$11,modif2[[nm_cmmn]:[nm_cmmn]],$A55),COUNTIFS(modif2[inter_N+2],regle!$E$11,modif2[[nm_cmmn]:[nm_cmmn]],$A55))</f>
        <v>0</v>
      </c>
      <c r="E55" s="43">
        <f>SUM(COUNTIFS(modif2[inter_N+3],regle!$C$11,modif2[[nm_cmmn]:[nm_cmmn]],$A55),COUNTIFS(modif2[inter_N+3],regle!$D$11,modif2[[nm_cmmn]:[nm_cmmn]],$A55),COUNTIFS(modif2[inter_N+3],regle!$E$11,modif2[[nm_cmmn]:[nm_cmmn]],$A55))</f>
        <v>31</v>
      </c>
      <c r="F55" s="43">
        <f>SUM(COUNTIFS(modif2[inter_N+4],regle!$C$11,modif2[[nm_cmmn]:[nm_cmmn]],$A55),COUNTIFS(modif2[inter_N+4],regle!$D$11,modif2[[nm_cmmn]:[nm_cmmn]],$A55),COUNTIFS(modif2[inter_N+4],regle!$E$11,modif2[[nm_cmmn]:[nm_cmmn]],$A55))</f>
        <v>6</v>
      </c>
      <c r="G55" s="43">
        <f>SUM(COUNTIFS(modif2[inter_N+5],regle!$C$11,modif2[[nm_cmmn]:[nm_cmmn]],$A55),COUNTIFS(modif2[inter_N+5],regle!$D$11,modif2[[nm_cmmn]:[nm_cmmn]],$A55),COUNTIFS(modif2[inter_N+5],regle!$E$11,modif2[[nm_cmmn]:[nm_cmmn]],$A55))</f>
        <v>8</v>
      </c>
      <c r="H55" s="43">
        <f>SUM(COUNTIFS(modif2[inter_N+6],regle!$C$11,modif2[[nm_cmmn]:[nm_cmmn]],$A55),COUNTIFS(modif2[inter_N+6],regle!$D$11,modif2[[nm_cmmn]:[nm_cmmn]],$A55),COUNTIFS(modif2[inter_N+6],regle!$E$11,modif2[[nm_cmmn]:[nm_cmmn]],$A55))</f>
        <v>1</v>
      </c>
      <c r="I55" s="43">
        <f>SUM(COUNTIFS(modif2[inter_N+7],regle!$C$11,modif2[[nm_cmmn]:[nm_cmmn]],$A55),COUNTIFS(modif2[inter_N+7],regle!$D$11,modif2[[nm_cmmn]:[nm_cmmn]],$A55),COUNTIFS(modif2[inter_N+7],regle!$E$11,modif2[[nm_cmmn]:[nm_cmmn]],$A55))</f>
        <v>4</v>
      </c>
      <c r="J55" s="43">
        <f>SUM(COUNTIFS(modif2[inter_N+8],regle!$C$11,modif2[[nm_cmmn]:[nm_cmmn]],$A55),COUNTIFS(modif2[inter_N+8],regle!$D$11,modif2[[nm_cmmn]:[nm_cmmn]],$A55),COUNTIFS(modif2[inter_N+8],regle!$E$11,modif2[[nm_cmmn]:[nm_cmmn]],$A55))</f>
        <v>4</v>
      </c>
      <c r="K55" s="43">
        <f>SUM(COUNTIFS(modif2[inter_N+9],regle!$C$11,modif2[[nm_cmmn]:[nm_cmmn]],$A55),COUNTIFS(modif2[inter_N+9],regle!$D$11,modif2[[nm_cmmn]:[nm_cmmn]],$A55),COUNTIFS(modif2[inter_N+9],regle!$E$11,modif2[[nm_cmmn]:[nm_cmmn]],$A55))</f>
        <v>8</v>
      </c>
      <c r="L55" s="43">
        <f>SUM(COUNTIFS(modif2[inter_N+10],regle!$C$11,modif2[[nm_cmmn]:[nm_cmmn]],$A55),COUNTIFS(modif2[inter_N+10],regle!$D$11,modif2[[nm_cmmn]:[nm_cmmn]],$A55),COUNTIFS(modif2[inter_N+10],regle!$E$11,modif2[[nm_cmmn]:[nm_cmmn]],$A55))</f>
        <v>5</v>
      </c>
      <c r="AT55">
        <v>40</v>
      </c>
    </row>
    <row r="56" spans="1:46" ht="15.75" x14ac:dyDescent="0.25">
      <c r="A56" s="32" t="str">
        <f t="shared" si="10"/>
        <v>LE TUZAN</v>
      </c>
      <c r="B56" s="40">
        <f t="shared" si="8"/>
        <v>27</v>
      </c>
      <c r="C56" s="43">
        <f>SUM(COUNTIFS(modif2[inter_N+1],regle!$C$11,modif2[[nm_cmmn]:[nm_cmmn]],$A56),COUNTIFS(modif2[inter_N+1],regle!$D$11,modif2[[nm_cmmn]:[nm_cmmn]],$A56),COUNTIFS(modif2[inter_N+1],regle!$E$11,modif2[[nm_cmmn]:[nm_cmmn]],$A56))</f>
        <v>10</v>
      </c>
      <c r="D56" s="43">
        <f>SUM(COUNTIFS(modif2[inter_N+2],regle!$C$11,modif2[[nm_cmmn]:[nm_cmmn]],$A56),COUNTIFS(modif2[inter_N+2],regle!$D$11,modif2[[nm_cmmn]:[nm_cmmn]],$A56),COUNTIFS(modif2[inter_N+2],regle!$E$11,modif2[[nm_cmmn]:[nm_cmmn]],$A56))</f>
        <v>0</v>
      </c>
      <c r="E56" s="43">
        <f>SUM(COUNTIFS(modif2[inter_N+3],regle!$C$11,modif2[[nm_cmmn]:[nm_cmmn]],$A56),COUNTIFS(modif2[inter_N+3],regle!$D$11,modif2[[nm_cmmn]:[nm_cmmn]],$A56),COUNTIFS(modif2[inter_N+3],regle!$E$11,modif2[[nm_cmmn]:[nm_cmmn]],$A56))</f>
        <v>1</v>
      </c>
      <c r="F56" s="43">
        <f>SUM(COUNTIFS(modif2[inter_N+4],regle!$C$11,modif2[[nm_cmmn]:[nm_cmmn]],$A56),COUNTIFS(modif2[inter_N+4],regle!$D$11,modif2[[nm_cmmn]:[nm_cmmn]],$A56),COUNTIFS(modif2[inter_N+4],regle!$E$11,modif2[[nm_cmmn]:[nm_cmmn]],$A56))</f>
        <v>0</v>
      </c>
      <c r="G56" s="43">
        <f>SUM(COUNTIFS(modif2[inter_N+5],regle!$C$11,modif2[[nm_cmmn]:[nm_cmmn]],$A56),COUNTIFS(modif2[inter_N+5],regle!$D$11,modif2[[nm_cmmn]:[nm_cmmn]],$A56),COUNTIFS(modif2[inter_N+5],regle!$E$11,modif2[[nm_cmmn]:[nm_cmmn]],$A56))</f>
        <v>2</v>
      </c>
      <c r="H56" s="43">
        <f>SUM(COUNTIFS(modif2[inter_N+6],regle!$C$11,modif2[[nm_cmmn]:[nm_cmmn]],$A56),COUNTIFS(modif2[inter_N+6],regle!$D$11,modif2[[nm_cmmn]:[nm_cmmn]],$A56),COUNTIFS(modif2[inter_N+6],regle!$E$11,modif2[[nm_cmmn]:[nm_cmmn]],$A56))</f>
        <v>0</v>
      </c>
      <c r="I56" s="43">
        <f>SUM(COUNTIFS(modif2[inter_N+7],regle!$C$11,modif2[[nm_cmmn]:[nm_cmmn]],$A56),COUNTIFS(modif2[inter_N+7],regle!$D$11,modif2[[nm_cmmn]:[nm_cmmn]],$A56),COUNTIFS(modif2[inter_N+7],regle!$E$11,modif2[[nm_cmmn]:[nm_cmmn]],$A56))</f>
        <v>2</v>
      </c>
      <c r="J56" s="43">
        <f>SUM(COUNTIFS(modif2[inter_N+8],regle!$C$11,modif2[[nm_cmmn]:[nm_cmmn]],$A56),COUNTIFS(modif2[inter_N+8],regle!$D$11,modif2[[nm_cmmn]:[nm_cmmn]],$A56),COUNTIFS(modif2[inter_N+8],regle!$E$11,modif2[[nm_cmmn]:[nm_cmmn]],$A56))</f>
        <v>4</v>
      </c>
      <c r="K56" s="43">
        <f>SUM(COUNTIFS(modif2[inter_N+9],regle!$C$11,modif2[[nm_cmmn]:[nm_cmmn]],$A56),COUNTIFS(modif2[inter_N+9],regle!$D$11,modif2[[nm_cmmn]:[nm_cmmn]],$A56),COUNTIFS(modif2[inter_N+9],regle!$E$11,modif2[[nm_cmmn]:[nm_cmmn]],$A56))</f>
        <v>0</v>
      </c>
      <c r="L56" s="43">
        <f>SUM(COUNTIFS(modif2[inter_N+10],regle!$C$11,modif2[[nm_cmmn]:[nm_cmmn]],$A56),COUNTIFS(modif2[inter_N+10],regle!$D$11,modif2[[nm_cmmn]:[nm_cmmn]],$A56),COUNTIFS(modif2[inter_N+10],regle!$E$11,modif2[[nm_cmmn]:[nm_cmmn]],$A56))</f>
        <v>8</v>
      </c>
      <c r="AT56">
        <v>40</v>
      </c>
    </row>
    <row r="57" spans="1:46" x14ac:dyDescent="0.25">
      <c r="AT57">
        <v>40</v>
      </c>
    </row>
    <row r="58" spans="1:46" x14ac:dyDescent="0.25">
      <c r="AT58">
        <v>40</v>
      </c>
    </row>
    <row r="59" spans="1:46" x14ac:dyDescent="0.25">
      <c r="AT59">
        <v>40</v>
      </c>
    </row>
    <row r="60" spans="1:46" x14ac:dyDescent="0.25">
      <c r="AT60">
        <v>40</v>
      </c>
    </row>
    <row r="61" spans="1:46" x14ac:dyDescent="0.25">
      <c r="AT61">
        <v>40</v>
      </c>
    </row>
    <row r="62" spans="1:46" x14ac:dyDescent="0.25">
      <c r="AT62">
        <v>40</v>
      </c>
    </row>
    <row r="63" spans="1:46" x14ac:dyDescent="0.25">
      <c r="AT63">
        <v>40</v>
      </c>
    </row>
    <row r="64" spans="1:46" x14ac:dyDescent="0.25">
      <c r="AT64">
        <v>40</v>
      </c>
    </row>
    <row r="65" spans="46:46" x14ac:dyDescent="0.25">
      <c r="AT65">
        <v>40</v>
      </c>
    </row>
    <row r="66" spans="46:46" x14ac:dyDescent="0.25">
      <c r="AT66">
        <v>40</v>
      </c>
    </row>
    <row r="67" spans="46:46" x14ac:dyDescent="0.25">
      <c r="AT67">
        <v>40</v>
      </c>
    </row>
    <row r="68" spans="46:46" x14ac:dyDescent="0.25">
      <c r="AT68">
        <v>40</v>
      </c>
    </row>
    <row r="69" spans="46:46" x14ac:dyDescent="0.25">
      <c r="AT69">
        <v>40</v>
      </c>
    </row>
    <row r="70" spans="46:46" x14ac:dyDescent="0.25">
      <c r="AT70">
        <v>40</v>
      </c>
    </row>
    <row r="71" spans="46:46" x14ac:dyDescent="0.25">
      <c r="AT71">
        <v>40</v>
      </c>
    </row>
    <row r="72" spans="46:46" x14ac:dyDescent="0.25">
      <c r="AT72">
        <v>40</v>
      </c>
    </row>
    <row r="73" spans="46:46" x14ac:dyDescent="0.25">
      <c r="AT73">
        <v>40</v>
      </c>
    </row>
    <row r="74" spans="46:46" x14ac:dyDescent="0.25">
      <c r="AT74">
        <v>40</v>
      </c>
    </row>
    <row r="75" spans="46:46" x14ac:dyDescent="0.25">
      <c r="AT75">
        <v>40</v>
      </c>
    </row>
    <row r="76" spans="46:46" x14ac:dyDescent="0.25">
      <c r="AT76">
        <v>40</v>
      </c>
    </row>
    <row r="77" spans="46:46" x14ac:dyDescent="0.25">
      <c r="AT77">
        <v>40</v>
      </c>
    </row>
    <row r="78" spans="46:46" x14ac:dyDescent="0.25">
      <c r="AT78">
        <v>40</v>
      </c>
    </row>
    <row r="79" spans="46:46" x14ac:dyDescent="0.25">
      <c r="AT79">
        <v>40</v>
      </c>
    </row>
    <row r="80" spans="46:46" x14ac:dyDescent="0.25">
      <c r="AT80">
        <v>40</v>
      </c>
    </row>
    <row r="81" spans="46:46" x14ac:dyDescent="0.25">
      <c r="AT81">
        <v>40</v>
      </c>
    </row>
    <row r="82" spans="46:46" x14ac:dyDescent="0.25">
      <c r="AT82">
        <v>40</v>
      </c>
    </row>
    <row r="83" spans="46:46" x14ac:dyDescent="0.25">
      <c r="AT83">
        <v>40</v>
      </c>
    </row>
    <row r="84" spans="46:46" x14ac:dyDescent="0.25">
      <c r="AT84">
        <v>40</v>
      </c>
    </row>
    <row r="85" spans="46:46" x14ac:dyDescent="0.25">
      <c r="AT85">
        <v>40</v>
      </c>
    </row>
    <row r="86" spans="46:46" x14ac:dyDescent="0.25">
      <c r="AT86">
        <v>40</v>
      </c>
    </row>
    <row r="87" spans="46:46" x14ac:dyDescent="0.25">
      <c r="AT87">
        <v>40</v>
      </c>
    </row>
    <row r="88" spans="46:46" x14ac:dyDescent="0.25">
      <c r="AT88">
        <v>40</v>
      </c>
    </row>
    <row r="89" spans="46:46" x14ac:dyDescent="0.25">
      <c r="AT89">
        <v>40</v>
      </c>
    </row>
    <row r="90" spans="46:46" x14ac:dyDescent="0.25">
      <c r="AT90">
        <v>40</v>
      </c>
    </row>
    <row r="91" spans="46:46" x14ac:dyDescent="0.25">
      <c r="AT91">
        <v>40</v>
      </c>
    </row>
    <row r="92" spans="46:46" x14ac:dyDescent="0.25">
      <c r="AT92">
        <v>40</v>
      </c>
    </row>
    <row r="93" spans="46:46" x14ac:dyDescent="0.25">
      <c r="AT93">
        <v>40</v>
      </c>
    </row>
    <row r="94" spans="46:46" x14ac:dyDescent="0.25">
      <c r="AT94">
        <v>40</v>
      </c>
    </row>
    <row r="95" spans="46:46" x14ac:dyDescent="0.25">
      <c r="AT95">
        <v>40</v>
      </c>
    </row>
    <row r="96" spans="46:46" x14ac:dyDescent="0.25">
      <c r="AT96">
        <v>40</v>
      </c>
    </row>
    <row r="97" spans="46:46" x14ac:dyDescent="0.25">
      <c r="AT97">
        <v>40</v>
      </c>
    </row>
    <row r="98" spans="46:46" x14ac:dyDescent="0.25">
      <c r="AT98">
        <v>40</v>
      </c>
    </row>
    <row r="99" spans="46:46" x14ac:dyDescent="0.25">
      <c r="AT99">
        <v>40</v>
      </c>
    </row>
    <row r="100" spans="46:46" x14ac:dyDescent="0.25">
      <c r="AT100">
        <v>40</v>
      </c>
    </row>
    <row r="101" spans="46:46" x14ac:dyDescent="0.25">
      <c r="AT101">
        <v>40</v>
      </c>
    </row>
    <row r="102" spans="46:46" x14ac:dyDescent="0.25">
      <c r="AT102">
        <v>40</v>
      </c>
    </row>
    <row r="103" spans="46:46" x14ac:dyDescent="0.25">
      <c r="AT103">
        <v>40</v>
      </c>
    </row>
    <row r="104" spans="46:46" x14ac:dyDescent="0.25">
      <c r="AT104">
        <v>40</v>
      </c>
    </row>
    <row r="105" spans="46:46" x14ac:dyDescent="0.25">
      <c r="AT105">
        <v>40</v>
      </c>
    </row>
    <row r="106" spans="46:46" x14ac:dyDescent="0.25">
      <c r="AT106">
        <v>40</v>
      </c>
    </row>
    <row r="107" spans="46:46" x14ac:dyDescent="0.25">
      <c r="AT107">
        <v>40</v>
      </c>
    </row>
    <row r="108" spans="46:46" x14ac:dyDescent="0.25">
      <c r="AT108">
        <v>40</v>
      </c>
    </row>
    <row r="109" spans="46:46" x14ac:dyDescent="0.25">
      <c r="AT109">
        <v>40</v>
      </c>
    </row>
    <row r="110" spans="46:46" x14ac:dyDescent="0.25">
      <c r="AT110">
        <v>40</v>
      </c>
    </row>
    <row r="111" spans="46:46" x14ac:dyDescent="0.25">
      <c r="AT111">
        <v>40</v>
      </c>
    </row>
    <row r="112" spans="46:46" x14ac:dyDescent="0.25">
      <c r="AT112">
        <v>40</v>
      </c>
    </row>
    <row r="113" spans="46:46" x14ac:dyDescent="0.25">
      <c r="AT113">
        <v>40</v>
      </c>
    </row>
    <row r="114" spans="46:46" x14ac:dyDescent="0.25">
      <c r="AT114">
        <v>40</v>
      </c>
    </row>
    <row r="115" spans="46:46" x14ac:dyDescent="0.25">
      <c r="AT115">
        <v>40</v>
      </c>
    </row>
    <row r="116" spans="46:46" x14ac:dyDescent="0.25">
      <c r="AT116">
        <v>40</v>
      </c>
    </row>
    <row r="117" spans="46:46" x14ac:dyDescent="0.25">
      <c r="AT117">
        <v>40</v>
      </c>
    </row>
    <row r="118" spans="46:46" x14ac:dyDescent="0.25">
      <c r="AT118">
        <v>40</v>
      </c>
    </row>
    <row r="119" spans="46:46" x14ac:dyDescent="0.25">
      <c r="AT119">
        <v>40</v>
      </c>
    </row>
    <row r="120" spans="46:46" x14ac:dyDescent="0.25">
      <c r="AT120">
        <v>40</v>
      </c>
    </row>
    <row r="121" spans="46:46" x14ac:dyDescent="0.25">
      <c r="AT121">
        <v>40</v>
      </c>
    </row>
    <row r="122" spans="46:46" x14ac:dyDescent="0.25">
      <c r="AT122">
        <v>40</v>
      </c>
    </row>
    <row r="123" spans="46:46" x14ac:dyDescent="0.25">
      <c r="AT123">
        <v>40</v>
      </c>
    </row>
    <row r="124" spans="46:46" x14ac:dyDescent="0.25">
      <c r="AT124">
        <v>40</v>
      </c>
    </row>
    <row r="125" spans="46:46" x14ac:dyDescent="0.25">
      <c r="AT125">
        <v>40</v>
      </c>
    </row>
    <row r="126" spans="46:46" x14ac:dyDescent="0.25">
      <c r="AT126">
        <v>40</v>
      </c>
    </row>
    <row r="127" spans="46:46" x14ac:dyDescent="0.25">
      <c r="AT127">
        <v>40</v>
      </c>
    </row>
    <row r="128" spans="46:46" x14ac:dyDescent="0.25">
      <c r="AT128">
        <v>40</v>
      </c>
    </row>
    <row r="129" spans="46:46" x14ac:dyDescent="0.25">
      <c r="AT129">
        <v>40</v>
      </c>
    </row>
    <row r="130" spans="46:46" x14ac:dyDescent="0.25">
      <c r="AT130">
        <v>40</v>
      </c>
    </row>
    <row r="131" spans="46:46" x14ac:dyDescent="0.25">
      <c r="AT131">
        <v>40</v>
      </c>
    </row>
    <row r="132" spans="46:46" x14ac:dyDescent="0.25">
      <c r="AT132">
        <v>40</v>
      </c>
    </row>
    <row r="133" spans="46:46" x14ac:dyDescent="0.25">
      <c r="AT133">
        <v>40</v>
      </c>
    </row>
    <row r="134" spans="46:46" x14ac:dyDescent="0.25">
      <c r="AT134">
        <v>40</v>
      </c>
    </row>
    <row r="135" spans="46:46" x14ac:dyDescent="0.25">
      <c r="AT135">
        <v>40</v>
      </c>
    </row>
    <row r="136" spans="46:46" x14ac:dyDescent="0.25">
      <c r="AT136">
        <v>40</v>
      </c>
    </row>
    <row r="137" spans="46:46" x14ac:dyDescent="0.25">
      <c r="AT137">
        <v>40</v>
      </c>
    </row>
    <row r="138" spans="46:46" x14ac:dyDescent="0.25">
      <c r="AT138">
        <v>40</v>
      </c>
    </row>
    <row r="139" spans="46:46" x14ac:dyDescent="0.25">
      <c r="AT139">
        <v>40</v>
      </c>
    </row>
    <row r="140" spans="46:46" x14ac:dyDescent="0.25">
      <c r="AT140">
        <v>40</v>
      </c>
    </row>
    <row r="141" spans="46:46" x14ac:dyDescent="0.25">
      <c r="AT141">
        <v>40</v>
      </c>
    </row>
    <row r="142" spans="46:46" x14ac:dyDescent="0.25">
      <c r="AT142">
        <v>40</v>
      </c>
    </row>
    <row r="143" spans="46:46" x14ac:dyDescent="0.25">
      <c r="AT143">
        <v>40</v>
      </c>
    </row>
    <row r="144" spans="46:46" x14ac:dyDescent="0.25">
      <c r="AT144">
        <v>40</v>
      </c>
    </row>
    <row r="145" spans="46:46" x14ac:dyDescent="0.25">
      <c r="AT145">
        <v>40</v>
      </c>
    </row>
    <row r="146" spans="46:46" x14ac:dyDescent="0.25">
      <c r="AT146">
        <v>40</v>
      </c>
    </row>
    <row r="147" spans="46:46" x14ac:dyDescent="0.25">
      <c r="AT147">
        <v>40</v>
      </c>
    </row>
    <row r="148" spans="46:46" x14ac:dyDescent="0.25">
      <c r="AT148">
        <v>40</v>
      </c>
    </row>
    <row r="149" spans="46:46" x14ac:dyDescent="0.25">
      <c r="AT149">
        <v>40</v>
      </c>
    </row>
    <row r="150" spans="46:46" x14ac:dyDescent="0.25">
      <c r="AT150">
        <v>40</v>
      </c>
    </row>
    <row r="151" spans="46:46" x14ac:dyDescent="0.25">
      <c r="AT151">
        <v>40</v>
      </c>
    </row>
    <row r="152" spans="46:46" x14ac:dyDescent="0.25">
      <c r="AT152">
        <v>40</v>
      </c>
    </row>
    <row r="153" spans="46:46" x14ac:dyDescent="0.25">
      <c r="AT153">
        <v>40</v>
      </c>
    </row>
    <row r="154" spans="46:46" x14ac:dyDescent="0.25">
      <c r="AT154">
        <v>40</v>
      </c>
    </row>
    <row r="155" spans="46:46" x14ac:dyDescent="0.25">
      <c r="AT155">
        <v>40</v>
      </c>
    </row>
    <row r="156" spans="46:46" x14ac:dyDescent="0.25">
      <c r="AT156">
        <v>40</v>
      </c>
    </row>
    <row r="157" spans="46:46" x14ac:dyDescent="0.25">
      <c r="AT157">
        <v>40</v>
      </c>
    </row>
    <row r="158" spans="46:46" x14ac:dyDescent="0.25">
      <c r="AT158">
        <v>40</v>
      </c>
    </row>
    <row r="159" spans="46:46" x14ac:dyDescent="0.25">
      <c r="AT159">
        <v>40</v>
      </c>
    </row>
    <row r="160" spans="46:46" x14ac:dyDescent="0.25">
      <c r="AT160">
        <v>40</v>
      </c>
    </row>
    <row r="161" spans="46:46" x14ac:dyDescent="0.25">
      <c r="AT161">
        <v>40</v>
      </c>
    </row>
    <row r="162" spans="46:46" x14ac:dyDescent="0.25">
      <c r="AT162">
        <v>40</v>
      </c>
    </row>
    <row r="163" spans="46:46" x14ac:dyDescent="0.25">
      <c r="AT163">
        <v>40</v>
      </c>
    </row>
    <row r="164" spans="46:46" x14ac:dyDescent="0.25">
      <c r="AT164">
        <v>40</v>
      </c>
    </row>
    <row r="165" spans="46:46" x14ac:dyDescent="0.25">
      <c r="AT165">
        <v>40</v>
      </c>
    </row>
    <row r="166" spans="46:46" x14ac:dyDescent="0.25">
      <c r="AT166">
        <v>40</v>
      </c>
    </row>
    <row r="167" spans="46:46" x14ac:dyDescent="0.25">
      <c r="AT167">
        <v>40</v>
      </c>
    </row>
    <row r="168" spans="46:46" x14ac:dyDescent="0.25">
      <c r="AT168">
        <v>40</v>
      </c>
    </row>
    <row r="169" spans="46:46" x14ac:dyDescent="0.25">
      <c r="AT169">
        <v>40</v>
      </c>
    </row>
    <row r="170" spans="46:46" x14ac:dyDescent="0.25">
      <c r="AT170">
        <v>40</v>
      </c>
    </row>
    <row r="171" spans="46:46" x14ac:dyDescent="0.25">
      <c r="AT171">
        <v>40</v>
      </c>
    </row>
    <row r="172" spans="46:46" x14ac:dyDescent="0.25">
      <c r="AT172">
        <v>40</v>
      </c>
    </row>
    <row r="173" spans="46:46" x14ac:dyDescent="0.25">
      <c r="AT173">
        <v>40</v>
      </c>
    </row>
    <row r="174" spans="46:46" x14ac:dyDescent="0.25">
      <c r="AT174">
        <v>40</v>
      </c>
    </row>
    <row r="175" spans="46:46" x14ac:dyDescent="0.25">
      <c r="AT175">
        <v>40</v>
      </c>
    </row>
    <row r="176" spans="46:46" x14ac:dyDescent="0.25">
      <c r="AT176">
        <v>40</v>
      </c>
    </row>
    <row r="177" spans="46:46" x14ac:dyDescent="0.25">
      <c r="AT177">
        <v>40</v>
      </c>
    </row>
    <row r="178" spans="46:46" x14ac:dyDescent="0.25">
      <c r="AT178">
        <v>40</v>
      </c>
    </row>
    <row r="179" spans="46:46" x14ac:dyDescent="0.25">
      <c r="AT179">
        <v>40</v>
      </c>
    </row>
    <row r="180" spans="46:46" x14ac:dyDescent="0.25">
      <c r="AT180">
        <v>40</v>
      </c>
    </row>
    <row r="181" spans="46:46" x14ac:dyDescent="0.25">
      <c r="AT181">
        <v>40</v>
      </c>
    </row>
    <row r="182" spans="46:46" x14ac:dyDescent="0.25">
      <c r="AT182">
        <v>40</v>
      </c>
    </row>
    <row r="183" spans="46:46" x14ac:dyDescent="0.25">
      <c r="AT183">
        <v>40</v>
      </c>
    </row>
    <row r="184" spans="46:46" x14ac:dyDescent="0.25">
      <c r="AT184">
        <v>40</v>
      </c>
    </row>
    <row r="185" spans="46:46" x14ac:dyDescent="0.25">
      <c r="AT185">
        <v>40</v>
      </c>
    </row>
    <row r="186" spans="46:46" x14ac:dyDescent="0.25">
      <c r="AT186">
        <v>40</v>
      </c>
    </row>
    <row r="187" spans="46:46" x14ac:dyDescent="0.25">
      <c r="AT187">
        <v>40</v>
      </c>
    </row>
    <row r="188" spans="46:46" x14ac:dyDescent="0.25">
      <c r="AT188">
        <v>40</v>
      </c>
    </row>
    <row r="189" spans="46:46" x14ac:dyDescent="0.25">
      <c r="AT189">
        <v>40</v>
      </c>
    </row>
    <row r="190" spans="46:46" x14ac:dyDescent="0.25">
      <c r="AT190">
        <v>40</v>
      </c>
    </row>
    <row r="191" spans="46:46" x14ac:dyDescent="0.25">
      <c r="AT191">
        <v>40</v>
      </c>
    </row>
    <row r="192" spans="46:46" x14ac:dyDescent="0.25">
      <c r="AT192">
        <v>40</v>
      </c>
    </row>
    <row r="193" spans="46:46" x14ac:dyDescent="0.25">
      <c r="AT193">
        <v>40</v>
      </c>
    </row>
    <row r="194" spans="46:46" x14ac:dyDescent="0.25">
      <c r="AT194">
        <v>40</v>
      </c>
    </row>
    <row r="195" spans="46:46" x14ac:dyDescent="0.25">
      <c r="AT195">
        <v>40</v>
      </c>
    </row>
    <row r="196" spans="46:46" x14ac:dyDescent="0.25">
      <c r="AT196">
        <v>40</v>
      </c>
    </row>
    <row r="197" spans="46:46" x14ac:dyDescent="0.25">
      <c r="AT197">
        <v>40</v>
      </c>
    </row>
    <row r="198" spans="46:46" x14ac:dyDescent="0.25">
      <c r="AT198">
        <v>40</v>
      </c>
    </row>
    <row r="199" spans="46:46" x14ac:dyDescent="0.25">
      <c r="AT199">
        <v>40</v>
      </c>
    </row>
    <row r="200" spans="46:46" x14ac:dyDescent="0.25">
      <c r="AT200">
        <v>40</v>
      </c>
    </row>
    <row r="201" spans="46:46" x14ac:dyDescent="0.25">
      <c r="AT201">
        <v>40</v>
      </c>
    </row>
    <row r="202" spans="46:46" x14ac:dyDescent="0.25">
      <c r="AT202">
        <v>40</v>
      </c>
    </row>
    <row r="203" spans="46:46" x14ac:dyDescent="0.25">
      <c r="AT203">
        <v>40</v>
      </c>
    </row>
    <row r="204" spans="46:46" x14ac:dyDescent="0.25">
      <c r="AT204">
        <v>40</v>
      </c>
    </row>
    <row r="205" spans="46:46" x14ac:dyDescent="0.25">
      <c r="AT205">
        <v>40</v>
      </c>
    </row>
    <row r="206" spans="46:46" x14ac:dyDescent="0.25">
      <c r="AT206">
        <v>40</v>
      </c>
    </row>
    <row r="207" spans="46:46" x14ac:dyDescent="0.25">
      <c r="AT207">
        <v>40</v>
      </c>
    </row>
    <row r="208" spans="46:46" x14ac:dyDescent="0.25">
      <c r="AT208">
        <v>40</v>
      </c>
    </row>
    <row r="209" spans="46:46" x14ac:dyDescent="0.25">
      <c r="AT209">
        <v>40</v>
      </c>
    </row>
    <row r="210" spans="46:46" x14ac:dyDescent="0.25">
      <c r="AT210">
        <v>40</v>
      </c>
    </row>
    <row r="211" spans="46:46" x14ac:dyDescent="0.25">
      <c r="AT211">
        <v>40</v>
      </c>
    </row>
    <row r="212" spans="46:46" x14ac:dyDescent="0.25">
      <c r="AT212">
        <v>40</v>
      </c>
    </row>
    <row r="213" spans="46:46" x14ac:dyDescent="0.25">
      <c r="AT213">
        <v>40</v>
      </c>
    </row>
    <row r="214" spans="46:46" x14ac:dyDescent="0.25">
      <c r="AT214">
        <v>40</v>
      </c>
    </row>
    <row r="215" spans="46:46" x14ac:dyDescent="0.25">
      <c r="AT215">
        <v>40</v>
      </c>
    </row>
    <row r="216" spans="46:46" x14ac:dyDescent="0.25">
      <c r="AT216">
        <v>40</v>
      </c>
    </row>
    <row r="217" spans="46:46" x14ac:dyDescent="0.25">
      <c r="AT217">
        <v>40</v>
      </c>
    </row>
    <row r="218" spans="46:46" x14ac:dyDescent="0.25">
      <c r="AT218">
        <v>40</v>
      </c>
    </row>
    <row r="219" spans="46:46" x14ac:dyDescent="0.25">
      <c r="AT219">
        <v>40</v>
      </c>
    </row>
    <row r="220" spans="46:46" x14ac:dyDescent="0.25">
      <c r="AT220">
        <v>40</v>
      </c>
    </row>
    <row r="221" spans="46:46" x14ac:dyDescent="0.25">
      <c r="AT221">
        <v>40</v>
      </c>
    </row>
    <row r="222" spans="46:46" x14ac:dyDescent="0.25">
      <c r="AT222">
        <v>40</v>
      </c>
    </row>
    <row r="223" spans="46:46" x14ac:dyDescent="0.25">
      <c r="AT223">
        <v>40</v>
      </c>
    </row>
    <row r="224" spans="46:46" x14ac:dyDescent="0.25">
      <c r="AT224">
        <v>40</v>
      </c>
    </row>
    <row r="225" spans="46:46" x14ac:dyDescent="0.25">
      <c r="AT225">
        <v>40</v>
      </c>
    </row>
    <row r="226" spans="46:46" x14ac:dyDescent="0.25">
      <c r="AT226">
        <v>40</v>
      </c>
    </row>
    <row r="227" spans="46:46" x14ac:dyDescent="0.25">
      <c r="AT227">
        <v>40</v>
      </c>
    </row>
    <row r="228" spans="46:46" x14ac:dyDescent="0.25">
      <c r="AT228">
        <v>40</v>
      </c>
    </row>
    <row r="229" spans="46:46" x14ac:dyDescent="0.25">
      <c r="AT229">
        <v>40</v>
      </c>
    </row>
    <row r="230" spans="46:46" x14ac:dyDescent="0.25">
      <c r="AT230">
        <v>40</v>
      </c>
    </row>
    <row r="231" spans="46:46" x14ac:dyDescent="0.25">
      <c r="AT231">
        <v>40</v>
      </c>
    </row>
    <row r="232" spans="46:46" x14ac:dyDescent="0.25">
      <c r="AT232">
        <v>40</v>
      </c>
    </row>
    <row r="233" spans="46:46" x14ac:dyDescent="0.25">
      <c r="AT233">
        <v>40</v>
      </c>
    </row>
    <row r="234" spans="46:46" x14ac:dyDescent="0.25">
      <c r="AT234">
        <v>40</v>
      </c>
    </row>
    <row r="235" spans="46:46" x14ac:dyDescent="0.25">
      <c r="AT235">
        <v>40</v>
      </c>
    </row>
    <row r="236" spans="46:46" x14ac:dyDescent="0.25">
      <c r="AT236">
        <v>40</v>
      </c>
    </row>
    <row r="237" spans="46:46" x14ac:dyDescent="0.25">
      <c r="AT237">
        <v>40</v>
      </c>
    </row>
    <row r="238" spans="46:46" x14ac:dyDescent="0.25">
      <c r="AT238">
        <v>40</v>
      </c>
    </row>
    <row r="239" spans="46:46" x14ac:dyDescent="0.25">
      <c r="AT239">
        <v>40</v>
      </c>
    </row>
    <row r="240" spans="46:46" x14ac:dyDescent="0.25">
      <c r="AT240">
        <v>40</v>
      </c>
    </row>
    <row r="241" spans="46:46" x14ac:dyDescent="0.25">
      <c r="AT241">
        <v>40</v>
      </c>
    </row>
    <row r="242" spans="46:46" x14ac:dyDescent="0.25">
      <c r="AT242">
        <v>40</v>
      </c>
    </row>
    <row r="243" spans="46:46" x14ac:dyDescent="0.25">
      <c r="AT243">
        <v>40</v>
      </c>
    </row>
    <row r="244" spans="46:46" x14ac:dyDescent="0.25">
      <c r="AT244">
        <v>40</v>
      </c>
    </row>
    <row r="245" spans="46:46" x14ac:dyDescent="0.25">
      <c r="AT245">
        <v>40</v>
      </c>
    </row>
    <row r="246" spans="46:46" x14ac:dyDescent="0.25">
      <c r="AT246">
        <v>40</v>
      </c>
    </row>
    <row r="247" spans="46:46" x14ac:dyDescent="0.25">
      <c r="AT247">
        <v>40</v>
      </c>
    </row>
    <row r="248" spans="46:46" x14ac:dyDescent="0.25">
      <c r="AT248">
        <v>40</v>
      </c>
    </row>
    <row r="249" spans="46:46" x14ac:dyDescent="0.25">
      <c r="AT249">
        <v>40</v>
      </c>
    </row>
    <row r="250" spans="46:46" x14ac:dyDescent="0.25">
      <c r="AT250">
        <v>40</v>
      </c>
    </row>
    <row r="251" spans="46:46" x14ac:dyDescent="0.25">
      <c r="AT251">
        <v>40</v>
      </c>
    </row>
    <row r="252" spans="46:46" x14ac:dyDescent="0.25">
      <c r="AT252">
        <v>40</v>
      </c>
    </row>
    <row r="253" spans="46:46" x14ac:dyDescent="0.25">
      <c r="AT253">
        <v>40</v>
      </c>
    </row>
    <row r="254" spans="46:46" x14ac:dyDescent="0.25">
      <c r="AT254">
        <v>40</v>
      </c>
    </row>
    <row r="255" spans="46:46" x14ac:dyDescent="0.25">
      <c r="AT255">
        <v>40</v>
      </c>
    </row>
    <row r="256" spans="46:46" x14ac:dyDescent="0.25">
      <c r="AT256">
        <v>40</v>
      </c>
    </row>
    <row r="257" spans="46:46" x14ac:dyDescent="0.25">
      <c r="AT257">
        <v>40</v>
      </c>
    </row>
    <row r="258" spans="46:46" x14ac:dyDescent="0.25">
      <c r="AT258">
        <v>40</v>
      </c>
    </row>
    <row r="259" spans="46:46" x14ac:dyDescent="0.25">
      <c r="AT259">
        <v>40</v>
      </c>
    </row>
    <row r="260" spans="46:46" x14ac:dyDescent="0.25">
      <c r="AT260">
        <v>40</v>
      </c>
    </row>
    <row r="261" spans="46:46" x14ac:dyDescent="0.25">
      <c r="AT261">
        <v>40</v>
      </c>
    </row>
    <row r="262" spans="46:46" x14ac:dyDescent="0.25">
      <c r="AT262">
        <v>40</v>
      </c>
    </row>
    <row r="263" spans="46:46" x14ac:dyDescent="0.25">
      <c r="AT263">
        <v>40</v>
      </c>
    </row>
    <row r="264" spans="46:46" x14ac:dyDescent="0.25">
      <c r="AT264">
        <v>40</v>
      </c>
    </row>
    <row r="265" spans="46:46" x14ac:dyDescent="0.25">
      <c r="AT265">
        <v>40</v>
      </c>
    </row>
    <row r="266" spans="46:46" x14ac:dyDescent="0.25">
      <c r="AT266">
        <v>40</v>
      </c>
    </row>
    <row r="267" spans="46:46" x14ac:dyDescent="0.25">
      <c r="AT267">
        <v>40</v>
      </c>
    </row>
    <row r="268" spans="46:46" x14ac:dyDescent="0.25">
      <c r="AT268">
        <v>40</v>
      </c>
    </row>
    <row r="269" spans="46:46" x14ac:dyDescent="0.25">
      <c r="AT269">
        <v>40</v>
      </c>
    </row>
    <row r="270" spans="46:46" x14ac:dyDescent="0.25">
      <c r="AT270">
        <v>40</v>
      </c>
    </row>
    <row r="271" spans="46:46" x14ac:dyDescent="0.25">
      <c r="AT271">
        <v>40</v>
      </c>
    </row>
    <row r="272" spans="46:46" x14ac:dyDescent="0.25">
      <c r="AT272">
        <v>40</v>
      </c>
    </row>
    <row r="273" spans="46:46" x14ac:dyDescent="0.25">
      <c r="AT273">
        <v>40</v>
      </c>
    </row>
    <row r="274" spans="46:46" x14ac:dyDescent="0.25">
      <c r="AT274">
        <v>40</v>
      </c>
    </row>
    <row r="275" spans="46:46" x14ac:dyDescent="0.25">
      <c r="AT275">
        <v>40</v>
      </c>
    </row>
    <row r="276" spans="46:46" x14ac:dyDescent="0.25">
      <c r="AT276">
        <v>40</v>
      </c>
    </row>
    <row r="277" spans="46:46" x14ac:dyDescent="0.25">
      <c r="AT277">
        <v>40</v>
      </c>
    </row>
    <row r="278" spans="46:46" x14ac:dyDescent="0.25">
      <c r="AT278">
        <v>40</v>
      </c>
    </row>
    <row r="279" spans="46:46" x14ac:dyDescent="0.25">
      <c r="AT279">
        <v>40</v>
      </c>
    </row>
    <row r="280" spans="46:46" x14ac:dyDescent="0.25">
      <c r="AT280">
        <v>40</v>
      </c>
    </row>
    <row r="281" spans="46:46" x14ac:dyDescent="0.25">
      <c r="AT281">
        <v>40</v>
      </c>
    </row>
    <row r="282" spans="46:46" x14ac:dyDescent="0.25">
      <c r="AT282">
        <v>40</v>
      </c>
    </row>
    <row r="283" spans="46:46" x14ac:dyDescent="0.25">
      <c r="AT283">
        <v>40</v>
      </c>
    </row>
    <row r="284" spans="46:46" x14ac:dyDescent="0.25">
      <c r="AT284">
        <v>40</v>
      </c>
    </row>
    <row r="285" spans="46:46" x14ac:dyDescent="0.25">
      <c r="AT285">
        <v>40</v>
      </c>
    </row>
    <row r="286" spans="46:46" x14ac:dyDescent="0.25">
      <c r="AT286">
        <v>40</v>
      </c>
    </row>
    <row r="287" spans="46:46" x14ac:dyDescent="0.25">
      <c r="AT287">
        <v>40</v>
      </c>
    </row>
    <row r="288" spans="46:46" x14ac:dyDescent="0.25">
      <c r="AT288">
        <v>40</v>
      </c>
    </row>
    <row r="289" spans="46:46" x14ac:dyDescent="0.25">
      <c r="AT289">
        <v>40</v>
      </c>
    </row>
    <row r="290" spans="46:46" x14ac:dyDescent="0.25">
      <c r="AT290">
        <v>40</v>
      </c>
    </row>
    <row r="291" spans="46:46" x14ac:dyDescent="0.25">
      <c r="AT291">
        <v>40</v>
      </c>
    </row>
    <row r="292" spans="46:46" x14ac:dyDescent="0.25">
      <c r="AT292">
        <v>40</v>
      </c>
    </row>
    <row r="293" spans="46:46" x14ac:dyDescent="0.25">
      <c r="AT293">
        <v>40</v>
      </c>
    </row>
    <row r="294" spans="46:46" x14ac:dyDescent="0.25">
      <c r="AT294">
        <v>40</v>
      </c>
    </row>
    <row r="295" spans="46:46" x14ac:dyDescent="0.25">
      <c r="AT295">
        <v>40</v>
      </c>
    </row>
    <row r="296" spans="46:46" x14ac:dyDescent="0.25">
      <c r="AT296">
        <v>40</v>
      </c>
    </row>
    <row r="297" spans="46:46" x14ac:dyDescent="0.25">
      <c r="AT297">
        <v>40</v>
      </c>
    </row>
    <row r="298" spans="46:46" x14ac:dyDescent="0.25">
      <c r="AT298">
        <v>40</v>
      </c>
    </row>
    <row r="299" spans="46:46" x14ac:dyDescent="0.25">
      <c r="AT299">
        <v>40</v>
      </c>
    </row>
    <row r="300" spans="46:46" x14ac:dyDescent="0.25">
      <c r="AT300">
        <v>40</v>
      </c>
    </row>
    <row r="301" spans="46:46" x14ac:dyDescent="0.25">
      <c r="AT301">
        <v>40</v>
      </c>
    </row>
    <row r="302" spans="46:46" x14ac:dyDescent="0.25">
      <c r="AT302">
        <v>40</v>
      </c>
    </row>
    <row r="303" spans="46:46" x14ac:dyDescent="0.25">
      <c r="AT303">
        <v>40</v>
      </c>
    </row>
    <row r="304" spans="46:46" x14ac:dyDescent="0.25">
      <c r="AT304">
        <v>40</v>
      </c>
    </row>
    <row r="305" spans="46:46" x14ac:dyDescent="0.25">
      <c r="AT305">
        <v>40</v>
      </c>
    </row>
    <row r="306" spans="46:46" x14ac:dyDescent="0.25">
      <c r="AT306">
        <v>40</v>
      </c>
    </row>
    <row r="307" spans="46:46" x14ac:dyDescent="0.25">
      <c r="AT307">
        <v>40</v>
      </c>
    </row>
    <row r="308" spans="46:46" x14ac:dyDescent="0.25">
      <c r="AT308">
        <v>40</v>
      </c>
    </row>
    <row r="309" spans="46:46" x14ac:dyDescent="0.25">
      <c r="AT309">
        <v>40</v>
      </c>
    </row>
    <row r="310" spans="46:46" x14ac:dyDescent="0.25">
      <c r="AT310">
        <v>40</v>
      </c>
    </row>
    <row r="311" spans="46:46" x14ac:dyDescent="0.25">
      <c r="AT311">
        <v>40</v>
      </c>
    </row>
    <row r="312" spans="46:46" x14ac:dyDescent="0.25">
      <c r="AT312">
        <v>40</v>
      </c>
    </row>
    <row r="313" spans="46:46" x14ac:dyDescent="0.25">
      <c r="AT313">
        <v>40</v>
      </c>
    </row>
    <row r="314" spans="46:46" x14ac:dyDescent="0.25">
      <c r="AT314">
        <v>40</v>
      </c>
    </row>
    <row r="315" spans="46:46" x14ac:dyDescent="0.25">
      <c r="AT315">
        <v>40</v>
      </c>
    </row>
    <row r="316" spans="46:46" x14ac:dyDescent="0.25">
      <c r="AT316">
        <v>40</v>
      </c>
    </row>
    <row r="317" spans="46:46" x14ac:dyDescent="0.25">
      <c r="AT317">
        <v>40</v>
      </c>
    </row>
    <row r="318" spans="46:46" x14ac:dyDescent="0.25">
      <c r="AT318">
        <v>40</v>
      </c>
    </row>
    <row r="319" spans="46:46" x14ac:dyDescent="0.25">
      <c r="AT319">
        <v>40</v>
      </c>
    </row>
    <row r="320" spans="46:46" x14ac:dyDescent="0.25">
      <c r="AT320">
        <v>40</v>
      </c>
    </row>
    <row r="321" spans="46:46" x14ac:dyDescent="0.25">
      <c r="AT321">
        <v>40</v>
      </c>
    </row>
    <row r="322" spans="46:46" x14ac:dyDescent="0.25">
      <c r="AT322">
        <v>40</v>
      </c>
    </row>
    <row r="323" spans="46:46" x14ac:dyDescent="0.25">
      <c r="AT323">
        <v>40</v>
      </c>
    </row>
    <row r="324" spans="46:46" x14ac:dyDescent="0.25">
      <c r="AT324">
        <v>40</v>
      </c>
    </row>
    <row r="325" spans="46:46" x14ac:dyDescent="0.25">
      <c r="AT325">
        <v>40</v>
      </c>
    </row>
    <row r="326" spans="46:46" x14ac:dyDescent="0.25">
      <c r="AT326">
        <v>40</v>
      </c>
    </row>
    <row r="327" spans="46:46" x14ac:dyDescent="0.25">
      <c r="AT327">
        <v>40</v>
      </c>
    </row>
    <row r="328" spans="46:46" x14ac:dyDescent="0.25">
      <c r="AT328">
        <v>40</v>
      </c>
    </row>
    <row r="329" spans="46:46" x14ac:dyDescent="0.25">
      <c r="AT329">
        <v>40</v>
      </c>
    </row>
    <row r="330" spans="46:46" x14ac:dyDescent="0.25">
      <c r="AT330">
        <v>40</v>
      </c>
    </row>
    <row r="331" spans="46:46" x14ac:dyDescent="0.25">
      <c r="AT331">
        <v>40</v>
      </c>
    </row>
    <row r="332" spans="46:46" x14ac:dyDescent="0.25">
      <c r="AT332">
        <v>40</v>
      </c>
    </row>
    <row r="333" spans="46:46" x14ac:dyDescent="0.25">
      <c r="AT333">
        <v>40</v>
      </c>
    </row>
    <row r="334" spans="46:46" x14ac:dyDescent="0.25">
      <c r="AT334">
        <v>40</v>
      </c>
    </row>
    <row r="335" spans="46:46" x14ac:dyDescent="0.25">
      <c r="AT335">
        <v>40</v>
      </c>
    </row>
    <row r="336" spans="46:46" x14ac:dyDescent="0.25">
      <c r="AT336">
        <v>40</v>
      </c>
    </row>
    <row r="337" spans="46:46" x14ac:dyDescent="0.25">
      <c r="AT337">
        <v>40</v>
      </c>
    </row>
    <row r="338" spans="46:46" x14ac:dyDescent="0.25">
      <c r="AT338">
        <v>40</v>
      </c>
    </row>
    <row r="339" spans="46:46" x14ac:dyDescent="0.25">
      <c r="AT339">
        <v>40</v>
      </c>
    </row>
    <row r="340" spans="46:46" x14ac:dyDescent="0.25">
      <c r="AT340">
        <v>40</v>
      </c>
    </row>
    <row r="341" spans="46:46" x14ac:dyDescent="0.25">
      <c r="AT341">
        <v>40</v>
      </c>
    </row>
    <row r="342" spans="46:46" x14ac:dyDescent="0.25">
      <c r="AT342">
        <v>40</v>
      </c>
    </row>
    <row r="343" spans="46:46" x14ac:dyDescent="0.25">
      <c r="AT343">
        <v>40</v>
      </c>
    </row>
    <row r="344" spans="46:46" x14ac:dyDescent="0.25">
      <c r="AT344">
        <v>40</v>
      </c>
    </row>
    <row r="345" spans="46:46" x14ac:dyDescent="0.25">
      <c r="AT345">
        <v>40</v>
      </c>
    </row>
    <row r="346" spans="46:46" x14ac:dyDescent="0.25">
      <c r="AT346">
        <v>40</v>
      </c>
    </row>
    <row r="347" spans="46:46" x14ac:dyDescent="0.25">
      <c r="AT347">
        <v>40</v>
      </c>
    </row>
    <row r="348" spans="46:46" x14ac:dyDescent="0.25">
      <c r="AT348">
        <v>40</v>
      </c>
    </row>
    <row r="349" spans="46:46" x14ac:dyDescent="0.25">
      <c r="AT349">
        <v>40</v>
      </c>
    </row>
    <row r="350" spans="46:46" x14ac:dyDescent="0.25">
      <c r="AT350">
        <v>40</v>
      </c>
    </row>
    <row r="351" spans="46:46" x14ac:dyDescent="0.25">
      <c r="AT351">
        <v>40</v>
      </c>
    </row>
    <row r="352" spans="46:46" x14ac:dyDescent="0.25">
      <c r="AT352">
        <v>40</v>
      </c>
    </row>
    <row r="353" spans="46:46" x14ac:dyDescent="0.25">
      <c r="AT353">
        <v>40</v>
      </c>
    </row>
    <row r="354" spans="46:46" x14ac:dyDescent="0.25">
      <c r="AT354">
        <v>40</v>
      </c>
    </row>
    <row r="355" spans="46:46" x14ac:dyDescent="0.25">
      <c r="AT355">
        <v>40</v>
      </c>
    </row>
    <row r="356" spans="46:46" x14ac:dyDescent="0.25">
      <c r="AT356">
        <v>40</v>
      </c>
    </row>
    <row r="357" spans="46:46" x14ac:dyDescent="0.25">
      <c r="AT357">
        <v>40</v>
      </c>
    </row>
    <row r="358" spans="46:46" x14ac:dyDescent="0.25">
      <c r="AT358">
        <v>40</v>
      </c>
    </row>
    <row r="359" spans="46:46" x14ac:dyDescent="0.25">
      <c r="AT359">
        <v>40</v>
      </c>
    </row>
    <row r="360" spans="46:46" x14ac:dyDescent="0.25">
      <c r="AT360">
        <v>40</v>
      </c>
    </row>
    <row r="361" spans="46:46" x14ac:dyDescent="0.25">
      <c r="AT361">
        <v>40</v>
      </c>
    </row>
    <row r="362" spans="46:46" x14ac:dyDescent="0.25">
      <c r="AT362">
        <v>40</v>
      </c>
    </row>
    <row r="363" spans="46:46" x14ac:dyDescent="0.25">
      <c r="AT363">
        <v>40</v>
      </c>
    </row>
    <row r="364" spans="46:46" x14ac:dyDescent="0.25">
      <c r="AT364">
        <v>40</v>
      </c>
    </row>
    <row r="365" spans="46:46" x14ac:dyDescent="0.25">
      <c r="AT365">
        <v>40</v>
      </c>
    </row>
    <row r="366" spans="46:46" x14ac:dyDescent="0.25">
      <c r="AT366">
        <v>40</v>
      </c>
    </row>
    <row r="367" spans="46:46" x14ac:dyDescent="0.25">
      <c r="AT367">
        <v>40</v>
      </c>
    </row>
    <row r="368" spans="46:46" x14ac:dyDescent="0.25">
      <c r="AT368">
        <v>40</v>
      </c>
    </row>
    <row r="369" spans="46:46" x14ac:dyDescent="0.25">
      <c r="AT369">
        <v>40</v>
      </c>
    </row>
    <row r="370" spans="46:46" x14ac:dyDescent="0.25">
      <c r="AT370">
        <v>40</v>
      </c>
    </row>
    <row r="371" spans="46:46" x14ac:dyDescent="0.25">
      <c r="AT371">
        <v>40</v>
      </c>
    </row>
    <row r="372" spans="46:46" x14ac:dyDescent="0.25">
      <c r="AT372">
        <v>40</v>
      </c>
    </row>
    <row r="373" spans="46:46" x14ac:dyDescent="0.25">
      <c r="AT373">
        <v>40</v>
      </c>
    </row>
    <row r="374" spans="46:46" x14ac:dyDescent="0.25">
      <c r="AT374">
        <v>40</v>
      </c>
    </row>
    <row r="375" spans="46:46" x14ac:dyDescent="0.25">
      <c r="AT375">
        <v>40</v>
      </c>
    </row>
    <row r="376" spans="46:46" x14ac:dyDescent="0.25">
      <c r="AT376">
        <v>40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9"/>
  <dimension ref="A1:M53"/>
  <sheetViews>
    <sheetView zoomScaleNormal="100" workbookViewId="0">
      <selection activeCell="G35" sqref="G35"/>
    </sheetView>
  </sheetViews>
  <sheetFormatPr baseColWidth="10" defaultColWidth="11.42578125" defaultRowHeight="15" x14ac:dyDescent="0.25"/>
  <cols>
    <col min="1" max="1" width="15.85546875" style="33" customWidth="1"/>
    <col min="2" max="2" width="10.5703125" style="33" bestFit="1" customWidth="1"/>
    <col min="3" max="4" width="12.42578125" style="33" bestFit="1" customWidth="1"/>
    <col min="5" max="5" width="11.28515625" style="33" bestFit="1" customWidth="1"/>
    <col min="6" max="7" width="10.5703125" style="33" bestFit="1" customWidth="1"/>
    <col min="8" max="12" width="11.28515625" style="33" bestFit="1" customWidth="1"/>
    <col min="13" max="13" width="6.7109375" customWidth="1"/>
  </cols>
  <sheetData>
    <row r="1" spans="1:12" ht="18.75" x14ac:dyDescent="0.3">
      <c r="A1" s="39" t="s">
        <v>1891</v>
      </c>
    </row>
    <row r="2" spans="1:12" ht="15.75" x14ac:dyDescent="0.25">
      <c r="A2" s="30" t="s">
        <v>1816</v>
      </c>
      <c r="B2" s="31" t="s">
        <v>0</v>
      </c>
      <c r="C2" s="31">
        <f>regle!B2</f>
        <v>2024</v>
      </c>
      <c r="D2" s="31">
        <f>regle!C2</f>
        <v>2025</v>
      </c>
      <c r="E2" s="31">
        <f>regle!D2</f>
        <v>2026</v>
      </c>
      <c r="F2" s="31">
        <f>regle!E2</f>
        <v>2027</v>
      </c>
      <c r="G2" s="31">
        <f>regle!F2</f>
        <v>2028</v>
      </c>
      <c r="H2" s="31">
        <f>regle!G2</f>
        <v>2029</v>
      </c>
      <c r="I2" s="31">
        <f>regle!H2</f>
        <v>2030</v>
      </c>
      <c r="J2" s="31">
        <f>regle!I2</f>
        <v>2031</v>
      </c>
      <c r="K2" s="31">
        <f>regle!J2</f>
        <v>2032</v>
      </c>
      <c r="L2" s="31">
        <f>regle!K2</f>
        <v>2033</v>
      </c>
    </row>
    <row r="3" spans="1:12" ht="15.75" x14ac:dyDescent="0.25">
      <c r="A3" s="32" t="str">
        <f>Revenu!A43</f>
        <v>BASE :</v>
      </c>
      <c r="B3" s="28">
        <f t="shared" ref="B3:B11" si="0">SUM(C3:L3)</f>
        <v>219252.87999999998</v>
      </c>
      <c r="C3" s="26">
        <f>SUMIFS(modif0[budget_N+1],modif0[inter_N+1],regle!$J$11)</f>
        <v>36269.199999999997</v>
      </c>
      <c r="D3" s="26">
        <f>SUMIFS(modif0[budget_N+2],modif0[inter_N+2],regle!$J$11)</f>
        <v>0</v>
      </c>
      <c r="E3" s="26">
        <f>SUMIFS(modif0[budget_N+3],modif0[inter_N+3],regle!$J$11)</f>
        <v>0</v>
      </c>
      <c r="F3" s="26">
        <f>SUMIFS(modif0[budget_N+4],modif0[inter_N+4],regle!$J$11)</f>
        <v>153226.48000000001</v>
      </c>
      <c r="G3" s="26">
        <f>SUMIFS(modif0[budget_N+5],modif0[inter_N+5],regle!$J$11)</f>
        <v>29005.68</v>
      </c>
      <c r="H3" s="26">
        <f>SUMIFS(modif0[budget_N+6],modif0[inter_N+6],regle!$J$11)</f>
        <v>0</v>
      </c>
      <c r="I3" s="26">
        <f>SUMIFS(modif0[budget_N+7],modif0[inter_N+7],regle!$J$11)</f>
        <v>751.52</v>
      </c>
      <c r="J3" s="26">
        <f>SUMIFS(modif0[budget_N+8],modif0[inter_N+8],regle!$J$11)</f>
        <v>0</v>
      </c>
      <c r="K3" s="26">
        <f>SUMIFS(modif0[budget_N+9],modif0[inter_N+9],regle!$J$11)</f>
        <v>0</v>
      </c>
      <c r="L3" s="26">
        <f>SUMIFS(modif0[budget_N+10],modif0[inter_N+10],regle!$J$11)</f>
        <v>0</v>
      </c>
    </row>
    <row r="4" spans="1:12" ht="15.75" x14ac:dyDescent="0.25">
      <c r="A4" s="32" t="str">
        <f>Revenu!A70</f>
        <v>MAX :</v>
      </c>
      <c r="B4" s="28">
        <f t="shared" si="0"/>
        <v>801702.75999999989</v>
      </c>
      <c r="C4" s="26">
        <f>SUMIFS(modif1[budget_N+1],modif1[inter_N+1],regle!$J$11)
+SUMIFS(modif1[budget_N+1],modif1[inter_N+1],regle!$K$11)</f>
        <v>120179.84000000001</v>
      </c>
      <c r="D4" s="26">
        <f>SUMIFS(modif1[budget_N+2],modif1[inter_N+2],regle!$J$11)
+SUMIFS(modif1[budget_N+2],modif1[inter_N+2],regle!$K$11)</f>
        <v>99073.04</v>
      </c>
      <c r="E4" s="26">
        <f>SUMIFS(modif1[budget_N+3],modif1[inter_N+3],regle!$J$11)
+SUMIFS(modif1[budget_N+3],modif1[inter_N+3],regle!$K$11)</f>
        <v>0</v>
      </c>
      <c r="F4" s="26">
        <f>SUMIFS(modif1[budget_N+4],modif1[inter_N+4],regle!$J$11)
+SUMIFS(modif1[budget_N+4],modif1[inter_N+4],regle!$K$11)</f>
        <v>0</v>
      </c>
      <c r="G4" s="26">
        <f>SUMIFS(modif1[budget_N+5],modif1[inter_N+5],regle!$J$11)
+SUMIFS(modif1[budget_N+5],modif1[inter_N+5],regle!$K$11)</f>
        <v>92873.56</v>
      </c>
      <c r="H4" s="26">
        <f>SUMIFS(modif1[budget_N+6],modif1[inter_N+6],regle!$J$11)
+SUMIFS(modif1[budget_N+6],modif1[inter_N+6],regle!$K$11)</f>
        <v>90835.159999999974</v>
      </c>
      <c r="I4" s="26">
        <f>SUMIFS(modif1[budget_N+7],modif1[inter_N+7],regle!$J$11)
+SUMIFS(modif1[budget_N+7],modif1[inter_N+7],regle!$K$11)</f>
        <v>128938.56</v>
      </c>
      <c r="J4" s="26">
        <f>SUMIFS(modif1[budget_N+8],modif1[inter_N+8],regle!$J$11)
+SUMIFS(modif1[budget_N+8],modif1[inter_N+8],regle!$K$11)</f>
        <v>86553.48</v>
      </c>
      <c r="K4" s="26">
        <f>SUMIFS(modif1[budget_N+9],modif1[inter_N+9],regle!$J$11)
+SUMIFS(modif1[budget_N+9],modif1[inter_N+9],regle!$K$11)</f>
        <v>91450.92</v>
      </c>
      <c r="L4" s="26">
        <f>SUMIFS(modif1[budget_N+10],modif1[inter_N+10],regle!$J$11)
+SUMIFS(modif1[budget_N+10],modif1[inter_N+10],regle!$K$11)</f>
        <v>91798.2</v>
      </c>
    </row>
    <row r="5" spans="1:12" ht="15.75" x14ac:dyDescent="0.25">
      <c r="A5" s="29" t="s">
        <v>1810</v>
      </c>
      <c r="B5" s="28">
        <f t="shared" si="0"/>
        <v>801702.75999999989</v>
      </c>
      <c r="C5" s="25">
        <f t="shared" ref="C5:L5" si="1">SUM(C6:C11)</f>
        <v>87672.639999999999</v>
      </c>
      <c r="D5" s="25">
        <f t="shared" si="1"/>
        <v>131580.24</v>
      </c>
      <c r="E5" s="25">
        <f t="shared" si="1"/>
        <v>0</v>
      </c>
      <c r="F5" s="25">
        <f t="shared" si="1"/>
        <v>0</v>
      </c>
      <c r="G5" s="25">
        <f t="shared" si="1"/>
        <v>92873.56</v>
      </c>
      <c r="H5" s="25">
        <f t="shared" si="1"/>
        <v>90835.159999999974</v>
      </c>
      <c r="I5" s="25">
        <f t="shared" si="1"/>
        <v>128938.56</v>
      </c>
      <c r="J5" s="25">
        <f t="shared" si="1"/>
        <v>86553.48</v>
      </c>
      <c r="K5" s="25">
        <f t="shared" si="1"/>
        <v>87977.84</v>
      </c>
      <c r="L5" s="25">
        <f t="shared" si="1"/>
        <v>95271.28</v>
      </c>
    </row>
    <row r="6" spans="1:12" ht="15.75" x14ac:dyDescent="0.25">
      <c r="A6" s="32" t="str">
        <f>regle!B39</f>
        <v>CABANAC-ET-VILLAGRAINS</v>
      </c>
      <c r="B6" s="28">
        <f t="shared" si="0"/>
        <v>34255</v>
      </c>
      <c r="C6" s="27">
        <f>SUMIFS(modif2[budget_N+1],modif2[inter_N+1],regle!$J$11,modif2[[nm_cmmn]:[nm_cmmn]],$A6)
+SUMIFS(modif2[budget_N+1],modif2[inter_N+1],regle!$K$11,modif2[[nm_cmmn]:[nm_cmmn]],$A6)</f>
        <v>0</v>
      </c>
      <c r="D6" s="27">
        <f>SUMIFS(modif2[budget_N+2],modif2[inter_N+2],regle!$J$11,modif2[[nm_cmmn]:[nm_cmmn]],$A6)
+SUMIFS(modif2[budget_N+2],modif2[inter_N+2],regle!$K$11,modif2[[nm_cmmn]:[nm_cmmn]],$A6)</f>
        <v>0</v>
      </c>
      <c r="E6" s="27">
        <f>SUMIFS(modif2[budget_N+3],modif2[inter_N+3],regle!$J$11,modif2[[nm_cmmn]:[nm_cmmn]],$A6)
+SUMIFS(modif2[budget_N+3],modif2[inter_N+3],regle!$K$11,modif2[[nm_cmmn]:[nm_cmmn]],$A6)</f>
        <v>0</v>
      </c>
      <c r="F6" s="27">
        <f>SUMIFS(modif2[budget_N+4],modif2[inter_N+4],regle!$J$11,modif2[[nm_cmmn]:[nm_cmmn]],$A6)
+SUMIFS(modif2[budget_N+4],modif2[inter_N+4],regle!$K$11,modif2[[nm_cmmn]:[nm_cmmn]],$A6)</f>
        <v>0</v>
      </c>
      <c r="G6" s="27">
        <f>SUMIFS(modif2[budget_N+5],modif2[inter_N+5],regle!$J$11,modif2[[nm_cmmn]:[nm_cmmn]],$A6)
+SUMIFS(modif2[budget_N+5],modif2[inter_N+5],regle!$K$11,modif2[[nm_cmmn]:[nm_cmmn]],$A6)</f>
        <v>0</v>
      </c>
      <c r="H6" s="27">
        <f>SUMIFS(modif2[budget_N+6],modif2[inter_N+6],regle!$J$11,modif2[[nm_cmmn]:[nm_cmmn]],$A6)
+SUMIFS(modif2[budget_N+6],modif2[inter_N+6],regle!$K$11,modif2[[nm_cmmn]:[nm_cmmn]],$A6)</f>
        <v>0</v>
      </c>
      <c r="I6" s="27">
        <f>SUMIFS(modif2[budget_N+7],modif2[inter_N+7],regle!$J$11,modif2[[nm_cmmn]:[nm_cmmn]],$A6)
+SUMIFS(modif2[budget_N+7],modif2[inter_N+7],regle!$K$11,modif2[[nm_cmmn]:[nm_cmmn]],$A6)</f>
        <v>28103.399999999998</v>
      </c>
      <c r="J6" s="27">
        <f>SUMIFS(modif2[budget_N+8],modif2[inter_N+8],regle!$J$11,modif2[[nm_cmmn]:[nm_cmmn]],$A6)
+SUMIFS(modif2[budget_N+8],modif2[inter_N+8],regle!$K$11,modif2[[nm_cmmn]:[nm_cmmn]],$A6)</f>
        <v>0</v>
      </c>
      <c r="K6" s="27">
        <f>SUMIFS(modif2[budget_N+9],modif2[inter_N+9],regle!$J$11,modif2[[nm_cmmn]:[nm_cmmn]],$A6)
+SUMIFS(modif2[budget_N+9],modif2[inter_N+9],regle!$K$11,modif2[[nm_cmmn]:[nm_cmmn]],$A6)</f>
        <v>6151.6</v>
      </c>
      <c r="L6" s="27">
        <f>SUMIFS(modif2[budget_N+10],modif2[inter_N+10],regle!$J$11,modif2[[nm_cmmn]:[nm_cmmn]],$A6)
+SUMIFS(modif2[budget_N+10],modif2[inter_N+10],regle!$K$11,modif2[[nm_cmmn]:[nm_cmmn]],$A6)</f>
        <v>0</v>
      </c>
    </row>
    <row r="7" spans="1:12" ht="15.75" x14ac:dyDescent="0.25">
      <c r="A7" s="32" t="str">
        <f>regle!B40</f>
        <v>MANO</v>
      </c>
      <c r="B7" s="28">
        <f t="shared" si="0"/>
        <v>27907.440000000002</v>
      </c>
      <c r="C7" s="27">
        <f>SUMIFS(modif2[budget_N+1],modif2[inter_N+1],regle!$J$11,modif2[[nm_cmmn]:[nm_cmmn]],$A7)
+SUMIFS(modif2[budget_N+1],modif2[inter_N+1],regle!$K$11,modif2[[nm_cmmn]:[nm_cmmn]],$A7)</f>
        <v>0</v>
      </c>
      <c r="D7" s="27">
        <f>SUMIFS(modif2[budget_N+2],modif2[inter_N+2],regle!$J$11,modif2[[nm_cmmn]:[nm_cmmn]],$A7)
+SUMIFS(modif2[budget_N+2],modif2[inter_N+2],regle!$K$11,modif2[[nm_cmmn]:[nm_cmmn]],$A7)</f>
        <v>0</v>
      </c>
      <c r="E7" s="27">
        <f>SUMIFS(modif2[budget_N+3],modif2[inter_N+3],regle!$J$11,modif2[[nm_cmmn]:[nm_cmmn]],$A7)
+SUMIFS(modif2[budget_N+3],modif2[inter_N+3],regle!$K$11,modif2[[nm_cmmn]:[nm_cmmn]],$A7)</f>
        <v>0</v>
      </c>
      <c r="F7" s="27">
        <f>SUMIFS(modif2[budget_N+4],modif2[inter_N+4],regle!$J$11,modif2[[nm_cmmn]:[nm_cmmn]],$A7)
+SUMIFS(modif2[budget_N+4],modif2[inter_N+4],regle!$K$11,modif2[[nm_cmmn]:[nm_cmmn]],$A7)</f>
        <v>0</v>
      </c>
      <c r="G7" s="27">
        <f>SUMIFS(modif2[budget_N+5],modif2[inter_N+5],regle!$J$11,modif2[[nm_cmmn]:[nm_cmmn]],$A7)
+SUMIFS(modif2[budget_N+5],modif2[inter_N+5],regle!$K$11,modif2[[nm_cmmn]:[nm_cmmn]],$A7)</f>
        <v>0</v>
      </c>
      <c r="H7" s="27">
        <f>SUMIFS(modif2[budget_N+6],modif2[inter_N+6],regle!$J$11,modif2[[nm_cmmn]:[nm_cmmn]],$A7)
+SUMIFS(modif2[budget_N+6],modif2[inter_N+6],regle!$K$11,modif2[[nm_cmmn]:[nm_cmmn]],$A7)</f>
        <v>0</v>
      </c>
      <c r="I7" s="27">
        <f>SUMIFS(modif2[budget_N+7],modif2[inter_N+7],regle!$J$11,modif2[[nm_cmmn]:[nm_cmmn]],$A7)
+SUMIFS(modif2[budget_N+7],modif2[inter_N+7],regle!$K$11,modif2[[nm_cmmn]:[nm_cmmn]],$A7)</f>
        <v>0</v>
      </c>
      <c r="J7" s="27">
        <f>SUMIFS(modif2[budget_N+8],modif2[inter_N+8],regle!$J$11,modif2[[nm_cmmn]:[nm_cmmn]],$A7)
+SUMIFS(modif2[budget_N+8],modif2[inter_N+8],regle!$K$11,modif2[[nm_cmmn]:[nm_cmmn]],$A7)</f>
        <v>0</v>
      </c>
      <c r="K7" s="27">
        <f>SUMIFS(modif2[budget_N+9],modif2[inter_N+9],regle!$J$11,modif2[[nm_cmmn]:[nm_cmmn]],$A7)
+SUMIFS(modif2[budget_N+9],modif2[inter_N+9],regle!$K$11,modif2[[nm_cmmn]:[nm_cmmn]],$A7)</f>
        <v>27907.440000000002</v>
      </c>
      <c r="L7" s="27">
        <f>SUMIFS(modif2[budget_N+10],modif2[inter_N+10],regle!$J$11,modif2[[nm_cmmn]:[nm_cmmn]],$A7)
+SUMIFS(modif2[budget_N+10],modif2[inter_N+10],regle!$K$11,modif2[[nm_cmmn]:[nm_cmmn]],$A7)</f>
        <v>0</v>
      </c>
    </row>
    <row r="8" spans="1:12" ht="15.75" x14ac:dyDescent="0.25">
      <c r="A8" s="32" t="str">
        <f>regle!B41</f>
        <v>GUILLOS</v>
      </c>
      <c r="B8" s="28">
        <f t="shared" si="0"/>
        <v>7138.04</v>
      </c>
      <c r="C8" s="27">
        <f>SUMIFS(modif2[budget_N+1],modif2[inter_N+1],regle!$J$11,modif2[[nm_cmmn]:[nm_cmmn]],$A8)
+SUMIFS(modif2[budget_N+1],modif2[inter_N+1],regle!$K$11,modif2[[nm_cmmn]:[nm_cmmn]],$A8)</f>
        <v>0</v>
      </c>
      <c r="D8" s="27">
        <f>SUMIFS(modif2[budget_N+2],modif2[inter_N+2],regle!$J$11,modif2[[nm_cmmn]:[nm_cmmn]],$A8)
+SUMIFS(modif2[budget_N+2],modif2[inter_N+2],regle!$K$11,modif2[[nm_cmmn]:[nm_cmmn]],$A8)</f>
        <v>0</v>
      </c>
      <c r="E8" s="27">
        <f>SUMIFS(modif2[budget_N+3],modif2[inter_N+3],regle!$J$11,modif2[[nm_cmmn]:[nm_cmmn]],$A8)
+SUMIFS(modif2[budget_N+3],modif2[inter_N+3],regle!$K$11,modif2[[nm_cmmn]:[nm_cmmn]],$A8)</f>
        <v>0</v>
      </c>
      <c r="F8" s="27">
        <f>SUMIFS(modif2[budget_N+4],modif2[inter_N+4],regle!$J$11,modif2[[nm_cmmn]:[nm_cmmn]],$A8)
+SUMIFS(modif2[budget_N+4],modif2[inter_N+4],regle!$K$11,modif2[[nm_cmmn]:[nm_cmmn]],$A8)</f>
        <v>0</v>
      </c>
      <c r="G8" s="27">
        <f>SUMIFS(modif2[budget_N+5],modif2[inter_N+5],regle!$J$11,modif2[[nm_cmmn]:[nm_cmmn]],$A8)
+SUMIFS(modif2[budget_N+5],modif2[inter_N+5],regle!$K$11,modif2[[nm_cmmn]:[nm_cmmn]],$A8)</f>
        <v>0</v>
      </c>
      <c r="H8" s="27">
        <f>SUMIFS(modif2[budget_N+6],modif2[inter_N+6],regle!$J$11,modif2[[nm_cmmn]:[nm_cmmn]],$A8)
+SUMIFS(modif2[budget_N+6],modif2[inter_N+6],regle!$K$11,modif2[[nm_cmmn]:[nm_cmmn]],$A8)</f>
        <v>0</v>
      </c>
      <c r="I8" s="27">
        <f>SUMIFS(modif2[budget_N+7],modif2[inter_N+7],regle!$J$11,modif2[[nm_cmmn]:[nm_cmmn]],$A8)
+SUMIFS(modif2[budget_N+7],modif2[inter_N+7],regle!$K$11,modif2[[nm_cmmn]:[nm_cmmn]],$A8)</f>
        <v>7138.04</v>
      </c>
      <c r="J8" s="27">
        <f>SUMIFS(modif2[budget_N+8],modif2[inter_N+8],regle!$J$11,modif2[[nm_cmmn]:[nm_cmmn]],$A8)
+SUMIFS(modif2[budget_N+8],modif2[inter_N+8],regle!$K$11,modif2[[nm_cmmn]:[nm_cmmn]],$A8)</f>
        <v>0</v>
      </c>
      <c r="K8" s="27">
        <f>SUMIFS(modif2[budget_N+9],modif2[inter_N+9],regle!$J$11,modif2[[nm_cmmn]:[nm_cmmn]],$A8)
+SUMIFS(modif2[budget_N+9],modif2[inter_N+9],regle!$K$11,modif2[[nm_cmmn]:[nm_cmmn]],$A8)</f>
        <v>0</v>
      </c>
      <c r="L8" s="27">
        <f>SUMIFS(modif2[budget_N+10],modif2[inter_N+10],regle!$J$11,modif2[[nm_cmmn]:[nm_cmmn]],$A8)
+SUMIFS(modif2[budget_N+10],modif2[inter_N+10],regle!$K$11,modif2[[nm_cmmn]:[nm_cmmn]],$A8)</f>
        <v>0</v>
      </c>
    </row>
    <row r="9" spans="1:12" ht="15.75" x14ac:dyDescent="0.25">
      <c r="A9" s="32" t="str">
        <f>regle!B42</f>
        <v>MOUSTEY</v>
      </c>
      <c r="B9" s="28">
        <f t="shared" si="0"/>
        <v>2978.56</v>
      </c>
      <c r="C9" s="27">
        <f>SUMIFS(modif2[budget_N+1],modif2[inter_N+1],regle!$J$11,modif2[[nm_cmmn]:[nm_cmmn]],$A9)
+SUMIFS(modif2[budget_N+1],modif2[inter_N+1],regle!$K$11,modif2[[nm_cmmn]:[nm_cmmn]],$A9)</f>
        <v>0</v>
      </c>
      <c r="D9" s="27">
        <f>SUMIFS(modif2[budget_N+2],modif2[inter_N+2],regle!$J$11,modif2[[nm_cmmn]:[nm_cmmn]],$A9)
+SUMIFS(modif2[budget_N+2],modif2[inter_N+2],regle!$K$11,modif2[[nm_cmmn]:[nm_cmmn]],$A9)</f>
        <v>0</v>
      </c>
      <c r="E9" s="27">
        <f>SUMIFS(modif2[budget_N+3],modif2[inter_N+3],regle!$J$11,modif2[[nm_cmmn]:[nm_cmmn]],$A9)
+SUMIFS(modif2[budget_N+3],modif2[inter_N+3],regle!$K$11,modif2[[nm_cmmn]:[nm_cmmn]],$A9)</f>
        <v>0</v>
      </c>
      <c r="F9" s="27">
        <f>SUMIFS(modif2[budget_N+4],modif2[inter_N+4],regle!$J$11,modif2[[nm_cmmn]:[nm_cmmn]],$A9)
+SUMIFS(modif2[budget_N+4],modif2[inter_N+4],regle!$K$11,modif2[[nm_cmmn]:[nm_cmmn]],$A9)</f>
        <v>0</v>
      </c>
      <c r="G9" s="27">
        <f>SUMIFS(modif2[budget_N+5],modif2[inter_N+5],regle!$J$11,modif2[[nm_cmmn]:[nm_cmmn]],$A9)
+SUMIFS(modif2[budget_N+5],modif2[inter_N+5],regle!$K$11,modif2[[nm_cmmn]:[nm_cmmn]],$A9)</f>
        <v>0</v>
      </c>
      <c r="H9" s="27">
        <f>SUMIFS(modif2[budget_N+6],modif2[inter_N+6],regle!$J$11,modif2[[nm_cmmn]:[nm_cmmn]],$A9)
+SUMIFS(modif2[budget_N+6],modif2[inter_N+6],regle!$K$11,modif2[[nm_cmmn]:[nm_cmmn]],$A9)</f>
        <v>0</v>
      </c>
      <c r="I9" s="27">
        <f>SUMIFS(modif2[budget_N+7],modif2[inter_N+7],regle!$J$11,modif2[[nm_cmmn]:[nm_cmmn]],$A9)
+SUMIFS(modif2[budget_N+7],modif2[inter_N+7],regle!$K$11,modif2[[nm_cmmn]:[nm_cmmn]],$A9)</f>
        <v>0</v>
      </c>
      <c r="J9" s="27">
        <f>SUMIFS(modif2[budget_N+8],modif2[inter_N+8],regle!$J$11,modif2[[nm_cmmn]:[nm_cmmn]],$A9)
+SUMIFS(modif2[budget_N+8],modif2[inter_N+8],regle!$K$11,modif2[[nm_cmmn]:[nm_cmmn]],$A9)</f>
        <v>0</v>
      </c>
      <c r="K9" s="27">
        <f>SUMIFS(modif2[budget_N+9],modif2[inter_N+9],regle!$J$11,modif2[[nm_cmmn]:[nm_cmmn]],$A9)
+SUMIFS(modif2[budget_N+9],modif2[inter_N+9],regle!$K$11,modif2[[nm_cmmn]:[nm_cmmn]],$A9)</f>
        <v>0</v>
      </c>
      <c r="L9" s="27">
        <f>SUMIFS(modif2[budget_N+10],modif2[inter_N+10],regle!$J$11,modif2[[nm_cmmn]:[nm_cmmn]],$A9)
+SUMIFS(modif2[budget_N+10],modif2[inter_N+10],regle!$K$11,modif2[[nm_cmmn]:[nm_cmmn]],$A9)</f>
        <v>2978.56</v>
      </c>
    </row>
    <row r="10" spans="1:12" ht="15.75" x14ac:dyDescent="0.25">
      <c r="A10" s="32" t="str">
        <f>regle!B43</f>
        <v>HOSTENS</v>
      </c>
      <c r="B10" s="28">
        <f t="shared" si="0"/>
        <v>458565.51999999996</v>
      </c>
      <c r="C10" s="27">
        <f>SUMIFS(modif2[budget_N+1],modif2[inter_N+1],regle!$J$11,modif2[[nm_cmmn]:[nm_cmmn]],$A10)
+SUMIFS(modif2[budget_N+1],modif2[inter_N+1],regle!$K$11,modif2[[nm_cmmn]:[nm_cmmn]],$A10)</f>
        <v>87672.639999999999</v>
      </c>
      <c r="D10" s="27">
        <f>SUMIFS(modif2[budget_N+2],modif2[inter_N+2],regle!$J$11,modif2[[nm_cmmn]:[nm_cmmn]],$A10)
+SUMIFS(modif2[budget_N+2],modif2[inter_N+2],regle!$K$11,modif2[[nm_cmmn]:[nm_cmmn]],$A10)</f>
        <v>101823.03999999999</v>
      </c>
      <c r="E10" s="27">
        <f>SUMIFS(modif2[budget_N+3],modif2[inter_N+3],regle!$J$11,modif2[[nm_cmmn]:[nm_cmmn]],$A10)
+SUMIFS(modif2[budget_N+3],modif2[inter_N+3],regle!$K$11,modif2[[nm_cmmn]:[nm_cmmn]],$A10)</f>
        <v>0</v>
      </c>
      <c r="F10" s="27">
        <f>SUMIFS(modif2[budget_N+4],modif2[inter_N+4],regle!$J$11,modif2[[nm_cmmn]:[nm_cmmn]],$A10)
+SUMIFS(modif2[budget_N+4],modif2[inter_N+4],regle!$K$11,modif2[[nm_cmmn]:[nm_cmmn]],$A10)</f>
        <v>0</v>
      </c>
      <c r="G10" s="27">
        <f>SUMIFS(modif2[budget_N+5],modif2[inter_N+5],regle!$J$11,modif2[[nm_cmmn]:[nm_cmmn]],$A10)
+SUMIFS(modif2[budget_N+5],modif2[inter_N+5],regle!$K$11,modif2[[nm_cmmn]:[nm_cmmn]],$A10)</f>
        <v>0</v>
      </c>
      <c r="H10" s="27">
        <f>SUMIFS(modif2[budget_N+6],modif2[inter_N+6],regle!$J$11,modif2[[nm_cmmn]:[nm_cmmn]],$A10)
+SUMIFS(modif2[budget_N+6],modif2[inter_N+6],regle!$K$11,modif2[[nm_cmmn]:[nm_cmmn]],$A10)</f>
        <v>90835.159999999974</v>
      </c>
      <c r="I10" s="27">
        <f>SUMIFS(modif2[budget_N+7],modif2[inter_N+7],regle!$J$11,modif2[[nm_cmmn]:[nm_cmmn]],$A10)
+SUMIFS(modif2[budget_N+7],modif2[inter_N+7],regle!$K$11,modif2[[nm_cmmn]:[nm_cmmn]],$A10)</f>
        <v>0</v>
      </c>
      <c r="J10" s="27">
        <f>SUMIFS(modif2[budget_N+8],modif2[inter_N+8],regle!$J$11,modif2[[nm_cmmn]:[nm_cmmn]],$A10)
+SUMIFS(modif2[budget_N+8],modif2[inter_N+8],regle!$K$11,modif2[[nm_cmmn]:[nm_cmmn]],$A10)</f>
        <v>86553.48</v>
      </c>
      <c r="K10" s="27">
        <f>SUMIFS(modif2[budget_N+9],modif2[inter_N+9],regle!$J$11,modif2[[nm_cmmn]:[nm_cmmn]],$A10)
+SUMIFS(modif2[budget_N+9],modif2[inter_N+9],regle!$K$11,modif2[[nm_cmmn]:[nm_cmmn]],$A10)</f>
        <v>53918.799999999996</v>
      </c>
      <c r="L10" s="27">
        <f>SUMIFS(modif2[budget_N+10],modif2[inter_N+10],regle!$J$11,modif2[[nm_cmmn]:[nm_cmmn]],$A10)
+SUMIFS(modif2[budget_N+10],modif2[inter_N+10],regle!$K$11,modif2[[nm_cmmn]:[nm_cmmn]],$A10)</f>
        <v>37762.400000000001</v>
      </c>
    </row>
    <row r="11" spans="1:12" ht="15.75" x14ac:dyDescent="0.25">
      <c r="A11" s="32" t="str">
        <f>regle!B44</f>
        <v>LE TUZAN</v>
      </c>
      <c r="B11" s="28">
        <f t="shared" si="0"/>
        <v>270858.2</v>
      </c>
      <c r="C11" s="27">
        <f>SUMIFS(modif2[budget_N+1],modif2[inter_N+1],regle!$J$11,modif2[[nm_cmmn]:[nm_cmmn]],$A11)
+SUMIFS(modif2[budget_N+1],modif2[inter_N+1],regle!$K$11,modif2[[nm_cmmn]:[nm_cmmn]],$A11)</f>
        <v>0</v>
      </c>
      <c r="D11" s="27">
        <f>SUMIFS(modif2[budget_N+2],modif2[inter_N+2],regle!$J$11,modif2[[nm_cmmn]:[nm_cmmn]],$A11)
+SUMIFS(modif2[budget_N+2],modif2[inter_N+2],regle!$K$11,modif2[[nm_cmmn]:[nm_cmmn]],$A11)</f>
        <v>29757.200000000001</v>
      </c>
      <c r="E11" s="27">
        <f>SUMIFS(modif2[budget_N+3],modif2[inter_N+3],regle!$J$11,modif2[[nm_cmmn]:[nm_cmmn]],$A11)
+SUMIFS(modif2[budget_N+3],modif2[inter_N+3],regle!$K$11,modif2[[nm_cmmn]:[nm_cmmn]],$A11)</f>
        <v>0</v>
      </c>
      <c r="F11" s="27">
        <f>SUMIFS(modif2[budget_N+4],modif2[inter_N+4],regle!$J$11,modif2[[nm_cmmn]:[nm_cmmn]],$A11)
+SUMIFS(modif2[budget_N+4],modif2[inter_N+4],regle!$K$11,modif2[[nm_cmmn]:[nm_cmmn]],$A11)</f>
        <v>0</v>
      </c>
      <c r="G11" s="27">
        <f>SUMIFS(modif2[budget_N+5],modif2[inter_N+5],regle!$J$11,modif2[[nm_cmmn]:[nm_cmmn]],$A11)
+SUMIFS(modif2[budget_N+5],modif2[inter_N+5],regle!$K$11,modif2[[nm_cmmn]:[nm_cmmn]],$A11)</f>
        <v>92873.56</v>
      </c>
      <c r="H11" s="27">
        <f>SUMIFS(modif2[budget_N+6],modif2[inter_N+6],regle!$J$11,modif2[[nm_cmmn]:[nm_cmmn]],$A11)
+SUMIFS(modif2[budget_N+6],modif2[inter_N+6],regle!$K$11,modif2[[nm_cmmn]:[nm_cmmn]],$A11)</f>
        <v>0</v>
      </c>
      <c r="I11" s="27">
        <f>SUMIFS(modif2[budget_N+7],modif2[inter_N+7],regle!$J$11,modif2[[nm_cmmn]:[nm_cmmn]],$A11)
+SUMIFS(modif2[budget_N+7],modif2[inter_N+7],regle!$K$11,modif2[[nm_cmmn]:[nm_cmmn]],$A11)</f>
        <v>93697.12000000001</v>
      </c>
      <c r="J11" s="27">
        <f>SUMIFS(modif2[budget_N+8],modif2[inter_N+8],regle!$J$11,modif2[[nm_cmmn]:[nm_cmmn]],$A11)
+SUMIFS(modif2[budget_N+8],modif2[inter_N+8],regle!$K$11,modif2[[nm_cmmn]:[nm_cmmn]],$A11)</f>
        <v>0</v>
      </c>
      <c r="K11" s="27">
        <f>SUMIFS(modif2[budget_N+9],modif2[inter_N+9],regle!$J$11,modif2[[nm_cmmn]:[nm_cmmn]],$A11)
+SUMIFS(modif2[budget_N+9],modif2[inter_N+9],regle!$K$11,modif2[[nm_cmmn]:[nm_cmmn]],$A11)</f>
        <v>0</v>
      </c>
      <c r="L11" s="27">
        <f>SUMIFS(modif2[budget_N+10],modif2[inter_N+10],regle!$J$11,modif2[[nm_cmmn]:[nm_cmmn]],$A11)
+SUMIFS(modif2[budget_N+10],modif2[inter_N+10],regle!$K$11,modif2[[nm_cmmn]:[nm_cmmn]],$A11)</f>
        <v>54530.320000000007</v>
      </c>
    </row>
    <row r="13" spans="1:12" ht="15.75" x14ac:dyDescent="0.25">
      <c r="K13" s="44" t="s">
        <v>1809</v>
      </c>
      <c r="L13" s="45">
        <f>B5/11</f>
        <v>72882.069090909077</v>
      </c>
    </row>
    <row r="14" spans="1:12" ht="15.75" x14ac:dyDescent="0.25">
      <c r="K14" s="44" t="s">
        <v>15</v>
      </c>
      <c r="L14" s="45">
        <f>AVERAGEIF(D5:L5,"&lt;&gt;0")</f>
        <v>102004.30285714286</v>
      </c>
    </row>
    <row r="15" spans="1:12" x14ac:dyDescent="0.25">
      <c r="L15" s="34"/>
    </row>
    <row r="30" spans="1:13" x14ac:dyDescent="0.25">
      <c r="M30" s="3"/>
    </row>
    <row r="31" spans="1:13" ht="18.75" x14ac:dyDescent="0.3">
      <c r="A31" s="39" t="s">
        <v>1892</v>
      </c>
      <c r="M31" s="3"/>
    </row>
    <row r="32" spans="1:13" ht="15.75" x14ac:dyDescent="0.25">
      <c r="A32" s="30" t="s">
        <v>1816</v>
      </c>
      <c r="B32" s="31" t="s">
        <v>0</v>
      </c>
      <c r="C32" s="31">
        <f t="shared" ref="C32:L32" si="2">C2</f>
        <v>2024</v>
      </c>
      <c r="D32" s="31">
        <f t="shared" si="2"/>
        <v>2025</v>
      </c>
      <c r="E32" s="31">
        <f t="shared" si="2"/>
        <v>2026</v>
      </c>
      <c r="F32" s="31">
        <f t="shared" si="2"/>
        <v>2027</v>
      </c>
      <c r="G32" s="31">
        <f t="shared" si="2"/>
        <v>2028</v>
      </c>
      <c r="H32" s="31">
        <f t="shared" si="2"/>
        <v>2029</v>
      </c>
      <c r="I32" s="31">
        <f t="shared" si="2"/>
        <v>2030</v>
      </c>
      <c r="J32" s="31">
        <f t="shared" si="2"/>
        <v>2031</v>
      </c>
      <c r="K32" s="31">
        <f t="shared" si="2"/>
        <v>2032</v>
      </c>
      <c r="L32" s="31">
        <f t="shared" si="2"/>
        <v>2033</v>
      </c>
      <c r="M32" s="3"/>
    </row>
    <row r="33" spans="1:13" ht="15.75" x14ac:dyDescent="0.25">
      <c r="A33" s="32" t="str">
        <f>A3</f>
        <v>BASE :</v>
      </c>
      <c r="B33" s="37">
        <f t="shared" ref="B33:B41" si="3">SUM(C33:L33)</f>
        <v>24.915099999999999</v>
      </c>
      <c r="C33" s="35">
        <f>SUMIFS(modif0[[srfcH]:[srfcH]],modif0[inter_N+1],regle!$J$11)
+SUMIFS(modif0[[srfcH]:[srfcH]],modif0[inter_N+1],regle!$K$11)</f>
        <v>4.1214999999999993</v>
      </c>
      <c r="D33" s="35">
        <f>SUMIFS(modif0[[srfcH]:[srfcH]],modif0[inter_N+2],regle!$J$11)
+SUMIFS(modif0[[srfcH]:[srfcH]],modif0[inter_N+2],regle!$K$11)</f>
        <v>0</v>
      </c>
      <c r="E33" s="35">
        <f>SUMIFS(modif0[[srfcH]:[srfcH]],modif0[inter_N+3],regle!$J$11)
+SUMIFS(modif0[[srfcH]:[srfcH]],modif0[inter_N+3],regle!$K$11)</f>
        <v>0</v>
      </c>
      <c r="F33" s="35">
        <f>SUMIFS(modif0[[srfcH]:[srfcH]],modif0[inter_N+4],regle!$J$11)
+SUMIFS(modif0[[srfcH]:[srfcH]],modif0[inter_N+4],regle!$K$11)</f>
        <v>17.412099999999999</v>
      </c>
      <c r="G33" s="35">
        <f>SUMIFS(modif0[[srfcH]:[srfcH]],modif0[inter_N+5],regle!$J$11)
+SUMIFS(modif0[[srfcH]:[srfcH]],modif0[inter_N+5],regle!$K$11)</f>
        <v>3.2961</v>
      </c>
      <c r="H33" s="35">
        <f>SUMIFS(modif0[[srfcH]:[srfcH]],modif0[inter_N+6],regle!$J$11)
+SUMIFS(modif0[[srfcH]:[srfcH]],modif0[inter_N+6],regle!$K$11)</f>
        <v>0</v>
      </c>
      <c r="I33" s="35">
        <f>SUMIFS(modif0[[srfcH]:[srfcH]],modif0[inter_N+7],regle!$J$11)
+SUMIFS(modif0[[srfcH]:[srfcH]],modif0[inter_N+7],regle!$K$11)</f>
        <v>8.5400000000000004E-2</v>
      </c>
      <c r="J33" s="35">
        <f>SUMIFS(modif0[[srfcH]:[srfcH]],modif0[inter_N+8],regle!$J$11)
+SUMIFS(modif0[[srfcH]:[srfcH]],modif0[inter_N+8],regle!$K$11)</f>
        <v>0</v>
      </c>
      <c r="K33" s="35">
        <f>SUMIFS(modif0[[srfcH]:[srfcH]],modif0[inter_N+9],regle!$J$11)
+SUMIFS(modif0[[srfcH]:[srfcH]],modif0[inter_N+9],regle!$K$11)</f>
        <v>0</v>
      </c>
      <c r="L33" s="35">
        <f>SUMIFS(modif0[[srfcH]:[srfcH]],modif0[inter_N+10],regle!$J$11)
+SUMIFS(modif0[[srfcH]:[srfcH]],modif0[inter_N+10],regle!$K$11)</f>
        <v>0</v>
      </c>
      <c r="M33" s="3"/>
    </row>
    <row r="34" spans="1:13" ht="15.75" x14ac:dyDescent="0.25">
      <c r="A34" s="32" t="str">
        <f>A4</f>
        <v>MAX :</v>
      </c>
      <c r="B34" s="37">
        <f t="shared" si="3"/>
        <v>127.3579</v>
      </c>
      <c r="C34" s="35">
        <f>SUMIFS(modif1[[srfcH]:[srfcH]],modif1[inter_N+1],regle!$J$11)
+SUMIFS(modif1[[srfcH]:[srfcH]],modif1[inter_N+1],regle!$K$11)</f>
        <v>13.6568</v>
      </c>
      <c r="D34" s="35">
        <f>SUMIFS(modif1[[srfcH]:[srfcH]],modif1[inter_N+2],regle!$J$11)
+SUMIFS(modif1[[srfcH]:[srfcH]],modif1[inter_N+2],regle!$K$11)</f>
        <v>11.2583</v>
      </c>
      <c r="E34" s="35">
        <f>SUMIFS(modif1[[srfcH]:[srfcH]],modif1[inter_N+3],regle!$J$11)
+SUMIFS(modif1[[srfcH]:[srfcH]],modif1[inter_N+3],regle!$K$11)</f>
        <v>0</v>
      </c>
      <c r="F34" s="35">
        <f>SUMIFS(modif1[[srfcH]:[srfcH]],modif1[inter_N+4],regle!$J$11)
+SUMIFS(modif1[[srfcH]:[srfcH]],modif1[inter_N+4],regle!$K$11)</f>
        <v>0</v>
      </c>
      <c r="G34" s="35">
        <f>SUMIFS(modif1[[srfcH]:[srfcH]],modif1[inter_N+5],regle!$J$11)
+SUMIFS(modif1[[srfcH]:[srfcH]],modif1[inter_N+5],regle!$K$11)</f>
        <v>17.860299999999999</v>
      </c>
      <c r="H34" s="35">
        <f>SUMIFS(modif1[[srfcH]:[srfcH]],modif1[inter_N+6],regle!$J$11)
+SUMIFS(modif1[[srfcH]:[srfcH]],modif1[inter_N+6],regle!$K$11)</f>
        <v>17.468300000000003</v>
      </c>
      <c r="I34" s="35">
        <f>SUMIFS(modif1[[srfcH]:[srfcH]],modif1[inter_N+7],regle!$J$11)
+SUMIFS(modif1[[srfcH]:[srfcH]],modif1[inter_N+7],regle!$K$11)</f>
        <v>17.424599999999998</v>
      </c>
      <c r="J34" s="35">
        <f>SUMIFS(modif1[[srfcH]:[srfcH]],modif1[inter_N+8],regle!$J$11)
+SUMIFS(modif1[[srfcH]:[srfcH]],modif1[inter_N+8],regle!$K$11)</f>
        <v>16.6449</v>
      </c>
      <c r="K34" s="35">
        <f>SUMIFS(modif1[[srfcH]:[srfcH]],modif1[inter_N+9],regle!$J$11)
+SUMIFS(modif1[[srfcH]:[srfcH]],modif1[inter_N+9],regle!$K$11)</f>
        <v>15.3912</v>
      </c>
      <c r="L34" s="35">
        <f>SUMIFS(modif1[[srfcH]:[srfcH]],modif1[inter_N+10],regle!$J$11)
+SUMIFS(modif1[[srfcH]:[srfcH]],modif1[inter_N+10],regle!$K$11)</f>
        <v>17.653500000000001</v>
      </c>
      <c r="M34" s="3"/>
    </row>
    <row r="35" spans="1:13" ht="15.75" x14ac:dyDescent="0.25">
      <c r="A35" s="29" t="s">
        <v>1810</v>
      </c>
      <c r="B35" s="37">
        <f t="shared" si="3"/>
        <v>127.35789999999999</v>
      </c>
      <c r="C35" s="38">
        <f t="shared" ref="C35:L35" si="4">SUM(C36:C41)</f>
        <v>9.9627999999999997</v>
      </c>
      <c r="D35" s="38">
        <f t="shared" si="4"/>
        <v>14.952300000000001</v>
      </c>
      <c r="E35" s="38">
        <f t="shared" si="4"/>
        <v>0</v>
      </c>
      <c r="F35" s="38">
        <f t="shared" si="4"/>
        <v>0</v>
      </c>
      <c r="G35" s="38">
        <f t="shared" si="4"/>
        <v>17.860299999999999</v>
      </c>
      <c r="H35" s="38">
        <f t="shared" si="4"/>
        <v>17.468300000000003</v>
      </c>
      <c r="I35" s="38">
        <f t="shared" si="4"/>
        <v>17.424599999999998</v>
      </c>
      <c r="J35" s="38">
        <f t="shared" si="4"/>
        <v>16.6449</v>
      </c>
      <c r="K35" s="38">
        <f t="shared" si="4"/>
        <v>14.7233</v>
      </c>
      <c r="L35" s="38">
        <f t="shared" si="4"/>
        <v>18.321400000000001</v>
      </c>
      <c r="M35" s="3"/>
    </row>
    <row r="36" spans="1:13" ht="15.75" x14ac:dyDescent="0.25">
      <c r="A36" s="32" t="str">
        <f t="shared" ref="A36:A41" si="5">A6</f>
        <v>CABANAC-ET-VILLAGRAINS</v>
      </c>
      <c r="B36" s="37">
        <f t="shared" si="3"/>
        <v>6.5874999999999995</v>
      </c>
      <c r="C36" s="36">
        <f>SUMIFS(modif2[[srfcH]:[srfcH]],modif2[inter_N+1],regle!$J$11,modif2[[nm_cmmn]:[nm_cmmn]],$A36)
+SUMIFS(modif2[[srfcH]:[srfcH]],modif2[inter_N+1],regle!$K$11,modif2[[nm_cmmn]:[nm_cmmn]],$A36)</f>
        <v>0</v>
      </c>
      <c r="D36" s="36">
        <f>SUMIFS(modif2[[srfcH]:[srfcH]],modif2[inter_N+2],regle!$J$11,modif2[[nm_cmmn]:[nm_cmmn]],$A36)
+SUMIFS(modif2[[srfcH]:[srfcH]],modif2[inter_N+2],regle!$K$11,modif2[[nm_cmmn]:[nm_cmmn]],$A36)</f>
        <v>0</v>
      </c>
      <c r="E36" s="36">
        <f>SUMIFS(modif2[[srfcH]:[srfcH]],modif2[inter_N+3],regle!$J$11,modif2[[nm_cmmn]:[nm_cmmn]],$A36)
+SUMIFS(modif2[[srfcH]:[srfcH]],modif2[inter_N+3],regle!$K$11,modif2[[nm_cmmn]:[nm_cmmn]],$A36)</f>
        <v>0</v>
      </c>
      <c r="F36" s="36">
        <f>SUMIFS(modif2[[srfcH]:[srfcH]],modif2[inter_N+4],regle!$J$11,modif2[[nm_cmmn]:[nm_cmmn]],$A36)
+SUMIFS(modif2[[srfcH]:[srfcH]],modif2[inter_N+4],regle!$K$11,modif2[[nm_cmmn]:[nm_cmmn]],$A36)</f>
        <v>0</v>
      </c>
      <c r="G36" s="36">
        <f>SUMIFS(modif2[[srfcH]:[srfcH]],modif2[inter_N+5],regle!$J$11,modif2[[nm_cmmn]:[nm_cmmn]],$A36)
+SUMIFS(modif2[[srfcH]:[srfcH]],modif2[inter_N+5],regle!$K$11,modif2[[nm_cmmn]:[nm_cmmn]],$A36)</f>
        <v>0</v>
      </c>
      <c r="H36" s="36">
        <f>SUMIFS(modif2[[srfcH]:[srfcH]],modif2[inter_N+6],regle!$J$11,modif2[[nm_cmmn]:[nm_cmmn]],$A36)
+SUMIFS(modif2[[srfcH]:[srfcH]],modif2[inter_N+6],regle!$K$11,modif2[[nm_cmmn]:[nm_cmmn]],$A36)</f>
        <v>0</v>
      </c>
      <c r="I36" s="36">
        <f>SUMIFS(modif2[[srfcH]:[srfcH]],modif2[inter_N+7],regle!$J$11,modif2[[nm_cmmn]:[nm_cmmn]],$A36)
+SUMIFS(modif2[[srfcH]:[srfcH]],modif2[inter_N+7],regle!$K$11,modif2[[nm_cmmn]:[nm_cmmn]],$A36)</f>
        <v>5.4044999999999996</v>
      </c>
      <c r="J36" s="36">
        <f>SUMIFS(modif2[[srfcH]:[srfcH]],modif2[inter_N+8],regle!$J$11,modif2[[nm_cmmn]:[nm_cmmn]],$A36)
+SUMIFS(modif2[[srfcH]:[srfcH]],modif2[inter_N+8],regle!$K$11,modif2[[nm_cmmn]:[nm_cmmn]],$A36)</f>
        <v>0</v>
      </c>
      <c r="K36" s="36">
        <f>SUMIFS(modif2[[srfcH]:[srfcH]],modif2[inter_N+9],regle!$J$11,modif2[[nm_cmmn]:[nm_cmmn]],$A36)
+SUMIFS(modif2[[srfcH]:[srfcH]],modif2[inter_N+9],regle!$K$11,modif2[[nm_cmmn]:[nm_cmmn]],$A36)</f>
        <v>1.1830000000000001</v>
      </c>
      <c r="L36" s="36">
        <f>SUMIFS(modif2[[srfcH]:[srfcH]],modif2[inter_N+10],regle!$J$11,modif2[[nm_cmmn]:[nm_cmmn]],$A36)
+SUMIFS(modif2[[srfcH]:[srfcH]],modif2[inter_N+10],regle!$K$11,modif2[[nm_cmmn]:[nm_cmmn]],$A36)</f>
        <v>0</v>
      </c>
      <c r="M36" s="3"/>
    </row>
    <row r="37" spans="1:13" ht="15.75" x14ac:dyDescent="0.25">
      <c r="A37" s="32" t="str">
        <f t="shared" si="5"/>
        <v>MANO</v>
      </c>
      <c r="B37" s="37">
        <f t="shared" si="3"/>
        <v>3.1713000000000005</v>
      </c>
      <c r="C37" s="36">
        <f>SUMIFS(modif2[[srfcH]:[srfcH]],modif2[inter_N+1],regle!$J$11,modif2[[nm_cmmn]:[nm_cmmn]],$A37)
+SUMIFS(modif2[[srfcH]:[srfcH]],modif2[inter_N+1],regle!$K$11,modif2[[nm_cmmn]:[nm_cmmn]],$A37)</f>
        <v>0</v>
      </c>
      <c r="D37" s="36">
        <f>SUMIFS(modif2[[srfcH]:[srfcH]],modif2[inter_N+2],regle!$J$11,modif2[[nm_cmmn]:[nm_cmmn]],$A37)
+SUMIFS(modif2[[srfcH]:[srfcH]],modif2[inter_N+2],regle!$K$11,modif2[[nm_cmmn]:[nm_cmmn]],$A37)</f>
        <v>0</v>
      </c>
      <c r="E37" s="36">
        <f>SUMIFS(modif2[[srfcH]:[srfcH]],modif2[inter_N+3],regle!$J$11,modif2[[nm_cmmn]:[nm_cmmn]],$A37)
+SUMIFS(modif2[[srfcH]:[srfcH]],modif2[inter_N+3],regle!$K$11,modif2[[nm_cmmn]:[nm_cmmn]],$A37)</f>
        <v>0</v>
      </c>
      <c r="F37" s="36">
        <f>SUMIFS(modif2[[srfcH]:[srfcH]],modif2[inter_N+4],regle!$J$11,modif2[[nm_cmmn]:[nm_cmmn]],$A37)
+SUMIFS(modif2[[srfcH]:[srfcH]],modif2[inter_N+4],regle!$K$11,modif2[[nm_cmmn]:[nm_cmmn]],$A37)</f>
        <v>0</v>
      </c>
      <c r="G37" s="36">
        <f>SUMIFS(modif2[[srfcH]:[srfcH]],modif2[inter_N+5],regle!$J$11,modif2[[nm_cmmn]:[nm_cmmn]],$A37)
+SUMIFS(modif2[[srfcH]:[srfcH]],modif2[inter_N+5],regle!$K$11,modif2[[nm_cmmn]:[nm_cmmn]],$A37)</f>
        <v>0</v>
      </c>
      <c r="H37" s="36">
        <f>SUMIFS(modif2[[srfcH]:[srfcH]],modif2[inter_N+6],regle!$J$11,modif2[[nm_cmmn]:[nm_cmmn]],$A37)
+SUMIFS(modif2[[srfcH]:[srfcH]],modif2[inter_N+6],regle!$K$11,modif2[[nm_cmmn]:[nm_cmmn]],$A37)</f>
        <v>0</v>
      </c>
      <c r="I37" s="36">
        <f>SUMIFS(modif2[[srfcH]:[srfcH]],modif2[inter_N+7],regle!$J$11,modif2[[nm_cmmn]:[nm_cmmn]],$A37)
+SUMIFS(modif2[[srfcH]:[srfcH]],modif2[inter_N+7],regle!$K$11,modif2[[nm_cmmn]:[nm_cmmn]],$A37)</f>
        <v>0</v>
      </c>
      <c r="J37" s="36">
        <f>SUMIFS(modif2[[srfcH]:[srfcH]],modif2[inter_N+8],regle!$J$11,modif2[[nm_cmmn]:[nm_cmmn]],$A37)
+SUMIFS(modif2[[srfcH]:[srfcH]],modif2[inter_N+8],regle!$K$11,modif2[[nm_cmmn]:[nm_cmmn]],$A37)</f>
        <v>0</v>
      </c>
      <c r="K37" s="36">
        <f>SUMIFS(modif2[[srfcH]:[srfcH]],modif2[inter_N+9],regle!$J$11,modif2[[nm_cmmn]:[nm_cmmn]],$A37)
+SUMIFS(modif2[[srfcH]:[srfcH]],modif2[inter_N+9],regle!$K$11,modif2[[nm_cmmn]:[nm_cmmn]],$A37)</f>
        <v>3.1713000000000005</v>
      </c>
      <c r="L37" s="36">
        <f>SUMIFS(modif2[[srfcH]:[srfcH]],modif2[inter_N+10],regle!$J$11,modif2[[nm_cmmn]:[nm_cmmn]],$A37)
+SUMIFS(modif2[[srfcH]:[srfcH]],modif2[inter_N+10],regle!$K$11,modif2[[nm_cmmn]:[nm_cmmn]],$A37)</f>
        <v>0</v>
      </c>
    </row>
    <row r="38" spans="1:13" ht="15.75" x14ac:dyDescent="0.25">
      <c r="A38" s="32" t="str">
        <f t="shared" si="5"/>
        <v>GUILLOS</v>
      </c>
      <c r="B38" s="37">
        <f t="shared" si="3"/>
        <v>1.3727</v>
      </c>
      <c r="C38" s="36">
        <f>SUMIFS(modif2[[srfcH]:[srfcH]],modif2[inter_N+1],regle!$J$11,modif2[[nm_cmmn]:[nm_cmmn]],$A38)
+SUMIFS(modif2[[srfcH]:[srfcH]],modif2[inter_N+1],regle!$K$11,modif2[[nm_cmmn]:[nm_cmmn]],$A38)</f>
        <v>0</v>
      </c>
      <c r="D38" s="36">
        <f>SUMIFS(modif2[[srfcH]:[srfcH]],modif2[inter_N+2],regle!$J$11,modif2[[nm_cmmn]:[nm_cmmn]],$A38)
+SUMIFS(modif2[[srfcH]:[srfcH]],modif2[inter_N+2],regle!$K$11,modif2[[nm_cmmn]:[nm_cmmn]],$A38)</f>
        <v>0</v>
      </c>
      <c r="E38" s="36">
        <f>SUMIFS(modif2[[srfcH]:[srfcH]],modif2[inter_N+3],regle!$J$11,modif2[[nm_cmmn]:[nm_cmmn]],$A38)
+SUMIFS(modif2[[srfcH]:[srfcH]],modif2[inter_N+3],regle!$K$11,modif2[[nm_cmmn]:[nm_cmmn]],$A38)</f>
        <v>0</v>
      </c>
      <c r="F38" s="36">
        <f>SUMIFS(modif2[[srfcH]:[srfcH]],modif2[inter_N+4],regle!$J$11,modif2[[nm_cmmn]:[nm_cmmn]],$A38)
+SUMIFS(modif2[[srfcH]:[srfcH]],modif2[inter_N+4],regle!$K$11,modif2[[nm_cmmn]:[nm_cmmn]],$A38)</f>
        <v>0</v>
      </c>
      <c r="G38" s="36">
        <f>SUMIFS(modif2[[srfcH]:[srfcH]],modif2[inter_N+5],regle!$J$11,modif2[[nm_cmmn]:[nm_cmmn]],$A38)
+SUMIFS(modif2[[srfcH]:[srfcH]],modif2[inter_N+5],regle!$K$11,modif2[[nm_cmmn]:[nm_cmmn]],$A38)</f>
        <v>0</v>
      </c>
      <c r="H38" s="36">
        <f>SUMIFS(modif2[[srfcH]:[srfcH]],modif2[inter_N+6],regle!$J$11,modif2[[nm_cmmn]:[nm_cmmn]],$A38)
+SUMIFS(modif2[[srfcH]:[srfcH]],modif2[inter_N+6],regle!$K$11,modif2[[nm_cmmn]:[nm_cmmn]],$A38)</f>
        <v>0</v>
      </c>
      <c r="I38" s="36">
        <f>SUMIFS(modif2[[srfcH]:[srfcH]],modif2[inter_N+7],regle!$J$11,modif2[[nm_cmmn]:[nm_cmmn]],$A38)
+SUMIFS(modif2[[srfcH]:[srfcH]],modif2[inter_N+7],regle!$K$11,modif2[[nm_cmmn]:[nm_cmmn]],$A38)</f>
        <v>1.3727</v>
      </c>
      <c r="J38" s="36">
        <f>SUMIFS(modif2[[srfcH]:[srfcH]],modif2[inter_N+8],regle!$J$11,modif2[[nm_cmmn]:[nm_cmmn]],$A38)
+SUMIFS(modif2[[srfcH]:[srfcH]],modif2[inter_N+8],regle!$K$11,modif2[[nm_cmmn]:[nm_cmmn]],$A38)</f>
        <v>0</v>
      </c>
      <c r="K38" s="36">
        <f>SUMIFS(modif2[[srfcH]:[srfcH]],modif2[inter_N+9],regle!$J$11,modif2[[nm_cmmn]:[nm_cmmn]],$A38)
+SUMIFS(modif2[[srfcH]:[srfcH]],modif2[inter_N+9],regle!$K$11,modif2[[nm_cmmn]:[nm_cmmn]],$A38)</f>
        <v>0</v>
      </c>
      <c r="L38" s="36">
        <f>SUMIFS(modif2[[srfcH]:[srfcH]],modif2[inter_N+10],regle!$J$11,modif2[[nm_cmmn]:[nm_cmmn]],$A38)
+SUMIFS(modif2[[srfcH]:[srfcH]],modif2[inter_N+10],regle!$K$11,modif2[[nm_cmmn]:[nm_cmmn]],$A38)</f>
        <v>0</v>
      </c>
    </row>
    <row r="39" spans="1:13" ht="15.75" x14ac:dyDescent="0.25">
      <c r="A39" s="32" t="str">
        <f t="shared" si="5"/>
        <v>MOUSTEY</v>
      </c>
      <c r="B39" s="37">
        <f t="shared" si="3"/>
        <v>0.57279999999999998</v>
      </c>
      <c r="C39" s="36">
        <f>SUMIFS(modif2[[srfcH]:[srfcH]],modif2[inter_N+1],regle!$J$11,modif2[[nm_cmmn]:[nm_cmmn]],$A39)
+SUMIFS(modif2[[srfcH]:[srfcH]],modif2[inter_N+1],regle!$K$11,modif2[[nm_cmmn]:[nm_cmmn]],$A39)</f>
        <v>0</v>
      </c>
      <c r="D39" s="36">
        <f>SUMIFS(modif2[[srfcH]:[srfcH]],modif2[inter_N+2],regle!$J$11,modif2[[nm_cmmn]:[nm_cmmn]],$A39)
+SUMIFS(modif2[[srfcH]:[srfcH]],modif2[inter_N+2],regle!$K$11,modif2[[nm_cmmn]:[nm_cmmn]],$A39)</f>
        <v>0</v>
      </c>
      <c r="E39" s="36">
        <f>SUMIFS(modif2[[srfcH]:[srfcH]],modif2[inter_N+3],regle!$J$11,modif2[[nm_cmmn]:[nm_cmmn]],$A39)
+SUMIFS(modif2[[srfcH]:[srfcH]],modif2[inter_N+3],regle!$K$11,modif2[[nm_cmmn]:[nm_cmmn]],$A39)</f>
        <v>0</v>
      </c>
      <c r="F39" s="36">
        <f>SUMIFS(modif2[[srfcH]:[srfcH]],modif2[inter_N+4],regle!$J$11,modif2[[nm_cmmn]:[nm_cmmn]],$A39)
+SUMIFS(modif2[[srfcH]:[srfcH]],modif2[inter_N+4],regle!$K$11,modif2[[nm_cmmn]:[nm_cmmn]],$A39)</f>
        <v>0</v>
      </c>
      <c r="G39" s="36">
        <f>SUMIFS(modif2[[srfcH]:[srfcH]],modif2[inter_N+5],regle!$J$11,modif2[[nm_cmmn]:[nm_cmmn]],$A39)
+SUMIFS(modif2[[srfcH]:[srfcH]],modif2[inter_N+5],regle!$K$11,modif2[[nm_cmmn]:[nm_cmmn]],$A39)</f>
        <v>0</v>
      </c>
      <c r="H39" s="36">
        <f>SUMIFS(modif2[[srfcH]:[srfcH]],modif2[inter_N+6],regle!$J$11,modif2[[nm_cmmn]:[nm_cmmn]],$A39)
+SUMIFS(modif2[[srfcH]:[srfcH]],modif2[inter_N+6],regle!$K$11,modif2[[nm_cmmn]:[nm_cmmn]],$A39)</f>
        <v>0</v>
      </c>
      <c r="I39" s="36">
        <f>SUMIFS(modif2[[srfcH]:[srfcH]],modif2[inter_N+7],regle!$J$11,modif2[[nm_cmmn]:[nm_cmmn]],$A39)
+SUMIFS(modif2[[srfcH]:[srfcH]],modif2[inter_N+7],regle!$K$11,modif2[[nm_cmmn]:[nm_cmmn]],$A39)</f>
        <v>0</v>
      </c>
      <c r="J39" s="36">
        <f>SUMIFS(modif2[[srfcH]:[srfcH]],modif2[inter_N+8],regle!$J$11,modif2[[nm_cmmn]:[nm_cmmn]],$A39)
+SUMIFS(modif2[[srfcH]:[srfcH]],modif2[inter_N+8],regle!$K$11,modif2[[nm_cmmn]:[nm_cmmn]],$A39)</f>
        <v>0</v>
      </c>
      <c r="K39" s="36">
        <f>SUMIFS(modif2[[srfcH]:[srfcH]],modif2[inter_N+9],regle!$J$11,modif2[[nm_cmmn]:[nm_cmmn]],$A39)
+SUMIFS(modif2[[srfcH]:[srfcH]],modif2[inter_N+9],regle!$K$11,modif2[[nm_cmmn]:[nm_cmmn]],$A39)</f>
        <v>0</v>
      </c>
      <c r="L39" s="36">
        <f>SUMIFS(modif2[[srfcH]:[srfcH]],modif2[inter_N+10],regle!$J$11,modif2[[nm_cmmn]:[nm_cmmn]],$A39)
+SUMIFS(modif2[[srfcH]:[srfcH]],modif2[inter_N+10],regle!$K$11,modif2[[nm_cmmn]:[nm_cmmn]],$A39)</f>
        <v>0.57279999999999998</v>
      </c>
    </row>
    <row r="40" spans="1:13" ht="15.75" x14ac:dyDescent="0.25">
      <c r="A40" s="32" t="str">
        <f t="shared" si="5"/>
        <v>HOSTENS</v>
      </c>
      <c r="B40" s="37">
        <f t="shared" si="3"/>
        <v>73.277800000000013</v>
      </c>
      <c r="C40" s="36">
        <f>SUMIFS(modif2[[srfcH]:[srfcH]],modif2[inter_N+1],regle!$J$11,modif2[[nm_cmmn]:[nm_cmmn]],$A40)
+SUMIFS(modif2[[srfcH]:[srfcH]],modif2[inter_N+1],regle!$K$11,modif2[[nm_cmmn]:[nm_cmmn]],$A40)</f>
        <v>9.9627999999999997</v>
      </c>
      <c r="D40" s="36">
        <f>SUMIFS(modif2[[srfcH]:[srfcH]],modif2[inter_N+2],regle!$J$11,modif2[[nm_cmmn]:[nm_cmmn]],$A40)
+SUMIFS(modif2[[srfcH]:[srfcH]],modif2[inter_N+2],regle!$K$11,modif2[[nm_cmmn]:[nm_cmmn]],$A40)</f>
        <v>11.5708</v>
      </c>
      <c r="E40" s="36">
        <f>SUMIFS(modif2[[srfcH]:[srfcH]],modif2[inter_N+3],regle!$J$11,modif2[[nm_cmmn]:[nm_cmmn]],$A40)
+SUMIFS(modif2[[srfcH]:[srfcH]],modif2[inter_N+3],regle!$K$11,modif2[[nm_cmmn]:[nm_cmmn]],$A40)</f>
        <v>0</v>
      </c>
      <c r="F40" s="36">
        <f>SUMIFS(modif2[[srfcH]:[srfcH]],modif2[inter_N+4],regle!$J$11,modif2[[nm_cmmn]:[nm_cmmn]],$A40)
+SUMIFS(modif2[[srfcH]:[srfcH]],modif2[inter_N+4],regle!$K$11,modif2[[nm_cmmn]:[nm_cmmn]],$A40)</f>
        <v>0</v>
      </c>
      <c r="G40" s="36">
        <f>SUMIFS(modif2[[srfcH]:[srfcH]],modif2[inter_N+5],regle!$J$11,modif2[[nm_cmmn]:[nm_cmmn]],$A40)
+SUMIFS(modif2[[srfcH]:[srfcH]],modif2[inter_N+5],regle!$K$11,modif2[[nm_cmmn]:[nm_cmmn]],$A40)</f>
        <v>0</v>
      </c>
      <c r="H40" s="36">
        <f>SUMIFS(modif2[[srfcH]:[srfcH]],modif2[inter_N+6],regle!$J$11,modif2[[nm_cmmn]:[nm_cmmn]],$A40)
+SUMIFS(modif2[[srfcH]:[srfcH]],modif2[inter_N+6],regle!$K$11,modif2[[nm_cmmn]:[nm_cmmn]],$A40)</f>
        <v>17.468300000000003</v>
      </c>
      <c r="I40" s="36">
        <f>SUMIFS(modif2[[srfcH]:[srfcH]],modif2[inter_N+7],regle!$J$11,modif2[[nm_cmmn]:[nm_cmmn]],$A40)
+SUMIFS(modif2[[srfcH]:[srfcH]],modif2[inter_N+7],regle!$K$11,modif2[[nm_cmmn]:[nm_cmmn]],$A40)</f>
        <v>0</v>
      </c>
      <c r="J40" s="36">
        <f>SUMIFS(modif2[[srfcH]:[srfcH]],modif2[inter_N+8],regle!$J$11,modif2[[nm_cmmn]:[nm_cmmn]],$A40)
+SUMIFS(modif2[[srfcH]:[srfcH]],modif2[inter_N+8],regle!$K$11,modif2[[nm_cmmn]:[nm_cmmn]],$A40)</f>
        <v>16.6449</v>
      </c>
      <c r="K40" s="36">
        <f>SUMIFS(modif2[[srfcH]:[srfcH]],modif2[inter_N+9],regle!$J$11,modif2[[nm_cmmn]:[nm_cmmn]],$A40)
+SUMIFS(modif2[[srfcH]:[srfcH]],modif2[inter_N+9],regle!$K$11,modif2[[nm_cmmn]:[nm_cmmn]],$A40)</f>
        <v>10.369</v>
      </c>
      <c r="L40" s="36">
        <f>SUMIFS(modif2[[srfcH]:[srfcH]],modif2[inter_N+10],regle!$J$11,modif2[[nm_cmmn]:[nm_cmmn]],$A40)
+SUMIFS(modif2[[srfcH]:[srfcH]],modif2[inter_N+10],regle!$K$11,modif2[[nm_cmmn]:[nm_cmmn]],$A40)</f>
        <v>7.2619999999999996</v>
      </c>
    </row>
    <row r="41" spans="1:13" ht="15.75" x14ac:dyDescent="0.25">
      <c r="A41" s="32" t="str">
        <f t="shared" si="5"/>
        <v>LE TUZAN</v>
      </c>
      <c r="B41" s="37">
        <f t="shared" si="3"/>
        <v>42.375799999999998</v>
      </c>
      <c r="C41" s="36">
        <f>SUMIFS(modif2[[srfcH]:[srfcH]],modif2[inter_N+1],regle!$J$11,modif2[[nm_cmmn]:[nm_cmmn]],$A41)
+SUMIFS(modif2[[srfcH]:[srfcH]],modif2[inter_N+1],regle!$K$11,modif2[[nm_cmmn]:[nm_cmmn]],$A41)</f>
        <v>0</v>
      </c>
      <c r="D41" s="36">
        <f>SUMIFS(modif2[[srfcH]:[srfcH]],modif2[inter_N+2],regle!$J$11,modif2[[nm_cmmn]:[nm_cmmn]],$A41)
+SUMIFS(modif2[[srfcH]:[srfcH]],modif2[inter_N+2],regle!$K$11,modif2[[nm_cmmn]:[nm_cmmn]],$A41)</f>
        <v>3.3815</v>
      </c>
      <c r="E41" s="36">
        <f>SUMIFS(modif2[[srfcH]:[srfcH]],modif2[inter_N+3],regle!$J$11,modif2[[nm_cmmn]:[nm_cmmn]],$A41)
+SUMIFS(modif2[[srfcH]:[srfcH]],modif2[inter_N+3],regle!$K$11,modif2[[nm_cmmn]:[nm_cmmn]],$A41)</f>
        <v>0</v>
      </c>
      <c r="F41" s="36">
        <f>SUMIFS(modif2[[srfcH]:[srfcH]],modif2[inter_N+4],regle!$J$11,modif2[[nm_cmmn]:[nm_cmmn]],$A41)
+SUMIFS(modif2[[srfcH]:[srfcH]],modif2[inter_N+4],regle!$K$11,modif2[[nm_cmmn]:[nm_cmmn]],$A41)</f>
        <v>0</v>
      </c>
      <c r="G41" s="36">
        <f>SUMIFS(modif2[[srfcH]:[srfcH]],modif2[inter_N+5],regle!$J$11,modif2[[nm_cmmn]:[nm_cmmn]],$A41)
+SUMIFS(modif2[[srfcH]:[srfcH]],modif2[inter_N+5],regle!$K$11,modif2[[nm_cmmn]:[nm_cmmn]],$A41)</f>
        <v>17.860299999999999</v>
      </c>
      <c r="H41" s="36">
        <f>SUMIFS(modif2[[srfcH]:[srfcH]],modif2[inter_N+6],regle!$J$11,modif2[[nm_cmmn]:[nm_cmmn]],$A41)
+SUMIFS(modif2[[srfcH]:[srfcH]],modif2[inter_N+6],regle!$K$11,modif2[[nm_cmmn]:[nm_cmmn]],$A41)</f>
        <v>0</v>
      </c>
      <c r="I41" s="36">
        <f>SUMIFS(modif2[[srfcH]:[srfcH]],modif2[inter_N+7],regle!$J$11,modif2[[nm_cmmn]:[nm_cmmn]],$A41)
+SUMIFS(modif2[[srfcH]:[srfcH]],modif2[inter_N+7],regle!$K$11,modif2[[nm_cmmn]:[nm_cmmn]],$A41)</f>
        <v>10.647399999999999</v>
      </c>
      <c r="J41" s="36">
        <f>SUMIFS(modif2[[srfcH]:[srfcH]],modif2[inter_N+8],regle!$J$11,modif2[[nm_cmmn]:[nm_cmmn]],$A41)
+SUMIFS(modif2[[srfcH]:[srfcH]],modif2[inter_N+8],regle!$K$11,modif2[[nm_cmmn]:[nm_cmmn]],$A41)</f>
        <v>0</v>
      </c>
      <c r="K41" s="36">
        <f>SUMIFS(modif2[[srfcH]:[srfcH]],modif2[inter_N+9],regle!$J$11,modif2[[nm_cmmn]:[nm_cmmn]],$A41)
+SUMIFS(modif2[[srfcH]:[srfcH]],modif2[inter_N+9],regle!$K$11,modif2[[nm_cmmn]:[nm_cmmn]],$A41)</f>
        <v>0</v>
      </c>
      <c r="L41" s="36">
        <f>SUMIFS(modif2[[srfcH]:[srfcH]],modif2[inter_N+10],regle!$J$11,modif2[[nm_cmmn]:[nm_cmmn]],$A41)
+SUMIFS(modif2[[srfcH]:[srfcH]],modif2[inter_N+10],regle!$K$11,modif2[[nm_cmmn]:[nm_cmmn]],$A41)</f>
        <v>10.486600000000001</v>
      </c>
    </row>
    <row r="43" spans="1:13" ht="18.75" x14ac:dyDescent="0.3">
      <c r="A43" s="39" t="s">
        <v>1893</v>
      </c>
    </row>
    <row r="44" spans="1:13" ht="15.75" x14ac:dyDescent="0.25">
      <c r="A44" s="30" t="s">
        <v>1816</v>
      </c>
      <c r="B44" s="31" t="s">
        <v>0</v>
      </c>
      <c r="C44" s="31">
        <f>C32</f>
        <v>2024</v>
      </c>
      <c r="D44" s="31">
        <f t="shared" ref="D44:L44" si="6">D32</f>
        <v>2025</v>
      </c>
      <c r="E44" s="31">
        <f t="shared" si="6"/>
        <v>2026</v>
      </c>
      <c r="F44" s="31">
        <f t="shared" si="6"/>
        <v>2027</v>
      </c>
      <c r="G44" s="31">
        <f t="shared" si="6"/>
        <v>2028</v>
      </c>
      <c r="H44" s="31">
        <f t="shared" si="6"/>
        <v>2029</v>
      </c>
      <c r="I44" s="31">
        <f t="shared" si="6"/>
        <v>2030</v>
      </c>
      <c r="J44" s="31">
        <f t="shared" si="6"/>
        <v>2031</v>
      </c>
      <c r="K44" s="31">
        <f t="shared" si="6"/>
        <v>2032</v>
      </c>
      <c r="L44" s="31">
        <f t="shared" si="6"/>
        <v>2033</v>
      </c>
    </row>
    <row r="45" spans="1:13" ht="15.75" x14ac:dyDescent="0.25">
      <c r="A45" s="32" t="str">
        <f>A33</f>
        <v>BASE :</v>
      </c>
      <c r="B45" s="40">
        <f t="shared" ref="B45:B53" si="7">SUM(C45:L45)</f>
        <v>108</v>
      </c>
      <c r="C45" s="41">
        <f>COUNTIFS(modif0[inter_N+1],regle!$B$11)</f>
        <v>94</v>
      </c>
      <c r="D45" s="41">
        <f>COUNTIFS(modif0[inter_N+2],regle!$B$11)</f>
        <v>0</v>
      </c>
      <c r="E45" s="41">
        <f>COUNTIFS(modif0[inter_N+3],regle!$B$11)</f>
        <v>3</v>
      </c>
      <c r="F45" s="41">
        <f>COUNTIFS(modif0[inter_N+4],regle!$B$11)</f>
        <v>0</v>
      </c>
      <c r="G45" s="41">
        <f>COUNTIFS(modif0[inter_N+5],regle!$B$11)</f>
        <v>0</v>
      </c>
      <c r="H45" s="41">
        <f>COUNTIFS(modif0[inter_N+6],regle!$B$11)</f>
        <v>9</v>
      </c>
      <c r="I45" s="41">
        <f>COUNTIFS(modif0[inter_N+7],regle!$B$11)</f>
        <v>1</v>
      </c>
      <c r="J45" s="41">
        <f>COUNTIFS(modif0[inter_N+8],regle!$B$11)</f>
        <v>0</v>
      </c>
      <c r="K45" s="41">
        <f>COUNTIFS(modif0[inter_N+9],regle!$B$11)</f>
        <v>1</v>
      </c>
      <c r="L45" s="41">
        <f>COUNTIFS(modif0[inter_N+10],regle!$B$11)</f>
        <v>0</v>
      </c>
    </row>
    <row r="46" spans="1:13" ht="15.75" x14ac:dyDescent="0.25">
      <c r="A46" s="32" t="str">
        <f>A34</f>
        <v>MAX :</v>
      </c>
      <c r="B46" s="40">
        <f t="shared" si="7"/>
        <v>141</v>
      </c>
      <c r="C46" s="41">
        <f>COUNTIFS(modif1[inter_N+1],regle!$B$11)</f>
        <v>94</v>
      </c>
      <c r="D46" s="41">
        <f>COUNTIFS(modif1[inter_N+2],regle!$B$11)</f>
        <v>11</v>
      </c>
      <c r="E46" s="41">
        <f>COUNTIFS(modif1[inter_N+3],regle!$B$11)</f>
        <v>3</v>
      </c>
      <c r="F46" s="41">
        <f>COUNTIFS(modif1[inter_N+4],regle!$B$11)</f>
        <v>0</v>
      </c>
      <c r="G46" s="41">
        <f>COUNTIFS(modif1[inter_N+5],regle!$B$11)</f>
        <v>0</v>
      </c>
      <c r="H46" s="41">
        <f>COUNTIFS(modif1[inter_N+6],regle!$B$11)</f>
        <v>3</v>
      </c>
      <c r="I46" s="41">
        <f>COUNTIFS(modif1[inter_N+7],regle!$B$11)</f>
        <v>10</v>
      </c>
      <c r="J46" s="41">
        <f>COUNTIFS(modif1[inter_N+8],regle!$B$11)</f>
        <v>6</v>
      </c>
      <c r="K46" s="41">
        <f>COUNTIFS(modif1[inter_N+9],regle!$B$11)</f>
        <v>2</v>
      </c>
      <c r="L46" s="41">
        <f>COUNTIFS(modif1[inter_N+10],regle!$B$11)</f>
        <v>12</v>
      </c>
    </row>
    <row r="47" spans="1:13" ht="15.75" x14ac:dyDescent="0.25">
      <c r="A47" s="29" t="str">
        <f>A35</f>
        <v>TOTAL :</v>
      </c>
      <c r="B47" s="40">
        <f t="shared" si="7"/>
        <v>140</v>
      </c>
      <c r="C47" s="42">
        <f t="shared" ref="C47:L47" si="8">SUM(C48:C53)</f>
        <v>53</v>
      </c>
      <c r="D47" s="42">
        <f t="shared" si="8"/>
        <v>41</v>
      </c>
      <c r="E47" s="42">
        <f t="shared" si="8"/>
        <v>13</v>
      </c>
      <c r="F47" s="42">
        <f t="shared" si="8"/>
        <v>0</v>
      </c>
      <c r="G47" s="42">
        <f t="shared" si="8"/>
        <v>1</v>
      </c>
      <c r="H47" s="42">
        <f t="shared" si="8"/>
        <v>3</v>
      </c>
      <c r="I47" s="42">
        <f t="shared" si="8"/>
        <v>7</v>
      </c>
      <c r="J47" s="42">
        <f t="shared" si="8"/>
        <v>8</v>
      </c>
      <c r="K47" s="42">
        <f t="shared" si="8"/>
        <v>1</v>
      </c>
      <c r="L47" s="42">
        <f t="shared" si="8"/>
        <v>13</v>
      </c>
    </row>
    <row r="48" spans="1:13" ht="15.75" x14ac:dyDescent="0.25">
      <c r="A48" s="32" t="str">
        <f>A36</f>
        <v>CABANAC-ET-VILLAGRAINS</v>
      </c>
      <c r="B48" s="40">
        <f t="shared" si="7"/>
        <v>2</v>
      </c>
      <c r="C48" s="43">
        <f>COUNTIFS(modif2[inter_N+1],regle!$B$11,modif2[[nm_cmmn]:[nm_cmmn]],$A48)
+COUNTIFS(modif2[inter_N+1],_xlfn.CONCAT(regle!$B$11,2),modif2[[nm_cmmn]:[nm_cmmn]],$A48)</f>
        <v>0</v>
      </c>
      <c r="D48" s="43">
        <f>COUNTIFS(modif2[inter_N+2],regle!$B$11,modif2[[nm_cmmn]:[nm_cmmn]],$A48)
+COUNTIFS(modif2[inter_N+2],_xlfn.CONCAT(regle!$B$11,2),modif2[[nm_cmmn]:[nm_cmmn]],$A48)</f>
        <v>0</v>
      </c>
      <c r="E48" s="43">
        <f>COUNTIFS(modif2[inter_N+3],regle!$B$11,modif2[[nm_cmmn]:[nm_cmmn]],$A48)
+COUNTIFS(modif2[inter_N+3],_xlfn.CONCAT(regle!$B$11,2),modif2[[nm_cmmn]:[nm_cmmn]],$A48)</f>
        <v>0</v>
      </c>
      <c r="F48" s="43">
        <f>COUNTIFS(modif2[inter_N+4],regle!$B$11,modif2[[nm_cmmn]:[nm_cmmn]],$A48)
+COUNTIFS(modif2[inter_N+4],_xlfn.CONCAT(regle!$B$11,2),modif2[[nm_cmmn]:[nm_cmmn]],$A48)</f>
        <v>0</v>
      </c>
      <c r="G48" s="43">
        <f>COUNTIFS(modif2[inter_N+5],regle!$B$11,modif2[[nm_cmmn]:[nm_cmmn]],$A48)
+COUNTIFS(modif2[inter_N+5],_xlfn.CONCAT(regle!$B$11,2),modif2[[nm_cmmn]:[nm_cmmn]],$A48)</f>
        <v>0</v>
      </c>
      <c r="H48" s="43">
        <f>COUNTIFS(modif2[inter_N+6],regle!$B$11,modif2[[nm_cmmn]:[nm_cmmn]],$A48)
+COUNTIFS(modif2[inter_N+6],_xlfn.CONCAT(regle!$B$11,2),modif2[[nm_cmmn]:[nm_cmmn]],$A48)</f>
        <v>0</v>
      </c>
      <c r="I48" s="43">
        <f>COUNTIFS(modif2[inter_N+7],regle!$B$11,modif2[[nm_cmmn]:[nm_cmmn]],$A48)
+COUNTIFS(modif2[inter_N+7],_xlfn.CONCAT(regle!$B$11,2),modif2[[nm_cmmn]:[nm_cmmn]],$A48)</f>
        <v>0</v>
      </c>
      <c r="J48" s="43">
        <f>COUNTIFS(modif2[inter_N+8],regle!$B$11,modif2[[nm_cmmn]:[nm_cmmn]],$A48)
+COUNTIFS(modif2[inter_N+8],_xlfn.CONCAT(regle!$B$11,2),modif2[[nm_cmmn]:[nm_cmmn]],$A48)</f>
        <v>1</v>
      </c>
      <c r="K48" s="43">
        <f>COUNTIFS(modif2[inter_N+9],regle!$B$11,modif2[[nm_cmmn]:[nm_cmmn]],$A48)
+COUNTIFS(modif2[inter_N+9],_xlfn.CONCAT(regle!$B$11,2),modif2[[nm_cmmn]:[nm_cmmn]],$A48)</f>
        <v>0</v>
      </c>
      <c r="L48" s="43">
        <f>COUNTIFS(modif2[inter_N+10],regle!$B$11,modif2[[nm_cmmn]:[nm_cmmn]],$A48)
+COUNTIFS(modif2[inter_N+10],_xlfn.CONCAT(regle!$B$11,2),modif2[[nm_cmmn]:[nm_cmmn]],$A48)</f>
        <v>1</v>
      </c>
    </row>
    <row r="49" spans="1:12" ht="15.75" x14ac:dyDescent="0.25">
      <c r="A49" s="32" t="str">
        <f t="shared" ref="A49:A53" si="9">A37</f>
        <v>MANO</v>
      </c>
      <c r="B49" s="40">
        <f t="shared" si="7"/>
        <v>61</v>
      </c>
      <c r="C49" s="43">
        <f>COUNTIFS(modif2[inter_N+1],regle!$B$11,modif2[[nm_cmmn]:[nm_cmmn]],$A49)
+COUNTIFS(modif2[inter_N+1],_xlfn.CONCAT(regle!$B$11,2),modif2[[nm_cmmn]:[nm_cmmn]],$A49)</f>
        <v>33</v>
      </c>
      <c r="D49" s="43">
        <f>COUNTIFS(modif2[inter_N+2],regle!$B$11,modif2[[nm_cmmn]:[nm_cmmn]],$A49)
+COUNTIFS(modif2[inter_N+2],_xlfn.CONCAT(regle!$B$11,2),modif2[[nm_cmmn]:[nm_cmmn]],$A49)</f>
        <v>26</v>
      </c>
      <c r="E49" s="43">
        <f>COUNTIFS(modif2[inter_N+3],regle!$B$11,modif2[[nm_cmmn]:[nm_cmmn]],$A49)
+COUNTIFS(modif2[inter_N+3],_xlfn.CONCAT(regle!$B$11,2),modif2[[nm_cmmn]:[nm_cmmn]],$A49)</f>
        <v>0</v>
      </c>
      <c r="F49" s="43">
        <f>COUNTIFS(modif2[inter_N+4],regle!$B$11,modif2[[nm_cmmn]:[nm_cmmn]],$A49)
+COUNTIFS(modif2[inter_N+4],_xlfn.CONCAT(regle!$B$11,2),modif2[[nm_cmmn]:[nm_cmmn]],$A49)</f>
        <v>0</v>
      </c>
      <c r="G49" s="43">
        <f>COUNTIFS(modif2[inter_N+5],regle!$B$11,modif2[[nm_cmmn]:[nm_cmmn]],$A49)
+COUNTIFS(modif2[inter_N+5],_xlfn.CONCAT(regle!$B$11,2),modif2[[nm_cmmn]:[nm_cmmn]],$A49)</f>
        <v>0</v>
      </c>
      <c r="H49" s="43">
        <f>COUNTIFS(modif2[inter_N+6],regle!$B$11,modif2[[nm_cmmn]:[nm_cmmn]],$A49)
+COUNTIFS(modif2[inter_N+6],_xlfn.CONCAT(regle!$B$11,2),modif2[[nm_cmmn]:[nm_cmmn]],$A49)</f>
        <v>0</v>
      </c>
      <c r="I49" s="43">
        <f>COUNTIFS(modif2[inter_N+7],regle!$B$11,modif2[[nm_cmmn]:[nm_cmmn]],$A49)
+COUNTIFS(modif2[inter_N+7],_xlfn.CONCAT(regle!$B$11,2),modif2[[nm_cmmn]:[nm_cmmn]],$A49)</f>
        <v>0</v>
      </c>
      <c r="J49" s="43">
        <f>COUNTIFS(modif2[inter_N+8],regle!$B$11,modif2[[nm_cmmn]:[nm_cmmn]],$A49)
+COUNTIFS(modif2[inter_N+8],_xlfn.CONCAT(regle!$B$11,2),modif2[[nm_cmmn]:[nm_cmmn]],$A49)</f>
        <v>0</v>
      </c>
      <c r="K49" s="43">
        <f>COUNTIFS(modif2[inter_N+9],regle!$B$11,modif2[[nm_cmmn]:[nm_cmmn]],$A49)
+COUNTIFS(modif2[inter_N+9],_xlfn.CONCAT(regle!$B$11,2),modif2[[nm_cmmn]:[nm_cmmn]],$A49)</f>
        <v>0</v>
      </c>
      <c r="L49" s="43">
        <f>COUNTIFS(modif2[inter_N+10],regle!$B$11,modif2[[nm_cmmn]:[nm_cmmn]],$A49)
+COUNTIFS(modif2[inter_N+10],_xlfn.CONCAT(regle!$B$11,2),modif2[[nm_cmmn]:[nm_cmmn]],$A49)</f>
        <v>2</v>
      </c>
    </row>
    <row r="50" spans="1:12" ht="15.75" x14ac:dyDescent="0.25">
      <c r="A50" s="32" t="str">
        <f t="shared" si="9"/>
        <v>GUILLOS</v>
      </c>
      <c r="B50" s="40">
        <f t="shared" si="7"/>
        <v>1</v>
      </c>
      <c r="C50" s="43">
        <f>COUNTIFS(modif2[inter_N+1],regle!$B$11,modif2[[nm_cmmn]:[nm_cmmn]],$A50)
+COUNTIFS(modif2[inter_N+1],_xlfn.CONCAT(regle!$B$11,2),modif2[[nm_cmmn]:[nm_cmmn]],$A50)</f>
        <v>0</v>
      </c>
      <c r="D50" s="43">
        <f>COUNTIFS(modif2[inter_N+2],regle!$B$11,modif2[[nm_cmmn]:[nm_cmmn]],$A50)
+COUNTIFS(modif2[inter_N+2],_xlfn.CONCAT(regle!$B$11,2),modif2[[nm_cmmn]:[nm_cmmn]],$A50)</f>
        <v>0</v>
      </c>
      <c r="E50" s="43">
        <f>COUNTIFS(modif2[inter_N+3],regle!$B$11,modif2[[nm_cmmn]:[nm_cmmn]],$A50)
+COUNTIFS(modif2[inter_N+3],_xlfn.CONCAT(regle!$B$11,2),modif2[[nm_cmmn]:[nm_cmmn]],$A50)</f>
        <v>0</v>
      </c>
      <c r="F50" s="43">
        <f>COUNTIFS(modif2[inter_N+4],regle!$B$11,modif2[[nm_cmmn]:[nm_cmmn]],$A50)
+COUNTIFS(modif2[inter_N+4],_xlfn.CONCAT(regle!$B$11,2),modif2[[nm_cmmn]:[nm_cmmn]],$A50)</f>
        <v>0</v>
      </c>
      <c r="G50" s="43">
        <f>COUNTIFS(modif2[inter_N+5],regle!$B$11,modif2[[nm_cmmn]:[nm_cmmn]],$A50)
+COUNTIFS(modif2[inter_N+5],_xlfn.CONCAT(regle!$B$11,2),modif2[[nm_cmmn]:[nm_cmmn]],$A50)</f>
        <v>0</v>
      </c>
      <c r="H50" s="43">
        <f>COUNTIFS(modif2[inter_N+6],regle!$B$11,modif2[[nm_cmmn]:[nm_cmmn]],$A50)
+COUNTIFS(modif2[inter_N+6],_xlfn.CONCAT(regle!$B$11,2),modif2[[nm_cmmn]:[nm_cmmn]],$A50)</f>
        <v>0</v>
      </c>
      <c r="I50" s="43">
        <f>COUNTIFS(modif2[inter_N+7],regle!$B$11,modif2[[nm_cmmn]:[nm_cmmn]],$A50)
+COUNTIFS(modif2[inter_N+7],_xlfn.CONCAT(regle!$B$11,2),modif2[[nm_cmmn]:[nm_cmmn]],$A50)</f>
        <v>0</v>
      </c>
      <c r="J50" s="43">
        <f>COUNTIFS(modif2[inter_N+8],regle!$B$11,modif2[[nm_cmmn]:[nm_cmmn]],$A50)
+COUNTIFS(modif2[inter_N+8],_xlfn.CONCAT(regle!$B$11,2),modif2[[nm_cmmn]:[nm_cmmn]],$A50)</f>
        <v>1</v>
      </c>
      <c r="K50" s="43">
        <f>COUNTIFS(modif2[inter_N+9],regle!$B$11,modif2[[nm_cmmn]:[nm_cmmn]],$A50)
+COUNTIFS(modif2[inter_N+9],_xlfn.CONCAT(regle!$B$11,2),modif2[[nm_cmmn]:[nm_cmmn]],$A50)</f>
        <v>0</v>
      </c>
      <c r="L50" s="43">
        <f>COUNTIFS(modif2[inter_N+10],regle!$B$11,modif2[[nm_cmmn]:[nm_cmmn]],$A50)
+COUNTIFS(modif2[inter_N+10],_xlfn.CONCAT(regle!$B$11,2),modif2[[nm_cmmn]:[nm_cmmn]],$A50)</f>
        <v>0</v>
      </c>
    </row>
    <row r="51" spans="1:12" ht="15.75" x14ac:dyDescent="0.25">
      <c r="A51" s="32" t="str">
        <f t="shared" si="9"/>
        <v>MOUSTEY</v>
      </c>
      <c r="B51" s="40">
        <f t="shared" si="7"/>
        <v>18</v>
      </c>
      <c r="C51" s="43">
        <f>COUNTIFS(modif2[inter_N+1],regle!$B$11,modif2[[nm_cmmn]:[nm_cmmn]],$A51)
+COUNTIFS(modif2[inter_N+1],_xlfn.CONCAT(regle!$B$11,2),modif2[[nm_cmmn]:[nm_cmmn]],$A51)</f>
        <v>13</v>
      </c>
      <c r="D51" s="43">
        <f>COUNTIFS(modif2[inter_N+2],regle!$B$11,modif2[[nm_cmmn]:[nm_cmmn]],$A51)
+COUNTIFS(modif2[inter_N+2],_xlfn.CONCAT(regle!$B$11,2),modif2[[nm_cmmn]:[nm_cmmn]],$A51)</f>
        <v>5</v>
      </c>
      <c r="E51" s="43">
        <f>COUNTIFS(modif2[inter_N+3],regle!$B$11,modif2[[nm_cmmn]:[nm_cmmn]],$A51)
+COUNTIFS(modif2[inter_N+3],_xlfn.CONCAT(regle!$B$11,2),modif2[[nm_cmmn]:[nm_cmmn]],$A51)</f>
        <v>0</v>
      </c>
      <c r="F51" s="43">
        <f>COUNTIFS(modif2[inter_N+4],regle!$B$11,modif2[[nm_cmmn]:[nm_cmmn]],$A51)
+COUNTIFS(modif2[inter_N+4],_xlfn.CONCAT(regle!$B$11,2),modif2[[nm_cmmn]:[nm_cmmn]],$A51)</f>
        <v>0</v>
      </c>
      <c r="G51" s="43">
        <f>COUNTIFS(modif2[inter_N+5],regle!$B$11,modif2[[nm_cmmn]:[nm_cmmn]],$A51)
+COUNTIFS(modif2[inter_N+5],_xlfn.CONCAT(regle!$B$11,2),modif2[[nm_cmmn]:[nm_cmmn]],$A51)</f>
        <v>0</v>
      </c>
      <c r="H51" s="43">
        <f>COUNTIFS(modif2[inter_N+6],regle!$B$11,modif2[[nm_cmmn]:[nm_cmmn]],$A51)
+COUNTIFS(modif2[inter_N+6],_xlfn.CONCAT(regle!$B$11,2),modif2[[nm_cmmn]:[nm_cmmn]],$A51)</f>
        <v>0</v>
      </c>
      <c r="I51" s="43">
        <f>COUNTIFS(modif2[inter_N+7],regle!$B$11,modif2[[nm_cmmn]:[nm_cmmn]],$A51)
+COUNTIFS(modif2[inter_N+7],_xlfn.CONCAT(regle!$B$11,2),modif2[[nm_cmmn]:[nm_cmmn]],$A51)</f>
        <v>0</v>
      </c>
      <c r="J51" s="43">
        <f>COUNTIFS(modif2[inter_N+8],regle!$B$11,modif2[[nm_cmmn]:[nm_cmmn]],$A51)
+COUNTIFS(modif2[inter_N+8],_xlfn.CONCAT(regle!$B$11,2),modif2[[nm_cmmn]:[nm_cmmn]],$A51)</f>
        <v>0</v>
      </c>
      <c r="K51" s="43">
        <f>COUNTIFS(modif2[inter_N+9],regle!$B$11,modif2[[nm_cmmn]:[nm_cmmn]],$A51)
+COUNTIFS(modif2[inter_N+9],_xlfn.CONCAT(regle!$B$11,2),modif2[[nm_cmmn]:[nm_cmmn]],$A51)</f>
        <v>0</v>
      </c>
      <c r="L51" s="43">
        <f>COUNTIFS(modif2[inter_N+10],regle!$B$11,modif2[[nm_cmmn]:[nm_cmmn]],$A51)
+COUNTIFS(modif2[inter_N+10],_xlfn.CONCAT(regle!$B$11,2),modif2[[nm_cmmn]:[nm_cmmn]],$A51)</f>
        <v>0</v>
      </c>
    </row>
    <row r="52" spans="1:12" ht="15.75" x14ac:dyDescent="0.25">
      <c r="A52" s="32" t="str">
        <f t="shared" si="9"/>
        <v>HOSTENS</v>
      </c>
      <c r="B52" s="40">
        <f t="shared" si="7"/>
        <v>46</v>
      </c>
      <c r="C52" s="43">
        <f>COUNTIFS(modif2[inter_N+1],regle!$B$11,modif2[[nm_cmmn]:[nm_cmmn]],$A52)
+COUNTIFS(modif2[inter_N+1],_xlfn.CONCAT(regle!$B$11,2),modif2[[nm_cmmn]:[nm_cmmn]],$A52)</f>
        <v>6</v>
      </c>
      <c r="D52" s="43">
        <f>COUNTIFS(modif2[inter_N+2],regle!$B$11,modif2[[nm_cmmn]:[nm_cmmn]],$A52)
+COUNTIFS(modif2[inter_N+2],_xlfn.CONCAT(regle!$B$11,2),modif2[[nm_cmmn]:[nm_cmmn]],$A52)</f>
        <v>8</v>
      </c>
      <c r="E52" s="43">
        <f>COUNTIFS(modif2[inter_N+3],regle!$B$11,modif2[[nm_cmmn]:[nm_cmmn]],$A52)
+COUNTIFS(modif2[inter_N+3],_xlfn.CONCAT(regle!$B$11,2),modif2[[nm_cmmn]:[nm_cmmn]],$A52)</f>
        <v>12</v>
      </c>
      <c r="F52" s="43">
        <f>COUNTIFS(modif2[inter_N+4],regle!$B$11,modif2[[nm_cmmn]:[nm_cmmn]],$A52)
+COUNTIFS(modif2[inter_N+4],_xlfn.CONCAT(regle!$B$11,2),modif2[[nm_cmmn]:[nm_cmmn]],$A52)</f>
        <v>0</v>
      </c>
      <c r="G52" s="43">
        <f>COUNTIFS(modif2[inter_N+5],regle!$B$11,modif2[[nm_cmmn]:[nm_cmmn]],$A52)
+COUNTIFS(modif2[inter_N+5],_xlfn.CONCAT(regle!$B$11,2),modif2[[nm_cmmn]:[nm_cmmn]],$A52)</f>
        <v>0</v>
      </c>
      <c r="H52" s="43">
        <f>COUNTIFS(modif2[inter_N+6],regle!$B$11,modif2[[nm_cmmn]:[nm_cmmn]],$A52)
+COUNTIFS(modif2[inter_N+6],_xlfn.CONCAT(regle!$B$11,2),modif2[[nm_cmmn]:[nm_cmmn]],$A52)</f>
        <v>0</v>
      </c>
      <c r="I52" s="43">
        <f>COUNTIFS(modif2[inter_N+7],regle!$B$11,modif2[[nm_cmmn]:[nm_cmmn]],$A52)
+COUNTIFS(modif2[inter_N+7],_xlfn.CONCAT(regle!$B$11,2),modif2[[nm_cmmn]:[nm_cmmn]],$A52)</f>
        <v>7</v>
      </c>
      <c r="J52" s="43">
        <f>COUNTIFS(modif2[inter_N+8],regle!$B$11,modif2[[nm_cmmn]:[nm_cmmn]],$A52)
+COUNTIFS(modif2[inter_N+8],_xlfn.CONCAT(regle!$B$11,2),modif2[[nm_cmmn]:[nm_cmmn]],$A52)</f>
        <v>3</v>
      </c>
      <c r="K52" s="43">
        <f>COUNTIFS(modif2[inter_N+9],regle!$B$11,modif2[[nm_cmmn]:[nm_cmmn]],$A52)
+COUNTIFS(modif2[inter_N+9],_xlfn.CONCAT(regle!$B$11,2),modif2[[nm_cmmn]:[nm_cmmn]],$A52)</f>
        <v>1</v>
      </c>
      <c r="L52" s="43">
        <f>COUNTIFS(modif2[inter_N+10],regle!$B$11,modif2[[nm_cmmn]:[nm_cmmn]],$A52)
+COUNTIFS(modif2[inter_N+10],_xlfn.CONCAT(regle!$B$11,2),modif2[[nm_cmmn]:[nm_cmmn]],$A52)</f>
        <v>9</v>
      </c>
    </row>
    <row r="53" spans="1:12" ht="15.75" x14ac:dyDescent="0.25">
      <c r="A53" s="32" t="str">
        <f t="shared" si="9"/>
        <v>LE TUZAN</v>
      </c>
      <c r="B53" s="40">
        <f t="shared" si="7"/>
        <v>12</v>
      </c>
      <c r="C53" s="43">
        <f>COUNTIFS(modif2[inter_N+1],regle!$B$11,modif2[[nm_cmmn]:[nm_cmmn]],$A53)
+COUNTIFS(modif2[inter_N+1],_xlfn.CONCAT(regle!$B$11,2),modif2[[nm_cmmn]:[nm_cmmn]],$A53)</f>
        <v>1</v>
      </c>
      <c r="D53" s="43">
        <f>COUNTIFS(modif2[inter_N+2],regle!$B$11,modif2[[nm_cmmn]:[nm_cmmn]],$A53)
+COUNTIFS(modif2[inter_N+2],_xlfn.CONCAT(regle!$B$11,2),modif2[[nm_cmmn]:[nm_cmmn]],$A53)</f>
        <v>2</v>
      </c>
      <c r="E53" s="43">
        <f>COUNTIFS(modif2[inter_N+3],regle!$B$11,modif2[[nm_cmmn]:[nm_cmmn]],$A53)
+COUNTIFS(modif2[inter_N+3],_xlfn.CONCAT(regle!$B$11,2),modif2[[nm_cmmn]:[nm_cmmn]],$A53)</f>
        <v>1</v>
      </c>
      <c r="F53" s="43">
        <f>COUNTIFS(modif2[inter_N+4],regle!$B$11,modif2[[nm_cmmn]:[nm_cmmn]],$A53)
+COUNTIFS(modif2[inter_N+4],_xlfn.CONCAT(regle!$B$11,2),modif2[[nm_cmmn]:[nm_cmmn]],$A53)</f>
        <v>0</v>
      </c>
      <c r="G53" s="43">
        <f>COUNTIFS(modif2[inter_N+5],regle!$B$11,modif2[[nm_cmmn]:[nm_cmmn]],$A53)
+COUNTIFS(modif2[inter_N+5],_xlfn.CONCAT(regle!$B$11,2),modif2[[nm_cmmn]:[nm_cmmn]],$A53)</f>
        <v>1</v>
      </c>
      <c r="H53" s="43">
        <f>COUNTIFS(modif2[inter_N+6],regle!$B$11,modif2[[nm_cmmn]:[nm_cmmn]],$A53)
+COUNTIFS(modif2[inter_N+6],_xlfn.CONCAT(regle!$B$11,2),modif2[[nm_cmmn]:[nm_cmmn]],$A53)</f>
        <v>3</v>
      </c>
      <c r="I53" s="43">
        <f>COUNTIFS(modif2[inter_N+7],regle!$B$11,modif2[[nm_cmmn]:[nm_cmmn]],$A53)
+COUNTIFS(modif2[inter_N+7],_xlfn.CONCAT(regle!$B$11,2),modif2[[nm_cmmn]:[nm_cmmn]],$A53)</f>
        <v>0</v>
      </c>
      <c r="J53" s="43">
        <f>COUNTIFS(modif2[inter_N+8],regle!$B$11,modif2[[nm_cmmn]:[nm_cmmn]],$A53)
+COUNTIFS(modif2[inter_N+8],_xlfn.CONCAT(regle!$B$11,2),modif2[[nm_cmmn]:[nm_cmmn]],$A53)</f>
        <v>3</v>
      </c>
      <c r="K53" s="43">
        <f>COUNTIFS(modif2[inter_N+9],regle!$B$11,modif2[[nm_cmmn]:[nm_cmmn]],$A53)
+COUNTIFS(modif2[inter_N+9],_xlfn.CONCAT(regle!$B$11,2),modif2[[nm_cmmn]:[nm_cmmn]],$A53)</f>
        <v>0</v>
      </c>
      <c r="L53" s="43">
        <f>COUNTIFS(modif2[inter_N+10],regle!$B$11,modif2[[nm_cmmn]:[nm_cmmn]],$A53)
+COUNTIFS(modif2[inter_N+10],_xlfn.CONCAT(regle!$B$11,2),modif2[[nm_cmmn]:[nm_cmmn]],$A53)</f>
        <v>1</v>
      </c>
    </row>
  </sheetData>
  <pageMargins left="0.25" right="0.25" top="0.75" bottom="0.75" header="0.3" footer="0.3"/>
  <pageSetup paperSize="9" scale="93" orientation="portrait" r:id="rId1"/>
  <colBreaks count="1" manualBreakCount="1">
    <brk id="12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BFEC2-FEF8-4866-8D02-EB0A8CB8BC7D}">
  <sheetPr codeName="Feuil10"/>
  <dimension ref="A1:L56"/>
  <sheetViews>
    <sheetView topLeftCell="A37" zoomScaleNormal="100" workbookViewId="0">
      <selection activeCell="I56" sqref="I56"/>
    </sheetView>
  </sheetViews>
  <sheetFormatPr baseColWidth="10" defaultRowHeight="15" x14ac:dyDescent="0.25"/>
  <cols>
    <col min="1" max="1" width="15.85546875" style="33" customWidth="1"/>
    <col min="2" max="2" width="10.7109375" style="33" bestFit="1" customWidth="1"/>
    <col min="3" max="4" width="12.5703125" style="33" bestFit="1" customWidth="1"/>
    <col min="5" max="5" width="11.42578125" style="33" bestFit="1" customWidth="1"/>
    <col min="6" max="7" width="10.5703125" style="33" bestFit="1" customWidth="1"/>
    <col min="8" max="12" width="11.42578125" style="33" bestFit="1" customWidth="1"/>
  </cols>
  <sheetData>
    <row r="1" spans="1:12" ht="18.75" x14ac:dyDescent="0.3">
      <c r="A1" s="39" t="s">
        <v>1891</v>
      </c>
    </row>
    <row r="2" spans="1:12" ht="15.75" x14ac:dyDescent="0.25">
      <c r="A2" s="30" t="s">
        <v>1816</v>
      </c>
      <c r="B2" s="31" t="s">
        <v>0</v>
      </c>
      <c r="C2" s="31">
        <f>regle!B2</f>
        <v>2024</v>
      </c>
      <c r="D2" s="31">
        <f>regle!C2</f>
        <v>2025</v>
      </c>
      <c r="E2" s="31">
        <f>regle!D2</f>
        <v>2026</v>
      </c>
      <c r="F2" s="31">
        <f>regle!E2</f>
        <v>2027</v>
      </c>
      <c r="G2" s="31">
        <f>regle!F2</f>
        <v>2028</v>
      </c>
      <c r="H2" s="31">
        <f>regle!G2</f>
        <v>2029</v>
      </c>
      <c r="I2" s="31">
        <f>regle!H2</f>
        <v>2030</v>
      </c>
      <c r="J2" s="31">
        <f>regle!I2</f>
        <v>2031</v>
      </c>
      <c r="K2" s="31">
        <f>regle!J2</f>
        <v>2032</v>
      </c>
      <c r="L2" s="31">
        <f>regle!K2</f>
        <v>2033</v>
      </c>
    </row>
    <row r="3" spans="1:12" ht="15.75" x14ac:dyDescent="0.25">
      <c r="A3" s="32" t="str">
        <f>Revenu!A43</f>
        <v>BASE :</v>
      </c>
      <c r="B3" s="28">
        <f t="shared" ref="B3:B11" si="0">SUM(C3:L3)</f>
        <v>936012.98400000017</v>
      </c>
      <c r="C3" s="26">
        <f>SUM(SUMIFS(modif0[budget_N+1],modif0[inter_N+1],regle!$F$11),SUMIFS(modif0[budget_N+1],modif0[inter_N+1],regle!$G$11),SUMIFS(modif0[budget_N+1],modif0[inter_N+1],regle!$H$11),SUMIFS(modif0[budget_N+1],modif0[inter_N+1],regle!$I$11))</f>
        <v>27179.964000000007</v>
      </c>
      <c r="D3" s="26">
        <f>SUM(SUMIFS(modif0[budget_N+2],modif0[inter_N+2],regle!$F$11),SUMIFS(modif0[budget_N+2],modif0[inter_N+2],regle!$G$11),SUMIFS(modif0[budget_N+2],modif0[inter_N+2],regle!$H$11),SUMIFS(modif0[budget_N+2],modif0[inter_N+2],regle!$I$11))</f>
        <v>51406.6944</v>
      </c>
      <c r="E3" s="26">
        <f>SUM(SUMIFS(modif0[budget_N+3],modif0[inter_N+3],regle!$F$11),SUMIFS(modif0[budget_N+3],modif0[inter_N+3],regle!$G$11),SUMIFS(modif0[budget_N+3],modif0[inter_N+3],regle!$H$11),SUMIFS(modif0[budget_N+3],modif0[inter_N+3],regle!$I$11))</f>
        <v>49526.987999999998</v>
      </c>
      <c r="F3" s="26">
        <f>SUM(SUMIFS(modif0[budget_N+4],modif0[inter_N+4],regle!$F$11),SUMIFS(modif0[budget_N+4],modif0[inter_N+4],regle!$G$11),SUMIFS(modif0[budget_N+4],modif0[inter_N+4],regle!$H$11),SUMIFS(modif0[budget_N+4],modif0[inter_N+4],regle!$I$11))</f>
        <v>89802.482399999994</v>
      </c>
      <c r="G3" s="26">
        <f>SUM(SUMIFS(modif0[budget_N+5],modif0[inter_N+5],regle!$F$11),SUMIFS(modif0[budget_N+5],modif0[inter_N+5],regle!$G$11),SUMIFS(modif0[budget_N+5],modif0[inter_N+5],regle!$H$11),SUMIFS(modif0[budget_N+5],modif0[inter_N+5],regle!$I$11))</f>
        <v>174849.58320000005</v>
      </c>
      <c r="H3" s="26">
        <f>SUM(SUMIFS(modif0[budget_N+6],modif0[inter_N+6],regle!$F$11),SUMIFS(modif0[budget_N+6],modif0[inter_N+6],regle!$G$11),SUMIFS(modif0[budget_N+6],modif0[inter_N+6],regle!$H$11),SUMIFS(modif0[budget_N+6],modif0[inter_N+6],regle!$I$11))</f>
        <v>45558.796799999996</v>
      </c>
      <c r="I3" s="26">
        <f>SUM(SUMIFS(modif0[budget_N+7],modif0[inter_N+7],regle!$F$11),SUMIFS(modif0[budget_N+7],modif0[inter_N+7],regle!$G$11),SUMIFS(modif0[budget_N+7],modif0[inter_N+7],regle!$H$11),SUMIFS(modif0[budget_N+7],modif0[inter_N+7],regle!$I$11))</f>
        <v>95377.238400000002</v>
      </c>
      <c r="J3" s="26">
        <f>SUM(SUMIFS(modif0[budget_N+8],modif0[inter_N+8],regle!$F$11),SUMIFS(modif0[budget_N+8],modif0[inter_N+8],regle!$G$11),SUMIFS(modif0[budget_N+8],modif0[inter_N+8],regle!$H$11),SUMIFS(modif0[budget_N+8],modif0[inter_N+8],regle!$I$11))</f>
        <v>67151.695199999987</v>
      </c>
      <c r="K3" s="26">
        <f>SUM(SUMIFS(modif0[budget_N+9],modif0[inter_N+9],regle!$F$11),SUMIFS(modif0[budget_N+9],modif0[inter_N+9],regle!$G$11),SUMIFS(modif0[budget_N+9],modif0[inter_N+9],regle!$H$11),SUMIFS(modif0[budget_N+9],modif0[inter_N+9],regle!$I$11))</f>
        <v>137915.39520000003</v>
      </c>
      <c r="L3" s="26">
        <f>SUM(SUMIFS(modif0[budget_N+10],modif0[inter_N+10],regle!$F$11),SUMIFS(modif0[budget_N+10],modif0[inter_N+10],regle!$G$11),SUMIFS(modif0[budget_N+10],modif0[inter_N+10],regle!$H$11),SUMIFS(modif0[budget_N+10],modif0[inter_N+10],regle!$I$11))</f>
        <v>197244.14640000003</v>
      </c>
    </row>
    <row r="4" spans="1:12" ht="15.75" x14ac:dyDescent="0.25">
      <c r="A4" s="32" t="str">
        <f>Revenu!A70</f>
        <v>MAX :</v>
      </c>
      <c r="B4" s="28">
        <f t="shared" si="0"/>
        <v>719109.21519999986</v>
      </c>
      <c r="C4" s="26">
        <f>SUM(SUMIFS(modif1[budget_N+1],modif1[inter_N+1],regle!$F$11),SUMIFS(modif1[budget_N+1],modif1[inter_N+1],regle!$G$11),SUMIFS(modif1[budget_N+1],modif1[inter_N+1],regle!$H$11),SUMIFS(modif1[budget_N+1],modif1[inter_N+1],regle!$I$11))</f>
        <v>55333.946400000001</v>
      </c>
      <c r="D4" s="26">
        <f>SUM(SUMIFS(modif1[budget_N+2],modif1[inter_N+2],regle!$F$11),SUMIFS(modif1[budget_N+2],modif1[inter_N+2],regle!$G$11),SUMIFS(modif1[budget_N+2],modif1[inter_N+2],regle!$H$11),SUMIFS(modif1[budget_N+2],modif1[inter_N+2],regle!$I$11))</f>
        <v>18359.489600000001</v>
      </c>
      <c r="E4" s="26">
        <f>SUM(SUMIFS(modif1[budget_N+3],modif1[inter_N+3],regle!$F$11),SUMIFS(modif1[budget_N+3],modif1[inter_N+3],regle!$G$11),SUMIFS(modif1[budget_N+3],modif1[inter_N+3],regle!$H$11),SUMIFS(modif1[budget_N+3],modif1[inter_N+3],regle!$I$11))</f>
        <v>65207.115999999987</v>
      </c>
      <c r="F4" s="26">
        <f>SUM(SUMIFS(modif1[budget_N+4],modif1[inter_N+4],regle!$F$11),SUMIFS(modif1[budget_N+4],modif1[inter_N+4],regle!$G$11),SUMIFS(modif1[budget_N+4],modif1[inter_N+4],regle!$H$11),SUMIFS(modif1[budget_N+4],modif1[inter_N+4],regle!$I$11))</f>
        <v>148876.48879999999</v>
      </c>
      <c r="G4" s="26">
        <f>SUM(SUMIFS(modif1[budget_N+5],modif1[inter_N+5],regle!$F$11),SUMIFS(modif1[budget_N+5],modif1[inter_N+5],regle!$G$11),SUMIFS(modif1[budget_N+5],modif1[inter_N+5],regle!$H$11),SUMIFS(modif1[budget_N+5],modif1[inter_N+5],regle!$I$11))</f>
        <v>6582.8223999999991</v>
      </c>
      <c r="H4" s="26">
        <f>SUM(SUMIFS(modif1[budget_N+6],modif1[inter_N+6],regle!$F$11),SUMIFS(modif1[budget_N+6],modif1[inter_N+6],regle!$G$11),SUMIFS(modif1[budget_N+6],modif1[inter_N+6],regle!$H$11),SUMIFS(modif1[budget_N+6],modif1[inter_N+6],regle!$I$11))</f>
        <v>95377.238399999987</v>
      </c>
      <c r="I4" s="26">
        <f>SUM(SUMIFS(modif1[budget_N+7],modif1[inter_N+7],regle!$F$11),SUMIFS(modif1[budget_N+7],modif1[inter_N+7],regle!$G$11),SUMIFS(modif1[budget_N+7],modif1[inter_N+7],regle!$H$11),SUMIFS(modif1[budget_N+7],modif1[inter_N+7],regle!$I$11))</f>
        <v>34199.516000000003</v>
      </c>
      <c r="J4" s="26">
        <f>SUM(SUMIFS(modif1[budget_N+8],modif1[inter_N+8],regle!$F$11),SUMIFS(modif1[budget_N+8],modif1[inter_N+8],regle!$G$11),SUMIFS(modif1[budget_N+8],modif1[inter_N+8],regle!$H$11),SUMIFS(modif1[budget_N+8],modif1[inter_N+8],regle!$I$11))</f>
        <v>115555.97120000001</v>
      </c>
      <c r="K4" s="26">
        <f>SUM(SUMIFS(modif1[budget_N+9],modif1[inter_N+9],regle!$F$11),SUMIFS(modif1[budget_N+9],modif1[inter_N+9],regle!$G$11),SUMIFS(modif1[budget_N+9],modif1[inter_N+9],regle!$H$11),SUMIFS(modif1[budget_N+9],modif1[inter_N+9],regle!$I$11))</f>
        <v>173632.24239999996</v>
      </c>
      <c r="L4" s="26">
        <f>SUM(SUMIFS(modif1[budget_N+10],modif1[inter_N+10],regle!$F$11),SUMIFS(modif1[budget_N+10],modif1[inter_N+10],regle!$G$11),SUMIFS(modif1[budget_N+10],modif1[inter_N+10],regle!$H$11),SUMIFS(modif1[budget_N+10],modif1[inter_N+10],regle!$I$11))</f>
        <v>5984.3840000000018</v>
      </c>
    </row>
    <row r="5" spans="1:12" ht="15.75" x14ac:dyDescent="0.25">
      <c r="A5" s="29" t="s">
        <v>1810</v>
      </c>
      <c r="B5" s="28">
        <f t="shared" si="0"/>
        <v>719109.21520000009</v>
      </c>
      <c r="C5" s="25">
        <f>SUM(C6:C11)</f>
        <v>0</v>
      </c>
      <c r="D5" s="25">
        <f t="shared" ref="D5:L5" si="1">SUM(D6:D11)</f>
        <v>70079.208799999993</v>
      </c>
      <c r="E5" s="25">
        <f t="shared" si="1"/>
        <v>68518.597599999994</v>
      </c>
      <c r="F5" s="25">
        <f t="shared" si="1"/>
        <v>129931.04240000001</v>
      </c>
      <c r="G5" s="25">
        <f t="shared" si="1"/>
        <v>19248.192000000003</v>
      </c>
      <c r="H5" s="25">
        <f t="shared" si="1"/>
        <v>90742.633600000001</v>
      </c>
      <c r="I5" s="25">
        <f t="shared" si="1"/>
        <v>37711.675999999999</v>
      </c>
      <c r="J5" s="25">
        <f t="shared" si="1"/>
        <v>117028.86080000001</v>
      </c>
      <c r="K5" s="25">
        <f t="shared" si="1"/>
        <v>89521.93280000001</v>
      </c>
      <c r="L5" s="25">
        <f t="shared" si="1"/>
        <v>96327.071200000006</v>
      </c>
    </row>
    <row r="6" spans="1:12" ht="15.75" x14ac:dyDescent="0.25">
      <c r="A6" s="32" t="str">
        <f>regle!B39</f>
        <v>CABANAC-ET-VILLAGRAINS</v>
      </c>
      <c r="B6" s="28">
        <f t="shared" si="0"/>
        <v>80361.963199999998</v>
      </c>
      <c r="C6" s="26">
        <f>SUM(SUMIFS(modif2[budget_N+1],modif2[inter_N+1],regle!$F$11,modif2[[nm_cmmn]:[nm_cmmn]],$A6),SUMIFS(modif2[budget_N+1],modif2[inter_N+1],regle!$G$11,modif2[[nm_cmmn]:[nm_cmmn]],$A6),SUMIFS(modif2[budget_N+1],modif2[inter_N+1],regle!$H$11,modif2[[nm_cmmn]:[nm_cmmn]],$A6),SUMIFS(modif2[budget_N+1],modif2[inter_N+1],regle!$I$11,modif2[[nm_cmmn]:[nm_cmmn]],$A6))</f>
        <v>0</v>
      </c>
      <c r="D6" s="26">
        <f>SUM(SUMIFS(modif2[budget_N+2],modif2[inter_N+2],regle!$F$11,modif2[[nm_cmmn]:[nm_cmmn]],$A6),SUMIFS(modif2[budget_N+2],modif2[inter_N+2],regle!$G$11,modif2[[nm_cmmn]:[nm_cmmn]],$A6),SUMIFS(modif2[budget_N+2],modif2[inter_N+2],regle!$H$11,modif2[[nm_cmmn]:[nm_cmmn]],$A6),SUMIFS(modif2[budget_N+2],modif2[inter_N+2],regle!$I$11,modif2[[nm_cmmn]:[nm_cmmn]],$A6))</f>
        <v>0</v>
      </c>
      <c r="E6" s="26">
        <f>SUM(SUMIFS(modif2[budget_N+3],modif2[inter_N+3],regle!$F$11,modif2[[nm_cmmn]:[nm_cmmn]],$A6),SUMIFS(modif2[budget_N+3],modif2[inter_N+3],regle!$G$11,modif2[[nm_cmmn]:[nm_cmmn]],$A6),SUMIFS(modif2[budget_N+3],modif2[inter_N+3],regle!$H$11,modif2[[nm_cmmn]:[nm_cmmn]],$A6),SUMIFS(modif2[budget_N+3],modif2[inter_N+3],regle!$I$11,modif2[[nm_cmmn]:[nm_cmmn]],$A6))</f>
        <v>0</v>
      </c>
      <c r="F6" s="26">
        <f>SUM(SUMIFS(modif2[budget_N+4],modif2[inter_N+4],regle!$F$11,modif2[[nm_cmmn]:[nm_cmmn]],$A6),SUMIFS(modif2[budget_N+4],modif2[inter_N+4],regle!$G$11,modif2[[nm_cmmn]:[nm_cmmn]],$A6),SUMIFS(modif2[budget_N+4],modif2[inter_N+4],regle!$H$11,modif2[[nm_cmmn]:[nm_cmmn]],$A6),SUMIFS(modif2[budget_N+4],modif2[inter_N+4],regle!$I$11,modif2[[nm_cmmn]:[nm_cmmn]],$A6))</f>
        <v>32349.568799999997</v>
      </c>
      <c r="G6" s="26">
        <f>SUM(SUMIFS(modif2[budget_N+5],modif2[inter_N+5],regle!$F$11,modif2[[nm_cmmn]:[nm_cmmn]],$A6),SUMIFS(modif2[budget_N+5],modif2[inter_N+5],regle!$G$11,modif2[[nm_cmmn]:[nm_cmmn]],$A6),SUMIFS(modif2[budget_N+5],modif2[inter_N+5],regle!$H$11,modif2[[nm_cmmn]:[nm_cmmn]],$A6),SUMIFS(modif2[budget_N+5],modif2[inter_N+5],regle!$I$11,modif2[[nm_cmmn]:[nm_cmmn]],$A6))</f>
        <v>0</v>
      </c>
      <c r="H6" s="26">
        <f>SUM(SUMIFS(modif2[budget_N+6],modif2[inter_N+6],regle!$F$11,modif2[[nm_cmmn]:[nm_cmmn]],$A6),SUMIFS(modif2[budget_N+6],modif2[inter_N+6],regle!$G$11,modif2[[nm_cmmn]:[nm_cmmn]],$A6),SUMIFS(modif2[budget_N+6],modif2[inter_N+6],regle!$H$11,modif2[[nm_cmmn]:[nm_cmmn]],$A6),SUMIFS(modif2[budget_N+6],modif2[inter_N+6],regle!$I$11,modif2[[nm_cmmn]:[nm_cmmn]],$A6))</f>
        <v>0</v>
      </c>
      <c r="I6" s="26">
        <f>SUM(SUMIFS(modif2[budget_N+7],modif2[inter_N+7],regle!$F$11,modif2[[nm_cmmn]:[nm_cmmn]],$A6),SUMIFS(modif2[budget_N+7],modif2[inter_N+7],regle!$G$11,modif2[[nm_cmmn]:[nm_cmmn]],$A6),SUMIFS(modif2[budget_N+7],modif2[inter_N+7],regle!$H$11,modif2[[nm_cmmn]:[nm_cmmn]],$A6),SUMIFS(modif2[budget_N+7],modif2[inter_N+7],regle!$I$11,modif2[[nm_cmmn]:[nm_cmmn]],$A6))</f>
        <v>0</v>
      </c>
      <c r="J6" s="26">
        <f>SUM(SUMIFS(modif2[budget_N+8],modif2[inter_N+8],regle!$F$11,modif2[[nm_cmmn]:[nm_cmmn]],$A6),SUMIFS(modif2[budget_N+8],modif2[inter_N+8],regle!$G$11,modif2[[nm_cmmn]:[nm_cmmn]],$A6),SUMIFS(modif2[budget_N+8],modif2[inter_N+8],regle!$H$11,modif2[[nm_cmmn]:[nm_cmmn]],$A6),SUMIFS(modif2[budget_N+8],modif2[inter_N+8],regle!$I$11,modif2[[nm_cmmn]:[nm_cmmn]],$A6))</f>
        <v>5361.8111999999992</v>
      </c>
      <c r="K6" s="26">
        <f>SUM(SUMIFS(modif2[budget_N+9],modif2[inter_N+9],regle!$F$11,modif2[[nm_cmmn]:[nm_cmmn]],$A6),SUMIFS(modif2[budget_N+9],modif2[inter_N+9],regle!$G$11,modif2[[nm_cmmn]:[nm_cmmn]],$A6),SUMIFS(modif2[budget_N+9],modif2[inter_N+9],regle!$H$11,modif2[[nm_cmmn]:[nm_cmmn]],$A6),SUMIFS(modif2[budget_N+9],modif2[inter_N+9],regle!$I$11,modif2[[nm_cmmn]:[nm_cmmn]],$A6))</f>
        <v>18776.102400000003</v>
      </c>
      <c r="L6" s="26">
        <f>SUM(SUMIFS(modif2[budget_N+10],modif2[inter_N+10],regle!$F$11,modif2[[nm_cmmn]:[nm_cmmn]],$A6),SUMIFS(modif2[budget_N+10],modif2[inter_N+10],regle!$G$11,modif2[[nm_cmmn]:[nm_cmmn]],$A6),SUMIFS(modif2[budget_N+10],modif2[inter_N+10],regle!$H$11,modif2[[nm_cmmn]:[nm_cmmn]],$A6),SUMIFS(modif2[budget_N+10],modif2[inter_N+10],regle!$I$11,modif2[[nm_cmmn]:[nm_cmmn]],$A6))</f>
        <v>23874.480800000001</v>
      </c>
    </row>
    <row r="7" spans="1:12" ht="15.75" x14ac:dyDescent="0.25">
      <c r="A7" s="32" t="str">
        <f>regle!B40</f>
        <v>MANO</v>
      </c>
      <c r="B7" s="28">
        <f t="shared" si="0"/>
        <v>103133.7936</v>
      </c>
      <c r="C7" s="26">
        <f>SUM(SUMIFS(modif2[budget_N+1],modif2[inter_N+1],regle!$F$11,modif2[[nm_cmmn]:[nm_cmmn]],$A7),SUMIFS(modif2[budget_N+1],modif2[inter_N+1],regle!$G$11,modif2[[nm_cmmn]:[nm_cmmn]],$A7),SUMIFS(modif2[budget_N+1],modif2[inter_N+1],regle!$H$11,modif2[[nm_cmmn]:[nm_cmmn]],$A7),SUMIFS(modif2[budget_N+1],modif2[inter_N+1],regle!$I$11,modif2[[nm_cmmn]:[nm_cmmn]],$A7))</f>
        <v>0</v>
      </c>
      <c r="D7" s="26">
        <f>SUM(SUMIFS(modif2[budget_N+2],modif2[inter_N+2],regle!$F$11,modif2[[nm_cmmn]:[nm_cmmn]],$A7),SUMIFS(modif2[budget_N+2],modif2[inter_N+2],regle!$G$11,modif2[[nm_cmmn]:[nm_cmmn]],$A7),SUMIFS(modif2[budget_N+2],modif2[inter_N+2],regle!$H$11,modif2[[nm_cmmn]:[nm_cmmn]],$A7),SUMIFS(modif2[budget_N+2],modif2[inter_N+2],regle!$I$11,modif2[[nm_cmmn]:[nm_cmmn]],$A7))</f>
        <v>28574.630399999998</v>
      </c>
      <c r="E7" s="26">
        <f>SUM(SUMIFS(modif2[budget_N+3],modif2[inter_N+3],regle!$F$11,modif2[[nm_cmmn]:[nm_cmmn]],$A7),SUMIFS(modif2[budget_N+3],modif2[inter_N+3],regle!$G$11,modif2[[nm_cmmn]:[nm_cmmn]],$A7),SUMIFS(modif2[budget_N+3],modif2[inter_N+3],regle!$H$11,modif2[[nm_cmmn]:[nm_cmmn]],$A7),SUMIFS(modif2[budget_N+3],modif2[inter_N+3],regle!$I$11,modif2[[nm_cmmn]:[nm_cmmn]],$A7))</f>
        <v>2914.7903999999999</v>
      </c>
      <c r="F7" s="26">
        <f>SUM(SUMIFS(modif2[budget_N+4],modif2[inter_N+4],regle!$F$11,modif2[[nm_cmmn]:[nm_cmmn]],$A7),SUMIFS(modif2[budget_N+4],modif2[inter_N+4],regle!$G$11,modif2[[nm_cmmn]:[nm_cmmn]],$A7),SUMIFS(modif2[budget_N+4],modif2[inter_N+4],regle!$H$11,modif2[[nm_cmmn]:[nm_cmmn]],$A7),SUMIFS(modif2[budget_N+4],modif2[inter_N+4],regle!$I$11,modif2[[nm_cmmn]:[nm_cmmn]],$A7))</f>
        <v>16574.412800000002</v>
      </c>
      <c r="G7" s="26">
        <f>SUM(SUMIFS(modif2[budget_N+5],modif2[inter_N+5],regle!$F$11,modif2[[nm_cmmn]:[nm_cmmn]],$A7),SUMIFS(modif2[budget_N+5],modif2[inter_N+5],regle!$G$11,modif2[[nm_cmmn]:[nm_cmmn]],$A7),SUMIFS(modif2[budget_N+5],modif2[inter_N+5],regle!$H$11,modif2[[nm_cmmn]:[nm_cmmn]],$A7),SUMIFS(modif2[budget_N+5],modif2[inter_N+5],regle!$I$11,modif2[[nm_cmmn]:[nm_cmmn]],$A7))</f>
        <v>0</v>
      </c>
      <c r="H7" s="26">
        <f>SUM(SUMIFS(modif2[budget_N+6],modif2[inter_N+6],regle!$F$11,modif2[[nm_cmmn]:[nm_cmmn]],$A7),SUMIFS(modif2[budget_N+6],modif2[inter_N+6],regle!$G$11,modif2[[nm_cmmn]:[nm_cmmn]],$A7),SUMIFS(modif2[budget_N+6],modif2[inter_N+6],regle!$H$11,modif2[[nm_cmmn]:[nm_cmmn]],$A7),SUMIFS(modif2[budget_N+6],modif2[inter_N+6],regle!$I$11,modif2[[nm_cmmn]:[nm_cmmn]],$A7))</f>
        <v>35751.576000000001</v>
      </c>
      <c r="I7" s="26">
        <f>SUM(SUMIFS(modif2[budget_N+7],modif2[inter_N+7],regle!$F$11,modif2[[nm_cmmn]:[nm_cmmn]],$A7),SUMIFS(modif2[budget_N+7],modif2[inter_N+7],regle!$G$11,modif2[[nm_cmmn]:[nm_cmmn]],$A7),SUMIFS(modif2[budget_N+7],modif2[inter_N+7],regle!$H$11,modif2[[nm_cmmn]:[nm_cmmn]],$A7),SUMIFS(modif2[budget_N+7],modif2[inter_N+7],regle!$I$11,modif2[[nm_cmmn]:[nm_cmmn]],$A7))</f>
        <v>4250.7359999999999</v>
      </c>
      <c r="J7" s="26">
        <f>SUM(SUMIFS(modif2[budget_N+8],modif2[inter_N+8],regle!$F$11,modif2[[nm_cmmn]:[nm_cmmn]],$A7),SUMIFS(modif2[budget_N+8],modif2[inter_N+8],regle!$G$11,modif2[[nm_cmmn]:[nm_cmmn]],$A7),SUMIFS(modif2[budget_N+8],modif2[inter_N+8],regle!$H$11,modif2[[nm_cmmn]:[nm_cmmn]],$A7),SUMIFS(modif2[budget_N+8],modif2[inter_N+8],regle!$I$11,modif2[[nm_cmmn]:[nm_cmmn]],$A7))</f>
        <v>0</v>
      </c>
      <c r="K7" s="26">
        <f>SUM(SUMIFS(modif2[budget_N+9],modif2[inter_N+9],regle!$F$11,modif2[[nm_cmmn]:[nm_cmmn]],$A7),SUMIFS(modif2[budget_N+9],modif2[inter_N+9],regle!$G$11,modif2[[nm_cmmn]:[nm_cmmn]],$A7),SUMIFS(modif2[budget_N+9],modif2[inter_N+9],regle!$H$11,modif2[[nm_cmmn]:[nm_cmmn]],$A7),SUMIFS(modif2[budget_N+9],modif2[inter_N+9],regle!$I$11,modif2[[nm_cmmn]:[nm_cmmn]],$A7))</f>
        <v>15067.648000000001</v>
      </c>
      <c r="L7" s="26">
        <f>SUM(SUMIFS(modif2[budget_N+10],modif2[inter_N+10],regle!$F$11,modif2[[nm_cmmn]:[nm_cmmn]],$A7),SUMIFS(modif2[budget_N+10],modif2[inter_N+10],regle!$G$11,modif2[[nm_cmmn]:[nm_cmmn]],$A7),SUMIFS(modif2[budget_N+10],modif2[inter_N+10],regle!$H$11,modif2[[nm_cmmn]:[nm_cmmn]],$A7),SUMIFS(modif2[budget_N+10],modif2[inter_N+10],regle!$I$11,modif2[[nm_cmmn]:[nm_cmmn]],$A7))</f>
        <v>0</v>
      </c>
    </row>
    <row r="8" spans="1:12" ht="15.75" x14ac:dyDescent="0.25">
      <c r="A8" s="32" t="str">
        <f>regle!B41</f>
        <v>GUILLOS</v>
      </c>
      <c r="B8" s="28">
        <f t="shared" si="0"/>
        <v>10386.788799999998</v>
      </c>
      <c r="C8" s="26">
        <f>SUM(SUMIFS(modif2[budget_N+1],modif2[inter_N+1],regle!$F$11,modif2[[nm_cmmn]:[nm_cmmn]],$A8),SUMIFS(modif2[budget_N+1],modif2[inter_N+1],regle!$G$11,modif2[[nm_cmmn]:[nm_cmmn]],$A8),SUMIFS(modif2[budget_N+1],modif2[inter_N+1],regle!$H$11,modif2[[nm_cmmn]:[nm_cmmn]],$A8),SUMIFS(modif2[budget_N+1],modif2[inter_N+1],regle!$I$11,modif2[[nm_cmmn]:[nm_cmmn]],$A8))</f>
        <v>0</v>
      </c>
      <c r="D8" s="26">
        <f>SUM(SUMIFS(modif2[budget_N+2],modif2[inter_N+2],regle!$F$11,modif2[[nm_cmmn]:[nm_cmmn]],$A8),SUMIFS(modif2[budget_N+2],modif2[inter_N+2],regle!$G$11,modif2[[nm_cmmn]:[nm_cmmn]],$A8),SUMIFS(modif2[budget_N+2],modif2[inter_N+2],regle!$H$11,modif2[[nm_cmmn]:[nm_cmmn]],$A8),SUMIFS(modif2[budget_N+2],modif2[inter_N+2],regle!$I$11,modif2[[nm_cmmn]:[nm_cmmn]],$A8))</f>
        <v>0</v>
      </c>
      <c r="E8" s="26">
        <f>SUM(SUMIFS(modif2[budget_N+3],modif2[inter_N+3],regle!$F$11,modif2[[nm_cmmn]:[nm_cmmn]],$A8),SUMIFS(modif2[budget_N+3],modif2[inter_N+3],regle!$G$11,modif2[[nm_cmmn]:[nm_cmmn]],$A8),SUMIFS(modif2[budget_N+3],modif2[inter_N+3],regle!$H$11,modif2[[nm_cmmn]:[nm_cmmn]],$A8),SUMIFS(modif2[budget_N+3],modif2[inter_N+3],regle!$I$11,modif2[[nm_cmmn]:[nm_cmmn]],$A8))</f>
        <v>0</v>
      </c>
      <c r="F8" s="26">
        <f>SUM(SUMIFS(modif2[budget_N+4],modif2[inter_N+4],regle!$F$11,modif2[[nm_cmmn]:[nm_cmmn]],$A8),SUMIFS(modif2[budget_N+4],modif2[inter_N+4],regle!$G$11,modif2[[nm_cmmn]:[nm_cmmn]],$A8),SUMIFS(modif2[budget_N+4],modif2[inter_N+4],regle!$H$11,modif2[[nm_cmmn]:[nm_cmmn]],$A8),SUMIFS(modif2[budget_N+4],modif2[inter_N+4],regle!$I$11,modif2[[nm_cmmn]:[nm_cmmn]],$A8))</f>
        <v>4612.8879999999999</v>
      </c>
      <c r="G8" s="26">
        <f>SUM(SUMIFS(modif2[budget_N+5],modif2[inter_N+5],regle!$F$11,modif2[[nm_cmmn]:[nm_cmmn]],$A8),SUMIFS(modif2[budget_N+5],modif2[inter_N+5],regle!$G$11,modif2[[nm_cmmn]:[nm_cmmn]],$A8),SUMIFS(modif2[budget_N+5],modif2[inter_N+5],regle!$H$11,modif2[[nm_cmmn]:[nm_cmmn]],$A8),SUMIFS(modif2[budget_N+5],modif2[inter_N+5],regle!$I$11,modif2[[nm_cmmn]:[nm_cmmn]],$A8))</f>
        <v>0</v>
      </c>
      <c r="H8" s="26">
        <f>SUM(SUMIFS(modif2[budget_N+6],modif2[inter_N+6],regle!$F$11,modif2[[nm_cmmn]:[nm_cmmn]],$A8),SUMIFS(modif2[budget_N+6],modif2[inter_N+6],regle!$G$11,modif2[[nm_cmmn]:[nm_cmmn]],$A8),SUMIFS(modif2[budget_N+6],modif2[inter_N+6],regle!$H$11,modif2[[nm_cmmn]:[nm_cmmn]],$A8),SUMIFS(modif2[budget_N+6],modif2[inter_N+6],regle!$I$11,modif2[[nm_cmmn]:[nm_cmmn]],$A8))</f>
        <v>0</v>
      </c>
      <c r="I8" s="26">
        <f>SUM(SUMIFS(modif2[budget_N+7],modif2[inter_N+7],regle!$F$11,modif2[[nm_cmmn]:[nm_cmmn]],$A8),SUMIFS(modif2[budget_N+7],modif2[inter_N+7],regle!$G$11,modif2[[nm_cmmn]:[nm_cmmn]],$A8),SUMIFS(modif2[budget_N+7],modif2[inter_N+7],regle!$H$11,modif2[[nm_cmmn]:[nm_cmmn]],$A8),SUMIFS(modif2[budget_N+7],modif2[inter_N+7],regle!$I$11,modif2[[nm_cmmn]:[nm_cmmn]],$A8))</f>
        <v>0</v>
      </c>
      <c r="J8" s="26">
        <f>SUM(SUMIFS(modif2[budget_N+8],modif2[inter_N+8],regle!$F$11,modif2[[nm_cmmn]:[nm_cmmn]],$A8),SUMIFS(modif2[budget_N+8],modif2[inter_N+8],regle!$G$11,modif2[[nm_cmmn]:[nm_cmmn]],$A8),SUMIFS(modif2[budget_N+8],modif2[inter_N+8],regle!$H$11,modif2[[nm_cmmn]:[nm_cmmn]],$A8),SUMIFS(modif2[budget_N+8],modif2[inter_N+8],regle!$I$11,modif2[[nm_cmmn]:[nm_cmmn]],$A8))</f>
        <v>0</v>
      </c>
      <c r="K8" s="26">
        <f>SUM(SUMIFS(modif2[budget_N+9],modif2[inter_N+9],regle!$F$11,modif2[[nm_cmmn]:[nm_cmmn]],$A8),SUMIFS(modif2[budget_N+9],modif2[inter_N+9],regle!$G$11,modif2[[nm_cmmn]:[nm_cmmn]],$A8),SUMIFS(modif2[budget_N+9],modif2[inter_N+9],regle!$H$11,modif2[[nm_cmmn]:[nm_cmmn]],$A8),SUMIFS(modif2[budget_N+9],modif2[inter_N+9],regle!$I$11,modif2[[nm_cmmn]:[nm_cmmn]],$A8))</f>
        <v>5773.9007999999994</v>
      </c>
      <c r="L8" s="26">
        <f>SUM(SUMIFS(modif2[budget_N+10],modif2[inter_N+10],regle!$F$11,modif2[[nm_cmmn]:[nm_cmmn]],$A8),SUMIFS(modif2[budget_N+10],modif2[inter_N+10],regle!$G$11,modif2[[nm_cmmn]:[nm_cmmn]],$A8),SUMIFS(modif2[budget_N+10],modif2[inter_N+10],regle!$H$11,modif2[[nm_cmmn]:[nm_cmmn]],$A8),SUMIFS(modif2[budget_N+10],modif2[inter_N+10],regle!$I$11,modif2[[nm_cmmn]:[nm_cmmn]],$A8))</f>
        <v>0</v>
      </c>
    </row>
    <row r="9" spans="1:12" ht="15.75" x14ac:dyDescent="0.25">
      <c r="A9" s="32" t="str">
        <f>regle!B42</f>
        <v>MOUSTEY</v>
      </c>
      <c r="B9" s="28">
        <f t="shared" si="0"/>
        <v>86880.06719999999</v>
      </c>
      <c r="C9" s="26">
        <f>SUM(SUMIFS(modif2[budget_N+1],modif2[inter_N+1],regle!$F$11,modif2[[nm_cmmn]:[nm_cmmn]],$A9),SUMIFS(modif2[budget_N+1],modif2[inter_N+1],regle!$G$11,modif2[[nm_cmmn]:[nm_cmmn]],$A9),SUMIFS(modif2[budget_N+1],modif2[inter_N+1],regle!$H$11,modif2[[nm_cmmn]:[nm_cmmn]],$A9),SUMIFS(modif2[budget_N+1],modif2[inter_N+1],regle!$I$11,modif2[[nm_cmmn]:[nm_cmmn]],$A9))</f>
        <v>0</v>
      </c>
      <c r="D9" s="26">
        <f>SUM(SUMIFS(modif2[budget_N+2],modif2[inter_N+2],regle!$F$11,modif2[[nm_cmmn]:[nm_cmmn]],$A9),SUMIFS(modif2[budget_N+2],modif2[inter_N+2],regle!$G$11,modif2[[nm_cmmn]:[nm_cmmn]],$A9),SUMIFS(modif2[budget_N+2],modif2[inter_N+2],regle!$H$11,modif2[[nm_cmmn]:[nm_cmmn]],$A9),SUMIFS(modif2[budget_N+2],modif2[inter_N+2],regle!$I$11,modif2[[nm_cmmn]:[nm_cmmn]],$A9))</f>
        <v>0</v>
      </c>
      <c r="E9" s="26">
        <f>SUM(SUMIFS(modif2[budget_N+3],modif2[inter_N+3],regle!$F$11,modif2[[nm_cmmn]:[nm_cmmn]],$A9),SUMIFS(modif2[budget_N+3],modif2[inter_N+3],regle!$G$11,modif2[[nm_cmmn]:[nm_cmmn]],$A9),SUMIFS(modif2[budget_N+3],modif2[inter_N+3],regle!$H$11,modif2[[nm_cmmn]:[nm_cmmn]],$A9),SUMIFS(modif2[budget_N+3],modif2[inter_N+3],regle!$I$11,modif2[[nm_cmmn]:[nm_cmmn]],$A9))</f>
        <v>28125.619199999997</v>
      </c>
      <c r="F9" s="26">
        <f>SUM(SUMIFS(modif2[budget_N+4],modif2[inter_N+4],regle!$F$11,modif2[[nm_cmmn]:[nm_cmmn]],$A9),SUMIFS(modif2[budget_N+4],modif2[inter_N+4],regle!$G$11,modif2[[nm_cmmn]:[nm_cmmn]],$A9),SUMIFS(modif2[budget_N+4],modif2[inter_N+4],regle!$H$11,modif2[[nm_cmmn]:[nm_cmmn]],$A9),SUMIFS(modif2[budget_N+4],modif2[inter_N+4],regle!$I$11,modif2[[nm_cmmn]:[nm_cmmn]],$A9))</f>
        <v>302.74559999999997</v>
      </c>
      <c r="G9" s="26">
        <f>SUM(SUMIFS(modif2[budget_N+5],modif2[inter_N+5],regle!$F$11,modif2[[nm_cmmn]:[nm_cmmn]],$A9),SUMIFS(modif2[budget_N+5],modif2[inter_N+5],regle!$G$11,modif2[[nm_cmmn]:[nm_cmmn]],$A9),SUMIFS(modif2[budget_N+5],modif2[inter_N+5],regle!$H$11,modif2[[nm_cmmn]:[nm_cmmn]],$A9),SUMIFS(modif2[budget_N+5],modif2[inter_N+5],regle!$I$11,modif2[[nm_cmmn]:[nm_cmmn]],$A9))</f>
        <v>0</v>
      </c>
      <c r="H9" s="26">
        <f>SUM(SUMIFS(modif2[budget_N+6],modif2[inter_N+6],regle!$F$11,modif2[[nm_cmmn]:[nm_cmmn]],$A9),SUMIFS(modif2[budget_N+6],modif2[inter_N+6],regle!$G$11,modif2[[nm_cmmn]:[nm_cmmn]],$A9),SUMIFS(modif2[budget_N+6],modif2[inter_N+6],regle!$H$11,modif2[[nm_cmmn]:[nm_cmmn]],$A9),SUMIFS(modif2[budget_N+6],modif2[inter_N+6],regle!$I$11,modif2[[nm_cmmn]:[nm_cmmn]],$A9))</f>
        <v>5776.243199999999</v>
      </c>
      <c r="I9" s="26">
        <f>SUM(SUMIFS(modif2[budget_N+7],modif2[inter_N+7],regle!$F$11,modif2[[nm_cmmn]:[nm_cmmn]],$A9),SUMIFS(modif2[budget_N+7],modif2[inter_N+7],regle!$G$11,modif2[[nm_cmmn]:[nm_cmmn]],$A9),SUMIFS(modif2[budget_N+7],modif2[inter_N+7],regle!$H$11,modif2[[nm_cmmn]:[nm_cmmn]],$A9),SUMIFS(modif2[budget_N+7],modif2[inter_N+7],regle!$I$11,modif2[[nm_cmmn]:[nm_cmmn]],$A9))</f>
        <v>11217.4272</v>
      </c>
      <c r="J9" s="26">
        <f>SUM(SUMIFS(modif2[budget_N+8],modif2[inter_N+8],regle!$F$11,modif2[[nm_cmmn]:[nm_cmmn]],$A9),SUMIFS(modif2[budget_N+8],modif2[inter_N+8],regle!$G$11,modif2[[nm_cmmn]:[nm_cmmn]],$A9),SUMIFS(modif2[budget_N+8],modif2[inter_N+8],regle!$H$11,modif2[[nm_cmmn]:[nm_cmmn]],$A9),SUMIFS(modif2[budget_N+8],modif2[inter_N+8],regle!$I$11,modif2[[nm_cmmn]:[nm_cmmn]],$A9))</f>
        <v>41458.032000000007</v>
      </c>
      <c r="K9" s="26">
        <f>SUM(SUMIFS(modif2[budget_N+9],modif2[inter_N+9],regle!$F$11,modif2[[nm_cmmn]:[nm_cmmn]],$A9),SUMIFS(modif2[budget_N+9],modif2[inter_N+9],regle!$G$11,modif2[[nm_cmmn]:[nm_cmmn]],$A9),SUMIFS(modif2[budget_N+9],modif2[inter_N+9],regle!$H$11,modif2[[nm_cmmn]:[nm_cmmn]],$A9),SUMIFS(modif2[budget_N+9],modif2[inter_N+9],regle!$I$11,modif2[[nm_cmmn]:[nm_cmmn]],$A9))</f>
        <v>0</v>
      </c>
      <c r="L9" s="26">
        <f>SUM(SUMIFS(modif2[budget_N+10],modif2[inter_N+10],regle!$F$11,modif2[[nm_cmmn]:[nm_cmmn]],$A9),SUMIFS(modif2[budget_N+10],modif2[inter_N+10],regle!$G$11,modif2[[nm_cmmn]:[nm_cmmn]],$A9),SUMIFS(modif2[budget_N+10],modif2[inter_N+10],regle!$H$11,modif2[[nm_cmmn]:[nm_cmmn]],$A9),SUMIFS(modif2[budget_N+10],modif2[inter_N+10],regle!$I$11,modif2[[nm_cmmn]:[nm_cmmn]],$A9))</f>
        <v>0</v>
      </c>
    </row>
    <row r="10" spans="1:12" ht="15.75" x14ac:dyDescent="0.25">
      <c r="A10" s="32" t="str">
        <f>regle!B43</f>
        <v>HOSTENS</v>
      </c>
      <c r="B10" s="28">
        <f t="shared" si="0"/>
        <v>113457.1816</v>
      </c>
      <c r="C10" s="26">
        <f>SUM(SUMIFS(modif2[budget_N+1],modif2[inter_N+1],regle!$F$11,modif2[[nm_cmmn]:[nm_cmmn]],$A10),SUMIFS(modif2[budget_N+1],modif2[inter_N+1],regle!$G$11,modif2[[nm_cmmn]:[nm_cmmn]],$A10),SUMIFS(modif2[budget_N+1],modif2[inter_N+1],regle!$H$11,modif2[[nm_cmmn]:[nm_cmmn]],$A10),SUMIFS(modif2[budget_N+1],modif2[inter_N+1],regle!$I$11,modif2[[nm_cmmn]:[nm_cmmn]],$A10))</f>
        <v>0</v>
      </c>
      <c r="D10" s="26">
        <f>SUM(SUMIFS(modif2[budget_N+2],modif2[inter_N+2],regle!$F$11,modif2[[nm_cmmn]:[nm_cmmn]],$A10),SUMIFS(modif2[budget_N+2],modif2[inter_N+2],regle!$G$11,modif2[[nm_cmmn]:[nm_cmmn]],$A10),SUMIFS(modif2[budget_N+2],modif2[inter_N+2],regle!$H$11,modif2[[nm_cmmn]:[nm_cmmn]],$A10),SUMIFS(modif2[budget_N+2],modif2[inter_N+2],regle!$I$11,modif2[[nm_cmmn]:[nm_cmmn]],$A10))</f>
        <v>4516.7639999999992</v>
      </c>
      <c r="E10" s="26">
        <f>SUM(SUMIFS(modif2[budget_N+3],modif2[inter_N+3],regle!$F$11,modif2[[nm_cmmn]:[nm_cmmn]],$A10),SUMIFS(modif2[budget_N+3],modif2[inter_N+3],regle!$G$11,modif2[[nm_cmmn]:[nm_cmmn]],$A10),SUMIFS(modif2[budget_N+3],modif2[inter_N+3],regle!$H$11,modif2[[nm_cmmn]:[nm_cmmn]],$A10),SUMIFS(modif2[budget_N+3],modif2[inter_N+3],regle!$I$11,modif2[[nm_cmmn]:[nm_cmmn]],$A10))</f>
        <v>2014.5664000000006</v>
      </c>
      <c r="F10" s="26">
        <f>SUM(SUMIFS(modif2[budget_N+4],modif2[inter_N+4],regle!$F$11,modif2[[nm_cmmn]:[nm_cmmn]],$A10),SUMIFS(modif2[budget_N+4],modif2[inter_N+4],regle!$G$11,modif2[[nm_cmmn]:[nm_cmmn]],$A10),SUMIFS(modif2[budget_N+4],modif2[inter_N+4],regle!$H$11,modif2[[nm_cmmn]:[nm_cmmn]],$A10),SUMIFS(modif2[budget_N+4],modif2[inter_N+4],regle!$I$11,modif2[[nm_cmmn]:[nm_cmmn]],$A10))</f>
        <v>18708.926399999993</v>
      </c>
      <c r="G10" s="26">
        <f>SUM(SUMIFS(modif2[budget_N+5],modif2[inter_N+5],regle!$F$11,modif2[[nm_cmmn]:[nm_cmmn]],$A10),SUMIFS(modif2[budget_N+5],modif2[inter_N+5],regle!$G$11,modif2[[nm_cmmn]:[nm_cmmn]],$A10),SUMIFS(modif2[budget_N+5],modif2[inter_N+5],regle!$H$11,modif2[[nm_cmmn]:[nm_cmmn]],$A10),SUMIFS(modif2[budget_N+5],modif2[inter_N+5],regle!$I$11,modif2[[nm_cmmn]:[nm_cmmn]],$A10))</f>
        <v>8512.1280000000006</v>
      </c>
      <c r="H10" s="26">
        <f>SUM(SUMIFS(modif2[budget_N+6],modif2[inter_N+6],regle!$F$11,modif2[[nm_cmmn]:[nm_cmmn]],$A10),SUMIFS(modif2[budget_N+6],modif2[inter_N+6],regle!$G$11,modif2[[nm_cmmn]:[nm_cmmn]],$A10),SUMIFS(modif2[budget_N+6],modif2[inter_N+6],regle!$H$11,modif2[[nm_cmmn]:[nm_cmmn]],$A10),SUMIFS(modif2[budget_N+6],modif2[inter_N+6],regle!$I$11,modif2[[nm_cmmn]:[nm_cmmn]],$A10))</f>
        <v>6582.8223999999991</v>
      </c>
      <c r="I10" s="26">
        <f>SUM(SUMIFS(modif2[budget_N+7],modif2[inter_N+7],regle!$F$11,modif2[[nm_cmmn]:[nm_cmmn]],$A10),SUMIFS(modif2[budget_N+7],modif2[inter_N+7],regle!$G$11,modif2[[nm_cmmn]:[nm_cmmn]],$A10),SUMIFS(modif2[budget_N+7],modif2[inter_N+7],regle!$H$11,modif2[[nm_cmmn]:[nm_cmmn]],$A10),SUMIFS(modif2[budget_N+7],modif2[inter_N+7],regle!$I$11,modif2[[nm_cmmn]:[nm_cmmn]],$A10))</f>
        <v>8340.7168000000001</v>
      </c>
      <c r="J10" s="26">
        <f>SUM(SUMIFS(modif2[budget_N+8],modif2[inter_N+8],regle!$F$11,modif2[[nm_cmmn]:[nm_cmmn]],$A10),SUMIFS(modif2[budget_N+8],modif2[inter_N+8],regle!$G$11,modif2[[nm_cmmn]:[nm_cmmn]],$A10),SUMIFS(modif2[budget_N+8],modif2[inter_N+8],regle!$H$11,modif2[[nm_cmmn]:[nm_cmmn]],$A10),SUMIFS(modif2[budget_N+8],modif2[inter_N+8],regle!$I$11,modif2[[nm_cmmn]:[nm_cmmn]],$A10))</f>
        <v>14433.382400000002</v>
      </c>
      <c r="K10" s="26">
        <f>SUM(SUMIFS(modif2[budget_N+9],modif2[inter_N+9],regle!$F$11,modif2[[nm_cmmn]:[nm_cmmn]],$A10),SUMIFS(modif2[budget_N+9],modif2[inter_N+9],regle!$G$11,modif2[[nm_cmmn]:[nm_cmmn]],$A10),SUMIFS(modif2[budget_N+9],modif2[inter_N+9],regle!$H$11,modif2[[nm_cmmn]:[nm_cmmn]],$A10),SUMIFS(modif2[budget_N+9],modif2[inter_N+9],regle!$I$11,modif2[[nm_cmmn]:[nm_cmmn]],$A10))</f>
        <v>4358.4768000000004</v>
      </c>
      <c r="L10" s="26">
        <f>SUM(SUMIFS(modif2[budget_N+10],modif2[inter_N+10],regle!$F$11,modif2[[nm_cmmn]:[nm_cmmn]],$A10),SUMIFS(modif2[budget_N+10],modif2[inter_N+10],regle!$G$11,modif2[[nm_cmmn]:[nm_cmmn]],$A10),SUMIFS(modif2[budget_N+10],modif2[inter_N+10],regle!$H$11,modif2[[nm_cmmn]:[nm_cmmn]],$A10),SUMIFS(modif2[budget_N+10],modif2[inter_N+10],regle!$I$11,modif2[[nm_cmmn]:[nm_cmmn]],$A10))</f>
        <v>45989.398400000005</v>
      </c>
    </row>
    <row r="11" spans="1:12" ht="15.75" x14ac:dyDescent="0.25">
      <c r="A11" s="32" t="str">
        <f>regle!B44</f>
        <v>LE TUZAN</v>
      </c>
      <c r="B11" s="28">
        <f t="shared" si="0"/>
        <v>324889.42079999996</v>
      </c>
      <c r="C11" s="26">
        <f>SUM(SUMIFS(modif2[budget_N+1],modif2[inter_N+1],regle!$F$11,modif2[[nm_cmmn]:[nm_cmmn]],$A11),SUMIFS(modif2[budget_N+1],modif2[inter_N+1],regle!$G$11,modif2[[nm_cmmn]:[nm_cmmn]],$A11),SUMIFS(modif2[budget_N+1],modif2[inter_N+1],regle!$H$11,modif2[[nm_cmmn]:[nm_cmmn]],$A11),SUMIFS(modif2[budget_N+1],modif2[inter_N+1],regle!$I$11,modif2[[nm_cmmn]:[nm_cmmn]],$A11))</f>
        <v>0</v>
      </c>
      <c r="D11" s="26">
        <f>SUM(SUMIFS(modif2[budget_N+2],modif2[inter_N+2],regle!$F$11,modif2[[nm_cmmn]:[nm_cmmn]],$A11),SUMIFS(modif2[budget_N+2],modif2[inter_N+2],regle!$G$11,modif2[[nm_cmmn]:[nm_cmmn]],$A11),SUMIFS(modif2[budget_N+2],modif2[inter_N+2],regle!$H$11,modif2[[nm_cmmn]:[nm_cmmn]],$A11),SUMIFS(modif2[budget_N+2],modif2[inter_N+2],regle!$I$11,modif2[[nm_cmmn]:[nm_cmmn]],$A11))</f>
        <v>36987.814399999996</v>
      </c>
      <c r="E11" s="26">
        <f>SUM(SUMIFS(modif2[budget_N+3],modif2[inter_N+3],regle!$F$11,modif2[[nm_cmmn]:[nm_cmmn]],$A11),SUMIFS(modif2[budget_N+3],modif2[inter_N+3],regle!$G$11,modif2[[nm_cmmn]:[nm_cmmn]],$A11),SUMIFS(modif2[budget_N+3],modif2[inter_N+3],regle!$H$11,modif2[[nm_cmmn]:[nm_cmmn]],$A11),SUMIFS(modif2[budget_N+3],modif2[inter_N+3],regle!$I$11,modif2[[nm_cmmn]:[nm_cmmn]],$A11))</f>
        <v>35463.621599999991</v>
      </c>
      <c r="F11" s="26">
        <f>SUM(SUMIFS(modif2[budget_N+4],modif2[inter_N+4],regle!$F$11,modif2[[nm_cmmn]:[nm_cmmn]],$A11),SUMIFS(modif2[budget_N+4],modif2[inter_N+4],regle!$G$11,modif2[[nm_cmmn]:[nm_cmmn]],$A11),SUMIFS(modif2[budget_N+4],modif2[inter_N+4],regle!$H$11,modif2[[nm_cmmn]:[nm_cmmn]],$A11),SUMIFS(modif2[budget_N+4],modif2[inter_N+4],regle!$I$11,modif2[[nm_cmmn]:[nm_cmmn]],$A11))</f>
        <v>57382.500800000009</v>
      </c>
      <c r="G11" s="26">
        <f>SUM(SUMIFS(modif2[budget_N+5],modif2[inter_N+5],regle!$F$11,modif2[[nm_cmmn]:[nm_cmmn]],$A11),SUMIFS(modif2[budget_N+5],modif2[inter_N+5],regle!$G$11,modif2[[nm_cmmn]:[nm_cmmn]],$A11),SUMIFS(modif2[budget_N+5],modif2[inter_N+5],regle!$H$11,modif2[[nm_cmmn]:[nm_cmmn]],$A11),SUMIFS(modif2[budget_N+5],modif2[inter_N+5],regle!$I$11,modif2[[nm_cmmn]:[nm_cmmn]],$A11))</f>
        <v>10736.064</v>
      </c>
      <c r="H11" s="26">
        <f>SUM(SUMIFS(modif2[budget_N+6],modif2[inter_N+6],regle!$F$11,modif2[[nm_cmmn]:[nm_cmmn]],$A11),SUMIFS(modif2[budget_N+6],modif2[inter_N+6],regle!$G$11,modif2[[nm_cmmn]:[nm_cmmn]],$A11),SUMIFS(modif2[budget_N+6],modif2[inter_N+6],regle!$H$11,modif2[[nm_cmmn]:[nm_cmmn]],$A11),SUMIFS(modif2[budget_N+6],modif2[inter_N+6],regle!$I$11,modif2[[nm_cmmn]:[nm_cmmn]],$A11))</f>
        <v>42631.991999999998</v>
      </c>
      <c r="I11" s="26">
        <f>SUM(SUMIFS(modif2[budget_N+7],modif2[inter_N+7],regle!$F$11,modif2[[nm_cmmn]:[nm_cmmn]],$A11),SUMIFS(modif2[budget_N+7],modif2[inter_N+7],regle!$G$11,modif2[[nm_cmmn]:[nm_cmmn]],$A11),SUMIFS(modif2[budget_N+7],modif2[inter_N+7],regle!$H$11,modif2[[nm_cmmn]:[nm_cmmn]],$A11),SUMIFS(modif2[budget_N+7],modif2[inter_N+7],regle!$I$11,modif2[[nm_cmmn]:[nm_cmmn]],$A11))</f>
        <v>13902.796</v>
      </c>
      <c r="J11" s="26">
        <f>SUM(SUMIFS(modif2[budget_N+8],modif2[inter_N+8],regle!$F$11,modif2[[nm_cmmn]:[nm_cmmn]],$A11),SUMIFS(modif2[budget_N+8],modif2[inter_N+8],regle!$G$11,modif2[[nm_cmmn]:[nm_cmmn]],$A11),SUMIFS(modif2[budget_N+8],modif2[inter_N+8],regle!$H$11,modif2[[nm_cmmn]:[nm_cmmn]],$A11),SUMIFS(modif2[budget_N+8],modif2[inter_N+8],regle!$I$11,modif2[[nm_cmmn]:[nm_cmmn]],$A11))</f>
        <v>55775.635200000004</v>
      </c>
      <c r="K11" s="26">
        <f>SUM(SUMIFS(modif2[budget_N+9],modif2[inter_N+9],regle!$F$11,modif2[[nm_cmmn]:[nm_cmmn]],$A11),SUMIFS(modif2[budget_N+9],modif2[inter_N+9],regle!$G$11,modif2[[nm_cmmn]:[nm_cmmn]],$A11),SUMIFS(modif2[budget_N+9],modif2[inter_N+9],regle!$H$11,modif2[[nm_cmmn]:[nm_cmmn]],$A11),SUMIFS(modif2[budget_N+9],modif2[inter_N+9],regle!$I$11,modif2[[nm_cmmn]:[nm_cmmn]],$A11))</f>
        <v>45545.804799999991</v>
      </c>
      <c r="L11" s="26">
        <f>SUM(SUMIFS(modif2[budget_N+10],modif2[inter_N+10],regle!$F$11,modif2[[nm_cmmn]:[nm_cmmn]],$A11),SUMIFS(modif2[budget_N+10],modif2[inter_N+10],regle!$G$11,modif2[[nm_cmmn]:[nm_cmmn]],$A11),SUMIFS(modif2[budget_N+10],modif2[inter_N+10],regle!$H$11,modif2[[nm_cmmn]:[nm_cmmn]],$A11),SUMIFS(modif2[budget_N+10],modif2[inter_N+10],regle!$I$11,modif2[[nm_cmmn]:[nm_cmmn]],$A11))</f>
        <v>26463.191999999999</v>
      </c>
    </row>
    <row r="13" spans="1:12" ht="15.75" x14ac:dyDescent="0.25">
      <c r="K13" s="44" t="s">
        <v>1809</v>
      </c>
      <c r="L13" s="45">
        <f>B5/11</f>
        <v>65373.565018181827</v>
      </c>
    </row>
    <row r="14" spans="1:12" ht="15.75" x14ac:dyDescent="0.25">
      <c r="K14" s="44" t="s">
        <v>15</v>
      </c>
      <c r="L14" s="45">
        <f>AVERAGEIF(D5:L5,"&lt;&gt;0")</f>
        <v>79901.023911111115</v>
      </c>
    </row>
    <row r="15" spans="1:12" x14ac:dyDescent="0.25">
      <c r="L15" s="34"/>
    </row>
    <row r="34" spans="1:12" ht="18.75" x14ac:dyDescent="0.3">
      <c r="A34" s="39" t="s">
        <v>1892</v>
      </c>
    </row>
    <row r="35" spans="1:12" ht="15.75" x14ac:dyDescent="0.25">
      <c r="A35" s="30" t="s">
        <v>1816</v>
      </c>
      <c r="B35" s="31" t="s">
        <v>0</v>
      </c>
      <c r="C35" s="31">
        <f>C2</f>
        <v>2024</v>
      </c>
      <c r="D35" s="31">
        <f t="shared" ref="D35:L35" si="2">D2</f>
        <v>2025</v>
      </c>
      <c r="E35" s="31">
        <f t="shared" si="2"/>
        <v>2026</v>
      </c>
      <c r="F35" s="31">
        <f t="shared" si="2"/>
        <v>2027</v>
      </c>
      <c r="G35" s="31">
        <f t="shared" si="2"/>
        <v>2028</v>
      </c>
      <c r="H35" s="31">
        <f t="shared" si="2"/>
        <v>2029</v>
      </c>
      <c r="I35" s="31">
        <f t="shared" si="2"/>
        <v>2030</v>
      </c>
      <c r="J35" s="31">
        <f t="shared" si="2"/>
        <v>2031</v>
      </c>
      <c r="K35" s="31">
        <f t="shared" si="2"/>
        <v>2032</v>
      </c>
      <c r="L35" s="31">
        <f t="shared" si="2"/>
        <v>2033</v>
      </c>
    </row>
    <row r="36" spans="1:12" ht="15.75" x14ac:dyDescent="0.25">
      <c r="A36" s="32" t="str">
        <f>A3</f>
        <v>BASE :</v>
      </c>
      <c r="B36" s="37">
        <f t="shared" ref="B36:B44" si="3">SUM(C36:L36)</f>
        <v>592.63650000000007</v>
      </c>
      <c r="C36" s="35">
        <f>SUM(SUMIFS(modif0[[srfcH]:[srfcH]],modif0[inter_N+1],regle!$C$11),SUMIFS(modif0[[srfcH]:[srfcH]],modif0[inter_N+1],regle!$D$11),SUMIFS(modif0[[srfcH]:[srfcH]],modif0[inter_N+1],regle!$E$11))</f>
        <v>28.630000000000003</v>
      </c>
      <c r="D36" s="35">
        <f>SUM(SUMIFS(modif0[[srfcH]:[srfcH]],modif0[inter_N+2],regle!$C$11),SUMIFS(modif0[[srfcH]:[srfcH]],modif0[inter_N+2],regle!$D$11),SUMIFS(modif0[[srfcH]:[srfcH]],modif0[inter_N+2],regle!$E$11))</f>
        <v>49.555799999999998</v>
      </c>
      <c r="E36" s="35">
        <f>SUM(SUMIFS(modif0[[srfcH]:[srfcH]],modif0[inter_N+3],regle!$C$11),SUMIFS(modif0[[srfcH]:[srfcH]],modif0[inter_N+3],regle!$D$11),SUMIFS(modif0[[srfcH]:[srfcH]],modif0[inter_N+3],regle!$E$11))</f>
        <v>168.15760000000003</v>
      </c>
      <c r="F36" s="35">
        <f>SUM(SUMIFS(modif0[[srfcH]:[srfcH]],modif0[inter_N+4],regle!$C$11),SUMIFS(modif0[[srfcH]:[srfcH]],modif0[inter_N+4],regle!$D$11),SUMIFS(modif0[[srfcH]:[srfcH]],modif0[inter_N+4],regle!$E$11))</f>
        <v>28.630000000000003</v>
      </c>
      <c r="G36" s="35">
        <f>SUM(SUMIFS(modif0[[srfcH]:[srfcH]],modif0[inter_N+5],regle!$C$11),SUMIFS(modif0[[srfcH]:[srfcH]],modif0[inter_N+5],regle!$D$11),SUMIFS(modif0[[srfcH]:[srfcH]],modif0[inter_N+5],regle!$E$11))</f>
        <v>7.9673999999999996</v>
      </c>
      <c r="H36" s="35">
        <f>SUM(SUMIFS(modif0[[srfcH]:[srfcH]],modif0[inter_N+6],regle!$C$11),SUMIFS(modif0[[srfcH]:[srfcH]],modif0[inter_N+6],regle!$D$11),SUMIFS(modif0[[srfcH]:[srfcH]],modif0[inter_N+6],regle!$E$11))</f>
        <v>142.01550000000003</v>
      </c>
      <c r="I36" s="35">
        <f>SUM(SUMIFS(modif0[[srfcH]:[srfcH]],modif0[inter_N+7],regle!$C$11),SUMIFS(modif0[[srfcH]:[srfcH]],modif0[inter_N+7],regle!$D$11),SUMIFS(modif0[[srfcH]:[srfcH]],modif0[inter_N+7],regle!$E$11))</f>
        <v>0</v>
      </c>
      <c r="J36" s="35">
        <f>SUM(SUMIFS(modif0[[srfcH]:[srfcH]],modif0[inter_N+8],regle!$C$11),SUMIFS(modif0[[srfcH]:[srfcH]],modif0[inter_N+8],regle!$D$11),SUMIFS(modif0[[srfcH]:[srfcH]],modif0[inter_N+8],regle!$E$11))</f>
        <v>22.368600000000001</v>
      </c>
      <c r="K36" s="35">
        <f>SUM(SUMIFS(modif0[[srfcH]:[srfcH]],modif0[inter_N+9],regle!$C$11),SUMIFS(modif0[[srfcH]:[srfcH]],modif0[inter_N+9],regle!$D$11),SUMIFS(modif0[[srfcH]:[srfcH]],modif0[inter_N+9],regle!$E$11))</f>
        <v>145.31160000000003</v>
      </c>
      <c r="L36" s="35">
        <f>SUM(SUMIFS(modif0[[srfcH]:[srfcH]],modif0[inter_N+10],regle!$C$11),SUMIFS(modif0[[srfcH]:[srfcH]],modif0[inter_N+10],regle!$D$11),SUMIFS(modif0[[srfcH]:[srfcH]],modif0[inter_N+10],regle!$E$11))</f>
        <v>0</v>
      </c>
    </row>
    <row r="37" spans="1:12" ht="15.75" x14ac:dyDescent="0.25">
      <c r="A37" s="32" t="str">
        <f>A4</f>
        <v>MAX :</v>
      </c>
      <c r="B37" s="37">
        <f t="shared" si="3"/>
        <v>315.30700000000002</v>
      </c>
      <c r="C37" s="35">
        <f>SUM(SUMIFS(modif1[[srfcH]:[srfcH]],modif1[inter_N+1],regle!$C$11),SUMIFS(modif1[[srfcH]:[srfcH]],modif1[inter_N+1],regle!$D$11),SUMIFS(modif1[[srfcH]:[srfcH]],modif1[inter_N+1],regle!$E$11))</f>
        <v>77.350800000000007</v>
      </c>
      <c r="D37" s="35">
        <f>SUM(SUMIFS(modif1[[srfcH]:[srfcH]],modif1[inter_N+2],regle!$C$11),SUMIFS(modif1[[srfcH]:[srfcH]],modif1[inter_N+2],regle!$D$11),SUMIFS(modif1[[srfcH]:[srfcH]],modif1[inter_N+2],regle!$E$11))</f>
        <v>26.977099999999989</v>
      </c>
      <c r="E37" s="35">
        <f>SUM(SUMIFS(modif1[[srfcH]:[srfcH]],modif1[inter_N+3],regle!$C$11),SUMIFS(modif1[[srfcH]:[srfcH]],modif1[inter_N+3],regle!$D$11),SUMIFS(modif1[[srfcH]:[srfcH]],modif1[inter_N+3],regle!$E$11))</f>
        <v>46.4191</v>
      </c>
      <c r="F37" s="35">
        <f>SUM(SUMIFS(modif1[[srfcH]:[srfcH]],modif1[inter_N+4],regle!$C$11),SUMIFS(modif1[[srfcH]:[srfcH]],modif1[inter_N+4],regle!$D$11),SUMIFS(modif1[[srfcH]:[srfcH]],modif1[inter_N+4],regle!$E$11))</f>
        <v>10.4834</v>
      </c>
      <c r="G37" s="35">
        <f>SUM(SUMIFS(modif1[[srfcH]:[srfcH]],modif1[inter_N+5],regle!$C$11),SUMIFS(modif1[[srfcH]:[srfcH]],modif1[inter_N+5],regle!$D$11),SUMIFS(modif1[[srfcH]:[srfcH]],modif1[inter_N+5],regle!$E$11))</f>
        <v>29.047400000000003</v>
      </c>
      <c r="H37" s="35">
        <f>SUM(SUMIFS(modif1[[srfcH]:[srfcH]],modif1[inter_N+6],regle!$C$11),SUMIFS(modif1[[srfcH]:[srfcH]],modif1[inter_N+6],regle!$D$11),SUMIFS(modif1[[srfcH]:[srfcH]],modif1[inter_N+6],regle!$E$11))</f>
        <v>6.6375000000000002</v>
      </c>
      <c r="I37" s="35">
        <f>SUM(SUMIFS(modif1[[srfcH]:[srfcH]],modif1[inter_N+7],regle!$C$11),SUMIFS(modif1[[srfcH]:[srfcH]],modif1[inter_N+7],regle!$D$11),SUMIFS(modif1[[srfcH]:[srfcH]],modif1[inter_N+7],regle!$E$11))</f>
        <v>12.093299999999999</v>
      </c>
      <c r="J37" s="35">
        <f>SUM(SUMIFS(modif1[[srfcH]:[srfcH]],modif1[inter_N+8],regle!$C$11),SUMIFS(modif1[[srfcH]:[srfcH]],modif1[inter_N+8],regle!$D$11),SUMIFS(modif1[[srfcH]:[srfcH]],modif1[inter_N+8],regle!$E$11))</f>
        <v>35.6494</v>
      </c>
      <c r="K37" s="35">
        <f>SUM(SUMIFS(modif1[[srfcH]:[srfcH]],modif1[inter_N+9],regle!$C$11),SUMIFS(modif1[[srfcH]:[srfcH]],modif1[inter_N+9],regle!$D$11),SUMIFS(modif1[[srfcH]:[srfcH]],modif1[inter_N+9],regle!$E$11))</f>
        <v>24.105800000000002</v>
      </c>
      <c r="L37" s="35">
        <f>SUM(SUMIFS(modif1[[srfcH]:[srfcH]],modif1[inter_N+10],regle!$C$11),SUMIFS(modif1[[srfcH]:[srfcH]],modif1[inter_N+10],regle!$D$11),SUMIFS(modif1[[srfcH]:[srfcH]],modif1[inter_N+10],regle!$E$11))</f>
        <v>46.543199999999992</v>
      </c>
    </row>
    <row r="38" spans="1:12" ht="15.75" x14ac:dyDescent="0.25">
      <c r="A38" s="29" t="s">
        <v>1810</v>
      </c>
      <c r="B38" s="37">
        <f t="shared" si="3"/>
        <v>348.6823</v>
      </c>
      <c r="C38" s="38">
        <f t="shared" ref="C38:L38" si="4">SUM(C39:C44)</f>
        <v>77.350799999999992</v>
      </c>
      <c r="D38" s="38">
        <f t="shared" si="4"/>
        <v>0.83499999999999996</v>
      </c>
      <c r="E38" s="38">
        <f t="shared" si="4"/>
        <v>66.461100000000002</v>
      </c>
      <c r="F38" s="38">
        <f t="shared" si="4"/>
        <v>24.941100000000002</v>
      </c>
      <c r="G38" s="38">
        <f t="shared" si="4"/>
        <v>35.599499999999999</v>
      </c>
      <c r="H38" s="38">
        <f t="shared" si="4"/>
        <v>14.995100000000001</v>
      </c>
      <c r="I38" s="38">
        <f t="shared" si="4"/>
        <v>17.793299999999999</v>
      </c>
      <c r="J38" s="38">
        <f t="shared" si="4"/>
        <v>36.5869</v>
      </c>
      <c r="K38" s="38">
        <f t="shared" si="4"/>
        <v>21.698599999999999</v>
      </c>
      <c r="L38" s="38">
        <f t="shared" si="4"/>
        <v>52.420899999999996</v>
      </c>
    </row>
    <row r="39" spans="1:12" ht="15.75" x14ac:dyDescent="0.25">
      <c r="A39" s="32" t="str">
        <f>A6</f>
        <v>CABANAC-ET-VILLAGRAINS</v>
      </c>
      <c r="B39" s="37">
        <f t="shared" si="3"/>
        <v>36.222100000000005</v>
      </c>
      <c r="C39" s="36">
        <f>SUM(SUMIFS(modif2[[srfcH]:[srfcH]],modif2[inter_N+1],regle!$C$11,modif2[[nm_cmmn]:[nm_cmmn]],$A39),SUMIFS(modif2[[srfcH]:[srfcH]],modif2[inter_N+1],regle!$D$11,modif2[[nm_cmmn]:[nm_cmmn]],$A39),SUMIFS(modif2[[srfcH]:[srfcH]],modif2[inter_N+1],regle!$E$11,modif2[[nm_cmmn]:[nm_cmmn]],$A39))</f>
        <v>15.408800000000001</v>
      </c>
      <c r="D39" s="36">
        <f>SUM(SUMIFS(modif2[[srfcH]:[srfcH]],modif2[inter_N+2],regle!$C$11,modif2[[nm_cmmn]:[nm_cmmn]],$A39),SUMIFS(modif2[[srfcH]:[srfcH]],modif2[inter_N+2],regle!$D$11,modif2[[nm_cmmn]:[nm_cmmn]],$A39),SUMIFS(modif2[[srfcH]:[srfcH]],modif2[inter_N+2],regle!$E$11,modif2[[nm_cmmn]:[nm_cmmn]],$A39))</f>
        <v>0</v>
      </c>
      <c r="E39" s="36">
        <f>SUM(SUMIFS(modif2[[srfcH]:[srfcH]],modif2[inter_N+3],regle!$C$11,modif2[[nm_cmmn]:[nm_cmmn]],$A39),SUMIFS(modif2[[srfcH]:[srfcH]],modif2[inter_N+3],regle!$D$11,modif2[[nm_cmmn]:[nm_cmmn]],$A39),SUMIFS(modif2[[srfcH]:[srfcH]],modif2[inter_N+3],regle!$E$11,modif2[[nm_cmmn]:[nm_cmmn]],$A39))</f>
        <v>9.3087</v>
      </c>
      <c r="F39" s="36">
        <f>SUM(SUMIFS(modif2[[srfcH]:[srfcH]],modif2[inter_N+4],regle!$C$11,modif2[[nm_cmmn]:[nm_cmmn]],$A39),SUMIFS(modif2[[srfcH]:[srfcH]],modif2[inter_N+4],regle!$D$11,modif2[[nm_cmmn]:[nm_cmmn]],$A39),SUMIFS(modif2[[srfcH]:[srfcH]],modif2[inter_N+4],regle!$E$11,modif2[[nm_cmmn]:[nm_cmmn]],$A39))</f>
        <v>6.1001000000000003</v>
      </c>
      <c r="G39" s="36">
        <f>SUM(SUMIFS(modif2[[srfcH]:[srfcH]],modif2[inter_N+5],regle!$C$11,modif2[[nm_cmmn]:[nm_cmmn]],$A39),SUMIFS(modif2[[srfcH]:[srfcH]],modif2[inter_N+5],regle!$D$11,modif2[[nm_cmmn]:[nm_cmmn]],$A39),SUMIFS(modif2[[srfcH]:[srfcH]],modif2[inter_N+5],regle!$E$11,modif2[[nm_cmmn]:[nm_cmmn]],$A39))</f>
        <v>0</v>
      </c>
      <c r="H39" s="36">
        <f>SUM(SUMIFS(modif2[[srfcH]:[srfcH]],modif2[inter_N+6],regle!$C$11,modif2[[nm_cmmn]:[nm_cmmn]],$A39),SUMIFS(modif2[[srfcH]:[srfcH]],modif2[inter_N+6],regle!$D$11,modif2[[nm_cmmn]:[nm_cmmn]],$A39),SUMIFS(modif2[[srfcH]:[srfcH]],modif2[inter_N+6],regle!$E$11,modif2[[nm_cmmn]:[nm_cmmn]],$A39))</f>
        <v>0</v>
      </c>
      <c r="I39" s="36">
        <f>SUM(SUMIFS(modif2[[srfcH]:[srfcH]],modif2[inter_N+7],regle!$C$11,modif2[[nm_cmmn]:[nm_cmmn]],$A39),SUMIFS(modif2[[srfcH]:[srfcH]],modif2[inter_N+7],regle!$D$11,modif2[[nm_cmmn]:[nm_cmmn]],$A39),SUMIFS(modif2[[srfcH]:[srfcH]],modif2[inter_N+7],regle!$E$11,modif2[[nm_cmmn]:[nm_cmmn]],$A39))</f>
        <v>0</v>
      </c>
      <c r="J39" s="36">
        <f>SUM(SUMIFS(modif2[[srfcH]:[srfcH]],modif2[inter_N+8],regle!$C$11,modif2[[nm_cmmn]:[nm_cmmn]],$A39),SUMIFS(modif2[[srfcH]:[srfcH]],modif2[inter_N+8],regle!$D$11,modif2[[nm_cmmn]:[nm_cmmn]],$A39),SUMIFS(modif2[[srfcH]:[srfcH]],modif2[inter_N+8],regle!$E$11,modif2[[nm_cmmn]:[nm_cmmn]],$A39))</f>
        <v>0</v>
      </c>
      <c r="K39" s="36">
        <f>SUM(SUMIFS(modif2[[srfcH]:[srfcH]],modif2[inter_N+9],regle!$C$11,modif2[[nm_cmmn]:[nm_cmmn]],$A39),SUMIFS(modif2[[srfcH]:[srfcH]],modif2[inter_N+9],regle!$D$11,modif2[[nm_cmmn]:[nm_cmmn]],$A39),SUMIFS(modif2[[srfcH]:[srfcH]],modif2[inter_N+9],regle!$E$11,modif2[[nm_cmmn]:[nm_cmmn]],$A39))</f>
        <v>0</v>
      </c>
      <c r="L39" s="36">
        <f>SUM(SUMIFS(modif2[[srfcH]:[srfcH]],modif2[inter_N+10],regle!$C$11,modif2[[nm_cmmn]:[nm_cmmn]],$A39),SUMIFS(modif2[[srfcH]:[srfcH]],modif2[inter_N+10],regle!$D$11,modif2[[nm_cmmn]:[nm_cmmn]],$A39),SUMIFS(modif2[[srfcH]:[srfcH]],modif2[inter_N+10],regle!$E$11,modif2[[nm_cmmn]:[nm_cmmn]],$A39))</f>
        <v>5.4044999999999996</v>
      </c>
    </row>
    <row r="40" spans="1:12" ht="15.75" x14ac:dyDescent="0.25">
      <c r="A40" s="32" t="str">
        <f t="shared" ref="A40:A44" si="5">A7</f>
        <v>MANO</v>
      </c>
      <c r="B40" s="37">
        <f t="shared" si="3"/>
        <v>64.260899999999992</v>
      </c>
      <c r="C40" s="36">
        <f>SUM(SUMIFS(modif2[[srfcH]:[srfcH]],modif2[inter_N+1],regle!$C$11,modif2[[nm_cmmn]:[nm_cmmn]],$A40),SUMIFS(modif2[[srfcH]:[srfcH]],modif2[inter_N+1],regle!$D$11,modif2[[nm_cmmn]:[nm_cmmn]],$A40),SUMIFS(modif2[[srfcH]:[srfcH]],modif2[inter_N+1],regle!$E$11,modif2[[nm_cmmn]:[nm_cmmn]],$A40))</f>
        <v>0</v>
      </c>
      <c r="D40" s="36">
        <f>SUM(SUMIFS(modif2[[srfcH]:[srfcH]],modif2[inter_N+2],regle!$C$11,modif2[[nm_cmmn]:[nm_cmmn]],$A40),SUMIFS(modif2[[srfcH]:[srfcH]],modif2[inter_N+2],regle!$D$11,modif2[[nm_cmmn]:[nm_cmmn]],$A40),SUMIFS(modif2[[srfcH]:[srfcH]],modif2[inter_N+2],regle!$E$11,modif2[[nm_cmmn]:[nm_cmmn]],$A40))</f>
        <v>0.83499999999999996</v>
      </c>
      <c r="E40" s="36">
        <f>SUM(SUMIFS(modif2[[srfcH]:[srfcH]],modif2[inter_N+3],regle!$C$11,modif2[[nm_cmmn]:[nm_cmmn]],$A40),SUMIFS(modif2[[srfcH]:[srfcH]],modif2[inter_N+3],regle!$D$11,modif2[[nm_cmmn]:[nm_cmmn]],$A40),SUMIFS(modif2[[srfcH]:[srfcH]],modif2[inter_N+3],regle!$E$11,modif2[[nm_cmmn]:[nm_cmmn]],$A40))</f>
        <v>6.7073999999999989</v>
      </c>
      <c r="F40" s="36">
        <f>SUM(SUMIFS(modif2[[srfcH]:[srfcH]],modif2[inter_N+4],regle!$C$11,modif2[[nm_cmmn]:[nm_cmmn]],$A40),SUMIFS(modif2[[srfcH]:[srfcH]],modif2[inter_N+4],regle!$D$11,modif2[[nm_cmmn]:[nm_cmmn]],$A40),SUMIFS(modif2[[srfcH]:[srfcH]],modif2[inter_N+4],regle!$E$11,modif2[[nm_cmmn]:[nm_cmmn]],$A40))</f>
        <v>14.712900000000001</v>
      </c>
      <c r="G40" s="36">
        <f>SUM(SUMIFS(modif2[[srfcH]:[srfcH]],modif2[inter_N+5],regle!$C$11,modif2[[nm_cmmn]:[nm_cmmn]],$A40),SUMIFS(modif2[[srfcH]:[srfcH]],modif2[inter_N+5],regle!$D$11,modif2[[nm_cmmn]:[nm_cmmn]],$A40),SUMIFS(modif2[[srfcH]:[srfcH]],modif2[inter_N+5],regle!$E$11,modif2[[nm_cmmn]:[nm_cmmn]],$A40))</f>
        <v>6.7073999999999989</v>
      </c>
      <c r="H40" s="36">
        <f>SUM(SUMIFS(modif2[[srfcH]:[srfcH]],modif2[inter_N+6],regle!$C$11,modif2[[nm_cmmn]:[nm_cmmn]],$A40),SUMIFS(modif2[[srfcH]:[srfcH]],modif2[inter_N+6],regle!$D$11,modif2[[nm_cmmn]:[nm_cmmn]],$A40),SUMIFS(modif2[[srfcH]:[srfcH]],modif2[inter_N+6],regle!$E$11,modif2[[nm_cmmn]:[nm_cmmn]],$A40))</f>
        <v>13.8779</v>
      </c>
      <c r="I40" s="36">
        <f>SUM(SUMIFS(modif2[[srfcH]:[srfcH]],modif2[inter_N+7],regle!$C$11,modif2[[nm_cmmn]:[nm_cmmn]],$A40),SUMIFS(modif2[[srfcH]:[srfcH]],modif2[inter_N+7],regle!$D$11,modif2[[nm_cmmn]:[nm_cmmn]],$A40),SUMIFS(modif2[[srfcH]:[srfcH]],modif2[inter_N+7],regle!$E$11,modif2[[nm_cmmn]:[nm_cmmn]],$A40))</f>
        <v>0.83499999999999996</v>
      </c>
      <c r="J40" s="36">
        <f>SUM(SUMIFS(modif2[[srfcH]:[srfcH]],modif2[inter_N+8],regle!$C$11,modif2[[nm_cmmn]:[nm_cmmn]],$A40),SUMIFS(modif2[[srfcH]:[srfcH]],modif2[inter_N+8],regle!$D$11,modif2[[nm_cmmn]:[nm_cmmn]],$A40),SUMIFS(modif2[[srfcH]:[srfcH]],modif2[inter_N+8],regle!$E$11,modif2[[nm_cmmn]:[nm_cmmn]],$A40))</f>
        <v>6.7073999999999989</v>
      </c>
      <c r="K40" s="36">
        <f>SUM(SUMIFS(modif2[[srfcH]:[srfcH]],modif2[inter_N+9],regle!$C$11,modif2[[nm_cmmn]:[nm_cmmn]],$A40),SUMIFS(modif2[[srfcH]:[srfcH]],modif2[inter_N+9],regle!$D$11,modif2[[nm_cmmn]:[nm_cmmn]],$A40),SUMIFS(modif2[[srfcH]:[srfcH]],modif2[inter_N+9],regle!$E$11,modif2[[nm_cmmn]:[nm_cmmn]],$A40))</f>
        <v>13.8779</v>
      </c>
      <c r="L40" s="36">
        <f>SUM(SUMIFS(modif2[[srfcH]:[srfcH]],modif2[inter_N+10],regle!$C$11,modif2[[nm_cmmn]:[nm_cmmn]],$A40),SUMIFS(modif2[[srfcH]:[srfcH]],modif2[inter_N+10],regle!$D$11,modif2[[nm_cmmn]:[nm_cmmn]],$A40),SUMIFS(modif2[[srfcH]:[srfcH]],modif2[inter_N+10],regle!$E$11,modif2[[nm_cmmn]:[nm_cmmn]],$A40))</f>
        <v>0</v>
      </c>
    </row>
    <row r="41" spans="1:12" ht="15.75" x14ac:dyDescent="0.25">
      <c r="A41" s="32" t="str">
        <f t="shared" si="5"/>
        <v>GUILLOS</v>
      </c>
      <c r="B41" s="37">
        <f t="shared" si="3"/>
        <v>1.3727</v>
      </c>
      <c r="C41" s="36">
        <f>SUM(SUMIFS(modif2[[srfcH]:[srfcH]],modif2[inter_N+1],regle!$C$11,modif2[[nm_cmmn]:[nm_cmmn]],$A41),SUMIFS(modif2[[srfcH]:[srfcH]],modif2[inter_N+1],regle!$D$11,modif2[[nm_cmmn]:[nm_cmmn]],$A41),SUMIFS(modif2[[srfcH]:[srfcH]],modif2[inter_N+1],regle!$E$11,modif2[[nm_cmmn]:[nm_cmmn]],$A41))</f>
        <v>0</v>
      </c>
      <c r="D41" s="36">
        <f>SUM(SUMIFS(modif2[[srfcH]:[srfcH]],modif2[inter_N+2],regle!$C$11,modif2[[nm_cmmn]:[nm_cmmn]],$A41),SUMIFS(modif2[[srfcH]:[srfcH]],modif2[inter_N+2],regle!$D$11,modif2[[nm_cmmn]:[nm_cmmn]],$A41),SUMIFS(modif2[[srfcH]:[srfcH]],modif2[inter_N+2],regle!$E$11,modif2[[nm_cmmn]:[nm_cmmn]],$A41))</f>
        <v>0</v>
      </c>
      <c r="E41" s="36">
        <f>SUM(SUMIFS(modif2[[srfcH]:[srfcH]],modif2[inter_N+3],regle!$C$11,modif2[[nm_cmmn]:[nm_cmmn]],$A41),SUMIFS(modif2[[srfcH]:[srfcH]],modif2[inter_N+3],regle!$D$11,modif2[[nm_cmmn]:[nm_cmmn]],$A41),SUMIFS(modif2[[srfcH]:[srfcH]],modif2[inter_N+3],regle!$E$11,modif2[[nm_cmmn]:[nm_cmmn]],$A41))</f>
        <v>0</v>
      </c>
      <c r="F41" s="36">
        <f>SUM(SUMIFS(modif2[[srfcH]:[srfcH]],modif2[inter_N+4],regle!$C$11,modif2[[nm_cmmn]:[nm_cmmn]],$A41),SUMIFS(modif2[[srfcH]:[srfcH]],modif2[inter_N+4],regle!$D$11,modif2[[nm_cmmn]:[nm_cmmn]],$A41),SUMIFS(modif2[[srfcH]:[srfcH]],modif2[inter_N+4],regle!$E$11,modif2[[nm_cmmn]:[nm_cmmn]],$A41))</f>
        <v>0</v>
      </c>
      <c r="G41" s="36">
        <f>SUM(SUMIFS(modif2[[srfcH]:[srfcH]],modif2[inter_N+5],regle!$C$11,modif2[[nm_cmmn]:[nm_cmmn]],$A41),SUMIFS(modif2[[srfcH]:[srfcH]],modif2[inter_N+5],regle!$D$11,modif2[[nm_cmmn]:[nm_cmmn]],$A41),SUMIFS(modif2[[srfcH]:[srfcH]],modif2[inter_N+5],regle!$E$11,modif2[[nm_cmmn]:[nm_cmmn]],$A41))</f>
        <v>0</v>
      </c>
      <c r="H41" s="36">
        <f>SUM(SUMIFS(modif2[[srfcH]:[srfcH]],modif2[inter_N+6],regle!$C$11,modif2[[nm_cmmn]:[nm_cmmn]],$A41),SUMIFS(modif2[[srfcH]:[srfcH]],modif2[inter_N+6],regle!$D$11,modif2[[nm_cmmn]:[nm_cmmn]],$A41),SUMIFS(modif2[[srfcH]:[srfcH]],modif2[inter_N+6],regle!$E$11,modif2[[nm_cmmn]:[nm_cmmn]],$A41))</f>
        <v>0</v>
      </c>
      <c r="I41" s="36">
        <f>SUM(SUMIFS(modif2[[srfcH]:[srfcH]],modif2[inter_N+7],regle!$C$11,modif2[[nm_cmmn]:[nm_cmmn]],$A41),SUMIFS(modif2[[srfcH]:[srfcH]],modif2[inter_N+7],regle!$D$11,modif2[[nm_cmmn]:[nm_cmmn]],$A41),SUMIFS(modif2[[srfcH]:[srfcH]],modif2[inter_N+7],regle!$E$11,modif2[[nm_cmmn]:[nm_cmmn]],$A41))</f>
        <v>0</v>
      </c>
      <c r="J41" s="36">
        <f>SUM(SUMIFS(modif2[[srfcH]:[srfcH]],modif2[inter_N+8],regle!$C$11,modif2[[nm_cmmn]:[nm_cmmn]],$A41),SUMIFS(modif2[[srfcH]:[srfcH]],modif2[inter_N+8],regle!$D$11,modif2[[nm_cmmn]:[nm_cmmn]],$A41),SUMIFS(modif2[[srfcH]:[srfcH]],modif2[inter_N+8],regle!$E$11,modif2[[nm_cmmn]:[nm_cmmn]],$A41))</f>
        <v>0</v>
      </c>
      <c r="K41" s="36">
        <f>SUM(SUMIFS(modif2[[srfcH]:[srfcH]],modif2[inter_N+9],regle!$C$11,modif2[[nm_cmmn]:[nm_cmmn]],$A41),SUMIFS(modif2[[srfcH]:[srfcH]],modif2[inter_N+9],regle!$D$11,modif2[[nm_cmmn]:[nm_cmmn]],$A41),SUMIFS(modif2[[srfcH]:[srfcH]],modif2[inter_N+9],regle!$E$11,modif2[[nm_cmmn]:[nm_cmmn]],$A41))</f>
        <v>0</v>
      </c>
      <c r="L41" s="36">
        <f>SUM(SUMIFS(modif2[[srfcH]:[srfcH]],modif2[inter_N+10],regle!$C$11,modif2[[nm_cmmn]:[nm_cmmn]],$A41),SUMIFS(modif2[[srfcH]:[srfcH]],modif2[inter_N+10],regle!$D$11,modif2[[nm_cmmn]:[nm_cmmn]],$A41),SUMIFS(modif2[[srfcH]:[srfcH]],modif2[inter_N+10],regle!$E$11,modif2[[nm_cmmn]:[nm_cmmn]],$A41))</f>
        <v>1.3727</v>
      </c>
    </row>
    <row r="42" spans="1:12" ht="15.75" x14ac:dyDescent="0.25">
      <c r="A42" s="32" t="str">
        <f t="shared" si="5"/>
        <v>MOUSTEY</v>
      </c>
      <c r="B42" s="37">
        <f t="shared" si="3"/>
        <v>57.939599999999984</v>
      </c>
      <c r="C42" s="36">
        <f>SUM(SUMIFS(modif2[[srfcH]:[srfcH]],modif2[inter_N+1],regle!$C$11,modif2[[nm_cmmn]:[nm_cmmn]],$A42),SUMIFS(modif2[[srfcH]:[srfcH]],modif2[inter_N+1],regle!$D$11,modif2[[nm_cmmn]:[nm_cmmn]],$A42),SUMIFS(modif2[[srfcH]:[srfcH]],modif2[inter_N+1],regle!$E$11,modif2[[nm_cmmn]:[nm_cmmn]],$A42))</f>
        <v>29.502899999999997</v>
      </c>
      <c r="D42" s="36">
        <f>SUM(SUMIFS(modif2[[srfcH]:[srfcH]],modif2[inter_N+2],regle!$C$11,modif2[[nm_cmmn]:[nm_cmmn]],$A42),SUMIFS(modif2[[srfcH]:[srfcH]],modif2[inter_N+2],regle!$D$11,modif2[[nm_cmmn]:[nm_cmmn]],$A42),SUMIFS(modif2[[srfcH]:[srfcH]],modif2[inter_N+2],regle!$E$11,modif2[[nm_cmmn]:[nm_cmmn]],$A42))</f>
        <v>0</v>
      </c>
      <c r="E42" s="36">
        <f>SUM(SUMIFS(modif2[[srfcH]:[srfcH]],modif2[inter_N+3],regle!$C$11,modif2[[nm_cmmn]:[nm_cmmn]],$A42),SUMIFS(modif2[[srfcH]:[srfcH]],modif2[inter_N+3],regle!$D$11,modif2[[nm_cmmn]:[nm_cmmn]],$A42),SUMIFS(modif2[[srfcH]:[srfcH]],modif2[inter_N+3],regle!$E$11,modif2[[nm_cmmn]:[nm_cmmn]],$A42))</f>
        <v>9.4788999999999994</v>
      </c>
      <c r="F42" s="36">
        <f>SUM(SUMIFS(modif2[[srfcH]:[srfcH]],modif2[inter_N+4],regle!$C$11,modif2[[nm_cmmn]:[nm_cmmn]],$A42),SUMIFS(modif2[[srfcH]:[srfcH]],modif2[inter_N+4],regle!$D$11,modif2[[nm_cmmn]:[nm_cmmn]],$A42),SUMIFS(modif2[[srfcH]:[srfcH]],modif2[inter_N+4],regle!$E$11,modif2[[nm_cmmn]:[nm_cmmn]],$A42))</f>
        <v>0</v>
      </c>
      <c r="G42" s="36">
        <f>SUM(SUMIFS(modif2[[srfcH]:[srfcH]],modif2[inter_N+5],regle!$C$11,modif2[[nm_cmmn]:[nm_cmmn]],$A42),SUMIFS(modif2[[srfcH]:[srfcH]],modif2[inter_N+5],regle!$D$11,modif2[[nm_cmmn]:[nm_cmmn]],$A42),SUMIFS(modif2[[srfcH]:[srfcH]],modif2[inter_N+5],regle!$E$11,modif2[[nm_cmmn]:[nm_cmmn]],$A42))</f>
        <v>9.4788999999999994</v>
      </c>
      <c r="H42" s="36">
        <f>SUM(SUMIFS(modif2[[srfcH]:[srfcH]],modif2[inter_N+6],regle!$C$11,modif2[[nm_cmmn]:[nm_cmmn]],$A42),SUMIFS(modif2[[srfcH]:[srfcH]],modif2[inter_N+6],regle!$D$11,modif2[[nm_cmmn]:[nm_cmmn]],$A42),SUMIFS(modif2[[srfcH]:[srfcH]],modif2[inter_N+6],regle!$E$11,modif2[[nm_cmmn]:[nm_cmmn]],$A42))</f>
        <v>0</v>
      </c>
      <c r="I42" s="36">
        <f>SUM(SUMIFS(modif2[[srfcH]:[srfcH]],modif2[inter_N+7],regle!$C$11,modif2[[nm_cmmn]:[nm_cmmn]],$A42),SUMIFS(modif2[[srfcH]:[srfcH]],modif2[inter_N+7],regle!$D$11,modif2[[nm_cmmn]:[nm_cmmn]],$A42),SUMIFS(modif2[[srfcH]:[srfcH]],modif2[inter_N+7],regle!$E$11,modif2[[nm_cmmn]:[nm_cmmn]],$A42))</f>
        <v>0</v>
      </c>
      <c r="J42" s="36">
        <f>SUM(SUMIFS(modif2[[srfcH]:[srfcH]],modif2[inter_N+8],regle!$C$11,modif2[[nm_cmmn]:[nm_cmmn]],$A42),SUMIFS(modif2[[srfcH]:[srfcH]],modif2[inter_N+8],regle!$D$11,modif2[[nm_cmmn]:[nm_cmmn]],$A42),SUMIFS(modif2[[srfcH]:[srfcH]],modif2[inter_N+8],regle!$E$11,modif2[[nm_cmmn]:[nm_cmmn]],$A42))</f>
        <v>9.4788999999999994</v>
      </c>
      <c r="K42" s="36">
        <f>SUM(SUMIFS(modif2[[srfcH]:[srfcH]],modif2[inter_N+9],regle!$C$11,modif2[[nm_cmmn]:[nm_cmmn]],$A42),SUMIFS(modif2[[srfcH]:[srfcH]],modif2[inter_N+9],regle!$D$11,modif2[[nm_cmmn]:[nm_cmmn]],$A42),SUMIFS(modif2[[srfcH]:[srfcH]],modif2[inter_N+9],regle!$E$11,modif2[[nm_cmmn]:[nm_cmmn]],$A42))</f>
        <v>0</v>
      </c>
      <c r="L42" s="36">
        <f>SUM(SUMIFS(modif2[[srfcH]:[srfcH]],modif2[inter_N+10],regle!$C$11,modif2[[nm_cmmn]:[nm_cmmn]],$A42),SUMIFS(modif2[[srfcH]:[srfcH]],modif2[inter_N+10],regle!$D$11,modif2[[nm_cmmn]:[nm_cmmn]],$A42),SUMIFS(modif2[[srfcH]:[srfcH]],modif2[inter_N+10],regle!$E$11,modif2[[nm_cmmn]:[nm_cmmn]],$A42))</f>
        <v>0</v>
      </c>
    </row>
    <row r="43" spans="1:12" ht="15.75" x14ac:dyDescent="0.25">
      <c r="A43" s="32" t="str">
        <f t="shared" si="5"/>
        <v>HOSTENS</v>
      </c>
      <c r="B43" s="37">
        <f t="shared" si="3"/>
        <v>116.55010000000001</v>
      </c>
      <c r="C43" s="36">
        <f>SUM(SUMIFS(modif2[[srfcH]:[srfcH]],modif2[inter_N+1],regle!$C$11,modif2[[nm_cmmn]:[nm_cmmn]],$A43),SUMIFS(modif2[[srfcH]:[srfcH]],modif2[inter_N+1],regle!$D$11,modif2[[nm_cmmn]:[nm_cmmn]],$A43),SUMIFS(modif2[[srfcH]:[srfcH]],modif2[inter_N+1],regle!$E$11,modif2[[nm_cmmn]:[nm_cmmn]],$A43))</f>
        <v>16.232099999999999</v>
      </c>
      <c r="D43" s="36">
        <f>SUM(SUMIFS(modif2[[srfcH]:[srfcH]],modif2[inter_N+2],regle!$C$11,modif2[[nm_cmmn]:[nm_cmmn]],$A43),SUMIFS(modif2[[srfcH]:[srfcH]],modif2[inter_N+2],regle!$D$11,modif2[[nm_cmmn]:[nm_cmmn]],$A43),SUMIFS(modif2[[srfcH]:[srfcH]],modif2[inter_N+2],regle!$E$11,modif2[[nm_cmmn]:[nm_cmmn]],$A43))</f>
        <v>0</v>
      </c>
      <c r="E43" s="36">
        <f>SUM(SUMIFS(modif2[[srfcH]:[srfcH]],modif2[inter_N+3],regle!$C$11,modif2[[nm_cmmn]:[nm_cmmn]],$A43),SUMIFS(modif2[[srfcH]:[srfcH]],modif2[inter_N+3],regle!$D$11,modif2[[nm_cmmn]:[nm_cmmn]],$A43),SUMIFS(modif2[[srfcH]:[srfcH]],modif2[inter_N+3],regle!$E$11,modif2[[nm_cmmn]:[nm_cmmn]],$A43))</f>
        <v>40.811900000000001</v>
      </c>
      <c r="F43" s="36">
        <f>SUM(SUMIFS(modif2[[srfcH]:[srfcH]],modif2[inter_N+4],regle!$C$11,modif2[[nm_cmmn]:[nm_cmmn]],$A43),SUMIFS(modif2[[srfcH]:[srfcH]],modif2[inter_N+4],regle!$D$11,modif2[[nm_cmmn]:[nm_cmmn]],$A43),SUMIFS(modif2[[srfcH]:[srfcH]],modif2[inter_N+4],regle!$E$11,modif2[[nm_cmmn]:[nm_cmmn]],$A43))</f>
        <v>4.1280999999999999</v>
      </c>
      <c r="G43" s="36">
        <f>SUM(SUMIFS(modif2[[srfcH]:[srfcH]],modif2[inter_N+5],regle!$C$11,modif2[[nm_cmmn]:[nm_cmmn]],$A43),SUMIFS(modif2[[srfcH]:[srfcH]],modif2[inter_N+5],regle!$D$11,modif2[[nm_cmmn]:[nm_cmmn]],$A43),SUMIFS(modif2[[srfcH]:[srfcH]],modif2[inter_N+5],regle!$E$11,modif2[[nm_cmmn]:[nm_cmmn]],$A43))</f>
        <v>15.962900000000001</v>
      </c>
      <c r="H43" s="36">
        <f>SUM(SUMIFS(modif2[[srfcH]:[srfcH]],modif2[inter_N+6],regle!$C$11,modif2[[nm_cmmn]:[nm_cmmn]],$A43),SUMIFS(modif2[[srfcH]:[srfcH]],modif2[inter_N+6],regle!$D$11,modif2[[nm_cmmn]:[nm_cmmn]],$A43),SUMIFS(modif2[[srfcH]:[srfcH]],modif2[inter_N+6],regle!$E$11,modif2[[nm_cmmn]:[nm_cmmn]],$A43))</f>
        <v>1.1172</v>
      </c>
      <c r="I43" s="36">
        <f>SUM(SUMIFS(modif2[[srfcH]:[srfcH]],modif2[inter_N+7],regle!$C$11,modif2[[nm_cmmn]:[nm_cmmn]],$A43),SUMIFS(modif2[[srfcH]:[srfcH]],modif2[inter_N+7],regle!$D$11,modif2[[nm_cmmn]:[nm_cmmn]],$A43),SUMIFS(modif2[[srfcH]:[srfcH]],modif2[inter_N+7],regle!$E$11,modif2[[nm_cmmn]:[nm_cmmn]],$A43))</f>
        <v>13.5768</v>
      </c>
      <c r="J43" s="36">
        <f>SUM(SUMIFS(modif2[[srfcH]:[srfcH]],modif2[inter_N+8],regle!$C$11,modif2[[nm_cmmn]:[nm_cmmn]],$A43),SUMIFS(modif2[[srfcH]:[srfcH]],modif2[inter_N+8],regle!$D$11,modif2[[nm_cmmn]:[nm_cmmn]],$A43),SUMIFS(modif2[[srfcH]:[srfcH]],modif2[inter_N+8],regle!$E$11,modif2[[nm_cmmn]:[nm_cmmn]],$A43))</f>
        <v>2.3860999999999999</v>
      </c>
      <c r="K43" s="36">
        <f>SUM(SUMIFS(modif2[[srfcH]:[srfcH]],modif2[inter_N+9],regle!$C$11,modif2[[nm_cmmn]:[nm_cmmn]],$A43),SUMIFS(modif2[[srfcH]:[srfcH]],modif2[inter_N+9],regle!$D$11,modif2[[nm_cmmn]:[nm_cmmn]],$A43),SUMIFS(modif2[[srfcH]:[srfcH]],modif2[inter_N+9],regle!$E$11,modif2[[nm_cmmn]:[nm_cmmn]],$A43))</f>
        <v>7.8207000000000004</v>
      </c>
      <c r="L43" s="36">
        <f>SUM(SUMIFS(modif2[[srfcH]:[srfcH]],modif2[inter_N+10],regle!$C$11,modif2[[nm_cmmn]:[nm_cmmn]],$A43),SUMIFS(modif2[[srfcH]:[srfcH]],modif2[inter_N+10],regle!$D$11,modif2[[nm_cmmn]:[nm_cmmn]],$A43),SUMIFS(modif2[[srfcH]:[srfcH]],modif2[inter_N+10],regle!$E$11,modif2[[nm_cmmn]:[nm_cmmn]],$A43))</f>
        <v>14.5143</v>
      </c>
    </row>
    <row r="44" spans="1:12" ht="15.75" x14ac:dyDescent="0.25">
      <c r="A44" s="32" t="str">
        <f t="shared" si="5"/>
        <v>LE TUZAN</v>
      </c>
      <c r="B44" s="37">
        <f t="shared" si="3"/>
        <v>72.336899999999986</v>
      </c>
      <c r="C44" s="36">
        <f>SUM(SUMIFS(modif2[[srfcH]:[srfcH]],modif2[inter_N+1],regle!$C$11,modif2[[nm_cmmn]:[nm_cmmn]],$A44),SUMIFS(modif2[[srfcH]:[srfcH]],modif2[inter_N+1],regle!$D$11,modif2[[nm_cmmn]:[nm_cmmn]],$A44),SUMIFS(modif2[[srfcH]:[srfcH]],modif2[inter_N+1],regle!$E$11,modif2[[nm_cmmn]:[nm_cmmn]],$A44))</f>
        <v>16.206999999999997</v>
      </c>
      <c r="D44" s="36">
        <f>SUM(SUMIFS(modif2[[srfcH]:[srfcH]],modif2[inter_N+2],regle!$C$11,modif2[[nm_cmmn]:[nm_cmmn]],$A44),SUMIFS(modif2[[srfcH]:[srfcH]],modif2[inter_N+2],regle!$D$11,modif2[[nm_cmmn]:[nm_cmmn]],$A44),SUMIFS(modif2[[srfcH]:[srfcH]],modif2[inter_N+2],regle!$E$11,modif2[[nm_cmmn]:[nm_cmmn]],$A44))</f>
        <v>0</v>
      </c>
      <c r="E44" s="36">
        <f>SUM(SUMIFS(modif2[[srfcH]:[srfcH]],modif2[inter_N+3],regle!$C$11,modif2[[nm_cmmn]:[nm_cmmn]],$A44),SUMIFS(modif2[[srfcH]:[srfcH]],modif2[inter_N+3],regle!$D$11,modif2[[nm_cmmn]:[nm_cmmn]],$A44),SUMIFS(modif2[[srfcH]:[srfcH]],modif2[inter_N+3],regle!$E$11,modif2[[nm_cmmn]:[nm_cmmn]],$A44))</f>
        <v>0.1542</v>
      </c>
      <c r="F44" s="36">
        <f>SUM(SUMIFS(modif2[[srfcH]:[srfcH]],modif2[inter_N+4],regle!$C$11,modif2[[nm_cmmn]:[nm_cmmn]],$A44),SUMIFS(modif2[[srfcH]:[srfcH]],modif2[inter_N+4],regle!$D$11,modif2[[nm_cmmn]:[nm_cmmn]],$A44),SUMIFS(modif2[[srfcH]:[srfcH]],modif2[inter_N+4],regle!$E$11,modif2[[nm_cmmn]:[nm_cmmn]],$A44))</f>
        <v>0</v>
      </c>
      <c r="G44" s="36">
        <f>SUM(SUMIFS(modif2[[srfcH]:[srfcH]],modif2[inter_N+5],regle!$C$11,modif2[[nm_cmmn]:[nm_cmmn]],$A44),SUMIFS(modif2[[srfcH]:[srfcH]],modif2[inter_N+5],regle!$D$11,modif2[[nm_cmmn]:[nm_cmmn]],$A44),SUMIFS(modif2[[srfcH]:[srfcH]],modif2[inter_N+5],regle!$E$11,modif2[[nm_cmmn]:[nm_cmmn]],$A44))</f>
        <v>3.4502999999999999</v>
      </c>
      <c r="H44" s="36">
        <f>SUM(SUMIFS(modif2[[srfcH]:[srfcH]],modif2[inter_N+6],regle!$C$11,modif2[[nm_cmmn]:[nm_cmmn]],$A44),SUMIFS(modif2[[srfcH]:[srfcH]],modif2[inter_N+6],regle!$D$11,modif2[[nm_cmmn]:[nm_cmmn]],$A44),SUMIFS(modif2[[srfcH]:[srfcH]],modif2[inter_N+6],regle!$E$11,modif2[[nm_cmmn]:[nm_cmmn]],$A44))</f>
        <v>0</v>
      </c>
      <c r="I44" s="36">
        <f>SUM(SUMIFS(modif2[[srfcH]:[srfcH]],modif2[inter_N+7],regle!$C$11,modif2[[nm_cmmn]:[nm_cmmn]],$A44),SUMIFS(modif2[[srfcH]:[srfcH]],modif2[inter_N+7],regle!$D$11,modif2[[nm_cmmn]:[nm_cmmn]],$A44),SUMIFS(modif2[[srfcH]:[srfcH]],modif2[inter_N+7],regle!$E$11,modif2[[nm_cmmn]:[nm_cmmn]],$A44))</f>
        <v>3.3815</v>
      </c>
      <c r="J44" s="36">
        <f>SUM(SUMIFS(modif2[[srfcH]:[srfcH]],modif2[inter_N+8],regle!$C$11,modif2[[nm_cmmn]:[nm_cmmn]],$A44),SUMIFS(modif2[[srfcH]:[srfcH]],modif2[inter_N+8],regle!$D$11,modif2[[nm_cmmn]:[nm_cmmn]],$A44),SUMIFS(modif2[[srfcH]:[srfcH]],modif2[inter_N+8],regle!$E$11,modif2[[nm_cmmn]:[nm_cmmn]],$A44))</f>
        <v>18.014499999999998</v>
      </c>
      <c r="K44" s="36">
        <f>SUM(SUMIFS(modif2[[srfcH]:[srfcH]],modif2[inter_N+9],regle!$C$11,modif2[[nm_cmmn]:[nm_cmmn]],$A44),SUMIFS(modif2[[srfcH]:[srfcH]],modif2[inter_N+9],regle!$D$11,modif2[[nm_cmmn]:[nm_cmmn]],$A44),SUMIFS(modif2[[srfcH]:[srfcH]],modif2[inter_N+9],regle!$E$11,modif2[[nm_cmmn]:[nm_cmmn]],$A44))</f>
        <v>0</v>
      </c>
      <c r="L44" s="36">
        <f>SUM(SUMIFS(modif2[[srfcH]:[srfcH]],modif2[inter_N+10],regle!$C$11,modif2[[nm_cmmn]:[nm_cmmn]],$A44),SUMIFS(modif2[[srfcH]:[srfcH]],modif2[inter_N+10],regle!$D$11,modif2[[nm_cmmn]:[nm_cmmn]],$A44),SUMIFS(modif2[[srfcH]:[srfcH]],modif2[inter_N+10],regle!$E$11,modif2[[nm_cmmn]:[nm_cmmn]],$A44))</f>
        <v>31.129399999999997</v>
      </c>
    </row>
    <row r="46" spans="1:12" ht="18.75" x14ac:dyDescent="0.3">
      <c r="A46" s="39" t="s">
        <v>1893</v>
      </c>
    </row>
    <row r="47" spans="1:12" ht="15.75" x14ac:dyDescent="0.25">
      <c r="A47" s="30" t="s">
        <v>1816</v>
      </c>
      <c r="B47" s="31" t="s">
        <v>0</v>
      </c>
      <c r="C47" s="31">
        <f>C35</f>
        <v>2024</v>
      </c>
      <c r="D47" s="31">
        <f t="shared" ref="D47:L47" si="6">D35</f>
        <v>2025</v>
      </c>
      <c r="E47" s="31">
        <f t="shared" si="6"/>
        <v>2026</v>
      </c>
      <c r="F47" s="31">
        <f t="shared" si="6"/>
        <v>2027</v>
      </c>
      <c r="G47" s="31">
        <f t="shared" si="6"/>
        <v>2028</v>
      </c>
      <c r="H47" s="31">
        <f t="shared" si="6"/>
        <v>2029</v>
      </c>
      <c r="I47" s="31">
        <f t="shared" si="6"/>
        <v>2030</v>
      </c>
      <c r="J47" s="31">
        <f t="shared" si="6"/>
        <v>2031</v>
      </c>
      <c r="K47" s="31">
        <f t="shared" si="6"/>
        <v>2032</v>
      </c>
      <c r="L47" s="31">
        <f t="shared" si="6"/>
        <v>2033</v>
      </c>
    </row>
    <row r="48" spans="1:12" ht="15.75" x14ac:dyDescent="0.25">
      <c r="A48" s="32" t="str">
        <f>A36</f>
        <v>BASE :</v>
      </c>
      <c r="B48" s="40">
        <f t="shared" ref="B48:B56" si="7">SUM(C48:L48)</f>
        <v>384</v>
      </c>
      <c r="C48" s="41">
        <f>SUM(COUNTIFS(modif0[inter_N+1],regle!$C$11),COUNTIFS(modif0[inter_N+1],regle!$D$11),COUNTIFS(modif0[inter_N+1],regle!$E$11))</f>
        <v>20</v>
      </c>
      <c r="D48" s="41">
        <f>SUM(COUNTIFS(modif0[inter_N+2],regle!$C$11),COUNTIFS(modif0[inter_N+2],regle!$D$11),COUNTIFS(modif0[inter_N+2],regle!$E$11))</f>
        <v>23</v>
      </c>
      <c r="E48" s="41">
        <f>SUM(COUNTIFS(modif0[inter_N+3],regle!$C$11),COUNTIFS(modif0[inter_N+3],regle!$D$11),COUNTIFS(modif0[inter_N+3],regle!$E$11))</f>
        <v>110</v>
      </c>
      <c r="F48" s="41">
        <f>SUM(COUNTIFS(modif0[inter_N+4],regle!$C$11),COUNTIFS(modif0[inter_N+4],regle!$D$11),COUNTIFS(modif0[inter_N+4],regle!$E$11))</f>
        <v>20</v>
      </c>
      <c r="G48" s="41">
        <f>SUM(COUNTIFS(modif0[inter_N+5],regle!$C$11),COUNTIFS(modif0[inter_N+5],regle!$D$11),COUNTIFS(modif0[inter_N+5],regle!$E$11))</f>
        <v>9</v>
      </c>
      <c r="H48" s="41">
        <f>SUM(COUNTIFS(modif0[inter_N+6],regle!$C$11),COUNTIFS(modif0[inter_N+6],regle!$D$11),COUNTIFS(modif0[inter_N+6],regle!$E$11))</f>
        <v>94</v>
      </c>
      <c r="I48" s="41">
        <f>SUM(COUNTIFS(modif0[inter_N+7],regle!$C$11),COUNTIFS(modif0[inter_N+7],regle!$D$11),COUNTIFS(modif0[inter_N+7],regle!$E$11))</f>
        <v>0</v>
      </c>
      <c r="J48" s="41">
        <f>SUM(COUNTIFS(modif0[inter_N+8],regle!$C$11),COUNTIFS(modif0[inter_N+8],regle!$D$11),COUNTIFS(modif0[inter_N+8],regle!$E$11))</f>
        <v>13</v>
      </c>
      <c r="K48" s="41">
        <f>SUM(COUNTIFS(modif0[inter_N+9],regle!$C$11),COUNTIFS(modif0[inter_N+9],regle!$D$11),COUNTIFS(modif0[inter_N+9],regle!$E$11))</f>
        <v>95</v>
      </c>
      <c r="L48" s="41">
        <f>SUM(COUNTIFS(modif0[inter_N+10],regle!$C$11),COUNTIFS(modif0[inter_N+10],regle!$D$11),COUNTIFS(modif0[inter_N+10],regle!$E$11))</f>
        <v>0</v>
      </c>
    </row>
    <row r="49" spans="1:12" ht="15.75" x14ac:dyDescent="0.25">
      <c r="A49" s="32" t="str">
        <f>A37</f>
        <v>MAX :</v>
      </c>
      <c r="B49" s="40">
        <f t="shared" si="7"/>
        <v>228</v>
      </c>
      <c r="C49" s="41">
        <f>SUM(COUNTIFS(modif1[inter_N+1],regle!$C$11),COUNTIFS(modif1[inter_N+1],regle!$D$11),COUNTIFS(modif1[inter_N+1],regle!$E$11))</f>
        <v>42</v>
      </c>
      <c r="D49" s="41">
        <f>SUM(COUNTIFS(modif1[inter_N+2],regle!$C$11),COUNTIFS(modif1[inter_N+2],regle!$D$11),COUNTIFS(modif1[inter_N+2],regle!$E$11))</f>
        <v>17</v>
      </c>
      <c r="E49" s="41">
        <f>SUM(COUNTIFS(modif1[inter_N+3],regle!$C$11),COUNTIFS(modif1[inter_N+3],regle!$D$11),COUNTIFS(modif1[inter_N+3],regle!$E$11))</f>
        <v>53</v>
      </c>
      <c r="F49" s="41">
        <f>SUM(COUNTIFS(modif1[inter_N+4],regle!$C$11),COUNTIFS(modif1[inter_N+4],regle!$D$11),COUNTIFS(modif1[inter_N+4],regle!$E$11))</f>
        <v>10</v>
      </c>
      <c r="G49" s="41">
        <f>SUM(COUNTIFS(modif1[inter_N+5],regle!$C$11),COUNTIFS(modif1[inter_N+5],regle!$D$11),COUNTIFS(modif1[inter_N+5],regle!$E$11))</f>
        <v>36</v>
      </c>
      <c r="H49" s="41">
        <f>SUM(COUNTIFS(modif1[inter_N+6],regle!$C$11),COUNTIFS(modif1[inter_N+6],regle!$D$11),COUNTIFS(modif1[inter_N+6],regle!$E$11))</f>
        <v>4</v>
      </c>
      <c r="I49" s="41">
        <f>SUM(COUNTIFS(modif1[inter_N+7],regle!$C$11),COUNTIFS(modif1[inter_N+7],regle!$D$11),COUNTIFS(modif1[inter_N+7],regle!$E$11))</f>
        <v>4</v>
      </c>
      <c r="J49" s="41">
        <f>SUM(COUNTIFS(modif1[inter_N+8],regle!$C$11),COUNTIFS(modif1[inter_N+8],regle!$D$11),COUNTIFS(modif1[inter_N+8],regle!$E$11))</f>
        <v>36</v>
      </c>
      <c r="K49" s="41">
        <f>SUM(COUNTIFS(modif1[inter_N+9],regle!$C$11),COUNTIFS(modif1[inter_N+9],regle!$D$11),COUNTIFS(modif1[inter_N+9],regle!$E$11))</f>
        <v>14</v>
      </c>
      <c r="L49" s="41">
        <f>SUM(COUNTIFS(modif1[inter_N+10],regle!$C$11),COUNTIFS(modif1[inter_N+10],regle!$D$11),COUNTIFS(modif1[inter_N+10],regle!$E$11))</f>
        <v>12</v>
      </c>
    </row>
    <row r="50" spans="1:12" ht="15.75" x14ac:dyDescent="0.25">
      <c r="A50" s="29" t="str">
        <f>A38</f>
        <v>TOTAL :</v>
      </c>
      <c r="B50" s="40">
        <f t="shared" si="7"/>
        <v>229</v>
      </c>
      <c r="C50" s="42">
        <f t="shared" ref="C50:L50" si="8">SUM(C51:C56)</f>
        <v>42</v>
      </c>
      <c r="D50" s="42">
        <f t="shared" si="8"/>
        <v>1</v>
      </c>
      <c r="E50" s="42">
        <f t="shared" si="8"/>
        <v>68</v>
      </c>
      <c r="F50" s="42">
        <f t="shared" si="8"/>
        <v>9</v>
      </c>
      <c r="G50" s="42">
        <f t="shared" si="8"/>
        <v>39</v>
      </c>
      <c r="H50" s="42">
        <f t="shared" si="8"/>
        <v>2</v>
      </c>
      <c r="I50" s="42">
        <f t="shared" si="8"/>
        <v>7</v>
      </c>
      <c r="J50" s="42">
        <f t="shared" si="8"/>
        <v>37</v>
      </c>
      <c r="K50" s="42">
        <f t="shared" si="8"/>
        <v>9</v>
      </c>
      <c r="L50" s="42">
        <f t="shared" si="8"/>
        <v>15</v>
      </c>
    </row>
    <row r="51" spans="1:12" ht="15.75" x14ac:dyDescent="0.25">
      <c r="A51" s="32" t="str">
        <f>A39</f>
        <v>CABANAC-ET-VILLAGRAINS</v>
      </c>
      <c r="B51" s="40">
        <f t="shared" si="7"/>
        <v>17</v>
      </c>
      <c r="C51" s="43">
        <f>SUM(COUNTIFS(modif2[inter_N+1],regle!$C$11,modif2[[nm_cmmn]:[nm_cmmn]],$A51),COUNTIFS(modif2[inter_N+1],regle!$D$11,modif2[[nm_cmmn]:[nm_cmmn]],$A51),COUNTIFS(modif2[inter_N+1],regle!$E$11,modif2[[nm_cmmn]:[nm_cmmn]],$A51))</f>
        <v>8</v>
      </c>
      <c r="D51" s="43">
        <f>SUM(COUNTIFS(modif2[inter_N+2],regle!$C$11,modif2[[nm_cmmn]:[nm_cmmn]],$A51),COUNTIFS(modif2[inter_N+2],regle!$D$11,modif2[[nm_cmmn]:[nm_cmmn]],$A51),COUNTIFS(modif2[inter_N+2],regle!$E$11,modif2[[nm_cmmn]:[nm_cmmn]],$A51))</f>
        <v>0</v>
      </c>
      <c r="E51" s="43">
        <f>SUM(COUNTIFS(modif2[inter_N+3],regle!$C$11,modif2[[nm_cmmn]:[nm_cmmn]],$A51),COUNTIFS(modif2[inter_N+3],regle!$D$11,modif2[[nm_cmmn]:[nm_cmmn]],$A51),COUNTIFS(modif2[inter_N+3],regle!$E$11,modif2[[nm_cmmn]:[nm_cmmn]],$A51))</f>
        <v>7</v>
      </c>
      <c r="F51" s="43">
        <f>SUM(COUNTIFS(modif2[inter_N+4],regle!$C$11,modif2[[nm_cmmn]:[nm_cmmn]],$A51),COUNTIFS(modif2[inter_N+4],regle!$D$11,modif2[[nm_cmmn]:[nm_cmmn]],$A51),COUNTIFS(modif2[inter_N+4],regle!$E$11,modif2[[nm_cmmn]:[nm_cmmn]],$A51))</f>
        <v>1</v>
      </c>
      <c r="G51" s="43">
        <f>SUM(COUNTIFS(modif2[inter_N+5],regle!$C$11,modif2[[nm_cmmn]:[nm_cmmn]],$A51),COUNTIFS(modif2[inter_N+5],regle!$D$11,modif2[[nm_cmmn]:[nm_cmmn]],$A51),COUNTIFS(modif2[inter_N+5],regle!$E$11,modif2[[nm_cmmn]:[nm_cmmn]],$A51))</f>
        <v>0</v>
      </c>
      <c r="H51" s="43">
        <f>SUM(COUNTIFS(modif2[inter_N+6],regle!$C$11,modif2[[nm_cmmn]:[nm_cmmn]],$A51),COUNTIFS(modif2[inter_N+6],regle!$D$11,modif2[[nm_cmmn]:[nm_cmmn]],$A51),COUNTIFS(modif2[inter_N+6],regle!$E$11,modif2[[nm_cmmn]:[nm_cmmn]],$A51))</f>
        <v>0</v>
      </c>
      <c r="I51" s="43">
        <f>SUM(COUNTIFS(modif2[inter_N+7],regle!$C$11,modif2[[nm_cmmn]:[nm_cmmn]],$A51),COUNTIFS(modif2[inter_N+7],regle!$D$11,modif2[[nm_cmmn]:[nm_cmmn]],$A51),COUNTIFS(modif2[inter_N+7],regle!$E$11,modif2[[nm_cmmn]:[nm_cmmn]],$A51))</f>
        <v>0</v>
      </c>
      <c r="J51" s="43">
        <f>SUM(COUNTIFS(modif2[inter_N+8],regle!$C$11,modif2[[nm_cmmn]:[nm_cmmn]],$A51),COUNTIFS(modif2[inter_N+8],regle!$D$11,modif2[[nm_cmmn]:[nm_cmmn]],$A51),COUNTIFS(modif2[inter_N+8],regle!$E$11,modif2[[nm_cmmn]:[nm_cmmn]],$A51))</f>
        <v>0</v>
      </c>
      <c r="K51" s="43">
        <f>SUM(COUNTIFS(modif2[inter_N+9],regle!$C$11,modif2[[nm_cmmn]:[nm_cmmn]],$A51),COUNTIFS(modif2[inter_N+9],regle!$D$11,modif2[[nm_cmmn]:[nm_cmmn]],$A51),COUNTIFS(modif2[inter_N+9],regle!$E$11,modif2[[nm_cmmn]:[nm_cmmn]],$A51))</f>
        <v>0</v>
      </c>
      <c r="L51" s="43">
        <f>SUM(COUNTIFS(modif2[inter_N+10],regle!$C$11,modif2[[nm_cmmn]:[nm_cmmn]],$A51),COUNTIFS(modif2[inter_N+10],regle!$D$11,modif2[[nm_cmmn]:[nm_cmmn]],$A51),COUNTIFS(modif2[inter_N+10],regle!$E$11,modif2[[nm_cmmn]:[nm_cmmn]],$A51))</f>
        <v>1</v>
      </c>
    </row>
    <row r="52" spans="1:12" ht="15.75" x14ac:dyDescent="0.25">
      <c r="A52" s="32" t="str">
        <f t="shared" ref="A52:A56" si="9">A40</f>
        <v>MANO</v>
      </c>
      <c r="B52" s="40">
        <f t="shared" si="7"/>
        <v>69</v>
      </c>
      <c r="C52" s="43">
        <f>SUM(COUNTIFS(modif2[inter_N+1],regle!$C$11,modif2[[nm_cmmn]:[nm_cmmn]],$A52),COUNTIFS(modif2[inter_N+1],regle!$D$11,modif2[[nm_cmmn]:[nm_cmmn]],$A52),COUNTIFS(modif2[inter_N+1],regle!$E$11,modif2[[nm_cmmn]:[nm_cmmn]],$A52))</f>
        <v>0</v>
      </c>
      <c r="D52" s="43">
        <f>SUM(COUNTIFS(modif2[inter_N+2],regle!$C$11,modif2[[nm_cmmn]:[nm_cmmn]],$A52),COUNTIFS(modif2[inter_N+2],regle!$D$11,modif2[[nm_cmmn]:[nm_cmmn]],$A52),COUNTIFS(modif2[inter_N+2],regle!$E$11,modif2[[nm_cmmn]:[nm_cmmn]],$A52))</f>
        <v>1</v>
      </c>
      <c r="E52" s="43">
        <f>SUM(COUNTIFS(modif2[inter_N+3],regle!$C$11,modif2[[nm_cmmn]:[nm_cmmn]],$A52),COUNTIFS(modif2[inter_N+3],regle!$D$11,modif2[[nm_cmmn]:[nm_cmmn]],$A52),COUNTIFS(modif2[inter_N+3],regle!$E$11,modif2[[nm_cmmn]:[nm_cmmn]],$A52))</f>
        <v>21</v>
      </c>
      <c r="F52" s="43">
        <f>SUM(COUNTIFS(modif2[inter_N+4],regle!$C$11,modif2[[nm_cmmn]:[nm_cmmn]],$A52),COUNTIFS(modif2[inter_N+4],regle!$D$11,modif2[[nm_cmmn]:[nm_cmmn]],$A52),COUNTIFS(modif2[inter_N+4],regle!$E$11,modif2[[nm_cmmn]:[nm_cmmn]],$A52))</f>
        <v>2</v>
      </c>
      <c r="G52" s="43">
        <f>SUM(COUNTIFS(modif2[inter_N+5],regle!$C$11,modif2[[nm_cmmn]:[nm_cmmn]],$A52),COUNTIFS(modif2[inter_N+5],regle!$D$11,modif2[[nm_cmmn]:[nm_cmmn]],$A52),COUNTIFS(modif2[inter_N+5],regle!$E$11,modif2[[nm_cmmn]:[nm_cmmn]],$A52))</f>
        <v>21</v>
      </c>
      <c r="H52" s="43">
        <f>SUM(COUNTIFS(modif2[inter_N+6],regle!$C$11,modif2[[nm_cmmn]:[nm_cmmn]],$A52),COUNTIFS(modif2[inter_N+6],regle!$D$11,modif2[[nm_cmmn]:[nm_cmmn]],$A52),COUNTIFS(modif2[inter_N+6],regle!$E$11,modif2[[nm_cmmn]:[nm_cmmn]],$A52))</f>
        <v>1</v>
      </c>
      <c r="I52" s="43">
        <f>SUM(COUNTIFS(modif2[inter_N+7],regle!$C$11,modif2[[nm_cmmn]:[nm_cmmn]],$A52),COUNTIFS(modif2[inter_N+7],regle!$D$11,modif2[[nm_cmmn]:[nm_cmmn]],$A52),COUNTIFS(modif2[inter_N+7],regle!$E$11,modif2[[nm_cmmn]:[nm_cmmn]],$A52))</f>
        <v>1</v>
      </c>
      <c r="J52" s="43">
        <f>SUM(COUNTIFS(modif2[inter_N+8],regle!$C$11,modif2[[nm_cmmn]:[nm_cmmn]],$A52),COUNTIFS(modif2[inter_N+8],regle!$D$11,modif2[[nm_cmmn]:[nm_cmmn]],$A52),COUNTIFS(modif2[inter_N+8],regle!$E$11,modif2[[nm_cmmn]:[nm_cmmn]],$A52))</f>
        <v>21</v>
      </c>
      <c r="K52" s="43">
        <f>SUM(COUNTIFS(modif2[inter_N+9],regle!$C$11,modif2[[nm_cmmn]:[nm_cmmn]],$A52),COUNTIFS(modif2[inter_N+9],regle!$D$11,modif2[[nm_cmmn]:[nm_cmmn]],$A52),COUNTIFS(modif2[inter_N+9],regle!$E$11,modif2[[nm_cmmn]:[nm_cmmn]],$A52))</f>
        <v>1</v>
      </c>
      <c r="L52" s="43">
        <f>SUM(COUNTIFS(modif2[inter_N+10],regle!$C$11,modif2[[nm_cmmn]:[nm_cmmn]],$A52),COUNTIFS(modif2[inter_N+10],regle!$D$11,modif2[[nm_cmmn]:[nm_cmmn]],$A52),COUNTIFS(modif2[inter_N+10],regle!$E$11,modif2[[nm_cmmn]:[nm_cmmn]],$A52))</f>
        <v>0</v>
      </c>
    </row>
    <row r="53" spans="1:12" ht="15.75" x14ac:dyDescent="0.25">
      <c r="A53" s="32" t="str">
        <f t="shared" si="9"/>
        <v>GUILLOS</v>
      </c>
      <c r="B53" s="40">
        <f t="shared" si="7"/>
        <v>1</v>
      </c>
      <c r="C53" s="43">
        <f>SUM(COUNTIFS(modif2[inter_N+1],regle!$C$11,modif2[[nm_cmmn]:[nm_cmmn]],$A53),COUNTIFS(modif2[inter_N+1],regle!$D$11,modif2[[nm_cmmn]:[nm_cmmn]],$A53),COUNTIFS(modif2[inter_N+1],regle!$E$11,modif2[[nm_cmmn]:[nm_cmmn]],$A53))</f>
        <v>0</v>
      </c>
      <c r="D53" s="43">
        <f>SUM(COUNTIFS(modif2[inter_N+2],regle!$C$11,modif2[[nm_cmmn]:[nm_cmmn]],$A53),COUNTIFS(modif2[inter_N+2],regle!$D$11,modif2[[nm_cmmn]:[nm_cmmn]],$A53),COUNTIFS(modif2[inter_N+2],regle!$E$11,modif2[[nm_cmmn]:[nm_cmmn]],$A53))</f>
        <v>0</v>
      </c>
      <c r="E53" s="43">
        <f>SUM(COUNTIFS(modif2[inter_N+3],regle!$C$11,modif2[[nm_cmmn]:[nm_cmmn]],$A53),COUNTIFS(modif2[inter_N+3],regle!$D$11,modif2[[nm_cmmn]:[nm_cmmn]],$A53),COUNTIFS(modif2[inter_N+3],regle!$E$11,modif2[[nm_cmmn]:[nm_cmmn]],$A53))</f>
        <v>0</v>
      </c>
      <c r="F53" s="43">
        <f>SUM(COUNTIFS(modif2[inter_N+4],regle!$C$11,modif2[[nm_cmmn]:[nm_cmmn]],$A53),COUNTIFS(modif2[inter_N+4],regle!$D$11,modif2[[nm_cmmn]:[nm_cmmn]],$A53),COUNTIFS(modif2[inter_N+4],regle!$E$11,modif2[[nm_cmmn]:[nm_cmmn]],$A53))</f>
        <v>0</v>
      </c>
      <c r="G53" s="43">
        <f>SUM(COUNTIFS(modif2[inter_N+5],regle!$C$11,modif2[[nm_cmmn]:[nm_cmmn]],$A53),COUNTIFS(modif2[inter_N+5],regle!$D$11,modif2[[nm_cmmn]:[nm_cmmn]],$A53),COUNTIFS(modif2[inter_N+5],regle!$E$11,modif2[[nm_cmmn]:[nm_cmmn]],$A53))</f>
        <v>0</v>
      </c>
      <c r="H53" s="43">
        <f>SUM(COUNTIFS(modif2[inter_N+6],regle!$C$11,modif2[[nm_cmmn]:[nm_cmmn]],$A53),COUNTIFS(modif2[inter_N+6],regle!$D$11,modif2[[nm_cmmn]:[nm_cmmn]],$A53),COUNTIFS(modif2[inter_N+6],regle!$E$11,modif2[[nm_cmmn]:[nm_cmmn]],$A53))</f>
        <v>0</v>
      </c>
      <c r="I53" s="43">
        <f>SUM(COUNTIFS(modif2[inter_N+7],regle!$C$11,modif2[[nm_cmmn]:[nm_cmmn]],$A53),COUNTIFS(modif2[inter_N+7],regle!$D$11,modif2[[nm_cmmn]:[nm_cmmn]],$A53),COUNTIFS(modif2[inter_N+7],regle!$E$11,modif2[[nm_cmmn]:[nm_cmmn]],$A53))</f>
        <v>0</v>
      </c>
      <c r="J53" s="43">
        <f>SUM(COUNTIFS(modif2[inter_N+8],regle!$C$11,modif2[[nm_cmmn]:[nm_cmmn]],$A53),COUNTIFS(modif2[inter_N+8],regle!$D$11,modif2[[nm_cmmn]:[nm_cmmn]],$A53),COUNTIFS(modif2[inter_N+8],regle!$E$11,modif2[[nm_cmmn]:[nm_cmmn]],$A53))</f>
        <v>0</v>
      </c>
      <c r="K53" s="43">
        <f>SUM(COUNTIFS(modif2[inter_N+9],regle!$C$11,modif2[[nm_cmmn]:[nm_cmmn]],$A53),COUNTIFS(modif2[inter_N+9],regle!$D$11,modif2[[nm_cmmn]:[nm_cmmn]],$A53),COUNTIFS(modif2[inter_N+9],regle!$E$11,modif2[[nm_cmmn]:[nm_cmmn]],$A53))</f>
        <v>0</v>
      </c>
      <c r="L53" s="43">
        <f>SUM(COUNTIFS(modif2[inter_N+10],regle!$C$11,modif2[[nm_cmmn]:[nm_cmmn]],$A53),COUNTIFS(modif2[inter_N+10],regle!$D$11,modif2[[nm_cmmn]:[nm_cmmn]],$A53),COUNTIFS(modif2[inter_N+10],regle!$E$11,modif2[[nm_cmmn]:[nm_cmmn]],$A53))</f>
        <v>1</v>
      </c>
    </row>
    <row r="54" spans="1:12" ht="15.75" x14ac:dyDescent="0.25">
      <c r="A54" s="32" t="str">
        <f t="shared" si="9"/>
        <v>MOUSTEY</v>
      </c>
      <c r="B54" s="40">
        <f t="shared" si="7"/>
        <v>31</v>
      </c>
      <c r="C54" s="43">
        <f>SUM(COUNTIFS(modif2[inter_N+1],regle!$C$11,modif2[[nm_cmmn]:[nm_cmmn]],$A54),COUNTIFS(modif2[inter_N+1],regle!$D$11,modif2[[nm_cmmn]:[nm_cmmn]],$A54),COUNTIFS(modif2[inter_N+1],regle!$E$11,modif2[[nm_cmmn]:[nm_cmmn]],$A54))</f>
        <v>7</v>
      </c>
      <c r="D54" s="43">
        <f>SUM(COUNTIFS(modif2[inter_N+2],regle!$C$11,modif2[[nm_cmmn]:[nm_cmmn]],$A54),COUNTIFS(modif2[inter_N+2],regle!$D$11,modif2[[nm_cmmn]:[nm_cmmn]],$A54),COUNTIFS(modif2[inter_N+2],regle!$E$11,modif2[[nm_cmmn]:[nm_cmmn]],$A54))</f>
        <v>0</v>
      </c>
      <c r="E54" s="43">
        <f>SUM(COUNTIFS(modif2[inter_N+3],regle!$C$11,modif2[[nm_cmmn]:[nm_cmmn]],$A54),COUNTIFS(modif2[inter_N+3],regle!$D$11,modif2[[nm_cmmn]:[nm_cmmn]],$A54),COUNTIFS(modif2[inter_N+3],regle!$E$11,modif2[[nm_cmmn]:[nm_cmmn]],$A54))</f>
        <v>8</v>
      </c>
      <c r="F54" s="43">
        <f>SUM(COUNTIFS(modif2[inter_N+4],regle!$C$11,modif2[[nm_cmmn]:[nm_cmmn]],$A54),COUNTIFS(modif2[inter_N+4],regle!$D$11,modif2[[nm_cmmn]:[nm_cmmn]],$A54),COUNTIFS(modif2[inter_N+4],regle!$E$11,modif2[[nm_cmmn]:[nm_cmmn]],$A54))</f>
        <v>0</v>
      </c>
      <c r="G54" s="43">
        <f>SUM(COUNTIFS(modif2[inter_N+5],regle!$C$11,modif2[[nm_cmmn]:[nm_cmmn]],$A54),COUNTIFS(modif2[inter_N+5],regle!$D$11,modif2[[nm_cmmn]:[nm_cmmn]],$A54),COUNTIFS(modif2[inter_N+5],regle!$E$11,modif2[[nm_cmmn]:[nm_cmmn]],$A54))</f>
        <v>8</v>
      </c>
      <c r="H54" s="43">
        <f>SUM(COUNTIFS(modif2[inter_N+6],regle!$C$11,modif2[[nm_cmmn]:[nm_cmmn]],$A54),COUNTIFS(modif2[inter_N+6],regle!$D$11,modif2[[nm_cmmn]:[nm_cmmn]],$A54),COUNTIFS(modif2[inter_N+6],regle!$E$11,modif2[[nm_cmmn]:[nm_cmmn]],$A54))</f>
        <v>0</v>
      </c>
      <c r="I54" s="43">
        <f>SUM(COUNTIFS(modif2[inter_N+7],regle!$C$11,modif2[[nm_cmmn]:[nm_cmmn]],$A54),COUNTIFS(modif2[inter_N+7],regle!$D$11,modif2[[nm_cmmn]:[nm_cmmn]],$A54),COUNTIFS(modif2[inter_N+7],regle!$E$11,modif2[[nm_cmmn]:[nm_cmmn]],$A54))</f>
        <v>0</v>
      </c>
      <c r="J54" s="43">
        <f>SUM(COUNTIFS(modif2[inter_N+8],regle!$C$11,modif2[[nm_cmmn]:[nm_cmmn]],$A54),COUNTIFS(modif2[inter_N+8],regle!$D$11,modif2[[nm_cmmn]:[nm_cmmn]],$A54),COUNTIFS(modif2[inter_N+8],regle!$E$11,modif2[[nm_cmmn]:[nm_cmmn]],$A54))</f>
        <v>8</v>
      </c>
      <c r="K54" s="43">
        <f>SUM(COUNTIFS(modif2[inter_N+9],regle!$C$11,modif2[[nm_cmmn]:[nm_cmmn]],$A54),COUNTIFS(modif2[inter_N+9],regle!$D$11,modif2[[nm_cmmn]:[nm_cmmn]],$A54),COUNTIFS(modif2[inter_N+9],regle!$E$11,modif2[[nm_cmmn]:[nm_cmmn]],$A54))</f>
        <v>0</v>
      </c>
      <c r="L54" s="43">
        <f>SUM(COUNTIFS(modif2[inter_N+10],regle!$C$11,modif2[[nm_cmmn]:[nm_cmmn]],$A54),COUNTIFS(modif2[inter_N+10],regle!$D$11,modif2[[nm_cmmn]:[nm_cmmn]],$A54),COUNTIFS(modif2[inter_N+10],regle!$E$11,modif2[[nm_cmmn]:[nm_cmmn]],$A54))</f>
        <v>0</v>
      </c>
    </row>
    <row r="55" spans="1:12" ht="15.75" x14ac:dyDescent="0.25">
      <c r="A55" s="32" t="str">
        <f t="shared" si="9"/>
        <v>HOSTENS</v>
      </c>
      <c r="B55" s="40">
        <f t="shared" si="7"/>
        <v>84</v>
      </c>
      <c r="C55" s="43">
        <f>SUM(COUNTIFS(modif2[inter_N+1],regle!$C$11,modif2[[nm_cmmn]:[nm_cmmn]],$A55),COUNTIFS(modif2[inter_N+1],regle!$D$11,modif2[[nm_cmmn]:[nm_cmmn]],$A55),COUNTIFS(modif2[inter_N+1],regle!$E$11,modif2[[nm_cmmn]:[nm_cmmn]],$A55))</f>
        <v>17</v>
      </c>
      <c r="D55" s="43">
        <f>SUM(COUNTIFS(modif2[inter_N+2],regle!$C$11,modif2[[nm_cmmn]:[nm_cmmn]],$A55),COUNTIFS(modif2[inter_N+2],regle!$D$11,modif2[[nm_cmmn]:[nm_cmmn]],$A55),COUNTIFS(modif2[inter_N+2],regle!$E$11,modif2[[nm_cmmn]:[nm_cmmn]],$A55))</f>
        <v>0</v>
      </c>
      <c r="E55" s="43">
        <f>SUM(COUNTIFS(modif2[inter_N+3],regle!$C$11,modif2[[nm_cmmn]:[nm_cmmn]],$A55),COUNTIFS(modif2[inter_N+3],regle!$D$11,modif2[[nm_cmmn]:[nm_cmmn]],$A55),COUNTIFS(modif2[inter_N+3],regle!$E$11,modif2[[nm_cmmn]:[nm_cmmn]],$A55))</f>
        <v>31</v>
      </c>
      <c r="F55" s="43">
        <f>SUM(COUNTIFS(modif2[inter_N+4],regle!$C$11,modif2[[nm_cmmn]:[nm_cmmn]],$A55),COUNTIFS(modif2[inter_N+4],regle!$D$11,modif2[[nm_cmmn]:[nm_cmmn]],$A55),COUNTIFS(modif2[inter_N+4],regle!$E$11,modif2[[nm_cmmn]:[nm_cmmn]],$A55))</f>
        <v>6</v>
      </c>
      <c r="G55" s="43">
        <f>SUM(COUNTIFS(modif2[inter_N+5],regle!$C$11,modif2[[nm_cmmn]:[nm_cmmn]],$A55),COUNTIFS(modif2[inter_N+5],regle!$D$11,modif2[[nm_cmmn]:[nm_cmmn]],$A55),COUNTIFS(modif2[inter_N+5],regle!$E$11,modif2[[nm_cmmn]:[nm_cmmn]],$A55))</f>
        <v>8</v>
      </c>
      <c r="H55" s="43">
        <f>SUM(COUNTIFS(modif2[inter_N+6],regle!$C$11,modif2[[nm_cmmn]:[nm_cmmn]],$A55),COUNTIFS(modif2[inter_N+6],regle!$D$11,modif2[[nm_cmmn]:[nm_cmmn]],$A55),COUNTIFS(modif2[inter_N+6],regle!$E$11,modif2[[nm_cmmn]:[nm_cmmn]],$A55))</f>
        <v>1</v>
      </c>
      <c r="I55" s="43">
        <f>SUM(COUNTIFS(modif2[inter_N+7],regle!$C$11,modif2[[nm_cmmn]:[nm_cmmn]],$A55),COUNTIFS(modif2[inter_N+7],regle!$D$11,modif2[[nm_cmmn]:[nm_cmmn]],$A55),COUNTIFS(modif2[inter_N+7],regle!$E$11,modif2[[nm_cmmn]:[nm_cmmn]],$A55))</f>
        <v>4</v>
      </c>
      <c r="J55" s="43">
        <f>SUM(COUNTIFS(modif2[inter_N+8],regle!$C$11,modif2[[nm_cmmn]:[nm_cmmn]],$A55),COUNTIFS(modif2[inter_N+8],regle!$D$11,modif2[[nm_cmmn]:[nm_cmmn]],$A55),COUNTIFS(modif2[inter_N+8],regle!$E$11,modif2[[nm_cmmn]:[nm_cmmn]],$A55))</f>
        <v>4</v>
      </c>
      <c r="K55" s="43">
        <f>SUM(COUNTIFS(modif2[inter_N+9],regle!$C$11,modif2[[nm_cmmn]:[nm_cmmn]],$A55),COUNTIFS(modif2[inter_N+9],regle!$D$11,modif2[[nm_cmmn]:[nm_cmmn]],$A55),COUNTIFS(modif2[inter_N+9],regle!$E$11,modif2[[nm_cmmn]:[nm_cmmn]],$A55))</f>
        <v>8</v>
      </c>
      <c r="L55" s="43">
        <f>SUM(COUNTIFS(modif2[inter_N+10],regle!$C$11,modif2[[nm_cmmn]:[nm_cmmn]],$A55),COUNTIFS(modif2[inter_N+10],regle!$D$11,modif2[[nm_cmmn]:[nm_cmmn]],$A55),COUNTIFS(modif2[inter_N+10],regle!$E$11,modif2[[nm_cmmn]:[nm_cmmn]],$A55))</f>
        <v>5</v>
      </c>
    </row>
    <row r="56" spans="1:12" ht="15.75" x14ac:dyDescent="0.25">
      <c r="A56" s="32" t="str">
        <f t="shared" si="9"/>
        <v>LE TUZAN</v>
      </c>
      <c r="B56" s="40">
        <f t="shared" si="7"/>
        <v>27</v>
      </c>
      <c r="C56" s="43">
        <f>SUM(COUNTIFS(modif2[inter_N+1],regle!$C$11,modif2[[nm_cmmn]:[nm_cmmn]],$A56),COUNTIFS(modif2[inter_N+1],regle!$D$11,modif2[[nm_cmmn]:[nm_cmmn]],$A56),COUNTIFS(modif2[inter_N+1],regle!$E$11,modif2[[nm_cmmn]:[nm_cmmn]],$A56))</f>
        <v>10</v>
      </c>
      <c r="D56" s="43">
        <f>SUM(COUNTIFS(modif2[inter_N+2],regle!$C$11,modif2[[nm_cmmn]:[nm_cmmn]],$A56),COUNTIFS(modif2[inter_N+2],regle!$D$11,modif2[[nm_cmmn]:[nm_cmmn]],$A56),COUNTIFS(modif2[inter_N+2],regle!$E$11,modif2[[nm_cmmn]:[nm_cmmn]],$A56))</f>
        <v>0</v>
      </c>
      <c r="E56" s="43">
        <f>SUM(COUNTIFS(modif2[inter_N+3],regle!$C$11,modif2[[nm_cmmn]:[nm_cmmn]],$A56),COUNTIFS(modif2[inter_N+3],regle!$D$11,modif2[[nm_cmmn]:[nm_cmmn]],$A56),COUNTIFS(modif2[inter_N+3],regle!$E$11,modif2[[nm_cmmn]:[nm_cmmn]],$A56))</f>
        <v>1</v>
      </c>
      <c r="F56" s="43">
        <f>SUM(COUNTIFS(modif2[inter_N+4],regle!$C$11,modif2[[nm_cmmn]:[nm_cmmn]],$A56),COUNTIFS(modif2[inter_N+4],regle!$D$11,modif2[[nm_cmmn]:[nm_cmmn]],$A56),COUNTIFS(modif2[inter_N+4],regle!$E$11,modif2[[nm_cmmn]:[nm_cmmn]],$A56))</f>
        <v>0</v>
      </c>
      <c r="G56" s="43">
        <f>SUM(COUNTIFS(modif2[inter_N+5],regle!$C$11,modif2[[nm_cmmn]:[nm_cmmn]],$A56),COUNTIFS(modif2[inter_N+5],regle!$D$11,modif2[[nm_cmmn]:[nm_cmmn]],$A56),COUNTIFS(modif2[inter_N+5],regle!$E$11,modif2[[nm_cmmn]:[nm_cmmn]],$A56))</f>
        <v>2</v>
      </c>
      <c r="H56" s="43">
        <f>SUM(COUNTIFS(modif2[inter_N+6],regle!$C$11,modif2[[nm_cmmn]:[nm_cmmn]],$A56),COUNTIFS(modif2[inter_N+6],regle!$D$11,modif2[[nm_cmmn]:[nm_cmmn]],$A56),COUNTIFS(modif2[inter_N+6],regle!$E$11,modif2[[nm_cmmn]:[nm_cmmn]],$A56))</f>
        <v>0</v>
      </c>
      <c r="I56" s="43">
        <f>SUM(COUNTIFS(modif2[inter_N+7],regle!$C$11,modif2[[nm_cmmn]:[nm_cmmn]],$A56),COUNTIFS(modif2[inter_N+7],regle!$D$11,modif2[[nm_cmmn]:[nm_cmmn]],$A56),COUNTIFS(modif2[inter_N+7],regle!$E$11,modif2[[nm_cmmn]:[nm_cmmn]],$A56))</f>
        <v>2</v>
      </c>
      <c r="J56" s="43">
        <f>SUM(COUNTIFS(modif2[inter_N+8],regle!$C$11,modif2[[nm_cmmn]:[nm_cmmn]],$A56),COUNTIFS(modif2[inter_N+8],regle!$D$11,modif2[[nm_cmmn]:[nm_cmmn]],$A56),COUNTIFS(modif2[inter_N+8],regle!$E$11,modif2[[nm_cmmn]:[nm_cmmn]],$A56))</f>
        <v>4</v>
      </c>
      <c r="K56" s="43">
        <f>SUM(COUNTIFS(modif2[inter_N+9],regle!$C$11,modif2[[nm_cmmn]:[nm_cmmn]],$A56),COUNTIFS(modif2[inter_N+9],regle!$D$11,modif2[[nm_cmmn]:[nm_cmmn]],$A56),COUNTIFS(modif2[inter_N+9],regle!$E$11,modif2[[nm_cmmn]:[nm_cmmn]],$A56))</f>
        <v>0</v>
      </c>
      <c r="L56" s="43">
        <f>SUM(COUNTIFS(modif2[inter_N+10],regle!$C$11,modif2[[nm_cmmn]:[nm_cmmn]],$A56),COUNTIFS(modif2[inter_N+10],regle!$D$11,modif2[[nm_cmmn]:[nm_cmmn]],$A56),COUNTIFS(modif2[inter_N+10],regle!$E$11,modif2[[nm_cmmn]:[nm_cmmn]],$A56))</f>
        <v>8</v>
      </c>
    </row>
  </sheetData>
  <phoneticPr fontId="18" type="noConversion"/>
  <pageMargins left="0.25" right="0.25" top="0.75" bottom="0.75" header="0.3" footer="0.3"/>
  <pageSetup paperSize="9" scale="86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11"/>
  <dimension ref="A1:M45"/>
  <sheetViews>
    <sheetView tabSelected="1" topLeftCell="A2" workbookViewId="0">
      <selection activeCell="A20" sqref="A20:XFD22"/>
    </sheetView>
  </sheetViews>
  <sheetFormatPr baseColWidth="10" defaultColWidth="11.42578125" defaultRowHeight="15" x14ac:dyDescent="0.25"/>
  <cols>
    <col min="1" max="1" width="16.85546875" bestFit="1" customWidth="1"/>
    <col min="2" max="2" width="10.85546875" bestFit="1" customWidth="1"/>
    <col min="3" max="3" width="11" customWidth="1"/>
    <col min="4" max="5" width="10.85546875" bestFit="1" customWidth="1"/>
    <col min="6" max="6" width="11.85546875" bestFit="1" customWidth="1"/>
    <col min="7" max="7" width="11.7109375" customWidth="1"/>
    <col min="8" max="8" width="11.85546875" bestFit="1" customWidth="1"/>
    <col min="9" max="9" width="10.85546875" style="3" bestFit="1" customWidth="1"/>
    <col min="10" max="10" width="11.85546875" bestFit="1" customWidth="1"/>
    <col min="11" max="11" width="10.85546875" bestFit="1" customWidth="1"/>
    <col min="12" max="12" width="7" bestFit="1" customWidth="1"/>
    <col min="13" max="13" width="5.7109375" style="3" bestFit="1" customWidth="1"/>
    <col min="14" max="14" width="5.85546875" bestFit="1" customWidth="1"/>
    <col min="15" max="15" width="7.28515625" bestFit="1" customWidth="1"/>
    <col min="16" max="17" width="9.7109375" customWidth="1"/>
    <col min="18" max="18" width="7.42578125" bestFit="1" customWidth="1"/>
    <col min="19" max="19" width="21" bestFit="1" customWidth="1"/>
    <col min="20" max="20" width="25" bestFit="1" customWidth="1"/>
    <col min="21" max="21" width="9.140625" bestFit="1" customWidth="1"/>
  </cols>
  <sheetData>
    <row r="1" spans="1:13" ht="15.75" x14ac:dyDescent="0.25">
      <c r="A1" s="89">
        <f ca="1">TODAY()</f>
        <v>45230</v>
      </c>
      <c r="B1" s="85">
        <v>1</v>
      </c>
      <c r="C1" s="85">
        <v>2</v>
      </c>
      <c r="D1" s="85">
        <v>3</v>
      </c>
      <c r="E1" s="85">
        <v>4</v>
      </c>
      <c r="F1" s="85">
        <v>5</v>
      </c>
      <c r="G1" s="85">
        <v>6</v>
      </c>
      <c r="H1" s="85">
        <v>7</v>
      </c>
      <c r="I1" s="85">
        <v>8</v>
      </c>
      <c r="J1" s="85">
        <v>9</v>
      </c>
      <c r="K1" s="85">
        <v>10</v>
      </c>
      <c r="L1" s="13"/>
    </row>
    <row r="2" spans="1:13" x14ac:dyDescent="0.25">
      <c r="A2" s="88">
        <v>2023</v>
      </c>
      <c r="B2" s="87">
        <f>$A$2+B$1</f>
        <v>2024</v>
      </c>
      <c r="C2" s="87">
        <f t="shared" ref="C2:K2" si="0">$A$2+C$1</f>
        <v>2025</v>
      </c>
      <c r="D2" s="87">
        <f t="shared" si="0"/>
        <v>2026</v>
      </c>
      <c r="E2" s="87">
        <f t="shared" si="0"/>
        <v>2027</v>
      </c>
      <c r="F2" s="87">
        <f t="shared" si="0"/>
        <v>2028</v>
      </c>
      <c r="G2" s="87">
        <f t="shared" si="0"/>
        <v>2029</v>
      </c>
      <c r="H2" s="87">
        <f t="shared" si="0"/>
        <v>2030</v>
      </c>
      <c r="I2" s="87">
        <f t="shared" si="0"/>
        <v>2031</v>
      </c>
      <c r="J2" s="87">
        <f t="shared" si="0"/>
        <v>2032</v>
      </c>
      <c r="K2" s="87">
        <f t="shared" si="0"/>
        <v>2033</v>
      </c>
      <c r="L2" s="7"/>
    </row>
    <row r="3" spans="1:13" x14ac:dyDescent="0.25">
      <c r="I3"/>
      <c r="L3" t="s">
        <v>1867</v>
      </c>
    </row>
    <row r="4" spans="1:13" x14ac:dyDescent="0.25">
      <c r="I4"/>
    </row>
    <row r="5" spans="1:13" ht="15.75" x14ac:dyDescent="0.25">
      <c r="A5" s="31" t="s">
        <v>1824</v>
      </c>
      <c r="B5" s="31" t="s">
        <v>1825</v>
      </c>
      <c r="C5" s="31" t="s">
        <v>1826</v>
      </c>
      <c r="D5" s="8"/>
      <c r="E5" s="8"/>
      <c r="F5" s="13"/>
      <c r="G5" s="8"/>
      <c r="H5" s="8"/>
      <c r="I5" s="8"/>
      <c r="J5" s="8"/>
      <c r="K5" s="13"/>
      <c r="L5" s="13"/>
    </row>
    <row r="6" spans="1:13" x14ac:dyDescent="0.25">
      <c r="A6" s="87">
        <v>1.8</v>
      </c>
      <c r="B6" s="87">
        <v>1000</v>
      </c>
      <c r="C6" s="87">
        <v>1.1299999999999999</v>
      </c>
      <c r="D6" s="8"/>
      <c r="E6" s="8"/>
      <c r="F6" s="13"/>
      <c r="G6" s="8"/>
      <c r="H6" s="8"/>
      <c r="I6" s="8"/>
      <c r="J6" s="8"/>
      <c r="K6" s="13"/>
      <c r="L6" s="13"/>
    </row>
    <row r="7" spans="1:13" x14ac:dyDescent="0.25">
      <c r="A7" s="87">
        <v>1.6</v>
      </c>
      <c r="B7" s="87">
        <v>884</v>
      </c>
      <c r="C7" s="87">
        <v>1</v>
      </c>
      <c r="D7" s="8"/>
      <c r="E7" s="8"/>
      <c r="F7" s="13"/>
      <c r="G7" s="8"/>
      <c r="H7" s="8"/>
      <c r="I7" s="8"/>
      <c r="J7" s="8"/>
      <c r="K7" s="13"/>
      <c r="L7" s="13"/>
    </row>
    <row r="8" spans="1:13" x14ac:dyDescent="0.25">
      <c r="A8" s="87">
        <v>1</v>
      </c>
      <c r="B8" s="87">
        <v>550</v>
      </c>
      <c r="C8" s="87">
        <v>0.62</v>
      </c>
      <c r="D8" s="8"/>
      <c r="E8" s="8"/>
      <c r="F8" s="13"/>
      <c r="G8" s="8"/>
      <c r="H8" s="8"/>
      <c r="I8" s="8"/>
      <c r="J8" s="8"/>
      <c r="K8" s="13"/>
      <c r="L8" s="13"/>
    </row>
    <row r="9" spans="1:13" x14ac:dyDescent="0.25">
      <c r="A9" s="7"/>
      <c r="B9" s="7"/>
      <c r="C9" s="7"/>
      <c r="D9" s="8"/>
      <c r="E9" s="8"/>
      <c r="F9" s="13"/>
      <c r="G9" s="8"/>
      <c r="H9" s="8"/>
      <c r="I9" s="8"/>
      <c r="J9" s="8"/>
      <c r="K9" s="13"/>
      <c r="L9" s="13"/>
    </row>
    <row r="10" spans="1:13" x14ac:dyDescent="0.25">
      <c r="A10" s="4"/>
      <c r="B10" s="8"/>
      <c r="C10" s="8"/>
      <c r="D10" s="8"/>
      <c r="E10" s="8"/>
      <c r="F10" s="13"/>
      <c r="G10" s="8"/>
      <c r="H10" s="8"/>
      <c r="I10" s="8"/>
      <c r="J10" s="8"/>
      <c r="K10" s="13"/>
      <c r="L10" s="13"/>
    </row>
    <row r="11" spans="1:13" ht="15.75" x14ac:dyDescent="0.25">
      <c r="A11" s="30" t="s">
        <v>1877</v>
      </c>
      <c r="B11" s="85" t="s">
        <v>1868</v>
      </c>
      <c r="C11" s="85" t="s">
        <v>1872</v>
      </c>
      <c r="D11" s="85" t="s">
        <v>1870</v>
      </c>
      <c r="E11" s="85" t="s">
        <v>1871</v>
      </c>
      <c r="F11" s="86" t="s">
        <v>1803</v>
      </c>
      <c r="G11" s="86" t="s">
        <v>1804</v>
      </c>
      <c r="H11" s="86" t="s">
        <v>1805</v>
      </c>
      <c r="I11" s="86" t="s">
        <v>1806</v>
      </c>
      <c r="J11" s="85" t="s">
        <v>63</v>
      </c>
      <c r="K11" s="85" t="s">
        <v>1181</v>
      </c>
      <c r="L11" s="13"/>
    </row>
    <row r="12" spans="1:13" ht="15.75" x14ac:dyDescent="0.25">
      <c r="A12" s="83" t="s">
        <v>1878</v>
      </c>
      <c r="B12" s="68">
        <v>0</v>
      </c>
      <c r="C12" s="68">
        <v>2</v>
      </c>
      <c r="D12" s="68">
        <v>5</v>
      </c>
      <c r="E12" s="68">
        <v>8</v>
      </c>
      <c r="F12" s="68">
        <v>13</v>
      </c>
      <c r="G12" s="68">
        <f>F12+5</f>
        <v>18</v>
      </c>
      <c r="H12" s="68">
        <f t="shared" ref="H12:I12" si="1">G12+5</f>
        <v>23</v>
      </c>
      <c r="I12" s="68">
        <f t="shared" si="1"/>
        <v>28</v>
      </c>
      <c r="J12" s="68">
        <v>40</v>
      </c>
      <c r="K12" s="68">
        <v>30</v>
      </c>
      <c r="M12"/>
    </row>
    <row r="13" spans="1:13" ht="15.75" x14ac:dyDescent="0.25">
      <c r="A13" s="83" t="s">
        <v>1890</v>
      </c>
      <c r="B13" s="69">
        <v>-1</v>
      </c>
      <c r="C13" s="68">
        <v>2</v>
      </c>
      <c r="D13" s="68">
        <v>2</v>
      </c>
      <c r="E13" s="68">
        <v>2</v>
      </c>
      <c r="F13" s="68">
        <v>4</v>
      </c>
      <c r="G13" s="68">
        <v>4</v>
      </c>
      <c r="H13" s="68">
        <v>4</v>
      </c>
      <c r="I13" s="68">
        <v>4</v>
      </c>
      <c r="J13" s="69">
        <v>35</v>
      </c>
      <c r="K13" s="69">
        <v>25</v>
      </c>
      <c r="M13"/>
    </row>
    <row r="14" spans="1:13" ht="15.75" x14ac:dyDescent="0.25">
      <c r="A14" s="83" t="s">
        <v>1874</v>
      </c>
      <c r="B14" s="69">
        <v>1</v>
      </c>
      <c r="C14" s="68">
        <v>2</v>
      </c>
      <c r="D14" s="68">
        <v>4</v>
      </c>
      <c r="E14" s="68">
        <v>4</v>
      </c>
      <c r="F14" s="68">
        <v>6</v>
      </c>
      <c r="G14" s="68">
        <v>6</v>
      </c>
      <c r="H14" s="68">
        <v>6</v>
      </c>
      <c r="I14" s="68">
        <v>6</v>
      </c>
      <c r="J14" s="69">
        <v>44</v>
      </c>
      <c r="K14" s="69">
        <v>34</v>
      </c>
      <c r="M14"/>
    </row>
    <row r="15" spans="1:13" ht="15.75" x14ac:dyDescent="0.25">
      <c r="A15" s="83" t="s">
        <v>1834</v>
      </c>
      <c r="B15" s="70"/>
      <c r="C15" s="70"/>
      <c r="D15" s="70"/>
      <c r="E15" s="70"/>
      <c r="F15" s="71">
        <f>B34</f>
        <v>1250</v>
      </c>
      <c r="G15" s="72">
        <f>F17</f>
        <v>1000</v>
      </c>
      <c r="H15" s="72">
        <f t="shared" ref="H15:J15" si="2">G17</f>
        <v>800</v>
      </c>
      <c r="I15" s="72">
        <f t="shared" si="2"/>
        <v>640</v>
      </c>
      <c r="J15" s="72">
        <f t="shared" si="2"/>
        <v>512</v>
      </c>
      <c r="K15" s="73"/>
      <c r="M15"/>
    </row>
    <row r="16" spans="1:13" ht="15.75" x14ac:dyDescent="0.25">
      <c r="A16" s="83" t="s">
        <v>1815</v>
      </c>
      <c r="B16" s="70"/>
      <c r="C16" s="70"/>
      <c r="D16" s="70"/>
      <c r="E16" s="70"/>
      <c r="F16" s="71">
        <f>IF(NOT(F15),0,ROUND(F$15*$B$33,0))</f>
        <v>250</v>
      </c>
      <c r="G16" s="71">
        <f>IF(NOT(G15),0,ROUND(G$15*$B$33,0))</f>
        <v>200</v>
      </c>
      <c r="H16" s="71">
        <f>IF(NOT(H15),0,ROUND(H$15*$B$33,0))</f>
        <v>160</v>
      </c>
      <c r="I16" s="71">
        <f>IF(NOT(I15),0,ROUND(I$15*$B$33,0))</f>
        <v>128</v>
      </c>
      <c r="J16" s="71">
        <f>IF(NOT(J15),0,ROUND(J$15,0))</f>
        <v>512</v>
      </c>
      <c r="K16" s="73"/>
      <c r="M16"/>
    </row>
    <row r="17" spans="1:13" ht="15.75" x14ac:dyDescent="0.25">
      <c r="A17" s="83" t="s">
        <v>1835</v>
      </c>
      <c r="B17" s="70"/>
      <c r="C17" s="70"/>
      <c r="D17" s="70"/>
      <c r="E17" s="70"/>
      <c r="F17" s="74">
        <f>$B$34-F$16</f>
        <v>1000</v>
      </c>
      <c r="G17" s="74">
        <f>F17-G16</f>
        <v>800</v>
      </c>
      <c r="H17" s="74">
        <f>G17-H16</f>
        <v>640</v>
      </c>
      <c r="I17" s="74">
        <f>H17-I16</f>
        <v>512</v>
      </c>
      <c r="J17" s="74">
        <f>I17-J16</f>
        <v>0</v>
      </c>
      <c r="K17" s="73"/>
      <c r="M17"/>
    </row>
    <row r="18" spans="1:13" ht="15.75" x14ac:dyDescent="0.25">
      <c r="A18" s="83" t="s">
        <v>1827</v>
      </c>
      <c r="B18" s="70"/>
      <c r="C18" s="70"/>
      <c r="D18" s="70"/>
      <c r="E18" s="70"/>
      <c r="F18" s="75">
        <v>60</v>
      </c>
      <c r="G18" s="75">
        <v>70</v>
      </c>
      <c r="H18" s="75">
        <v>80</v>
      </c>
      <c r="I18" s="75">
        <v>64</v>
      </c>
      <c r="J18" s="75">
        <v>250</v>
      </c>
      <c r="K18" s="75">
        <v>250</v>
      </c>
      <c r="M18"/>
    </row>
    <row r="19" spans="1:13" ht="15.75" x14ac:dyDescent="0.25">
      <c r="A19" s="83" t="s">
        <v>1831</v>
      </c>
      <c r="B19" s="70"/>
      <c r="C19" s="70"/>
      <c r="D19" s="70"/>
      <c r="E19" s="70"/>
      <c r="F19" s="76">
        <v>12</v>
      </c>
      <c r="G19" s="76">
        <v>15</v>
      </c>
      <c r="H19" s="76">
        <v>22</v>
      </c>
      <c r="I19" s="76">
        <v>25</v>
      </c>
      <c r="J19" s="77">
        <v>44</v>
      </c>
      <c r="K19" s="77">
        <v>26</v>
      </c>
      <c r="M19"/>
    </row>
    <row r="20" spans="1:13" ht="15.75" hidden="1" x14ac:dyDescent="0.25">
      <c r="A20" s="83" t="s">
        <v>1830</v>
      </c>
      <c r="B20" s="70"/>
      <c r="C20" s="70"/>
      <c r="D20" s="70"/>
      <c r="E20" s="70"/>
      <c r="F20" s="78">
        <f>F18*F19</f>
        <v>720</v>
      </c>
      <c r="G20" s="78">
        <f t="shared" ref="G20:H20" si="3">G18*G19</f>
        <v>1050</v>
      </c>
      <c r="H20" s="78">
        <f t="shared" si="3"/>
        <v>1760</v>
      </c>
      <c r="I20" s="78">
        <f>I18*I19</f>
        <v>1600</v>
      </c>
      <c r="J20" s="78">
        <f>J18*J19</f>
        <v>11000</v>
      </c>
      <c r="K20" s="78">
        <f>K18*K19</f>
        <v>6500</v>
      </c>
      <c r="M20"/>
    </row>
    <row r="21" spans="1:13" ht="15.75" hidden="1" x14ac:dyDescent="0.25">
      <c r="A21" s="83" t="s">
        <v>1807</v>
      </c>
      <c r="B21" s="70"/>
      <c r="C21" s="70"/>
      <c r="D21" s="70"/>
      <c r="E21" s="70"/>
      <c r="F21" s="76">
        <v>-50</v>
      </c>
      <c r="G21" s="76">
        <v>-100</v>
      </c>
      <c r="H21" s="76">
        <v>-500</v>
      </c>
      <c r="I21" s="76">
        <v>-1500</v>
      </c>
      <c r="J21" s="76">
        <v>-2500</v>
      </c>
      <c r="K21" s="76">
        <v>-2500</v>
      </c>
      <c r="M21"/>
    </row>
    <row r="22" spans="1:13" ht="15.75" hidden="1" x14ac:dyDescent="0.25">
      <c r="A22" s="83" t="s">
        <v>1808</v>
      </c>
      <c r="B22" s="70"/>
      <c r="C22" s="70"/>
      <c r="D22" s="70"/>
      <c r="E22" s="70"/>
      <c r="F22" s="79">
        <v>-50</v>
      </c>
      <c r="G22" s="76">
        <v>-100</v>
      </c>
      <c r="H22" s="76">
        <v>-500</v>
      </c>
      <c r="I22" s="76">
        <v>-1500</v>
      </c>
      <c r="J22" s="76">
        <v>-2500</v>
      </c>
      <c r="K22" s="76">
        <v>-2500</v>
      </c>
      <c r="M22"/>
    </row>
    <row r="23" spans="1:13" ht="15.75" x14ac:dyDescent="0.25">
      <c r="A23" s="84" t="s">
        <v>1888</v>
      </c>
      <c r="B23" s="80">
        <v>-1700</v>
      </c>
      <c r="C23" s="80">
        <v>-75</v>
      </c>
      <c r="D23" s="80">
        <v>-90</v>
      </c>
      <c r="E23" s="80">
        <v>-90</v>
      </c>
      <c r="F23" s="81">
        <f t="shared" ref="F23:K23" si="4">F20*$B$32</f>
        <v>576</v>
      </c>
      <c r="G23" s="82">
        <f t="shared" si="4"/>
        <v>840</v>
      </c>
      <c r="H23" s="81">
        <f t="shared" si="4"/>
        <v>1408</v>
      </c>
      <c r="I23" s="81">
        <f t="shared" si="4"/>
        <v>1280</v>
      </c>
      <c r="J23" s="81">
        <f t="shared" si="4"/>
        <v>8800</v>
      </c>
      <c r="K23" s="81">
        <f t="shared" si="4"/>
        <v>5200</v>
      </c>
      <c r="M23"/>
    </row>
    <row r="25" spans="1:13" ht="15.75" thickBot="1" x14ac:dyDescent="0.3"/>
    <row r="26" spans="1:13" ht="16.5" thickBot="1" x14ac:dyDescent="0.3">
      <c r="A26" s="90" t="s">
        <v>41</v>
      </c>
      <c r="B26" s="91" t="s">
        <v>42</v>
      </c>
      <c r="C26" s="13"/>
      <c r="D26" s="90" t="s">
        <v>41</v>
      </c>
      <c r="E26" s="91" t="s">
        <v>48</v>
      </c>
      <c r="G26" s="90" t="s">
        <v>41</v>
      </c>
      <c r="H26" s="91" t="s">
        <v>53</v>
      </c>
    </row>
    <row r="27" spans="1:13" ht="15.75" x14ac:dyDescent="0.25">
      <c r="A27" s="92" t="s">
        <v>43</v>
      </c>
      <c r="B27" s="96">
        <f>SUM(modif0[srfcH])</f>
        <v>780.43839999999955</v>
      </c>
      <c r="D27" s="92" t="s">
        <v>49</v>
      </c>
      <c r="E27" s="99">
        <v>-2</v>
      </c>
      <c r="G27" s="92" t="s">
        <v>54</v>
      </c>
      <c r="H27" s="102" t="b">
        <v>1</v>
      </c>
      <c r="I27" t="s">
        <v>55</v>
      </c>
    </row>
    <row r="28" spans="1:13" ht="15.75" x14ac:dyDescent="0.25">
      <c r="A28" s="93" t="s">
        <v>44</v>
      </c>
      <c r="B28" s="97">
        <f>IF(H27=FALSE,B27,SUMIFS(modif0[srfcH],modif0[essnc],"PM"))</f>
        <v>739.65679999999963</v>
      </c>
      <c r="D28" s="94" t="s">
        <v>51</v>
      </c>
      <c r="E28" s="100">
        <v>-1</v>
      </c>
      <c r="G28" s="92" t="s">
        <v>1879</v>
      </c>
      <c r="H28" s="103" t="b">
        <v>0</v>
      </c>
      <c r="I28" t="s">
        <v>1880</v>
      </c>
    </row>
    <row r="29" spans="1:13" ht="16.5" thickBot="1" x14ac:dyDescent="0.3">
      <c r="A29" s="93" t="s">
        <v>45</v>
      </c>
      <c r="B29" s="97">
        <f>B28/10</f>
        <v>73.965679999999963</v>
      </c>
      <c r="D29" s="95" t="s">
        <v>52</v>
      </c>
      <c r="E29" s="101">
        <v>4</v>
      </c>
      <c r="G29" s="92" t="s">
        <v>1881</v>
      </c>
      <c r="H29" s="104" t="b">
        <v>1</v>
      </c>
      <c r="I29" s="24" t="s">
        <v>1885</v>
      </c>
    </row>
    <row r="30" spans="1:13" ht="15.75" x14ac:dyDescent="0.25">
      <c r="A30" s="93" t="s">
        <v>46</v>
      </c>
      <c r="B30" s="97">
        <f>B28/42</f>
        <v>17.610876190476183</v>
      </c>
      <c r="G30" s="93" t="s">
        <v>1882</v>
      </c>
      <c r="H30" s="104" t="b">
        <v>1</v>
      </c>
      <c r="I30" t="s">
        <v>1883</v>
      </c>
      <c r="M30"/>
    </row>
    <row r="31" spans="1:13" ht="15.75" x14ac:dyDescent="0.25">
      <c r="A31" s="93" t="s">
        <v>47</v>
      </c>
      <c r="B31" s="97">
        <f>B28/27</f>
        <v>27.394696296296281</v>
      </c>
      <c r="G31" s="93" t="s">
        <v>56</v>
      </c>
      <c r="H31" s="104" t="b">
        <v>1</v>
      </c>
      <c r="I31" t="s">
        <v>1886</v>
      </c>
      <c r="M31"/>
    </row>
    <row r="32" spans="1:13" ht="15.75" x14ac:dyDescent="0.25">
      <c r="A32" s="83" t="s">
        <v>1828</v>
      </c>
      <c r="B32" s="98">
        <v>0.8</v>
      </c>
      <c r="G32" s="93" t="s">
        <v>1887</v>
      </c>
      <c r="H32" s="103" t="b">
        <v>1</v>
      </c>
      <c r="M32"/>
    </row>
    <row r="33" spans="1:13" ht="15.75" x14ac:dyDescent="0.25">
      <c r="A33" s="83" t="s">
        <v>1829</v>
      </c>
      <c r="B33" s="98">
        <v>0.2</v>
      </c>
      <c r="M33"/>
    </row>
    <row r="34" spans="1:13" ht="15.75" x14ac:dyDescent="0.25">
      <c r="A34" s="83" t="s">
        <v>1894</v>
      </c>
      <c r="B34" s="88">
        <v>1250</v>
      </c>
      <c r="M34"/>
    </row>
    <row r="35" spans="1:13" ht="15.75" x14ac:dyDescent="0.25">
      <c r="A35" s="105" t="s">
        <v>1895</v>
      </c>
      <c r="B35" s="106">
        <v>0.1</v>
      </c>
      <c r="M35"/>
    </row>
    <row r="36" spans="1:13" x14ac:dyDescent="0.25">
      <c r="M36"/>
    </row>
    <row r="37" spans="1:13" x14ac:dyDescent="0.25">
      <c r="E37" s="3"/>
      <c r="M37"/>
    </row>
    <row r="38" spans="1:13" x14ac:dyDescent="0.25">
      <c r="A38" s="2" t="s">
        <v>1</v>
      </c>
      <c r="B38" s="2" t="s">
        <v>2</v>
      </c>
      <c r="M38"/>
    </row>
    <row r="39" spans="1:13" x14ac:dyDescent="0.25">
      <c r="A39" t="s">
        <v>1818</v>
      </c>
      <c r="B39" t="s">
        <v>33</v>
      </c>
      <c r="M39"/>
    </row>
    <row r="40" spans="1:13" x14ac:dyDescent="0.25">
      <c r="A40" t="s">
        <v>1822</v>
      </c>
      <c r="B40" t="s">
        <v>9</v>
      </c>
      <c r="M40"/>
    </row>
    <row r="41" spans="1:13" x14ac:dyDescent="0.25">
      <c r="A41" t="s">
        <v>1819</v>
      </c>
      <c r="B41" t="s">
        <v>37</v>
      </c>
    </row>
    <row r="42" spans="1:13" x14ac:dyDescent="0.25">
      <c r="A42" t="s">
        <v>1823</v>
      </c>
      <c r="B42" t="s">
        <v>11</v>
      </c>
    </row>
    <row r="43" spans="1:13" x14ac:dyDescent="0.25">
      <c r="A43" t="s">
        <v>1820</v>
      </c>
      <c r="B43" t="s">
        <v>7</v>
      </c>
    </row>
    <row r="44" spans="1:13" x14ac:dyDescent="0.25">
      <c r="A44" t="s">
        <v>1821</v>
      </c>
      <c r="B44" t="s">
        <v>16</v>
      </c>
    </row>
    <row r="45" spans="1:13" x14ac:dyDescent="0.25">
      <c r="A45" t="s">
        <v>1817</v>
      </c>
      <c r="B45" t="s">
        <v>1817</v>
      </c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hisWorkbook.modif1">
                <anchor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5</xdr:col>
                    <xdr:colOff>352425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hisWorkbook.modif2">
                <anchor>
                  <from>
                    <xdr:col>5</xdr:col>
                    <xdr:colOff>781050</xdr:colOff>
                    <xdr:row>3</xdr:row>
                    <xdr:rowOff>180975</xdr:rowOff>
                  </from>
                  <to>
                    <xdr:col>7</xdr:col>
                    <xdr:colOff>285750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DA0AC-C864-412F-AD6D-E9FA8A916B69}">
  <sheetPr codeName="Feuil12"/>
  <dimension ref="A1:AT443"/>
  <sheetViews>
    <sheetView topLeftCell="A349" zoomScale="85" zoomScaleNormal="85" workbookViewId="0">
      <selection activeCell="Z261" sqref="Z261"/>
    </sheetView>
  </sheetViews>
  <sheetFormatPr baseColWidth="10" defaultRowHeight="15" x14ac:dyDescent="0.25"/>
  <cols>
    <col min="1" max="1" width="5.7109375" bestFit="1" customWidth="1"/>
    <col min="2" max="3" width="4.140625" bestFit="1" customWidth="1"/>
    <col min="4" max="4" width="25" bestFit="1" customWidth="1"/>
    <col min="5" max="5" width="3.140625" bestFit="1" customWidth="1"/>
    <col min="6" max="6" width="23.7109375" bestFit="1" customWidth="1"/>
    <col min="7" max="7" width="3.85546875" bestFit="1" customWidth="1"/>
    <col min="8" max="8" width="5.140625" bestFit="1" customWidth="1"/>
    <col min="9" max="9" width="3.28515625" customWidth="1"/>
    <col min="10" max="10" width="8.140625" style="11" bestFit="1" customWidth="1"/>
    <col min="11" max="11" width="4.85546875" bestFit="1" customWidth="1"/>
    <col min="12" max="12" width="6" bestFit="1" customWidth="1"/>
    <col min="13" max="13" width="5.140625" bestFit="1" customWidth="1"/>
    <col min="14" max="14" width="15.42578125" bestFit="1" customWidth="1"/>
    <col min="15" max="15" width="6" bestFit="1" customWidth="1"/>
    <col min="16" max="16" width="5.7109375" customWidth="1"/>
    <col min="17" max="25" width="5.5703125" bestFit="1" customWidth="1"/>
    <col min="26" max="26" width="5.5703125" style="12" bestFit="1" customWidth="1"/>
    <col min="27" max="35" width="9.5703125" style="12" bestFit="1" customWidth="1"/>
    <col min="36" max="36" width="9.5703125" bestFit="1" customWidth="1"/>
    <col min="37" max="46" width="3.140625" bestFit="1" customWidth="1"/>
  </cols>
  <sheetData>
    <row r="1" spans="1:46" s="18" customFormat="1" x14ac:dyDescent="0.25">
      <c r="A1" s="18" t="s">
        <v>58</v>
      </c>
      <c r="B1" s="18" t="s">
        <v>59</v>
      </c>
      <c r="C1" s="18" t="s">
        <v>60</v>
      </c>
      <c r="D1" s="18" t="s">
        <v>2</v>
      </c>
      <c r="E1" s="18" t="s">
        <v>61</v>
      </c>
      <c r="F1" s="18" t="s">
        <v>4</v>
      </c>
      <c r="G1" s="18" t="s">
        <v>3</v>
      </c>
      <c r="H1" s="18" t="s">
        <v>5</v>
      </c>
      <c r="I1" s="18" t="s">
        <v>6</v>
      </c>
      <c r="J1" s="19" t="s">
        <v>1801</v>
      </c>
      <c r="K1" s="19" t="s">
        <v>80</v>
      </c>
      <c r="L1" s="18" t="s">
        <v>62</v>
      </c>
      <c r="M1" s="18" t="s">
        <v>81</v>
      </c>
      <c r="N1" s="18" t="s">
        <v>32</v>
      </c>
      <c r="O1" s="18" t="s">
        <v>1856</v>
      </c>
      <c r="P1" t="s">
        <v>1884</v>
      </c>
      <c r="Q1" t="s">
        <v>1836</v>
      </c>
      <c r="R1" t="s">
        <v>1838</v>
      </c>
      <c r="S1" t="s">
        <v>1840</v>
      </c>
      <c r="T1" t="s">
        <v>1842</v>
      </c>
      <c r="U1" t="s">
        <v>1844</v>
      </c>
      <c r="V1" t="s">
        <v>1846</v>
      </c>
      <c r="W1" t="s">
        <v>1848</v>
      </c>
      <c r="X1" t="s">
        <v>1850</v>
      </c>
      <c r="Y1" t="s">
        <v>1852</v>
      </c>
      <c r="Z1" t="s">
        <v>1854</v>
      </c>
      <c r="AA1" s="20" t="s">
        <v>1837</v>
      </c>
      <c r="AB1" s="20" t="s">
        <v>1839</v>
      </c>
      <c r="AC1" s="20" t="s">
        <v>1841</v>
      </c>
      <c r="AD1" s="20" t="s">
        <v>1843</v>
      </c>
      <c r="AE1" s="20" t="s">
        <v>1845</v>
      </c>
      <c r="AF1" s="20" t="s">
        <v>1847</v>
      </c>
      <c r="AG1" s="20" t="s">
        <v>1849</v>
      </c>
      <c r="AH1" s="20" t="s">
        <v>1851</v>
      </c>
      <c r="AI1" s="20" t="s">
        <v>1853</v>
      </c>
      <c r="AJ1" s="20" t="s">
        <v>1855</v>
      </c>
      <c r="AK1" s="21" t="s">
        <v>1857</v>
      </c>
      <c r="AL1" s="21" t="s">
        <v>1858</v>
      </c>
      <c r="AM1" s="21" t="s">
        <v>1859</v>
      </c>
      <c r="AN1" s="21" t="s">
        <v>1860</v>
      </c>
      <c r="AO1" s="21" t="s">
        <v>1861</v>
      </c>
      <c r="AP1" s="21" t="s">
        <v>1862</v>
      </c>
      <c r="AQ1" s="21" t="s">
        <v>1863</v>
      </c>
      <c r="AR1" s="21" t="s">
        <v>1864</v>
      </c>
      <c r="AS1" s="21" t="s">
        <v>1865</v>
      </c>
      <c r="AT1" s="21" t="s">
        <v>1866</v>
      </c>
    </row>
    <row r="2" spans="1:46" x14ac:dyDescent="0.25">
      <c r="A2" t="b">
        <f>modif1!A2</f>
        <v>1</v>
      </c>
      <c r="B2">
        <f>ROW(modif1!B2)</f>
        <v>2</v>
      </c>
      <c r="C2" t="str">
        <f>modif1!C5</f>
        <v>200</v>
      </c>
      <c r="D2" t="str">
        <f>modif1!D2</f>
        <v>MANO</v>
      </c>
      <c r="E2">
        <f>modif1!E2</f>
        <v>10</v>
      </c>
      <c r="F2" t="str">
        <f>modif1!F2</f>
        <v>LA PEYRERE</v>
      </c>
      <c r="G2" t="str">
        <f>modif1!G2</f>
        <v>0C</v>
      </c>
      <c r="H2">
        <f>modif1!H2</f>
        <v>357</v>
      </c>
      <c r="I2" t="str">
        <f>modif1!I2</f>
        <v>j</v>
      </c>
      <c r="J2" s="11">
        <f>modif1!J2</f>
        <v>13.8779</v>
      </c>
      <c r="K2" t="str">
        <f>modif1!K2</f>
        <v>CR</v>
      </c>
      <c r="L2" t="str">
        <f>modif1!L2</f>
        <v>PM</v>
      </c>
      <c r="M2">
        <f>modif1!M2</f>
        <v>2022</v>
      </c>
      <c r="N2" t="str">
        <f>modif1!N2</f>
        <v>CR-PM_2022</v>
      </c>
      <c r="O2" t="b">
        <f>modif1!O2</f>
        <v>1</v>
      </c>
      <c r="P2">
        <v>40</v>
      </c>
      <c r="Q2" s="22"/>
      <c r="R2" t="s">
        <v>1868</v>
      </c>
      <c r="T2" t="s">
        <v>1872</v>
      </c>
      <c r="V2" t="s">
        <v>1870</v>
      </c>
      <c r="Y2" t="s">
        <v>1871</v>
      </c>
      <c r="Z2"/>
      <c r="AA2" s="17">
        <f>IF($A2,$J2*(IF(Q2=regle!$B$11,regle!$B$23*IF(AJ2=-2,1+regle!$B$35,1),
IF(Q2=regle!$C$11,regle!$C$23,
IF(Q2=regle!$D$11,regle!$D$23,
IF(Q2=regle!$E$11,regle!$E$23,
IF(Q2=regle!$F$11,regle!$F$23,
IF(Q2=regle!$G$11,regle!$G$23,
IF(Q2=regle!$H$11,regle!$H$23,
IF(Q2=regle!$I$11,regle!$I$23,
IF(Q2=regle!$J$11,regle!$J$23,
IF(Q2=regle!$K$11,regle!$K$23,0))))))))))))</f>
        <v>0</v>
      </c>
      <c r="AB2" s="17">
        <f>IF($A2,$J2*(IF(R2=regle!$B$11,regle!$B$23*IF(AK2=-2,1+regle!$B$35,1),
IF(R2=regle!$C$11,regle!$C$23,
IF(R2=regle!$D$11,regle!$D$23,
IF(R2=regle!$E$11,regle!$E$23,
IF(R2=regle!$F$11,regle!$F$23,
IF(R2=regle!$G$11,regle!$G$23,
IF(R2=regle!$H$11,regle!$H$23,
IF(R2=regle!$I$11,regle!$I$23,
IF(R2=regle!$J$11,regle!$J$23,
IF(R2=regle!$K$11,regle!$K$23,0))))))))))))</f>
        <v>-23592.43</v>
      </c>
      <c r="AC2" s="17">
        <f>IF($A2,$J2*(IF(S2=regle!$B$11,regle!$B$23*IF(AL2=-2,1+regle!$B$35,1),
IF(S2=regle!$C$11,regle!$C$23,
IF(S2=regle!$D$11,regle!$D$23,
IF(S2=regle!$E$11,regle!$E$23,
IF(S2=regle!$F$11,regle!$F$23,
IF(S2=regle!$G$11,regle!$G$23,
IF(S2=regle!$H$11,regle!$H$23,
IF(S2=regle!$I$11,regle!$I$23,
IF(S2=regle!$J$11,regle!$J$23,
IF(S2=regle!$K$11,regle!$K$23,0))))))))))))</f>
        <v>0</v>
      </c>
      <c r="AD2" s="17">
        <f>IF($A2,$J2*(IF(T2=regle!$B$11,regle!$B$23*IF(AM2=-2,1+regle!$B$35,1),
IF(T2=regle!$C$11,regle!$C$23,
IF(T2=regle!$D$11,regle!$D$23,
IF(T2=regle!$E$11,regle!$E$23,
IF(T2=regle!$F$11,regle!$F$23,
IF(T2=regle!$G$11,regle!$G$23,
IF(T2=regle!$H$11,regle!$H$23,
IF(T2=regle!$I$11,regle!$I$23,
IF(T2=regle!$J$11,regle!$J$23,
IF(T2=regle!$K$11,regle!$K$23,0))))))))))))</f>
        <v>-1040.8425</v>
      </c>
      <c r="AE2" s="17">
        <f>IF($A2,$J2*(IF(U2=regle!$B$11,regle!$B$23*IF(AN2=-2,1+regle!$B$35,1),
IF(U2=regle!$C$11,regle!$C$23,
IF(U2=regle!$D$11,regle!$D$23,
IF(U2=regle!$E$11,regle!$E$23,
IF(U2=regle!$F$11,regle!$F$23,
IF(U2=regle!$G$11,regle!$G$23,
IF(U2=regle!$H$11,regle!$H$23,
IF(U2=regle!$I$11,regle!$I$23,
IF(U2=regle!$J$11,regle!$J$23,
IF(U2=regle!$K$11,regle!$K$23,0))))))))))))</f>
        <v>0</v>
      </c>
      <c r="AF2" s="17">
        <f>IF($A2,$J2*(IF(V2=regle!$B$11,regle!$B$23*IF(AO2=-2,1+regle!$B$35,1),
IF(V2=regle!$C$11,regle!$C$23,
IF(V2=regle!$D$11,regle!$D$23,
IF(V2=regle!$E$11,regle!$E$23,
IF(V2=regle!$F$11,regle!$F$23,
IF(V2=regle!$G$11,regle!$G$23,
IF(V2=regle!$H$11,regle!$H$23,
IF(V2=regle!$I$11,regle!$I$23,
IF(V2=regle!$J$11,regle!$J$23,
IF(V2=regle!$K$11,regle!$K$23,0))))))))))))</f>
        <v>-1249.011</v>
      </c>
      <c r="AG2" s="17">
        <f>IF($A2,$J2*(IF(W2=regle!$B$11,regle!$B$23*IF(AP2=-2,1+regle!$B$35,1),
IF(W2=regle!$C$11,regle!$C$23,
IF(W2=regle!$D$11,regle!$D$23,
IF(W2=regle!$E$11,regle!$E$23,
IF(W2=regle!$F$11,regle!$F$23,
IF(W2=regle!$G$11,regle!$G$23,
IF(W2=regle!$H$11,regle!$H$23,
IF(W2=regle!$I$11,regle!$I$23,
IF(W2=regle!$J$11,regle!$J$23,
IF(W2=regle!$K$11,regle!$K$23,0))))))))))))</f>
        <v>0</v>
      </c>
      <c r="AH2" s="17">
        <f>IF($A2,$J2*(IF(X2=regle!$B$11,regle!$B$23*IF(AQ2=-2,1+regle!$B$35,1),
IF(X2=regle!$C$11,regle!$C$23,
IF(X2=regle!$D$11,regle!$D$23,
IF(X2=regle!$E$11,regle!$E$23,
IF(X2=regle!$F$11,regle!$F$23,
IF(X2=regle!$G$11,regle!$G$23,
IF(X2=regle!$H$11,regle!$H$23,
IF(X2=regle!$I$11,regle!$I$23,
IF(X2=regle!$J$11,regle!$J$23,
IF(X2=regle!$K$11,regle!$K$23,0))))))))))))</f>
        <v>0</v>
      </c>
      <c r="AI2" s="17">
        <f>IF($A2,$J2*(IF(Y2=regle!$B$11,regle!$B$23*IF(AR2=-2,1+regle!$B$35,1),
IF(Y2=regle!$C$11,regle!$C$23,
IF(Y2=regle!$D$11,regle!$D$23,
IF(Y2=regle!$E$11,regle!$E$23,
IF(Y2=regle!$F$11,regle!$F$23,
IF(Y2=regle!$G$11,regle!$G$23,
IF(Y2=regle!$H$11,regle!$H$23,
IF(Y2=regle!$I$11,regle!$I$23,
IF(Y2=regle!$J$11,regle!$J$23,
IF(Y2=regle!$K$11,regle!$K$23,0))))))))))))</f>
        <v>-1249.011</v>
      </c>
      <c r="AJ2" s="17">
        <f>IF($A2,$J2*(IF(Z2=regle!$B$11,regle!$B$23*IF(AS2=-2,1+regle!$B$35,1),
IF(Z2=regle!$C$11,regle!$C$23,
IF(Z2=regle!$D$11,regle!$D$23,
IF(Z2=regle!$E$11,regle!$E$23,
IF(Z2=regle!$F$11,regle!$F$23,
IF(Z2=regle!$G$11,regle!$G$23,
IF(Z2=regle!$H$11,regle!$H$23,
IF(Z2=regle!$I$11,regle!$I$23,
IF(Z2=regle!$J$11,regle!$J$23,
IF(Z2=regle!$K$11,regle!$K$23,0))))))))))))</f>
        <v>0</v>
      </c>
      <c r="AK2" s="16">
        <f>IF(OR(Q2=regle!$J$11,Q2=regle!$K$11),-2,IF(Q2=regle!$B$11,0,IF(AK$1=$AK$1,IF($O2,-1,regle!$B$2-$M2),IF(AJ2=-1,-1,AJ2+1))))</f>
        <v>-1</v>
      </c>
      <c r="AL2" s="16">
        <f>IF(OR(R2=regle!$J$11,R2=regle!$K$11),-2,IF(R2=regle!$B$11,0,IF(AL$1=$AK$1,IF($O2,-1,regle!$B$2-$M2),IF(AK2=-1,-1,AK2+1))))</f>
        <v>0</v>
      </c>
      <c r="AM2" s="16">
        <f>IF(OR(S2=regle!$J$11,S2=regle!$K$11),-2,IF(S2=regle!$B$11,0,IF(AM$1=$AK$1,IF($O2,-1,regle!$B$2-$M2),IF(AL2=-1,-1,AL2+1))))</f>
        <v>1</v>
      </c>
      <c r="AN2" s="16">
        <f>IF(OR(T2=regle!$J$11,T2=regle!$K$11),-2,IF(T2=regle!$B$11,0,IF(AN$1=$AK$1,IF($O2,-1,regle!$B$2-$M2),IF(AM2=-1,-1,AM2+1))))</f>
        <v>2</v>
      </c>
      <c r="AO2" s="16">
        <f>IF(OR(U2=regle!$J$11,U2=regle!$K$11),-2,IF(U2=regle!$B$11,0,IF(AO$1=$AK$1,IF($O2,-1,regle!$B$2-$M2),IF(AN2=-1,-1,AN2+1))))</f>
        <v>3</v>
      </c>
      <c r="AP2" s="16">
        <f>IF(OR(V2=regle!$J$11,V2=regle!$K$11),-2,IF(V2=regle!$B$11,0,IF(AP$1=$AK$1,IF($O2,-1,regle!$B$2-$M2),IF(AO2=-1,-1,AO2+1))))</f>
        <v>4</v>
      </c>
      <c r="AQ2" s="16">
        <f>IF(OR(W2=regle!$J$11,W2=regle!$K$11),-2,IF(W2=regle!$B$11,0,IF(AQ$1=$AK$1,IF($O2,-1,regle!$B$2-$M2),IF(AP2=-1,-1,AP2+1))))</f>
        <v>5</v>
      </c>
      <c r="AR2" s="16">
        <f>IF(OR(X2=regle!$J$11,X2=regle!$K$11),-2,IF(X2=regle!$B$11,0,IF(AR$1=$AK$1,IF($O2,-1,regle!$B$2-$M2),IF(AQ2=-1,-1,AQ2+1))))</f>
        <v>6</v>
      </c>
      <c r="AS2" s="16">
        <f>IF(OR(Y2=regle!$J$11,Y2=regle!$K$11),-2,IF(Y2=regle!$B$11,0,IF(AS$1=$AK$1,IF($O2,-1,regle!$B$2-$M2),IF(AR2=-1,-1,AR2+1))))</f>
        <v>7</v>
      </c>
      <c r="AT2" s="16">
        <f>IF(OR(Z2=regle!$J$11,Z2=regle!$K$11),-2,IF(Z2=regle!$B$11,0,IF(AT$1=$AK$1,IF($O2,-1,regle!$B$2-$M2),IF(AS2=-1,-1,AS2+1))))</f>
        <v>8</v>
      </c>
    </row>
    <row r="3" spans="1:46" x14ac:dyDescent="0.25">
      <c r="A3" t="b">
        <f>modif1!A3</f>
        <v>1</v>
      </c>
      <c r="B3">
        <f>ROW(modif1!B3)</f>
        <v>3</v>
      </c>
      <c r="C3" t="str">
        <f>modif1!C6</f>
        <v>202</v>
      </c>
      <c r="D3" t="str">
        <f>modif1!D3</f>
        <v>LE TUZAN</v>
      </c>
      <c r="E3">
        <f>modif1!E3</f>
        <v>21</v>
      </c>
      <c r="F3" t="str">
        <f>modif1!F3</f>
        <v>METAIRIES DE TABARTON</v>
      </c>
      <c r="G3" t="str">
        <f>modif1!G3</f>
        <v>0A</v>
      </c>
      <c r="H3">
        <f>modif1!H3</f>
        <v>523</v>
      </c>
      <c r="I3" t="str">
        <f>modif1!I3</f>
        <v>n</v>
      </c>
      <c r="J3" s="11">
        <f>modif1!J3</f>
        <v>6.2582000000000004</v>
      </c>
      <c r="K3" t="str">
        <f>modif1!K3</f>
        <v>CR</v>
      </c>
      <c r="L3" t="str">
        <f>modif1!L3</f>
        <v>PM</v>
      </c>
      <c r="M3">
        <f>modif1!M3</f>
        <v>2022</v>
      </c>
      <c r="N3" t="str">
        <f>modif1!N3</f>
        <v>CR-PM_2022</v>
      </c>
      <c r="O3" t="b">
        <f>modif1!O3</f>
        <v>1</v>
      </c>
      <c r="P3">
        <v>25</v>
      </c>
      <c r="Q3" s="22"/>
      <c r="R3" t="s">
        <v>1868</v>
      </c>
      <c r="Z3"/>
      <c r="AA3" s="17">
        <f>IF($A3,$J3*(IF(Q3=regle!$B$11,regle!$B$23*IF(AJ3=-2,1+regle!$B$35,1),
IF(Q3=regle!$C$11,regle!$C$23,
IF(Q3=regle!$D$11,regle!$D$23,
IF(Q3=regle!$E$11,regle!$E$23,
IF(Q3=regle!$F$11,regle!$F$23,
IF(Q3=regle!$G$11,regle!$G$23,
IF(Q3=regle!$H$11,regle!$H$23,
IF(Q3=regle!$I$11,regle!$I$23,
IF(Q3=regle!$J$11,regle!$J$23,
IF(Q3=regle!$K$11,regle!$K$23,0))))))))))))</f>
        <v>0</v>
      </c>
      <c r="AB3" s="17">
        <f>IF($A3,$J3*(IF(R3=regle!$B$11,regle!$B$23*IF(AK3=-2,1+regle!$B$35,1),
IF(R3=regle!$C$11,regle!$C$23,
IF(R3=regle!$D$11,regle!$D$23,
IF(R3=regle!$E$11,regle!$E$23,
IF(R3=regle!$F$11,regle!$F$23,
IF(R3=regle!$G$11,regle!$G$23,
IF(R3=regle!$H$11,regle!$H$23,
IF(R3=regle!$I$11,regle!$I$23,
IF(R3=regle!$J$11,regle!$J$23,
IF(R3=regle!$K$11,regle!$K$23,0))))))))))))</f>
        <v>-10638.94</v>
      </c>
      <c r="AC3" s="17">
        <f>IF($A3,$J3*(IF(S3=regle!$B$11,regle!$B$23*IF(AL3=-2,1+regle!$B$35,1),
IF(S3=regle!$C$11,regle!$C$23,
IF(S3=regle!$D$11,regle!$D$23,
IF(S3=regle!$E$11,regle!$E$23,
IF(S3=regle!$F$11,regle!$F$23,
IF(S3=regle!$G$11,regle!$G$23,
IF(S3=regle!$H$11,regle!$H$23,
IF(S3=regle!$I$11,regle!$I$23,
IF(S3=regle!$J$11,regle!$J$23,
IF(S3=regle!$K$11,regle!$K$23,0))))))))))))</f>
        <v>0</v>
      </c>
      <c r="AD3" s="17">
        <f>IF($A3,$J3*(IF(T3=regle!$B$11,regle!$B$23*IF(AM3=-2,1+regle!$B$35,1),
IF(T3=regle!$C$11,regle!$C$23,
IF(T3=regle!$D$11,regle!$D$23,
IF(T3=regle!$E$11,regle!$E$23,
IF(T3=regle!$F$11,regle!$F$23,
IF(T3=regle!$G$11,regle!$G$23,
IF(T3=regle!$H$11,regle!$H$23,
IF(T3=regle!$I$11,regle!$I$23,
IF(T3=regle!$J$11,regle!$J$23,
IF(T3=regle!$K$11,regle!$K$23,0))))))))))))</f>
        <v>0</v>
      </c>
      <c r="AE3" s="17">
        <f>IF($A3,$J3*(IF(U3=regle!$B$11,regle!$B$23*IF(AN3=-2,1+regle!$B$35,1),
IF(U3=regle!$C$11,regle!$C$23,
IF(U3=regle!$D$11,regle!$D$23,
IF(U3=regle!$E$11,regle!$E$23,
IF(U3=regle!$F$11,regle!$F$23,
IF(U3=regle!$G$11,regle!$G$23,
IF(U3=regle!$H$11,regle!$H$23,
IF(U3=regle!$I$11,regle!$I$23,
IF(U3=regle!$J$11,regle!$J$23,
IF(U3=regle!$K$11,regle!$K$23,0))))))))))))</f>
        <v>0</v>
      </c>
      <c r="AF3" s="17">
        <f>IF($A3,$J3*(IF(V3=regle!$B$11,regle!$B$23*IF(AO3=-2,1+regle!$B$35,1),
IF(V3=regle!$C$11,regle!$C$23,
IF(V3=regle!$D$11,regle!$D$23,
IF(V3=regle!$E$11,regle!$E$23,
IF(V3=regle!$F$11,regle!$F$23,
IF(V3=regle!$G$11,regle!$G$23,
IF(V3=regle!$H$11,regle!$H$23,
IF(V3=regle!$I$11,regle!$I$23,
IF(V3=regle!$J$11,regle!$J$23,
IF(V3=regle!$K$11,regle!$K$23,0))))))))))))</f>
        <v>0</v>
      </c>
      <c r="AG3" s="17">
        <f>IF($A3,$J3*(IF(W3=regle!$B$11,regle!$B$23*IF(AP3=-2,1+regle!$B$35,1),
IF(W3=regle!$C$11,regle!$C$23,
IF(W3=regle!$D$11,regle!$D$23,
IF(W3=regle!$E$11,regle!$E$23,
IF(W3=regle!$F$11,regle!$F$23,
IF(W3=regle!$G$11,regle!$G$23,
IF(W3=regle!$H$11,regle!$H$23,
IF(W3=regle!$I$11,regle!$I$23,
IF(W3=regle!$J$11,regle!$J$23,
IF(W3=regle!$K$11,regle!$K$23,0))))))))))))</f>
        <v>0</v>
      </c>
      <c r="AH3" s="17">
        <f>IF($A3,$J3*(IF(X3=regle!$B$11,regle!$B$23*IF(AQ3=-2,1+regle!$B$35,1),
IF(X3=regle!$C$11,regle!$C$23,
IF(X3=regle!$D$11,regle!$D$23,
IF(X3=regle!$E$11,regle!$E$23,
IF(X3=regle!$F$11,regle!$F$23,
IF(X3=regle!$G$11,regle!$G$23,
IF(X3=regle!$H$11,regle!$H$23,
IF(X3=regle!$I$11,regle!$I$23,
IF(X3=regle!$J$11,regle!$J$23,
IF(X3=regle!$K$11,regle!$K$23,0))))))))))))</f>
        <v>0</v>
      </c>
      <c r="AI3" s="17">
        <f>IF($A3,$J3*(IF(Y3=regle!$B$11,regle!$B$23*IF(AR3=-2,1+regle!$B$35,1),
IF(Y3=regle!$C$11,regle!$C$23,
IF(Y3=regle!$D$11,regle!$D$23,
IF(Y3=regle!$E$11,regle!$E$23,
IF(Y3=regle!$F$11,regle!$F$23,
IF(Y3=regle!$G$11,regle!$G$23,
IF(Y3=regle!$H$11,regle!$H$23,
IF(Y3=regle!$I$11,regle!$I$23,
IF(Y3=regle!$J$11,regle!$J$23,
IF(Y3=regle!$K$11,regle!$K$23,0))))))))))))</f>
        <v>0</v>
      </c>
      <c r="AJ3" s="17">
        <f>IF($A3,$J3*(IF(Z3=regle!$B$11,regle!$B$23*IF(AS3=-2,1+regle!$B$35,1),
IF(Z3=regle!$C$11,regle!$C$23,
IF(Z3=regle!$D$11,regle!$D$23,
IF(Z3=regle!$E$11,regle!$E$23,
IF(Z3=regle!$F$11,regle!$F$23,
IF(Z3=regle!$G$11,regle!$G$23,
IF(Z3=regle!$H$11,regle!$H$23,
IF(Z3=regle!$I$11,regle!$I$23,
IF(Z3=regle!$J$11,regle!$J$23,
IF(Z3=regle!$K$11,regle!$K$23,0))))))))))))</f>
        <v>0</v>
      </c>
      <c r="AK3" s="16">
        <f>IF(OR(Q3=regle!$J$11,Q3=regle!$K$11),-2,IF(Q3=regle!$B$11,0,IF(AK$1=$AK$1,IF($O3,-1,regle!$B$2-$M3),IF(AJ3=-1,-1,AJ3+1))))</f>
        <v>-1</v>
      </c>
      <c r="AL3" s="16">
        <f>IF(OR(R3=regle!$J$11,R3=regle!$K$11),-2,IF(R3=regle!$B$11,0,IF(AL$1=$AK$1,IF($O3,-1,regle!$B$2-$M3),IF(AK3=-1,-1,AK3+1))))</f>
        <v>0</v>
      </c>
      <c r="AM3" s="16">
        <f>IF(OR(S3=regle!$J$11,S3=regle!$K$11),-2,IF(S3=regle!$B$11,0,IF(AM$1=$AK$1,IF($O3,-1,regle!$B$2-$M3),IF(AL3=-1,-1,AL3+1))))</f>
        <v>1</v>
      </c>
      <c r="AN3" s="16">
        <f>IF(OR(T3=regle!$J$11,T3=regle!$K$11),-2,IF(T3=regle!$B$11,0,IF(AN$1=$AK$1,IF($O3,-1,regle!$B$2-$M3),IF(AM3=-1,-1,AM3+1))))</f>
        <v>2</v>
      </c>
      <c r="AO3" s="16">
        <f>IF(OR(U3=regle!$J$11,U3=regle!$K$11),-2,IF(U3=regle!$B$11,0,IF(AO$1=$AK$1,IF($O3,-1,regle!$B$2-$M3),IF(AN3=-1,-1,AN3+1))))</f>
        <v>3</v>
      </c>
      <c r="AP3" s="16">
        <f>IF(OR(V3=regle!$J$11,V3=regle!$K$11),-2,IF(V3=regle!$B$11,0,IF(AP$1=$AK$1,IF($O3,-1,regle!$B$2-$M3),IF(AO3=-1,-1,AO3+1))))</f>
        <v>4</v>
      </c>
      <c r="AQ3" s="16">
        <f>IF(OR(W3=regle!$J$11,W3=regle!$K$11),-2,IF(W3=regle!$B$11,0,IF(AQ$1=$AK$1,IF($O3,-1,regle!$B$2-$M3),IF(AP3=-1,-1,AP3+1))))</f>
        <v>5</v>
      </c>
      <c r="AR3" s="16">
        <f>IF(OR(X3=regle!$J$11,X3=regle!$K$11),-2,IF(X3=regle!$B$11,0,IF(AR$1=$AK$1,IF($O3,-1,regle!$B$2-$M3),IF(AQ3=-1,-1,AQ3+1))))</f>
        <v>6</v>
      </c>
      <c r="AS3" s="16">
        <f>IF(OR(Y3=regle!$J$11,Y3=regle!$K$11),-2,IF(Y3=regle!$B$11,0,IF(AS$1=$AK$1,IF($O3,-1,regle!$B$2-$M3),IF(AR3=-1,-1,AR3+1))))</f>
        <v>7</v>
      </c>
      <c r="AT3" s="16">
        <f>IF(OR(Z3=regle!$J$11,Z3=regle!$K$11),-2,IF(Z3=regle!$B$11,0,IF(AT$1=$AK$1,IF($O3,-1,regle!$B$2-$M3),IF(AS3=-1,-1,AS3+1))))</f>
        <v>8</v>
      </c>
    </row>
    <row r="4" spans="1:46" x14ac:dyDescent="0.25">
      <c r="A4" t="b">
        <f>modif1!A4</f>
        <v>1</v>
      </c>
      <c r="B4">
        <f>ROW(modif1!B4)</f>
        <v>4</v>
      </c>
      <c r="C4" t="str">
        <f>modif1!C7</f>
        <v>171</v>
      </c>
      <c r="D4" t="str">
        <f>modif1!D4</f>
        <v>MANO</v>
      </c>
      <c r="E4">
        <f>modif1!E4</f>
        <v>6</v>
      </c>
      <c r="F4" t="str">
        <f>modif1!F4</f>
        <v>BARRAT</v>
      </c>
      <c r="G4" t="str">
        <f>modif1!G4</f>
        <v>0C</v>
      </c>
      <c r="H4">
        <f>modif1!H4</f>
        <v>172</v>
      </c>
      <c r="I4" t="str">
        <f>modif1!I4</f>
        <v>k</v>
      </c>
      <c r="J4" s="11">
        <f>modif1!J4</f>
        <v>5.7865000000000002</v>
      </c>
      <c r="K4" t="str">
        <f>modif1!K4</f>
        <v>CR</v>
      </c>
      <c r="L4" t="str">
        <f>modif1!L4</f>
        <v>PM</v>
      </c>
      <c r="M4">
        <f>modif1!M4</f>
        <v>2022</v>
      </c>
      <c r="N4" t="str">
        <f>modif1!N4</f>
        <v>CR-PM_2022</v>
      </c>
      <c r="O4" t="b">
        <f>modif1!O4</f>
        <v>1</v>
      </c>
      <c r="P4">
        <v>25</v>
      </c>
      <c r="Q4" s="22"/>
      <c r="R4" t="s">
        <v>1868</v>
      </c>
      <c r="Z4"/>
      <c r="AA4" s="17">
        <f>IF($A4,$J4*(IF(Q4=regle!$B$11,regle!$B$23*IF(AJ4=-2,1+regle!$B$35,1),
IF(Q4=regle!$C$11,regle!$C$23,
IF(Q4=regle!$D$11,regle!$D$23,
IF(Q4=regle!$E$11,regle!$E$23,
IF(Q4=regle!$F$11,regle!$F$23,
IF(Q4=regle!$G$11,regle!$G$23,
IF(Q4=regle!$H$11,regle!$H$23,
IF(Q4=regle!$I$11,regle!$I$23,
IF(Q4=regle!$J$11,regle!$J$23,
IF(Q4=regle!$K$11,regle!$K$23,0))))))))))))</f>
        <v>0</v>
      </c>
      <c r="AB4" s="17">
        <f>IF($A4,$J4*(IF(R4=regle!$B$11,regle!$B$23*IF(AK4=-2,1+regle!$B$35,1),
IF(R4=regle!$C$11,regle!$C$23,
IF(R4=regle!$D$11,regle!$D$23,
IF(R4=regle!$E$11,regle!$E$23,
IF(R4=regle!$F$11,regle!$F$23,
IF(R4=regle!$G$11,regle!$G$23,
IF(R4=regle!$H$11,regle!$H$23,
IF(R4=regle!$I$11,regle!$I$23,
IF(R4=regle!$J$11,regle!$J$23,
IF(R4=regle!$K$11,regle!$K$23,0))))))))))))</f>
        <v>-9837.0500000000011</v>
      </c>
      <c r="AC4" s="17">
        <f>IF($A4,$J4*(IF(S4=regle!$B$11,regle!$B$23*IF(AL4=-2,1+regle!$B$35,1),
IF(S4=regle!$C$11,regle!$C$23,
IF(S4=regle!$D$11,regle!$D$23,
IF(S4=regle!$E$11,regle!$E$23,
IF(S4=regle!$F$11,regle!$F$23,
IF(S4=regle!$G$11,regle!$G$23,
IF(S4=regle!$H$11,regle!$H$23,
IF(S4=regle!$I$11,regle!$I$23,
IF(S4=regle!$J$11,regle!$J$23,
IF(S4=regle!$K$11,regle!$K$23,0))))))))))))</f>
        <v>0</v>
      </c>
      <c r="AD4" s="17">
        <f>IF($A4,$J4*(IF(T4=regle!$B$11,regle!$B$23*IF(AM4=-2,1+regle!$B$35,1),
IF(T4=regle!$C$11,regle!$C$23,
IF(T4=regle!$D$11,regle!$D$23,
IF(T4=regle!$E$11,regle!$E$23,
IF(T4=regle!$F$11,regle!$F$23,
IF(T4=regle!$G$11,regle!$G$23,
IF(T4=regle!$H$11,regle!$H$23,
IF(T4=regle!$I$11,regle!$I$23,
IF(T4=regle!$J$11,regle!$J$23,
IF(T4=regle!$K$11,regle!$K$23,0))))))))))))</f>
        <v>0</v>
      </c>
      <c r="AE4" s="17">
        <f>IF($A4,$J4*(IF(U4=regle!$B$11,regle!$B$23*IF(AN4=-2,1+regle!$B$35,1),
IF(U4=regle!$C$11,regle!$C$23,
IF(U4=regle!$D$11,regle!$D$23,
IF(U4=regle!$E$11,regle!$E$23,
IF(U4=regle!$F$11,regle!$F$23,
IF(U4=regle!$G$11,regle!$G$23,
IF(U4=regle!$H$11,regle!$H$23,
IF(U4=regle!$I$11,regle!$I$23,
IF(U4=regle!$J$11,regle!$J$23,
IF(U4=regle!$K$11,regle!$K$23,0))))))))))))</f>
        <v>0</v>
      </c>
      <c r="AF4" s="17">
        <f>IF($A4,$J4*(IF(V4=regle!$B$11,regle!$B$23*IF(AO4=-2,1+regle!$B$35,1),
IF(V4=regle!$C$11,regle!$C$23,
IF(V4=regle!$D$11,regle!$D$23,
IF(V4=regle!$E$11,regle!$E$23,
IF(V4=regle!$F$11,regle!$F$23,
IF(V4=regle!$G$11,regle!$G$23,
IF(V4=regle!$H$11,regle!$H$23,
IF(V4=regle!$I$11,regle!$I$23,
IF(V4=regle!$J$11,regle!$J$23,
IF(V4=regle!$K$11,regle!$K$23,0))))))))))))</f>
        <v>0</v>
      </c>
      <c r="AG4" s="17">
        <f>IF($A4,$J4*(IF(W4=regle!$B$11,regle!$B$23*IF(AP4=-2,1+regle!$B$35,1),
IF(W4=regle!$C$11,regle!$C$23,
IF(W4=regle!$D$11,regle!$D$23,
IF(W4=regle!$E$11,regle!$E$23,
IF(W4=regle!$F$11,regle!$F$23,
IF(W4=regle!$G$11,regle!$G$23,
IF(W4=regle!$H$11,regle!$H$23,
IF(W4=regle!$I$11,regle!$I$23,
IF(W4=regle!$J$11,regle!$J$23,
IF(W4=regle!$K$11,regle!$K$23,0))))))))))))</f>
        <v>0</v>
      </c>
      <c r="AH4" s="17">
        <f>IF($A4,$J4*(IF(X4=regle!$B$11,regle!$B$23*IF(AQ4=-2,1+regle!$B$35,1),
IF(X4=regle!$C$11,regle!$C$23,
IF(X4=regle!$D$11,regle!$D$23,
IF(X4=regle!$E$11,regle!$E$23,
IF(X4=regle!$F$11,regle!$F$23,
IF(X4=regle!$G$11,regle!$G$23,
IF(X4=regle!$H$11,regle!$H$23,
IF(X4=regle!$I$11,regle!$I$23,
IF(X4=regle!$J$11,regle!$J$23,
IF(X4=regle!$K$11,regle!$K$23,0))))))))))))</f>
        <v>0</v>
      </c>
      <c r="AI4" s="17">
        <f>IF($A4,$J4*(IF(Y4=regle!$B$11,regle!$B$23*IF(AR4=-2,1+regle!$B$35,1),
IF(Y4=regle!$C$11,regle!$C$23,
IF(Y4=regle!$D$11,regle!$D$23,
IF(Y4=regle!$E$11,regle!$E$23,
IF(Y4=regle!$F$11,regle!$F$23,
IF(Y4=regle!$G$11,regle!$G$23,
IF(Y4=regle!$H$11,regle!$H$23,
IF(Y4=regle!$I$11,regle!$I$23,
IF(Y4=regle!$J$11,regle!$J$23,
IF(Y4=regle!$K$11,regle!$K$23,0))))))))))))</f>
        <v>0</v>
      </c>
      <c r="AJ4" s="17">
        <f>IF($A4,$J4*(IF(Z4=regle!$B$11,regle!$B$23*IF(AS4=-2,1+regle!$B$35,1),
IF(Z4=regle!$C$11,regle!$C$23,
IF(Z4=regle!$D$11,regle!$D$23,
IF(Z4=regle!$E$11,regle!$E$23,
IF(Z4=regle!$F$11,regle!$F$23,
IF(Z4=regle!$G$11,regle!$G$23,
IF(Z4=regle!$H$11,regle!$H$23,
IF(Z4=regle!$I$11,regle!$I$23,
IF(Z4=regle!$J$11,regle!$J$23,
IF(Z4=regle!$K$11,regle!$K$23,0))))))))))))</f>
        <v>0</v>
      </c>
      <c r="AK4" s="16">
        <f>IF(OR(Q4=regle!$J$11,Q4=regle!$K$11),-2,IF(Q4=regle!$B$11,0,IF(AK$1=$AK$1,IF($O4,-1,regle!$B$2-$M4),IF(AJ4=-1,-1,AJ4+1))))</f>
        <v>-1</v>
      </c>
      <c r="AL4" s="16">
        <f>IF(OR(R4=regle!$J$11,R4=regle!$K$11),-2,IF(R4=regle!$B$11,0,IF(AL$1=$AK$1,IF($O4,-1,regle!$B$2-$M4),IF(AK4=-1,-1,AK4+1))))</f>
        <v>0</v>
      </c>
      <c r="AM4" s="16">
        <f>IF(OR(S4=regle!$J$11,S4=regle!$K$11),-2,IF(S4=regle!$B$11,0,IF(AM$1=$AK$1,IF($O4,-1,regle!$B$2-$M4),IF(AL4=-1,-1,AL4+1))))</f>
        <v>1</v>
      </c>
      <c r="AN4" s="16">
        <f>IF(OR(T4=regle!$J$11,T4=regle!$K$11),-2,IF(T4=regle!$B$11,0,IF(AN$1=$AK$1,IF($O4,-1,regle!$B$2-$M4),IF(AM4=-1,-1,AM4+1))))</f>
        <v>2</v>
      </c>
      <c r="AO4" s="16">
        <f>IF(OR(U4=regle!$J$11,U4=regle!$K$11),-2,IF(U4=regle!$B$11,0,IF(AO$1=$AK$1,IF($O4,-1,regle!$B$2-$M4),IF(AN4=-1,-1,AN4+1))))</f>
        <v>3</v>
      </c>
      <c r="AP4" s="16">
        <f>IF(OR(V4=regle!$J$11,V4=regle!$K$11),-2,IF(V4=regle!$B$11,0,IF(AP$1=$AK$1,IF($O4,-1,regle!$B$2-$M4),IF(AO4=-1,-1,AO4+1))))</f>
        <v>4</v>
      </c>
      <c r="AQ4" s="16">
        <f>IF(OR(W4=regle!$J$11,W4=regle!$K$11),-2,IF(W4=regle!$B$11,0,IF(AQ$1=$AK$1,IF($O4,-1,regle!$B$2-$M4),IF(AP4=-1,-1,AP4+1))))</f>
        <v>5</v>
      </c>
      <c r="AR4" s="16">
        <f>IF(OR(X4=regle!$J$11,X4=regle!$K$11),-2,IF(X4=regle!$B$11,0,IF(AR$1=$AK$1,IF($O4,-1,regle!$B$2-$M4),IF(AQ4=-1,-1,AQ4+1))))</f>
        <v>6</v>
      </c>
      <c r="AS4" s="16">
        <f>IF(OR(Y4=regle!$J$11,Y4=regle!$K$11),-2,IF(Y4=regle!$B$11,0,IF(AS$1=$AK$1,IF($O4,-1,regle!$B$2-$M4),IF(AR4=-1,-1,AR4+1))))</f>
        <v>7</v>
      </c>
      <c r="AT4" s="16">
        <f>IF(OR(Z4=regle!$J$11,Z4=regle!$K$11),-2,IF(Z4=regle!$B$11,0,IF(AT$1=$AK$1,IF($O4,-1,regle!$B$2-$M4),IF(AS4=-1,-1,AS4+1))))</f>
        <v>8</v>
      </c>
    </row>
    <row r="5" spans="1:46" x14ac:dyDescent="0.25">
      <c r="A5" t="b">
        <f>modif1!A5</f>
        <v>1</v>
      </c>
      <c r="B5">
        <f>ROW(modif1!B5)</f>
        <v>5</v>
      </c>
      <c r="C5" t="str">
        <f>modif1!C8</f>
        <v>171</v>
      </c>
      <c r="D5" t="str">
        <f>modif1!D5</f>
        <v>MOUSTEY</v>
      </c>
      <c r="E5">
        <f>modif1!E5</f>
        <v>12</v>
      </c>
      <c r="F5" t="str">
        <f>modif1!F5</f>
        <v>Lesbarreyres</v>
      </c>
      <c r="G5" t="str">
        <f>modif1!G5</f>
        <v>0M</v>
      </c>
      <c r="H5">
        <f>modif1!H5</f>
        <v>62</v>
      </c>
      <c r="I5" t="str">
        <f>modif1!I5</f>
        <v>a</v>
      </c>
      <c r="J5" s="11">
        <f>modif1!J5</f>
        <v>5.77</v>
      </c>
      <c r="K5" t="str">
        <f>modif1!K5</f>
        <v>CR</v>
      </c>
      <c r="L5" t="str">
        <f>modif1!L5</f>
        <v>PM</v>
      </c>
      <c r="M5">
        <f>modif1!M5</f>
        <v>2022</v>
      </c>
      <c r="N5" t="str">
        <f>modif1!N5</f>
        <v>CR-PM_2022</v>
      </c>
      <c r="O5" t="b">
        <f>modif1!O5</f>
        <v>1</v>
      </c>
      <c r="P5">
        <v>25</v>
      </c>
      <c r="Q5" s="22"/>
      <c r="R5" t="s">
        <v>1868</v>
      </c>
      <c r="Z5"/>
      <c r="AA5" s="17">
        <f>IF($A5,$J5*(IF(Q5=regle!$B$11,regle!$B$23*IF(AJ5=-2,1+regle!$B$35,1),
IF(Q5=regle!$C$11,regle!$C$23,
IF(Q5=regle!$D$11,regle!$D$23,
IF(Q5=regle!$E$11,regle!$E$23,
IF(Q5=regle!$F$11,regle!$F$23,
IF(Q5=regle!$G$11,regle!$G$23,
IF(Q5=regle!$H$11,regle!$H$23,
IF(Q5=regle!$I$11,regle!$I$23,
IF(Q5=regle!$J$11,regle!$J$23,
IF(Q5=regle!$K$11,regle!$K$23,0))))))))))))</f>
        <v>0</v>
      </c>
      <c r="AB5" s="17">
        <f>IF($A5,$J5*(IF(R5=regle!$B$11,regle!$B$23*IF(AK5=-2,1+regle!$B$35,1),
IF(R5=regle!$C$11,regle!$C$23,
IF(R5=regle!$D$11,regle!$D$23,
IF(R5=regle!$E$11,regle!$E$23,
IF(R5=regle!$F$11,regle!$F$23,
IF(R5=regle!$G$11,regle!$G$23,
IF(R5=regle!$H$11,regle!$H$23,
IF(R5=regle!$I$11,regle!$I$23,
IF(R5=regle!$J$11,regle!$J$23,
IF(R5=regle!$K$11,regle!$K$23,0))))))))))))</f>
        <v>-9809</v>
      </c>
      <c r="AC5" s="17">
        <f>IF($A5,$J5*(IF(S5=regle!$B$11,regle!$B$23*IF(AL5=-2,1+regle!$B$35,1),
IF(S5=regle!$C$11,regle!$C$23,
IF(S5=regle!$D$11,regle!$D$23,
IF(S5=regle!$E$11,regle!$E$23,
IF(S5=regle!$F$11,regle!$F$23,
IF(S5=regle!$G$11,regle!$G$23,
IF(S5=regle!$H$11,regle!$H$23,
IF(S5=regle!$I$11,regle!$I$23,
IF(S5=regle!$J$11,regle!$J$23,
IF(S5=regle!$K$11,regle!$K$23,0))))))))))))</f>
        <v>0</v>
      </c>
      <c r="AD5" s="17">
        <f>IF($A5,$J5*(IF(T5=regle!$B$11,regle!$B$23*IF(AM5=-2,1+regle!$B$35,1),
IF(T5=regle!$C$11,regle!$C$23,
IF(T5=regle!$D$11,regle!$D$23,
IF(T5=regle!$E$11,regle!$E$23,
IF(T5=regle!$F$11,regle!$F$23,
IF(T5=regle!$G$11,regle!$G$23,
IF(T5=regle!$H$11,regle!$H$23,
IF(T5=regle!$I$11,regle!$I$23,
IF(T5=regle!$J$11,regle!$J$23,
IF(T5=regle!$K$11,regle!$K$23,0))))))))))))</f>
        <v>0</v>
      </c>
      <c r="AE5" s="17">
        <f>IF($A5,$J5*(IF(U5=regle!$B$11,regle!$B$23*IF(AN5=-2,1+regle!$B$35,1),
IF(U5=regle!$C$11,regle!$C$23,
IF(U5=regle!$D$11,regle!$D$23,
IF(U5=regle!$E$11,regle!$E$23,
IF(U5=regle!$F$11,regle!$F$23,
IF(U5=regle!$G$11,regle!$G$23,
IF(U5=regle!$H$11,regle!$H$23,
IF(U5=regle!$I$11,regle!$I$23,
IF(U5=regle!$J$11,regle!$J$23,
IF(U5=regle!$K$11,regle!$K$23,0))))))))))))</f>
        <v>0</v>
      </c>
      <c r="AF5" s="17">
        <f>IF($A5,$J5*(IF(V5=regle!$B$11,regle!$B$23*IF(AO5=-2,1+regle!$B$35,1),
IF(V5=regle!$C$11,regle!$C$23,
IF(V5=regle!$D$11,regle!$D$23,
IF(V5=regle!$E$11,regle!$E$23,
IF(V5=regle!$F$11,regle!$F$23,
IF(V5=regle!$G$11,regle!$G$23,
IF(V5=regle!$H$11,regle!$H$23,
IF(V5=regle!$I$11,regle!$I$23,
IF(V5=regle!$J$11,regle!$J$23,
IF(V5=regle!$K$11,regle!$K$23,0))))))))))))</f>
        <v>0</v>
      </c>
      <c r="AG5" s="17">
        <f>IF($A5,$J5*(IF(W5=regle!$B$11,regle!$B$23*IF(AP5=-2,1+regle!$B$35,1),
IF(W5=regle!$C$11,regle!$C$23,
IF(W5=regle!$D$11,regle!$D$23,
IF(W5=regle!$E$11,regle!$E$23,
IF(W5=regle!$F$11,regle!$F$23,
IF(W5=regle!$G$11,regle!$G$23,
IF(W5=regle!$H$11,regle!$H$23,
IF(W5=regle!$I$11,regle!$I$23,
IF(W5=regle!$J$11,regle!$J$23,
IF(W5=regle!$K$11,regle!$K$23,0))))))))))))</f>
        <v>0</v>
      </c>
      <c r="AH5" s="17">
        <f>IF($A5,$J5*(IF(X5=regle!$B$11,regle!$B$23*IF(AQ5=-2,1+regle!$B$35,1),
IF(X5=regle!$C$11,regle!$C$23,
IF(X5=regle!$D$11,regle!$D$23,
IF(X5=regle!$E$11,regle!$E$23,
IF(X5=regle!$F$11,regle!$F$23,
IF(X5=regle!$G$11,regle!$G$23,
IF(X5=regle!$H$11,regle!$H$23,
IF(X5=regle!$I$11,regle!$I$23,
IF(X5=regle!$J$11,regle!$J$23,
IF(X5=regle!$K$11,regle!$K$23,0))))))))))))</f>
        <v>0</v>
      </c>
      <c r="AI5" s="17">
        <f>IF($A5,$J5*(IF(Y5=regle!$B$11,regle!$B$23*IF(AR5=-2,1+regle!$B$35,1),
IF(Y5=regle!$C$11,regle!$C$23,
IF(Y5=regle!$D$11,regle!$D$23,
IF(Y5=regle!$E$11,regle!$E$23,
IF(Y5=regle!$F$11,regle!$F$23,
IF(Y5=regle!$G$11,regle!$G$23,
IF(Y5=regle!$H$11,regle!$H$23,
IF(Y5=regle!$I$11,regle!$I$23,
IF(Y5=regle!$J$11,regle!$J$23,
IF(Y5=regle!$K$11,regle!$K$23,0))))))))))))</f>
        <v>0</v>
      </c>
      <c r="AJ5" s="17">
        <f>IF($A5,$J5*(IF(Z5=regle!$B$11,regle!$B$23*IF(AS5=-2,1+regle!$B$35,1),
IF(Z5=regle!$C$11,regle!$C$23,
IF(Z5=regle!$D$11,regle!$D$23,
IF(Z5=regle!$E$11,regle!$E$23,
IF(Z5=regle!$F$11,regle!$F$23,
IF(Z5=regle!$G$11,regle!$G$23,
IF(Z5=regle!$H$11,regle!$H$23,
IF(Z5=regle!$I$11,regle!$I$23,
IF(Z5=regle!$J$11,regle!$J$23,
IF(Z5=regle!$K$11,regle!$K$23,0))))))))))))</f>
        <v>0</v>
      </c>
      <c r="AK5" s="16">
        <f>IF(OR(Q5=regle!$J$11,Q5=regle!$K$11),-2,IF(Q5=regle!$B$11,0,IF(AK$1=$AK$1,IF($O5,-1,regle!$B$2-$M5),IF(AJ5=-1,-1,AJ5+1))))</f>
        <v>-1</v>
      </c>
      <c r="AL5" s="16">
        <f>IF(OR(R5=regle!$J$11,R5=regle!$K$11),-2,IF(R5=regle!$B$11,0,IF(AL$1=$AK$1,IF($O5,-1,regle!$B$2-$M5),IF(AK5=-1,-1,AK5+1))))</f>
        <v>0</v>
      </c>
      <c r="AM5" s="16">
        <f>IF(OR(S5=regle!$J$11,S5=regle!$K$11),-2,IF(S5=regle!$B$11,0,IF(AM$1=$AK$1,IF($O5,-1,regle!$B$2-$M5),IF(AL5=-1,-1,AL5+1))))</f>
        <v>1</v>
      </c>
      <c r="AN5" s="16">
        <f>IF(OR(T5=regle!$J$11,T5=regle!$K$11),-2,IF(T5=regle!$B$11,0,IF(AN$1=$AK$1,IF($O5,-1,regle!$B$2-$M5),IF(AM5=-1,-1,AM5+1))))</f>
        <v>2</v>
      </c>
      <c r="AO5" s="16">
        <f>IF(OR(U5=regle!$J$11,U5=regle!$K$11),-2,IF(U5=regle!$B$11,0,IF(AO$1=$AK$1,IF($O5,-1,regle!$B$2-$M5),IF(AN5=-1,-1,AN5+1))))</f>
        <v>3</v>
      </c>
      <c r="AP5" s="16">
        <f>IF(OR(V5=regle!$J$11,V5=regle!$K$11),-2,IF(V5=regle!$B$11,0,IF(AP$1=$AK$1,IF($O5,-1,regle!$B$2-$M5),IF(AO5=-1,-1,AO5+1))))</f>
        <v>4</v>
      </c>
      <c r="AQ5" s="16">
        <f>IF(OR(W5=regle!$J$11,W5=regle!$K$11),-2,IF(W5=regle!$B$11,0,IF(AQ$1=$AK$1,IF($O5,-1,regle!$B$2-$M5),IF(AP5=-1,-1,AP5+1))))</f>
        <v>5</v>
      </c>
      <c r="AR5" s="16">
        <f>IF(OR(X5=regle!$J$11,X5=regle!$K$11),-2,IF(X5=regle!$B$11,0,IF(AR$1=$AK$1,IF($O5,-1,regle!$B$2-$M5),IF(AQ5=-1,-1,AQ5+1))))</f>
        <v>6</v>
      </c>
      <c r="AS5" s="16">
        <f>IF(OR(Y5=regle!$J$11,Y5=regle!$K$11),-2,IF(Y5=regle!$B$11,0,IF(AS$1=$AK$1,IF($O5,-1,regle!$B$2-$M5),IF(AR5=-1,-1,AR5+1))))</f>
        <v>7</v>
      </c>
      <c r="AT5" s="16">
        <f>IF(OR(Z5=regle!$J$11,Z5=regle!$K$11),-2,IF(Z5=regle!$B$11,0,IF(AT$1=$AK$1,IF($O5,-1,regle!$B$2-$M5),IF(AS5=-1,-1,AS5+1))))</f>
        <v>8</v>
      </c>
    </row>
    <row r="6" spans="1:46" x14ac:dyDescent="0.25">
      <c r="A6" t="b">
        <f>modif1!A6</f>
        <v>1</v>
      </c>
      <c r="B6">
        <f>ROW(modif1!B6)</f>
        <v>6</v>
      </c>
      <c r="C6" t="str">
        <f>modif1!C9</f>
        <v>200</v>
      </c>
      <c r="D6" t="str">
        <f>modif1!D6</f>
        <v>HOSTENS</v>
      </c>
      <c r="E6">
        <f>modif1!E6</f>
        <v>11</v>
      </c>
      <c r="F6" t="str">
        <f>modif1!F6</f>
        <v>L'ARGILEYRE</v>
      </c>
      <c r="G6" t="str">
        <f>modif1!G6</f>
        <v>0A</v>
      </c>
      <c r="H6">
        <f>modif1!H6</f>
        <v>1298</v>
      </c>
      <c r="I6" t="str">
        <f>modif1!I6</f>
        <v/>
      </c>
      <c r="J6" s="11">
        <f>modif1!J6</f>
        <v>4</v>
      </c>
      <c r="K6" t="str">
        <f>modif1!K6</f>
        <v>CR</v>
      </c>
      <c r="L6" t="str">
        <f>modif1!L6</f>
        <v>PM</v>
      </c>
      <c r="M6">
        <f>modif1!M6</f>
        <v>2022</v>
      </c>
      <c r="N6" t="str">
        <f>modif1!N6</f>
        <v>CR-PM_2022</v>
      </c>
      <c r="O6" t="b">
        <f>modif1!O6</f>
        <v>1</v>
      </c>
      <c r="P6">
        <v>25</v>
      </c>
      <c r="Q6" s="22"/>
      <c r="R6" t="s">
        <v>1868</v>
      </c>
      <c r="Z6"/>
      <c r="AA6" s="17">
        <f>IF($A6,$J6*(IF(Q6=regle!$B$11,regle!$B$23*IF(AJ6=-2,1+regle!$B$35,1),
IF(Q6=regle!$C$11,regle!$C$23,
IF(Q6=regle!$D$11,regle!$D$23,
IF(Q6=regle!$E$11,regle!$E$23,
IF(Q6=regle!$F$11,regle!$F$23,
IF(Q6=regle!$G$11,regle!$G$23,
IF(Q6=regle!$H$11,regle!$H$23,
IF(Q6=regle!$I$11,regle!$I$23,
IF(Q6=regle!$J$11,regle!$J$23,
IF(Q6=regle!$K$11,regle!$K$23,0))))))))))))</f>
        <v>0</v>
      </c>
      <c r="AB6" s="17">
        <f>IF($A6,$J6*(IF(R6=regle!$B$11,regle!$B$23*IF(AK6=-2,1+regle!$B$35,1),
IF(R6=regle!$C$11,regle!$C$23,
IF(R6=regle!$D$11,regle!$D$23,
IF(R6=regle!$E$11,regle!$E$23,
IF(R6=regle!$F$11,regle!$F$23,
IF(R6=regle!$G$11,regle!$G$23,
IF(R6=regle!$H$11,regle!$H$23,
IF(R6=regle!$I$11,regle!$I$23,
IF(R6=regle!$J$11,regle!$J$23,
IF(R6=regle!$K$11,regle!$K$23,0))))))))))))</f>
        <v>-6800</v>
      </c>
      <c r="AC6" s="17">
        <f>IF($A6,$J6*(IF(S6=regle!$B$11,regle!$B$23*IF(AL6=-2,1+regle!$B$35,1),
IF(S6=regle!$C$11,regle!$C$23,
IF(S6=regle!$D$11,regle!$D$23,
IF(S6=regle!$E$11,regle!$E$23,
IF(S6=regle!$F$11,regle!$F$23,
IF(S6=regle!$G$11,regle!$G$23,
IF(S6=regle!$H$11,regle!$H$23,
IF(S6=regle!$I$11,regle!$I$23,
IF(S6=regle!$J$11,regle!$J$23,
IF(S6=regle!$K$11,regle!$K$23,0))))))))))))</f>
        <v>0</v>
      </c>
      <c r="AD6" s="17">
        <f>IF($A6,$J6*(IF(T6=regle!$B$11,regle!$B$23*IF(AM6=-2,1+regle!$B$35,1),
IF(T6=regle!$C$11,regle!$C$23,
IF(T6=regle!$D$11,regle!$D$23,
IF(T6=regle!$E$11,regle!$E$23,
IF(T6=regle!$F$11,regle!$F$23,
IF(T6=regle!$G$11,regle!$G$23,
IF(T6=regle!$H$11,regle!$H$23,
IF(T6=regle!$I$11,regle!$I$23,
IF(T6=regle!$J$11,regle!$J$23,
IF(T6=regle!$K$11,regle!$K$23,0))))))))))))</f>
        <v>0</v>
      </c>
      <c r="AE6" s="17">
        <f>IF($A6,$J6*(IF(U6=regle!$B$11,regle!$B$23*IF(AN6=-2,1+regle!$B$35,1),
IF(U6=regle!$C$11,regle!$C$23,
IF(U6=regle!$D$11,regle!$D$23,
IF(U6=regle!$E$11,regle!$E$23,
IF(U6=regle!$F$11,regle!$F$23,
IF(U6=regle!$G$11,regle!$G$23,
IF(U6=regle!$H$11,regle!$H$23,
IF(U6=regle!$I$11,regle!$I$23,
IF(U6=regle!$J$11,regle!$J$23,
IF(U6=regle!$K$11,regle!$K$23,0))))))))))))</f>
        <v>0</v>
      </c>
      <c r="AF6" s="17">
        <f>IF($A6,$J6*(IF(V6=regle!$B$11,regle!$B$23*IF(AO6=-2,1+regle!$B$35,1),
IF(V6=regle!$C$11,regle!$C$23,
IF(V6=regle!$D$11,regle!$D$23,
IF(V6=regle!$E$11,regle!$E$23,
IF(V6=regle!$F$11,regle!$F$23,
IF(V6=regle!$G$11,regle!$G$23,
IF(V6=regle!$H$11,regle!$H$23,
IF(V6=regle!$I$11,regle!$I$23,
IF(V6=regle!$J$11,regle!$J$23,
IF(V6=regle!$K$11,regle!$K$23,0))))))))))))</f>
        <v>0</v>
      </c>
      <c r="AG6" s="17">
        <f>IF($A6,$J6*(IF(W6=regle!$B$11,regle!$B$23*IF(AP6=-2,1+regle!$B$35,1),
IF(W6=regle!$C$11,regle!$C$23,
IF(W6=regle!$D$11,regle!$D$23,
IF(W6=regle!$E$11,regle!$E$23,
IF(W6=regle!$F$11,regle!$F$23,
IF(W6=regle!$G$11,regle!$G$23,
IF(W6=regle!$H$11,regle!$H$23,
IF(W6=regle!$I$11,regle!$I$23,
IF(W6=regle!$J$11,regle!$J$23,
IF(W6=regle!$K$11,regle!$K$23,0))))))))))))</f>
        <v>0</v>
      </c>
      <c r="AH6" s="17">
        <f>IF($A6,$J6*(IF(X6=regle!$B$11,regle!$B$23*IF(AQ6=-2,1+regle!$B$35,1),
IF(X6=regle!$C$11,regle!$C$23,
IF(X6=regle!$D$11,regle!$D$23,
IF(X6=regle!$E$11,regle!$E$23,
IF(X6=regle!$F$11,regle!$F$23,
IF(X6=regle!$G$11,regle!$G$23,
IF(X6=regle!$H$11,regle!$H$23,
IF(X6=regle!$I$11,regle!$I$23,
IF(X6=regle!$J$11,regle!$J$23,
IF(X6=regle!$K$11,regle!$K$23,0))))))))))))</f>
        <v>0</v>
      </c>
      <c r="AI6" s="17">
        <f>IF($A6,$J6*(IF(Y6=regle!$B$11,regle!$B$23*IF(AR6=-2,1+regle!$B$35,1),
IF(Y6=regle!$C$11,regle!$C$23,
IF(Y6=regle!$D$11,regle!$D$23,
IF(Y6=regle!$E$11,regle!$E$23,
IF(Y6=regle!$F$11,regle!$F$23,
IF(Y6=regle!$G$11,regle!$G$23,
IF(Y6=regle!$H$11,regle!$H$23,
IF(Y6=regle!$I$11,regle!$I$23,
IF(Y6=regle!$J$11,regle!$J$23,
IF(Y6=regle!$K$11,regle!$K$23,0))))))))))))</f>
        <v>0</v>
      </c>
      <c r="AJ6" s="17">
        <f>IF($A6,$J6*(IF(Z6=regle!$B$11,regle!$B$23*IF(AS6=-2,1+regle!$B$35,1),
IF(Z6=regle!$C$11,regle!$C$23,
IF(Z6=regle!$D$11,regle!$D$23,
IF(Z6=regle!$E$11,regle!$E$23,
IF(Z6=regle!$F$11,regle!$F$23,
IF(Z6=regle!$G$11,regle!$G$23,
IF(Z6=regle!$H$11,regle!$H$23,
IF(Z6=regle!$I$11,regle!$I$23,
IF(Z6=regle!$J$11,regle!$J$23,
IF(Z6=regle!$K$11,regle!$K$23,0))))))))))))</f>
        <v>0</v>
      </c>
      <c r="AK6" s="16">
        <f>IF(OR(Q6=regle!$J$11,Q6=regle!$K$11),-2,IF(Q6=regle!$B$11,0,IF(AK$1=$AK$1,IF($O6,-1,regle!$B$2-$M6),IF(AJ6=-1,-1,AJ6+1))))</f>
        <v>-1</v>
      </c>
      <c r="AL6" s="16">
        <f>IF(OR(R6=regle!$J$11,R6=regle!$K$11),-2,IF(R6=regle!$B$11,0,IF(AL$1=$AK$1,IF($O6,-1,regle!$B$2-$M6),IF(AK6=-1,-1,AK6+1))))</f>
        <v>0</v>
      </c>
      <c r="AM6" s="16">
        <f>IF(OR(S6=regle!$J$11,S6=regle!$K$11),-2,IF(S6=regle!$B$11,0,IF(AM$1=$AK$1,IF($O6,-1,regle!$B$2-$M6),IF(AL6=-1,-1,AL6+1))))</f>
        <v>1</v>
      </c>
      <c r="AN6" s="16">
        <f>IF(OR(T6=regle!$J$11,T6=regle!$K$11),-2,IF(T6=regle!$B$11,0,IF(AN$1=$AK$1,IF($O6,-1,regle!$B$2-$M6),IF(AM6=-1,-1,AM6+1))))</f>
        <v>2</v>
      </c>
      <c r="AO6" s="16">
        <f>IF(OR(U6=regle!$J$11,U6=regle!$K$11),-2,IF(U6=regle!$B$11,0,IF(AO$1=$AK$1,IF($O6,-1,regle!$B$2-$M6),IF(AN6=-1,-1,AN6+1))))</f>
        <v>3</v>
      </c>
      <c r="AP6" s="16">
        <f>IF(OR(V6=regle!$J$11,V6=regle!$K$11),-2,IF(V6=regle!$B$11,0,IF(AP$1=$AK$1,IF($O6,-1,regle!$B$2-$M6),IF(AO6=-1,-1,AO6+1))))</f>
        <v>4</v>
      </c>
      <c r="AQ6" s="16">
        <f>IF(OR(W6=regle!$J$11,W6=regle!$K$11),-2,IF(W6=regle!$B$11,0,IF(AQ$1=$AK$1,IF($O6,-1,regle!$B$2-$M6),IF(AP6=-1,-1,AP6+1))))</f>
        <v>5</v>
      </c>
      <c r="AR6" s="16">
        <f>IF(OR(X6=regle!$J$11,X6=regle!$K$11),-2,IF(X6=regle!$B$11,0,IF(AR$1=$AK$1,IF($O6,-1,regle!$B$2-$M6),IF(AQ6=-1,-1,AQ6+1))))</f>
        <v>6</v>
      </c>
      <c r="AS6" s="16">
        <f>IF(OR(Y6=regle!$J$11,Y6=regle!$K$11),-2,IF(Y6=regle!$B$11,0,IF(AS$1=$AK$1,IF($O6,-1,regle!$B$2-$M6),IF(AR6=-1,-1,AR6+1))))</f>
        <v>7</v>
      </c>
      <c r="AT6" s="16">
        <f>IF(OR(Z6=regle!$J$11,Z6=regle!$K$11),-2,IF(Z6=regle!$B$11,0,IF(AT$1=$AK$1,IF($O6,-1,regle!$B$2-$M6),IF(AS6=-1,-1,AS6+1))))</f>
        <v>8</v>
      </c>
    </row>
    <row r="7" spans="1:46" x14ac:dyDescent="0.25">
      <c r="A7" t="b">
        <f>modif1!A7</f>
        <v>1</v>
      </c>
      <c r="B7">
        <f>ROW(modif1!B7)</f>
        <v>7</v>
      </c>
      <c r="C7" t="str">
        <f>modif1!C10</f>
        <v>171</v>
      </c>
      <c r="D7" t="str">
        <f>modif1!D7</f>
        <v>MANO</v>
      </c>
      <c r="E7">
        <f>modif1!E7</f>
        <v>17</v>
      </c>
      <c r="F7" t="str">
        <f>modif1!F7</f>
        <v>LANDE DE TABARTON</v>
      </c>
      <c r="G7" t="str">
        <f>modif1!G7</f>
        <v>0B</v>
      </c>
      <c r="H7">
        <f>modif1!H7</f>
        <v>270</v>
      </c>
      <c r="I7" t="str">
        <f>modif1!I7</f>
        <v/>
      </c>
      <c r="J7" s="11">
        <f>modif1!J7</f>
        <v>3.51</v>
      </c>
      <c r="K7" t="str">
        <f>modif1!K7</f>
        <v>CR</v>
      </c>
      <c r="L7" t="str">
        <f>modif1!L7</f>
        <v>PM</v>
      </c>
      <c r="M7">
        <f>modif1!M7</f>
        <v>2022</v>
      </c>
      <c r="N7" t="str">
        <f>modif1!N7</f>
        <v>CR-PM_2022</v>
      </c>
      <c r="O7" t="b">
        <f>modif1!O7</f>
        <v>1</v>
      </c>
      <c r="P7">
        <v>25</v>
      </c>
      <c r="Q7" s="22"/>
      <c r="R7" t="s">
        <v>1868</v>
      </c>
      <c r="Z7"/>
      <c r="AA7" s="17">
        <f>IF($A7,$J7*(IF(Q7=regle!$B$11,regle!$B$23*IF(AJ7=-2,1+regle!$B$35,1),
IF(Q7=regle!$C$11,regle!$C$23,
IF(Q7=regle!$D$11,regle!$D$23,
IF(Q7=regle!$E$11,regle!$E$23,
IF(Q7=regle!$F$11,regle!$F$23,
IF(Q7=regle!$G$11,regle!$G$23,
IF(Q7=regle!$H$11,regle!$H$23,
IF(Q7=regle!$I$11,regle!$I$23,
IF(Q7=regle!$J$11,regle!$J$23,
IF(Q7=regle!$K$11,regle!$K$23,0))))))))))))</f>
        <v>0</v>
      </c>
      <c r="AB7" s="17">
        <f>IF($A7,$J7*(IF(R7=regle!$B$11,regle!$B$23*IF(AK7=-2,1+regle!$B$35,1),
IF(R7=regle!$C$11,regle!$C$23,
IF(R7=regle!$D$11,regle!$D$23,
IF(R7=regle!$E$11,regle!$E$23,
IF(R7=regle!$F$11,regle!$F$23,
IF(R7=regle!$G$11,regle!$G$23,
IF(R7=regle!$H$11,regle!$H$23,
IF(R7=regle!$I$11,regle!$I$23,
IF(R7=regle!$J$11,regle!$J$23,
IF(R7=regle!$K$11,regle!$K$23,0))))))))))))</f>
        <v>-5967</v>
      </c>
      <c r="AC7" s="17">
        <f>IF($A7,$J7*(IF(S7=regle!$B$11,regle!$B$23*IF(AL7=-2,1+regle!$B$35,1),
IF(S7=regle!$C$11,regle!$C$23,
IF(S7=regle!$D$11,regle!$D$23,
IF(S7=regle!$E$11,regle!$E$23,
IF(S7=regle!$F$11,regle!$F$23,
IF(S7=regle!$G$11,regle!$G$23,
IF(S7=regle!$H$11,regle!$H$23,
IF(S7=regle!$I$11,regle!$I$23,
IF(S7=regle!$J$11,regle!$J$23,
IF(S7=regle!$K$11,regle!$K$23,0))))))))))))</f>
        <v>0</v>
      </c>
      <c r="AD7" s="17">
        <f>IF($A7,$J7*(IF(T7=regle!$B$11,regle!$B$23*IF(AM7=-2,1+regle!$B$35,1),
IF(T7=regle!$C$11,regle!$C$23,
IF(T7=regle!$D$11,regle!$D$23,
IF(T7=regle!$E$11,regle!$E$23,
IF(T7=regle!$F$11,regle!$F$23,
IF(T7=regle!$G$11,regle!$G$23,
IF(T7=regle!$H$11,regle!$H$23,
IF(T7=regle!$I$11,regle!$I$23,
IF(T7=regle!$J$11,regle!$J$23,
IF(T7=regle!$K$11,regle!$K$23,0))))))))))))</f>
        <v>0</v>
      </c>
      <c r="AE7" s="17">
        <f>IF($A7,$J7*(IF(U7=regle!$B$11,regle!$B$23*IF(AN7=-2,1+regle!$B$35,1),
IF(U7=regle!$C$11,regle!$C$23,
IF(U7=regle!$D$11,regle!$D$23,
IF(U7=regle!$E$11,regle!$E$23,
IF(U7=regle!$F$11,regle!$F$23,
IF(U7=regle!$G$11,regle!$G$23,
IF(U7=regle!$H$11,regle!$H$23,
IF(U7=regle!$I$11,regle!$I$23,
IF(U7=regle!$J$11,regle!$J$23,
IF(U7=regle!$K$11,regle!$K$23,0))))))))))))</f>
        <v>0</v>
      </c>
      <c r="AF7" s="17">
        <f>IF($A7,$J7*(IF(V7=regle!$B$11,regle!$B$23*IF(AO7=-2,1+regle!$B$35,1),
IF(V7=regle!$C$11,regle!$C$23,
IF(V7=regle!$D$11,regle!$D$23,
IF(V7=regle!$E$11,regle!$E$23,
IF(V7=regle!$F$11,regle!$F$23,
IF(V7=regle!$G$11,regle!$G$23,
IF(V7=regle!$H$11,regle!$H$23,
IF(V7=regle!$I$11,regle!$I$23,
IF(V7=regle!$J$11,regle!$J$23,
IF(V7=regle!$K$11,regle!$K$23,0))))))))))))</f>
        <v>0</v>
      </c>
      <c r="AG7" s="17">
        <f>IF($A7,$J7*(IF(W7=regle!$B$11,regle!$B$23*IF(AP7=-2,1+regle!$B$35,1),
IF(W7=regle!$C$11,regle!$C$23,
IF(W7=regle!$D$11,regle!$D$23,
IF(W7=regle!$E$11,regle!$E$23,
IF(W7=regle!$F$11,regle!$F$23,
IF(W7=regle!$G$11,regle!$G$23,
IF(W7=regle!$H$11,regle!$H$23,
IF(W7=regle!$I$11,regle!$I$23,
IF(W7=regle!$J$11,regle!$J$23,
IF(W7=regle!$K$11,regle!$K$23,0))))))))))))</f>
        <v>0</v>
      </c>
      <c r="AH7" s="17">
        <f>IF($A7,$J7*(IF(X7=regle!$B$11,regle!$B$23*IF(AQ7=-2,1+regle!$B$35,1),
IF(X7=regle!$C$11,regle!$C$23,
IF(X7=regle!$D$11,regle!$D$23,
IF(X7=regle!$E$11,regle!$E$23,
IF(X7=regle!$F$11,regle!$F$23,
IF(X7=regle!$G$11,regle!$G$23,
IF(X7=regle!$H$11,regle!$H$23,
IF(X7=regle!$I$11,regle!$I$23,
IF(X7=regle!$J$11,regle!$J$23,
IF(X7=regle!$K$11,regle!$K$23,0))))))))))))</f>
        <v>0</v>
      </c>
      <c r="AI7" s="17">
        <f>IF($A7,$J7*(IF(Y7=regle!$B$11,regle!$B$23*IF(AR7=-2,1+regle!$B$35,1),
IF(Y7=regle!$C$11,regle!$C$23,
IF(Y7=regle!$D$11,regle!$D$23,
IF(Y7=regle!$E$11,regle!$E$23,
IF(Y7=regle!$F$11,regle!$F$23,
IF(Y7=regle!$G$11,regle!$G$23,
IF(Y7=regle!$H$11,regle!$H$23,
IF(Y7=regle!$I$11,regle!$I$23,
IF(Y7=regle!$J$11,regle!$J$23,
IF(Y7=regle!$K$11,regle!$K$23,0))))))))))))</f>
        <v>0</v>
      </c>
      <c r="AJ7" s="17">
        <f>IF($A7,$J7*(IF(Z7=regle!$B$11,regle!$B$23*IF(AS7=-2,1+regle!$B$35,1),
IF(Z7=regle!$C$11,regle!$C$23,
IF(Z7=regle!$D$11,regle!$D$23,
IF(Z7=regle!$E$11,regle!$E$23,
IF(Z7=regle!$F$11,regle!$F$23,
IF(Z7=regle!$G$11,regle!$G$23,
IF(Z7=regle!$H$11,regle!$H$23,
IF(Z7=regle!$I$11,regle!$I$23,
IF(Z7=regle!$J$11,regle!$J$23,
IF(Z7=regle!$K$11,regle!$K$23,0))))))))))))</f>
        <v>0</v>
      </c>
      <c r="AK7" s="16">
        <f>IF(OR(Q7=regle!$J$11,Q7=regle!$K$11),-2,IF(Q7=regle!$B$11,0,IF(AK$1=$AK$1,IF($O7,-1,regle!$B$2-$M7),IF(AJ7=-1,-1,AJ7+1))))</f>
        <v>-1</v>
      </c>
      <c r="AL7" s="16">
        <f>IF(OR(R7=regle!$J$11,R7=regle!$K$11),-2,IF(R7=regle!$B$11,0,IF(AL$1=$AK$1,IF($O7,-1,regle!$B$2-$M7),IF(AK7=-1,-1,AK7+1))))</f>
        <v>0</v>
      </c>
      <c r="AM7" s="16">
        <f>IF(OR(S7=regle!$J$11,S7=regle!$K$11),-2,IF(S7=regle!$B$11,0,IF(AM$1=$AK$1,IF($O7,-1,regle!$B$2-$M7),IF(AL7=-1,-1,AL7+1))))</f>
        <v>1</v>
      </c>
      <c r="AN7" s="16">
        <f>IF(OR(T7=regle!$J$11,T7=regle!$K$11),-2,IF(T7=regle!$B$11,0,IF(AN$1=$AK$1,IF($O7,-1,regle!$B$2-$M7),IF(AM7=-1,-1,AM7+1))))</f>
        <v>2</v>
      </c>
      <c r="AO7" s="16">
        <f>IF(OR(U7=regle!$J$11,U7=regle!$K$11),-2,IF(U7=regle!$B$11,0,IF(AO$1=$AK$1,IF($O7,-1,regle!$B$2-$M7),IF(AN7=-1,-1,AN7+1))))</f>
        <v>3</v>
      </c>
      <c r="AP7" s="16">
        <f>IF(OR(V7=regle!$J$11,V7=regle!$K$11),-2,IF(V7=regle!$B$11,0,IF(AP$1=$AK$1,IF($O7,-1,regle!$B$2-$M7),IF(AO7=-1,-1,AO7+1))))</f>
        <v>4</v>
      </c>
      <c r="AQ7" s="16">
        <f>IF(OR(W7=regle!$J$11,W7=regle!$K$11),-2,IF(W7=regle!$B$11,0,IF(AQ$1=$AK$1,IF($O7,-1,regle!$B$2-$M7),IF(AP7=-1,-1,AP7+1))))</f>
        <v>5</v>
      </c>
      <c r="AR7" s="16">
        <f>IF(OR(X7=regle!$J$11,X7=regle!$K$11),-2,IF(X7=regle!$B$11,0,IF(AR$1=$AK$1,IF($O7,-1,regle!$B$2-$M7),IF(AQ7=-1,-1,AQ7+1))))</f>
        <v>6</v>
      </c>
      <c r="AS7" s="16">
        <f>IF(OR(Y7=regle!$J$11,Y7=regle!$K$11),-2,IF(Y7=regle!$B$11,0,IF(AS$1=$AK$1,IF($O7,-1,regle!$B$2-$M7),IF(AR7=-1,-1,AR7+1))))</f>
        <v>7</v>
      </c>
      <c r="AT7" s="16">
        <f>IF(OR(Z7=regle!$J$11,Z7=regle!$K$11),-2,IF(Z7=regle!$B$11,0,IF(AT$1=$AK$1,IF($O7,-1,regle!$B$2-$M7),IF(AS7=-1,-1,AS7+1))))</f>
        <v>8</v>
      </c>
    </row>
    <row r="8" spans="1:46" x14ac:dyDescent="0.25">
      <c r="A8" t="b">
        <f>modif1!A8</f>
        <v>1</v>
      </c>
      <c r="B8">
        <f>ROW(modif1!B8)</f>
        <v>8</v>
      </c>
      <c r="C8" t="str">
        <f>modif1!C11</f>
        <v>202</v>
      </c>
      <c r="D8" t="str">
        <f>modif1!D8</f>
        <v>MANO</v>
      </c>
      <c r="E8">
        <f>modif1!E8</f>
        <v>10</v>
      </c>
      <c r="F8" t="str">
        <f>modif1!F8</f>
        <v>LA PEYRERE</v>
      </c>
      <c r="G8" t="str">
        <f>modif1!G8</f>
        <v>0C</v>
      </c>
      <c r="H8">
        <f>modif1!H8</f>
        <v>259</v>
      </c>
      <c r="I8" t="str">
        <f>modif1!I8</f>
        <v/>
      </c>
      <c r="J8" s="11">
        <f>modif1!J8</f>
        <v>3.3069999999999999</v>
      </c>
      <c r="K8" t="str">
        <f>modif1!K8</f>
        <v>CR</v>
      </c>
      <c r="L8" t="str">
        <f>modif1!L8</f>
        <v>PM</v>
      </c>
      <c r="M8">
        <f>modif1!M8</f>
        <v>2022</v>
      </c>
      <c r="N8" t="str">
        <f>modif1!N8</f>
        <v>CR-PM_2022</v>
      </c>
      <c r="O8" t="b">
        <f>modif1!O8</f>
        <v>1</v>
      </c>
      <c r="P8">
        <v>25</v>
      </c>
      <c r="Q8" s="22"/>
      <c r="R8" t="s">
        <v>1868</v>
      </c>
      <c r="Z8"/>
      <c r="AA8" s="17">
        <f>IF($A8,$J8*(IF(Q8=regle!$B$11,regle!$B$23*IF(AJ8=-2,1+regle!$B$35,1),
IF(Q8=regle!$C$11,regle!$C$23,
IF(Q8=regle!$D$11,regle!$D$23,
IF(Q8=regle!$E$11,regle!$E$23,
IF(Q8=regle!$F$11,regle!$F$23,
IF(Q8=regle!$G$11,regle!$G$23,
IF(Q8=regle!$H$11,regle!$H$23,
IF(Q8=regle!$I$11,regle!$I$23,
IF(Q8=regle!$J$11,regle!$J$23,
IF(Q8=regle!$K$11,regle!$K$23,0))))))))))))</f>
        <v>0</v>
      </c>
      <c r="AB8" s="17">
        <f>IF($A8,$J8*(IF(R8=regle!$B$11,regle!$B$23*IF(AK8=-2,1+regle!$B$35,1),
IF(R8=regle!$C$11,regle!$C$23,
IF(R8=regle!$D$11,regle!$D$23,
IF(R8=regle!$E$11,regle!$E$23,
IF(R8=regle!$F$11,regle!$F$23,
IF(R8=regle!$G$11,regle!$G$23,
IF(R8=regle!$H$11,regle!$H$23,
IF(R8=regle!$I$11,regle!$I$23,
IF(R8=regle!$J$11,regle!$J$23,
IF(R8=regle!$K$11,regle!$K$23,0))))))))))))</f>
        <v>-5621.9</v>
      </c>
      <c r="AC8" s="17">
        <f>IF($A8,$J8*(IF(S8=regle!$B$11,regle!$B$23*IF(AL8=-2,1+regle!$B$35,1),
IF(S8=regle!$C$11,regle!$C$23,
IF(S8=regle!$D$11,regle!$D$23,
IF(S8=regle!$E$11,regle!$E$23,
IF(S8=regle!$F$11,regle!$F$23,
IF(S8=regle!$G$11,regle!$G$23,
IF(S8=regle!$H$11,regle!$H$23,
IF(S8=regle!$I$11,regle!$I$23,
IF(S8=regle!$J$11,regle!$J$23,
IF(S8=regle!$K$11,regle!$K$23,0))))))))))))</f>
        <v>0</v>
      </c>
      <c r="AD8" s="17">
        <f>IF($A8,$J8*(IF(T8=regle!$B$11,regle!$B$23*IF(AM8=-2,1+regle!$B$35,1),
IF(T8=regle!$C$11,regle!$C$23,
IF(T8=regle!$D$11,regle!$D$23,
IF(T8=regle!$E$11,regle!$E$23,
IF(T8=regle!$F$11,regle!$F$23,
IF(T8=regle!$G$11,regle!$G$23,
IF(T8=regle!$H$11,regle!$H$23,
IF(T8=regle!$I$11,regle!$I$23,
IF(T8=regle!$J$11,regle!$J$23,
IF(T8=regle!$K$11,regle!$K$23,0))))))))))))</f>
        <v>0</v>
      </c>
      <c r="AE8" s="17">
        <f>IF($A8,$J8*(IF(U8=regle!$B$11,regle!$B$23*IF(AN8=-2,1+regle!$B$35,1),
IF(U8=regle!$C$11,regle!$C$23,
IF(U8=regle!$D$11,regle!$D$23,
IF(U8=regle!$E$11,regle!$E$23,
IF(U8=regle!$F$11,regle!$F$23,
IF(U8=regle!$G$11,regle!$G$23,
IF(U8=regle!$H$11,regle!$H$23,
IF(U8=regle!$I$11,regle!$I$23,
IF(U8=regle!$J$11,regle!$J$23,
IF(U8=regle!$K$11,regle!$K$23,0))))))))))))</f>
        <v>0</v>
      </c>
      <c r="AF8" s="17">
        <f>IF($A8,$J8*(IF(V8=regle!$B$11,regle!$B$23*IF(AO8=-2,1+regle!$B$35,1),
IF(V8=regle!$C$11,regle!$C$23,
IF(V8=regle!$D$11,regle!$D$23,
IF(V8=regle!$E$11,regle!$E$23,
IF(V8=regle!$F$11,regle!$F$23,
IF(V8=regle!$G$11,regle!$G$23,
IF(V8=regle!$H$11,regle!$H$23,
IF(V8=regle!$I$11,regle!$I$23,
IF(V8=regle!$J$11,regle!$J$23,
IF(V8=regle!$K$11,regle!$K$23,0))))))))))))</f>
        <v>0</v>
      </c>
      <c r="AG8" s="17">
        <f>IF($A8,$J8*(IF(W8=regle!$B$11,regle!$B$23*IF(AP8=-2,1+regle!$B$35,1),
IF(W8=regle!$C$11,regle!$C$23,
IF(W8=regle!$D$11,regle!$D$23,
IF(W8=regle!$E$11,regle!$E$23,
IF(W8=regle!$F$11,regle!$F$23,
IF(W8=regle!$G$11,regle!$G$23,
IF(W8=regle!$H$11,regle!$H$23,
IF(W8=regle!$I$11,regle!$I$23,
IF(W8=regle!$J$11,regle!$J$23,
IF(W8=regle!$K$11,regle!$K$23,0))))))))))))</f>
        <v>0</v>
      </c>
      <c r="AH8" s="17">
        <f>IF($A8,$J8*(IF(X8=regle!$B$11,regle!$B$23*IF(AQ8=-2,1+regle!$B$35,1),
IF(X8=regle!$C$11,regle!$C$23,
IF(X8=regle!$D$11,regle!$D$23,
IF(X8=regle!$E$11,regle!$E$23,
IF(X8=regle!$F$11,regle!$F$23,
IF(X8=regle!$G$11,regle!$G$23,
IF(X8=regle!$H$11,regle!$H$23,
IF(X8=regle!$I$11,regle!$I$23,
IF(X8=regle!$J$11,regle!$J$23,
IF(X8=regle!$K$11,regle!$K$23,0))))))))))))</f>
        <v>0</v>
      </c>
      <c r="AI8" s="17">
        <f>IF($A8,$J8*(IF(Y8=regle!$B$11,regle!$B$23*IF(AR8=-2,1+regle!$B$35,1),
IF(Y8=regle!$C$11,regle!$C$23,
IF(Y8=regle!$D$11,regle!$D$23,
IF(Y8=regle!$E$11,regle!$E$23,
IF(Y8=regle!$F$11,regle!$F$23,
IF(Y8=regle!$G$11,regle!$G$23,
IF(Y8=regle!$H$11,regle!$H$23,
IF(Y8=regle!$I$11,regle!$I$23,
IF(Y8=regle!$J$11,regle!$J$23,
IF(Y8=regle!$K$11,regle!$K$23,0))))))))))))</f>
        <v>0</v>
      </c>
      <c r="AJ8" s="17">
        <f>IF($A8,$J8*(IF(Z8=regle!$B$11,regle!$B$23*IF(AS8=-2,1+regle!$B$35,1),
IF(Z8=regle!$C$11,regle!$C$23,
IF(Z8=regle!$D$11,regle!$D$23,
IF(Z8=regle!$E$11,regle!$E$23,
IF(Z8=regle!$F$11,regle!$F$23,
IF(Z8=regle!$G$11,regle!$G$23,
IF(Z8=regle!$H$11,regle!$H$23,
IF(Z8=regle!$I$11,regle!$I$23,
IF(Z8=regle!$J$11,regle!$J$23,
IF(Z8=regle!$K$11,regle!$K$23,0))))))))))))</f>
        <v>0</v>
      </c>
      <c r="AK8" s="16">
        <f>IF(OR(Q8=regle!$J$11,Q8=regle!$K$11),-2,IF(Q8=regle!$B$11,0,IF(AK$1=$AK$1,IF($O8,-1,regle!$B$2-$M8),IF(AJ8=-1,-1,AJ8+1))))</f>
        <v>-1</v>
      </c>
      <c r="AL8" s="16">
        <f>IF(OR(R8=regle!$J$11,R8=regle!$K$11),-2,IF(R8=regle!$B$11,0,IF(AL$1=$AK$1,IF($O8,-1,regle!$B$2-$M8),IF(AK8=-1,-1,AK8+1))))</f>
        <v>0</v>
      </c>
      <c r="AM8" s="16">
        <f>IF(OR(S8=regle!$J$11,S8=regle!$K$11),-2,IF(S8=regle!$B$11,0,IF(AM$1=$AK$1,IF($O8,-1,regle!$B$2-$M8),IF(AL8=-1,-1,AL8+1))))</f>
        <v>1</v>
      </c>
      <c r="AN8" s="16">
        <f>IF(OR(T8=regle!$J$11,T8=regle!$K$11),-2,IF(T8=regle!$B$11,0,IF(AN$1=$AK$1,IF($O8,-1,regle!$B$2-$M8),IF(AM8=-1,-1,AM8+1))))</f>
        <v>2</v>
      </c>
      <c r="AO8" s="16">
        <f>IF(OR(U8=regle!$J$11,U8=regle!$K$11),-2,IF(U8=regle!$B$11,0,IF(AO$1=$AK$1,IF($O8,-1,regle!$B$2-$M8),IF(AN8=-1,-1,AN8+1))))</f>
        <v>3</v>
      </c>
      <c r="AP8" s="16">
        <f>IF(OR(V8=regle!$J$11,V8=regle!$K$11),-2,IF(V8=regle!$B$11,0,IF(AP$1=$AK$1,IF($O8,-1,regle!$B$2-$M8),IF(AO8=-1,-1,AO8+1))))</f>
        <v>4</v>
      </c>
      <c r="AQ8" s="16">
        <f>IF(OR(W8=regle!$J$11,W8=regle!$K$11),-2,IF(W8=regle!$B$11,0,IF(AQ$1=$AK$1,IF($O8,-1,regle!$B$2-$M8),IF(AP8=-1,-1,AP8+1))))</f>
        <v>5</v>
      </c>
      <c r="AR8" s="16">
        <f>IF(OR(X8=regle!$J$11,X8=regle!$K$11),-2,IF(X8=regle!$B$11,0,IF(AR$1=$AK$1,IF($O8,-1,regle!$B$2-$M8),IF(AQ8=-1,-1,AQ8+1))))</f>
        <v>6</v>
      </c>
      <c r="AS8" s="16">
        <f>IF(OR(Y8=regle!$J$11,Y8=regle!$K$11),-2,IF(Y8=regle!$B$11,0,IF(AS$1=$AK$1,IF($O8,-1,regle!$B$2-$M8),IF(AR8=-1,-1,AR8+1))))</f>
        <v>7</v>
      </c>
      <c r="AT8" s="16">
        <f>IF(OR(Z8=regle!$J$11,Z8=regle!$K$11),-2,IF(Z8=regle!$B$11,0,IF(AT$1=$AK$1,IF($O8,-1,regle!$B$2-$M8),IF(AS8=-1,-1,AS8+1))))</f>
        <v>8</v>
      </c>
    </row>
    <row r="9" spans="1:46" x14ac:dyDescent="0.25">
      <c r="A9" t="b">
        <f>modif1!A9</f>
        <v>1</v>
      </c>
      <c r="B9">
        <f>ROW(modif1!B9)</f>
        <v>9</v>
      </c>
      <c r="C9" t="str">
        <f>modif1!C12</f>
        <v>171</v>
      </c>
      <c r="D9" t="str">
        <f>modif1!D9</f>
        <v>MOUSTEY</v>
      </c>
      <c r="E9">
        <f>modif1!E9</f>
        <v>18</v>
      </c>
      <c r="F9" t="str">
        <f>modif1!F9</f>
        <v>Quartier de Capsus</v>
      </c>
      <c r="G9" t="str">
        <f>modif1!G9</f>
        <v>0N</v>
      </c>
      <c r="H9">
        <f>modif1!H9</f>
        <v>627</v>
      </c>
      <c r="I9" t="str">
        <f>modif1!I9</f>
        <v/>
      </c>
      <c r="J9" s="11">
        <f>modif1!J9</f>
        <v>3.2818000000000001</v>
      </c>
      <c r="K9" t="str">
        <f>modif1!K9</f>
        <v>CR</v>
      </c>
      <c r="L9" t="str">
        <f>modif1!L9</f>
        <v>PM</v>
      </c>
      <c r="M9">
        <f>modif1!M9</f>
        <v>2022</v>
      </c>
      <c r="N9" t="str">
        <f>modif1!N9</f>
        <v>CR-PM_2022</v>
      </c>
      <c r="O9" t="b">
        <f>modif1!O9</f>
        <v>1</v>
      </c>
      <c r="P9">
        <v>25</v>
      </c>
      <c r="Q9" s="22"/>
      <c r="R9" t="s">
        <v>1868</v>
      </c>
      <c r="Z9"/>
      <c r="AA9" s="17">
        <f>IF($A9,$J9*(IF(Q9=regle!$B$11,regle!$B$23*IF(AJ9=-2,1+regle!$B$35,1),
IF(Q9=regle!$C$11,regle!$C$23,
IF(Q9=regle!$D$11,regle!$D$23,
IF(Q9=regle!$E$11,regle!$E$23,
IF(Q9=regle!$F$11,regle!$F$23,
IF(Q9=regle!$G$11,regle!$G$23,
IF(Q9=regle!$H$11,regle!$H$23,
IF(Q9=regle!$I$11,regle!$I$23,
IF(Q9=regle!$J$11,regle!$J$23,
IF(Q9=regle!$K$11,regle!$K$23,0))))))))))))</f>
        <v>0</v>
      </c>
      <c r="AB9" s="17">
        <f>IF($A9,$J9*(IF(R9=regle!$B$11,regle!$B$23*IF(AK9=-2,1+regle!$B$35,1),
IF(R9=regle!$C$11,regle!$C$23,
IF(R9=regle!$D$11,regle!$D$23,
IF(R9=regle!$E$11,regle!$E$23,
IF(R9=regle!$F$11,regle!$F$23,
IF(R9=regle!$G$11,regle!$G$23,
IF(R9=regle!$H$11,regle!$H$23,
IF(R9=regle!$I$11,regle!$I$23,
IF(R9=regle!$J$11,regle!$J$23,
IF(R9=regle!$K$11,regle!$K$23,0))))))))))))</f>
        <v>-5579.06</v>
      </c>
      <c r="AC9" s="17">
        <f>IF($A9,$J9*(IF(S9=regle!$B$11,regle!$B$23*IF(AL9=-2,1+regle!$B$35,1),
IF(S9=regle!$C$11,regle!$C$23,
IF(S9=regle!$D$11,regle!$D$23,
IF(S9=regle!$E$11,regle!$E$23,
IF(S9=regle!$F$11,regle!$F$23,
IF(S9=regle!$G$11,regle!$G$23,
IF(S9=regle!$H$11,regle!$H$23,
IF(S9=regle!$I$11,regle!$I$23,
IF(S9=regle!$J$11,regle!$J$23,
IF(S9=regle!$K$11,regle!$K$23,0))))))))))))</f>
        <v>0</v>
      </c>
      <c r="AD9" s="17">
        <f>IF($A9,$J9*(IF(T9=regle!$B$11,regle!$B$23*IF(AM9=-2,1+regle!$B$35,1),
IF(T9=regle!$C$11,regle!$C$23,
IF(T9=regle!$D$11,regle!$D$23,
IF(T9=regle!$E$11,regle!$E$23,
IF(T9=regle!$F$11,regle!$F$23,
IF(T9=regle!$G$11,regle!$G$23,
IF(T9=regle!$H$11,regle!$H$23,
IF(T9=regle!$I$11,regle!$I$23,
IF(T9=regle!$J$11,regle!$J$23,
IF(T9=regle!$K$11,regle!$K$23,0))))))))))))</f>
        <v>0</v>
      </c>
      <c r="AE9" s="17">
        <f>IF($A9,$J9*(IF(U9=regle!$B$11,regle!$B$23*IF(AN9=-2,1+regle!$B$35,1),
IF(U9=regle!$C$11,regle!$C$23,
IF(U9=regle!$D$11,regle!$D$23,
IF(U9=regle!$E$11,regle!$E$23,
IF(U9=regle!$F$11,regle!$F$23,
IF(U9=regle!$G$11,regle!$G$23,
IF(U9=regle!$H$11,regle!$H$23,
IF(U9=regle!$I$11,regle!$I$23,
IF(U9=regle!$J$11,regle!$J$23,
IF(U9=regle!$K$11,regle!$K$23,0))))))))))))</f>
        <v>0</v>
      </c>
      <c r="AF9" s="17">
        <f>IF($A9,$J9*(IF(V9=regle!$B$11,regle!$B$23*IF(AO9=-2,1+regle!$B$35,1),
IF(V9=regle!$C$11,regle!$C$23,
IF(V9=regle!$D$11,regle!$D$23,
IF(V9=regle!$E$11,regle!$E$23,
IF(V9=regle!$F$11,regle!$F$23,
IF(V9=regle!$G$11,regle!$G$23,
IF(V9=regle!$H$11,regle!$H$23,
IF(V9=regle!$I$11,regle!$I$23,
IF(V9=regle!$J$11,regle!$J$23,
IF(V9=regle!$K$11,regle!$K$23,0))))))))))))</f>
        <v>0</v>
      </c>
      <c r="AG9" s="17">
        <f>IF($A9,$J9*(IF(W9=regle!$B$11,regle!$B$23*IF(AP9=-2,1+regle!$B$35,1),
IF(W9=regle!$C$11,regle!$C$23,
IF(W9=regle!$D$11,regle!$D$23,
IF(W9=regle!$E$11,regle!$E$23,
IF(W9=regle!$F$11,regle!$F$23,
IF(W9=regle!$G$11,regle!$G$23,
IF(W9=regle!$H$11,regle!$H$23,
IF(W9=regle!$I$11,regle!$I$23,
IF(W9=regle!$J$11,regle!$J$23,
IF(W9=regle!$K$11,regle!$K$23,0))))))))))))</f>
        <v>0</v>
      </c>
      <c r="AH9" s="17">
        <f>IF($A9,$J9*(IF(X9=regle!$B$11,regle!$B$23*IF(AQ9=-2,1+regle!$B$35,1),
IF(X9=regle!$C$11,regle!$C$23,
IF(X9=regle!$D$11,regle!$D$23,
IF(X9=regle!$E$11,regle!$E$23,
IF(X9=regle!$F$11,regle!$F$23,
IF(X9=regle!$G$11,regle!$G$23,
IF(X9=regle!$H$11,regle!$H$23,
IF(X9=regle!$I$11,regle!$I$23,
IF(X9=regle!$J$11,regle!$J$23,
IF(X9=regle!$K$11,regle!$K$23,0))))))))))))</f>
        <v>0</v>
      </c>
      <c r="AI9" s="17">
        <f>IF($A9,$J9*(IF(Y9=regle!$B$11,regle!$B$23*IF(AR9=-2,1+regle!$B$35,1),
IF(Y9=regle!$C$11,regle!$C$23,
IF(Y9=regle!$D$11,regle!$D$23,
IF(Y9=regle!$E$11,regle!$E$23,
IF(Y9=regle!$F$11,regle!$F$23,
IF(Y9=regle!$G$11,regle!$G$23,
IF(Y9=regle!$H$11,regle!$H$23,
IF(Y9=regle!$I$11,regle!$I$23,
IF(Y9=regle!$J$11,regle!$J$23,
IF(Y9=regle!$K$11,regle!$K$23,0))))))))))))</f>
        <v>0</v>
      </c>
      <c r="AJ9" s="17">
        <f>IF($A9,$J9*(IF(Z9=regle!$B$11,regle!$B$23*IF(AS9=-2,1+regle!$B$35,1),
IF(Z9=regle!$C$11,regle!$C$23,
IF(Z9=regle!$D$11,regle!$D$23,
IF(Z9=regle!$E$11,regle!$E$23,
IF(Z9=regle!$F$11,regle!$F$23,
IF(Z9=regle!$G$11,regle!$G$23,
IF(Z9=regle!$H$11,regle!$H$23,
IF(Z9=regle!$I$11,regle!$I$23,
IF(Z9=regle!$J$11,regle!$J$23,
IF(Z9=regle!$K$11,regle!$K$23,0))))))))))))</f>
        <v>0</v>
      </c>
      <c r="AK9" s="16">
        <f>IF(OR(Q9=regle!$J$11,Q9=regle!$K$11),-2,IF(Q9=regle!$B$11,0,IF(AK$1=$AK$1,IF($O9,-1,regle!$B$2-$M9),IF(AJ9=-1,-1,AJ9+1))))</f>
        <v>-1</v>
      </c>
      <c r="AL9" s="16">
        <f>IF(OR(R9=regle!$J$11,R9=regle!$K$11),-2,IF(R9=regle!$B$11,0,IF(AL$1=$AK$1,IF($O9,-1,regle!$B$2-$M9),IF(AK9=-1,-1,AK9+1))))</f>
        <v>0</v>
      </c>
      <c r="AM9" s="16">
        <f>IF(OR(S9=regle!$J$11,S9=regle!$K$11),-2,IF(S9=regle!$B$11,0,IF(AM$1=$AK$1,IF($O9,-1,regle!$B$2-$M9),IF(AL9=-1,-1,AL9+1))))</f>
        <v>1</v>
      </c>
      <c r="AN9" s="16">
        <f>IF(OR(T9=regle!$J$11,T9=regle!$K$11),-2,IF(T9=regle!$B$11,0,IF(AN$1=$AK$1,IF($O9,-1,regle!$B$2-$M9),IF(AM9=-1,-1,AM9+1))))</f>
        <v>2</v>
      </c>
      <c r="AO9" s="16">
        <f>IF(OR(U9=regle!$J$11,U9=regle!$K$11),-2,IF(U9=regle!$B$11,0,IF(AO$1=$AK$1,IF($O9,-1,regle!$B$2-$M9),IF(AN9=-1,-1,AN9+1))))</f>
        <v>3</v>
      </c>
      <c r="AP9" s="16">
        <f>IF(OR(V9=regle!$J$11,V9=regle!$K$11),-2,IF(V9=regle!$B$11,0,IF(AP$1=$AK$1,IF($O9,-1,regle!$B$2-$M9),IF(AO9=-1,-1,AO9+1))))</f>
        <v>4</v>
      </c>
      <c r="AQ9" s="16">
        <f>IF(OR(W9=regle!$J$11,W9=regle!$K$11),-2,IF(W9=regle!$B$11,0,IF(AQ$1=$AK$1,IF($O9,-1,regle!$B$2-$M9),IF(AP9=-1,-1,AP9+1))))</f>
        <v>5</v>
      </c>
      <c r="AR9" s="16">
        <f>IF(OR(X9=regle!$J$11,X9=regle!$K$11),-2,IF(X9=regle!$B$11,0,IF(AR$1=$AK$1,IF($O9,-1,regle!$B$2-$M9),IF(AQ9=-1,-1,AQ9+1))))</f>
        <v>6</v>
      </c>
      <c r="AS9" s="16">
        <f>IF(OR(Y9=regle!$J$11,Y9=regle!$K$11),-2,IF(Y9=regle!$B$11,0,IF(AS$1=$AK$1,IF($O9,-1,regle!$B$2-$M9),IF(AR9=-1,-1,AR9+1))))</f>
        <v>7</v>
      </c>
      <c r="AT9" s="16">
        <f>IF(OR(Z9=regle!$J$11,Z9=regle!$K$11),-2,IF(Z9=regle!$B$11,0,IF(AT$1=$AK$1,IF($O9,-1,regle!$B$2-$M9),IF(AS9=-1,-1,AS9+1))))</f>
        <v>8</v>
      </c>
    </row>
    <row r="10" spans="1:46" x14ac:dyDescent="0.25">
      <c r="A10" t="b">
        <f>modif1!A10</f>
        <v>1</v>
      </c>
      <c r="B10">
        <f>ROW(modif1!B10)</f>
        <v>10</v>
      </c>
      <c r="C10" t="str">
        <f>modif1!C13</f>
        <v>171</v>
      </c>
      <c r="D10" t="str">
        <f>modif1!D10</f>
        <v>MANO</v>
      </c>
      <c r="E10">
        <f>modif1!E10</f>
        <v>17</v>
      </c>
      <c r="F10" t="str">
        <f>modif1!F10</f>
        <v>LANDE DE TABARTON</v>
      </c>
      <c r="G10" t="str">
        <f>modif1!G10</f>
        <v>0B</v>
      </c>
      <c r="H10">
        <f>modif1!H10</f>
        <v>277</v>
      </c>
      <c r="I10" t="str">
        <f>modif1!I10</f>
        <v/>
      </c>
      <c r="J10" s="11">
        <f>modif1!J10</f>
        <v>2.91</v>
      </c>
      <c r="K10" t="str">
        <f>modif1!K10</f>
        <v>CR</v>
      </c>
      <c r="L10" t="str">
        <f>modif1!L10</f>
        <v>PM</v>
      </c>
      <c r="M10">
        <f>modif1!M10</f>
        <v>2022</v>
      </c>
      <c r="N10" t="str">
        <f>modif1!N10</f>
        <v>CR-PM_2022</v>
      </c>
      <c r="O10" t="b">
        <f>modif1!O10</f>
        <v>1</v>
      </c>
      <c r="P10">
        <v>25</v>
      </c>
      <c r="Q10" s="22"/>
      <c r="R10" t="s">
        <v>1868</v>
      </c>
      <c r="Z10"/>
      <c r="AA10" s="17">
        <f>IF($A10,$J10*(IF(Q10=regle!$B$11,regle!$B$23*IF(AJ10=-2,1+regle!$B$35,1),
IF(Q10=regle!$C$11,regle!$C$23,
IF(Q10=regle!$D$11,regle!$D$23,
IF(Q10=regle!$E$11,regle!$E$23,
IF(Q10=regle!$F$11,regle!$F$23,
IF(Q10=regle!$G$11,regle!$G$23,
IF(Q10=regle!$H$11,regle!$H$23,
IF(Q10=regle!$I$11,regle!$I$23,
IF(Q10=regle!$J$11,regle!$J$23,
IF(Q10=regle!$K$11,regle!$K$23,0))))))))))))</f>
        <v>0</v>
      </c>
      <c r="AB10" s="17">
        <f>IF($A10,$J10*(IF(R10=regle!$B$11,regle!$B$23*IF(AK10=-2,1+regle!$B$35,1),
IF(R10=regle!$C$11,regle!$C$23,
IF(R10=regle!$D$11,regle!$D$23,
IF(R10=regle!$E$11,regle!$E$23,
IF(R10=regle!$F$11,regle!$F$23,
IF(R10=regle!$G$11,regle!$G$23,
IF(R10=regle!$H$11,regle!$H$23,
IF(R10=regle!$I$11,regle!$I$23,
IF(R10=regle!$J$11,regle!$J$23,
IF(R10=regle!$K$11,regle!$K$23,0))))))))))))</f>
        <v>-4947</v>
      </c>
      <c r="AC10" s="17">
        <f>IF($A10,$J10*(IF(S10=regle!$B$11,regle!$B$23*IF(AL10=-2,1+regle!$B$35,1),
IF(S10=regle!$C$11,regle!$C$23,
IF(S10=regle!$D$11,regle!$D$23,
IF(S10=regle!$E$11,regle!$E$23,
IF(S10=regle!$F$11,regle!$F$23,
IF(S10=regle!$G$11,regle!$G$23,
IF(S10=regle!$H$11,regle!$H$23,
IF(S10=regle!$I$11,regle!$I$23,
IF(S10=regle!$J$11,regle!$J$23,
IF(S10=regle!$K$11,regle!$K$23,0))))))))))))</f>
        <v>0</v>
      </c>
      <c r="AD10" s="17">
        <f>IF($A10,$J10*(IF(T10=regle!$B$11,regle!$B$23*IF(AM10=-2,1+regle!$B$35,1),
IF(T10=regle!$C$11,regle!$C$23,
IF(T10=regle!$D$11,regle!$D$23,
IF(T10=regle!$E$11,regle!$E$23,
IF(T10=regle!$F$11,regle!$F$23,
IF(T10=regle!$G$11,regle!$G$23,
IF(T10=regle!$H$11,regle!$H$23,
IF(T10=regle!$I$11,regle!$I$23,
IF(T10=regle!$J$11,regle!$J$23,
IF(T10=regle!$K$11,regle!$K$23,0))))))))))))</f>
        <v>0</v>
      </c>
      <c r="AE10" s="17">
        <f>IF($A10,$J10*(IF(U10=regle!$B$11,regle!$B$23*IF(AN10=-2,1+regle!$B$35,1),
IF(U10=regle!$C$11,regle!$C$23,
IF(U10=regle!$D$11,regle!$D$23,
IF(U10=regle!$E$11,regle!$E$23,
IF(U10=regle!$F$11,regle!$F$23,
IF(U10=regle!$G$11,regle!$G$23,
IF(U10=regle!$H$11,regle!$H$23,
IF(U10=regle!$I$11,regle!$I$23,
IF(U10=regle!$J$11,regle!$J$23,
IF(U10=regle!$K$11,regle!$K$23,0))))))))))))</f>
        <v>0</v>
      </c>
      <c r="AF10" s="17">
        <f>IF($A10,$J10*(IF(V10=regle!$B$11,regle!$B$23*IF(AO10=-2,1+regle!$B$35,1),
IF(V10=regle!$C$11,regle!$C$23,
IF(V10=regle!$D$11,regle!$D$23,
IF(V10=regle!$E$11,regle!$E$23,
IF(V10=regle!$F$11,regle!$F$23,
IF(V10=regle!$G$11,regle!$G$23,
IF(V10=regle!$H$11,regle!$H$23,
IF(V10=regle!$I$11,regle!$I$23,
IF(V10=regle!$J$11,regle!$J$23,
IF(V10=regle!$K$11,regle!$K$23,0))))))))))))</f>
        <v>0</v>
      </c>
      <c r="AG10" s="17">
        <f>IF($A10,$J10*(IF(W10=regle!$B$11,regle!$B$23*IF(AP10=-2,1+regle!$B$35,1),
IF(W10=regle!$C$11,regle!$C$23,
IF(W10=regle!$D$11,regle!$D$23,
IF(W10=regle!$E$11,regle!$E$23,
IF(W10=regle!$F$11,regle!$F$23,
IF(W10=regle!$G$11,regle!$G$23,
IF(W10=regle!$H$11,regle!$H$23,
IF(W10=regle!$I$11,regle!$I$23,
IF(W10=regle!$J$11,regle!$J$23,
IF(W10=regle!$K$11,regle!$K$23,0))))))))))))</f>
        <v>0</v>
      </c>
      <c r="AH10" s="17">
        <f>IF($A10,$J10*(IF(X10=regle!$B$11,regle!$B$23*IF(AQ10=-2,1+regle!$B$35,1),
IF(X10=regle!$C$11,regle!$C$23,
IF(X10=regle!$D$11,regle!$D$23,
IF(X10=regle!$E$11,regle!$E$23,
IF(X10=regle!$F$11,regle!$F$23,
IF(X10=regle!$G$11,regle!$G$23,
IF(X10=regle!$H$11,regle!$H$23,
IF(X10=regle!$I$11,regle!$I$23,
IF(X10=regle!$J$11,regle!$J$23,
IF(X10=regle!$K$11,regle!$K$23,0))))))))))))</f>
        <v>0</v>
      </c>
      <c r="AI10" s="17">
        <f>IF($A10,$J10*(IF(Y10=regle!$B$11,regle!$B$23*IF(AR10=-2,1+regle!$B$35,1),
IF(Y10=regle!$C$11,regle!$C$23,
IF(Y10=regle!$D$11,regle!$D$23,
IF(Y10=regle!$E$11,regle!$E$23,
IF(Y10=regle!$F$11,regle!$F$23,
IF(Y10=regle!$G$11,regle!$G$23,
IF(Y10=regle!$H$11,regle!$H$23,
IF(Y10=regle!$I$11,regle!$I$23,
IF(Y10=regle!$J$11,regle!$J$23,
IF(Y10=regle!$K$11,regle!$K$23,0))))))))))))</f>
        <v>0</v>
      </c>
      <c r="AJ10" s="17">
        <f>IF($A10,$J10*(IF(Z10=regle!$B$11,regle!$B$23*IF(AS10=-2,1+regle!$B$35,1),
IF(Z10=regle!$C$11,regle!$C$23,
IF(Z10=regle!$D$11,regle!$D$23,
IF(Z10=regle!$E$11,regle!$E$23,
IF(Z10=regle!$F$11,regle!$F$23,
IF(Z10=regle!$G$11,regle!$G$23,
IF(Z10=regle!$H$11,regle!$H$23,
IF(Z10=regle!$I$11,regle!$I$23,
IF(Z10=regle!$J$11,regle!$J$23,
IF(Z10=regle!$K$11,regle!$K$23,0))))))))))))</f>
        <v>0</v>
      </c>
      <c r="AK10" s="16">
        <f>IF(OR(Q10=regle!$J$11,Q10=regle!$K$11),-2,IF(Q10=regle!$B$11,0,IF(AK$1=$AK$1,IF($O10,-1,regle!$B$2-$M10),IF(AJ10=-1,-1,AJ10+1))))</f>
        <v>-1</v>
      </c>
      <c r="AL10" s="16">
        <f>IF(OR(R10=regle!$J$11,R10=regle!$K$11),-2,IF(R10=regle!$B$11,0,IF(AL$1=$AK$1,IF($O10,-1,regle!$B$2-$M10),IF(AK10=-1,-1,AK10+1))))</f>
        <v>0</v>
      </c>
      <c r="AM10" s="16">
        <f>IF(OR(S10=regle!$J$11,S10=regle!$K$11),-2,IF(S10=regle!$B$11,0,IF(AM$1=$AK$1,IF($O10,-1,regle!$B$2-$M10),IF(AL10=-1,-1,AL10+1))))</f>
        <v>1</v>
      </c>
      <c r="AN10" s="16">
        <f>IF(OR(T10=regle!$J$11,T10=regle!$K$11),-2,IF(T10=regle!$B$11,0,IF(AN$1=$AK$1,IF($O10,-1,regle!$B$2-$M10),IF(AM10=-1,-1,AM10+1))))</f>
        <v>2</v>
      </c>
      <c r="AO10" s="16">
        <f>IF(OR(U10=regle!$J$11,U10=regle!$K$11),-2,IF(U10=regle!$B$11,0,IF(AO$1=$AK$1,IF($O10,-1,regle!$B$2-$M10),IF(AN10=-1,-1,AN10+1))))</f>
        <v>3</v>
      </c>
      <c r="AP10" s="16">
        <f>IF(OR(V10=regle!$J$11,V10=regle!$K$11),-2,IF(V10=regle!$B$11,0,IF(AP$1=$AK$1,IF($O10,-1,regle!$B$2-$M10),IF(AO10=-1,-1,AO10+1))))</f>
        <v>4</v>
      </c>
      <c r="AQ10" s="16">
        <f>IF(OR(W10=regle!$J$11,W10=regle!$K$11),-2,IF(W10=regle!$B$11,0,IF(AQ$1=$AK$1,IF($O10,-1,regle!$B$2-$M10),IF(AP10=-1,-1,AP10+1))))</f>
        <v>5</v>
      </c>
      <c r="AR10" s="16">
        <f>IF(OR(X10=regle!$J$11,X10=regle!$K$11),-2,IF(X10=regle!$B$11,0,IF(AR$1=$AK$1,IF($O10,-1,regle!$B$2-$M10),IF(AQ10=-1,-1,AQ10+1))))</f>
        <v>6</v>
      </c>
      <c r="AS10" s="16">
        <f>IF(OR(Y10=regle!$J$11,Y10=regle!$K$11),-2,IF(Y10=regle!$B$11,0,IF(AS$1=$AK$1,IF($O10,-1,regle!$B$2-$M10),IF(AR10=-1,-1,AR10+1))))</f>
        <v>7</v>
      </c>
      <c r="AT10" s="16">
        <f>IF(OR(Z10=regle!$J$11,Z10=regle!$K$11),-2,IF(Z10=regle!$B$11,0,IF(AT$1=$AK$1,IF($O10,-1,regle!$B$2-$M10),IF(AS10=-1,-1,AS10+1))))</f>
        <v>8</v>
      </c>
    </row>
    <row r="11" spans="1:46" x14ac:dyDescent="0.25">
      <c r="A11" t="b">
        <f>modif1!A11</f>
        <v>1</v>
      </c>
      <c r="B11">
        <f>ROW(modif1!B11)</f>
        <v>11</v>
      </c>
      <c r="C11" t="str">
        <f>modif1!C14</f>
        <v>200</v>
      </c>
      <c r="D11" t="str">
        <f>modif1!D11</f>
        <v>HOSTENS</v>
      </c>
      <c r="E11">
        <f>modif1!E11</f>
        <v>11</v>
      </c>
      <c r="F11" t="str">
        <f>modif1!F11</f>
        <v>L'ARGILEYRE</v>
      </c>
      <c r="G11" t="str">
        <f>modif1!G11</f>
        <v>0A</v>
      </c>
      <c r="H11">
        <f>modif1!H11</f>
        <v>1311</v>
      </c>
      <c r="I11" t="str">
        <f>modif1!I11</f>
        <v/>
      </c>
      <c r="J11" s="11">
        <f>modif1!J11</f>
        <v>2.9060000000000001</v>
      </c>
      <c r="K11" t="str">
        <f>modif1!K11</f>
        <v>CR</v>
      </c>
      <c r="L11" t="str">
        <f>modif1!L11</f>
        <v>PM</v>
      </c>
      <c r="M11">
        <f>modif1!M11</f>
        <v>2022</v>
      </c>
      <c r="N11" t="str">
        <f>modif1!N11</f>
        <v>CR-PM_2022</v>
      </c>
      <c r="O11" t="b">
        <f>modif1!O11</f>
        <v>1</v>
      </c>
      <c r="P11">
        <v>25</v>
      </c>
      <c r="Q11" s="22"/>
      <c r="R11" t="s">
        <v>1868</v>
      </c>
      <c r="Z11"/>
      <c r="AA11" s="17">
        <f>IF($A11,$J11*(IF(Q11=regle!$B$11,regle!$B$23*IF(AJ11=-2,1+regle!$B$35,1),
IF(Q11=regle!$C$11,regle!$C$23,
IF(Q11=regle!$D$11,regle!$D$23,
IF(Q11=regle!$E$11,regle!$E$23,
IF(Q11=regle!$F$11,regle!$F$23,
IF(Q11=regle!$G$11,regle!$G$23,
IF(Q11=regle!$H$11,regle!$H$23,
IF(Q11=regle!$I$11,regle!$I$23,
IF(Q11=regle!$J$11,regle!$J$23,
IF(Q11=regle!$K$11,regle!$K$23,0))))))))))))</f>
        <v>0</v>
      </c>
      <c r="AB11" s="17">
        <f>IF($A11,$J11*(IF(R11=regle!$B$11,regle!$B$23*IF(AK11=-2,1+regle!$B$35,1),
IF(R11=regle!$C$11,regle!$C$23,
IF(R11=regle!$D$11,regle!$D$23,
IF(R11=regle!$E$11,regle!$E$23,
IF(R11=regle!$F$11,regle!$F$23,
IF(R11=regle!$G$11,regle!$G$23,
IF(R11=regle!$H$11,regle!$H$23,
IF(R11=regle!$I$11,regle!$I$23,
IF(R11=regle!$J$11,regle!$J$23,
IF(R11=regle!$K$11,regle!$K$23,0))))))))))))</f>
        <v>-4940.2</v>
      </c>
      <c r="AC11" s="17">
        <f>IF($A11,$J11*(IF(S11=regle!$B$11,regle!$B$23*IF(AL11=-2,1+regle!$B$35,1),
IF(S11=regle!$C$11,regle!$C$23,
IF(S11=regle!$D$11,regle!$D$23,
IF(S11=regle!$E$11,regle!$E$23,
IF(S11=regle!$F$11,regle!$F$23,
IF(S11=regle!$G$11,regle!$G$23,
IF(S11=regle!$H$11,regle!$H$23,
IF(S11=regle!$I$11,regle!$I$23,
IF(S11=regle!$J$11,regle!$J$23,
IF(S11=regle!$K$11,regle!$K$23,0))))))))))))</f>
        <v>0</v>
      </c>
      <c r="AD11" s="17">
        <f>IF($A11,$J11*(IF(T11=regle!$B$11,regle!$B$23*IF(AM11=-2,1+regle!$B$35,1),
IF(T11=regle!$C$11,regle!$C$23,
IF(T11=regle!$D$11,regle!$D$23,
IF(T11=regle!$E$11,regle!$E$23,
IF(T11=regle!$F$11,regle!$F$23,
IF(T11=regle!$G$11,regle!$G$23,
IF(T11=regle!$H$11,regle!$H$23,
IF(T11=regle!$I$11,regle!$I$23,
IF(T11=regle!$J$11,regle!$J$23,
IF(T11=regle!$K$11,regle!$K$23,0))))))))))))</f>
        <v>0</v>
      </c>
      <c r="AE11" s="17">
        <f>IF($A11,$J11*(IF(U11=regle!$B$11,regle!$B$23*IF(AN11=-2,1+regle!$B$35,1),
IF(U11=regle!$C$11,regle!$C$23,
IF(U11=regle!$D$11,regle!$D$23,
IF(U11=regle!$E$11,regle!$E$23,
IF(U11=regle!$F$11,regle!$F$23,
IF(U11=regle!$G$11,regle!$G$23,
IF(U11=regle!$H$11,regle!$H$23,
IF(U11=regle!$I$11,regle!$I$23,
IF(U11=regle!$J$11,regle!$J$23,
IF(U11=regle!$K$11,regle!$K$23,0))))))))))))</f>
        <v>0</v>
      </c>
      <c r="AF11" s="17">
        <f>IF($A11,$J11*(IF(V11=regle!$B$11,regle!$B$23*IF(AO11=-2,1+regle!$B$35,1),
IF(V11=regle!$C$11,regle!$C$23,
IF(V11=regle!$D$11,regle!$D$23,
IF(V11=regle!$E$11,regle!$E$23,
IF(V11=regle!$F$11,regle!$F$23,
IF(V11=regle!$G$11,regle!$G$23,
IF(V11=regle!$H$11,regle!$H$23,
IF(V11=regle!$I$11,regle!$I$23,
IF(V11=regle!$J$11,regle!$J$23,
IF(V11=regle!$K$11,regle!$K$23,0))))))))))))</f>
        <v>0</v>
      </c>
      <c r="AG11" s="17">
        <f>IF($A11,$J11*(IF(W11=regle!$B$11,regle!$B$23*IF(AP11=-2,1+regle!$B$35,1),
IF(W11=regle!$C$11,regle!$C$23,
IF(W11=regle!$D$11,regle!$D$23,
IF(W11=regle!$E$11,regle!$E$23,
IF(W11=regle!$F$11,regle!$F$23,
IF(W11=regle!$G$11,regle!$G$23,
IF(W11=regle!$H$11,regle!$H$23,
IF(W11=regle!$I$11,regle!$I$23,
IF(W11=regle!$J$11,regle!$J$23,
IF(W11=regle!$K$11,regle!$K$23,0))))))))))))</f>
        <v>0</v>
      </c>
      <c r="AH11" s="17">
        <f>IF($A11,$J11*(IF(X11=regle!$B$11,regle!$B$23*IF(AQ11=-2,1+regle!$B$35,1),
IF(X11=regle!$C$11,regle!$C$23,
IF(X11=regle!$D$11,regle!$D$23,
IF(X11=regle!$E$11,regle!$E$23,
IF(X11=regle!$F$11,regle!$F$23,
IF(X11=regle!$G$11,regle!$G$23,
IF(X11=regle!$H$11,regle!$H$23,
IF(X11=regle!$I$11,regle!$I$23,
IF(X11=regle!$J$11,regle!$J$23,
IF(X11=regle!$K$11,regle!$K$23,0))))))))))))</f>
        <v>0</v>
      </c>
      <c r="AI11" s="17">
        <f>IF($A11,$J11*(IF(Y11=regle!$B$11,regle!$B$23*IF(AR11=-2,1+regle!$B$35,1),
IF(Y11=regle!$C$11,regle!$C$23,
IF(Y11=regle!$D$11,regle!$D$23,
IF(Y11=regle!$E$11,regle!$E$23,
IF(Y11=regle!$F$11,regle!$F$23,
IF(Y11=regle!$G$11,regle!$G$23,
IF(Y11=regle!$H$11,regle!$H$23,
IF(Y11=regle!$I$11,regle!$I$23,
IF(Y11=regle!$J$11,regle!$J$23,
IF(Y11=regle!$K$11,regle!$K$23,0))))))))))))</f>
        <v>0</v>
      </c>
      <c r="AJ11" s="17">
        <f>IF($A11,$J11*(IF(Z11=regle!$B$11,regle!$B$23*IF(AS11=-2,1+regle!$B$35,1),
IF(Z11=regle!$C$11,regle!$C$23,
IF(Z11=regle!$D$11,regle!$D$23,
IF(Z11=regle!$E$11,regle!$E$23,
IF(Z11=regle!$F$11,regle!$F$23,
IF(Z11=regle!$G$11,regle!$G$23,
IF(Z11=regle!$H$11,regle!$H$23,
IF(Z11=regle!$I$11,regle!$I$23,
IF(Z11=regle!$J$11,regle!$J$23,
IF(Z11=regle!$K$11,regle!$K$23,0))))))))))))</f>
        <v>0</v>
      </c>
      <c r="AK11" s="16">
        <f>IF(OR(Q11=regle!$J$11,Q11=regle!$K$11),-2,IF(Q11=regle!$B$11,0,IF(AK$1=$AK$1,IF($O11,-1,regle!$B$2-$M11),IF(AJ11=-1,-1,AJ11+1))))</f>
        <v>-1</v>
      </c>
      <c r="AL11" s="16">
        <f>IF(OR(R11=regle!$J$11,R11=regle!$K$11),-2,IF(R11=regle!$B$11,0,IF(AL$1=$AK$1,IF($O11,-1,regle!$B$2-$M11),IF(AK11=-1,-1,AK11+1))))</f>
        <v>0</v>
      </c>
      <c r="AM11" s="16">
        <f>IF(OR(S11=regle!$J$11,S11=regle!$K$11),-2,IF(S11=regle!$B$11,0,IF(AM$1=$AK$1,IF($O11,-1,regle!$B$2-$M11),IF(AL11=-1,-1,AL11+1))))</f>
        <v>1</v>
      </c>
      <c r="AN11" s="16">
        <f>IF(OR(T11=regle!$J$11,T11=regle!$K$11),-2,IF(T11=regle!$B$11,0,IF(AN$1=$AK$1,IF($O11,-1,regle!$B$2-$M11),IF(AM11=-1,-1,AM11+1))))</f>
        <v>2</v>
      </c>
      <c r="AO11" s="16">
        <f>IF(OR(U11=regle!$J$11,U11=regle!$K$11),-2,IF(U11=regle!$B$11,0,IF(AO$1=$AK$1,IF($O11,-1,regle!$B$2-$M11),IF(AN11=-1,-1,AN11+1))))</f>
        <v>3</v>
      </c>
      <c r="AP11" s="16">
        <f>IF(OR(V11=regle!$J$11,V11=regle!$K$11),-2,IF(V11=regle!$B$11,0,IF(AP$1=$AK$1,IF($O11,-1,regle!$B$2-$M11),IF(AO11=-1,-1,AO11+1))))</f>
        <v>4</v>
      </c>
      <c r="AQ11" s="16">
        <f>IF(OR(W11=regle!$J$11,W11=regle!$K$11),-2,IF(W11=regle!$B$11,0,IF(AQ$1=$AK$1,IF($O11,-1,regle!$B$2-$M11),IF(AP11=-1,-1,AP11+1))))</f>
        <v>5</v>
      </c>
      <c r="AR11" s="16">
        <f>IF(OR(X11=regle!$J$11,X11=regle!$K$11),-2,IF(X11=regle!$B$11,0,IF(AR$1=$AK$1,IF($O11,-1,regle!$B$2-$M11),IF(AQ11=-1,-1,AQ11+1))))</f>
        <v>6</v>
      </c>
      <c r="AS11" s="16">
        <f>IF(OR(Y11=regle!$J$11,Y11=regle!$K$11),-2,IF(Y11=regle!$B$11,0,IF(AS$1=$AK$1,IF($O11,-1,regle!$B$2-$M11),IF(AR11=-1,-1,AR11+1))))</f>
        <v>7</v>
      </c>
      <c r="AT11" s="16">
        <f>IF(OR(Z11=regle!$J$11,Z11=regle!$K$11),-2,IF(Z11=regle!$B$11,0,IF(AT$1=$AK$1,IF($O11,-1,regle!$B$2-$M11),IF(AS11=-1,-1,AS11+1))))</f>
        <v>8</v>
      </c>
    </row>
    <row r="12" spans="1:46" x14ac:dyDescent="0.25">
      <c r="A12" t="b">
        <f>modif1!A12</f>
        <v>1</v>
      </c>
      <c r="B12">
        <f>ROW(modif1!B12)</f>
        <v>12</v>
      </c>
      <c r="C12" t="str">
        <f>modif1!C15</f>
        <v>536</v>
      </c>
      <c r="D12" t="str">
        <f>modif1!D12</f>
        <v>MANO</v>
      </c>
      <c r="E12">
        <f>modif1!E12</f>
        <v>17</v>
      </c>
      <c r="F12" t="str">
        <f>modif1!F12</f>
        <v>LANDE DE TABARTON</v>
      </c>
      <c r="G12" t="str">
        <f>modif1!G12</f>
        <v>0B</v>
      </c>
      <c r="H12">
        <f>modif1!H12</f>
        <v>306</v>
      </c>
      <c r="I12" t="str">
        <f>modif1!I12</f>
        <v/>
      </c>
      <c r="J12" s="11">
        <f>modif1!J12</f>
        <v>2.8</v>
      </c>
      <c r="K12" t="str">
        <f>modif1!K12</f>
        <v>CR</v>
      </c>
      <c r="L12" t="str">
        <f>modif1!L12</f>
        <v>PM</v>
      </c>
      <c r="M12">
        <f>modif1!M12</f>
        <v>2022</v>
      </c>
      <c r="N12" t="str">
        <f>modif1!N12</f>
        <v>CR-PM_2022</v>
      </c>
      <c r="O12" t="b">
        <f>modif1!O12</f>
        <v>1</v>
      </c>
      <c r="P12">
        <v>25</v>
      </c>
      <c r="Q12" s="22"/>
      <c r="R12" t="s">
        <v>1868</v>
      </c>
      <c r="Z12"/>
      <c r="AA12" s="17">
        <f>IF($A12,$J12*(IF(Q12=regle!$B$11,regle!$B$23*IF(AJ12=-2,1+regle!$B$35,1),
IF(Q12=regle!$C$11,regle!$C$23,
IF(Q12=regle!$D$11,regle!$D$23,
IF(Q12=regle!$E$11,regle!$E$23,
IF(Q12=regle!$F$11,regle!$F$23,
IF(Q12=regle!$G$11,regle!$G$23,
IF(Q12=regle!$H$11,regle!$H$23,
IF(Q12=regle!$I$11,regle!$I$23,
IF(Q12=regle!$J$11,regle!$J$23,
IF(Q12=regle!$K$11,regle!$K$23,0))))))))))))</f>
        <v>0</v>
      </c>
      <c r="AB12" s="17">
        <f>IF($A12,$J12*(IF(R12=regle!$B$11,regle!$B$23*IF(AK12=-2,1+regle!$B$35,1),
IF(R12=regle!$C$11,regle!$C$23,
IF(R12=regle!$D$11,regle!$D$23,
IF(R12=regle!$E$11,regle!$E$23,
IF(R12=regle!$F$11,regle!$F$23,
IF(R12=regle!$G$11,regle!$G$23,
IF(R12=regle!$H$11,regle!$H$23,
IF(R12=regle!$I$11,regle!$I$23,
IF(R12=regle!$J$11,regle!$J$23,
IF(R12=regle!$K$11,regle!$K$23,0))))))))))))</f>
        <v>-4760</v>
      </c>
      <c r="AC12" s="17">
        <f>IF($A12,$J12*(IF(S12=regle!$B$11,regle!$B$23*IF(AL12=-2,1+regle!$B$35,1),
IF(S12=regle!$C$11,regle!$C$23,
IF(S12=regle!$D$11,regle!$D$23,
IF(S12=regle!$E$11,regle!$E$23,
IF(S12=regle!$F$11,regle!$F$23,
IF(S12=regle!$G$11,regle!$G$23,
IF(S12=regle!$H$11,regle!$H$23,
IF(S12=regle!$I$11,regle!$I$23,
IF(S12=regle!$J$11,regle!$J$23,
IF(S12=regle!$K$11,regle!$K$23,0))))))))))))</f>
        <v>0</v>
      </c>
      <c r="AD12" s="17">
        <f>IF($A12,$J12*(IF(T12=regle!$B$11,regle!$B$23*IF(AM12=-2,1+regle!$B$35,1),
IF(T12=regle!$C$11,regle!$C$23,
IF(T12=regle!$D$11,regle!$D$23,
IF(T12=regle!$E$11,regle!$E$23,
IF(T12=regle!$F$11,regle!$F$23,
IF(T12=regle!$G$11,regle!$G$23,
IF(T12=regle!$H$11,regle!$H$23,
IF(T12=regle!$I$11,regle!$I$23,
IF(T12=regle!$J$11,regle!$J$23,
IF(T12=regle!$K$11,regle!$K$23,0))))))))))))</f>
        <v>0</v>
      </c>
      <c r="AE12" s="17">
        <f>IF($A12,$J12*(IF(U12=regle!$B$11,regle!$B$23*IF(AN12=-2,1+regle!$B$35,1),
IF(U12=regle!$C$11,regle!$C$23,
IF(U12=regle!$D$11,regle!$D$23,
IF(U12=regle!$E$11,regle!$E$23,
IF(U12=regle!$F$11,regle!$F$23,
IF(U12=regle!$G$11,regle!$G$23,
IF(U12=regle!$H$11,regle!$H$23,
IF(U12=regle!$I$11,regle!$I$23,
IF(U12=regle!$J$11,regle!$J$23,
IF(U12=regle!$K$11,regle!$K$23,0))))))))))))</f>
        <v>0</v>
      </c>
      <c r="AF12" s="17">
        <f>IF($A12,$J12*(IF(V12=regle!$B$11,regle!$B$23*IF(AO12=-2,1+regle!$B$35,1),
IF(V12=regle!$C$11,regle!$C$23,
IF(V12=regle!$D$11,regle!$D$23,
IF(V12=regle!$E$11,regle!$E$23,
IF(V12=regle!$F$11,regle!$F$23,
IF(V12=regle!$G$11,regle!$G$23,
IF(V12=regle!$H$11,regle!$H$23,
IF(V12=regle!$I$11,regle!$I$23,
IF(V12=regle!$J$11,regle!$J$23,
IF(V12=regle!$K$11,regle!$K$23,0))))))))))))</f>
        <v>0</v>
      </c>
      <c r="AG12" s="17">
        <f>IF($A12,$J12*(IF(W12=regle!$B$11,regle!$B$23*IF(AP12=-2,1+regle!$B$35,1),
IF(W12=regle!$C$11,regle!$C$23,
IF(W12=regle!$D$11,regle!$D$23,
IF(W12=regle!$E$11,regle!$E$23,
IF(W12=regle!$F$11,regle!$F$23,
IF(W12=regle!$G$11,regle!$G$23,
IF(W12=regle!$H$11,regle!$H$23,
IF(W12=regle!$I$11,regle!$I$23,
IF(W12=regle!$J$11,regle!$J$23,
IF(W12=regle!$K$11,regle!$K$23,0))))))))))))</f>
        <v>0</v>
      </c>
      <c r="AH12" s="17">
        <f>IF($A12,$J12*(IF(X12=regle!$B$11,regle!$B$23*IF(AQ12=-2,1+regle!$B$35,1),
IF(X12=regle!$C$11,regle!$C$23,
IF(X12=regle!$D$11,regle!$D$23,
IF(X12=regle!$E$11,regle!$E$23,
IF(X12=regle!$F$11,regle!$F$23,
IF(X12=regle!$G$11,regle!$G$23,
IF(X12=regle!$H$11,regle!$H$23,
IF(X12=regle!$I$11,regle!$I$23,
IF(X12=regle!$J$11,regle!$J$23,
IF(X12=regle!$K$11,regle!$K$23,0))))))))))))</f>
        <v>0</v>
      </c>
      <c r="AI12" s="17">
        <f>IF($A12,$J12*(IF(Y12=regle!$B$11,regle!$B$23*IF(AR12=-2,1+regle!$B$35,1),
IF(Y12=regle!$C$11,regle!$C$23,
IF(Y12=regle!$D$11,regle!$D$23,
IF(Y12=regle!$E$11,regle!$E$23,
IF(Y12=regle!$F$11,regle!$F$23,
IF(Y12=regle!$G$11,regle!$G$23,
IF(Y12=regle!$H$11,regle!$H$23,
IF(Y12=regle!$I$11,regle!$I$23,
IF(Y12=regle!$J$11,regle!$J$23,
IF(Y12=regle!$K$11,regle!$K$23,0))))))))))))</f>
        <v>0</v>
      </c>
      <c r="AJ12" s="17">
        <f>IF($A12,$J12*(IF(Z12=regle!$B$11,regle!$B$23*IF(AS12=-2,1+regle!$B$35,1),
IF(Z12=regle!$C$11,regle!$C$23,
IF(Z12=regle!$D$11,regle!$D$23,
IF(Z12=regle!$E$11,regle!$E$23,
IF(Z12=regle!$F$11,regle!$F$23,
IF(Z12=regle!$G$11,regle!$G$23,
IF(Z12=regle!$H$11,regle!$H$23,
IF(Z12=regle!$I$11,regle!$I$23,
IF(Z12=regle!$J$11,regle!$J$23,
IF(Z12=regle!$K$11,regle!$K$23,0))))))))))))</f>
        <v>0</v>
      </c>
      <c r="AK12" s="16">
        <f>IF(OR(Q12=regle!$J$11,Q12=regle!$K$11),-2,IF(Q12=regle!$B$11,0,IF(AK$1=$AK$1,IF($O12,-1,regle!$B$2-$M12),IF(AJ12=-1,-1,AJ12+1))))</f>
        <v>-1</v>
      </c>
      <c r="AL12" s="16">
        <f>IF(OR(R12=regle!$J$11,R12=regle!$K$11),-2,IF(R12=regle!$B$11,0,IF(AL$1=$AK$1,IF($O12,-1,regle!$B$2-$M12),IF(AK12=-1,-1,AK12+1))))</f>
        <v>0</v>
      </c>
      <c r="AM12" s="16">
        <f>IF(OR(S12=regle!$J$11,S12=regle!$K$11),-2,IF(S12=regle!$B$11,0,IF(AM$1=$AK$1,IF($O12,-1,regle!$B$2-$M12),IF(AL12=-1,-1,AL12+1))))</f>
        <v>1</v>
      </c>
      <c r="AN12" s="16">
        <f>IF(OR(T12=regle!$J$11,T12=regle!$K$11),-2,IF(T12=regle!$B$11,0,IF(AN$1=$AK$1,IF($O12,-1,regle!$B$2-$M12),IF(AM12=-1,-1,AM12+1))))</f>
        <v>2</v>
      </c>
      <c r="AO12" s="16">
        <f>IF(OR(U12=regle!$J$11,U12=regle!$K$11),-2,IF(U12=regle!$B$11,0,IF(AO$1=$AK$1,IF($O12,-1,regle!$B$2-$M12),IF(AN12=-1,-1,AN12+1))))</f>
        <v>3</v>
      </c>
      <c r="AP12" s="16">
        <f>IF(OR(V12=regle!$J$11,V12=regle!$K$11),-2,IF(V12=regle!$B$11,0,IF(AP$1=$AK$1,IF($O12,-1,regle!$B$2-$M12),IF(AO12=-1,-1,AO12+1))))</f>
        <v>4</v>
      </c>
      <c r="AQ12" s="16">
        <f>IF(OR(W12=regle!$J$11,W12=regle!$K$11),-2,IF(W12=regle!$B$11,0,IF(AQ$1=$AK$1,IF($O12,-1,regle!$B$2-$M12),IF(AP12=-1,-1,AP12+1))))</f>
        <v>5</v>
      </c>
      <c r="AR12" s="16">
        <f>IF(OR(X12=regle!$J$11,X12=regle!$K$11),-2,IF(X12=regle!$B$11,0,IF(AR$1=$AK$1,IF($O12,-1,regle!$B$2-$M12),IF(AQ12=-1,-1,AQ12+1))))</f>
        <v>6</v>
      </c>
      <c r="AS12" s="16">
        <f>IF(OR(Y12=regle!$J$11,Y12=regle!$K$11),-2,IF(Y12=regle!$B$11,0,IF(AS$1=$AK$1,IF($O12,-1,regle!$B$2-$M12),IF(AR12=-1,-1,AR12+1))))</f>
        <v>7</v>
      </c>
      <c r="AT12" s="16">
        <f>IF(OR(Z12=regle!$J$11,Z12=regle!$K$11),-2,IF(Z12=regle!$B$11,0,IF(AT$1=$AK$1,IF($O12,-1,regle!$B$2-$M12),IF(AS12=-1,-1,AS12+1))))</f>
        <v>8</v>
      </c>
    </row>
    <row r="13" spans="1:46" x14ac:dyDescent="0.25">
      <c r="A13" t="b">
        <f>modif1!A13</f>
        <v>1</v>
      </c>
      <c r="B13">
        <f>ROW(modif1!B13)</f>
        <v>13</v>
      </c>
      <c r="C13" t="str">
        <f>modif1!C16</f>
        <v>171</v>
      </c>
      <c r="D13" t="str">
        <f>modif1!D13</f>
        <v>MANO</v>
      </c>
      <c r="E13">
        <f>modif1!E13</f>
        <v>17</v>
      </c>
      <c r="F13" t="str">
        <f>modif1!F13</f>
        <v>LANDE DE TABARTON</v>
      </c>
      <c r="G13" t="str">
        <f>modif1!G13</f>
        <v>0B</v>
      </c>
      <c r="H13">
        <f>modif1!H13</f>
        <v>276</v>
      </c>
      <c r="I13" t="str">
        <f>modif1!I13</f>
        <v/>
      </c>
      <c r="J13" s="11">
        <f>modif1!J13</f>
        <v>2.774</v>
      </c>
      <c r="K13" t="str">
        <f>modif1!K13</f>
        <v>CR</v>
      </c>
      <c r="L13" t="str">
        <f>modif1!L13</f>
        <v>PM</v>
      </c>
      <c r="M13">
        <f>modif1!M13</f>
        <v>2022</v>
      </c>
      <c r="N13" t="str">
        <f>modif1!N13</f>
        <v>CR-PM_2022</v>
      </c>
      <c r="O13" t="b">
        <f>modif1!O13</f>
        <v>1</v>
      </c>
      <c r="P13">
        <v>25</v>
      </c>
      <c r="Q13" s="22"/>
      <c r="R13" t="s">
        <v>1868</v>
      </c>
      <c r="Z13"/>
      <c r="AA13" s="17">
        <f>IF($A13,$J13*(IF(Q13=regle!$B$11,regle!$B$23*IF(AJ13=-2,1+regle!$B$35,1),
IF(Q13=regle!$C$11,regle!$C$23,
IF(Q13=regle!$D$11,regle!$D$23,
IF(Q13=regle!$E$11,regle!$E$23,
IF(Q13=regle!$F$11,regle!$F$23,
IF(Q13=regle!$G$11,regle!$G$23,
IF(Q13=regle!$H$11,regle!$H$23,
IF(Q13=regle!$I$11,regle!$I$23,
IF(Q13=regle!$J$11,regle!$J$23,
IF(Q13=regle!$K$11,regle!$K$23,0))))))))))))</f>
        <v>0</v>
      </c>
      <c r="AB13" s="17">
        <f>IF($A13,$J13*(IF(R13=regle!$B$11,regle!$B$23*IF(AK13=-2,1+regle!$B$35,1),
IF(R13=regle!$C$11,regle!$C$23,
IF(R13=regle!$D$11,regle!$D$23,
IF(R13=regle!$E$11,regle!$E$23,
IF(R13=regle!$F$11,regle!$F$23,
IF(R13=regle!$G$11,regle!$G$23,
IF(R13=regle!$H$11,regle!$H$23,
IF(R13=regle!$I$11,regle!$I$23,
IF(R13=regle!$J$11,regle!$J$23,
IF(R13=regle!$K$11,regle!$K$23,0))))))))))))</f>
        <v>-4715.8</v>
      </c>
      <c r="AC13" s="17">
        <f>IF($A13,$J13*(IF(S13=regle!$B$11,regle!$B$23*IF(AL13=-2,1+regle!$B$35,1),
IF(S13=regle!$C$11,regle!$C$23,
IF(S13=regle!$D$11,regle!$D$23,
IF(S13=regle!$E$11,regle!$E$23,
IF(S13=regle!$F$11,regle!$F$23,
IF(S13=regle!$G$11,regle!$G$23,
IF(S13=regle!$H$11,regle!$H$23,
IF(S13=regle!$I$11,regle!$I$23,
IF(S13=regle!$J$11,regle!$J$23,
IF(S13=regle!$K$11,regle!$K$23,0))))))))))))</f>
        <v>0</v>
      </c>
      <c r="AD13" s="17">
        <f>IF($A13,$J13*(IF(T13=regle!$B$11,regle!$B$23*IF(AM13=-2,1+regle!$B$35,1),
IF(T13=regle!$C$11,regle!$C$23,
IF(T13=regle!$D$11,regle!$D$23,
IF(T13=regle!$E$11,regle!$E$23,
IF(T13=regle!$F$11,regle!$F$23,
IF(T13=regle!$G$11,regle!$G$23,
IF(T13=regle!$H$11,regle!$H$23,
IF(T13=regle!$I$11,regle!$I$23,
IF(T13=regle!$J$11,regle!$J$23,
IF(T13=regle!$K$11,regle!$K$23,0))))))))))))</f>
        <v>0</v>
      </c>
      <c r="AE13" s="17">
        <f>IF($A13,$J13*(IF(U13=regle!$B$11,regle!$B$23*IF(AN13=-2,1+regle!$B$35,1),
IF(U13=regle!$C$11,regle!$C$23,
IF(U13=regle!$D$11,regle!$D$23,
IF(U13=regle!$E$11,regle!$E$23,
IF(U13=regle!$F$11,regle!$F$23,
IF(U13=regle!$G$11,regle!$G$23,
IF(U13=regle!$H$11,regle!$H$23,
IF(U13=regle!$I$11,regle!$I$23,
IF(U13=regle!$J$11,regle!$J$23,
IF(U13=regle!$K$11,regle!$K$23,0))))))))))))</f>
        <v>0</v>
      </c>
      <c r="AF13" s="17">
        <f>IF($A13,$J13*(IF(V13=regle!$B$11,regle!$B$23*IF(AO13=-2,1+regle!$B$35,1),
IF(V13=regle!$C$11,regle!$C$23,
IF(V13=regle!$D$11,regle!$D$23,
IF(V13=regle!$E$11,regle!$E$23,
IF(V13=regle!$F$11,regle!$F$23,
IF(V13=regle!$G$11,regle!$G$23,
IF(V13=regle!$H$11,regle!$H$23,
IF(V13=regle!$I$11,regle!$I$23,
IF(V13=regle!$J$11,regle!$J$23,
IF(V13=regle!$K$11,regle!$K$23,0))))))))))))</f>
        <v>0</v>
      </c>
      <c r="AG13" s="17">
        <f>IF($A13,$J13*(IF(W13=regle!$B$11,regle!$B$23*IF(AP13=-2,1+regle!$B$35,1),
IF(W13=regle!$C$11,regle!$C$23,
IF(W13=regle!$D$11,regle!$D$23,
IF(W13=regle!$E$11,regle!$E$23,
IF(W13=regle!$F$11,regle!$F$23,
IF(W13=regle!$G$11,regle!$G$23,
IF(W13=regle!$H$11,regle!$H$23,
IF(W13=regle!$I$11,regle!$I$23,
IF(W13=regle!$J$11,regle!$J$23,
IF(W13=regle!$K$11,regle!$K$23,0))))))))))))</f>
        <v>0</v>
      </c>
      <c r="AH13" s="17">
        <f>IF($A13,$J13*(IF(X13=regle!$B$11,regle!$B$23*IF(AQ13=-2,1+regle!$B$35,1),
IF(X13=regle!$C$11,regle!$C$23,
IF(X13=regle!$D$11,regle!$D$23,
IF(X13=regle!$E$11,regle!$E$23,
IF(X13=regle!$F$11,regle!$F$23,
IF(X13=regle!$G$11,regle!$G$23,
IF(X13=regle!$H$11,regle!$H$23,
IF(X13=regle!$I$11,regle!$I$23,
IF(X13=regle!$J$11,regle!$J$23,
IF(X13=regle!$K$11,regle!$K$23,0))))))))))))</f>
        <v>0</v>
      </c>
      <c r="AI13" s="17">
        <f>IF($A13,$J13*(IF(Y13=regle!$B$11,regle!$B$23*IF(AR13=-2,1+regle!$B$35,1),
IF(Y13=regle!$C$11,regle!$C$23,
IF(Y13=regle!$D$11,regle!$D$23,
IF(Y13=regle!$E$11,regle!$E$23,
IF(Y13=regle!$F$11,regle!$F$23,
IF(Y13=regle!$G$11,regle!$G$23,
IF(Y13=regle!$H$11,regle!$H$23,
IF(Y13=regle!$I$11,regle!$I$23,
IF(Y13=regle!$J$11,regle!$J$23,
IF(Y13=regle!$K$11,regle!$K$23,0))))))))))))</f>
        <v>0</v>
      </c>
      <c r="AJ13" s="17">
        <f>IF($A13,$J13*(IF(Z13=regle!$B$11,regle!$B$23*IF(AS13=-2,1+regle!$B$35,1),
IF(Z13=regle!$C$11,regle!$C$23,
IF(Z13=regle!$D$11,regle!$D$23,
IF(Z13=regle!$E$11,regle!$E$23,
IF(Z13=regle!$F$11,regle!$F$23,
IF(Z13=regle!$G$11,regle!$G$23,
IF(Z13=regle!$H$11,regle!$H$23,
IF(Z13=regle!$I$11,regle!$I$23,
IF(Z13=regle!$J$11,regle!$J$23,
IF(Z13=regle!$K$11,regle!$K$23,0))))))))))))</f>
        <v>0</v>
      </c>
      <c r="AK13" s="16">
        <f>IF(OR(Q13=regle!$J$11,Q13=regle!$K$11),-2,IF(Q13=regle!$B$11,0,IF(AK$1=$AK$1,IF($O13,-1,regle!$B$2-$M13),IF(AJ13=-1,-1,AJ13+1))))</f>
        <v>-1</v>
      </c>
      <c r="AL13" s="16">
        <f>IF(OR(R13=regle!$J$11,R13=regle!$K$11),-2,IF(R13=regle!$B$11,0,IF(AL$1=$AK$1,IF($O13,-1,regle!$B$2-$M13),IF(AK13=-1,-1,AK13+1))))</f>
        <v>0</v>
      </c>
      <c r="AM13" s="16">
        <f>IF(OR(S13=regle!$J$11,S13=regle!$K$11),-2,IF(S13=regle!$B$11,0,IF(AM$1=$AK$1,IF($O13,-1,regle!$B$2-$M13),IF(AL13=-1,-1,AL13+1))))</f>
        <v>1</v>
      </c>
      <c r="AN13" s="16">
        <f>IF(OR(T13=regle!$J$11,T13=regle!$K$11),-2,IF(T13=regle!$B$11,0,IF(AN$1=$AK$1,IF($O13,-1,regle!$B$2-$M13),IF(AM13=-1,-1,AM13+1))))</f>
        <v>2</v>
      </c>
      <c r="AO13" s="16">
        <f>IF(OR(U13=regle!$J$11,U13=regle!$K$11),-2,IF(U13=regle!$B$11,0,IF(AO$1=$AK$1,IF($O13,-1,regle!$B$2-$M13),IF(AN13=-1,-1,AN13+1))))</f>
        <v>3</v>
      </c>
      <c r="AP13" s="16">
        <f>IF(OR(V13=regle!$J$11,V13=regle!$K$11),-2,IF(V13=regle!$B$11,0,IF(AP$1=$AK$1,IF($O13,-1,regle!$B$2-$M13),IF(AO13=-1,-1,AO13+1))))</f>
        <v>4</v>
      </c>
      <c r="AQ13" s="16">
        <f>IF(OR(W13=regle!$J$11,W13=regle!$K$11),-2,IF(W13=regle!$B$11,0,IF(AQ$1=$AK$1,IF($O13,-1,regle!$B$2-$M13),IF(AP13=-1,-1,AP13+1))))</f>
        <v>5</v>
      </c>
      <c r="AR13" s="16">
        <f>IF(OR(X13=regle!$J$11,X13=regle!$K$11),-2,IF(X13=regle!$B$11,0,IF(AR$1=$AK$1,IF($O13,-1,regle!$B$2-$M13),IF(AQ13=-1,-1,AQ13+1))))</f>
        <v>6</v>
      </c>
      <c r="AS13" s="16">
        <f>IF(OR(Y13=regle!$J$11,Y13=regle!$K$11),-2,IF(Y13=regle!$B$11,0,IF(AS$1=$AK$1,IF($O13,-1,regle!$B$2-$M13),IF(AR13=-1,-1,AR13+1))))</f>
        <v>7</v>
      </c>
      <c r="AT13" s="16">
        <f>IF(OR(Z13=regle!$J$11,Z13=regle!$K$11),-2,IF(Z13=regle!$B$11,0,IF(AT$1=$AK$1,IF($O13,-1,regle!$B$2-$M13),IF(AS13=-1,-1,AS13+1))))</f>
        <v>8</v>
      </c>
    </row>
    <row r="14" spans="1:46" x14ac:dyDescent="0.25">
      <c r="A14" t="b">
        <f>modif1!A14</f>
        <v>1</v>
      </c>
      <c r="B14">
        <f>ROW(modif1!B14)</f>
        <v>14</v>
      </c>
      <c r="C14" t="str">
        <f>modif1!C17</f>
        <v>171</v>
      </c>
      <c r="D14" t="str">
        <f>modif1!D14</f>
        <v>MOUSTEY</v>
      </c>
      <c r="E14">
        <f>modif1!E14</f>
        <v>12</v>
      </c>
      <c r="F14" t="str">
        <f>modif1!F14</f>
        <v>Lesbarreyres</v>
      </c>
      <c r="G14" t="str">
        <f>modif1!G14</f>
        <v>0M</v>
      </c>
      <c r="H14">
        <f>modif1!H14</f>
        <v>48</v>
      </c>
      <c r="I14" t="str">
        <f>modif1!I14</f>
        <v/>
      </c>
      <c r="J14" s="11">
        <f>modif1!J14</f>
        <v>2.72</v>
      </c>
      <c r="K14" t="str">
        <f>modif1!K14</f>
        <v>CR</v>
      </c>
      <c r="L14" t="str">
        <f>modif1!L14</f>
        <v>PM</v>
      </c>
      <c r="M14">
        <f>modif1!M14</f>
        <v>2022</v>
      </c>
      <c r="N14" t="str">
        <f>modif1!N14</f>
        <v>CR-PM_2022</v>
      </c>
      <c r="O14" t="b">
        <f>modif1!O14</f>
        <v>1</v>
      </c>
      <c r="P14">
        <v>25</v>
      </c>
      <c r="Q14" s="22"/>
      <c r="R14" t="s">
        <v>1868</v>
      </c>
      <c r="Z14"/>
      <c r="AA14" s="17">
        <f>IF($A14,$J14*(IF(Q14=regle!$B$11,regle!$B$23*IF(AJ14=-2,1+regle!$B$35,1),
IF(Q14=regle!$C$11,regle!$C$23,
IF(Q14=regle!$D$11,regle!$D$23,
IF(Q14=regle!$E$11,regle!$E$23,
IF(Q14=regle!$F$11,regle!$F$23,
IF(Q14=regle!$G$11,regle!$G$23,
IF(Q14=regle!$H$11,regle!$H$23,
IF(Q14=regle!$I$11,regle!$I$23,
IF(Q14=regle!$J$11,regle!$J$23,
IF(Q14=regle!$K$11,regle!$K$23,0))))))))))))</f>
        <v>0</v>
      </c>
      <c r="AB14" s="17">
        <f>IF($A14,$J14*(IF(R14=regle!$B$11,regle!$B$23*IF(AK14=-2,1+regle!$B$35,1),
IF(R14=regle!$C$11,regle!$C$23,
IF(R14=regle!$D$11,regle!$D$23,
IF(R14=regle!$E$11,regle!$E$23,
IF(R14=regle!$F$11,regle!$F$23,
IF(R14=regle!$G$11,regle!$G$23,
IF(R14=regle!$H$11,regle!$H$23,
IF(R14=regle!$I$11,regle!$I$23,
IF(R14=regle!$J$11,regle!$J$23,
IF(R14=regle!$K$11,regle!$K$23,0))))))))))))</f>
        <v>-4624</v>
      </c>
      <c r="AC14" s="17">
        <f>IF($A14,$J14*(IF(S14=regle!$B$11,regle!$B$23*IF(AL14=-2,1+regle!$B$35,1),
IF(S14=regle!$C$11,regle!$C$23,
IF(S14=regle!$D$11,regle!$D$23,
IF(S14=regle!$E$11,regle!$E$23,
IF(S14=regle!$F$11,regle!$F$23,
IF(S14=regle!$G$11,regle!$G$23,
IF(S14=regle!$H$11,regle!$H$23,
IF(S14=regle!$I$11,regle!$I$23,
IF(S14=regle!$J$11,regle!$J$23,
IF(S14=regle!$K$11,regle!$K$23,0))))))))))))</f>
        <v>0</v>
      </c>
      <c r="AD14" s="17">
        <f>IF($A14,$J14*(IF(T14=regle!$B$11,regle!$B$23*IF(AM14=-2,1+regle!$B$35,1),
IF(T14=regle!$C$11,regle!$C$23,
IF(T14=regle!$D$11,regle!$D$23,
IF(T14=regle!$E$11,regle!$E$23,
IF(T14=regle!$F$11,regle!$F$23,
IF(T14=regle!$G$11,regle!$G$23,
IF(T14=regle!$H$11,regle!$H$23,
IF(T14=regle!$I$11,regle!$I$23,
IF(T14=regle!$J$11,regle!$J$23,
IF(T14=regle!$K$11,regle!$K$23,0))))))))))))</f>
        <v>0</v>
      </c>
      <c r="AE14" s="17">
        <f>IF($A14,$J14*(IF(U14=regle!$B$11,regle!$B$23*IF(AN14=-2,1+regle!$B$35,1),
IF(U14=regle!$C$11,regle!$C$23,
IF(U14=regle!$D$11,regle!$D$23,
IF(U14=regle!$E$11,regle!$E$23,
IF(U14=regle!$F$11,regle!$F$23,
IF(U14=regle!$G$11,regle!$G$23,
IF(U14=regle!$H$11,regle!$H$23,
IF(U14=regle!$I$11,regle!$I$23,
IF(U14=regle!$J$11,regle!$J$23,
IF(U14=regle!$K$11,regle!$K$23,0))))))))))))</f>
        <v>0</v>
      </c>
      <c r="AF14" s="17">
        <f>IF($A14,$J14*(IF(V14=regle!$B$11,regle!$B$23*IF(AO14=-2,1+regle!$B$35,1),
IF(V14=regle!$C$11,regle!$C$23,
IF(V14=regle!$D$11,regle!$D$23,
IF(V14=regle!$E$11,regle!$E$23,
IF(V14=regle!$F$11,regle!$F$23,
IF(V14=regle!$G$11,regle!$G$23,
IF(V14=regle!$H$11,regle!$H$23,
IF(V14=regle!$I$11,regle!$I$23,
IF(V14=regle!$J$11,regle!$J$23,
IF(V14=regle!$K$11,regle!$K$23,0))))))))))))</f>
        <v>0</v>
      </c>
      <c r="AG14" s="17">
        <f>IF($A14,$J14*(IF(W14=regle!$B$11,regle!$B$23*IF(AP14=-2,1+regle!$B$35,1),
IF(W14=regle!$C$11,regle!$C$23,
IF(W14=regle!$D$11,regle!$D$23,
IF(W14=regle!$E$11,regle!$E$23,
IF(W14=regle!$F$11,regle!$F$23,
IF(W14=regle!$G$11,regle!$G$23,
IF(W14=regle!$H$11,regle!$H$23,
IF(W14=regle!$I$11,regle!$I$23,
IF(W14=regle!$J$11,regle!$J$23,
IF(W14=regle!$K$11,regle!$K$23,0))))))))))))</f>
        <v>0</v>
      </c>
      <c r="AH14" s="17">
        <f>IF($A14,$J14*(IF(X14=regle!$B$11,regle!$B$23*IF(AQ14=-2,1+regle!$B$35,1),
IF(X14=regle!$C$11,regle!$C$23,
IF(X14=regle!$D$11,regle!$D$23,
IF(X14=regle!$E$11,regle!$E$23,
IF(X14=regle!$F$11,regle!$F$23,
IF(X14=regle!$G$11,regle!$G$23,
IF(X14=regle!$H$11,regle!$H$23,
IF(X14=regle!$I$11,regle!$I$23,
IF(X14=regle!$J$11,regle!$J$23,
IF(X14=regle!$K$11,regle!$K$23,0))))))))))))</f>
        <v>0</v>
      </c>
      <c r="AI14" s="17">
        <f>IF($A14,$J14*(IF(Y14=regle!$B$11,regle!$B$23*IF(AR14=-2,1+regle!$B$35,1),
IF(Y14=regle!$C$11,regle!$C$23,
IF(Y14=regle!$D$11,regle!$D$23,
IF(Y14=regle!$E$11,regle!$E$23,
IF(Y14=regle!$F$11,regle!$F$23,
IF(Y14=regle!$G$11,regle!$G$23,
IF(Y14=regle!$H$11,regle!$H$23,
IF(Y14=regle!$I$11,regle!$I$23,
IF(Y14=regle!$J$11,regle!$J$23,
IF(Y14=regle!$K$11,regle!$K$23,0))))))))))))</f>
        <v>0</v>
      </c>
      <c r="AJ14" s="17">
        <f>IF($A14,$J14*(IF(Z14=regle!$B$11,regle!$B$23*IF(AS14=-2,1+regle!$B$35,1),
IF(Z14=regle!$C$11,regle!$C$23,
IF(Z14=regle!$D$11,regle!$D$23,
IF(Z14=regle!$E$11,regle!$E$23,
IF(Z14=regle!$F$11,regle!$F$23,
IF(Z14=regle!$G$11,regle!$G$23,
IF(Z14=regle!$H$11,regle!$H$23,
IF(Z14=regle!$I$11,regle!$I$23,
IF(Z14=regle!$J$11,regle!$J$23,
IF(Z14=regle!$K$11,regle!$K$23,0))))))))))))</f>
        <v>0</v>
      </c>
      <c r="AK14" s="16">
        <f>IF(OR(Q14=regle!$J$11,Q14=regle!$K$11),-2,IF(Q14=regle!$B$11,0,IF(AK$1=$AK$1,IF($O14,-1,regle!$B$2-$M14),IF(AJ14=-1,-1,AJ14+1))))</f>
        <v>-1</v>
      </c>
      <c r="AL14" s="16">
        <f>IF(OR(R14=regle!$J$11,R14=regle!$K$11),-2,IF(R14=regle!$B$11,0,IF(AL$1=$AK$1,IF($O14,-1,regle!$B$2-$M14),IF(AK14=-1,-1,AK14+1))))</f>
        <v>0</v>
      </c>
      <c r="AM14" s="16">
        <f>IF(OR(S14=regle!$J$11,S14=regle!$K$11),-2,IF(S14=regle!$B$11,0,IF(AM$1=$AK$1,IF($O14,-1,regle!$B$2-$M14),IF(AL14=-1,-1,AL14+1))))</f>
        <v>1</v>
      </c>
      <c r="AN14" s="16">
        <f>IF(OR(T14=regle!$J$11,T14=regle!$K$11),-2,IF(T14=regle!$B$11,0,IF(AN$1=$AK$1,IF($O14,-1,regle!$B$2-$M14),IF(AM14=-1,-1,AM14+1))))</f>
        <v>2</v>
      </c>
      <c r="AO14" s="16">
        <f>IF(OR(U14=regle!$J$11,U14=regle!$K$11),-2,IF(U14=regle!$B$11,0,IF(AO$1=$AK$1,IF($O14,-1,regle!$B$2-$M14),IF(AN14=-1,-1,AN14+1))))</f>
        <v>3</v>
      </c>
      <c r="AP14" s="16">
        <f>IF(OR(V14=regle!$J$11,V14=regle!$K$11),-2,IF(V14=regle!$B$11,0,IF(AP$1=$AK$1,IF($O14,-1,regle!$B$2-$M14),IF(AO14=-1,-1,AO14+1))))</f>
        <v>4</v>
      </c>
      <c r="AQ14" s="16">
        <f>IF(OR(W14=regle!$J$11,W14=regle!$K$11),-2,IF(W14=regle!$B$11,0,IF(AQ$1=$AK$1,IF($O14,-1,regle!$B$2-$M14),IF(AP14=-1,-1,AP14+1))))</f>
        <v>5</v>
      </c>
      <c r="AR14" s="16">
        <f>IF(OR(X14=regle!$J$11,X14=regle!$K$11),-2,IF(X14=regle!$B$11,0,IF(AR$1=$AK$1,IF($O14,-1,regle!$B$2-$M14),IF(AQ14=-1,-1,AQ14+1))))</f>
        <v>6</v>
      </c>
      <c r="AS14" s="16">
        <f>IF(OR(Y14=regle!$J$11,Y14=regle!$K$11),-2,IF(Y14=regle!$B$11,0,IF(AS$1=$AK$1,IF($O14,-1,regle!$B$2-$M14),IF(AR14=-1,-1,AR14+1))))</f>
        <v>7</v>
      </c>
      <c r="AT14" s="16">
        <f>IF(OR(Z14=regle!$J$11,Z14=regle!$K$11),-2,IF(Z14=regle!$B$11,0,IF(AT$1=$AK$1,IF($O14,-1,regle!$B$2-$M14),IF(AS14=-1,-1,AS14+1))))</f>
        <v>8</v>
      </c>
    </row>
    <row r="15" spans="1:46" x14ac:dyDescent="0.25">
      <c r="A15" t="b">
        <f>modif1!A15</f>
        <v>1</v>
      </c>
      <c r="B15">
        <f>ROW(modif1!B15)</f>
        <v>15</v>
      </c>
      <c r="C15" t="str">
        <f>modif1!C18</f>
        <v>171</v>
      </c>
      <c r="D15" t="str">
        <f>modif1!D15</f>
        <v>LE TUZAN</v>
      </c>
      <c r="E15">
        <f>modif1!E15</f>
        <v>14</v>
      </c>
      <c r="F15" t="str">
        <f>modif1!F15</f>
        <v>TABARTON-OUEST</v>
      </c>
      <c r="G15" t="str">
        <f>modif1!G15</f>
        <v>0B</v>
      </c>
      <c r="H15">
        <f>modif1!H15</f>
        <v>658</v>
      </c>
      <c r="I15" t="str">
        <f>modif1!I15</f>
        <v>k</v>
      </c>
      <c r="J15" s="11">
        <f>modif1!J15</f>
        <v>2.6316000000000002</v>
      </c>
      <c r="K15" t="str">
        <f>modif1!K15</f>
        <v>CR</v>
      </c>
      <c r="L15" t="str">
        <f>modif1!L15</f>
        <v>PM</v>
      </c>
      <c r="M15">
        <f>modif1!M15</f>
        <v>2022</v>
      </c>
      <c r="N15" t="str">
        <f>modif1!N15</f>
        <v>CR-PM_2022</v>
      </c>
      <c r="O15" t="b">
        <f>modif1!O15</f>
        <v>1</v>
      </c>
      <c r="P15">
        <v>25</v>
      </c>
      <c r="Q15" s="22"/>
      <c r="R15" t="s">
        <v>1868</v>
      </c>
      <c r="Z15"/>
      <c r="AA15" s="17">
        <f>IF($A15,$J15*(IF(Q15=regle!$B$11,regle!$B$23*IF(AJ15=-2,1+regle!$B$35,1),
IF(Q15=regle!$C$11,regle!$C$23,
IF(Q15=regle!$D$11,regle!$D$23,
IF(Q15=regle!$E$11,regle!$E$23,
IF(Q15=regle!$F$11,regle!$F$23,
IF(Q15=regle!$G$11,regle!$G$23,
IF(Q15=regle!$H$11,regle!$H$23,
IF(Q15=regle!$I$11,regle!$I$23,
IF(Q15=regle!$J$11,regle!$J$23,
IF(Q15=regle!$K$11,regle!$K$23,0))))))))))))</f>
        <v>0</v>
      </c>
      <c r="AB15" s="17">
        <f>IF($A15,$J15*(IF(R15=regle!$B$11,regle!$B$23*IF(AK15=-2,1+regle!$B$35,1),
IF(R15=regle!$C$11,regle!$C$23,
IF(R15=regle!$D$11,regle!$D$23,
IF(R15=regle!$E$11,regle!$E$23,
IF(R15=regle!$F$11,regle!$F$23,
IF(R15=regle!$G$11,regle!$G$23,
IF(R15=regle!$H$11,regle!$H$23,
IF(R15=regle!$I$11,regle!$I$23,
IF(R15=regle!$J$11,regle!$J$23,
IF(R15=regle!$K$11,regle!$K$23,0))))))))))))</f>
        <v>-4473.72</v>
      </c>
      <c r="AC15" s="17">
        <f>IF($A15,$J15*(IF(S15=regle!$B$11,regle!$B$23*IF(AL15=-2,1+regle!$B$35,1),
IF(S15=regle!$C$11,regle!$C$23,
IF(S15=regle!$D$11,regle!$D$23,
IF(S15=regle!$E$11,regle!$E$23,
IF(S15=regle!$F$11,regle!$F$23,
IF(S15=regle!$G$11,regle!$G$23,
IF(S15=regle!$H$11,regle!$H$23,
IF(S15=regle!$I$11,regle!$I$23,
IF(S15=regle!$J$11,regle!$J$23,
IF(S15=regle!$K$11,regle!$K$23,0))))))))))))</f>
        <v>0</v>
      </c>
      <c r="AD15" s="17">
        <f>IF($A15,$J15*(IF(T15=regle!$B$11,regle!$B$23*IF(AM15=-2,1+regle!$B$35,1),
IF(T15=regle!$C$11,regle!$C$23,
IF(T15=regle!$D$11,regle!$D$23,
IF(T15=regle!$E$11,regle!$E$23,
IF(T15=regle!$F$11,regle!$F$23,
IF(T15=regle!$G$11,regle!$G$23,
IF(T15=regle!$H$11,regle!$H$23,
IF(T15=regle!$I$11,regle!$I$23,
IF(T15=regle!$J$11,regle!$J$23,
IF(T15=regle!$K$11,regle!$K$23,0))))))))))))</f>
        <v>0</v>
      </c>
      <c r="AE15" s="17">
        <f>IF($A15,$J15*(IF(U15=regle!$B$11,regle!$B$23*IF(AN15=-2,1+regle!$B$35,1),
IF(U15=regle!$C$11,regle!$C$23,
IF(U15=regle!$D$11,regle!$D$23,
IF(U15=regle!$E$11,regle!$E$23,
IF(U15=regle!$F$11,regle!$F$23,
IF(U15=regle!$G$11,regle!$G$23,
IF(U15=regle!$H$11,regle!$H$23,
IF(U15=regle!$I$11,regle!$I$23,
IF(U15=regle!$J$11,regle!$J$23,
IF(U15=regle!$K$11,regle!$K$23,0))))))))))))</f>
        <v>0</v>
      </c>
      <c r="AF15" s="17">
        <f>IF($A15,$J15*(IF(V15=regle!$B$11,regle!$B$23*IF(AO15=-2,1+regle!$B$35,1),
IF(V15=regle!$C$11,regle!$C$23,
IF(V15=regle!$D$11,regle!$D$23,
IF(V15=regle!$E$11,regle!$E$23,
IF(V15=regle!$F$11,regle!$F$23,
IF(V15=regle!$G$11,regle!$G$23,
IF(V15=regle!$H$11,regle!$H$23,
IF(V15=regle!$I$11,regle!$I$23,
IF(V15=regle!$J$11,regle!$J$23,
IF(V15=regle!$K$11,regle!$K$23,0))))))))))))</f>
        <v>0</v>
      </c>
      <c r="AG15" s="17">
        <f>IF($A15,$J15*(IF(W15=regle!$B$11,regle!$B$23*IF(AP15=-2,1+regle!$B$35,1),
IF(W15=regle!$C$11,regle!$C$23,
IF(W15=regle!$D$11,regle!$D$23,
IF(W15=regle!$E$11,regle!$E$23,
IF(W15=regle!$F$11,regle!$F$23,
IF(W15=regle!$G$11,regle!$G$23,
IF(W15=regle!$H$11,regle!$H$23,
IF(W15=regle!$I$11,regle!$I$23,
IF(W15=regle!$J$11,regle!$J$23,
IF(W15=regle!$K$11,regle!$K$23,0))))))))))))</f>
        <v>0</v>
      </c>
      <c r="AH15" s="17">
        <f>IF($A15,$J15*(IF(X15=regle!$B$11,regle!$B$23*IF(AQ15=-2,1+regle!$B$35,1),
IF(X15=regle!$C$11,regle!$C$23,
IF(X15=regle!$D$11,regle!$D$23,
IF(X15=regle!$E$11,regle!$E$23,
IF(X15=regle!$F$11,regle!$F$23,
IF(X15=regle!$G$11,regle!$G$23,
IF(X15=regle!$H$11,regle!$H$23,
IF(X15=regle!$I$11,regle!$I$23,
IF(X15=regle!$J$11,regle!$J$23,
IF(X15=regle!$K$11,regle!$K$23,0))))))))))))</f>
        <v>0</v>
      </c>
      <c r="AI15" s="17">
        <f>IF($A15,$J15*(IF(Y15=regle!$B$11,regle!$B$23*IF(AR15=-2,1+regle!$B$35,1),
IF(Y15=regle!$C$11,regle!$C$23,
IF(Y15=regle!$D$11,regle!$D$23,
IF(Y15=regle!$E$11,regle!$E$23,
IF(Y15=regle!$F$11,regle!$F$23,
IF(Y15=regle!$G$11,regle!$G$23,
IF(Y15=regle!$H$11,regle!$H$23,
IF(Y15=regle!$I$11,regle!$I$23,
IF(Y15=regle!$J$11,regle!$J$23,
IF(Y15=regle!$K$11,regle!$K$23,0))))))))))))</f>
        <v>0</v>
      </c>
      <c r="AJ15" s="17">
        <f>IF($A15,$J15*(IF(Z15=regle!$B$11,regle!$B$23*IF(AS15=-2,1+regle!$B$35,1),
IF(Z15=regle!$C$11,regle!$C$23,
IF(Z15=regle!$D$11,regle!$D$23,
IF(Z15=regle!$E$11,regle!$E$23,
IF(Z15=regle!$F$11,regle!$F$23,
IF(Z15=regle!$G$11,regle!$G$23,
IF(Z15=regle!$H$11,regle!$H$23,
IF(Z15=regle!$I$11,regle!$I$23,
IF(Z15=regle!$J$11,regle!$J$23,
IF(Z15=regle!$K$11,regle!$K$23,0))))))))))))</f>
        <v>0</v>
      </c>
      <c r="AK15" s="16">
        <f>IF(OR(Q15=regle!$J$11,Q15=regle!$K$11),-2,IF(Q15=regle!$B$11,0,IF(AK$1=$AK$1,IF($O15,-1,regle!$B$2-$M15),IF(AJ15=-1,-1,AJ15+1))))</f>
        <v>-1</v>
      </c>
      <c r="AL15" s="16">
        <f>IF(OR(R15=regle!$J$11,R15=regle!$K$11),-2,IF(R15=regle!$B$11,0,IF(AL$1=$AK$1,IF($O15,-1,regle!$B$2-$M15),IF(AK15=-1,-1,AK15+1))))</f>
        <v>0</v>
      </c>
      <c r="AM15" s="16">
        <f>IF(OR(S15=regle!$J$11,S15=regle!$K$11),-2,IF(S15=regle!$B$11,0,IF(AM$1=$AK$1,IF($O15,-1,regle!$B$2-$M15),IF(AL15=-1,-1,AL15+1))))</f>
        <v>1</v>
      </c>
      <c r="AN15" s="16">
        <f>IF(OR(T15=regle!$J$11,T15=regle!$K$11),-2,IF(T15=regle!$B$11,0,IF(AN$1=$AK$1,IF($O15,-1,regle!$B$2-$M15),IF(AM15=-1,-1,AM15+1))))</f>
        <v>2</v>
      </c>
      <c r="AO15" s="16">
        <f>IF(OR(U15=regle!$J$11,U15=regle!$K$11),-2,IF(U15=regle!$B$11,0,IF(AO$1=$AK$1,IF($O15,-1,regle!$B$2-$M15),IF(AN15=-1,-1,AN15+1))))</f>
        <v>3</v>
      </c>
      <c r="AP15" s="16">
        <f>IF(OR(V15=regle!$J$11,V15=regle!$K$11),-2,IF(V15=regle!$B$11,0,IF(AP$1=$AK$1,IF($O15,-1,regle!$B$2-$M15),IF(AO15=-1,-1,AO15+1))))</f>
        <v>4</v>
      </c>
      <c r="AQ15" s="16">
        <f>IF(OR(W15=regle!$J$11,W15=regle!$K$11),-2,IF(W15=regle!$B$11,0,IF(AQ$1=$AK$1,IF($O15,-1,regle!$B$2-$M15),IF(AP15=-1,-1,AP15+1))))</f>
        <v>5</v>
      </c>
      <c r="AR15" s="16">
        <f>IF(OR(X15=regle!$J$11,X15=regle!$K$11),-2,IF(X15=regle!$B$11,0,IF(AR$1=$AK$1,IF($O15,-1,regle!$B$2-$M15),IF(AQ15=-1,-1,AQ15+1))))</f>
        <v>6</v>
      </c>
      <c r="AS15" s="16">
        <f>IF(OR(Y15=regle!$J$11,Y15=regle!$K$11),-2,IF(Y15=regle!$B$11,0,IF(AS$1=$AK$1,IF($O15,-1,regle!$B$2-$M15),IF(AR15=-1,-1,AR15+1))))</f>
        <v>7</v>
      </c>
      <c r="AT15" s="16">
        <f>IF(OR(Z15=regle!$J$11,Z15=regle!$K$11),-2,IF(Z15=regle!$B$11,0,IF(AT$1=$AK$1,IF($O15,-1,regle!$B$2-$M15),IF(AS15=-1,-1,AS15+1))))</f>
        <v>8</v>
      </c>
    </row>
    <row r="16" spans="1:46" x14ac:dyDescent="0.25">
      <c r="A16" t="b">
        <f>modif1!A16</f>
        <v>1</v>
      </c>
      <c r="B16">
        <f>ROW(modif1!B16)</f>
        <v>16</v>
      </c>
      <c r="C16" t="str">
        <f>modif1!C19</f>
        <v>202</v>
      </c>
      <c r="D16" t="str">
        <f>modif1!D16</f>
        <v>MANO</v>
      </c>
      <c r="E16">
        <f>modif1!E16</f>
        <v>17</v>
      </c>
      <c r="F16" t="str">
        <f>modif1!F16</f>
        <v>LANDE DE TABARTON</v>
      </c>
      <c r="G16" t="str">
        <f>modif1!G16</f>
        <v>0B</v>
      </c>
      <c r="H16">
        <f>modif1!H16</f>
        <v>312</v>
      </c>
      <c r="I16" t="str">
        <f>modif1!I16</f>
        <v/>
      </c>
      <c r="J16" s="11">
        <f>modif1!J16</f>
        <v>2.2625000000000002</v>
      </c>
      <c r="K16" t="str">
        <f>modif1!K16</f>
        <v>CR</v>
      </c>
      <c r="L16" t="str">
        <f>modif1!L16</f>
        <v>PM</v>
      </c>
      <c r="M16">
        <f>modif1!M16</f>
        <v>2022</v>
      </c>
      <c r="N16" t="str">
        <f>modif1!N16</f>
        <v>CR-PM_2022</v>
      </c>
      <c r="O16" t="b">
        <f>modif1!O16</f>
        <v>1</v>
      </c>
      <c r="P16">
        <v>25</v>
      </c>
      <c r="Q16" s="22"/>
      <c r="R16" t="s">
        <v>1868</v>
      </c>
      <c r="Z16"/>
      <c r="AA16" s="17">
        <f>IF($A16,$J16*(IF(Q16=regle!$B$11,regle!$B$23*IF(AJ16=-2,1+regle!$B$35,1),
IF(Q16=regle!$C$11,regle!$C$23,
IF(Q16=regle!$D$11,regle!$D$23,
IF(Q16=regle!$E$11,regle!$E$23,
IF(Q16=regle!$F$11,regle!$F$23,
IF(Q16=regle!$G$11,regle!$G$23,
IF(Q16=regle!$H$11,regle!$H$23,
IF(Q16=regle!$I$11,regle!$I$23,
IF(Q16=regle!$J$11,regle!$J$23,
IF(Q16=regle!$K$11,regle!$K$23,0))))))))))))</f>
        <v>0</v>
      </c>
      <c r="AB16" s="17">
        <f>IF($A16,$J16*(IF(R16=regle!$B$11,regle!$B$23*IF(AK16=-2,1+regle!$B$35,1),
IF(R16=regle!$C$11,regle!$C$23,
IF(R16=regle!$D$11,regle!$D$23,
IF(R16=regle!$E$11,regle!$E$23,
IF(R16=regle!$F$11,regle!$F$23,
IF(R16=regle!$G$11,regle!$G$23,
IF(R16=regle!$H$11,regle!$H$23,
IF(R16=regle!$I$11,regle!$I$23,
IF(R16=regle!$J$11,regle!$J$23,
IF(R16=regle!$K$11,regle!$K$23,0))))))))))))</f>
        <v>-3846.2500000000005</v>
      </c>
      <c r="AC16" s="17">
        <f>IF($A16,$J16*(IF(S16=regle!$B$11,regle!$B$23*IF(AL16=-2,1+regle!$B$35,1),
IF(S16=regle!$C$11,regle!$C$23,
IF(S16=regle!$D$11,regle!$D$23,
IF(S16=regle!$E$11,regle!$E$23,
IF(S16=regle!$F$11,regle!$F$23,
IF(S16=regle!$G$11,regle!$G$23,
IF(S16=regle!$H$11,regle!$H$23,
IF(S16=regle!$I$11,regle!$I$23,
IF(S16=regle!$J$11,regle!$J$23,
IF(S16=regle!$K$11,regle!$K$23,0))))))))))))</f>
        <v>0</v>
      </c>
      <c r="AD16" s="17">
        <f>IF($A16,$J16*(IF(T16=regle!$B$11,regle!$B$23*IF(AM16=-2,1+regle!$B$35,1),
IF(T16=regle!$C$11,regle!$C$23,
IF(T16=regle!$D$11,regle!$D$23,
IF(T16=regle!$E$11,regle!$E$23,
IF(T16=regle!$F$11,regle!$F$23,
IF(T16=regle!$G$11,regle!$G$23,
IF(T16=regle!$H$11,regle!$H$23,
IF(T16=regle!$I$11,regle!$I$23,
IF(T16=regle!$J$11,regle!$J$23,
IF(T16=regle!$K$11,regle!$K$23,0))))))))))))</f>
        <v>0</v>
      </c>
      <c r="AE16" s="17">
        <f>IF($A16,$J16*(IF(U16=regle!$B$11,regle!$B$23*IF(AN16=-2,1+regle!$B$35,1),
IF(U16=regle!$C$11,regle!$C$23,
IF(U16=regle!$D$11,regle!$D$23,
IF(U16=regle!$E$11,regle!$E$23,
IF(U16=regle!$F$11,regle!$F$23,
IF(U16=regle!$G$11,regle!$G$23,
IF(U16=regle!$H$11,regle!$H$23,
IF(U16=regle!$I$11,regle!$I$23,
IF(U16=regle!$J$11,regle!$J$23,
IF(U16=regle!$K$11,regle!$K$23,0))))))))))))</f>
        <v>0</v>
      </c>
      <c r="AF16" s="17">
        <f>IF($A16,$J16*(IF(V16=regle!$B$11,regle!$B$23*IF(AO16=-2,1+regle!$B$35,1),
IF(V16=regle!$C$11,regle!$C$23,
IF(V16=regle!$D$11,regle!$D$23,
IF(V16=regle!$E$11,regle!$E$23,
IF(V16=regle!$F$11,regle!$F$23,
IF(V16=regle!$G$11,regle!$G$23,
IF(V16=regle!$H$11,regle!$H$23,
IF(V16=regle!$I$11,regle!$I$23,
IF(V16=regle!$J$11,regle!$J$23,
IF(V16=regle!$K$11,regle!$K$23,0))))))))))))</f>
        <v>0</v>
      </c>
      <c r="AG16" s="17">
        <f>IF($A16,$J16*(IF(W16=regle!$B$11,regle!$B$23*IF(AP16=-2,1+regle!$B$35,1),
IF(W16=regle!$C$11,regle!$C$23,
IF(W16=regle!$D$11,regle!$D$23,
IF(W16=regle!$E$11,regle!$E$23,
IF(W16=regle!$F$11,regle!$F$23,
IF(W16=regle!$G$11,regle!$G$23,
IF(W16=regle!$H$11,regle!$H$23,
IF(W16=regle!$I$11,regle!$I$23,
IF(W16=regle!$J$11,regle!$J$23,
IF(W16=regle!$K$11,regle!$K$23,0))))))))))))</f>
        <v>0</v>
      </c>
      <c r="AH16" s="17">
        <f>IF($A16,$J16*(IF(X16=regle!$B$11,regle!$B$23*IF(AQ16=-2,1+regle!$B$35,1),
IF(X16=regle!$C$11,regle!$C$23,
IF(X16=regle!$D$11,regle!$D$23,
IF(X16=regle!$E$11,regle!$E$23,
IF(X16=regle!$F$11,regle!$F$23,
IF(X16=regle!$G$11,regle!$G$23,
IF(X16=regle!$H$11,regle!$H$23,
IF(X16=regle!$I$11,regle!$I$23,
IF(X16=regle!$J$11,regle!$J$23,
IF(X16=regle!$K$11,regle!$K$23,0))))))))))))</f>
        <v>0</v>
      </c>
      <c r="AI16" s="17">
        <f>IF($A16,$J16*(IF(Y16=regle!$B$11,regle!$B$23*IF(AR16=-2,1+regle!$B$35,1),
IF(Y16=regle!$C$11,regle!$C$23,
IF(Y16=regle!$D$11,regle!$D$23,
IF(Y16=regle!$E$11,regle!$E$23,
IF(Y16=regle!$F$11,regle!$F$23,
IF(Y16=regle!$G$11,regle!$G$23,
IF(Y16=regle!$H$11,regle!$H$23,
IF(Y16=regle!$I$11,regle!$I$23,
IF(Y16=regle!$J$11,regle!$J$23,
IF(Y16=regle!$K$11,regle!$K$23,0))))))))))))</f>
        <v>0</v>
      </c>
      <c r="AJ16" s="17">
        <f>IF($A16,$J16*(IF(Z16=regle!$B$11,regle!$B$23*IF(AS16=-2,1+regle!$B$35,1),
IF(Z16=regle!$C$11,regle!$C$23,
IF(Z16=regle!$D$11,regle!$D$23,
IF(Z16=regle!$E$11,regle!$E$23,
IF(Z16=regle!$F$11,regle!$F$23,
IF(Z16=regle!$G$11,regle!$G$23,
IF(Z16=regle!$H$11,regle!$H$23,
IF(Z16=regle!$I$11,regle!$I$23,
IF(Z16=regle!$J$11,regle!$J$23,
IF(Z16=regle!$K$11,regle!$K$23,0))))))))))))</f>
        <v>0</v>
      </c>
      <c r="AK16" s="16">
        <f>IF(OR(Q16=regle!$J$11,Q16=regle!$K$11),-2,IF(Q16=regle!$B$11,0,IF(AK$1=$AK$1,IF($O16,-1,regle!$B$2-$M16),IF(AJ16=-1,-1,AJ16+1))))</f>
        <v>-1</v>
      </c>
      <c r="AL16" s="16">
        <f>IF(OR(R16=regle!$J$11,R16=regle!$K$11),-2,IF(R16=regle!$B$11,0,IF(AL$1=$AK$1,IF($O16,-1,regle!$B$2-$M16),IF(AK16=-1,-1,AK16+1))))</f>
        <v>0</v>
      </c>
      <c r="AM16" s="16">
        <f>IF(OR(S16=regle!$J$11,S16=regle!$K$11),-2,IF(S16=regle!$B$11,0,IF(AM$1=$AK$1,IF($O16,-1,regle!$B$2-$M16),IF(AL16=-1,-1,AL16+1))))</f>
        <v>1</v>
      </c>
      <c r="AN16" s="16">
        <f>IF(OR(T16=regle!$J$11,T16=regle!$K$11),-2,IF(T16=regle!$B$11,0,IF(AN$1=$AK$1,IF($O16,-1,regle!$B$2-$M16),IF(AM16=-1,-1,AM16+1))))</f>
        <v>2</v>
      </c>
      <c r="AO16" s="16">
        <f>IF(OR(U16=regle!$J$11,U16=regle!$K$11),-2,IF(U16=regle!$B$11,0,IF(AO$1=$AK$1,IF($O16,-1,regle!$B$2-$M16),IF(AN16=-1,-1,AN16+1))))</f>
        <v>3</v>
      </c>
      <c r="AP16" s="16">
        <f>IF(OR(V16=regle!$J$11,V16=regle!$K$11),-2,IF(V16=regle!$B$11,0,IF(AP$1=$AK$1,IF($O16,-1,regle!$B$2-$M16),IF(AO16=-1,-1,AO16+1))))</f>
        <v>4</v>
      </c>
      <c r="AQ16" s="16">
        <f>IF(OR(W16=regle!$J$11,W16=regle!$K$11),-2,IF(W16=regle!$B$11,0,IF(AQ$1=$AK$1,IF($O16,-1,regle!$B$2-$M16),IF(AP16=-1,-1,AP16+1))))</f>
        <v>5</v>
      </c>
      <c r="AR16" s="16">
        <f>IF(OR(X16=regle!$J$11,X16=regle!$K$11),-2,IF(X16=regle!$B$11,0,IF(AR$1=$AK$1,IF($O16,-1,regle!$B$2-$M16),IF(AQ16=-1,-1,AQ16+1))))</f>
        <v>6</v>
      </c>
      <c r="AS16" s="16">
        <f>IF(OR(Y16=regle!$J$11,Y16=regle!$K$11),-2,IF(Y16=regle!$B$11,0,IF(AS$1=$AK$1,IF($O16,-1,regle!$B$2-$M16),IF(AR16=-1,-1,AR16+1))))</f>
        <v>7</v>
      </c>
      <c r="AT16" s="16">
        <f>IF(OR(Z16=regle!$J$11,Z16=regle!$K$11),-2,IF(Z16=regle!$B$11,0,IF(AT$1=$AK$1,IF($O16,-1,regle!$B$2-$M16),IF(AS16=-1,-1,AS16+1))))</f>
        <v>8</v>
      </c>
    </row>
    <row r="17" spans="1:46" x14ac:dyDescent="0.25">
      <c r="A17" t="b">
        <f>modif1!A17</f>
        <v>1</v>
      </c>
      <c r="B17">
        <f>ROW(modif1!B17)</f>
        <v>17</v>
      </c>
      <c r="C17" t="str">
        <f>modif1!C20</f>
        <v>171</v>
      </c>
      <c r="D17" t="str">
        <f>modif1!D17</f>
        <v>MANO</v>
      </c>
      <c r="E17">
        <f>modif1!E17</f>
        <v>6</v>
      </c>
      <c r="F17" t="str">
        <f>modif1!F17</f>
        <v>BARRAT</v>
      </c>
      <c r="G17" t="str">
        <f>modif1!G17</f>
        <v>0C</v>
      </c>
      <c r="H17">
        <f>modif1!H17</f>
        <v>173</v>
      </c>
      <c r="I17" t="str">
        <f>modif1!I17</f>
        <v/>
      </c>
      <c r="J17" s="11">
        <f>modif1!J17</f>
        <v>2.2122000000000002</v>
      </c>
      <c r="K17" t="str">
        <f>modif1!K17</f>
        <v>CR</v>
      </c>
      <c r="L17" t="str">
        <f>modif1!L17</f>
        <v>PM</v>
      </c>
      <c r="M17">
        <f>modif1!M17</f>
        <v>2022</v>
      </c>
      <c r="N17" t="str">
        <f>modif1!N17</f>
        <v>CR-PM_2022</v>
      </c>
      <c r="O17" t="b">
        <f>modif1!O17</f>
        <v>1</v>
      </c>
      <c r="P17">
        <v>25</v>
      </c>
      <c r="Q17" s="22"/>
      <c r="R17" t="s">
        <v>1868</v>
      </c>
      <c r="Z17"/>
      <c r="AA17" s="17">
        <f>IF($A17,$J17*(IF(Q17=regle!$B$11,regle!$B$23*IF(AJ17=-2,1+regle!$B$35,1),
IF(Q17=regle!$C$11,regle!$C$23,
IF(Q17=regle!$D$11,regle!$D$23,
IF(Q17=regle!$E$11,regle!$E$23,
IF(Q17=regle!$F$11,regle!$F$23,
IF(Q17=regle!$G$11,regle!$G$23,
IF(Q17=regle!$H$11,regle!$H$23,
IF(Q17=regle!$I$11,regle!$I$23,
IF(Q17=regle!$J$11,regle!$J$23,
IF(Q17=regle!$K$11,regle!$K$23,0))))))))))))</f>
        <v>0</v>
      </c>
      <c r="AB17" s="17">
        <f>IF($A17,$J17*(IF(R17=regle!$B$11,regle!$B$23*IF(AK17=-2,1+regle!$B$35,1),
IF(R17=regle!$C$11,regle!$C$23,
IF(R17=regle!$D$11,regle!$D$23,
IF(R17=regle!$E$11,regle!$E$23,
IF(R17=regle!$F$11,regle!$F$23,
IF(R17=regle!$G$11,regle!$G$23,
IF(R17=regle!$H$11,regle!$H$23,
IF(R17=regle!$I$11,regle!$I$23,
IF(R17=regle!$J$11,regle!$J$23,
IF(R17=regle!$K$11,regle!$K$23,0))))))))))))</f>
        <v>-3760.7400000000002</v>
      </c>
      <c r="AC17" s="17">
        <f>IF($A17,$J17*(IF(S17=regle!$B$11,regle!$B$23*IF(AL17=-2,1+regle!$B$35,1),
IF(S17=regle!$C$11,regle!$C$23,
IF(S17=regle!$D$11,regle!$D$23,
IF(S17=regle!$E$11,regle!$E$23,
IF(S17=regle!$F$11,regle!$F$23,
IF(S17=regle!$G$11,regle!$G$23,
IF(S17=regle!$H$11,regle!$H$23,
IF(S17=regle!$I$11,regle!$I$23,
IF(S17=regle!$J$11,regle!$J$23,
IF(S17=regle!$K$11,regle!$K$23,0))))))))))))</f>
        <v>0</v>
      </c>
      <c r="AD17" s="17">
        <f>IF($A17,$J17*(IF(T17=regle!$B$11,regle!$B$23*IF(AM17=-2,1+regle!$B$35,1),
IF(T17=regle!$C$11,regle!$C$23,
IF(T17=regle!$D$11,regle!$D$23,
IF(T17=regle!$E$11,regle!$E$23,
IF(T17=regle!$F$11,regle!$F$23,
IF(T17=regle!$G$11,regle!$G$23,
IF(T17=regle!$H$11,regle!$H$23,
IF(T17=regle!$I$11,regle!$I$23,
IF(T17=regle!$J$11,regle!$J$23,
IF(T17=regle!$K$11,regle!$K$23,0))))))))))))</f>
        <v>0</v>
      </c>
      <c r="AE17" s="17">
        <f>IF($A17,$J17*(IF(U17=regle!$B$11,regle!$B$23*IF(AN17=-2,1+regle!$B$35,1),
IF(U17=regle!$C$11,regle!$C$23,
IF(U17=regle!$D$11,regle!$D$23,
IF(U17=regle!$E$11,regle!$E$23,
IF(U17=regle!$F$11,regle!$F$23,
IF(U17=regle!$G$11,regle!$G$23,
IF(U17=regle!$H$11,regle!$H$23,
IF(U17=regle!$I$11,regle!$I$23,
IF(U17=regle!$J$11,regle!$J$23,
IF(U17=regle!$K$11,regle!$K$23,0))))))))))))</f>
        <v>0</v>
      </c>
      <c r="AF17" s="17">
        <f>IF($A17,$J17*(IF(V17=regle!$B$11,regle!$B$23*IF(AO17=-2,1+regle!$B$35,1),
IF(V17=regle!$C$11,regle!$C$23,
IF(V17=regle!$D$11,regle!$D$23,
IF(V17=regle!$E$11,regle!$E$23,
IF(V17=regle!$F$11,regle!$F$23,
IF(V17=regle!$G$11,regle!$G$23,
IF(V17=regle!$H$11,regle!$H$23,
IF(V17=regle!$I$11,regle!$I$23,
IF(V17=regle!$J$11,regle!$J$23,
IF(V17=regle!$K$11,regle!$K$23,0))))))))))))</f>
        <v>0</v>
      </c>
      <c r="AG17" s="17">
        <f>IF($A17,$J17*(IF(W17=regle!$B$11,regle!$B$23*IF(AP17=-2,1+regle!$B$35,1),
IF(W17=regle!$C$11,regle!$C$23,
IF(W17=regle!$D$11,regle!$D$23,
IF(W17=regle!$E$11,regle!$E$23,
IF(W17=regle!$F$11,regle!$F$23,
IF(W17=regle!$G$11,regle!$G$23,
IF(W17=regle!$H$11,regle!$H$23,
IF(W17=regle!$I$11,regle!$I$23,
IF(W17=regle!$J$11,regle!$J$23,
IF(W17=regle!$K$11,regle!$K$23,0))))))))))))</f>
        <v>0</v>
      </c>
      <c r="AH17" s="17">
        <f>IF($A17,$J17*(IF(X17=regle!$B$11,regle!$B$23*IF(AQ17=-2,1+regle!$B$35,1),
IF(X17=regle!$C$11,regle!$C$23,
IF(X17=regle!$D$11,regle!$D$23,
IF(X17=regle!$E$11,regle!$E$23,
IF(X17=regle!$F$11,regle!$F$23,
IF(X17=regle!$G$11,regle!$G$23,
IF(X17=regle!$H$11,regle!$H$23,
IF(X17=regle!$I$11,regle!$I$23,
IF(X17=regle!$J$11,regle!$J$23,
IF(X17=regle!$K$11,regle!$K$23,0))))))))))))</f>
        <v>0</v>
      </c>
      <c r="AI17" s="17">
        <f>IF($A17,$J17*(IF(Y17=regle!$B$11,regle!$B$23*IF(AR17=-2,1+regle!$B$35,1),
IF(Y17=regle!$C$11,regle!$C$23,
IF(Y17=regle!$D$11,regle!$D$23,
IF(Y17=regle!$E$11,regle!$E$23,
IF(Y17=regle!$F$11,regle!$F$23,
IF(Y17=regle!$G$11,regle!$G$23,
IF(Y17=regle!$H$11,regle!$H$23,
IF(Y17=regle!$I$11,regle!$I$23,
IF(Y17=regle!$J$11,regle!$J$23,
IF(Y17=regle!$K$11,regle!$K$23,0))))))))))))</f>
        <v>0</v>
      </c>
      <c r="AJ17" s="17">
        <f>IF($A17,$J17*(IF(Z17=regle!$B$11,regle!$B$23*IF(AS17=-2,1+regle!$B$35,1),
IF(Z17=regle!$C$11,regle!$C$23,
IF(Z17=regle!$D$11,regle!$D$23,
IF(Z17=regle!$E$11,regle!$E$23,
IF(Z17=regle!$F$11,regle!$F$23,
IF(Z17=regle!$G$11,regle!$G$23,
IF(Z17=regle!$H$11,regle!$H$23,
IF(Z17=regle!$I$11,regle!$I$23,
IF(Z17=regle!$J$11,regle!$J$23,
IF(Z17=regle!$K$11,regle!$K$23,0))))))))))))</f>
        <v>0</v>
      </c>
      <c r="AK17" s="16">
        <f>IF(OR(Q17=regle!$J$11,Q17=regle!$K$11),-2,IF(Q17=regle!$B$11,0,IF(AK$1=$AK$1,IF($O17,-1,regle!$B$2-$M17),IF(AJ17=-1,-1,AJ17+1))))</f>
        <v>-1</v>
      </c>
      <c r="AL17" s="16">
        <f>IF(OR(R17=regle!$J$11,R17=regle!$K$11),-2,IF(R17=regle!$B$11,0,IF(AL$1=$AK$1,IF($O17,-1,regle!$B$2-$M17),IF(AK17=-1,-1,AK17+1))))</f>
        <v>0</v>
      </c>
      <c r="AM17" s="16">
        <f>IF(OR(S17=regle!$J$11,S17=regle!$K$11),-2,IF(S17=regle!$B$11,0,IF(AM$1=$AK$1,IF($O17,-1,regle!$B$2-$M17),IF(AL17=-1,-1,AL17+1))))</f>
        <v>1</v>
      </c>
      <c r="AN17" s="16">
        <f>IF(OR(T17=regle!$J$11,T17=regle!$K$11),-2,IF(T17=regle!$B$11,0,IF(AN$1=$AK$1,IF($O17,-1,regle!$B$2-$M17),IF(AM17=-1,-1,AM17+1))))</f>
        <v>2</v>
      </c>
      <c r="AO17" s="16">
        <f>IF(OR(U17=regle!$J$11,U17=regle!$K$11),-2,IF(U17=regle!$B$11,0,IF(AO$1=$AK$1,IF($O17,-1,regle!$B$2-$M17),IF(AN17=-1,-1,AN17+1))))</f>
        <v>3</v>
      </c>
      <c r="AP17" s="16">
        <f>IF(OR(V17=regle!$J$11,V17=regle!$K$11),-2,IF(V17=regle!$B$11,0,IF(AP$1=$AK$1,IF($O17,-1,regle!$B$2-$M17),IF(AO17=-1,-1,AO17+1))))</f>
        <v>4</v>
      </c>
      <c r="AQ17" s="16">
        <f>IF(OR(W17=regle!$J$11,W17=regle!$K$11),-2,IF(W17=regle!$B$11,0,IF(AQ$1=$AK$1,IF($O17,-1,regle!$B$2-$M17),IF(AP17=-1,-1,AP17+1))))</f>
        <v>5</v>
      </c>
      <c r="AR17" s="16">
        <f>IF(OR(X17=regle!$J$11,X17=regle!$K$11),-2,IF(X17=regle!$B$11,0,IF(AR$1=$AK$1,IF($O17,-1,regle!$B$2-$M17),IF(AQ17=-1,-1,AQ17+1))))</f>
        <v>6</v>
      </c>
      <c r="AS17" s="16">
        <f>IF(OR(Y17=regle!$J$11,Y17=regle!$K$11),-2,IF(Y17=regle!$B$11,0,IF(AS$1=$AK$1,IF($O17,-1,regle!$B$2-$M17),IF(AR17=-1,-1,AR17+1))))</f>
        <v>7</v>
      </c>
      <c r="AT17" s="16">
        <f>IF(OR(Z17=regle!$J$11,Z17=regle!$K$11),-2,IF(Z17=regle!$B$11,0,IF(AT$1=$AK$1,IF($O17,-1,regle!$B$2-$M17),IF(AS17=-1,-1,AS17+1))))</f>
        <v>8</v>
      </c>
    </row>
    <row r="18" spans="1:46" x14ac:dyDescent="0.25">
      <c r="A18" t="b">
        <f>modif1!A18</f>
        <v>1</v>
      </c>
      <c r="B18">
        <f>ROW(modif1!B18)</f>
        <v>18</v>
      </c>
      <c r="C18" t="str">
        <f>modif1!C21</f>
        <v>171</v>
      </c>
      <c r="D18" t="str">
        <f>modif1!D18</f>
        <v>MANO</v>
      </c>
      <c r="E18">
        <f>modif1!E18</f>
        <v>17</v>
      </c>
      <c r="F18" t="str">
        <f>modif1!F18</f>
        <v>LANDE DE TABARTON</v>
      </c>
      <c r="G18" t="str">
        <f>modif1!G18</f>
        <v>0B</v>
      </c>
      <c r="H18">
        <f>modif1!H18</f>
        <v>269</v>
      </c>
      <c r="I18" t="str">
        <f>modif1!I18</f>
        <v/>
      </c>
      <c r="J18" s="11">
        <f>modif1!J18</f>
        <v>2.16</v>
      </c>
      <c r="K18" t="str">
        <f>modif1!K18</f>
        <v>CR</v>
      </c>
      <c r="L18" t="str">
        <f>modif1!L18</f>
        <v>PM</v>
      </c>
      <c r="M18">
        <f>modif1!M18</f>
        <v>2022</v>
      </c>
      <c r="N18" t="str">
        <f>modif1!N18</f>
        <v>CR-PM_2022</v>
      </c>
      <c r="O18" t="b">
        <f>modif1!O18</f>
        <v>1</v>
      </c>
      <c r="P18">
        <v>25</v>
      </c>
      <c r="Q18" s="22"/>
      <c r="R18" t="s">
        <v>1868</v>
      </c>
      <c r="Z18"/>
      <c r="AA18" s="17">
        <f>IF($A18,$J18*(IF(Q18=regle!$B$11,regle!$B$23*IF(AJ18=-2,1+regle!$B$35,1),
IF(Q18=regle!$C$11,regle!$C$23,
IF(Q18=regle!$D$11,regle!$D$23,
IF(Q18=regle!$E$11,regle!$E$23,
IF(Q18=regle!$F$11,regle!$F$23,
IF(Q18=regle!$G$11,regle!$G$23,
IF(Q18=regle!$H$11,regle!$H$23,
IF(Q18=regle!$I$11,regle!$I$23,
IF(Q18=regle!$J$11,regle!$J$23,
IF(Q18=regle!$K$11,regle!$K$23,0))))))))))))</f>
        <v>0</v>
      </c>
      <c r="AB18" s="17">
        <f>IF($A18,$J18*(IF(R18=regle!$B$11,regle!$B$23*IF(AK18=-2,1+regle!$B$35,1),
IF(R18=regle!$C$11,regle!$C$23,
IF(R18=regle!$D$11,regle!$D$23,
IF(R18=regle!$E$11,regle!$E$23,
IF(R18=regle!$F$11,regle!$F$23,
IF(R18=regle!$G$11,regle!$G$23,
IF(R18=regle!$H$11,regle!$H$23,
IF(R18=regle!$I$11,regle!$I$23,
IF(R18=regle!$J$11,regle!$J$23,
IF(R18=regle!$K$11,regle!$K$23,0))))))))))))</f>
        <v>-3672.0000000000005</v>
      </c>
      <c r="AC18" s="17">
        <f>IF($A18,$J18*(IF(S18=regle!$B$11,regle!$B$23*IF(AL18=-2,1+regle!$B$35,1),
IF(S18=regle!$C$11,regle!$C$23,
IF(S18=regle!$D$11,regle!$D$23,
IF(S18=regle!$E$11,regle!$E$23,
IF(S18=regle!$F$11,regle!$F$23,
IF(S18=regle!$G$11,regle!$G$23,
IF(S18=regle!$H$11,regle!$H$23,
IF(S18=regle!$I$11,regle!$I$23,
IF(S18=regle!$J$11,regle!$J$23,
IF(S18=regle!$K$11,regle!$K$23,0))))))))))))</f>
        <v>0</v>
      </c>
      <c r="AD18" s="17">
        <f>IF($A18,$J18*(IF(T18=regle!$B$11,regle!$B$23*IF(AM18=-2,1+regle!$B$35,1),
IF(T18=regle!$C$11,regle!$C$23,
IF(T18=regle!$D$11,regle!$D$23,
IF(T18=regle!$E$11,regle!$E$23,
IF(T18=regle!$F$11,regle!$F$23,
IF(T18=regle!$G$11,regle!$G$23,
IF(T18=regle!$H$11,regle!$H$23,
IF(T18=regle!$I$11,regle!$I$23,
IF(T18=regle!$J$11,regle!$J$23,
IF(T18=regle!$K$11,regle!$K$23,0))))))))))))</f>
        <v>0</v>
      </c>
      <c r="AE18" s="17">
        <f>IF($A18,$J18*(IF(U18=regle!$B$11,regle!$B$23*IF(AN18=-2,1+regle!$B$35,1),
IF(U18=regle!$C$11,regle!$C$23,
IF(U18=regle!$D$11,regle!$D$23,
IF(U18=regle!$E$11,regle!$E$23,
IF(U18=regle!$F$11,regle!$F$23,
IF(U18=regle!$G$11,regle!$G$23,
IF(U18=regle!$H$11,regle!$H$23,
IF(U18=regle!$I$11,regle!$I$23,
IF(U18=regle!$J$11,regle!$J$23,
IF(U18=regle!$K$11,regle!$K$23,0))))))))))))</f>
        <v>0</v>
      </c>
      <c r="AF18" s="17">
        <f>IF($A18,$J18*(IF(V18=regle!$B$11,regle!$B$23*IF(AO18=-2,1+regle!$B$35,1),
IF(V18=regle!$C$11,regle!$C$23,
IF(V18=regle!$D$11,regle!$D$23,
IF(V18=regle!$E$11,regle!$E$23,
IF(V18=regle!$F$11,regle!$F$23,
IF(V18=regle!$G$11,regle!$G$23,
IF(V18=regle!$H$11,regle!$H$23,
IF(V18=regle!$I$11,regle!$I$23,
IF(V18=regle!$J$11,regle!$J$23,
IF(V18=regle!$K$11,regle!$K$23,0))))))))))))</f>
        <v>0</v>
      </c>
      <c r="AG18" s="17">
        <f>IF($A18,$J18*(IF(W18=regle!$B$11,regle!$B$23*IF(AP18=-2,1+regle!$B$35,1),
IF(W18=regle!$C$11,regle!$C$23,
IF(W18=regle!$D$11,regle!$D$23,
IF(W18=regle!$E$11,regle!$E$23,
IF(W18=regle!$F$11,regle!$F$23,
IF(W18=regle!$G$11,regle!$G$23,
IF(W18=regle!$H$11,regle!$H$23,
IF(W18=regle!$I$11,regle!$I$23,
IF(W18=regle!$J$11,regle!$J$23,
IF(W18=regle!$K$11,regle!$K$23,0))))))))))))</f>
        <v>0</v>
      </c>
      <c r="AH18" s="17">
        <f>IF($A18,$J18*(IF(X18=regle!$B$11,regle!$B$23*IF(AQ18=-2,1+regle!$B$35,1),
IF(X18=regle!$C$11,regle!$C$23,
IF(X18=regle!$D$11,regle!$D$23,
IF(X18=regle!$E$11,regle!$E$23,
IF(X18=regle!$F$11,regle!$F$23,
IF(X18=regle!$G$11,regle!$G$23,
IF(X18=regle!$H$11,regle!$H$23,
IF(X18=regle!$I$11,regle!$I$23,
IF(X18=regle!$J$11,regle!$J$23,
IF(X18=regle!$K$11,regle!$K$23,0))))))))))))</f>
        <v>0</v>
      </c>
      <c r="AI18" s="17">
        <f>IF($A18,$J18*(IF(Y18=regle!$B$11,regle!$B$23*IF(AR18=-2,1+regle!$B$35,1),
IF(Y18=regle!$C$11,regle!$C$23,
IF(Y18=regle!$D$11,regle!$D$23,
IF(Y18=regle!$E$11,regle!$E$23,
IF(Y18=regle!$F$11,regle!$F$23,
IF(Y18=regle!$G$11,regle!$G$23,
IF(Y18=regle!$H$11,regle!$H$23,
IF(Y18=regle!$I$11,regle!$I$23,
IF(Y18=regle!$J$11,regle!$J$23,
IF(Y18=regle!$K$11,regle!$K$23,0))))))))))))</f>
        <v>0</v>
      </c>
      <c r="AJ18" s="17">
        <f>IF($A18,$J18*(IF(Z18=regle!$B$11,regle!$B$23*IF(AS18=-2,1+regle!$B$35,1),
IF(Z18=regle!$C$11,regle!$C$23,
IF(Z18=regle!$D$11,regle!$D$23,
IF(Z18=regle!$E$11,regle!$E$23,
IF(Z18=regle!$F$11,regle!$F$23,
IF(Z18=regle!$G$11,regle!$G$23,
IF(Z18=regle!$H$11,regle!$H$23,
IF(Z18=regle!$I$11,regle!$I$23,
IF(Z18=regle!$J$11,regle!$J$23,
IF(Z18=regle!$K$11,regle!$K$23,0))))))))))))</f>
        <v>0</v>
      </c>
      <c r="AK18" s="16">
        <f>IF(OR(Q18=regle!$J$11,Q18=regle!$K$11),-2,IF(Q18=regle!$B$11,0,IF(AK$1=$AK$1,IF($O18,-1,regle!$B$2-$M18),IF(AJ18=-1,-1,AJ18+1))))</f>
        <v>-1</v>
      </c>
      <c r="AL18" s="16">
        <f>IF(OR(R18=regle!$J$11,R18=regle!$K$11),-2,IF(R18=regle!$B$11,0,IF(AL$1=$AK$1,IF($O18,-1,regle!$B$2-$M18),IF(AK18=-1,-1,AK18+1))))</f>
        <v>0</v>
      </c>
      <c r="AM18" s="16">
        <f>IF(OR(S18=regle!$J$11,S18=regle!$K$11),-2,IF(S18=regle!$B$11,0,IF(AM$1=$AK$1,IF($O18,-1,regle!$B$2-$M18),IF(AL18=-1,-1,AL18+1))))</f>
        <v>1</v>
      </c>
      <c r="AN18" s="16">
        <f>IF(OR(T18=regle!$J$11,T18=regle!$K$11),-2,IF(T18=regle!$B$11,0,IF(AN$1=$AK$1,IF($O18,-1,regle!$B$2-$M18),IF(AM18=-1,-1,AM18+1))))</f>
        <v>2</v>
      </c>
      <c r="AO18" s="16">
        <f>IF(OR(U18=regle!$J$11,U18=regle!$K$11),-2,IF(U18=regle!$B$11,0,IF(AO$1=$AK$1,IF($O18,-1,regle!$B$2-$M18),IF(AN18=-1,-1,AN18+1))))</f>
        <v>3</v>
      </c>
      <c r="AP18" s="16">
        <f>IF(OR(V18=regle!$J$11,V18=regle!$K$11),-2,IF(V18=regle!$B$11,0,IF(AP$1=$AK$1,IF($O18,-1,regle!$B$2-$M18),IF(AO18=-1,-1,AO18+1))))</f>
        <v>4</v>
      </c>
      <c r="AQ18" s="16">
        <f>IF(OR(W18=regle!$J$11,W18=regle!$K$11),-2,IF(W18=regle!$B$11,0,IF(AQ$1=$AK$1,IF($O18,-1,regle!$B$2-$M18),IF(AP18=-1,-1,AP18+1))))</f>
        <v>5</v>
      </c>
      <c r="AR18" s="16">
        <f>IF(OR(X18=regle!$J$11,X18=regle!$K$11),-2,IF(X18=regle!$B$11,0,IF(AR$1=$AK$1,IF($O18,-1,regle!$B$2-$M18),IF(AQ18=-1,-1,AQ18+1))))</f>
        <v>6</v>
      </c>
      <c r="AS18" s="16">
        <f>IF(OR(Y18=regle!$J$11,Y18=regle!$K$11),-2,IF(Y18=regle!$B$11,0,IF(AS$1=$AK$1,IF($O18,-1,regle!$B$2-$M18),IF(AR18=-1,-1,AR18+1))))</f>
        <v>7</v>
      </c>
      <c r="AT18" s="16">
        <f>IF(OR(Z18=regle!$J$11,Z18=regle!$K$11),-2,IF(Z18=regle!$B$11,0,IF(AT$1=$AK$1,IF($O18,-1,regle!$B$2-$M18),IF(AS18=-1,-1,AS18+1))))</f>
        <v>8</v>
      </c>
    </row>
    <row r="19" spans="1:46" x14ac:dyDescent="0.25">
      <c r="A19" t="b">
        <f>modif1!A19</f>
        <v>1</v>
      </c>
      <c r="B19">
        <f>ROW(modif1!B19)</f>
        <v>19</v>
      </c>
      <c r="C19" t="str">
        <f>modif1!C22</f>
        <v>202</v>
      </c>
      <c r="D19" t="str">
        <f>modif1!D19</f>
        <v>HOSTENS</v>
      </c>
      <c r="E19">
        <f>modif1!E19</f>
        <v>11</v>
      </c>
      <c r="F19" t="str">
        <f>modif1!F19</f>
        <v>L'ARGILEYRE</v>
      </c>
      <c r="G19" t="str">
        <f>modif1!G19</f>
        <v>0A</v>
      </c>
      <c r="H19">
        <f>modif1!H19</f>
        <v>1293</v>
      </c>
      <c r="I19" t="str">
        <f>modif1!I19</f>
        <v>k</v>
      </c>
      <c r="J19" s="11">
        <f>modif1!J19</f>
        <v>2.1432000000000002</v>
      </c>
      <c r="K19" t="str">
        <f>modif1!K19</f>
        <v>CR</v>
      </c>
      <c r="L19" t="str">
        <f>modif1!L19</f>
        <v>PM</v>
      </c>
      <c r="M19">
        <f>modif1!M19</f>
        <v>2022</v>
      </c>
      <c r="N19" t="str">
        <f>modif1!N19</f>
        <v>CR-PM_2022</v>
      </c>
      <c r="O19" t="b">
        <f>modif1!O19</f>
        <v>1</v>
      </c>
      <c r="P19">
        <v>25</v>
      </c>
      <c r="Q19" s="22"/>
      <c r="R19" t="s">
        <v>1868</v>
      </c>
      <c r="Z19"/>
      <c r="AA19" s="17">
        <f>IF($A19,$J19*(IF(Q19=regle!$B$11,regle!$B$23*IF(AJ19=-2,1+regle!$B$35,1),
IF(Q19=regle!$C$11,regle!$C$23,
IF(Q19=regle!$D$11,regle!$D$23,
IF(Q19=regle!$E$11,regle!$E$23,
IF(Q19=regle!$F$11,regle!$F$23,
IF(Q19=regle!$G$11,regle!$G$23,
IF(Q19=regle!$H$11,regle!$H$23,
IF(Q19=regle!$I$11,regle!$I$23,
IF(Q19=regle!$J$11,regle!$J$23,
IF(Q19=regle!$K$11,regle!$K$23,0))))))))))))</f>
        <v>0</v>
      </c>
      <c r="AB19" s="17">
        <f>IF($A19,$J19*(IF(R19=regle!$B$11,regle!$B$23*IF(AK19=-2,1+regle!$B$35,1),
IF(R19=regle!$C$11,regle!$C$23,
IF(R19=regle!$D$11,regle!$D$23,
IF(R19=regle!$E$11,regle!$E$23,
IF(R19=regle!$F$11,regle!$F$23,
IF(R19=regle!$G$11,regle!$G$23,
IF(R19=regle!$H$11,regle!$H$23,
IF(R19=regle!$I$11,regle!$I$23,
IF(R19=regle!$J$11,regle!$J$23,
IF(R19=regle!$K$11,regle!$K$23,0))))))))))))</f>
        <v>-3643.4400000000005</v>
      </c>
      <c r="AC19" s="17">
        <f>IF($A19,$J19*(IF(S19=regle!$B$11,regle!$B$23*IF(AL19=-2,1+regle!$B$35,1),
IF(S19=regle!$C$11,regle!$C$23,
IF(S19=regle!$D$11,regle!$D$23,
IF(S19=regle!$E$11,regle!$E$23,
IF(S19=regle!$F$11,regle!$F$23,
IF(S19=regle!$G$11,regle!$G$23,
IF(S19=regle!$H$11,regle!$H$23,
IF(S19=regle!$I$11,regle!$I$23,
IF(S19=regle!$J$11,regle!$J$23,
IF(S19=regle!$K$11,regle!$K$23,0))))))))))))</f>
        <v>0</v>
      </c>
      <c r="AD19" s="17">
        <f>IF($A19,$J19*(IF(T19=regle!$B$11,regle!$B$23*IF(AM19=-2,1+regle!$B$35,1),
IF(T19=regle!$C$11,regle!$C$23,
IF(T19=regle!$D$11,regle!$D$23,
IF(T19=regle!$E$11,regle!$E$23,
IF(T19=regle!$F$11,regle!$F$23,
IF(T19=regle!$G$11,regle!$G$23,
IF(T19=regle!$H$11,regle!$H$23,
IF(T19=regle!$I$11,regle!$I$23,
IF(T19=regle!$J$11,regle!$J$23,
IF(T19=regle!$K$11,regle!$K$23,0))))))))))))</f>
        <v>0</v>
      </c>
      <c r="AE19" s="17">
        <f>IF($A19,$J19*(IF(U19=regle!$B$11,regle!$B$23*IF(AN19=-2,1+regle!$B$35,1),
IF(U19=regle!$C$11,regle!$C$23,
IF(U19=regle!$D$11,regle!$D$23,
IF(U19=regle!$E$11,regle!$E$23,
IF(U19=regle!$F$11,regle!$F$23,
IF(U19=regle!$G$11,regle!$G$23,
IF(U19=regle!$H$11,regle!$H$23,
IF(U19=regle!$I$11,regle!$I$23,
IF(U19=regle!$J$11,regle!$J$23,
IF(U19=regle!$K$11,regle!$K$23,0))))))))))))</f>
        <v>0</v>
      </c>
      <c r="AF19" s="17">
        <f>IF($A19,$J19*(IF(V19=regle!$B$11,regle!$B$23*IF(AO19=-2,1+regle!$B$35,1),
IF(V19=regle!$C$11,regle!$C$23,
IF(V19=regle!$D$11,regle!$D$23,
IF(V19=regle!$E$11,regle!$E$23,
IF(V19=regle!$F$11,regle!$F$23,
IF(V19=regle!$G$11,regle!$G$23,
IF(V19=regle!$H$11,regle!$H$23,
IF(V19=regle!$I$11,regle!$I$23,
IF(V19=regle!$J$11,regle!$J$23,
IF(V19=regle!$K$11,regle!$K$23,0))))))))))))</f>
        <v>0</v>
      </c>
      <c r="AG19" s="17">
        <f>IF($A19,$J19*(IF(W19=regle!$B$11,regle!$B$23*IF(AP19=-2,1+regle!$B$35,1),
IF(W19=regle!$C$11,regle!$C$23,
IF(W19=regle!$D$11,regle!$D$23,
IF(W19=regle!$E$11,regle!$E$23,
IF(W19=regle!$F$11,regle!$F$23,
IF(W19=regle!$G$11,regle!$G$23,
IF(W19=regle!$H$11,regle!$H$23,
IF(W19=regle!$I$11,regle!$I$23,
IF(W19=regle!$J$11,regle!$J$23,
IF(W19=regle!$K$11,regle!$K$23,0))))))))))))</f>
        <v>0</v>
      </c>
      <c r="AH19" s="17">
        <f>IF($A19,$J19*(IF(X19=regle!$B$11,regle!$B$23*IF(AQ19=-2,1+regle!$B$35,1),
IF(X19=regle!$C$11,regle!$C$23,
IF(X19=regle!$D$11,regle!$D$23,
IF(X19=regle!$E$11,regle!$E$23,
IF(X19=regle!$F$11,regle!$F$23,
IF(X19=regle!$G$11,regle!$G$23,
IF(X19=regle!$H$11,regle!$H$23,
IF(X19=regle!$I$11,regle!$I$23,
IF(X19=regle!$J$11,regle!$J$23,
IF(X19=regle!$K$11,regle!$K$23,0))))))))))))</f>
        <v>0</v>
      </c>
      <c r="AI19" s="17">
        <f>IF($A19,$J19*(IF(Y19=regle!$B$11,regle!$B$23*IF(AR19=-2,1+regle!$B$35,1),
IF(Y19=regle!$C$11,regle!$C$23,
IF(Y19=regle!$D$11,regle!$D$23,
IF(Y19=regle!$E$11,regle!$E$23,
IF(Y19=regle!$F$11,regle!$F$23,
IF(Y19=regle!$G$11,regle!$G$23,
IF(Y19=regle!$H$11,regle!$H$23,
IF(Y19=regle!$I$11,regle!$I$23,
IF(Y19=regle!$J$11,regle!$J$23,
IF(Y19=regle!$K$11,regle!$K$23,0))))))))))))</f>
        <v>0</v>
      </c>
      <c r="AJ19" s="17">
        <f>IF($A19,$J19*(IF(Z19=regle!$B$11,regle!$B$23*IF(AS19=-2,1+regle!$B$35,1),
IF(Z19=regle!$C$11,regle!$C$23,
IF(Z19=regle!$D$11,regle!$D$23,
IF(Z19=regle!$E$11,regle!$E$23,
IF(Z19=regle!$F$11,regle!$F$23,
IF(Z19=regle!$G$11,regle!$G$23,
IF(Z19=regle!$H$11,regle!$H$23,
IF(Z19=regle!$I$11,regle!$I$23,
IF(Z19=regle!$J$11,regle!$J$23,
IF(Z19=regle!$K$11,regle!$K$23,0))))))))))))</f>
        <v>0</v>
      </c>
      <c r="AK19" s="16">
        <f>IF(OR(Q19=regle!$J$11,Q19=regle!$K$11),-2,IF(Q19=regle!$B$11,0,IF(AK$1=$AK$1,IF($O19,-1,regle!$B$2-$M19),IF(AJ19=-1,-1,AJ19+1))))</f>
        <v>-1</v>
      </c>
      <c r="AL19" s="16">
        <f>IF(OR(R19=regle!$J$11,R19=regle!$K$11),-2,IF(R19=regle!$B$11,0,IF(AL$1=$AK$1,IF($O19,-1,regle!$B$2-$M19),IF(AK19=-1,-1,AK19+1))))</f>
        <v>0</v>
      </c>
      <c r="AM19" s="16">
        <f>IF(OR(S19=regle!$J$11,S19=regle!$K$11),-2,IF(S19=regle!$B$11,0,IF(AM$1=$AK$1,IF($O19,-1,regle!$B$2-$M19),IF(AL19=-1,-1,AL19+1))))</f>
        <v>1</v>
      </c>
      <c r="AN19" s="16">
        <f>IF(OR(T19=regle!$J$11,T19=regle!$K$11),-2,IF(T19=regle!$B$11,0,IF(AN$1=$AK$1,IF($O19,-1,regle!$B$2-$M19),IF(AM19=-1,-1,AM19+1))))</f>
        <v>2</v>
      </c>
      <c r="AO19" s="16">
        <f>IF(OR(U19=regle!$J$11,U19=regle!$K$11),-2,IF(U19=regle!$B$11,0,IF(AO$1=$AK$1,IF($O19,-1,regle!$B$2-$M19),IF(AN19=-1,-1,AN19+1))))</f>
        <v>3</v>
      </c>
      <c r="AP19" s="16">
        <f>IF(OR(V19=regle!$J$11,V19=regle!$K$11),-2,IF(V19=regle!$B$11,0,IF(AP$1=$AK$1,IF($O19,-1,regle!$B$2-$M19),IF(AO19=-1,-1,AO19+1))))</f>
        <v>4</v>
      </c>
      <c r="AQ19" s="16">
        <f>IF(OR(W19=regle!$J$11,W19=regle!$K$11),-2,IF(W19=regle!$B$11,0,IF(AQ$1=$AK$1,IF($O19,-1,regle!$B$2-$M19),IF(AP19=-1,-1,AP19+1))))</f>
        <v>5</v>
      </c>
      <c r="AR19" s="16">
        <f>IF(OR(X19=regle!$J$11,X19=regle!$K$11),-2,IF(X19=regle!$B$11,0,IF(AR$1=$AK$1,IF($O19,-1,regle!$B$2-$M19),IF(AQ19=-1,-1,AQ19+1))))</f>
        <v>6</v>
      </c>
      <c r="AS19" s="16">
        <f>IF(OR(Y19=regle!$J$11,Y19=regle!$K$11),-2,IF(Y19=regle!$B$11,0,IF(AS$1=$AK$1,IF($O19,-1,regle!$B$2-$M19),IF(AR19=-1,-1,AR19+1))))</f>
        <v>7</v>
      </c>
      <c r="AT19" s="16">
        <f>IF(OR(Z19=regle!$J$11,Z19=regle!$K$11),-2,IF(Z19=regle!$B$11,0,IF(AT$1=$AK$1,IF($O19,-1,regle!$B$2-$M19),IF(AS19=-1,-1,AS19+1))))</f>
        <v>8</v>
      </c>
    </row>
    <row r="20" spans="1:46" x14ac:dyDescent="0.25">
      <c r="A20" t="b">
        <f>modif1!A20</f>
        <v>1</v>
      </c>
      <c r="B20">
        <f>ROW(modif1!B20)</f>
        <v>20</v>
      </c>
      <c r="C20" t="str">
        <f>modif1!C23</f>
        <v>171</v>
      </c>
      <c r="D20" t="str">
        <f>modif1!D20</f>
        <v>MANO</v>
      </c>
      <c r="E20">
        <f>modif1!E20</f>
        <v>17</v>
      </c>
      <c r="F20" t="str">
        <f>modif1!F20</f>
        <v>LANDE DE TABARTON</v>
      </c>
      <c r="G20" t="str">
        <f>modif1!G20</f>
        <v>0B</v>
      </c>
      <c r="H20">
        <f>modif1!H20</f>
        <v>271</v>
      </c>
      <c r="I20" t="str">
        <f>modif1!I20</f>
        <v/>
      </c>
      <c r="J20" s="11">
        <f>modif1!J20</f>
        <v>2</v>
      </c>
      <c r="K20" t="str">
        <f>modif1!K20</f>
        <v>CR</v>
      </c>
      <c r="L20" t="str">
        <f>modif1!L20</f>
        <v>PM</v>
      </c>
      <c r="M20">
        <f>modif1!M20</f>
        <v>2022</v>
      </c>
      <c r="N20" t="str">
        <f>modif1!N20</f>
        <v>CR-PM_2022</v>
      </c>
      <c r="O20" t="b">
        <f>modif1!O20</f>
        <v>1</v>
      </c>
      <c r="P20">
        <v>25</v>
      </c>
      <c r="Q20" s="22"/>
      <c r="R20" t="s">
        <v>1868</v>
      </c>
      <c r="Z20"/>
      <c r="AA20" s="17">
        <f>IF($A20,$J20*(IF(Q20=regle!$B$11,regle!$B$23*IF(AJ20=-2,1+regle!$B$35,1),
IF(Q20=regle!$C$11,regle!$C$23,
IF(Q20=regle!$D$11,regle!$D$23,
IF(Q20=regle!$E$11,regle!$E$23,
IF(Q20=regle!$F$11,regle!$F$23,
IF(Q20=regle!$G$11,regle!$G$23,
IF(Q20=regle!$H$11,regle!$H$23,
IF(Q20=regle!$I$11,regle!$I$23,
IF(Q20=regle!$J$11,regle!$J$23,
IF(Q20=regle!$K$11,regle!$K$23,0))))))))))))</f>
        <v>0</v>
      </c>
      <c r="AB20" s="17">
        <f>IF($A20,$J20*(IF(R20=regle!$B$11,regle!$B$23*IF(AK20=-2,1+regle!$B$35,1),
IF(R20=regle!$C$11,regle!$C$23,
IF(R20=regle!$D$11,regle!$D$23,
IF(R20=regle!$E$11,regle!$E$23,
IF(R20=regle!$F$11,regle!$F$23,
IF(R20=regle!$G$11,regle!$G$23,
IF(R20=regle!$H$11,regle!$H$23,
IF(R20=regle!$I$11,regle!$I$23,
IF(R20=regle!$J$11,regle!$J$23,
IF(R20=regle!$K$11,regle!$K$23,0))))))))))))</f>
        <v>-3400</v>
      </c>
      <c r="AC20" s="17">
        <f>IF($A20,$J20*(IF(S20=regle!$B$11,regle!$B$23*IF(AL20=-2,1+regle!$B$35,1),
IF(S20=regle!$C$11,regle!$C$23,
IF(S20=regle!$D$11,regle!$D$23,
IF(S20=regle!$E$11,regle!$E$23,
IF(S20=regle!$F$11,regle!$F$23,
IF(S20=regle!$G$11,regle!$G$23,
IF(S20=regle!$H$11,regle!$H$23,
IF(S20=regle!$I$11,regle!$I$23,
IF(S20=regle!$J$11,regle!$J$23,
IF(S20=regle!$K$11,regle!$K$23,0))))))))))))</f>
        <v>0</v>
      </c>
      <c r="AD20" s="17">
        <f>IF($A20,$J20*(IF(T20=regle!$B$11,regle!$B$23*IF(AM20=-2,1+regle!$B$35,1),
IF(T20=regle!$C$11,regle!$C$23,
IF(T20=regle!$D$11,regle!$D$23,
IF(T20=regle!$E$11,regle!$E$23,
IF(T20=regle!$F$11,regle!$F$23,
IF(T20=regle!$G$11,regle!$G$23,
IF(T20=regle!$H$11,regle!$H$23,
IF(T20=regle!$I$11,regle!$I$23,
IF(T20=regle!$J$11,regle!$J$23,
IF(T20=regle!$K$11,regle!$K$23,0))))))))))))</f>
        <v>0</v>
      </c>
      <c r="AE20" s="17">
        <f>IF($A20,$J20*(IF(U20=regle!$B$11,regle!$B$23*IF(AN20=-2,1+regle!$B$35,1),
IF(U20=regle!$C$11,regle!$C$23,
IF(U20=regle!$D$11,regle!$D$23,
IF(U20=regle!$E$11,regle!$E$23,
IF(U20=regle!$F$11,regle!$F$23,
IF(U20=regle!$G$11,regle!$G$23,
IF(U20=regle!$H$11,regle!$H$23,
IF(U20=regle!$I$11,regle!$I$23,
IF(U20=regle!$J$11,regle!$J$23,
IF(U20=regle!$K$11,regle!$K$23,0))))))))))))</f>
        <v>0</v>
      </c>
      <c r="AF20" s="17">
        <f>IF($A20,$J20*(IF(V20=regle!$B$11,regle!$B$23*IF(AO20=-2,1+regle!$B$35,1),
IF(V20=regle!$C$11,regle!$C$23,
IF(V20=regle!$D$11,regle!$D$23,
IF(V20=regle!$E$11,regle!$E$23,
IF(V20=regle!$F$11,regle!$F$23,
IF(V20=regle!$G$11,regle!$G$23,
IF(V20=regle!$H$11,regle!$H$23,
IF(V20=regle!$I$11,regle!$I$23,
IF(V20=regle!$J$11,regle!$J$23,
IF(V20=regle!$K$11,regle!$K$23,0))))))))))))</f>
        <v>0</v>
      </c>
      <c r="AG20" s="17">
        <f>IF($A20,$J20*(IF(W20=regle!$B$11,regle!$B$23*IF(AP20=-2,1+regle!$B$35,1),
IF(W20=regle!$C$11,regle!$C$23,
IF(W20=regle!$D$11,regle!$D$23,
IF(W20=regle!$E$11,regle!$E$23,
IF(W20=regle!$F$11,regle!$F$23,
IF(W20=regle!$G$11,regle!$G$23,
IF(W20=regle!$H$11,regle!$H$23,
IF(W20=regle!$I$11,regle!$I$23,
IF(W20=regle!$J$11,regle!$J$23,
IF(W20=regle!$K$11,regle!$K$23,0))))))))))))</f>
        <v>0</v>
      </c>
      <c r="AH20" s="17">
        <f>IF($A20,$J20*(IF(X20=regle!$B$11,regle!$B$23*IF(AQ20=-2,1+regle!$B$35,1),
IF(X20=regle!$C$11,regle!$C$23,
IF(X20=regle!$D$11,regle!$D$23,
IF(X20=regle!$E$11,regle!$E$23,
IF(X20=regle!$F$11,regle!$F$23,
IF(X20=regle!$G$11,regle!$G$23,
IF(X20=regle!$H$11,regle!$H$23,
IF(X20=regle!$I$11,regle!$I$23,
IF(X20=regle!$J$11,regle!$J$23,
IF(X20=regle!$K$11,regle!$K$23,0))))))))))))</f>
        <v>0</v>
      </c>
      <c r="AI20" s="17">
        <f>IF($A20,$J20*(IF(Y20=regle!$B$11,regle!$B$23*IF(AR20=-2,1+regle!$B$35,1),
IF(Y20=regle!$C$11,regle!$C$23,
IF(Y20=regle!$D$11,regle!$D$23,
IF(Y20=regle!$E$11,regle!$E$23,
IF(Y20=regle!$F$11,regle!$F$23,
IF(Y20=regle!$G$11,regle!$G$23,
IF(Y20=regle!$H$11,regle!$H$23,
IF(Y20=regle!$I$11,regle!$I$23,
IF(Y20=regle!$J$11,regle!$J$23,
IF(Y20=regle!$K$11,regle!$K$23,0))))))))))))</f>
        <v>0</v>
      </c>
      <c r="AJ20" s="17">
        <f>IF($A20,$J20*(IF(Z20=regle!$B$11,regle!$B$23*IF(AS20=-2,1+regle!$B$35,1),
IF(Z20=regle!$C$11,regle!$C$23,
IF(Z20=regle!$D$11,regle!$D$23,
IF(Z20=regle!$E$11,regle!$E$23,
IF(Z20=regle!$F$11,regle!$F$23,
IF(Z20=regle!$G$11,regle!$G$23,
IF(Z20=regle!$H$11,regle!$H$23,
IF(Z20=regle!$I$11,regle!$I$23,
IF(Z20=regle!$J$11,regle!$J$23,
IF(Z20=regle!$K$11,regle!$K$23,0))))))))))))</f>
        <v>0</v>
      </c>
      <c r="AK20" s="16">
        <f>IF(OR(Q20=regle!$J$11,Q20=regle!$K$11),-2,IF(Q20=regle!$B$11,0,IF(AK$1=$AK$1,IF($O20,-1,regle!$B$2-$M20),IF(AJ20=-1,-1,AJ20+1))))</f>
        <v>-1</v>
      </c>
      <c r="AL20" s="16">
        <f>IF(OR(R20=regle!$J$11,R20=regle!$K$11),-2,IF(R20=regle!$B$11,0,IF(AL$1=$AK$1,IF($O20,-1,regle!$B$2-$M20),IF(AK20=-1,-1,AK20+1))))</f>
        <v>0</v>
      </c>
      <c r="AM20" s="16">
        <f>IF(OR(S20=regle!$J$11,S20=regle!$K$11),-2,IF(S20=regle!$B$11,0,IF(AM$1=$AK$1,IF($O20,-1,regle!$B$2-$M20),IF(AL20=-1,-1,AL20+1))))</f>
        <v>1</v>
      </c>
      <c r="AN20" s="16">
        <f>IF(OR(T20=regle!$J$11,T20=regle!$K$11),-2,IF(T20=regle!$B$11,0,IF(AN$1=$AK$1,IF($O20,-1,regle!$B$2-$M20),IF(AM20=-1,-1,AM20+1))))</f>
        <v>2</v>
      </c>
      <c r="AO20" s="16">
        <f>IF(OR(U20=regle!$J$11,U20=regle!$K$11),-2,IF(U20=regle!$B$11,0,IF(AO$1=$AK$1,IF($O20,-1,regle!$B$2-$M20),IF(AN20=-1,-1,AN20+1))))</f>
        <v>3</v>
      </c>
      <c r="AP20" s="16">
        <f>IF(OR(V20=regle!$J$11,V20=regle!$K$11),-2,IF(V20=regle!$B$11,0,IF(AP$1=$AK$1,IF($O20,-1,regle!$B$2-$M20),IF(AO20=-1,-1,AO20+1))))</f>
        <v>4</v>
      </c>
      <c r="AQ20" s="16">
        <f>IF(OR(W20=regle!$J$11,W20=regle!$K$11),-2,IF(W20=regle!$B$11,0,IF(AQ$1=$AK$1,IF($O20,-1,regle!$B$2-$M20),IF(AP20=-1,-1,AP20+1))))</f>
        <v>5</v>
      </c>
      <c r="AR20" s="16">
        <f>IF(OR(X20=regle!$J$11,X20=regle!$K$11),-2,IF(X20=regle!$B$11,0,IF(AR$1=$AK$1,IF($O20,-1,regle!$B$2-$M20),IF(AQ20=-1,-1,AQ20+1))))</f>
        <v>6</v>
      </c>
      <c r="AS20" s="16">
        <f>IF(OR(Y20=regle!$J$11,Y20=regle!$K$11),-2,IF(Y20=regle!$B$11,0,IF(AS$1=$AK$1,IF($O20,-1,regle!$B$2-$M20),IF(AR20=-1,-1,AR20+1))))</f>
        <v>7</v>
      </c>
      <c r="AT20" s="16">
        <f>IF(OR(Z20=regle!$J$11,Z20=regle!$K$11),-2,IF(Z20=regle!$B$11,0,IF(AT$1=$AK$1,IF($O20,-1,regle!$B$2-$M20),IF(AS20=-1,-1,AS20+1))))</f>
        <v>8</v>
      </c>
    </row>
    <row r="21" spans="1:46" x14ac:dyDescent="0.25">
      <c r="A21" t="b">
        <f>modif1!A21</f>
        <v>1</v>
      </c>
      <c r="B21">
        <f>ROW(modif1!B21)</f>
        <v>21</v>
      </c>
      <c r="C21" t="str">
        <f>modif1!C24</f>
        <v>171</v>
      </c>
      <c r="D21" t="str">
        <f>modif1!D21</f>
        <v>MANO</v>
      </c>
      <c r="E21">
        <f>modif1!E21</f>
        <v>17</v>
      </c>
      <c r="F21" t="str">
        <f>modif1!F21</f>
        <v>LANDE DE TABARTON</v>
      </c>
      <c r="G21" t="str">
        <f>modif1!G21</f>
        <v>0B</v>
      </c>
      <c r="H21">
        <f>modif1!H21</f>
        <v>298</v>
      </c>
      <c r="I21" t="str">
        <f>modif1!I21</f>
        <v/>
      </c>
      <c r="J21" s="11">
        <f>modif1!J21</f>
        <v>1.9734</v>
      </c>
      <c r="K21" t="str">
        <f>modif1!K21</f>
        <v>CR</v>
      </c>
      <c r="L21" t="str">
        <f>modif1!L21</f>
        <v>PM</v>
      </c>
      <c r="M21">
        <f>modif1!M21</f>
        <v>2022</v>
      </c>
      <c r="N21" t="str">
        <f>modif1!N21</f>
        <v>CR-PM_2022</v>
      </c>
      <c r="O21" t="b">
        <f>modif1!O21</f>
        <v>1</v>
      </c>
      <c r="P21">
        <v>25</v>
      </c>
      <c r="Q21" s="22"/>
      <c r="R21" t="s">
        <v>1868</v>
      </c>
      <c r="Z21"/>
      <c r="AA21" s="17">
        <f>IF($A21,$J21*(IF(Q21=regle!$B$11,regle!$B$23*IF(AJ21=-2,1+regle!$B$35,1),
IF(Q21=regle!$C$11,regle!$C$23,
IF(Q21=regle!$D$11,regle!$D$23,
IF(Q21=regle!$E$11,regle!$E$23,
IF(Q21=regle!$F$11,regle!$F$23,
IF(Q21=regle!$G$11,regle!$G$23,
IF(Q21=regle!$H$11,regle!$H$23,
IF(Q21=regle!$I$11,regle!$I$23,
IF(Q21=regle!$J$11,regle!$J$23,
IF(Q21=regle!$K$11,regle!$K$23,0))))))))))))</f>
        <v>0</v>
      </c>
      <c r="AB21" s="17">
        <f>IF($A21,$J21*(IF(R21=regle!$B$11,regle!$B$23*IF(AK21=-2,1+regle!$B$35,1),
IF(R21=regle!$C$11,regle!$C$23,
IF(R21=regle!$D$11,regle!$D$23,
IF(R21=regle!$E$11,regle!$E$23,
IF(R21=regle!$F$11,regle!$F$23,
IF(R21=regle!$G$11,regle!$G$23,
IF(R21=regle!$H$11,regle!$H$23,
IF(R21=regle!$I$11,regle!$I$23,
IF(R21=regle!$J$11,regle!$J$23,
IF(R21=regle!$K$11,regle!$K$23,0))))))))))))</f>
        <v>-3354.78</v>
      </c>
      <c r="AC21" s="17">
        <f>IF($A21,$J21*(IF(S21=regle!$B$11,regle!$B$23*IF(AL21=-2,1+regle!$B$35,1),
IF(S21=regle!$C$11,regle!$C$23,
IF(S21=regle!$D$11,regle!$D$23,
IF(S21=regle!$E$11,regle!$E$23,
IF(S21=regle!$F$11,regle!$F$23,
IF(S21=regle!$G$11,regle!$G$23,
IF(S21=regle!$H$11,regle!$H$23,
IF(S21=regle!$I$11,regle!$I$23,
IF(S21=regle!$J$11,regle!$J$23,
IF(S21=regle!$K$11,regle!$K$23,0))))))))))))</f>
        <v>0</v>
      </c>
      <c r="AD21" s="17">
        <f>IF($A21,$J21*(IF(T21=regle!$B$11,regle!$B$23*IF(AM21=-2,1+regle!$B$35,1),
IF(T21=regle!$C$11,regle!$C$23,
IF(T21=regle!$D$11,regle!$D$23,
IF(T21=regle!$E$11,regle!$E$23,
IF(T21=regle!$F$11,regle!$F$23,
IF(T21=regle!$G$11,regle!$G$23,
IF(T21=regle!$H$11,regle!$H$23,
IF(T21=regle!$I$11,regle!$I$23,
IF(T21=regle!$J$11,regle!$J$23,
IF(T21=regle!$K$11,regle!$K$23,0))))))))))))</f>
        <v>0</v>
      </c>
      <c r="AE21" s="17">
        <f>IF($A21,$J21*(IF(U21=regle!$B$11,regle!$B$23*IF(AN21=-2,1+regle!$B$35,1),
IF(U21=regle!$C$11,regle!$C$23,
IF(U21=regle!$D$11,regle!$D$23,
IF(U21=regle!$E$11,regle!$E$23,
IF(U21=regle!$F$11,regle!$F$23,
IF(U21=regle!$G$11,regle!$G$23,
IF(U21=regle!$H$11,regle!$H$23,
IF(U21=regle!$I$11,regle!$I$23,
IF(U21=regle!$J$11,regle!$J$23,
IF(U21=regle!$K$11,regle!$K$23,0))))))))))))</f>
        <v>0</v>
      </c>
      <c r="AF21" s="17">
        <f>IF($A21,$J21*(IF(V21=regle!$B$11,regle!$B$23*IF(AO21=-2,1+regle!$B$35,1),
IF(V21=regle!$C$11,regle!$C$23,
IF(V21=regle!$D$11,regle!$D$23,
IF(V21=regle!$E$11,regle!$E$23,
IF(V21=regle!$F$11,regle!$F$23,
IF(V21=regle!$G$11,regle!$G$23,
IF(V21=regle!$H$11,regle!$H$23,
IF(V21=regle!$I$11,regle!$I$23,
IF(V21=regle!$J$11,regle!$J$23,
IF(V21=regle!$K$11,regle!$K$23,0))))))))))))</f>
        <v>0</v>
      </c>
      <c r="AG21" s="17">
        <f>IF($A21,$J21*(IF(W21=regle!$B$11,regle!$B$23*IF(AP21=-2,1+regle!$B$35,1),
IF(W21=regle!$C$11,regle!$C$23,
IF(W21=regle!$D$11,regle!$D$23,
IF(W21=regle!$E$11,regle!$E$23,
IF(W21=regle!$F$11,regle!$F$23,
IF(W21=regle!$G$11,regle!$G$23,
IF(W21=regle!$H$11,regle!$H$23,
IF(W21=regle!$I$11,regle!$I$23,
IF(W21=regle!$J$11,regle!$J$23,
IF(W21=regle!$K$11,regle!$K$23,0))))))))))))</f>
        <v>0</v>
      </c>
      <c r="AH21" s="17">
        <f>IF($A21,$J21*(IF(X21=regle!$B$11,regle!$B$23*IF(AQ21=-2,1+regle!$B$35,1),
IF(X21=regle!$C$11,regle!$C$23,
IF(X21=regle!$D$11,regle!$D$23,
IF(X21=regle!$E$11,regle!$E$23,
IF(X21=regle!$F$11,regle!$F$23,
IF(X21=regle!$G$11,regle!$G$23,
IF(X21=regle!$H$11,regle!$H$23,
IF(X21=regle!$I$11,regle!$I$23,
IF(X21=regle!$J$11,regle!$J$23,
IF(X21=regle!$K$11,regle!$K$23,0))))))))))))</f>
        <v>0</v>
      </c>
      <c r="AI21" s="17">
        <f>IF($A21,$J21*(IF(Y21=regle!$B$11,regle!$B$23*IF(AR21=-2,1+regle!$B$35,1),
IF(Y21=regle!$C$11,regle!$C$23,
IF(Y21=regle!$D$11,regle!$D$23,
IF(Y21=regle!$E$11,regle!$E$23,
IF(Y21=regle!$F$11,regle!$F$23,
IF(Y21=regle!$G$11,regle!$G$23,
IF(Y21=regle!$H$11,regle!$H$23,
IF(Y21=regle!$I$11,regle!$I$23,
IF(Y21=regle!$J$11,regle!$J$23,
IF(Y21=regle!$K$11,regle!$K$23,0))))))))))))</f>
        <v>0</v>
      </c>
      <c r="AJ21" s="17">
        <f>IF($A21,$J21*(IF(Z21=regle!$B$11,regle!$B$23*IF(AS21=-2,1+regle!$B$35,1),
IF(Z21=regle!$C$11,regle!$C$23,
IF(Z21=regle!$D$11,regle!$D$23,
IF(Z21=regle!$E$11,regle!$E$23,
IF(Z21=regle!$F$11,regle!$F$23,
IF(Z21=regle!$G$11,regle!$G$23,
IF(Z21=regle!$H$11,regle!$H$23,
IF(Z21=regle!$I$11,regle!$I$23,
IF(Z21=regle!$J$11,regle!$J$23,
IF(Z21=regle!$K$11,regle!$K$23,0))))))))))))</f>
        <v>0</v>
      </c>
      <c r="AK21" s="16">
        <f>IF(OR(Q21=regle!$J$11,Q21=regle!$K$11),-2,IF(Q21=regle!$B$11,0,IF(AK$1=$AK$1,IF($O21,-1,regle!$B$2-$M21),IF(AJ21=-1,-1,AJ21+1))))</f>
        <v>-1</v>
      </c>
      <c r="AL21" s="16">
        <f>IF(OR(R21=regle!$J$11,R21=regle!$K$11),-2,IF(R21=regle!$B$11,0,IF(AL$1=$AK$1,IF($O21,-1,regle!$B$2-$M21),IF(AK21=-1,-1,AK21+1))))</f>
        <v>0</v>
      </c>
      <c r="AM21" s="16">
        <f>IF(OR(S21=regle!$J$11,S21=regle!$K$11),-2,IF(S21=regle!$B$11,0,IF(AM$1=$AK$1,IF($O21,-1,regle!$B$2-$M21),IF(AL21=-1,-1,AL21+1))))</f>
        <v>1</v>
      </c>
      <c r="AN21" s="16">
        <f>IF(OR(T21=regle!$J$11,T21=regle!$K$11),-2,IF(T21=regle!$B$11,0,IF(AN$1=$AK$1,IF($O21,-1,regle!$B$2-$M21),IF(AM21=-1,-1,AM21+1))))</f>
        <v>2</v>
      </c>
      <c r="AO21" s="16">
        <f>IF(OR(U21=regle!$J$11,U21=regle!$K$11),-2,IF(U21=regle!$B$11,0,IF(AO$1=$AK$1,IF($O21,-1,regle!$B$2-$M21),IF(AN21=-1,-1,AN21+1))))</f>
        <v>3</v>
      </c>
      <c r="AP21" s="16">
        <f>IF(OR(V21=regle!$J$11,V21=regle!$K$11),-2,IF(V21=regle!$B$11,0,IF(AP$1=$AK$1,IF($O21,-1,regle!$B$2-$M21),IF(AO21=-1,-1,AO21+1))))</f>
        <v>4</v>
      </c>
      <c r="AQ21" s="16">
        <f>IF(OR(W21=regle!$J$11,W21=regle!$K$11),-2,IF(W21=regle!$B$11,0,IF(AQ$1=$AK$1,IF($O21,-1,regle!$B$2-$M21),IF(AP21=-1,-1,AP21+1))))</f>
        <v>5</v>
      </c>
      <c r="AR21" s="16">
        <f>IF(OR(X21=regle!$J$11,X21=regle!$K$11),-2,IF(X21=regle!$B$11,0,IF(AR$1=$AK$1,IF($O21,-1,regle!$B$2-$M21),IF(AQ21=-1,-1,AQ21+1))))</f>
        <v>6</v>
      </c>
      <c r="AS21" s="16">
        <f>IF(OR(Y21=regle!$J$11,Y21=regle!$K$11),-2,IF(Y21=regle!$B$11,0,IF(AS$1=$AK$1,IF($O21,-1,regle!$B$2-$M21),IF(AR21=-1,-1,AR21+1))))</f>
        <v>7</v>
      </c>
      <c r="AT21" s="16">
        <f>IF(OR(Z21=regle!$J$11,Z21=regle!$K$11),-2,IF(Z21=regle!$B$11,0,IF(AT$1=$AK$1,IF($O21,-1,regle!$B$2-$M21),IF(AS21=-1,-1,AS21+1))))</f>
        <v>8</v>
      </c>
    </row>
    <row r="22" spans="1:46" x14ac:dyDescent="0.25">
      <c r="A22" t="b">
        <f>modif1!A22</f>
        <v>1</v>
      </c>
      <c r="B22">
        <f>ROW(modif1!B22)</f>
        <v>22</v>
      </c>
      <c r="C22" t="str">
        <f>modif1!C25</f>
        <v>171</v>
      </c>
      <c r="D22" t="str">
        <f>modif1!D22</f>
        <v>HOSTENS</v>
      </c>
      <c r="E22">
        <f>modif1!E22</f>
        <v>13</v>
      </c>
      <c r="F22" t="str">
        <f>modif1!F22</f>
        <v>PIQUETAILLADE</v>
      </c>
      <c r="G22" t="str">
        <f>modif1!G22</f>
        <v>0A</v>
      </c>
      <c r="H22">
        <f>modif1!H22</f>
        <v>1144</v>
      </c>
      <c r="I22" t="str">
        <f>modif1!I22</f>
        <v/>
      </c>
      <c r="J22" s="11">
        <f>modif1!J22</f>
        <v>1.885</v>
      </c>
      <c r="K22" t="str">
        <f>modif1!K22</f>
        <v>CR</v>
      </c>
      <c r="L22" t="str">
        <f>modif1!L22</f>
        <v>PM</v>
      </c>
      <c r="M22">
        <f>modif1!M22</f>
        <v>2022</v>
      </c>
      <c r="N22" t="str">
        <f>modif1!N22</f>
        <v>CR-PM_2022</v>
      </c>
      <c r="O22" t="b">
        <f>modif1!O22</f>
        <v>1</v>
      </c>
      <c r="P22">
        <v>25</v>
      </c>
      <c r="Q22" s="22"/>
      <c r="R22" t="s">
        <v>1868</v>
      </c>
      <c r="Z22"/>
      <c r="AA22" s="17">
        <f>IF($A22,$J22*(IF(Q22=regle!$B$11,regle!$B$23*IF(AJ22=-2,1+regle!$B$35,1),
IF(Q22=regle!$C$11,regle!$C$23,
IF(Q22=regle!$D$11,regle!$D$23,
IF(Q22=regle!$E$11,regle!$E$23,
IF(Q22=regle!$F$11,regle!$F$23,
IF(Q22=regle!$G$11,regle!$G$23,
IF(Q22=regle!$H$11,regle!$H$23,
IF(Q22=regle!$I$11,regle!$I$23,
IF(Q22=regle!$J$11,regle!$J$23,
IF(Q22=regle!$K$11,regle!$K$23,0))))))))))))</f>
        <v>0</v>
      </c>
      <c r="AB22" s="17">
        <f>IF($A22,$J22*(IF(R22=regle!$B$11,regle!$B$23*IF(AK22=-2,1+regle!$B$35,1),
IF(R22=regle!$C$11,regle!$C$23,
IF(R22=regle!$D$11,regle!$D$23,
IF(R22=regle!$E$11,regle!$E$23,
IF(R22=regle!$F$11,regle!$F$23,
IF(R22=regle!$G$11,regle!$G$23,
IF(R22=regle!$H$11,regle!$H$23,
IF(R22=regle!$I$11,regle!$I$23,
IF(R22=regle!$J$11,regle!$J$23,
IF(R22=regle!$K$11,regle!$K$23,0))))))))))))</f>
        <v>-3204.5</v>
      </c>
      <c r="AC22" s="17">
        <f>IF($A22,$J22*(IF(S22=regle!$B$11,regle!$B$23*IF(AL22=-2,1+regle!$B$35,1),
IF(S22=regle!$C$11,regle!$C$23,
IF(S22=regle!$D$11,regle!$D$23,
IF(S22=regle!$E$11,regle!$E$23,
IF(S22=regle!$F$11,regle!$F$23,
IF(S22=regle!$G$11,regle!$G$23,
IF(S22=regle!$H$11,regle!$H$23,
IF(S22=regle!$I$11,regle!$I$23,
IF(S22=regle!$J$11,regle!$J$23,
IF(S22=regle!$K$11,regle!$K$23,0))))))))))))</f>
        <v>0</v>
      </c>
      <c r="AD22" s="17">
        <f>IF($A22,$J22*(IF(T22=regle!$B$11,regle!$B$23*IF(AM22=-2,1+regle!$B$35,1),
IF(T22=regle!$C$11,regle!$C$23,
IF(T22=regle!$D$11,regle!$D$23,
IF(T22=regle!$E$11,regle!$E$23,
IF(T22=regle!$F$11,regle!$F$23,
IF(T22=regle!$G$11,regle!$G$23,
IF(T22=regle!$H$11,regle!$H$23,
IF(T22=regle!$I$11,regle!$I$23,
IF(T22=regle!$J$11,regle!$J$23,
IF(T22=regle!$K$11,regle!$K$23,0))))))))))))</f>
        <v>0</v>
      </c>
      <c r="AE22" s="17">
        <f>IF($A22,$J22*(IF(U22=regle!$B$11,regle!$B$23*IF(AN22=-2,1+regle!$B$35,1),
IF(U22=regle!$C$11,regle!$C$23,
IF(U22=regle!$D$11,regle!$D$23,
IF(U22=regle!$E$11,regle!$E$23,
IF(U22=regle!$F$11,regle!$F$23,
IF(U22=regle!$G$11,regle!$G$23,
IF(U22=regle!$H$11,regle!$H$23,
IF(U22=regle!$I$11,regle!$I$23,
IF(U22=regle!$J$11,regle!$J$23,
IF(U22=regle!$K$11,regle!$K$23,0))))))))))))</f>
        <v>0</v>
      </c>
      <c r="AF22" s="17">
        <f>IF($A22,$J22*(IF(V22=regle!$B$11,regle!$B$23*IF(AO22=-2,1+regle!$B$35,1),
IF(V22=regle!$C$11,regle!$C$23,
IF(V22=regle!$D$11,regle!$D$23,
IF(V22=regle!$E$11,regle!$E$23,
IF(V22=regle!$F$11,regle!$F$23,
IF(V22=regle!$G$11,regle!$G$23,
IF(V22=regle!$H$11,regle!$H$23,
IF(V22=regle!$I$11,regle!$I$23,
IF(V22=regle!$J$11,regle!$J$23,
IF(V22=regle!$K$11,regle!$K$23,0))))))))))))</f>
        <v>0</v>
      </c>
      <c r="AG22" s="17">
        <f>IF($A22,$J22*(IF(W22=regle!$B$11,regle!$B$23*IF(AP22=-2,1+regle!$B$35,1),
IF(W22=regle!$C$11,regle!$C$23,
IF(W22=regle!$D$11,regle!$D$23,
IF(W22=regle!$E$11,regle!$E$23,
IF(W22=regle!$F$11,regle!$F$23,
IF(W22=regle!$G$11,regle!$G$23,
IF(W22=regle!$H$11,regle!$H$23,
IF(W22=regle!$I$11,regle!$I$23,
IF(W22=regle!$J$11,regle!$J$23,
IF(W22=regle!$K$11,regle!$K$23,0))))))))))))</f>
        <v>0</v>
      </c>
      <c r="AH22" s="17">
        <f>IF($A22,$J22*(IF(X22=regle!$B$11,regle!$B$23*IF(AQ22=-2,1+regle!$B$35,1),
IF(X22=regle!$C$11,regle!$C$23,
IF(X22=regle!$D$11,regle!$D$23,
IF(X22=regle!$E$11,regle!$E$23,
IF(X22=regle!$F$11,regle!$F$23,
IF(X22=regle!$G$11,regle!$G$23,
IF(X22=regle!$H$11,regle!$H$23,
IF(X22=regle!$I$11,regle!$I$23,
IF(X22=regle!$J$11,regle!$J$23,
IF(X22=regle!$K$11,regle!$K$23,0))))))))))))</f>
        <v>0</v>
      </c>
      <c r="AI22" s="17">
        <f>IF($A22,$J22*(IF(Y22=regle!$B$11,regle!$B$23*IF(AR22=-2,1+regle!$B$35,1),
IF(Y22=regle!$C$11,regle!$C$23,
IF(Y22=regle!$D$11,regle!$D$23,
IF(Y22=regle!$E$11,regle!$E$23,
IF(Y22=regle!$F$11,regle!$F$23,
IF(Y22=regle!$G$11,regle!$G$23,
IF(Y22=regle!$H$11,regle!$H$23,
IF(Y22=regle!$I$11,regle!$I$23,
IF(Y22=regle!$J$11,regle!$J$23,
IF(Y22=regle!$K$11,regle!$K$23,0))))))))))))</f>
        <v>0</v>
      </c>
      <c r="AJ22" s="17">
        <f>IF($A22,$J22*(IF(Z22=regle!$B$11,regle!$B$23*IF(AS22=-2,1+regle!$B$35,1),
IF(Z22=regle!$C$11,regle!$C$23,
IF(Z22=regle!$D$11,regle!$D$23,
IF(Z22=regle!$E$11,regle!$E$23,
IF(Z22=regle!$F$11,regle!$F$23,
IF(Z22=regle!$G$11,regle!$G$23,
IF(Z22=regle!$H$11,regle!$H$23,
IF(Z22=regle!$I$11,regle!$I$23,
IF(Z22=regle!$J$11,regle!$J$23,
IF(Z22=regle!$K$11,regle!$K$23,0))))))))))))</f>
        <v>0</v>
      </c>
      <c r="AK22" s="16">
        <f>IF(OR(Q22=regle!$J$11,Q22=regle!$K$11),-2,IF(Q22=regle!$B$11,0,IF(AK$1=$AK$1,IF($O22,-1,regle!$B$2-$M22),IF(AJ22=-1,-1,AJ22+1))))</f>
        <v>-1</v>
      </c>
      <c r="AL22" s="16">
        <f>IF(OR(R22=regle!$J$11,R22=regle!$K$11),-2,IF(R22=regle!$B$11,0,IF(AL$1=$AK$1,IF($O22,-1,regle!$B$2-$M22),IF(AK22=-1,-1,AK22+1))))</f>
        <v>0</v>
      </c>
      <c r="AM22" s="16">
        <f>IF(OR(S22=regle!$J$11,S22=regle!$K$11),-2,IF(S22=regle!$B$11,0,IF(AM$1=$AK$1,IF($O22,-1,regle!$B$2-$M22),IF(AL22=-1,-1,AL22+1))))</f>
        <v>1</v>
      </c>
      <c r="AN22" s="16">
        <f>IF(OR(T22=regle!$J$11,T22=regle!$K$11),-2,IF(T22=regle!$B$11,0,IF(AN$1=$AK$1,IF($O22,-1,regle!$B$2-$M22),IF(AM22=-1,-1,AM22+1))))</f>
        <v>2</v>
      </c>
      <c r="AO22" s="16">
        <f>IF(OR(U22=regle!$J$11,U22=regle!$K$11),-2,IF(U22=regle!$B$11,0,IF(AO$1=$AK$1,IF($O22,-1,regle!$B$2-$M22),IF(AN22=-1,-1,AN22+1))))</f>
        <v>3</v>
      </c>
      <c r="AP22" s="16">
        <f>IF(OR(V22=regle!$J$11,V22=regle!$K$11),-2,IF(V22=regle!$B$11,0,IF(AP$1=$AK$1,IF($O22,-1,regle!$B$2-$M22),IF(AO22=-1,-1,AO22+1))))</f>
        <v>4</v>
      </c>
      <c r="AQ22" s="16">
        <f>IF(OR(W22=regle!$J$11,W22=regle!$K$11),-2,IF(W22=regle!$B$11,0,IF(AQ$1=$AK$1,IF($O22,-1,regle!$B$2-$M22),IF(AP22=-1,-1,AP22+1))))</f>
        <v>5</v>
      </c>
      <c r="AR22" s="16">
        <f>IF(OR(X22=regle!$J$11,X22=regle!$K$11),-2,IF(X22=regle!$B$11,0,IF(AR$1=$AK$1,IF($O22,-1,regle!$B$2-$M22),IF(AQ22=-1,-1,AQ22+1))))</f>
        <v>6</v>
      </c>
      <c r="AS22" s="16">
        <f>IF(OR(Y22=regle!$J$11,Y22=regle!$K$11),-2,IF(Y22=regle!$B$11,0,IF(AS$1=$AK$1,IF($O22,-1,regle!$B$2-$M22),IF(AR22=-1,-1,AR22+1))))</f>
        <v>7</v>
      </c>
      <c r="AT22" s="16">
        <f>IF(OR(Z22=regle!$J$11,Z22=regle!$K$11),-2,IF(Z22=regle!$B$11,0,IF(AT$1=$AK$1,IF($O22,-1,regle!$B$2-$M22),IF(AS22=-1,-1,AS22+1))))</f>
        <v>8</v>
      </c>
    </row>
    <row r="23" spans="1:46" x14ac:dyDescent="0.25">
      <c r="A23" t="b">
        <f>modif1!A23</f>
        <v>1</v>
      </c>
      <c r="B23">
        <f>ROW(modif1!B23)</f>
        <v>23</v>
      </c>
      <c r="C23" t="str">
        <f>modif1!C26</f>
        <v>171</v>
      </c>
      <c r="D23" t="str">
        <f>modif1!D23</f>
        <v>MANO</v>
      </c>
      <c r="E23">
        <f>modif1!E23</f>
        <v>5</v>
      </c>
      <c r="F23" t="str">
        <f>modif1!F23</f>
        <v>BOSCQ</v>
      </c>
      <c r="G23" t="str">
        <f>modif1!G23</f>
        <v>0D</v>
      </c>
      <c r="H23">
        <f>modif1!H23</f>
        <v>264</v>
      </c>
      <c r="I23" t="str">
        <f>modif1!I23</f>
        <v/>
      </c>
      <c r="J23" s="11">
        <f>modif1!J23</f>
        <v>1.8580000000000001</v>
      </c>
      <c r="K23" t="str">
        <f>modif1!K23</f>
        <v>CR</v>
      </c>
      <c r="L23" t="str">
        <f>modif1!L23</f>
        <v>PM</v>
      </c>
      <c r="M23">
        <f>modif1!M23</f>
        <v>2022</v>
      </c>
      <c r="N23" t="str">
        <f>modif1!N23</f>
        <v>CR-PM_2022</v>
      </c>
      <c r="O23" t="b">
        <f>modif1!O23</f>
        <v>1</v>
      </c>
      <c r="P23">
        <v>25</v>
      </c>
      <c r="Q23" s="22"/>
      <c r="R23" t="s">
        <v>1868</v>
      </c>
      <c r="Z23"/>
      <c r="AA23" s="17">
        <f>IF($A23,$J23*(IF(Q23=regle!$B$11,regle!$B$23*IF(AJ23=-2,1+regle!$B$35,1),
IF(Q23=regle!$C$11,regle!$C$23,
IF(Q23=regle!$D$11,regle!$D$23,
IF(Q23=regle!$E$11,regle!$E$23,
IF(Q23=regle!$F$11,regle!$F$23,
IF(Q23=regle!$G$11,regle!$G$23,
IF(Q23=regle!$H$11,regle!$H$23,
IF(Q23=regle!$I$11,regle!$I$23,
IF(Q23=regle!$J$11,regle!$J$23,
IF(Q23=regle!$K$11,regle!$K$23,0))))))))))))</f>
        <v>0</v>
      </c>
      <c r="AB23" s="17">
        <f>IF($A23,$J23*(IF(R23=regle!$B$11,regle!$B$23*IF(AK23=-2,1+regle!$B$35,1),
IF(R23=regle!$C$11,regle!$C$23,
IF(R23=regle!$D$11,regle!$D$23,
IF(R23=regle!$E$11,regle!$E$23,
IF(R23=regle!$F$11,regle!$F$23,
IF(R23=regle!$G$11,regle!$G$23,
IF(R23=regle!$H$11,regle!$H$23,
IF(R23=regle!$I$11,regle!$I$23,
IF(R23=regle!$J$11,regle!$J$23,
IF(R23=regle!$K$11,regle!$K$23,0))))))))))))</f>
        <v>-3158.6000000000004</v>
      </c>
      <c r="AC23" s="17">
        <f>IF($A23,$J23*(IF(S23=regle!$B$11,regle!$B$23*IF(AL23=-2,1+regle!$B$35,1),
IF(S23=regle!$C$11,regle!$C$23,
IF(S23=regle!$D$11,regle!$D$23,
IF(S23=regle!$E$11,regle!$E$23,
IF(S23=regle!$F$11,regle!$F$23,
IF(S23=regle!$G$11,regle!$G$23,
IF(S23=regle!$H$11,regle!$H$23,
IF(S23=regle!$I$11,regle!$I$23,
IF(S23=regle!$J$11,regle!$J$23,
IF(S23=regle!$K$11,regle!$K$23,0))))))))))))</f>
        <v>0</v>
      </c>
      <c r="AD23" s="17">
        <f>IF($A23,$J23*(IF(T23=regle!$B$11,regle!$B$23*IF(AM23=-2,1+regle!$B$35,1),
IF(T23=regle!$C$11,regle!$C$23,
IF(T23=regle!$D$11,regle!$D$23,
IF(T23=regle!$E$11,regle!$E$23,
IF(T23=regle!$F$11,regle!$F$23,
IF(T23=regle!$G$11,regle!$G$23,
IF(T23=regle!$H$11,regle!$H$23,
IF(T23=regle!$I$11,regle!$I$23,
IF(T23=regle!$J$11,regle!$J$23,
IF(T23=regle!$K$11,regle!$K$23,0))))))))))))</f>
        <v>0</v>
      </c>
      <c r="AE23" s="17">
        <f>IF($A23,$J23*(IF(U23=regle!$B$11,regle!$B$23*IF(AN23=-2,1+regle!$B$35,1),
IF(U23=regle!$C$11,regle!$C$23,
IF(U23=regle!$D$11,regle!$D$23,
IF(U23=regle!$E$11,regle!$E$23,
IF(U23=regle!$F$11,regle!$F$23,
IF(U23=regle!$G$11,regle!$G$23,
IF(U23=regle!$H$11,regle!$H$23,
IF(U23=regle!$I$11,regle!$I$23,
IF(U23=regle!$J$11,regle!$J$23,
IF(U23=regle!$K$11,regle!$K$23,0))))))))))))</f>
        <v>0</v>
      </c>
      <c r="AF23" s="17">
        <f>IF($A23,$J23*(IF(V23=regle!$B$11,regle!$B$23*IF(AO23=-2,1+regle!$B$35,1),
IF(V23=regle!$C$11,regle!$C$23,
IF(V23=regle!$D$11,regle!$D$23,
IF(V23=regle!$E$11,regle!$E$23,
IF(V23=regle!$F$11,regle!$F$23,
IF(V23=regle!$G$11,regle!$G$23,
IF(V23=regle!$H$11,regle!$H$23,
IF(V23=regle!$I$11,regle!$I$23,
IF(V23=regle!$J$11,regle!$J$23,
IF(V23=regle!$K$11,regle!$K$23,0))))))))))))</f>
        <v>0</v>
      </c>
      <c r="AG23" s="17">
        <f>IF($A23,$J23*(IF(W23=regle!$B$11,regle!$B$23*IF(AP23=-2,1+regle!$B$35,1),
IF(W23=regle!$C$11,regle!$C$23,
IF(W23=regle!$D$11,regle!$D$23,
IF(W23=regle!$E$11,regle!$E$23,
IF(W23=regle!$F$11,regle!$F$23,
IF(W23=regle!$G$11,regle!$G$23,
IF(W23=regle!$H$11,regle!$H$23,
IF(W23=regle!$I$11,regle!$I$23,
IF(W23=regle!$J$11,regle!$J$23,
IF(W23=regle!$K$11,regle!$K$23,0))))))))))))</f>
        <v>0</v>
      </c>
      <c r="AH23" s="17">
        <f>IF($A23,$J23*(IF(X23=regle!$B$11,regle!$B$23*IF(AQ23=-2,1+regle!$B$35,1),
IF(X23=regle!$C$11,regle!$C$23,
IF(X23=regle!$D$11,regle!$D$23,
IF(X23=regle!$E$11,regle!$E$23,
IF(X23=regle!$F$11,regle!$F$23,
IF(X23=regle!$G$11,regle!$G$23,
IF(X23=regle!$H$11,regle!$H$23,
IF(X23=regle!$I$11,regle!$I$23,
IF(X23=regle!$J$11,regle!$J$23,
IF(X23=regle!$K$11,regle!$K$23,0))))))))))))</f>
        <v>0</v>
      </c>
      <c r="AI23" s="17">
        <f>IF($A23,$J23*(IF(Y23=regle!$B$11,regle!$B$23*IF(AR23=-2,1+regle!$B$35,1),
IF(Y23=regle!$C$11,regle!$C$23,
IF(Y23=regle!$D$11,regle!$D$23,
IF(Y23=regle!$E$11,regle!$E$23,
IF(Y23=regle!$F$11,regle!$F$23,
IF(Y23=regle!$G$11,regle!$G$23,
IF(Y23=regle!$H$11,regle!$H$23,
IF(Y23=regle!$I$11,regle!$I$23,
IF(Y23=regle!$J$11,regle!$J$23,
IF(Y23=regle!$K$11,regle!$K$23,0))))))))))))</f>
        <v>0</v>
      </c>
      <c r="AJ23" s="17">
        <f>IF($A23,$J23*(IF(Z23=regle!$B$11,regle!$B$23*IF(AS23=-2,1+regle!$B$35,1),
IF(Z23=regle!$C$11,regle!$C$23,
IF(Z23=regle!$D$11,regle!$D$23,
IF(Z23=regle!$E$11,regle!$E$23,
IF(Z23=regle!$F$11,regle!$F$23,
IF(Z23=regle!$G$11,regle!$G$23,
IF(Z23=regle!$H$11,regle!$H$23,
IF(Z23=regle!$I$11,regle!$I$23,
IF(Z23=regle!$J$11,regle!$J$23,
IF(Z23=regle!$K$11,regle!$K$23,0))))))))))))</f>
        <v>0</v>
      </c>
      <c r="AK23" s="16">
        <f>IF(OR(Q23=regle!$J$11,Q23=regle!$K$11),-2,IF(Q23=regle!$B$11,0,IF(AK$1=$AK$1,IF($O23,-1,regle!$B$2-$M23),IF(AJ23=-1,-1,AJ23+1))))</f>
        <v>-1</v>
      </c>
      <c r="AL23" s="16">
        <f>IF(OR(R23=regle!$J$11,R23=regle!$K$11),-2,IF(R23=regle!$B$11,0,IF(AL$1=$AK$1,IF($O23,-1,regle!$B$2-$M23),IF(AK23=-1,-1,AK23+1))))</f>
        <v>0</v>
      </c>
      <c r="AM23" s="16">
        <f>IF(OR(S23=regle!$J$11,S23=regle!$K$11),-2,IF(S23=regle!$B$11,0,IF(AM$1=$AK$1,IF($O23,-1,regle!$B$2-$M23),IF(AL23=-1,-1,AL23+1))))</f>
        <v>1</v>
      </c>
      <c r="AN23" s="16">
        <f>IF(OR(T23=regle!$J$11,T23=regle!$K$11),-2,IF(T23=regle!$B$11,0,IF(AN$1=$AK$1,IF($O23,-1,regle!$B$2-$M23),IF(AM23=-1,-1,AM23+1))))</f>
        <v>2</v>
      </c>
      <c r="AO23" s="16">
        <f>IF(OR(U23=regle!$J$11,U23=regle!$K$11),-2,IF(U23=regle!$B$11,0,IF(AO$1=$AK$1,IF($O23,-1,regle!$B$2-$M23),IF(AN23=-1,-1,AN23+1))))</f>
        <v>3</v>
      </c>
      <c r="AP23" s="16">
        <f>IF(OR(V23=regle!$J$11,V23=regle!$K$11),-2,IF(V23=regle!$B$11,0,IF(AP$1=$AK$1,IF($O23,-1,regle!$B$2-$M23),IF(AO23=-1,-1,AO23+1))))</f>
        <v>4</v>
      </c>
      <c r="AQ23" s="16">
        <f>IF(OR(W23=regle!$J$11,W23=regle!$K$11),-2,IF(W23=regle!$B$11,0,IF(AQ$1=$AK$1,IF($O23,-1,regle!$B$2-$M23),IF(AP23=-1,-1,AP23+1))))</f>
        <v>5</v>
      </c>
      <c r="AR23" s="16">
        <f>IF(OR(X23=regle!$J$11,X23=regle!$K$11),-2,IF(X23=regle!$B$11,0,IF(AR$1=$AK$1,IF($O23,-1,regle!$B$2-$M23),IF(AQ23=-1,-1,AQ23+1))))</f>
        <v>6</v>
      </c>
      <c r="AS23" s="16">
        <f>IF(OR(Y23=regle!$J$11,Y23=regle!$K$11),-2,IF(Y23=regle!$B$11,0,IF(AS$1=$AK$1,IF($O23,-1,regle!$B$2-$M23),IF(AR23=-1,-1,AR23+1))))</f>
        <v>7</v>
      </c>
      <c r="AT23" s="16">
        <f>IF(OR(Z23=regle!$J$11,Z23=regle!$K$11),-2,IF(Z23=regle!$B$11,0,IF(AT$1=$AK$1,IF($O23,-1,regle!$B$2-$M23),IF(AS23=-1,-1,AS23+1))))</f>
        <v>8</v>
      </c>
    </row>
    <row r="24" spans="1:46" x14ac:dyDescent="0.25">
      <c r="A24" t="b">
        <f>modif1!A24</f>
        <v>1</v>
      </c>
      <c r="B24">
        <f>ROW(modif1!B24)</f>
        <v>24</v>
      </c>
      <c r="C24" t="str">
        <f>modif1!C27</f>
        <v>171</v>
      </c>
      <c r="D24" t="str">
        <f>modif1!D24</f>
        <v>MANO</v>
      </c>
      <c r="E24">
        <f>modif1!E24</f>
        <v>5</v>
      </c>
      <c r="F24" t="str">
        <f>modif1!F24</f>
        <v>BOSCQ</v>
      </c>
      <c r="G24" t="str">
        <f>modif1!G24</f>
        <v>0D</v>
      </c>
      <c r="H24">
        <f>modif1!H24</f>
        <v>262</v>
      </c>
      <c r="I24" t="str">
        <f>modif1!I24</f>
        <v/>
      </c>
      <c r="J24" s="11">
        <f>modif1!J24</f>
        <v>1.8297000000000001</v>
      </c>
      <c r="K24" t="str">
        <f>modif1!K24</f>
        <v>CR</v>
      </c>
      <c r="L24" t="str">
        <f>modif1!L24</f>
        <v>PM</v>
      </c>
      <c r="M24">
        <f>modif1!M24</f>
        <v>2022</v>
      </c>
      <c r="N24" t="str">
        <f>modif1!N24</f>
        <v>CR-PM_2022</v>
      </c>
      <c r="O24" t="b">
        <f>modif1!O24</f>
        <v>1</v>
      </c>
      <c r="P24">
        <v>25</v>
      </c>
      <c r="Q24" s="22"/>
      <c r="R24" t="s">
        <v>1868</v>
      </c>
      <c r="Z24"/>
      <c r="AA24" s="17">
        <f>IF($A24,$J24*(IF(Q24=regle!$B$11,regle!$B$23*IF(AJ24=-2,1+regle!$B$35,1),
IF(Q24=regle!$C$11,regle!$C$23,
IF(Q24=regle!$D$11,regle!$D$23,
IF(Q24=regle!$E$11,regle!$E$23,
IF(Q24=regle!$F$11,regle!$F$23,
IF(Q24=regle!$G$11,regle!$G$23,
IF(Q24=regle!$H$11,regle!$H$23,
IF(Q24=regle!$I$11,regle!$I$23,
IF(Q24=regle!$J$11,regle!$J$23,
IF(Q24=regle!$K$11,regle!$K$23,0))))))))))))</f>
        <v>0</v>
      </c>
      <c r="AB24" s="17">
        <f>IF($A24,$J24*(IF(R24=regle!$B$11,regle!$B$23*IF(AK24=-2,1+regle!$B$35,1),
IF(R24=regle!$C$11,regle!$C$23,
IF(R24=regle!$D$11,regle!$D$23,
IF(R24=regle!$E$11,regle!$E$23,
IF(R24=regle!$F$11,regle!$F$23,
IF(R24=regle!$G$11,regle!$G$23,
IF(R24=regle!$H$11,regle!$H$23,
IF(R24=regle!$I$11,regle!$I$23,
IF(R24=regle!$J$11,regle!$J$23,
IF(R24=regle!$K$11,regle!$K$23,0))))))))))))</f>
        <v>-3110.4900000000002</v>
      </c>
      <c r="AC24" s="17">
        <f>IF($A24,$J24*(IF(S24=regle!$B$11,regle!$B$23*IF(AL24=-2,1+regle!$B$35,1),
IF(S24=regle!$C$11,regle!$C$23,
IF(S24=regle!$D$11,regle!$D$23,
IF(S24=regle!$E$11,regle!$E$23,
IF(S24=regle!$F$11,regle!$F$23,
IF(S24=regle!$G$11,regle!$G$23,
IF(S24=regle!$H$11,regle!$H$23,
IF(S24=regle!$I$11,regle!$I$23,
IF(S24=regle!$J$11,regle!$J$23,
IF(S24=regle!$K$11,regle!$K$23,0))))))))))))</f>
        <v>0</v>
      </c>
      <c r="AD24" s="17">
        <f>IF($A24,$J24*(IF(T24=regle!$B$11,regle!$B$23*IF(AM24=-2,1+regle!$B$35,1),
IF(T24=regle!$C$11,regle!$C$23,
IF(T24=regle!$D$11,regle!$D$23,
IF(T24=regle!$E$11,regle!$E$23,
IF(T24=regle!$F$11,regle!$F$23,
IF(T24=regle!$G$11,regle!$G$23,
IF(T24=regle!$H$11,regle!$H$23,
IF(T24=regle!$I$11,regle!$I$23,
IF(T24=regle!$J$11,regle!$J$23,
IF(T24=regle!$K$11,regle!$K$23,0))))))))))))</f>
        <v>0</v>
      </c>
      <c r="AE24" s="17">
        <f>IF($A24,$J24*(IF(U24=regle!$B$11,regle!$B$23*IF(AN24=-2,1+regle!$B$35,1),
IF(U24=regle!$C$11,regle!$C$23,
IF(U24=regle!$D$11,regle!$D$23,
IF(U24=regle!$E$11,regle!$E$23,
IF(U24=regle!$F$11,regle!$F$23,
IF(U24=regle!$G$11,regle!$G$23,
IF(U24=regle!$H$11,regle!$H$23,
IF(U24=regle!$I$11,regle!$I$23,
IF(U24=regle!$J$11,regle!$J$23,
IF(U24=regle!$K$11,regle!$K$23,0))))))))))))</f>
        <v>0</v>
      </c>
      <c r="AF24" s="17">
        <f>IF($A24,$J24*(IF(V24=regle!$B$11,regle!$B$23*IF(AO24=-2,1+regle!$B$35,1),
IF(V24=regle!$C$11,regle!$C$23,
IF(V24=regle!$D$11,regle!$D$23,
IF(V24=regle!$E$11,regle!$E$23,
IF(V24=regle!$F$11,regle!$F$23,
IF(V24=regle!$G$11,regle!$G$23,
IF(V24=regle!$H$11,regle!$H$23,
IF(V24=regle!$I$11,regle!$I$23,
IF(V24=regle!$J$11,regle!$J$23,
IF(V24=regle!$K$11,regle!$K$23,0))))))))))))</f>
        <v>0</v>
      </c>
      <c r="AG24" s="17">
        <f>IF($A24,$J24*(IF(W24=regle!$B$11,regle!$B$23*IF(AP24=-2,1+regle!$B$35,1),
IF(W24=regle!$C$11,regle!$C$23,
IF(W24=regle!$D$11,regle!$D$23,
IF(W24=regle!$E$11,regle!$E$23,
IF(W24=regle!$F$11,regle!$F$23,
IF(W24=regle!$G$11,regle!$G$23,
IF(W24=regle!$H$11,regle!$H$23,
IF(W24=regle!$I$11,regle!$I$23,
IF(W24=regle!$J$11,regle!$J$23,
IF(W24=regle!$K$11,regle!$K$23,0))))))))))))</f>
        <v>0</v>
      </c>
      <c r="AH24" s="17">
        <f>IF($A24,$J24*(IF(X24=regle!$B$11,regle!$B$23*IF(AQ24=-2,1+regle!$B$35,1),
IF(X24=regle!$C$11,regle!$C$23,
IF(X24=regle!$D$11,regle!$D$23,
IF(X24=regle!$E$11,regle!$E$23,
IF(X24=regle!$F$11,regle!$F$23,
IF(X24=regle!$G$11,regle!$G$23,
IF(X24=regle!$H$11,regle!$H$23,
IF(X24=regle!$I$11,regle!$I$23,
IF(X24=regle!$J$11,regle!$J$23,
IF(X24=regle!$K$11,regle!$K$23,0))))))))))))</f>
        <v>0</v>
      </c>
      <c r="AI24" s="17">
        <f>IF($A24,$J24*(IF(Y24=regle!$B$11,regle!$B$23*IF(AR24=-2,1+regle!$B$35,1),
IF(Y24=regle!$C$11,regle!$C$23,
IF(Y24=regle!$D$11,regle!$D$23,
IF(Y24=regle!$E$11,regle!$E$23,
IF(Y24=regle!$F$11,regle!$F$23,
IF(Y24=regle!$G$11,regle!$G$23,
IF(Y24=regle!$H$11,regle!$H$23,
IF(Y24=regle!$I$11,regle!$I$23,
IF(Y24=regle!$J$11,regle!$J$23,
IF(Y24=regle!$K$11,regle!$K$23,0))))))))))))</f>
        <v>0</v>
      </c>
      <c r="AJ24" s="17">
        <f>IF($A24,$J24*(IF(Z24=regle!$B$11,regle!$B$23*IF(AS24=-2,1+regle!$B$35,1),
IF(Z24=regle!$C$11,regle!$C$23,
IF(Z24=regle!$D$11,regle!$D$23,
IF(Z24=regle!$E$11,regle!$E$23,
IF(Z24=regle!$F$11,regle!$F$23,
IF(Z24=regle!$G$11,regle!$G$23,
IF(Z24=regle!$H$11,regle!$H$23,
IF(Z24=regle!$I$11,regle!$I$23,
IF(Z24=regle!$J$11,regle!$J$23,
IF(Z24=regle!$K$11,regle!$K$23,0))))))))))))</f>
        <v>0</v>
      </c>
      <c r="AK24" s="16">
        <f>IF(OR(Q24=regle!$J$11,Q24=regle!$K$11),-2,IF(Q24=regle!$B$11,0,IF(AK$1=$AK$1,IF($O24,-1,regle!$B$2-$M24),IF(AJ24=-1,-1,AJ24+1))))</f>
        <v>-1</v>
      </c>
      <c r="AL24" s="16">
        <f>IF(OR(R24=regle!$J$11,R24=regle!$K$11),-2,IF(R24=regle!$B$11,0,IF(AL$1=$AK$1,IF($O24,-1,regle!$B$2-$M24),IF(AK24=-1,-1,AK24+1))))</f>
        <v>0</v>
      </c>
      <c r="AM24" s="16">
        <f>IF(OR(S24=regle!$J$11,S24=regle!$K$11),-2,IF(S24=regle!$B$11,0,IF(AM$1=$AK$1,IF($O24,-1,regle!$B$2-$M24),IF(AL24=-1,-1,AL24+1))))</f>
        <v>1</v>
      </c>
      <c r="AN24" s="16">
        <f>IF(OR(T24=regle!$J$11,T24=regle!$K$11),-2,IF(T24=regle!$B$11,0,IF(AN$1=$AK$1,IF($O24,-1,regle!$B$2-$M24),IF(AM24=-1,-1,AM24+1))))</f>
        <v>2</v>
      </c>
      <c r="AO24" s="16">
        <f>IF(OR(U24=regle!$J$11,U24=regle!$K$11),-2,IF(U24=regle!$B$11,0,IF(AO$1=$AK$1,IF($O24,-1,regle!$B$2-$M24),IF(AN24=-1,-1,AN24+1))))</f>
        <v>3</v>
      </c>
      <c r="AP24" s="16">
        <f>IF(OR(V24=regle!$J$11,V24=regle!$K$11),-2,IF(V24=regle!$B$11,0,IF(AP$1=$AK$1,IF($O24,-1,regle!$B$2-$M24),IF(AO24=-1,-1,AO24+1))))</f>
        <v>4</v>
      </c>
      <c r="AQ24" s="16">
        <f>IF(OR(W24=regle!$J$11,W24=regle!$K$11),-2,IF(W24=regle!$B$11,0,IF(AQ$1=$AK$1,IF($O24,-1,regle!$B$2-$M24),IF(AP24=-1,-1,AP24+1))))</f>
        <v>5</v>
      </c>
      <c r="AR24" s="16">
        <f>IF(OR(X24=regle!$J$11,X24=regle!$K$11),-2,IF(X24=regle!$B$11,0,IF(AR$1=$AK$1,IF($O24,-1,regle!$B$2-$M24),IF(AQ24=-1,-1,AQ24+1))))</f>
        <v>6</v>
      </c>
      <c r="AS24" s="16">
        <f>IF(OR(Y24=regle!$J$11,Y24=regle!$K$11),-2,IF(Y24=regle!$B$11,0,IF(AS$1=$AK$1,IF($O24,-1,regle!$B$2-$M24),IF(AR24=-1,-1,AR24+1))))</f>
        <v>7</v>
      </c>
      <c r="AT24" s="16">
        <f>IF(OR(Z24=regle!$J$11,Z24=regle!$K$11),-2,IF(Z24=regle!$B$11,0,IF(AT$1=$AK$1,IF($O24,-1,regle!$B$2-$M24),IF(AS24=-1,-1,AS24+1))))</f>
        <v>8</v>
      </c>
    </row>
    <row r="25" spans="1:46" x14ac:dyDescent="0.25">
      <c r="A25" t="b">
        <f>modif1!A25</f>
        <v>1</v>
      </c>
      <c r="B25">
        <f>ROW(modif1!B25)</f>
        <v>25</v>
      </c>
      <c r="C25" t="str">
        <f>modif1!C28</f>
        <v>171</v>
      </c>
      <c r="D25" t="str">
        <f>modif1!D25</f>
        <v>MANO</v>
      </c>
      <c r="E25">
        <f>modif1!E25</f>
        <v>17</v>
      </c>
      <c r="F25" t="str">
        <f>modif1!F25</f>
        <v>LANDE DE TABARTON</v>
      </c>
      <c r="G25" t="str">
        <f>modif1!G25</f>
        <v>0B</v>
      </c>
      <c r="H25">
        <f>modif1!H25</f>
        <v>245</v>
      </c>
      <c r="I25" t="str">
        <f>modif1!I25</f>
        <v/>
      </c>
      <c r="J25" s="11">
        <f>modif1!J25</f>
        <v>1.78</v>
      </c>
      <c r="K25" t="str">
        <f>modif1!K25</f>
        <v>CR</v>
      </c>
      <c r="L25" t="str">
        <f>modif1!L25</f>
        <v>PM</v>
      </c>
      <c r="M25">
        <f>modif1!M25</f>
        <v>2022</v>
      </c>
      <c r="N25" t="str">
        <f>modif1!N25</f>
        <v>CR-PM_2022</v>
      </c>
      <c r="O25" t="b">
        <f>modif1!O25</f>
        <v>1</v>
      </c>
      <c r="P25">
        <v>25</v>
      </c>
      <c r="Q25" s="22"/>
      <c r="R25" t="s">
        <v>1868</v>
      </c>
      <c r="Z25"/>
      <c r="AA25" s="17">
        <f>IF($A25,$J25*(IF(Q25=regle!$B$11,regle!$B$23*IF(AJ25=-2,1+regle!$B$35,1),
IF(Q25=regle!$C$11,regle!$C$23,
IF(Q25=regle!$D$11,regle!$D$23,
IF(Q25=regle!$E$11,regle!$E$23,
IF(Q25=regle!$F$11,regle!$F$23,
IF(Q25=regle!$G$11,regle!$G$23,
IF(Q25=regle!$H$11,regle!$H$23,
IF(Q25=regle!$I$11,regle!$I$23,
IF(Q25=regle!$J$11,regle!$J$23,
IF(Q25=regle!$K$11,regle!$K$23,0))))))))))))</f>
        <v>0</v>
      </c>
      <c r="AB25" s="17">
        <f>IF($A25,$J25*(IF(R25=regle!$B$11,regle!$B$23*IF(AK25=-2,1+regle!$B$35,1),
IF(R25=regle!$C$11,regle!$C$23,
IF(R25=regle!$D$11,regle!$D$23,
IF(R25=regle!$E$11,regle!$E$23,
IF(R25=regle!$F$11,regle!$F$23,
IF(R25=regle!$G$11,regle!$G$23,
IF(R25=regle!$H$11,regle!$H$23,
IF(R25=regle!$I$11,regle!$I$23,
IF(R25=regle!$J$11,regle!$J$23,
IF(R25=regle!$K$11,regle!$K$23,0))))))))))))</f>
        <v>-3026</v>
      </c>
      <c r="AC25" s="17">
        <f>IF($A25,$J25*(IF(S25=regle!$B$11,regle!$B$23*IF(AL25=-2,1+regle!$B$35,1),
IF(S25=regle!$C$11,regle!$C$23,
IF(S25=regle!$D$11,regle!$D$23,
IF(S25=regle!$E$11,regle!$E$23,
IF(S25=regle!$F$11,regle!$F$23,
IF(S25=regle!$G$11,regle!$G$23,
IF(S25=regle!$H$11,regle!$H$23,
IF(S25=regle!$I$11,regle!$I$23,
IF(S25=regle!$J$11,regle!$J$23,
IF(S25=regle!$K$11,regle!$K$23,0))))))))))))</f>
        <v>0</v>
      </c>
      <c r="AD25" s="17">
        <f>IF($A25,$J25*(IF(T25=regle!$B$11,regle!$B$23*IF(AM25=-2,1+regle!$B$35,1),
IF(T25=regle!$C$11,regle!$C$23,
IF(T25=regle!$D$11,regle!$D$23,
IF(T25=regle!$E$11,regle!$E$23,
IF(T25=regle!$F$11,regle!$F$23,
IF(T25=regle!$G$11,regle!$G$23,
IF(T25=regle!$H$11,regle!$H$23,
IF(T25=regle!$I$11,regle!$I$23,
IF(T25=regle!$J$11,regle!$J$23,
IF(T25=regle!$K$11,regle!$K$23,0))))))))))))</f>
        <v>0</v>
      </c>
      <c r="AE25" s="17">
        <f>IF($A25,$J25*(IF(U25=regle!$B$11,regle!$B$23*IF(AN25=-2,1+regle!$B$35,1),
IF(U25=regle!$C$11,regle!$C$23,
IF(U25=regle!$D$11,regle!$D$23,
IF(U25=regle!$E$11,regle!$E$23,
IF(U25=regle!$F$11,regle!$F$23,
IF(U25=regle!$G$11,regle!$G$23,
IF(U25=regle!$H$11,regle!$H$23,
IF(U25=regle!$I$11,regle!$I$23,
IF(U25=regle!$J$11,regle!$J$23,
IF(U25=regle!$K$11,regle!$K$23,0))))))))))))</f>
        <v>0</v>
      </c>
      <c r="AF25" s="17">
        <f>IF($A25,$J25*(IF(V25=regle!$B$11,regle!$B$23*IF(AO25=-2,1+regle!$B$35,1),
IF(V25=regle!$C$11,regle!$C$23,
IF(V25=regle!$D$11,regle!$D$23,
IF(V25=regle!$E$11,regle!$E$23,
IF(V25=regle!$F$11,regle!$F$23,
IF(V25=regle!$G$11,regle!$G$23,
IF(V25=regle!$H$11,regle!$H$23,
IF(V25=regle!$I$11,regle!$I$23,
IF(V25=regle!$J$11,regle!$J$23,
IF(V25=regle!$K$11,regle!$K$23,0))))))))))))</f>
        <v>0</v>
      </c>
      <c r="AG25" s="17">
        <f>IF($A25,$J25*(IF(W25=regle!$B$11,regle!$B$23*IF(AP25=-2,1+regle!$B$35,1),
IF(W25=regle!$C$11,regle!$C$23,
IF(W25=regle!$D$11,regle!$D$23,
IF(W25=regle!$E$11,regle!$E$23,
IF(W25=regle!$F$11,regle!$F$23,
IF(W25=regle!$G$11,regle!$G$23,
IF(W25=regle!$H$11,regle!$H$23,
IF(W25=regle!$I$11,regle!$I$23,
IF(W25=regle!$J$11,regle!$J$23,
IF(W25=regle!$K$11,regle!$K$23,0))))))))))))</f>
        <v>0</v>
      </c>
      <c r="AH25" s="17">
        <f>IF($A25,$J25*(IF(X25=regle!$B$11,regle!$B$23*IF(AQ25=-2,1+regle!$B$35,1),
IF(X25=regle!$C$11,regle!$C$23,
IF(X25=regle!$D$11,regle!$D$23,
IF(X25=regle!$E$11,regle!$E$23,
IF(X25=regle!$F$11,regle!$F$23,
IF(X25=regle!$G$11,regle!$G$23,
IF(X25=regle!$H$11,regle!$H$23,
IF(X25=regle!$I$11,regle!$I$23,
IF(X25=regle!$J$11,regle!$J$23,
IF(X25=regle!$K$11,regle!$K$23,0))))))))))))</f>
        <v>0</v>
      </c>
      <c r="AI25" s="17">
        <f>IF($A25,$J25*(IF(Y25=regle!$B$11,regle!$B$23*IF(AR25=-2,1+regle!$B$35,1),
IF(Y25=regle!$C$11,regle!$C$23,
IF(Y25=regle!$D$11,regle!$D$23,
IF(Y25=regle!$E$11,regle!$E$23,
IF(Y25=regle!$F$11,regle!$F$23,
IF(Y25=regle!$G$11,regle!$G$23,
IF(Y25=regle!$H$11,regle!$H$23,
IF(Y25=regle!$I$11,regle!$I$23,
IF(Y25=regle!$J$11,regle!$J$23,
IF(Y25=regle!$K$11,regle!$K$23,0))))))))))))</f>
        <v>0</v>
      </c>
      <c r="AJ25" s="17">
        <f>IF($A25,$J25*(IF(Z25=regle!$B$11,regle!$B$23*IF(AS25=-2,1+regle!$B$35,1),
IF(Z25=regle!$C$11,regle!$C$23,
IF(Z25=regle!$D$11,regle!$D$23,
IF(Z25=regle!$E$11,regle!$E$23,
IF(Z25=regle!$F$11,regle!$F$23,
IF(Z25=regle!$G$11,regle!$G$23,
IF(Z25=regle!$H$11,regle!$H$23,
IF(Z25=regle!$I$11,regle!$I$23,
IF(Z25=regle!$J$11,regle!$J$23,
IF(Z25=regle!$K$11,regle!$K$23,0))))))))))))</f>
        <v>0</v>
      </c>
      <c r="AK25" s="16">
        <f>IF(OR(Q25=regle!$J$11,Q25=regle!$K$11),-2,IF(Q25=regle!$B$11,0,IF(AK$1=$AK$1,IF($O25,-1,regle!$B$2-$M25),IF(AJ25=-1,-1,AJ25+1))))</f>
        <v>-1</v>
      </c>
      <c r="AL25" s="16">
        <f>IF(OR(R25=regle!$J$11,R25=regle!$K$11),-2,IF(R25=regle!$B$11,0,IF(AL$1=$AK$1,IF($O25,-1,regle!$B$2-$M25),IF(AK25=-1,-1,AK25+1))))</f>
        <v>0</v>
      </c>
      <c r="AM25" s="16">
        <f>IF(OR(S25=regle!$J$11,S25=regle!$K$11),-2,IF(S25=regle!$B$11,0,IF(AM$1=$AK$1,IF($O25,-1,regle!$B$2-$M25),IF(AL25=-1,-1,AL25+1))))</f>
        <v>1</v>
      </c>
      <c r="AN25" s="16">
        <f>IF(OR(T25=regle!$J$11,T25=regle!$K$11),-2,IF(T25=regle!$B$11,0,IF(AN$1=$AK$1,IF($O25,-1,regle!$B$2-$M25),IF(AM25=-1,-1,AM25+1))))</f>
        <v>2</v>
      </c>
      <c r="AO25" s="16">
        <f>IF(OR(U25=regle!$J$11,U25=regle!$K$11),-2,IF(U25=regle!$B$11,0,IF(AO$1=$AK$1,IF($O25,-1,regle!$B$2-$M25),IF(AN25=-1,-1,AN25+1))))</f>
        <v>3</v>
      </c>
      <c r="AP25" s="16">
        <f>IF(OR(V25=regle!$J$11,V25=regle!$K$11),-2,IF(V25=regle!$B$11,0,IF(AP$1=$AK$1,IF($O25,-1,regle!$B$2-$M25),IF(AO25=-1,-1,AO25+1))))</f>
        <v>4</v>
      </c>
      <c r="AQ25" s="16">
        <f>IF(OR(W25=regle!$J$11,W25=regle!$K$11),-2,IF(W25=regle!$B$11,0,IF(AQ$1=$AK$1,IF($O25,-1,regle!$B$2-$M25),IF(AP25=-1,-1,AP25+1))))</f>
        <v>5</v>
      </c>
      <c r="AR25" s="16">
        <f>IF(OR(X25=regle!$J$11,X25=regle!$K$11),-2,IF(X25=regle!$B$11,0,IF(AR$1=$AK$1,IF($O25,-1,regle!$B$2-$M25),IF(AQ25=-1,-1,AQ25+1))))</f>
        <v>6</v>
      </c>
      <c r="AS25" s="16">
        <f>IF(OR(Y25=regle!$J$11,Y25=regle!$K$11),-2,IF(Y25=regle!$B$11,0,IF(AS$1=$AK$1,IF($O25,-1,regle!$B$2-$M25),IF(AR25=-1,-1,AR25+1))))</f>
        <v>7</v>
      </c>
      <c r="AT25" s="16">
        <f>IF(OR(Z25=regle!$J$11,Z25=regle!$K$11),-2,IF(Z25=regle!$B$11,0,IF(AT$1=$AK$1,IF($O25,-1,regle!$B$2-$M25),IF(AS25=-1,-1,AS25+1))))</f>
        <v>8</v>
      </c>
    </row>
    <row r="26" spans="1:46" x14ac:dyDescent="0.25">
      <c r="A26" t="b">
        <f>modif1!A26</f>
        <v>1</v>
      </c>
      <c r="B26">
        <f>ROW(modif1!B26)</f>
        <v>26</v>
      </c>
      <c r="C26" t="str">
        <f>modif1!C29</f>
        <v>202</v>
      </c>
      <c r="D26" t="str">
        <f>modif1!D26</f>
        <v>MANO</v>
      </c>
      <c r="E26">
        <f>modif1!E26</f>
        <v>6</v>
      </c>
      <c r="F26" t="str">
        <f>modif1!F26</f>
        <v>BARRAT</v>
      </c>
      <c r="G26" t="str">
        <f>modif1!G26</f>
        <v>0C</v>
      </c>
      <c r="H26">
        <f>modif1!H26</f>
        <v>175</v>
      </c>
      <c r="I26" t="str">
        <f>modif1!I26</f>
        <v>k</v>
      </c>
      <c r="J26" s="11">
        <f>modif1!J26</f>
        <v>1.7464</v>
      </c>
      <c r="K26" t="str">
        <f>modif1!K26</f>
        <v>CR</v>
      </c>
      <c r="L26" t="str">
        <f>modif1!L26</f>
        <v>PM</v>
      </c>
      <c r="M26">
        <f>modif1!M26</f>
        <v>2022</v>
      </c>
      <c r="N26" t="str">
        <f>modif1!N26</f>
        <v>CR-PM_2022</v>
      </c>
      <c r="O26" t="b">
        <f>modif1!O26</f>
        <v>1</v>
      </c>
      <c r="P26">
        <v>25</v>
      </c>
      <c r="Q26" s="22"/>
      <c r="R26" t="s">
        <v>1868</v>
      </c>
      <c r="Z26"/>
      <c r="AA26" s="17">
        <f>IF($A26,$J26*(IF(Q26=regle!$B$11,regle!$B$23*IF(AJ26=-2,1+regle!$B$35,1),
IF(Q26=regle!$C$11,regle!$C$23,
IF(Q26=regle!$D$11,regle!$D$23,
IF(Q26=regle!$E$11,regle!$E$23,
IF(Q26=regle!$F$11,regle!$F$23,
IF(Q26=regle!$G$11,regle!$G$23,
IF(Q26=regle!$H$11,regle!$H$23,
IF(Q26=regle!$I$11,regle!$I$23,
IF(Q26=regle!$J$11,regle!$J$23,
IF(Q26=regle!$K$11,regle!$K$23,0))))))))))))</f>
        <v>0</v>
      </c>
      <c r="AB26" s="17">
        <f>IF($A26,$J26*(IF(R26=regle!$B$11,regle!$B$23*IF(AK26=-2,1+regle!$B$35,1),
IF(R26=regle!$C$11,regle!$C$23,
IF(R26=regle!$D$11,regle!$D$23,
IF(R26=regle!$E$11,regle!$E$23,
IF(R26=regle!$F$11,regle!$F$23,
IF(R26=regle!$G$11,regle!$G$23,
IF(R26=regle!$H$11,regle!$H$23,
IF(R26=regle!$I$11,regle!$I$23,
IF(R26=regle!$J$11,regle!$J$23,
IF(R26=regle!$K$11,regle!$K$23,0))))))))))))</f>
        <v>-2968.88</v>
      </c>
      <c r="AC26" s="17">
        <f>IF($A26,$J26*(IF(S26=regle!$B$11,regle!$B$23*IF(AL26=-2,1+regle!$B$35,1),
IF(S26=regle!$C$11,regle!$C$23,
IF(S26=regle!$D$11,regle!$D$23,
IF(S26=regle!$E$11,regle!$E$23,
IF(S26=regle!$F$11,regle!$F$23,
IF(S26=regle!$G$11,regle!$G$23,
IF(S26=regle!$H$11,regle!$H$23,
IF(S26=regle!$I$11,regle!$I$23,
IF(S26=regle!$J$11,regle!$J$23,
IF(S26=regle!$K$11,regle!$K$23,0))))))))))))</f>
        <v>0</v>
      </c>
      <c r="AD26" s="17">
        <f>IF($A26,$J26*(IF(T26=regle!$B$11,regle!$B$23*IF(AM26=-2,1+regle!$B$35,1),
IF(T26=regle!$C$11,regle!$C$23,
IF(T26=regle!$D$11,regle!$D$23,
IF(T26=regle!$E$11,regle!$E$23,
IF(T26=regle!$F$11,regle!$F$23,
IF(T26=regle!$G$11,regle!$G$23,
IF(T26=regle!$H$11,regle!$H$23,
IF(T26=regle!$I$11,regle!$I$23,
IF(T26=regle!$J$11,regle!$J$23,
IF(T26=regle!$K$11,regle!$K$23,0))))))))))))</f>
        <v>0</v>
      </c>
      <c r="AE26" s="17">
        <f>IF($A26,$J26*(IF(U26=regle!$B$11,regle!$B$23*IF(AN26=-2,1+regle!$B$35,1),
IF(U26=regle!$C$11,regle!$C$23,
IF(U26=regle!$D$11,regle!$D$23,
IF(U26=regle!$E$11,regle!$E$23,
IF(U26=regle!$F$11,regle!$F$23,
IF(U26=regle!$G$11,regle!$G$23,
IF(U26=regle!$H$11,regle!$H$23,
IF(U26=regle!$I$11,regle!$I$23,
IF(U26=regle!$J$11,regle!$J$23,
IF(U26=regle!$K$11,regle!$K$23,0))))))))))))</f>
        <v>0</v>
      </c>
      <c r="AF26" s="17">
        <f>IF($A26,$J26*(IF(V26=regle!$B$11,regle!$B$23*IF(AO26=-2,1+regle!$B$35,1),
IF(V26=regle!$C$11,regle!$C$23,
IF(V26=regle!$D$11,regle!$D$23,
IF(V26=regle!$E$11,regle!$E$23,
IF(V26=regle!$F$11,regle!$F$23,
IF(V26=regle!$G$11,regle!$G$23,
IF(V26=regle!$H$11,regle!$H$23,
IF(V26=regle!$I$11,regle!$I$23,
IF(V26=regle!$J$11,regle!$J$23,
IF(V26=regle!$K$11,regle!$K$23,0))))))))))))</f>
        <v>0</v>
      </c>
      <c r="AG26" s="17">
        <f>IF($A26,$J26*(IF(W26=regle!$B$11,regle!$B$23*IF(AP26=-2,1+regle!$B$35,1),
IF(W26=regle!$C$11,regle!$C$23,
IF(W26=regle!$D$11,regle!$D$23,
IF(W26=regle!$E$11,regle!$E$23,
IF(W26=regle!$F$11,regle!$F$23,
IF(W26=regle!$G$11,regle!$G$23,
IF(W26=regle!$H$11,regle!$H$23,
IF(W26=regle!$I$11,regle!$I$23,
IF(W26=regle!$J$11,regle!$J$23,
IF(W26=regle!$K$11,regle!$K$23,0))))))))))))</f>
        <v>0</v>
      </c>
      <c r="AH26" s="17">
        <f>IF($A26,$J26*(IF(X26=regle!$B$11,regle!$B$23*IF(AQ26=-2,1+regle!$B$35,1),
IF(X26=regle!$C$11,regle!$C$23,
IF(X26=regle!$D$11,regle!$D$23,
IF(X26=regle!$E$11,regle!$E$23,
IF(X26=regle!$F$11,regle!$F$23,
IF(X26=regle!$G$11,regle!$G$23,
IF(X26=regle!$H$11,regle!$H$23,
IF(X26=regle!$I$11,regle!$I$23,
IF(X26=regle!$J$11,regle!$J$23,
IF(X26=regle!$K$11,regle!$K$23,0))))))))))))</f>
        <v>0</v>
      </c>
      <c r="AI26" s="17">
        <f>IF($A26,$J26*(IF(Y26=regle!$B$11,regle!$B$23*IF(AR26=-2,1+regle!$B$35,1),
IF(Y26=regle!$C$11,regle!$C$23,
IF(Y26=regle!$D$11,regle!$D$23,
IF(Y26=regle!$E$11,regle!$E$23,
IF(Y26=regle!$F$11,regle!$F$23,
IF(Y26=regle!$G$11,regle!$G$23,
IF(Y26=regle!$H$11,regle!$H$23,
IF(Y26=regle!$I$11,regle!$I$23,
IF(Y26=regle!$J$11,regle!$J$23,
IF(Y26=regle!$K$11,regle!$K$23,0))))))))))))</f>
        <v>0</v>
      </c>
      <c r="AJ26" s="17">
        <f>IF($A26,$J26*(IF(Z26=regle!$B$11,regle!$B$23*IF(AS26=-2,1+regle!$B$35,1),
IF(Z26=regle!$C$11,regle!$C$23,
IF(Z26=regle!$D$11,regle!$D$23,
IF(Z26=regle!$E$11,regle!$E$23,
IF(Z26=regle!$F$11,regle!$F$23,
IF(Z26=regle!$G$11,regle!$G$23,
IF(Z26=regle!$H$11,regle!$H$23,
IF(Z26=regle!$I$11,regle!$I$23,
IF(Z26=regle!$J$11,regle!$J$23,
IF(Z26=regle!$K$11,regle!$K$23,0))))))))))))</f>
        <v>0</v>
      </c>
      <c r="AK26" s="16">
        <f>IF(OR(Q26=regle!$J$11,Q26=regle!$K$11),-2,IF(Q26=regle!$B$11,0,IF(AK$1=$AK$1,IF($O26,-1,regle!$B$2-$M26),IF(AJ26=-1,-1,AJ26+1))))</f>
        <v>-1</v>
      </c>
      <c r="AL26" s="16">
        <f>IF(OR(R26=regle!$J$11,R26=regle!$K$11),-2,IF(R26=regle!$B$11,0,IF(AL$1=$AK$1,IF($O26,-1,regle!$B$2-$M26),IF(AK26=-1,-1,AK26+1))))</f>
        <v>0</v>
      </c>
      <c r="AM26" s="16">
        <f>IF(OR(S26=regle!$J$11,S26=regle!$K$11),-2,IF(S26=regle!$B$11,0,IF(AM$1=$AK$1,IF($O26,-1,regle!$B$2-$M26),IF(AL26=-1,-1,AL26+1))))</f>
        <v>1</v>
      </c>
      <c r="AN26" s="16">
        <f>IF(OR(T26=regle!$J$11,T26=regle!$K$11),-2,IF(T26=regle!$B$11,0,IF(AN$1=$AK$1,IF($O26,-1,regle!$B$2-$M26),IF(AM26=-1,-1,AM26+1))))</f>
        <v>2</v>
      </c>
      <c r="AO26" s="16">
        <f>IF(OR(U26=regle!$J$11,U26=regle!$K$11),-2,IF(U26=regle!$B$11,0,IF(AO$1=$AK$1,IF($O26,-1,regle!$B$2-$M26),IF(AN26=-1,-1,AN26+1))))</f>
        <v>3</v>
      </c>
      <c r="AP26" s="16">
        <f>IF(OR(V26=regle!$J$11,V26=regle!$K$11),-2,IF(V26=regle!$B$11,0,IF(AP$1=$AK$1,IF($O26,-1,regle!$B$2-$M26),IF(AO26=-1,-1,AO26+1))))</f>
        <v>4</v>
      </c>
      <c r="AQ26" s="16">
        <f>IF(OR(W26=regle!$J$11,W26=regle!$K$11),-2,IF(W26=regle!$B$11,0,IF(AQ$1=$AK$1,IF($O26,-1,regle!$B$2-$M26),IF(AP26=-1,-1,AP26+1))))</f>
        <v>5</v>
      </c>
      <c r="AR26" s="16">
        <f>IF(OR(X26=regle!$J$11,X26=regle!$K$11),-2,IF(X26=regle!$B$11,0,IF(AR$1=$AK$1,IF($O26,-1,regle!$B$2-$M26),IF(AQ26=-1,-1,AQ26+1))))</f>
        <v>6</v>
      </c>
      <c r="AS26" s="16">
        <f>IF(OR(Y26=regle!$J$11,Y26=regle!$K$11),-2,IF(Y26=regle!$B$11,0,IF(AS$1=$AK$1,IF($O26,-1,regle!$B$2-$M26),IF(AR26=-1,-1,AR26+1))))</f>
        <v>7</v>
      </c>
      <c r="AT26" s="16">
        <f>IF(OR(Z26=regle!$J$11,Z26=regle!$K$11),-2,IF(Z26=regle!$B$11,0,IF(AT$1=$AK$1,IF($O26,-1,regle!$B$2-$M26),IF(AS26=-1,-1,AS26+1))))</f>
        <v>8</v>
      </c>
    </row>
    <row r="27" spans="1:46" x14ac:dyDescent="0.25">
      <c r="A27" t="b">
        <f>modif1!A27</f>
        <v>1</v>
      </c>
      <c r="B27">
        <f>ROW(modif1!B27)</f>
        <v>27</v>
      </c>
      <c r="C27" t="str">
        <f>modif1!C30</f>
        <v>171</v>
      </c>
      <c r="D27" t="str">
        <f>modif1!D27</f>
        <v>MANO</v>
      </c>
      <c r="E27">
        <f>modif1!E27</f>
        <v>17</v>
      </c>
      <c r="F27" t="str">
        <f>modif1!F27</f>
        <v>LANDE DE TABARTON</v>
      </c>
      <c r="G27" t="str">
        <f>modif1!G27</f>
        <v>0B</v>
      </c>
      <c r="H27">
        <f>modif1!H27</f>
        <v>320</v>
      </c>
      <c r="I27" t="str">
        <f>modif1!I27</f>
        <v/>
      </c>
      <c r="J27" s="11">
        <f>modif1!J27</f>
        <v>1.7027000000000001</v>
      </c>
      <c r="K27" t="str">
        <f>modif1!K27</f>
        <v>CR</v>
      </c>
      <c r="L27" t="str">
        <f>modif1!L27</f>
        <v>PM</v>
      </c>
      <c r="M27">
        <f>modif1!M27</f>
        <v>2022</v>
      </c>
      <c r="N27" t="str">
        <f>modif1!N27</f>
        <v>CR-PM_2022</v>
      </c>
      <c r="O27" t="b">
        <f>modif1!O27</f>
        <v>1</v>
      </c>
      <c r="P27">
        <v>25</v>
      </c>
      <c r="Q27" s="22"/>
      <c r="R27" t="s">
        <v>1868</v>
      </c>
      <c r="Z27"/>
      <c r="AA27" s="17">
        <f>IF($A27,$J27*(IF(Q27=regle!$B$11,regle!$B$23*IF(AJ27=-2,1+regle!$B$35,1),
IF(Q27=regle!$C$11,regle!$C$23,
IF(Q27=regle!$D$11,regle!$D$23,
IF(Q27=regle!$E$11,regle!$E$23,
IF(Q27=regle!$F$11,regle!$F$23,
IF(Q27=regle!$G$11,regle!$G$23,
IF(Q27=regle!$H$11,regle!$H$23,
IF(Q27=regle!$I$11,regle!$I$23,
IF(Q27=regle!$J$11,regle!$J$23,
IF(Q27=regle!$K$11,regle!$K$23,0))))))))))))</f>
        <v>0</v>
      </c>
      <c r="AB27" s="17">
        <f>IF($A27,$J27*(IF(R27=regle!$B$11,regle!$B$23*IF(AK27=-2,1+regle!$B$35,1),
IF(R27=regle!$C$11,regle!$C$23,
IF(R27=regle!$D$11,regle!$D$23,
IF(R27=regle!$E$11,regle!$E$23,
IF(R27=regle!$F$11,regle!$F$23,
IF(R27=regle!$G$11,regle!$G$23,
IF(R27=regle!$H$11,regle!$H$23,
IF(R27=regle!$I$11,regle!$I$23,
IF(R27=regle!$J$11,regle!$J$23,
IF(R27=regle!$K$11,regle!$K$23,0))))))))))))</f>
        <v>-2894.59</v>
      </c>
      <c r="AC27" s="17">
        <f>IF($A27,$J27*(IF(S27=regle!$B$11,regle!$B$23*IF(AL27=-2,1+regle!$B$35,1),
IF(S27=regle!$C$11,regle!$C$23,
IF(S27=regle!$D$11,regle!$D$23,
IF(S27=regle!$E$11,regle!$E$23,
IF(S27=regle!$F$11,regle!$F$23,
IF(S27=regle!$G$11,regle!$G$23,
IF(S27=regle!$H$11,regle!$H$23,
IF(S27=regle!$I$11,regle!$I$23,
IF(S27=regle!$J$11,regle!$J$23,
IF(S27=regle!$K$11,regle!$K$23,0))))))))))))</f>
        <v>0</v>
      </c>
      <c r="AD27" s="17">
        <f>IF($A27,$J27*(IF(T27=regle!$B$11,regle!$B$23*IF(AM27=-2,1+regle!$B$35,1),
IF(T27=regle!$C$11,regle!$C$23,
IF(T27=regle!$D$11,regle!$D$23,
IF(T27=regle!$E$11,regle!$E$23,
IF(T27=regle!$F$11,regle!$F$23,
IF(T27=regle!$G$11,regle!$G$23,
IF(T27=regle!$H$11,regle!$H$23,
IF(T27=regle!$I$11,regle!$I$23,
IF(T27=regle!$J$11,regle!$J$23,
IF(T27=regle!$K$11,regle!$K$23,0))))))))))))</f>
        <v>0</v>
      </c>
      <c r="AE27" s="17">
        <f>IF($A27,$J27*(IF(U27=regle!$B$11,regle!$B$23*IF(AN27=-2,1+regle!$B$35,1),
IF(U27=regle!$C$11,regle!$C$23,
IF(U27=regle!$D$11,regle!$D$23,
IF(U27=regle!$E$11,regle!$E$23,
IF(U27=regle!$F$11,regle!$F$23,
IF(U27=regle!$G$11,regle!$G$23,
IF(U27=regle!$H$11,regle!$H$23,
IF(U27=regle!$I$11,regle!$I$23,
IF(U27=regle!$J$11,regle!$J$23,
IF(U27=regle!$K$11,regle!$K$23,0))))))))))))</f>
        <v>0</v>
      </c>
      <c r="AF27" s="17">
        <f>IF($A27,$J27*(IF(V27=regle!$B$11,regle!$B$23*IF(AO27=-2,1+regle!$B$35,1),
IF(V27=regle!$C$11,regle!$C$23,
IF(V27=regle!$D$11,regle!$D$23,
IF(V27=regle!$E$11,regle!$E$23,
IF(V27=regle!$F$11,regle!$F$23,
IF(V27=regle!$G$11,regle!$G$23,
IF(V27=regle!$H$11,regle!$H$23,
IF(V27=regle!$I$11,regle!$I$23,
IF(V27=regle!$J$11,regle!$J$23,
IF(V27=regle!$K$11,regle!$K$23,0))))))))))))</f>
        <v>0</v>
      </c>
      <c r="AG27" s="17">
        <f>IF($A27,$J27*(IF(W27=regle!$B$11,regle!$B$23*IF(AP27=-2,1+regle!$B$35,1),
IF(W27=regle!$C$11,regle!$C$23,
IF(W27=regle!$D$11,regle!$D$23,
IF(W27=regle!$E$11,regle!$E$23,
IF(W27=regle!$F$11,regle!$F$23,
IF(W27=regle!$G$11,regle!$G$23,
IF(W27=regle!$H$11,regle!$H$23,
IF(W27=regle!$I$11,regle!$I$23,
IF(W27=regle!$J$11,regle!$J$23,
IF(W27=regle!$K$11,regle!$K$23,0))))))))))))</f>
        <v>0</v>
      </c>
      <c r="AH27" s="17">
        <f>IF($A27,$J27*(IF(X27=regle!$B$11,regle!$B$23*IF(AQ27=-2,1+regle!$B$35,1),
IF(X27=regle!$C$11,regle!$C$23,
IF(X27=regle!$D$11,regle!$D$23,
IF(X27=regle!$E$11,regle!$E$23,
IF(X27=regle!$F$11,regle!$F$23,
IF(X27=regle!$G$11,regle!$G$23,
IF(X27=regle!$H$11,regle!$H$23,
IF(X27=regle!$I$11,regle!$I$23,
IF(X27=regle!$J$11,regle!$J$23,
IF(X27=regle!$K$11,regle!$K$23,0))))))))))))</f>
        <v>0</v>
      </c>
      <c r="AI27" s="17">
        <f>IF($A27,$J27*(IF(Y27=regle!$B$11,regle!$B$23*IF(AR27=-2,1+regle!$B$35,1),
IF(Y27=regle!$C$11,regle!$C$23,
IF(Y27=regle!$D$11,regle!$D$23,
IF(Y27=regle!$E$11,regle!$E$23,
IF(Y27=regle!$F$11,regle!$F$23,
IF(Y27=regle!$G$11,regle!$G$23,
IF(Y27=regle!$H$11,regle!$H$23,
IF(Y27=regle!$I$11,regle!$I$23,
IF(Y27=regle!$J$11,regle!$J$23,
IF(Y27=regle!$K$11,regle!$K$23,0))))))))))))</f>
        <v>0</v>
      </c>
      <c r="AJ27" s="17">
        <f>IF($A27,$J27*(IF(Z27=regle!$B$11,regle!$B$23*IF(AS27=-2,1+regle!$B$35,1),
IF(Z27=regle!$C$11,regle!$C$23,
IF(Z27=regle!$D$11,regle!$D$23,
IF(Z27=regle!$E$11,regle!$E$23,
IF(Z27=regle!$F$11,regle!$F$23,
IF(Z27=regle!$G$11,regle!$G$23,
IF(Z27=regle!$H$11,regle!$H$23,
IF(Z27=regle!$I$11,regle!$I$23,
IF(Z27=regle!$J$11,regle!$J$23,
IF(Z27=regle!$K$11,regle!$K$23,0))))))))))))</f>
        <v>0</v>
      </c>
      <c r="AK27" s="16">
        <f>IF(OR(Q27=regle!$J$11,Q27=regle!$K$11),-2,IF(Q27=regle!$B$11,0,IF(AK$1=$AK$1,IF($O27,-1,regle!$B$2-$M27),IF(AJ27=-1,-1,AJ27+1))))</f>
        <v>-1</v>
      </c>
      <c r="AL27" s="16">
        <f>IF(OR(R27=regle!$J$11,R27=regle!$K$11),-2,IF(R27=regle!$B$11,0,IF(AL$1=$AK$1,IF($O27,-1,regle!$B$2-$M27),IF(AK27=-1,-1,AK27+1))))</f>
        <v>0</v>
      </c>
      <c r="AM27" s="16">
        <f>IF(OR(S27=regle!$J$11,S27=regle!$K$11),-2,IF(S27=regle!$B$11,0,IF(AM$1=$AK$1,IF($O27,-1,regle!$B$2-$M27),IF(AL27=-1,-1,AL27+1))))</f>
        <v>1</v>
      </c>
      <c r="AN27" s="16">
        <f>IF(OR(T27=regle!$J$11,T27=regle!$K$11),-2,IF(T27=regle!$B$11,0,IF(AN$1=$AK$1,IF($O27,-1,regle!$B$2-$M27),IF(AM27=-1,-1,AM27+1))))</f>
        <v>2</v>
      </c>
      <c r="AO27" s="16">
        <f>IF(OR(U27=regle!$J$11,U27=regle!$K$11),-2,IF(U27=regle!$B$11,0,IF(AO$1=$AK$1,IF($O27,-1,regle!$B$2-$M27),IF(AN27=-1,-1,AN27+1))))</f>
        <v>3</v>
      </c>
      <c r="AP27" s="16">
        <f>IF(OR(V27=regle!$J$11,V27=regle!$K$11),-2,IF(V27=regle!$B$11,0,IF(AP$1=$AK$1,IF($O27,-1,regle!$B$2-$M27),IF(AO27=-1,-1,AO27+1))))</f>
        <v>4</v>
      </c>
      <c r="AQ27" s="16">
        <f>IF(OR(W27=regle!$J$11,W27=regle!$K$11),-2,IF(W27=regle!$B$11,0,IF(AQ$1=$AK$1,IF($O27,-1,regle!$B$2-$M27),IF(AP27=-1,-1,AP27+1))))</f>
        <v>5</v>
      </c>
      <c r="AR27" s="16">
        <f>IF(OR(X27=regle!$J$11,X27=regle!$K$11),-2,IF(X27=regle!$B$11,0,IF(AR$1=$AK$1,IF($O27,-1,regle!$B$2-$M27),IF(AQ27=-1,-1,AQ27+1))))</f>
        <v>6</v>
      </c>
      <c r="AS27" s="16">
        <f>IF(OR(Y27=regle!$J$11,Y27=regle!$K$11),-2,IF(Y27=regle!$B$11,0,IF(AS$1=$AK$1,IF($O27,-1,regle!$B$2-$M27),IF(AR27=-1,-1,AR27+1))))</f>
        <v>7</v>
      </c>
      <c r="AT27" s="16">
        <f>IF(OR(Z27=regle!$J$11,Z27=regle!$K$11),-2,IF(Z27=regle!$B$11,0,IF(AT$1=$AK$1,IF($O27,-1,regle!$B$2-$M27),IF(AS27=-1,-1,AS27+1))))</f>
        <v>8</v>
      </c>
    </row>
    <row r="28" spans="1:46" x14ac:dyDescent="0.25">
      <c r="A28" t="b">
        <f>modif1!A28</f>
        <v>1</v>
      </c>
      <c r="B28">
        <f>ROW(modif1!B28)</f>
        <v>28</v>
      </c>
      <c r="C28" t="str">
        <f>modif1!C31</f>
        <v>202</v>
      </c>
      <c r="D28" t="str">
        <f>modif1!D28</f>
        <v>MANO</v>
      </c>
      <c r="E28">
        <f>modif1!E28</f>
        <v>17</v>
      </c>
      <c r="F28" t="str">
        <f>modif1!F28</f>
        <v>LANDE DE TABARTON</v>
      </c>
      <c r="G28" t="str">
        <f>modif1!G28</f>
        <v>0B</v>
      </c>
      <c r="H28">
        <f>modif1!H28</f>
        <v>309</v>
      </c>
      <c r="I28" t="str">
        <f>modif1!I28</f>
        <v/>
      </c>
      <c r="J28" s="11">
        <f>modif1!J28</f>
        <v>1.6930000000000001</v>
      </c>
      <c r="K28" t="str">
        <f>modif1!K28</f>
        <v>CR</v>
      </c>
      <c r="L28" t="str">
        <f>modif1!L28</f>
        <v>PM</v>
      </c>
      <c r="M28">
        <f>modif1!M28</f>
        <v>2022</v>
      </c>
      <c r="N28" t="str">
        <f>modif1!N28</f>
        <v>CR-PM_2022</v>
      </c>
      <c r="O28" t="b">
        <f>modif1!O28</f>
        <v>1</v>
      </c>
      <c r="P28">
        <v>25</v>
      </c>
      <c r="Q28" s="22"/>
      <c r="R28" t="s">
        <v>1868</v>
      </c>
      <c r="Z28"/>
      <c r="AA28" s="17">
        <f>IF($A28,$J28*(IF(Q28=regle!$B$11,regle!$B$23*IF(AJ28=-2,1+regle!$B$35,1),
IF(Q28=regle!$C$11,regle!$C$23,
IF(Q28=regle!$D$11,regle!$D$23,
IF(Q28=regle!$E$11,regle!$E$23,
IF(Q28=regle!$F$11,regle!$F$23,
IF(Q28=regle!$G$11,regle!$G$23,
IF(Q28=regle!$H$11,regle!$H$23,
IF(Q28=regle!$I$11,regle!$I$23,
IF(Q28=regle!$J$11,regle!$J$23,
IF(Q28=regle!$K$11,regle!$K$23,0))))))))))))</f>
        <v>0</v>
      </c>
      <c r="AB28" s="17">
        <f>IF($A28,$J28*(IF(R28=regle!$B$11,regle!$B$23*IF(AK28=-2,1+regle!$B$35,1),
IF(R28=regle!$C$11,regle!$C$23,
IF(R28=regle!$D$11,regle!$D$23,
IF(R28=regle!$E$11,regle!$E$23,
IF(R28=regle!$F$11,regle!$F$23,
IF(R28=regle!$G$11,regle!$G$23,
IF(R28=regle!$H$11,regle!$H$23,
IF(R28=regle!$I$11,regle!$I$23,
IF(R28=regle!$J$11,regle!$J$23,
IF(R28=regle!$K$11,regle!$K$23,0))))))))))))</f>
        <v>-2878.1</v>
      </c>
      <c r="AC28" s="17">
        <f>IF($A28,$J28*(IF(S28=regle!$B$11,regle!$B$23*IF(AL28=-2,1+regle!$B$35,1),
IF(S28=regle!$C$11,regle!$C$23,
IF(S28=regle!$D$11,regle!$D$23,
IF(S28=regle!$E$11,regle!$E$23,
IF(S28=regle!$F$11,regle!$F$23,
IF(S28=regle!$G$11,regle!$G$23,
IF(S28=regle!$H$11,regle!$H$23,
IF(S28=regle!$I$11,regle!$I$23,
IF(S28=regle!$J$11,regle!$J$23,
IF(S28=regle!$K$11,regle!$K$23,0))))))))))))</f>
        <v>0</v>
      </c>
      <c r="AD28" s="17">
        <f>IF($A28,$J28*(IF(T28=regle!$B$11,regle!$B$23*IF(AM28=-2,1+regle!$B$35,1),
IF(T28=regle!$C$11,regle!$C$23,
IF(T28=regle!$D$11,regle!$D$23,
IF(T28=regle!$E$11,regle!$E$23,
IF(T28=regle!$F$11,regle!$F$23,
IF(T28=regle!$G$11,regle!$G$23,
IF(T28=regle!$H$11,regle!$H$23,
IF(T28=regle!$I$11,regle!$I$23,
IF(T28=regle!$J$11,regle!$J$23,
IF(T28=regle!$K$11,regle!$K$23,0))))))))))))</f>
        <v>0</v>
      </c>
      <c r="AE28" s="17">
        <f>IF($A28,$J28*(IF(U28=regle!$B$11,regle!$B$23*IF(AN28=-2,1+regle!$B$35,1),
IF(U28=regle!$C$11,regle!$C$23,
IF(U28=regle!$D$11,regle!$D$23,
IF(U28=regle!$E$11,regle!$E$23,
IF(U28=regle!$F$11,regle!$F$23,
IF(U28=regle!$G$11,regle!$G$23,
IF(U28=regle!$H$11,regle!$H$23,
IF(U28=regle!$I$11,regle!$I$23,
IF(U28=regle!$J$11,regle!$J$23,
IF(U28=regle!$K$11,regle!$K$23,0))))))))))))</f>
        <v>0</v>
      </c>
      <c r="AF28" s="17">
        <f>IF($A28,$J28*(IF(V28=regle!$B$11,regle!$B$23*IF(AO28=-2,1+regle!$B$35,1),
IF(V28=regle!$C$11,regle!$C$23,
IF(V28=regle!$D$11,regle!$D$23,
IF(V28=regle!$E$11,regle!$E$23,
IF(V28=regle!$F$11,regle!$F$23,
IF(V28=regle!$G$11,regle!$G$23,
IF(V28=regle!$H$11,regle!$H$23,
IF(V28=regle!$I$11,regle!$I$23,
IF(V28=regle!$J$11,regle!$J$23,
IF(V28=regle!$K$11,regle!$K$23,0))))))))))))</f>
        <v>0</v>
      </c>
      <c r="AG28" s="17">
        <f>IF($A28,$J28*(IF(W28=regle!$B$11,regle!$B$23*IF(AP28=-2,1+regle!$B$35,1),
IF(W28=regle!$C$11,regle!$C$23,
IF(W28=regle!$D$11,regle!$D$23,
IF(W28=regle!$E$11,regle!$E$23,
IF(W28=regle!$F$11,regle!$F$23,
IF(W28=regle!$G$11,regle!$G$23,
IF(W28=regle!$H$11,regle!$H$23,
IF(W28=regle!$I$11,regle!$I$23,
IF(W28=regle!$J$11,regle!$J$23,
IF(W28=regle!$K$11,regle!$K$23,0))))))))))))</f>
        <v>0</v>
      </c>
      <c r="AH28" s="17">
        <f>IF($A28,$J28*(IF(X28=regle!$B$11,regle!$B$23*IF(AQ28=-2,1+regle!$B$35,1),
IF(X28=regle!$C$11,regle!$C$23,
IF(X28=regle!$D$11,regle!$D$23,
IF(X28=regle!$E$11,regle!$E$23,
IF(X28=regle!$F$11,regle!$F$23,
IF(X28=regle!$G$11,regle!$G$23,
IF(X28=regle!$H$11,regle!$H$23,
IF(X28=regle!$I$11,regle!$I$23,
IF(X28=regle!$J$11,regle!$J$23,
IF(X28=regle!$K$11,regle!$K$23,0))))))))))))</f>
        <v>0</v>
      </c>
      <c r="AI28" s="17">
        <f>IF($A28,$J28*(IF(Y28=regle!$B$11,regle!$B$23*IF(AR28=-2,1+regle!$B$35,1),
IF(Y28=regle!$C$11,regle!$C$23,
IF(Y28=regle!$D$11,regle!$D$23,
IF(Y28=regle!$E$11,regle!$E$23,
IF(Y28=regle!$F$11,regle!$F$23,
IF(Y28=regle!$G$11,regle!$G$23,
IF(Y28=regle!$H$11,regle!$H$23,
IF(Y28=regle!$I$11,regle!$I$23,
IF(Y28=regle!$J$11,regle!$J$23,
IF(Y28=regle!$K$11,regle!$K$23,0))))))))))))</f>
        <v>0</v>
      </c>
      <c r="AJ28" s="17">
        <f>IF($A28,$J28*(IF(Z28=regle!$B$11,regle!$B$23*IF(AS28=-2,1+regle!$B$35,1),
IF(Z28=regle!$C$11,regle!$C$23,
IF(Z28=regle!$D$11,regle!$D$23,
IF(Z28=regle!$E$11,regle!$E$23,
IF(Z28=regle!$F$11,regle!$F$23,
IF(Z28=regle!$G$11,regle!$G$23,
IF(Z28=regle!$H$11,regle!$H$23,
IF(Z28=regle!$I$11,regle!$I$23,
IF(Z28=regle!$J$11,regle!$J$23,
IF(Z28=regle!$K$11,regle!$K$23,0))))))))))))</f>
        <v>0</v>
      </c>
      <c r="AK28" s="16">
        <f>IF(OR(Q28=regle!$J$11,Q28=regle!$K$11),-2,IF(Q28=regle!$B$11,0,IF(AK$1=$AK$1,IF($O28,-1,regle!$B$2-$M28),IF(AJ28=-1,-1,AJ28+1))))</f>
        <v>-1</v>
      </c>
      <c r="AL28" s="16">
        <f>IF(OR(R28=regle!$J$11,R28=regle!$K$11),-2,IF(R28=regle!$B$11,0,IF(AL$1=$AK$1,IF($O28,-1,regle!$B$2-$M28),IF(AK28=-1,-1,AK28+1))))</f>
        <v>0</v>
      </c>
      <c r="AM28" s="16">
        <f>IF(OR(S28=regle!$J$11,S28=regle!$K$11),-2,IF(S28=regle!$B$11,0,IF(AM$1=$AK$1,IF($O28,-1,regle!$B$2-$M28),IF(AL28=-1,-1,AL28+1))))</f>
        <v>1</v>
      </c>
      <c r="AN28" s="16">
        <f>IF(OR(T28=regle!$J$11,T28=regle!$K$11),-2,IF(T28=regle!$B$11,0,IF(AN$1=$AK$1,IF($O28,-1,regle!$B$2-$M28),IF(AM28=-1,-1,AM28+1))))</f>
        <v>2</v>
      </c>
      <c r="AO28" s="16">
        <f>IF(OR(U28=regle!$J$11,U28=regle!$K$11),-2,IF(U28=regle!$B$11,0,IF(AO$1=$AK$1,IF($O28,-1,regle!$B$2-$M28),IF(AN28=-1,-1,AN28+1))))</f>
        <v>3</v>
      </c>
      <c r="AP28" s="16">
        <f>IF(OR(V28=regle!$J$11,V28=regle!$K$11),-2,IF(V28=regle!$B$11,0,IF(AP$1=$AK$1,IF($O28,-1,regle!$B$2-$M28),IF(AO28=-1,-1,AO28+1))))</f>
        <v>4</v>
      </c>
      <c r="AQ28" s="16">
        <f>IF(OR(W28=regle!$J$11,W28=regle!$K$11),-2,IF(W28=regle!$B$11,0,IF(AQ$1=$AK$1,IF($O28,-1,regle!$B$2-$M28),IF(AP28=-1,-1,AP28+1))))</f>
        <v>5</v>
      </c>
      <c r="AR28" s="16">
        <f>IF(OR(X28=regle!$J$11,X28=regle!$K$11),-2,IF(X28=regle!$B$11,0,IF(AR$1=$AK$1,IF($O28,-1,regle!$B$2-$M28),IF(AQ28=-1,-1,AQ28+1))))</f>
        <v>6</v>
      </c>
      <c r="AS28" s="16">
        <f>IF(OR(Y28=regle!$J$11,Y28=regle!$K$11),-2,IF(Y28=regle!$B$11,0,IF(AS$1=$AK$1,IF($O28,-1,regle!$B$2-$M28),IF(AR28=-1,-1,AR28+1))))</f>
        <v>7</v>
      </c>
      <c r="AT28" s="16">
        <f>IF(OR(Z28=regle!$J$11,Z28=regle!$K$11),-2,IF(Z28=regle!$B$11,0,IF(AT$1=$AK$1,IF($O28,-1,regle!$B$2-$M28),IF(AS28=-1,-1,AS28+1))))</f>
        <v>8</v>
      </c>
    </row>
    <row r="29" spans="1:46" x14ac:dyDescent="0.25">
      <c r="A29" t="b">
        <f>modif1!A29</f>
        <v>1</v>
      </c>
      <c r="B29">
        <f>ROW(modif1!B29)</f>
        <v>29</v>
      </c>
      <c r="C29" t="str">
        <f>modif1!C32</f>
        <v>200</v>
      </c>
      <c r="D29" t="str">
        <f>modif1!D29</f>
        <v>HOSTENS</v>
      </c>
      <c r="E29">
        <f>modif1!E29</f>
        <v>7</v>
      </c>
      <c r="F29" t="str">
        <f>modif1!F29</f>
        <v>HAUDOUA</v>
      </c>
      <c r="G29" t="str">
        <f>modif1!G29</f>
        <v>0A</v>
      </c>
      <c r="H29">
        <f>modif1!H29</f>
        <v>408</v>
      </c>
      <c r="I29" t="str">
        <f>modif1!I29</f>
        <v/>
      </c>
      <c r="J29" s="11">
        <f>modif1!J29</f>
        <v>1.6405000000000001</v>
      </c>
      <c r="K29" t="str">
        <f>modif1!K29</f>
        <v>CR</v>
      </c>
      <c r="L29" t="str">
        <f>modif1!L29</f>
        <v>PM</v>
      </c>
      <c r="M29">
        <f>modif1!M29</f>
        <v>2022</v>
      </c>
      <c r="N29" t="str">
        <f>modif1!N29</f>
        <v>CR-PM_2022</v>
      </c>
      <c r="O29" t="b">
        <f>modif1!O29</f>
        <v>1</v>
      </c>
      <c r="P29">
        <v>25</v>
      </c>
      <c r="Q29" s="22"/>
      <c r="R29" t="s">
        <v>1868</v>
      </c>
      <c r="Z29"/>
      <c r="AA29" s="17">
        <f>IF($A29,$J29*(IF(Q29=regle!$B$11,regle!$B$23*IF(AJ29=-2,1+regle!$B$35,1),
IF(Q29=regle!$C$11,regle!$C$23,
IF(Q29=regle!$D$11,regle!$D$23,
IF(Q29=regle!$E$11,regle!$E$23,
IF(Q29=regle!$F$11,regle!$F$23,
IF(Q29=regle!$G$11,regle!$G$23,
IF(Q29=regle!$H$11,regle!$H$23,
IF(Q29=regle!$I$11,regle!$I$23,
IF(Q29=regle!$J$11,regle!$J$23,
IF(Q29=regle!$K$11,regle!$K$23,0))))))))))))</f>
        <v>0</v>
      </c>
      <c r="AB29" s="17">
        <f>IF($A29,$J29*(IF(R29=regle!$B$11,regle!$B$23*IF(AK29=-2,1+regle!$B$35,1),
IF(R29=regle!$C$11,regle!$C$23,
IF(R29=regle!$D$11,regle!$D$23,
IF(R29=regle!$E$11,regle!$E$23,
IF(R29=regle!$F$11,regle!$F$23,
IF(R29=regle!$G$11,regle!$G$23,
IF(R29=regle!$H$11,regle!$H$23,
IF(R29=regle!$I$11,regle!$I$23,
IF(R29=regle!$J$11,regle!$J$23,
IF(R29=regle!$K$11,regle!$K$23,0))))))))))))</f>
        <v>-2788.85</v>
      </c>
      <c r="AC29" s="17">
        <f>IF($A29,$J29*(IF(S29=regle!$B$11,regle!$B$23*IF(AL29=-2,1+regle!$B$35,1),
IF(S29=regle!$C$11,regle!$C$23,
IF(S29=regle!$D$11,regle!$D$23,
IF(S29=regle!$E$11,regle!$E$23,
IF(S29=regle!$F$11,regle!$F$23,
IF(S29=regle!$G$11,regle!$G$23,
IF(S29=regle!$H$11,regle!$H$23,
IF(S29=regle!$I$11,regle!$I$23,
IF(S29=regle!$J$11,regle!$J$23,
IF(S29=regle!$K$11,regle!$K$23,0))))))))))))</f>
        <v>0</v>
      </c>
      <c r="AD29" s="17">
        <f>IF($A29,$J29*(IF(T29=regle!$B$11,regle!$B$23*IF(AM29=-2,1+regle!$B$35,1),
IF(T29=regle!$C$11,regle!$C$23,
IF(T29=regle!$D$11,regle!$D$23,
IF(T29=regle!$E$11,regle!$E$23,
IF(T29=regle!$F$11,regle!$F$23,
IF(T29=regle!$G$11,regle!$G$23,
IF(T29=regle!$H$11,regle!$H$23,
IF(T29=regle!$I$11,regle!$I$23,
IF(T29=regle!$J$11,regle!$J$23,
IF(T29=regle!$K$11,regle!$K$23,0))))))))))))</f>
        <v>0</v>
      </c>
      <c r="AE29" s="17">
        <f>IF($A29,$J29*(IF(U29=regle!$B$11,regle!$B$23*IF(AN29=-2,1+regle!$B$35,1),
IF(U29=regle!$C$11,regle!$C$23,
IF(U29=regle!$D$11,regle!$D$23,
IF(U29=regle!$E$11,regle!$E$23,
IF(U29=regle!$F$11,regle!$F$23,
IF(U29=regle!$G$11,regle!$G$23,
IF(U29=regle!$H$11,regle!$H$23,
IF(U29=regle!$I$11,regle!$I$23,
IF(U29=regle!$J$11,regle!$J$23,
IF(U29=regle!$K$11,regle!$K$23,0))))))))))))</f>
        <v>0</v>
      </c>
      <c r="AF29" s="17">
        <f>IF($A29,$J29*(IF(V29=regle!$B$11,regle!$B$23*IF(AO29=-2,1+regle!$B$35,1),
IF(V29=regle!$C$11,regle!$C$23,
IF(V29=regle!$D$11,regle!$D$23,
IF(V29=regle!$E$11,regle!$E$23,
IF(V29=regle!$F$11,regle!$F$23,
IF(V29=regle!$G$11,regle!$G$23,
IF(V29=regle!$H$11,regle!$H$23,
IF(V29=regle!$I$11,regle!$I$23,
IF(V29=regle!$J$11,regle!$J$23,
IF(V29=regle!$K$11,regle!$K$23,0))))))))))))</f>
        <v>0</v>
      </c>
      <c r="AG29" s="17">
        <f>IF($A29,$J29*(IF(W29=regle!$B$11,regle!$B$23*IF(AP29=-2,1+regle!$B$35,1),
IF(W29=regle!$C$11,regle!$C$23,
IF(W29=regle!$D$11,regle!$D$23,
IF(W29=regle!$E$11,regle!$E$23,
IF(W29=regle!$F$11,regle!$F$23,
IF(W29=regle!$G$11,regle!$G$23,
IF(W29=regle!$H$11,regle!$H$23,
IF(W29=regle!$I$11,regle!$I$23,
IF(W29=regle!$J$11,regle!$J$23,
IF(W29=regle!$K$11,regle!$K$23,0))))))))))))</f>
        <v>0</v>
      </c>
      <c r="AH29" s="17">
        <f>IF($A29,$J29*(IF(X29=regle!$B$11,regle!$B$23*IF(AQ29=-2,1+regle!$B$35,1),
IF(X29=regle!$C$11,regle!$C$23,
IF(X29=regle!$D$11,regle!$D$23,
IF(X29=regle!$E$11,regle!$E$23,
IF(X29=regle!$F$11,regle!$F$23,
IF(X29=regle!$G$11,regle!$G$23,
IF(X29=regle!$H$11,regle!$H$23,
IF(X29=regle!$I$11,regle!$I$23,
IF(X29=regle!$J$11,regle!$J$23,
IF(X29=regle!$K$11,regle!$K$23,0))))))))))))</f>
        <v>0</v>
      </c>
      <c r="AI29" s="17">
        <f>IF($A29,$J29*(IF(Y29=regle!$B$11,regle!$B$23*IF(AR29=-2,1+regle!$B$35,1),
IF(Y29=regle!$C$11,regle!$C$23,
IF(Y29=regle!$D$11,regle!$D$23,
IF(Y29=regle!$E$11,regle!$E$23,
IF(Y29=regle!$F$11,regle!$F$23,
IF(Y29=regle!$G$11,regle!$G$23,
IF(Y29=regle!$H$11,regle!$H$23,
IF(Y29=regle!$I$11,regle!$I$23,
IF(Y29=regle!$J$11,regle!$J$23,
IF(Y29=regle!$K$11,regle!$K$23,0))))))))))))</f>
        <v>0</v>
      </c>
      <c r="AJ29" s="17">
        <f>IF($A29,$J29*(IF(Z29=regle!$B$11,regle!$B$23*IF(AS29=-2,1+regle!$B$35,1),
IF(Z29=regle!$C$11,regle!$C$23,
IF(Z29=regle!$D$11,regle!$D$23,
IF(Z29=regle!$E$11,regle!$E$23,
IF(Z29=regle!$F$11,regle!$F$23,
IF(Z29=regle!$G$11,regle!$G$23,
IF(Z29=regle!$H$11,regle!$H$23,
IF(Z29=regle!$I$11,regle!$I$23,
IF(Z29=regle!$J$11,regle!$J$23,
IF(Z29=regle!$K$11,regle!$K$23,0))))))))))))</f>
        <v>0</v>
      </c>
      <c r="AK29" s="16">
        <f>IF(OR(Q29=regle!$J$11,Q29=regle!$K$11),-2,IF(Q29=regle!$B$11,0,IF(AK$1=$AK$1,IF($O29,-1,regle!$B$2-$M29),IF(AJ29=-1,-1,AJ29+1))))</f>
        <v>-1</v>
      </c>
      <c r="AL29" s="16">
        <f>IF(OR(R29=regle!$J$11,R29=regle!$K$11),-2,IF(R29=regle!$B$11,0,IF(AL$1=$AK$1,IF($O29,-1,regle!$B$2-$M29),IF(AK29=-1,-1,AK29+1))))</f>
        <v>0</v>
      </c>
      <c r="AM29" s="16">
        <f>IF(OR(S29=regle!$J$11,S29=regle!$K$11),-2,IF(S29=regle!$B$11,0,IF(AM$1=$AK$1,IF($O29,-1,regle!$B$2-$M29),IF(AL29=-1,-1,AL29+1))))</f>
        <v>1</v>
      </c>
      <c r="AN29" s="16">
        <f>IF(OR(T29=regle!$J$11,T29=regle!$K$11),-2,IF(T29=regle!$B$11,0,IF(AN$1=$AK$1,IF($O29,-1,regle!$B$2-$M29),IF(AM29=-1,-1,AM29+1))))</f>
        <v>2</v>
      </c>
      <c r="AO29" s="16">
        <f>IF(OR(U29=regle!$J$11,U29=regle!$K$11),-2,IF(U29=regle!$B$11,0,IF(AO$1=$AK$1,IF($O29,-1,regle!$B$2-$M29),IF(AN29=-1,-1,AN29+1))))</f>
        <v>3</v>
      </c>
      <c r="AP29" s="16">
        <f>IF(OR(V29=regle!$J$11,V29=regle!$K$11),-2,IF(V29=regle!$B$11,0,IF(AP$1=$AK$1,IF($O29,-1,regle!$B$2-$M29),IF(AO29=-1,-1,AO29+1))))</f>
        <v>4</v>
      </c>
      <c r="AQ29" s="16">
        <f>IF(OR(W29=regle!$J$11,W29=regle!$K$11),-2,IF(W29=regle!$B$11,0,IF(AQ$1=$AK$1,IF($O29,-1,regle!$B$2-$M29),IF(AP29=-1,-1,AP29+1))))</f>
        <v>5</v>
      </c>
      <c r="AR29" s="16">
        <f>IF(OR(X29=regle!$J$11,X29=regle!$K$11),-2,IF(X29=regle!$B$11,0,IF(AR$1=$AK$1,IF($O29,-1,regle!$B$2-$M29),IF(AQ29=-1,-1,AQ29+1))))</f>
        <v>6</v>
      </c>
      <c r="AS29" s="16">
        <f>IF(OR(Y29=regle!$J$11,Y29=regle!$K$11),-2,IF(Y29=regle!$B$11,0,IF(AS$1=$AK$1,IF($O29,-1,regle!$B$2-$M29),IF(AR29=-1,-1,AR29+1))))</f>
        <v>7</v>
      </c>
      <c r="AT29" s="16">
        <f>IF(OR(Z29=regle!$J$11,Z29=regle!$K$11),-2,IF(Z29=regle!$B$11,0,IF(AT$1=$AK$1,IF($O29,-1,regle!$B$2-$M29),IF(AS29=-1,-1,AS29+1))))</f>
        <v>8</v>
      </c>
    </row>
    <row r="30" spans="1:46" x14ac:dyDescent="0.25">
      <c r="A30" t="b">
        <f>modif1!A30</f>
        <v>1</v>
      </c>
      <c r="B30">
        <f>ROW(modif1!B30)</f>
        <v>30</v>
      </c>
      <c r="C30" t="str">
        <f>modif1!C33</f>
        <v>171</v>
      </c>
      <c r="D30" t="str">
        <f>modif1!D30</f>
        <v>MANO</v>
      </c>
      <c r="E30">
        <f>modif1!E30</f>
        <v>5</v>
      </c>
      <c r="F30" t="str">
        <f>modif1!F30</f>
        <v>BOSCQ</v>
      </c>
      <c r="G30" t="str">
        <f>modif1!G30</f>
        <v>0D</v>
      </c>
      <c r="H30">
        <f>modif1!H30</f>
        <v>263</v>
      </c>
      <c r="I30" t="str">
        <f>modif1!I30</f>
        <v/>
      </c>
      <c r="J30" s="11">
        <f>modif1!J30</f>
        <v>1.6395</v>
      </c>
      <c r="K30" t="str">
        <f>modif1!K30</f>
        <v>CR</v>
      </c>
      <c r="L30" t="str">
        <f>modif1!L30</f>
        <v>PM</v>
      </c>
      <c r="M30">
        <f>modif1!M30</f>
        <v>2022</v>
      </c>
      <c r="N30" t="str">
        <f>modif1!N30</f>
        <v>CR-PM_2022</v>
      </c>
      <c r="O30" t="b">
        <f>modif1!O30</f>
        <v>1</v>
      </c>
      <c r="P30">
        <v>25</v>
      </c>
      <c r="Q30" s="22"/>
      <c r="R30" t="s">
        <v>1868</v>
      </c>
      <c r="Z30"/>
      <c r="AA30" s="17">
        <f>IF($A30,$J30*(IF(Q30=regle!$B$11,regle!$B$23*IF(AJ30=-2,1+regle!$B$35,1),
IF(Q30=regle!$C$11,regle!$C$23,
IF(Q30=regle!$D$11,regle!$D$23,
IF(Q30=regle!$E$11,regle!$E$23,
IF(Q30=regle!$F$11,regle!$F$23,
IF(Q30=regle!$G$11,regle!$G$23,
IF(Q30=regle!$H$11,regle!$H$23,
IF(Q30=regle!$I$11,regle!$I$23,
IF(Q30=regle!$J$11,regle!$J$23,
IF(Q30=regle!$K$11,regle!$K$23,0))))))))))))</f>
        <v>0</v>
      </c>
      <c r="AB30" s="17">
        <f>IF($A30,$J30*(IF(R30=regle!$B$11,regle!$B$23*IF(AK30=-2,1+regle!$B$35,1),
IF(R30=regle!$C$11,regle!$C$23,
IF(R30=regle!$D$11,regle!$D$23,
IF(R30=regle!$E$11,regle!$E$23,
IF(R30=regle!$F$11,regle!$F$23,
IF(R30=regle!$G$11,regle!$G$23,
IF(R30=regle!$H$11,regle!$H$23,
IF(R30=regle!$I$11,regle!$I$23,
IF(R30=regle!$J$11,regle!$J$23,
IF(R30=regle!$K$11,regle!$K$23,0))))))))))))</f>
        <v>-2787.15</v>
      </c>
      <c r="AC30" s="17">
        <f>IF($A30,$J30*(IF(S30=regle!$B$11,regle!$B$23*IF(AL30=-2,1+regle!$B$35,1),
IF(S30=regle!$C$11,regle!$C$23,
IF(S30=regle!$D$11,regle!$D$23,
IF(S30=regle!$E$11,regle!$E$23,
IF(S30=regle!$F$11,regle!$F$23,
IF(S30=regle!$G$11,regle!$G$23,
IF(S30=regle!$H$11,regle!$H$23,
IF(S30=regle!$I$11,regle!$I$23,
IF(S30=regle!$J$11,regle!$J$23,
IF(S30=regle!$K$11,regle!$K$23,0))))))))))))</f>
        <v>0</v>
      </c>
      <c r="AD30" s="17">
        <f>IF($A30,$J30*(IF(T30=regle!$B$11,regle!$B$23*IF(AM30=-2,1+regle!$B$35,1),
IF(T30=regle!$C$11,regle!$C$23,
IF(T30=regle!$D$11,regle!$D$23,
IF(T30=regle!$E$11,regle!$E$23,
IF(T30=regle!$F$11,regle!$F$23,
IF(T30=regle!$G$11,regle!$G$23,
IF(T30=regle!$H$11,regle!$H$23,
IF(T30=regle!$I$11,regle!$I$23,
IF(T30=regle!$J$11,regle!$J$23,
IF(T30=regle!$K$11,regle!$K$23,0))))))))))))</f>
        <v>0</v>
      </c>
      <c r="AE30" s="17">
        <f>IF($A30,$J30*(IF(U30=regle!$B$11,regle!$B$23*IF(AN30=-2,1+regle!$B$35,1),
IF(U30=regle!$C$11,regle!$C$23,
IF(U30=regle!$D$11,regle!$D$23,
IF(U30=regle!$E$11,regle!$E$23,
IF(U30=regle!$F$11,regle!$F$23,
IF(U30=regle!$G$11,regle!$G$23,
IF(U30=regle!$H$11,regle!$H$23,
IF(U30=regle!$I$11,regle!$I$23,
IF(U30=regle!$J$11,regle!$J$23,
IF(U30=regle!$K$11,regle!$K$23,0))))))))))))</f>
        <v>0</v>
      </c>
      <c r="AF30" s="17">
        <f>IF($A30,$J30*(IF(V30=regle!$B$11,regle!$B$23*IF(AO30=-2,1+regle!$B$35,1),
IF(V30=regle!$C$11,regle!$C$23,
IF(V30=regle!$D$11,regle!$D$23,
IF(V30=regle!$E$11,regle!$E$23,
IF(V30=regle!$F$11,regle!$F$23,
IF(V30=regle!$G$11,regle!$G$23,
IF(V30=regle!$H$11,regle!$H$23,
IF(V30=regle!$I$11,regle!$I$23,
IF(V30=regle!$J$11,regle!$J$23,
IF(V30=regle!$K$11,regle!$K$23,0))))))))))))</f>
        <v>0</v>
      </c>
      <c r="AG30" s="17">
        <f>IF($A30,$J30*(IF(W30=regle!$B$11,regle!$B$23*IF(AP30=-2,1+regle!$B$35,1),
IF(W30=regle!$C$11,regle!$C$23,
IF(W30=regle!$D$11,regle!$D$23,
IF(W30=regle!$E$11,regle!$E$23,
IF(W30=regle!$F$11,regle!$F$23,
IF(W30=regle!$G$11,regle!$G$23,
IF(W30=regle!$H$11,regle!$H$23,
IF(W30=regle!$I$11,regle!$I$23,
IF(W30=regle!$J$11,regle!$J$23,
IF(W30=regle!$K$11,regle!$K$23,0))))))))))))</f>
        <v>0</v>
      </c>
      <c r="AH30" s="17">
        <f>IF($A30,$J30*(IF(X30=regle!$B$11,regle!$B$23*IF(AQ30=-2,1+regle!$B$35,1),
IF(X30=regle!$C$11,regle!$C$23,
IF(X30=regle!$D$11,regle!$D$23,
IF(X30=regle!$E$11,regle!$E$23,
IF(X30=regle!$F$11,regle!$F$23,
IF(X30=regle!$G$11,regle!$G$23,
IF(X30=regle!$H$11,regle!$H$23,
IF(X30=regle!$I$11,regle!$I$23,
IF(X30=regle!$J$11,regle!$J$23,
IF(X30=regle!$K$11,regle!$K$23,0))))))))))))</f>
        <v>0</v>
      </c>
      <c r="AI30" s="17">
        <f>IF($A30,$J30*(IF(Y30=regle!$B$11,regle!$B$23*IF(AR30=-2,1+regle!$B$35,1),
IF(Y30=regle!$C$11,regle!$C$23,
IF(Y30=regle!$D$11,regle!$D$23,
IF(Y30=regle!$E$11,regle!$E$23,
IF(Y30=regle!$F$11,regle!$F$23,
IF(Y30=regle!$G$11,regle!$G$23,
IF(Y30=regle!$H$11,regle!$H$23,
IF(Y30=regle!$I$11,regle!$I$23,
IF(Y30=regle!$J$11,regle!$J$23,
IF(Y30=regle!$K$11,regle!$K$23,0))))))))))))</f>
        <v>0</v>
      </c>
      <c r="AJ30" s="17">
        <f>IF($A30,$J30*(IF(Z30=regle!$B$11,regle!$B$23*IF(AS30=-2,1+regle!$B$35,1),
IF(Z30=regle!$C$11,regle!$C$23,
IF(Z30=regle!$D$11,regle!$D$23,
IF(Z30=regle!$E$11,regle!$E$23,
IF(Z30=regle!$F$11,regle!$F$23,
IF(Z30=regle!$G$11,regle!$G$23,
IF(Z30=regle!$H$11,regle!$H$23,
IF(Z30=regle!$I$11,regle!$I$23,
IF(Z30=regle!$J$11,regle!$J$23,
IF(Z30=regle!$K$11,regle!$K$23,0))))))))))))</f>
        <v>0</v>
      </c>
      <c r="AK30" s="16">
        <f>IF(OR(Q30=regle!$J$11,Q30=regle!$K$11),-2,IF(Q30=regle!$B$11,0,IF(AK$1=$AK$1,IF($O30,-1,regle!$B$2-$M30),IF(AJ30=-1,-1,AJ30+1))))</f>
        <v>-1</v>
      </c>
      <c r="AL30" s="16">
        <f>IF(OR(R30=regle!$J$11,R30=regle!$K$11),-2,IF(R30=regle!$B$11,0,IF(AL$1=$AK$1,IF($O30,-1,regle!$B$2-$M30),IF(AK30=-1,-1,AK30+1))))</f>
        <v>0</v>
      </c>
      <c r="AM30" s="16">
        <f>IF(OR(S30=regle!$J$11,S30=regle!$K$11),-2,IF(S30=regle!$B$11,0,IF(AM$1=$AK$1,IF($O30,-1,regle!$B$2-$M30),IF(AL30=-1,-1,AL30+1))))</f>
        <v>1</v>
      </c>
      <c r="AN30" s="16">
        <f>IF(OR(T30=regle!$J$11,T30=regle!$K$11),-2,IF(T30=regle!$B$11,0,IF(AN$1=$AK$1,IF($O30,-1,regle!$B$2-$M30),IF(AM30=-1,-1,AM30+1))))</f>
        <v>2</v>
      </c>
      <c r="AO30" s="16">
        <f>IF(OR(U30=regle!$J$11,U30=regle!$K$11),-2,IF(U30=regle!$B$11,0,IF(AO$1=$AK$1,IF($O30,-1,regle!$B$2-$M30),IF(AN30=-1,-1,AN30+1))))</f>
        <v>3</v>
      </c>
      <c r="AP30" s="16">
        <f>IF(OR(V30=regle!$J$11,V30=regle!$K$11),-2,IF(V30=regle!$B$11,0,IF(AP$1=$AK$1,IF($O30,-1,regle!$B$2-$M30),IF(AO30=-1,-1,AO30+1))))</f>
        <v>4</v>
      </c>
      <c r="AQ30" s="16">
        <f>IF(OR(W30=regle!$J$11,W30=regle!$K$11),-2,IF(W30=regle!$B$11,0,IF(AQ$1=$AK$1,IF($O30,-1,regle!$B$2-$M30),IF(AP30=-1,-1,AP30+1))))</f>
        <v>5</v>
      </c>
      <c r="AR30" s="16">
        <f>IF(OR(X30=regle!$J$11,X30=regle!$K$11),-2,IF(X30=regle!$B$11,0,IF(AR$1=$AK$1,IF($O30,-1,regle!$B$2-$M30),IF(AQ30=-1,-1,AQ30+1))))</f>
        <v>6</v>
      </c>
      <c r="AS30" s="16">
        <f>IF(OR(Y30=regle!$J$11,Y30=regle!$K$11),-2,IF(Y30=regle!$B$11,0,IF(AS$1=$AK$1,IF($O30,-1,regle!$B$2-$M30),IF(AR30=-1,-1,AR30+1))))</f>
        <v>7</v>
      </c>
      <c r="AT30" s="16">
        <f>IF(OR(Z30=regle!$J$11,Z30=regle!$K$11),-2,IF(Z30=regle!$B$11,0,IF(AT$1=$AK$1,IF($O30,-1,regle!$B$2-$M30),IF(AS30=-1,-1,AS30+1))))</f>
        <v>8</v>
      </c>
    </row>
    <row r="31" spans="1:46" x14ac:dyDescent="0.25">
      <c r="A31" t="b">
        <f>modif1!A31</f>
        <v>1</v>
      </c>
      <c r="B31">
        <f>ROW(modif1!B31)</f>
        <v>31</v>
      </c>
      <c r="C31" t="str">
        <f>modif1!C34</f>
        <v>171</v>
      </c>
      <c r="D31" t="str">
        <f>modif1!D31</f>
        <v>HOSTENS</v>
      </c>
      <c r="E31">
        <f>modif1!E31</f>
        <v>11</v>
      </c>
      <c r="F31" t="str">
        <f>modif1!F31</f>
        <v>L'ARGILEYRE</v>
      </c>
      <c r="G31" t="str">
        <f>modif1!G31</f>
        <v>0A</v>
      </c>
      <c r="H31">
        <f>modif1!H31</f>
        <v>1312</v>
      </c>
      <c r="I31" t="str">
        <f>modif1!I31</f>
        <v>j</v>
      </c>
      <c r="J31" s="11">
        <f>modif1!J31</f>
        <v>1.5449999999999999</v>
      </c>
      <c r="K31" t="str">
        <f>modif1!K31</f>
        <v>CR</v>
      </c>
      <c r="L31" t="str">
        <f>modif1!L31</f>
        <v>PM</v>
      </c>
      <c r="M31">
        <f>modif1!M31</f>
        <v>2022</v>
      </c>
      <c r="N31" t="str">
        <f>modif1!N31</f>
        <v>CR-PM_2022</v>
      </c>
      <c r="O31" t="b">
        <f>modif1!O31</f>
        <v>1</v>
      </c>
      <c r="P31">
        <v>25</v>
      </c>
      <c r="Q31" s="22"/>
      <c r="R31" t="s">
        <v>1868</v>
      </c>
      <c r="Z31"/>
      <c r="AA31" s="17">
        <f>IF($A31,$J31*(IF(Q31=regle!$B$11,regle!$B$23*IF(AJ31=-2,1+regle!$B$35,1),
IF(Q31=regle!$C$11,regle!$C$23,
IF(Q31=regle!$D$11,regle!$D$23,
IF(Q31=regle!$E$11,regle!$E$23,
IF(Q31=regle!$F$11,regle!$F$23,
IF(Q31=regle!$G$11,regle!$G$23,
IF(Q31=regle!$H$11,regle!$H$23,
IF(Q31=regle!$I$11,regle!$I$23,
IF(Q31=regle!$J$11,regle!$J$23,
IF(Q31=regle!$K$11,regle!$K$23,0))))))))))))</f>
        <v>0</v>
      </c>
      <c r="AB31" s="17">
        <f>IF($A31,$J31*(IF(R31=regle!$B$11,regle!$B$23*IF(AK31=-2,1+regle!$B$35,1),
IF(R31=regle!$C$11,regle!$C$23,
IF(R31=regle!$D$11,regle!$D$23,
IF(R31=regle!$E$11,regle!$E$23,
IF(R31=regle!$F$11,regle!$F$23,
IF(R31=regle!$G$11,regle!$G$23,
IF(R31=regle!$H$11,regle!$H$23,
IF(R31=regle!$I$11,regle!$I$23,
IF(R31=regle!$J$11,regle!$J$23,
IF(R31=regle!$K$11,regle!$K$23,0))))))))))))</f>
        <v>-2626.5</v>
      </c>
      <c r="AC31" s="17">
        <f>IF($A31,$J31*(IF(S31=regle!$B$11,regle!$B$23*IF(AL31=-2,1+regle!$B$35,1),
IF(S31=regle!$C$11,regle!$C$23,
IF(S31=regle!$D$11,regle!$D$23,
IF(S31=regle!$E$11,regle!$E$23,
IF(S31=regle!$F$11,regle!$F$23,
IF(S31=regle!$G$11,regle!$G$23,
IF(S31=regle!$H$11,regle!$H$23,
IF(S31=regle!$I$11,regle!$I$23,
IF(S31=regle!$J$11,regle!$J$23,
IF(S31=regle!$K$11,regle!$K$23,0))))))))))))</f>
        <v>0</v>
      </c>
      <c r="AD31" s="17">
        <f>IF($A31,$J31*(IF(T31=regle!$B$11,regle!$B$23*IF(AM31=-2,1+regle!$B$35,1),
IF(T31=regle!$C$11,regle!$C$23,
IF(T31=regle!$D$11,regle!$D$23,
IF(T31=regle!$E$11,regle!$E$23,
IF(T31=regle!$F$11,regle!$F$23,
IF(T31=regle!$G$11,regle!$G$23,
IF(T31=regle!$H$11,regle!$H$23,
IF(T31=regle!$I$11,regle!$I$23,
IF(T31=regle!$J$11,regle!$J$23,
IF(T31=regle!$K$11,regle!$K$23,0))))))))))))</f>
        <v>0</v>
      </c>
      <c r="AE31" s="17">
        <f>IF($A31,$J31*(IF(U31=regle!$B$11,regle!$B$23*IF(AN31=-2,1+regle!$B$35,1),
IF(U31=regle!$C$11,regle!$C$23,
IF(U31=regle!$D$11,regle!$D$23,
IF(U31=regle!$E$11,regle!$E$23,
IF(U31=regle!$F$11,regle!$F$23,
IF(U31=regle!$G$11,regle!$G$23,
IF(U31=regle!$H$11,regle!$H$23,
IF(U31=regle!$I$11,regle!$I$23,
IF(U31=regle!$J$11,regle!$J$23,
IF(U31=regle!$K$11,regle!$K$23,0))))))))))))</f>
        <v>0</v>
      </c>
      <c r="AF31" s="17">
        <f>IF($A31,$J31*(IF(V31=regle!$B$11,regle!$B$23*IF(AO31=-2,1+regle!$B$35,1),
IF(V31=regle!$C$11,regle!$C$23,
IF(V31=regle!$D$11,regle!$D$23,
IF(V31=regle!$E$11,regle!$E$23,
IF(V31=regle!$F$11,regle!$F$23,
IF(V31=regle!$G$11,regle!$G$23,
IF(V31=regle!$H$11,regle!$H$23,
IF(V31=regle!$I$11,regle!$I$23,
IF(V31=regle!$J$11,regle!$J$23,
IF(V31=regle!$K$11,regle!$K$23,0))))))))))))</f>
        <v>0</v>
      </c>
      <c r="AG31" s="17">
        <f>IF($A31,$J31*(IF(W31=regle!$B$11,regle!$B$23*IF(AP31=-2,1+regle!$B$35,1),
IF(W31=regle!$C$11,regle!$C$23,
IF(W31=regle!$D$11,regle!$D$23,
IF(W31=regle!$E$11,regle!$E$23,
IF(W31=regle!$F$11,regle!$F$23,
IF(W31=regle!$G$11,regle!$G$23,
IF(W31=regle!$H$11,regle!$H$23,
IF(W31=regle!$I$11,regle!$I$23,
IF(W31=regle!$J$11,regle!$J$23,
IF(W31=regle!$K$11,regle!$K$23,0))))))))))))</f>
        <v>0</v>
      </c>
      <c r="AH31" s="17">
        <f>IF($A31,$J31*(IF(X31=regle!$B$11,regle!$B$23*IF(AQ31=-2,1+regle!$B$35,1),
IF(X31=regle!$C$11,regle!$C$23,
IF(X31=regle!$D$11,regle!$D$23,
IF(X31=regle!$E$11,regle!$E$23,
IF(X31=regle!$F$11,regle!$F$23,
IF(X31=regle!$G$11,regle!$G$23,
IF(X31=regle!$H$11,regle!$H$23,
IF(X31=regle!$I$11,regle!$I$23,
IF(X31=regle!$J$11,regle!$J$23,
IF(X31=regle!$K$11,regle!$K$23,0))))))))))))</f>
        <v>0</v>
      </c>
      <c r="AI31" s="17">
        <f>IF($A31,$J31*(IF(Y31=regle!$B$11,regle!$B$23*IF(AR31=-2,1+regle!$B$35,1),
IF(Y31=regle!$C$11,regle!$C$23,
IF(Y31=regle!$D$11,regle!$D$23,
IF(Y31=regle!$E$11,regle!$E$23,
IF(Y31=regle!$F$11,regle!$F$23,
IF(Y31=regle!$G$11,regle!$G$23,
IF(Y31=regle!$H$11,regle!$H$23,
IF(Y31=regle!$I$11,regle!$I$23,
IF(Y31=regle!$J$11,regle!$J$23,
IF(Y31=regle!$K$11,regle!$K$23,0))))))))))))</f>
        <v>0</v>
      </c>
      <c r="AJ31" s="17">
        <f>IF($A31,$J31*(IF(Z31=regle!$B$11,regle!$B$23*IF(AS31=-2,1+regle!$B$35,1),
IF(Z31=regle!$C$11,regle!$C$23,
IF(Z31=regle!$D$11,regle!$D$23,
IF(Z31=regle!$E$11,regle!$E$23,
IF(Z31=regle!$F$11,regle!$F$23,
IF(Z31=regle!$G$11,regle!$G$23,
IF(Z31=regle!$H$11,regle!$H$23,
IF(Z31=regle!$I$11,regle!$I$23,
IF(Z31=regle!$J$11,regle!$J$23,
IF(Z31=regle!$K$11,regle!$K$23,0))))))))))))</f>
        <v>0</v>
      </c>
      <c r="AK31" s="16">
        <f>IF(OR(Q31=regle!$J$11,Q31=regle!$K$11),-2,IF(Q31=regle!$B$11,0,IF(AK$1=$AK$1,IF($O31,-1,regle!$B$2-$M31),IF(AJ31=-1,-1,AJ31+1))))</f>
        <v>-1</v>
      </c>
      <c r="AL31" s="16">
        <f>IF(OR(R31=regle!$J$11,R31=regle!$K$11),-2,IF(R31=regle!$B$11,0,IF(AL$1=$AK$1,IF($O31,-1,regle!$B$2-$M31),IF(AK31=-1,-1,AK31+1))))</f>
        <v>0</v>
      </c>
      <c r="AM31" s="16">
        <f>IF(OR(S31=regle!$J$11,S31=regle!$K$11),-2,IF(S31=regle!$B$11,0,IF(AM$1=$AK$1,IF($O31,-1,regle!$B$2-$M31),IF(AL31=-1,-1,AL31+1))))</f>
        <v>1</v>
      </c>
      <c r="AN31" s="16">
        <f>IF(OR(T31=regle!$J$11,T31=regle!$K$11),-2,IF(T31=regle!$B$11,0,IF(AN$1=$AK$1,IF($O31,-1,regle!$B$2-$M31),IF(AM31=-1,-1,AM31+1))))</f>
        <v>2</v>
      </c>
      <c r="AO31" s="16">
        <f>IF(OR(U31=regle!$J$11,U31=regle!$K$11),-2,IF(U31=regle!$B$11,0,IF(AO$1=$AK$1,IF($O31,-1,regle!$B$2-$M31),IF(AN31=-1,-1,AN31+1))))</f>
        <v>3</v>
      </c>
      <c r="AP31" s="16">
        <f>IF(OR(V31=regle!$J$11,V31=regle!$K$11),-2,IF(V31=regle!$B$11,0,IF(AP$1=$AK$1,IF($O31,-1,regle!$B$2-$M31),IF(AO31=-1,-1,AO31+1))))</f>
        <v>4</v>
      </c>
      <c r="AQ31" s="16">
        <f>IF(OR(W31=regle!$J$11,W31=regle!$K$11),-2,IF(W31=regle!$B$11,0,IF(AQ$1=$AK$1,IF($O31,-1,regle!$B$2-$M31),IF(AP31=-1,-1,AP31+1))))</f>
        <v>5</v>
      </c>
      <c r="AR31" s="16">
        <f>IF(OR(X31=regle!$J$11,X31=regle!$K$11),-2,IF(X31=regle!$B$11,0,IF(AR$1=$AK$1,IF($O31,-1,regle!$B$2-$M31),IF(AQ31=-1,-1,AQ31+1))))</f>
        <v>6</v>
      </c>
      <c r="AS31" s="16">
        <f>IF(OR(Y31=regle!$J$11,Y31=regle!$K$11),-2,IF(Y31=regle!$B$11,0,IF(AS$1=$AK$1,IF($O31,-1,regle!$B$2-$M31),IF(AR31=-1,-1,AR31+1))))</f>
        <v>7</v>
      </c>
      <c r="AT31" s="16">
        <f>IF(OR(Z31=regle!$J$11,Z31=regle!$K$11),-2,IF(Z31=regle!$B$11,0,IF(AT$1=$AK$1,IF($O31,-1,regle!$B$2-$M31),IF(AS31=-1,-1,AS31+1))))</f>
        <v>8</v>
      </c>
    </row>
    <row r="32" spans="1:46" x14ac:dyDescent="0.25">
      <c r="A32" t="b">
        <f>modif1!A32</f>
        <v>1</v>
      </c>
      <c r="B32">
        <f>ROW(modif1!B32)</f>
        <v>32</v>
      </c>
      <c r="C32" t="str">
        <f>modif1!C35</f>
        <v>202</v>
      </c>
      <c r="D32" t="str">
        <f>modif1!D32</f>
        <v>MOUSTEY</v>
      </c>
      <c r="E32">
        <f>modif1!E32</f>
        <v>9</v>
      </c>
      <c r="F32" t="str">
        <f>modif1!F32</f>
        <v>Peyroulet</v>
      </c>
      <c r="G32" t="str">
        <f>modif1!G32</f>
        <v>0N</v>
      </c>
      <c r="H32">
        <f>modif1!H32</f>
        <v>181</v>
      </c>
      <c r="I32" t="str">
        <f>modif1!I32</f>
        <v/>
      </c>
      <c r="J32" s="11">
        <f>modif1!J32</f>
        <v>1.486</v>
      </c>
      <c r="K32" t="str">
        <f>modif1!K32</f>
        <v>CR</v>
      </c>
      <c r="L32" t="str">
        <f>modif1!L32</f>
        <v>PM</v>
      </c>
      <c r="M32">
        <f>modif1!M32</f>
        <v>2022</v>
      </c>
      <c r="N32" t="str">
        <f>modif1!N32</f>
        <v>CR-PM_2022</v>
      </c>
      <c r="O32" t="b">
        <f>modif1!O32</f>
        <v>1</v>
      </c>
      <c r="P32">
        <v>25</v>
      </c>
      <c r="Q32" s="22"/>
      <c r="R32" t="s">
        <v>1868</v>
      </c>
      <c r="Z32"/>
      <c r="AA32" s="17">
        <f>IF($A32,$J32*(IF(Q32=regle!$B$11,regle!$B$23*IF(AJ32=-2,1+regle!$B$35,1),
IF(Q32=regle!$C$11,regle!$C$23,
IF(Q32=regle!$D$11,regle!$D$23,
IF(Q32=regle!$E$11,regle!$E$23,
IF(Q32=regle!$F$11,regle!$F$23,
IF(Q32=regle!$G$11,regle!$G$23,
IF(Q32=regle!$H$11,regle!$H$23,
IF(Q32=regle!$I$11,regle!$I$23,
IF(Q32=regle!$J$11,regle!$J$23,
IF(Q32=regle!$K$11,regle!$K$23,0))))))))))))</f>
        <v>0</v>
      </c>
      <c r="AB32" s="17">
        <f>IF($A32,$J32*(IF(R32=regle!$B$11,regle!$B$23*IF(AK32=-2,1+regle!$B$35,1),
IF(R32=regle!$C$11,regle!$C$23,
IF(R32=regle!$D$11,regle!$D$23,
IF(R32=regle!$E$11,regle!$E$23,
IF(R32=regle!$F$11,regle!$F$23,
IF(R32=regle!$G$11,regle!$G$23,
IF(R32=regle!$H$11,regle!$H$23,
IF(R32=regle!$I$11,regle!$I$23,
IF(R32=regle!$J$11,regle!$J$23,
IF(R32=regle!$K$11,regle!$K$23,0))))))))))))</f>
        <v>-2526.1999999999998</v>
      </c>
      <c r="AC32" s="17">
        <f>IF($A32,$J32*(IF(S32=regle!$B$11,regle!$B$23*IF(AL32=-2,1+regle!$B$35,1),
IF(S32=regle!$C$11,regle!$C$23,
IF(S32=regle!$D$11,regle!$D$23,
IF(S32=regle!$E$11,regle!$E$23,
IF(S32=regle!$F$11,regle!$F$23,
IF(S32=regle!$G$11,regle!$G$23,
IF(S32=regle!$H$11,regle!$H$23,
IF(S32=regle!$I$11,regle!$I$23,
IF(S32=regle!$J$11,regle!$J$23,
IF(S32=regle!$K$11,regle!$K$23,0))))))))))))</f>
        <v>0</v>
      </c>
      <c r="AD32" s="17">
        <f>IF($A32,$J32*(IF(T32=regle!$B$11,regle!$B$23*IF(AM32=-2,1+regle!$B$35,1),
IF(T32=regle!$C$11,regle!$C$23,
IF(T32=regle!$D$11,regle!$D$23,
IF(T32=regle!$E$11,regle!$E$23,
IF(T32=regle!$F$11,regle!$F$23,
IF(T32=regle!$G$11,regle!$G$23,
IF(T32=regle!$H$11,regle!$H$23,
IF(T32=regle!$I$11,regle!$I$23,
IF(T32=regle!$J$11,regle!$J$23,
IF(T32=regle!$K$11,regle!$K$23,0))))))))))))</f>
        <v>0</v>
      </c>
      <c r="AE32" s="17">
        <f>IF($A32,$J32*(IF(U32=regle!$B$11,regle!$B$23*IF(AN32=-2,1+regle!$B$35,1),
IF(U32=regle!$C$11,regle!$C$23,
IF(U32=regle!$D$11,regle!$D$23,
IF(U32=regle!$E$11,regle!$E$23,
IF(U32=regle!$F$11,regle!$F$23,
IF(U32=regle!$G$11,regle!$G$23,
IF(U32=regle!$H$11,regle!$H$23,
IF(U32=regle!$I$11,regle!$I$23,
IF(U32=regle!$J$11,regle!$J$23,
IF(U32=regle!$K$11,regle!$K$23,0))))))))))))</f>
        <v>0</v>
      </c>
      <c r="AF32" s="17">
        <f>IF($A32,$J32*(IF(V32=regle!$B$11,regle!$B$23*IF(AO32=-2,1+regle!$B$35,1),
IF(V32=regle!$C$11,regle!$C$23,
IF(V32=regle!$D$11,regle!$D$23,
IF(V32=regle!$E$11,regle!$E$23,
IF(V32=regle!$F$11,regle!$F$23,
IF(V32=regle!$G$11,regle!$G$23,
IF(V32=regle!$H$11,regle!$H$23,
IF(V32=regle!$I$11,regle!$I$23,
IF(V32=regle!$J$11,regle!$J$23,
IF(V32=regle!$K$11,regle!$K$23,0))))))))))))</f>
        <v>0</v>
      </c>
      <c r="AG32" s="17">
        <f>IF($A32,$J32*(IF(W32=regle!$B$11,regle!$B$23*IF(AP32=-2,1+regle!$B$35,1),
IF(W32=regle!$C$11,regle!$C$23,
IF(W32=regle!$D$11,regle!$D$23,
IF(W32=regle!$E$11,regle!$E$23,
IF(W32=regle!$F$11,regle!$F$23,
IF(W32=regle!$G$11,regle!$G$23,
IF(W32=regle!$H$11,regle!$H$23,
IF(W32=regle!$I$11,regle!$I$23,
IF(W32=regle!$J$11,regle!$J$23,
IF(W32=regle!$K$11,regle!$K$23,0))))))))))))</f>
        <v>0</v>
      </c>
      <c r="AH32" s="17">
        <f>IF($A32,$J32*(IF(X32=regle!$B$11,regle!$B$23*IF(AQ32=-2,1+regle!$B$35,1),
IF(X32=regle!$C$11,regle!$C$23,
IF(X32=regle!$D$11,regle!$D$23,
IF(X32=regle!$E$11,regle!$E$23,
IF(X32=regle!$F$11,regle!$F$23,
IF(X32=regle!$G$11,regle!$G$23,
IF(X32=regle!$H$11,regle!$H$23,
IF(X32=regle!$I$11,regle!$I$23,
IF(X32=regle!$J$11,regle!$J$23,
IF(X32=regle!$K$11,regle!$K$23,0))))))))))))</f>
        <v>0</v>
      </c>
      <c r="AI32" s="17">
        <f>IF($A32,$J32*(IF(Y32=regle!$B$11,regle!$B$23*IF(AR32=-2,1+regle!$B$35,1),
IF(Y32=regle!$C$11,regle!$C$23,
IF(Y32=regle!$D$11,regle!$D$23,
IF(Y32=regle!$E$11,regle!$E$23,
IF(Y32=regle!$F$11,regle!$F$23,
IF(Y32=regle!$G$11,regle!$G$23,
IF(Y32=regle!$H$11,regle!$H$23,
IF(Y32=regle!$I$11,regle!$I$23,
IF(Y32=regle!$J$11,regle!$J$23,
IF(Y32=regle!$K$11,regle!$K$23,0))))))))))))</f>
        <v>0</v>
      </c>
      <c r="AJ32" s="17">
        <f>IF($A32,$J32*(IF(Z32=regle!$B$11,regle!$B$23*IF(AS32=-2,1+regle!$B$35,1),
IF(Z32=regle!$C$11,regle!$C$23,
IF(Z32=regle!$D$11,regle!$D$23,
IF(Z32=regle!$E$11,regle!$E$23,
IF(Z32=regle!$F$11,regle!$F$23,
IF(Z32=regle!$G$11,regle!$G$23,
IF(Z32=regle!$H$11,regle!$H$23,
IF(Z32=regle!$I$11,regle!$I$23,
IF(Z32=regle!$J$11,regle!$J$23,
IF(Z32=regle!$K$11,regle!$K$23,0))))))))))))</f>
        <v>0</v>
      </c>
      <c r="AK32" s="16">
        <f>IF(OR(Q32=regle!$J$11,Q32=regle!$K$11),-2,IF(Q32=regle!$B$11,0,IF(AK$1=$AK$1,IF($O32,-1,regle!$B$2-$M32),IF(AJ32=-1,-1,AJ32+1))))</f>
        <v>-1</v>
      </c>
      <c r="AL32" s="16">
        <f>IF(OR(R32=regle!$J$11,R32=regle!$K$11),-2,IF(R32=regle!$B$11,0,IF(AL$1=$AK$1,IF($O32,-1,regle!$B$2-$M32),IF(AK32=-1,-1,AK32+1))))</f>
        <v>0</v>
      </c>
      <c r="AM32" s="16">
        <f>IF(OR(S32=regle!$J$11,S32=regle!$K$11),-2,IF(S32=regle!$B$11,0,IF(AM$1=$AK$1,IF($O32,-1,regle!$B$2-$M32),IF(AL32=-1,-1,AL32+1))))</f>
        <v>1</v>
      </c>
      <c r="AN32" s="16">
        <f>IF(OR(T32=regle!$J$11,T32=regle!$K$11),-2,IF(T32=regle!$B$11,0,IF(AN$1=$AK$1,IF($O32,-1,regle!$B$2-$M32),IF(AM32=-1,-1,AM32+1))))</f>
        <v>2</v>
      </c>
      <c r="AO32" s="16">
        <f>IF(OR(U32=regle!$J$11,U32=regle!$K$11),-2,IF(U32=regle!$B$11,0,IF(AO$1=$AK$1,IF($O32,-1,regle!$B$2-$M32),IF(AN32=-1,-1,AN32+1))))</f>
        <v>3</v>
      </c>
      <c r="AP32" s="16">
        <f>IF(OR(V32=regle!$J$11,V32=regle!$K$11),-2,IF(V32=regle!$B$11,0,IF(AP$1=$AK$1,IF($O32,-1,regle!$B$2-$M32),IF(AO32=-1,-1,AO32+1))))</f>
        <v>4</v>
      </c>
      <c r="AQ32" s="16">
        <f>IF(OR(W32=regle!$J$11,W32=regle!$K$11),-2,IF(W32=regle!$B$11,0,IF(AQ$1=$AK$1,IF($O32,-1,regle!$B$2-$M32),IF(AP32=-1,-1,AP32+1))))</f>
        <v>5</v>
      </c>
      <c r="AR32" s="16">
        <f>IF(OR(X32=regle!$J$11,X32=regle!$K$11),-2,IF(X32=regle!$B$11,0,IF(AR$1=$AK$1,IF($O32,-1,regle!$B$2-$M32),IF(AQ32=-1,-1,AQ32+1))))</f>
        <v>6</v>
      </c>
      <c r="AS32" s="16">
        <f>IF(OR(Y32=regle!$J$11,Y32=regle!$K$11),-2,IF(Y32=regle!$B$11,0,IF(AS$1=$AK$1,IF($O32,-1,regle!$B$2-$M32),IF(AR32=-1,-1,AR32+1))))</f>
        <v>7</v>
      </c>
      <c r="AT32" s="16">
        <f>IF(OR(Z32=regle!$J$11,Z32=regle!$K$11),-2,IF(Z32=regle!$B$11,0,IF(AT$1=$AK$1,IF($O32,-1,regle!$B$2-$M32),IF(AS32=-1,-1,AS32+1))))</f>
        <v>8</v>
      </c>
    </row>
    <row r="33" spans="1:46" x14ac:dyDescent="0.25">
      <c r="A33" t="b">
        <f>modif1!A33</f>
        <v>1</v>
      </c>
      <c r="B33">
        <f>ROW(modif1!B33)</f>
        <v>33</v>
      </c>
      <c r="C33" t="str">
        <f>modif1!C36</f>
        <v>171</v>
      </c>
      <c r="D33" t="str">
        <f>modif1!D33</f>
        <v>MANO</v>
      </c>
      <c r="E33">
        <f>modif1!E33</f>
        <v>17</v>
      </c>
      <c r="F33" t="str">
        <f>modif1!F33</f>
        <v>LANDE DE TABARTON</v>
      </c>
      <c r="G33" t="str">
        <f>modif1!G33</f>
        <v>0B</v>
      </c>
      <c r="H33">
        <f>modif1!H33</f>
        <v>297</v>
      </c>
      <c r="I33" t="str">
        <f>modif1!I33</f>
        <v/>
      </c>
      <c r="J33" s="11">
        <f>modif1!J33</f>
        <v>1.4850000000000001</v>
      </c>
      <c r="K33" t="str">
        <f>modif1!K33</f>
        <v>CR</v>
      </c>
      <c r="L33" t="str">
        <f>modif1!L33</f>
        <v>PM</v>
      </c>
      <c r="M33">
        <f>modif1!M33</f>
        <v>2022</v>
      </c>
      <c r="N33" t="str">
        <f>modif1!N33</f>
        <v>CR-PM_2022</v>
      </c>
      <c r="O33" t="b">
        <f>modif1!O33</f>
        <v>1</v>
      </c>
      <c r="P33">
        <v>25</v>
      </c>
      <c r="Q33" s="22"/>
      <c r="R33" t="s">
        <v>1868</v>
      </c>
      <c r="Z33"/>
      <c r="AA33" s="17">
        <f>IF($A33,$J33*(IF(Q33=regle!$B$11,regle!$B$23*IF(AJ33=-2,1+regle!$B$35,1),
IF(Q33=regle!$C$11,regle!$C$23,
IF(Q33=regle!$D$11,regle!$D$23,
IF(Q33=regle!$E$11,regle!$E$23,
IF(Q33=regle!$F$11,regle!$F$23,
IF(Q33=regle!$G$11,regle!$G$23,
IF(Q33=regle!$H$11,regle!$H$23,
IF(Q33=regle!$I$11,regle!$I$23,
IF(Q33=regle!$J$11,regle!$J$23,
IF(Q33=regle!$K$11,regle!$K$23,0))))))))))))</f>
        <v>0</v>
      </c>
      <c r="AB33" s="17">
        <f>IF($A33,$J33*(IF(R33=regle!$B$11,regle!$B$23*IF(AK33=-2,1+regle!$B$35,1),
IF(R33=regle!$C$11,regle!$C$23,
IF(R33=regle!$D$11,regle!$D$23,
IF(R33=regle!$E$11,regle!$E$23,
IF(R33=regle!$F$11,regle!$F$23,
IF(R33=regle!$G$11,regle!$G$23,
IF(R33=regle!$H$11,regle!$H$23,
IF(R33=regle!$I$11,regle!$I$23,
IF(R33=regle!$J$11,regle!$J$23,
IF(R33=regle!$K$11,regle!$K$23,0))))))))))))</f>
        <v>-2524.5</v>
      </c>
      <c r="AC33" s="17">
        <f>IF($A33,$J33*(IF(S33=regle!$B$11,regle!$B$23*IF(AL33=-2,1+regle!$B$35,1),
IF(S33=regle!$C$11,regle!$C$23,
IF(S33=regle!$D$11,regle!$D$23,
IF(S33=regle!$E$11,regle!$E$23,
IF(S33=regle!$F$11,regle!$F$23,
IF(S33=regle!$G$11,regle!$G$23,
IF(S33=regle!$H$11,regle!$H$23,
IF(S33=regle!$I$11,regle!$I$23,
IF(S33=regle!$J$11,regle!$J$23,
IF(S33=regle!$K$11,regle!$K$23,0))))))))))))</f>
        <v>0</v>
      </c>
      <c r="AD33" s="17">
        <f>IF($A33,$J33*(IF(T33=regle!$B$11,regle!$B$23*IF(AM33=-2,1+regle!$B$35,1),
IF(T33=regle!$C$11,regle!$C$23,
IF(T33=regle!$D$11,regle!$D$23,
IF(T33=regle!$E$11,regle!$E$23,
IF(T33=regle!$F$11,regle!$F$23,
IF(T33=regle!$G$11,regle!$G$23,
IF(T33=regle!$H$11,regle!$H$23,
IF(T33=regle!$I$11,regle!$I$23,
IF(T33=regle!$J$11,regle!$J$23,
IF(T33=regle!$K$11,regle!$K$23,0))))))))))))</f>
        <v>0</v>
      </c>
      <c r="AE33" s="17">
        <f>IF($A33,$J33*(IF(U33=regle!$B$11,regle!$B$23*IF(AN33=-2,1+regle!$B$35,1),
IF(U33=regle!$C$11,regle!$C$23,
IF(U33=regle!$D$11,regle!$D$23,
IF(U33=regle!$E$11,regle!$E$23,
IF(U33=regle!$F$11,regle!$F$23,
IF(U33=regle!$G$11,regle!$G$23,
IF(U33=regle!$H$11,regle!$H$23,
IF(U33=regle!$I$11,regle!$I$23,
IF(U33=regle!$J$11,regle!$J$23,
IF(U33=regle!$K$11,regle!$K$23,0))))))))))))</f>
        <v>0</v>
      </c>
      <c r="AF33" s="17">
        <f>IF($A33,$J33*(IF(V33=regle!$B$11,regle!$B$23*IF(AO33=-2,1+regle!$B$35,1),
IF(V33=regle!$C$11,regle!$C$23,
IF(V33=regle!$D$11,regle!$D$23,
IF(V33=regle!$E$11,regle!$E$23,
IF(V33=regle!$F$11,regle!$F$23,
IF(V33=regle!$G$11,regle!$G$23,
IF(V33=regle!$H$11,regle!$H$23,
IF(V33=regle!$I$11,regle!$I$23,
IF(V33=regle!$J$11,regle!$J$23,
IF(V33=regle!$K$11,regle!$K$23,0))))))))))))</f>
        <v>0</v>
      </c>
      <c r="AG33" s="17">
        <f>IF($A33,$J33*(IF(W33=regle!$B$11,regle!$B$23*IF(AP33=-2,1+regle!$B$35,1),
IF(W33=regle!$C$11,regle!$C$23,
IF(W33=regle!$D$11,regle!$D$23,
IF(W33=regle!$E$11,regle!$E$23,
IF(W33=regle!$F$11,regle!$F$23,
IF(W33=regle!$G$11,regle!$G$23,
IF(W33=regle!$H$11,regle!$H$23,
IF(W33=regle!$I$11,regle!$I$23,
IF(W33=regle!$J$11,regle!$J$23,
IF(W33=regle!$K$11,regle!$K$23,0))))))))))))</f>
        <v>0</v>
      </c>
      <c r="AH33" s="17">
        <f>IF($A33,$J33*(IF(X33=regle!$B$11,regle!$B$23*IF(AQ33=-2,1+regle!$B$35,1),
IF(X33=regle!$C$11,regle!$C$23,
IF(X33=regle!$D$11,regle!$D$23,
IF(X33=regle!$E$11,regle!$E$23,
IF(X33=regle!$F$11,regle!$F$23,
IF(X33=regle!$G$11,regle!$G$23,
IF(X33=regle!$H$11,regle!$H$23,
IF(X33=regle!$I$11,regle!$I$23,
IF(X33=regle!$J$11,regle!$J$23,
IF(X33=regle!$K$11,regle!$K$23,0))))))))))))</f>
        <v>0</v>
      </c>
      <c r="AI33" s="17">
        <f>IF($A33,$J33*(IF(Y33=regle!$B$11,regle!$B$23*IF(AR33=-2,1+regle!$B$35,1),
IF(Y33=regle!$C$11,regle!$C$23,
IF(Y33=regle!$D$11,regle!$D$23,
IF(Y33=regle!$E$11,regle!$E$23,
IF(Y33=regle!$F$11,regle!$F$23,
IF(Y33=regle!$G$11,regle!$G$23,
IF(Y33=regle!$H$11,regle!$H$23,
IF(Y33=regle!$I$11,regle!$I$23,
IF(Y33=regle!$J$11,regle!$J$23,
IF(Y33=regle!$K$11,regle!$K$23,0))))))))))))</f>
        <v>0</v>
      </c>
      <c r="AJ33" s="17">
        <f>IF($A33,$J33*(IF(Z33=regle!$B$11,regle!$B$23*IF(AS33=-2,1+regle!$B$35,1),
IF(Z33=regle!$C$11,regle!$C$23,
IF(Z33=regle!$D$11,regle!$D$23,
IF(Z33=regle!$E$11,regle!$E$23,
IF(Z33=regle!$F$11,regle!$F$23,
IF(Z33=regle!$G$11,regle!$G$23,
IF(Z33=regle!$H$11,regle!$H$23,
IF(Z33=regle!$I$11,regle!$I$23,
IF(Z33=regle!$J$11,regle!$J$23,
IF(Z33=regle!$K$11,regle!$K$23,0))))))))))))</f>
        <v>0</v>
      </c>
      <c r="AK33" s="16">
        <f>IF(OR(Q33=regle!$J$11,Q33=regle!$K$11),-2,IF(Q33=regle!$B$11,0,IF(AK$1=$AK$1,IF($O33,-1,regle!$B$2-$M33),IF(AJ33=-1,-1,AJ33+1))))</f>
        <v>-1</v>
      </c>
      <c r="AL33" s="16">
        <f>IF(OR(R33=regle!$J$11,R33=regle!$K$11),-2,IF(R33=regle!$B$11,0,IF(AL$1=$AK$1,IF($O33,-1,regle!$B$2-$M33),IF(AK33=-1,-1,AK33+1))))</f>
        <v>0</v>
      </c>
      <c r="AM33" s="16">
        <f>IF(OR(S33=regle!$J$11,S33=regle!$K$11),-2,IF(S33=regle!$B$11,0,IF(AM$1=$AK$1,IF($O33,-1,regle!$B$2-$M33),IF(AL33=-1,-1,AL33+1))))</f>
        <v>1</v>
      </c>
      <c r="AN33" s="16">
        <f>IF(OR(T33=regle!$J$11,T33=regle!$K$11),-2,IF(T33=regle!$B$11,0,IF(AN$1=$AK$1,IF($O33,-1,regle!$B$2-$M33),IF(AM33=-1,-1,AM33+1))))</f>
        <v>2</v>
      </c>
      <c r="AO33" s="16">
        <f>IF(OR(U33=regle!$J$11,U33=regle!$K$11),-2,IF(U33=regle!$B$11,0,IF(AO$1=$AK$1,IF($O33,-1,regle!$B$2-$M33),IF(AN33=-1,-1,AN33+1))))</f>
        <v>3</v>
      </c>
      <c r="AP33" s="16">
        <f>IF(OR(V33=regle!$J$11,V33=regle!$K$11),-2,IF(V33=regle!$B$11,0,IF(AP$1=$AK$1,IF($O33,-1,regle!$B$2-$M33),IF(AO33=-1,-1,AO33+1))))</f>
        <v>4</v>
      </c>
      <c r="AQ33" s="16">
        <f>IF(OR(W33=regle!$J$11,W33=regle!$K$11),-2,IF(W33=regle!$B$11,0,IF(AQ$1=$AK$1,IF($O33,-1,regle!$B$2-$M33),IF(AP33=-1,-1,AP33+1))))</f>
        <v>5</v>
      </c>
      <c r="AR33" s="16">
        <f>IF(OR(X33=regle!$J$11,X33=regle!$K$11),-2,IF(X33=regle!$B$11,0,IF(AR$1=$AK$1,IF($O33,-1,regle!$B$2-$M33),IF(AQ33=-1,-1,AQ33+1))))</f>
        <v>6</v>
      </c>
      <c r="AS33" s="16">
        <f>IF(OR(Y33=regle!$J$11,Y33=regle!$K$11),-2,IF(Y33=regle!$B$11,0,IF(AS$1=$AK$1,IF($O33,-1,regle!$B$2-$M33),IF(AR33=-1,-1,AR33+1))))</f>
        <v>7</v>
      </c>
      <c r="AT33" s="16">
        <f>IF(OR(Z33=regle!$J$11,Z33=regle!$K$11),-2,IF(Z33=regle!$B$11,0,IF(AT$1=$AK$1,IF($O33,-1,regle!$B$2-$M33),IF(AS33=-1,-1,AS33+1))))</f>
        <v>8</v>
      </c>
    </row>
    <row r="34" spans="1:46" x14ac:dyDescent="0.25">
      <c r="A34" t="b">
        <f>modif1!A34</f>
        <v>1</v>
      </c>
      <c r="B34">
        <f>ROW(modif1!B34)</f>
        <v>34</v>
      </c>
      <c r="C34" t="str">
        <f>modif1!C37</f>
        <v>171</v>
      </c>
      <c r="D34" t="str">
        <f>modif1!D34</f>
        <v>MANO</v>
      </c>
      <c r="E34">
        <f>modif1!E34</f>
        <v>17</v>
      </c>
      <c r="F34" t="str">
        <f>modif1!F34</f>
        <v>LANDE DE TABARTON</v>
      </c>
      <c r="G34" t="str">
        <f>modif1!G34</f>
        <v>0B</v>
      </c>
      <c r="H34">
        <f>modif1!H34</f>
        <v>273</v>
      </c>
      <c r="I34" t="str">
        <f>modif1!I34</f>
        <v/>
      </c>
      <c r="J34" s="11">
        <f>modif1!J34</f>
        <v>1.45</v>
      </c>
      <c r="K34" t="str">
        <f>modif1!K34</f>
        <v>CR</v>
      </c>
      <c r="L34" t="str">
        <f>modif1!L34</f>
        <v>PM</v>
      </c>
      <c r="M34">
        <f>modif1!M34</f>
        <v>2022</v>
      </c>
      <c r="N34" t="str">
        <f>modif1!N34</f>
        <v>CR-PM_2022</v>
      </c>
      <c r="O34" t="b">
        <f>modif1!O34</f>
        <v>1</v>
      </c>
      <c r="P34">
        <v>25</v>
      </c>
      <c r="Q34" s="22"/>
      <c r="R34" t="s">
        <v>1868</v>
      </c>
      <c r="Z34"/>
      <c r="AA34" s="17">
        <f>IF($A34,$J34*(IF(Q34=regle!$B$11,regle!$B$23*IF(AJ34=-2,1+regle!$B$35,1),
IF(Q34=regle!$C$11,regle!$C$23,
IF(Q34=regle!$D$11,regle!$D$23,
IF(Q34=regle!$E$11,regle!$E$23,
IF(Q34=regle!$F$11,regle!$F$23,
IF(Q34=regle!$G$11,regle!$G$23,
IF(Q34=regle!$H$11,regle!$H$23,
IF(Q34=regle!$I$11,regle!$I$23,
IF(Q34=regle!$J$11,regle!$J$23,
IF(Q34=regle!$K$11,regle!$K$23,0))))))))))))</f>
        <v>0</v>
      </c>
      <c r="AB34" s="17">
        <f>IF($A34,$J34*(IF(R34=regle!$B$11,regle!$B$23*IF(AK34=-2,1+regle!$B$35,1),
IF(R34=regle!$C$11,regle!$C$23,
IF(R34=regle!$D$11,regle!$D$23,
IF(R34=regle!$E$11,regle!$E$23,
IF(R34=regle!$F$11,regle!$F$23,
IF(R34=regle!$G$11,regle!$G$23,
IF(R34=regle!$H$11,regle!$H$23,
IF(R34=regle!$I$11,regle!$I$23,
IF(R34=regle!$J$11,regle!$J$23,
IF(R34=regle!$K$11,regle!$K$23,0))))))))))))</f>
        <v>-2465</v>
      </c>
      <c r="AC34" s="17">
        <f>IF($A34,$J34*(IF(S34=regle!$B$11,regle!$B$23*IF(AL34=-2,1+regle!$B$35,1),
IF(S34=regle!$C$11,regle!$C$23,
IF(S34=regle!$D$11,regle!$D$23,
IF(S34=regle!$E$11,regle!$E$23,
IF(S34=regle!$F$11,regle!$F$23,
IF(S34=regle!$G$11,regle!$G$23,
IF(S34=regle!$H$11,regle!$H$23,
IF(S34=regle!$I$11,regle!$I$23,
IF(S34=regle!$J$11,regle!$J$23,
IF(S34=regle!$K$11,regle!$K$23,0))))))))))))</f>
        <v>0</v>
      </c>
      <c r="AD34" s="17">
        <f>IF($A34,$J34*(IF(T34=regle!$B$11,regle!$B$23*IF(AM34=-2,1+regle!$B$35,1),
IF(T34=regle!$C$11,regle!$C$23,
IF(T34=regle!$D$11,regle!$D$23,
IF(T34=regle!$E$11,regle!$E$23,
IF(T34=regle!$F$11,regle!$F$23,
IF(T34=regle!$G$11,regle!$G$23,
IF(T34=regle!$H$11,regle!$H$23,
IF(T34=regle!$I$11,regle!$I$23,
IF(T34=regle!$J$11,regle!$J$23,
IF(T34=regle!$K$11,regle!$K$23,0))))))))))))</f>
        <v>0</v>
      </c>
      <c r="AE34" s="17">
        <f>IF($A34,$J34*(IF(U34=regle!$B$11,regle!$B$23*IF(AN34=-2,1+regle!$B$35,1),
IF(U34=regle!$C$11,regle!$C$23,
IF(U34=regle!$D$11,regle!$D$23,
IF(U34=regle!$E$11,regle!$E$23,
IF(U34=regle!$F$11,regle!$F$23,
IF(U34=regle!$G$11,regle!$G$23,
IF(U34=regle!$H$11,regle!$H$23,
IF(U34=regle!$I$11,regle!$I$23,
IF(U34=regle!$J$11,regle!$J$23,
IF(U34=regle!$K$11,regle!$K$23,0))))))))))))</f>
        <v>0</v>
      </c>
      <c r="AF34" s="17">
        <f>IF($A34,$J34*(IF(V34=regle!$B$11,regle!$B$23*IF(AO34=-2,1+regle!$B$35,1),
IF(V34=regle!$C$11,regle!$C$23,
IF(V34=regle!$D$11,regle!$D$23,
IF(V34=regle!$E$11,regle!$E$23,
IF(V34=regle!$F$11,regle!$F$23,
IF(V34=regle!$G$11,regle!$G$23,
IF(V34=regle!$H$11,regle!$H$23,
IF(V34=regle!$I$11,regle!$I$23,
IF(V34=regle!$J$11,regle!$J$23,
IF(V34=regle!$K$11,regle!$K$23,0))))))))))))</f>
        <v>0</v>
      </c>
      <c r="AG34" s="17">
        <f>IF($A34,$J34*(IF(W34=regle!$B$11,regle!$B$23*IF(AP34=-2,1+regle!$B$35,1),
IF(W34=regle!$C$11,regle!$C$23,
IF(W34=regle!$D$11,regle!$D$23,
IF(W34=regle!$E$11,regle!$E$23,
IF(W34=regle!$F$11,regle!$F$23,
IF(W34=regle!$G$11,regle!$G$23,
IF(W34=regle!$H$11,regle!$H$23,
IF(W34=regle!$I$11,regle!$I$23,
IF(W34=regle!$J$11,regle!$J$23,
IF(W34=regle!$K$11,regle!$K$23,0))))))))))))</f>
        <v>0</v>
      </c>
      <c r="AH34" s="17">
        <f>IF($A34,$J34*(IF(X34=regle!$B$11,regle!$B$23*IF(AQ34=-2,1+regle!$B$35,1),
IF(X34=regle!$C$11,regle!$C$23,
IF(X34=regle!$D$11,regle!$D$23,
IF(X34=regle!$E$11,regle!$E$23,
IF(X34=regle!$F$11,regle!$F$23,
IF(X34=regle!$G$11,regle!$G$23,
IF(X34=regle!$H$11,regle!$H$23,
IF(X34=regle!$I$11,regle!$I$23,
IF(X34=regle!$J$11,regle!$J$23,
IF(X34=regle!$K$11,regle!$K$23,0))))))))))))</f>
        <v>0</v>
      </c>
      <c r="AI34" s="17">
        <f>IF($A34,$J34*(IF(Y34=regle!$B$11,regle!$B$23*IF(AR34=-2,1+regle!$B$35,1),
IF(Y34=regle!$C$11,regle!$C$23,
IF(Y34=regle!$D$11,regle!$D$23,
IF(Y34=regle!$E$11,regle!$E$23,
IF(Y34=regle!$F$11,regle!$F$23,
IF(Y34=regle!$G$11,regle!$G$23,
IF(Y34=regle!$H$11,regle!$H$23,
IF(Y34=regle!$I$11,regle!$I$23,
IF(Y34=regle!$J$11,regle!$J$23,
IF(Y34=regle!$K$11,regle!$K$23,0))))))))))))</f>
        <v>0</v>
      </c>
      <c r="AJ34" s="17">
        <f>IF($A34,$J34*(IF(Z34=regle!$B$11,regle!$B$23*IF(AS34=-2,1+regle!$B$35,1),
IF(Z34=regle!$C$11,regle!$C$23,
IF(Z34=regle!$D$11,regle!$D$23,
IF(Z34=regle!$E$11,regle!$E$23,
IF(Z34=regle!$F$11,regle!$F$23,
IF(Z34=regle!$G$11,regle!$G$23,
IF(Z34=regle!$H$11,regle!$H$23,
IF(Z34=regle!$I$11,regle!$I$23,
IF(Z34=regle!$J$11,regle!$J$23,
IF(Z34=regle!$K$11,regle!$K$23,0))))))))))))</f>
        <v>0</v>
      </c>
      <c r="AK34" s="16">
        <f>IF(OR(Q34=regle!$J$11,Q34=regle!$K$11),-2,IF(Q34=regle!$B$11,0,IF(AK$1=$AK$1,IF($O34,-1,regle!$B$2-$M34),IF(AJ34=-1,-1,AJ34+1))))</f>
        <v>-1</v>
      </c>
      <c r="AL34" s="16">
        <f>IF(OR(R34=regle!$J$11,R34=regle!$K$11),-2,IF(R34=regle!$B$11,0,IF(AL$1=$AK$1,IF($O34,-1,regle!$B$2-$M34),IF(AK34=-1,-1,AK34+1))))</f>
        <v>0</v>
      </c>
      <c r="AM34" s="16">
        <f>IF(OR(S34=regle!$J$11,S34=regle!$K$11),-2,IF(S34=regle!$B$11,0,IF(AM$1=$AK$1,IF($O34,-1,regle!$B$2-$M34),IF(AL34=-1,-1,AL34+1))))</f>
        <v>1</v>
      </c>
      <c r="AN34" s="16">
        <f>IF(OR(T34=regle!$J$11,T34=regle!$K$11),-2,IF(T34=regle!$B$11,0,IF(AN$1=$AK$1,IF($O34,-1,regle!$B$2-$M34),IF(AM34=-1,-1,AM34+1))))</f>
        <v>2</v>
      </c>
      <c r="AO34" s="16">
        <f>IF(OR(U34=regle!$J$11,U34=regle!$K$11),-2,IF(U34=regle!$B$11,0,IF(AO$1=$AK$1,IF($O34,-1,regle!$B$2-$M34),IF(AN34=-1,-1,AN34+1))))</f>
        <v>3</v>
      </c>
      <c r="AP34" s="16">
        <f>IF(OR(V34=regle!$J$11,V34=regle!$K$11),-2,IF(V34=regle!$B$11,0,IF(AP$1=$AK$1,IF($O34,-1,regle!$B$2-$M34),IF(AO34=-1,-1,AO34+1))))</f>
        <v>4</v>
      </c>
      <c r="AQ34" s="16">
        <f>IF(OR(W34=regle!$J$11,W34=regle!$K$11),-2,IF(W34=regle!$B$11,0,IF(AQ$1=$AK$1,IF($O34,-1,regle!$B$2-$M34),IF(AP34=-1,-1,AP34+1))))</f>
        <v>5</v>
      </c>
      <c r="AR34" s="16">
        <f>IF(OR(X34=regle!$J$11,X34=regle!$K$11),-2,IF(X34=regle!$B$11,0,IF(AR$1=$AK$1,IF($O34,-1,regle!$B$2-$M34),IF(AQ34=-1,-1,AQ34+1))))</f>
        <v>6</v>
      </c>
      <c r="AS34" s="16">
        <f>IF(OR(Y34=regle!$J$11,Y34=regle!$K$11),-2,IF(Y34=regle!$B$11,0,IF(AS$1=$AK$1,IF($O34,-1,regle!$B$2-$M34),IF(AR34=-1,-1,AR34+1))))</f>
        <v>7</v>
      </c>
      <c r="AT34" s="16">
        <f>IF(OR(Z34=regle!$J$11,Z34=regle!$K$11),-2,IF(Z34=regle!$B$11,0,IF(AT$1=$AK$1,IF($O34,-1,regle!$B$2-$M34),IF(AS34=-1,-1,AS34+1))))</f>
        <v>8</v>
      </c>
    </row>
    <row r="35" spans="1:46" x14ac:dyDescent="0.25">
      <c r="A35" t="b">
        <f>modif1!A35</f>
        <v>1</v>
      </c>
      <c r="B35">
        <f>ROW(modif1!B35)</f>
        <v>35</v>
      </c>
      <c r="C35" t="str">
        <f>modif1!C38</f>
        <v>171</v>
      </c>
      <c r="D35" t="str">
        <f>modif1!D35</f>
        <v>HOSTENS</v>
      </c>
      <c r="E35">
        <f>modif1!E35</f>
        <v>10</v>
      </c>
      <c r="F35" t="str">
        <f>modif1!F35</f>
        <v>LES DOUILS</v>
      </c>
      <c r="G35" t="str">
        <f>modif1!G35</f>
        <v>0A</v>
      </c>
      <c r="H35">
        <f>modif1!H35</f>
        <v>1224</v>
      </c>
      <c r="I35" t="str">
        <f>modif1!I35</f>
        <v/>
      </c>
      <c r="J35" s="11">
        <f>modif1!J35</f>
        <v>1.425</v>
      </c>
      <c r="K35" t="str">
        <f>modif1!K35</f>
        <v>CR</v>
      </c>
      <c r="L35" t="str">
        <f>modif1!L35</f>
        <v>PM</v>
      </c>
      <c r="M35">
        <f>modif1!M35</f>
        <v>2022</v>
      </c>
      <c r="N35" t="str">
        <f>modif1!N35</f>
        <v>CR-PM_2022</v>
      </c>
      <c r="O35" t="b">
        <f>modif1!O35</f>
        <v>1</v>
      </c>
      <c r="P35">
        <v>25</v>
      </c>
      <c r="Q35" s="22"/>
      <c r="R35" t="s">
        <v>1868</v>
      </c>
      <c r="Z35"/>
      <c r="AA35" s="17">
        <f>IF($A35,$J35*(IF(Q35=regle!$B$11,regle!$B$23*IF(AJ35=-2,1+regle!$B$35,1),
IF(Q35=regle!$C$11,regle!$C$23,
IF(Q35=regle!$D$11,regle!$D$23,
IF(Q35=regle!$E$11,regle!$E$23,
IF(Q35=regle!$F$11,regle!$F$23,
IF(Q35=regle!$G$11,regle!$G$23,
IF(Q35=regle!$H$11,regle!$H$23,
IF(Q35=regle!$I$11,regle!$I$23,
IF(Q35=regle!$J$11,regle!$J$23,
IF(Q35=regle!$K$11,regle!$K$23,0))))))))))))</f>
        <v>0</v>
      </c>
      <c r="AB35" s="17">
        <f>IF($A35,$J35*(IF(R35=regle!$B$11,regle!$B$23*IF(AK35=-2,1+regle!$B$35,1),
IF(R35=regle!$C$11,regle!$C$23,
IF(R35=regle!$D$11,regle!$D$23,
IF(R35=regle!$E$11,regle!$E$23,
IF(R35=regle!$F$11,regle!$F$23,
IF(R35=regle!$G$11,regle!$G$23,
IF(R35=regle!$H$11,regle!$H$23,
IF(R35=regle!$I$11,regle!$I$23,
IF(R35=regle!$J$11,regle!$J$23,
IF(R35=regle!$K$11,regle!$K$23,0))))))))))))</f>
        <v>-2422.5</v>
      </c>
      <c r="AC35" s="17">
        <f>IF($A35,$J35*(IF(S35=regle!$B$11,regle!$B$23*IF(AL35=-2,1+regle!$B$35,1),
IF(S35=regle!$C$11,regle!$C$23,
IF(S35=regle!$D$11,regle!$D$23,
IF(S35=regle!$E$11,regle!$E$23,
IF(S35=regle!$F$11,regle!$F$23,
IF(S35=regle!$G$11,regle!$G$23,
IF(S35=regle!$H$11,regle!$H$23,
IF(S35=regle!$I$11,regle!$I$23,
IF(S35=regle!$J$11,regle!$J$23,
IF(S35=regle!$K$11,regle!$K$23,0))))))))))))</f>
        <v>0</v>
      </c>
      <c r="AD35" s="17">
        <f>IF($A35,$J35*(IF(T35=regle!$B$11,regle!$B$23*IF(AM35=-2,1+regle!$B$35,1),
IF(T35=regle!$C$11,regle!$C$23,
IF(T35=regle!$D$11,regle!$D$23,
IF(T35=regle!$E$11,regle!$E$23,
IF(T35=regle!$F$11,regle!$F$23,
IF(T35=regle!$G$11,regle!$G$23,
IF(T35=regle!$H$11,regle!$H$23,
IF(T35=regle!$I$11,regle!$I$23,
IF(T35=regle!$J$11,regle!$J$23,
IF(T35=regle!$K$11,regle!$K$23,0))))))))))))</f>
        <v>0</v>
      </c>
      <c r="AE35" s="17">
        <f>IF($A35,$J35*(IF(U35=regle!$B$11,regle!$B$23*IF(AN35=-2,1+regle!$B$35,1),
IF(U35=regle!$C$11,regle!$C$23,
IF(U35=regle!$D$11,regle!$D$23,
IF(U35=regle!$E$11,regle!$E$23,
IF(U35=regle!$F$11,regle!$F$23,
IF(U35=regle!$G$11,regle!$G$23,
IF(U35=regle!$H$11,regle!$H$23,
IF(U35=regle!$I$11,regle!$I$23,
IF(U35=regle!$J$11,regle!$J$23,
IF(U35=regle!$K$11,regle!$K$23,0))))))))))))</f>
        <v>0</v>
      </c>
      <c r="AF35" s="17">
        <f>IF($A35,$J35*(IF(V35=regle!$B$11,regle!$B$23*IF(AO35=-2,1+regle!$B$35,1),
IF(V35=regle!$C$11,regle!$C$23,
IF(V35=regle!$D$11,regle!$D$23,
IF(V35=regle!$E$11,regle!$E$23,
IF(V35=regle!$F$11,regle!$F$23,
IF(V35=regle!$G$11,regle!$G$23,
IF(V35=regle!$H$11,regle!$H$23,
IF(V35=regle!$I$11,regle!$I$23,
IF(V35=regle!$J$11,regle!$J$23,
IF(V35=regle!$K$11,regle!$K$23,0))))))))))))</f>
        <v>0</v>
      </c>
      <c r="AG35" s="17">
        <f>IF($A35,$J35*(IF(W35=regle!$B$11,regle!$B$23*IF(AP35=-2,1+regle!$B$35,1),
IF(W35=regle!$C$11,regle!$C$23,
IF(W35=regle!$D$11,regle!$D$23,
IF(W35=regle!$E$11,regle!$E$23,
IF(W35=regle!$F$11,regle!$F$23,
IF(W35=regle!$G$11,regle!$G$23,
IF(W35=regle!$H$11,regle!$H$23,
IF(W35=regle!$I$11,regle!$I$23,
IF(W35=regle!$J$11,regle!$J$23,
IF(W35=regle!$K$11,regle!$K$23,0))))))))))))</f>
        <v>0</v>
      </c>
      <c r="AH35" s="17">
        <f>IF($A35,$J35*(IF(X35=regle!$B$11,regle!$B$23*IF(AQ35=-2,1+regle!$B$35,1),
IF(X35=regle!$C$11,regle!$C$23,
IF(X35=regle!$D$11,regle!$D$23,
IF(X35=regle!$E$11,regle!$E$23,
IF(X35=regle!$F$11,regle!$F$23,
IF(X35=regle!$G$11,regle!$G$23,
IF(X35=regle!$H$11,regle!$H$23,
IF(X35=regle!$I$11,regle!$I$23,
IF(X35=regle!$J$11,regle!$J$23,
IF(X35=regle!$K$11,regle!$K$23,0))))))))))))</f>
        <v>0</v>
      </c>
      <c r="AI35" s="17">
        <f>IF($A35,$J35*(IF(Y35=regle!$B$11,regle!$B$23*IF(AR35=-2,1+regle!$B$35,1),
IF(Y35=regle!$C$11,regle!$C$23,
IF(Y35=regle!$D$11,regle!$D$23,
IF(Y35=regle!$E$11,regle!$E$23,
IF(Y35=regle!$F$11,regle!$F$23,
IF(Y35=regle!$G$11,regle!$G$23,
IF(Y35=regle!$H$11,regle!$H$23,
IF(Y35=regle!$I$11,regle!$I$23,
IF(Y35=regle!$J$11,regle!$J$23,
IF(Y35=regle!$K$11,regle!$K$23,0))))))))))))</f>
        <v>0</v>
      </c>
      <c r="AJ35" s="17">
        <f>IF($A35,$J35*(IF(Z35=regle!$B$11,regle!$B$23*IF(AS35=-2,1+regle!$B$35,1),
IF(Z35=regle!$C$11,regle!$C$23,
IF(Z35=regle!$D$11,regle!$D$23,
IF(Z35=regle!$E$11,regle!$E$23,
IF(Z35=regle!$F$11,regle!$F$23,
IF(Z35=regle!$G$11,regle!$G$23,
IF(Z35=regle!$H$11,regle!$H$23,
IF(Z35=regle!$I$11,regle!$I$23,
IF(Z35=regle!$J$11,regle!$J$23,
IF(Z35=regle!$K$11,regle!$K$23,0))))))))))))</f>
        <v>0</v>
      </c>
      <c r="AK35" s="16">
        <f>IF(OR(Q35=regle!$J$11,Q35=regle!$K$11),-2,IF(Q35=regle!$B$11,0,IF(AK$1=$AK$1,IF($O35,-1,regle!$B$2-$M35),IF(AJ35=-1,-1,AJ35+1))))</f>
        <v>-1</v>
      </c>
      <c r="AL35" s="16">
        <f>IF(OR(R35=regle!$J$11,R35=regle!$K$11),-2,IF(R35=regle!$B$11,0,IF(AL$1=$AK$1,IF($O35,-1,regle!$B$2-$M35),IF(AK35=-1,-1,AK35+1))))</f>
        <v>0</v>
      </c>
      <c r="AM35" s="16">
        <f>IF(OR(S35=regle!$J$11,S35=regle!$K$11),-2,IF(S35=regle!$B$11,0,IF(AM$1=$AK$1,IF($O35,-1,regle!$B$2-$M35),IF(AL35=-1,-1,AL35+1))))</f>
        <v>1</v>
      </c>
      <c r="AN35" s="16">
        <f>IF(OR(T35=regle!$J$11,T35=regle!$K$11),-2,IF(T35=regle!$B$11,0,IF(AN$1=$AK$1,IF($O35,-1,regle!$B$2-$M35),IF(AM35=-1,-1,AM35+1))))</f>
        <v>2</v>
      </c>
      <c r="AO35" s="16">
        <f>IF(OR(U35=regle!$J$11,U35=regle!$K$11),-2,IF(U35=regle!$B$11,0,IF(AO$1=$AK$1,IF($O35,-1,regle!$B$2-$M35),IF(AN35=-1,-1,AN35+1))))</f>
        <v>3</v>
      </c>
      <c r="AP35" s="16">
        <f>IF(OR(V35=regle!$J$11,V35=regle!$K$11),-2,IF(V35=regle!$B$11,0,IF(AP$1=$AK$1,IF($O35,-1,regle!$B$2-$M35),IF(AO35=-1,-1,AO35+1))))</f>
        <v>4</v>
      </c>
      <c r="AQ35" s="16">
        <f>IF(OR(W35=regle!$J$11,W35=regle!$K$11),-2,IF(W35=regle!$B$11,0,IF(AQ$1=$AK$1,IF($O35,-1,regle!$B$2-$M35),IF(AP35=-1,-1,AP35+1))))</f>
        <v>5</v>
      </c>
      <c r="AR35" s="16">
        <f>IF(OR(X35=regle!$J$11,X35=regle!$K$11),-2,IF(X35=regle!$B$11,0,IF(AR$1=$AK$1,IF($O35,-1,regle!$B$2-$M35),IF(AQ35=-1,-1,AQ35+1))))</f>
        <v>6</v>
      </c>
      <c r="AS35" s="16">
        <f>IF(OR(Y35=regle!$J$11,Y35=regle!$K$11),-2,IF(Y35=regle!$B$11,0,IF(AS$1=$AK$1,IF($O35,-1,regle!$B$2-$M35),IF(AR35=-1,-1,AR35+1))))</f>
        <v>7</v>
      </c>
      <c r="AT35" s="16">
        <f>IF(OR(Z35=regle!$J$11,Z35=regle!$K$11),-2,IF(Z35=regle!$B$11,0,IF(AT$1=$AK$1,IF($O35,-1,regle!$B$2-$M35),IF(AS35=-1,-1,AS35+1))))</f>
        <v>8</v>
      </c>
    </row>
    <row r="36" spans="1:46" x14ac:dyDescent="0.25">
      <c r="A36" t="b">
        <f>modif1!A36</f>
        <v>1</v>
      </c>
      <c r="B36">
        <f>ROW(modif1!B36)</f>
        <v>36</v>
      </c>
      <c r="C36" t="str">
        <f>modif1!C39</f>
        <v>200</v>
      </c>
      <c r="D36" t="str">
        <f>modif1!D36</f>
        <v>MANO</v>
      </c>
      <c r="E36">
        <f>modif1!E36</f>
        <v>17</v>
      </c>
      <c r="F36" t="str">
        <f>modif1!F36</f>
        <v>LANDE DE TABARTON</v>
      </c>
      <c r="G36" t="str">
        <f>modif1!G36</f>
        <v>0B</v>
      </c>
      <c r="H36">
        <f>modif1!H36</f>
        <v>248</v>
      </c>
      <c r="I36" t="str">
        <f>modif1!I36</f>
        <v/>
      </c>
      <c r="J36" s="11">
        <f>modif1!J36</f>
        <v>1.4159999999999999</v>
      </c>
      <c r="K36" t="str">
        <f>modif1!K36</f>
        <v>CR</v>
      </c>
      <c r="L36" t="str">
        <f>modif1!L36</f>
        <v>PM</v>
      </c>
      <c r="M36">
        <f>modif1!M36</f>
        <v>2022</v>
      </c>
      <c r="N36" t="str">
        <f>modif1!N36</f>
        <v>CR-PM_2022</v>
      </c>
      <c r="O36" t="b">
        <f>modif1!O36</f>
        <v>1</v>
      </c>
      <c r="P36">
        <v>25</v>
      </c>
      <c r="Q36" s="22"/>
      <c r="R36" t="s">
        <v>1868</v>
      </c>
      <c r="Z36"/>
      <c r="AA36" s="17">
        <f>IF($A36,$J36*(IF(Q36=regle!$B$11,regle!$B$23*IF(AJ36=-2,1+regle!$B$35,1),
IF(Q36=regle!$C$11,regle!$C$23,
IF(Q36=regle!$D$11,regle!$D$23,
IF(Q36=regle!$E$11,regle!$E$23,
IF(Q36=regle!$F$11,regle!$F$23,
IF(Q36=regle!$G$11,regle!$G$23,
IF(Q36=regle!$H$11,regle!$H$23,
IF(Q36=regle!$I$11,regle!$I$23,
IF(Q36=regle!$J$11,regle!$J$23,
IF(Q36=regle!$K$11,regle!$K$23,0))))))))))))</f>
        <v>0</v>
      </c>
      <c r="AB36" s="17">
        <f>IF($A36,$J36*(IF(R36=regle!$B$11,regle!$B$23*IF(AK36=-2,1+regle!$B$35,1),
IF(R36=regle!$C$11,regle!$C$23,
IF(R36=regle!$D$11,regle!$D$23,
IF(R36=regle!$E$11,regle!$E$23,
IF(R36=regle!$F$11,regle!$F$23,
IF(R36=regle!$G$11,regle!$G$23,
IF(R36=regle!$H$11,regle!$H$23,
IF(R36=regle!$I$11,regle!$I$23,
IF(R36=regle!$J$11,regle!$J$23,
IF(R36=regle!$K$11,regle!$K$23,0))))))))))))</f>
        <v>-2407.1999999999998</v>
      </c>
      <c r="AC36" s="17">
        <f>IF($A36,$J36*(IF(S36=regle!$B$11,regle!$B$23*IF(AL36=-2,1+regle!$B$35,1),
IF(S36=regle!$C$11,regle!$C$23,
IF(S36=regle!$D$11,regle!$D$23,
IF(S36=regle!$E$11,regle!$E$23,
IF(S36=regle!$F$11,regle!$F$23,
IF(S36=regle!$G$11,regle!$G$23,
IF(S36=regle!$H$11,regle!$H$23,
IF(S36=regle!$I$11,regle!$I$23,
IF(S36=regle!$J$11,regle!$J$23,
IF(S36=regle!$K$11,regle!$K$23,0))))))))))))</f>
        <v>0</v>
      </c>
      <c r="AD36" s="17">
        <f>IF($A36,$J36*(IF(T36=regle!$B$11,regle!$B$23*IF(AM36=-2,1+regle!$B$35,1),
IF(T36=regle!$C$11,regle!$C$23,
IF(T36=regle!$D$11,regle!$D$23,
IF(T36=regle!$E$11,regle!$E$23,
IF(T36=regle!$F$11,regle!$F$23,
IF(T36=regle!$G$11,regle!$G$23,
IF(T36=regle!$H$11,regle!$H$23,
IF(T36=regle!$I$11,regle!$I$23,
IF(T36=regle!$J$11,regle!$J$23,
IF(T36=regle!$K$11,regle!$K$23,0))))))))))))</f>
        <v>0</v>
      </c>
      <c r="AE36" s="17">
        <f>IF($A36,$J36*(IF(U36=regle!$B$11,regle!$B$23*IF(AN36=-2,1+regle!$B$35,1),
IF(U36=regle!$C$11,regle!$C$23,
IF(U36=regle!$D$11,regle!$D$23,
IF(U36=regle!$E$11,regle!$E$23,
IF(U36=regle!$F$11,regle!$F$23,
IF(U36=regle!$G$11,regle!$G$23,
IF(U36=regle!$H$11,regle!$H$23,
IF(U36=regle!$I$11,regle!$I$23,
IF(U36=regle!$J$11,regle!$J$23,
IF(U36=regle!$K$11,regle!$K$23,0))))))))))))</f>
        <v>0</v>
      </c>
      <c r="AF36" s="17">
        <f>IF($A36,$J36*(IF(V36=regle!$B$11,regle!$B$23*IF(AO36=-2,1+regle!$B$35,1),
IF(V36=regle!$C$11,regle!$C$23,
IF(V36=regle!$D$11,regle!$D$23,
IF(V36=regle!$E$11,regle!$E$23,
IF(V36=regle!$F$11,regle!$F$23,
IF(V36=regle!$G$11,regle!$G$23,
IF(V36=regle!$H$11,regle!$H$23,
IF(V36=regle!$I$11,regle!$I$23,
IF(V36=regle!$J$11,regle!$J$23,
IF(V36=regle!$K$11,regle!$K$23,0))))))))))))</f>
        <v>0</v>
      </c>
      <c r="AG36" s="17">
        <f>IF($A36,$J36*(IF(W36=regle!$B$11,regle!$B$23*IF(AP36=-2,1+regle!$B$35,1),
IF(W36=regle!$C$11,regle!$C$23,
IF(W36=regle!$D$11,regle!$D$23,
IF(W36=regle!$E$11,regle!$E$23,
IF(W36=regle!$F$11,regle!$F$23,
IF(W36=regle!$G$11,regle!$G$23,
IF(W36=regle!$H$11,regle!$H$23,
IF(W36=regle!$I$11,regle!$I$23,
IF(W36=regle!$J$11,regle!$J$23,
IF(W36=regle!$K$11,regle!$K$23,0))))))))))))</f>
        <v>0</v>
      </c>
      <c r="AH36" s="17">
        <f>IF($A36,$J36*(IF(X36=regle!$B$11,regle!$B$23*IF(AQ36=-2,1+regle!$B$35,1),
IF(X36=regle!$C$11,regle!$C$23,
IF(X36=regle!$D$11,regle!$D$23,
IF(X36=regle!$E$11,regle!$E$23,
IF(X36=regle!$F$11,regle!$F$23,
IF(X36=regle!$G$11,regle!$G$23,
IF(X36=regle!$H$11,regle!$H$23,
IF(X36=regle!$I$11,regle!$I$23,
IF(X36=regle!$J$11,regle!$J$23,
IF(X36=regle!$K$11,regle!$K$23,0))))))))))))</f>
        <v>0</v>
      </c>
      <c r="AI36" s="17">
        <f>IF($A36,$J36*(IF(Y36=regle!$B$11,regle!$B$23*IF(AR36=-2,1+regle!$B$35,1),
IF(Y36=regle!$C$11,regle!$C$23,
IF(Y36=regle!$D$11,regle!$D$23,
IF(Y36=regle!$E$11,regle!$E$23,
IF(Y36=regle!$F$11,regle!$F$23,
IF(Y36=regle!$G$11,regle!$G$23,
IF(Y36=regle!$H$11,regle!$H$23,
IF(Y36=regle!$I$11,regle!$I$23,
IF(Y36=regle!$J$11,regle!$J$23,
IF(Y36=regle!$K$11,regle!$K$23,0))))))))))))</f>
        <v>0</v>
      </c>
      <c r="AJ36" s="17">
        <f>IF($A36,$J36*(IF(Z36=regle!$B$11,regle!$B$23*IF(AS36=-2,1+regle!$B$35,1),
IF(Z36=regle!$C$11,regle!$C$23,
IF(Z36=regle!$D$11,regle!$D$23,
IF(Z36=regle!$E$11,regle!$E$23,
IF(Z36=regle!$F$11,regle!$F$23,
IF(Z36=regle!$G$11,regle!$G$23,
IF(Z36=regle!$H$11,regle!$H$23,
IF(Z36=regle!$I$11,regle!$I$23,
IF(Z36=regle!$J$11,regle!$J$23,
IF(Z36=regle!$K$11,regle!$K$23,0))))))))))))</f>
        <v>0</v>
      </c>
      <c r="AK36" s="16">
        <f>IF(OR(Q36=regle!$J$11,Q36=regle!$K$11),-2,IF(Q36=regle!$B$11,0,IF(AK$1=$AK$1,IF($O36,-1,regle!$B$2-$M36),IF(AJ36=-1,-1,AJ36+1))))</f>
        <v>-1</v>
      </c>
      <c r="AL36" s="16">
        <f>IF(OR(R36=regle!$J$11,R36=regle!$K$11),-2,IF(R36=regle!$B$11,0,IF(AL$1=$AK$1,IF($O36,-1,regle!$B$2-$M36),IF(AK36=-1,-1,AK36+1))))</f>
        <v>0</v>
      </c>
      <c r="AM36" s="16">
        <f>IF(OR(S36=regle!$J$11,S36=regle!$K$11),-2,IF(S36=regle!$B$11,0,IF(AM$1=$AK$1,IF($O36,-1,regle!$B$2-$M36),IF(AL36=-1,-1,AL36+1))))</f>
        <v>1</v>
      </c>
      <c r="AN36" s="16">
        <f>IF(OR(T36=regle!$J$11,T36=regle!$K$11),-2,IF(T36=regle!$B$11,0,IF(AN$1=$AK$1,IF($O36,-1,regle!$B$2-$M36),IF(AM36=-1,-1,AM36+1))))</f>
        <v>2</v>
      </c>
      <c r="AO36" s="16">
        <f>IF(OR(U36=regle!$J$11,U36=regle!$K$11),-2,IF(U36=regle!$B$11,0,IF(AO$1=$AK$1,IF($O36,-1,regle!$B$2-$M36),IF(AN36=-1,-1,AN36+1))))</f>
        <v>3</v>
      </c>
      <c r="AP36" s="16">
        <f>IF(OR(V36=regle!$J$11,V36=regle!$K$11),-2,IF(V36=regle!$B$11,0,IF(AP$1=$AK$1,IF($O36,-1,regle!$B$2-$M36),IF(AO36=-1,-1,AO36+1))))</f>
        <v>4</v>
      </c>
      <c r="AQ36" s="16">
        <f>IF(OR(W36=regle!$J$11,W36=regle!$K$11),-2,IF(W36=regle!$B$11,0,IF(AQ$1=$AK$1,IF($O36,-1,regle!$B$2-$M36),IF(AP36=-1,-1,AP36+1))))</f>
        <v>5</v>
      </c>
      <c r="AR36" s="16">
        <f>IF(OR(X36=regle!$J$11,X36=regle!$K$11),-2,IF(X36=regle!$B$11,0,IF(AR$1=$AK$1,IF($O36,-1,regle!$B$2-$M36),IF(AQ36=-1,-1,AQ36+1))))</f>
        <v>6</v>
      </c>
      <c r="AS36" s="16">
        <f>IF(OR(Y36=regle!$J$11,Y36=regle!$K$11),-2,IF(Y36=regle!$B$11,0,IF(AS$1=$AK$1,IF($O36,-1,regle!$B$2-$M36),IF(AR36=-1,-1,AR36+1))))</f>
        <v>7</v>
      </c>
      <c r="AT36" s="16">
        <f>IF(OR(Z36=regle!$J$11,Z36=regle!$K$11),-2,IF(Z36=regle!$B$11,0,IF(AT$1=$AK$1,IF($O36,-1,regle!$B$2-$M36),IF(AS36=-1,-1,AS36+1))))</f>
        <v>8</v>
      </c>
    </row>
    <row r="37" spans="1:46" x14ac:dyDescent="0.25">
      <c r="A37" t="b">
        <f>modif1!A37</f>
        <v>1</v>
      </c>
      <c r="B37">
        <f>ROW(modif1!B37)</f>
        <v>37</v>
      </c>
      <c r="C37" t="str">
        <f>modif1!C40</f>
        <v>171</v>
      </c>
      <c r="D37" t="str">
        <f>modif1!D37</f>
        <v>MANO</v>
      </c>
      <c r="E37">
        <f>modif1!E37</f>
        <v>17</v>
      </c>
      <c r="F37" t="str">
        <f>modif1!F37</f>
        <v>LANDE DE TABARTON</v>
      </c>
      <c r="G37" t="str">
        <f>modif1!G37</f>
        <v>0B</v>
      </c>
      <c r="H37">
        <f>modif1!H37</f>
        <v>251</v>
      </c>
      <c r="I37" t="str">
        <f>modif1!I37</f>
        <v/>
      </c>
      <c r="J37" s="11">
        <f>modif1!J37</f>
        <v>1.4</v>
      </c>
      <c r="K37" t="str">
        <f>modif1!K37</f>
        <v>CR</v>
      </c>
      <c r="L37" t="str">
        <f>modif1!L37</f>
        <v>PM</v>
      </c>
      <c r="M37">
        <f>modif1!M37</f>
        <v>2022</v>
      </c>
      <c r="N37" t="str">
        <f>modif1!N37</f>
        <v>CR-PM_2022</v>
      </c>
      <c r="O37" t="b">
        <f>modif1!O37</f>
        <v>1</v>
      </c>
      <c r="P37">
        <v>25</v>
      </c>
      <c r="Q37" s="22"/>
      <c r="R37" t="s">
        <v>1868</v>
      </c>
      <c r="Z37"/>
      <c r="AA37" s="17">
        <f>IF($A37,$J37*(IF(Q37=regle!$B$11,regle!$B$23*IF(AJ37=-2,1+regle!$B$35,1),
IF(Q37=regle!$C$11,regle!$C$23,
IF(Q37=regle!$D$11,regle!$D$23,
IF(Q37=regle!$E$11,regle!$E$23,
IF(Q37=regle!$F$11,regle!$F$23,
IF(Q37=regle!$G$11,regle!$G$23,
IF(Q37=regle!$H$11,regle!$H$23,
IF(Q37=regle!$I$11,regle!$I$23,
IF(Q37=regle!$J$11,regle!$J$23,
IF(Q37=regle!$K$11,regle!$K$23,0))))))))))))</f>
        <v>0</v>
      </c>
      <c r="AB37" s="17">
        <f>IF($A37,$J37*(IF(R37=regle!$B$11,regle!$B$23*IF(AK37=-2,1+regle!$B$35,1),
IF(R37=regle!$C$11,regle!$C$23,
IF(R37=regle!$D$11,regle!$D$23,
IF(R37=regle!$E$11,regle!$E$23,
IF(R37=regle!$F$11,regle!$F$23,
IF(R37=regle!$G$11,regle!$G$23,
IF(R37=regle!$H$11,regle!$H$23,
IF(R37=regle!$I$11,regle!$I$23,
IF(R37=regle!$J$11,regle!$J$23,
IF(R37=regle!$K$11,regle!$K$23,0))))))))))))</f>
        <v>-2380</v>
      </c>
      <c r="AC37" s="17">
        <f>IF($A37,$J37*(IF(S37=regle!$B$11,regle!$B$23*IF(AL37=-2,1+regle!$B$35,1),
IF(S37=regle!$C$11,regle!$C$23,
IF(S37=regle!$D$11,regle!$D$23,
IF(S37=regle!$E$11,regle!$E$23,
IF(S37=regle!$F$11,regle!$F$23,
IF(S37=regle!$G$11,regle!$G$23,
IF(S37=regle!$H$11,regle!$H$23,
IF(S37=regle!$I$11,regle!$I$23,
IF(S37=regle!$J$11,regle!$J$23,
IF(S37=regle!$K$11,regle!$K$23,0))))))))))))</f>
        <v>0</v>
      </c>
      <c r="AD37" s="17">
        <f>IF($A37,$J37*(IF(T37=regle!$B$11,regle!$B$23*IF(AM37=-2,1+regle!$B$35,1),
IF(T37=regle!$C$11,regle!$C$23,
IF(T37=regle!$D$11,regle!$D$23,
IF(T37=regle!$E$11,regle!$E$23,
IF(T37=regle!$F$11,regle!$F$23,
IF(T37=regle!$G$11,regle!$G$23,
IF(T37=regle!$H$11,regle!$H$23,
IF(T37=regle!$I$11,regle!$I$23,
IF(T37=regle!$J$11,regle!$J$23,
IF(T37=regle!$K$11,regle!$K$23,0))))))))))))</f>
        <v>0</v>
      </c>
      <c r="AE37" s="17">
        <f>IF($A37,$J37*(IF(U37=regle!$B$11,regle!$B$23*IF(AN37=-2,1+regle!$B$35,1),
IF(U37=regle!$C$11,regle!$C$23,
IF(U37=regle!$D$11,regle!$D$23,
IF(U37=regle!$E$11,regle!$E$23,
IF(U37=regle!$F$11,regle!$F$23,
IF(U37=regle!$G$11,regle!$G$23,
IF(U37=regle!$H$11,regle!$H$23,
IF(U37=regle!$I$11,regle!$I$23,
IF(U37=regle!$J$11,regle!$J$23,
IF(U37=regle!$K$11,regle!$K$23,0))))))))))))</f>
        <v>0</v>
      </c>
      <c r="AF37" s="17">
        <f>IF($A37,$J37*(IF(V37=regle!$B$11,regle!$B$23*IF(AO37=-2,1+regle!$B$35,1),
IF(V37=regle!$C$11,regle!$C$23,
IF(V37=regle!$D$11,regle!$D$23,
IF(V37=regle!$E$11,regle!$E$23,
IF(V37=regle!$F$11,regle!$F$23,
IF(V37=regle!$G$11,regle!$G$23,
IF(V37=regle!$H$11,regle!$H$23,
IF(V37=regle!$I$11,regle!$I$23,
IF(V37=regle!$J$11,regle!$J$23,
IF(V37=regle!$K$11,regle!$K$23,0))))))))))))</f>
        <v>0</v>
      </c>
      <c r="AG37" s="17">
        <f>IF($A37,$J37*(IF(W37=regle!$B$11,regle!$B$23*IF(AP37=-2,1+regle!$B$35,1),
IF(W37=regle!$C$11,regle!$C$23,
IF(W37=regle!$D$11,regle!$D$23,
IF(W37=regle!$E$11,regle!$E$23,
IF(W37=regle!$F$11,regle!$F$23,
IF(W37=regle!$G$11,regle!$G$23,
IF(W37=regle!$H$11,regle!$H$23,
IF(W37=regle!$I$11,regle!$I$23,
IF(W37=regle!$J$11,regle!$J$23,
IF(W37=regle!$K$11,regle!$K$23,0))))))))))))</f>
        <v>0</v>
      </c>
      <c r="AH37" s="17">
        <f>IF($A37,$J37*(IF(X37=regle!$B$11,regle!$B$23*IF(AQ37=-2,1+regle!$B$35,1),
IF(X37=regle!$C$11,regle!$C$23,
IF(X37=regle!$D$11,regle!$D$23,
IF(X37=regle!$E$11,regle!$E$23,
IF(X37=regle!$F$11,regle!$F$23,
IF(X37=regle!$G$11,regle!$G$23,
IF(X37=regle!$H$11,regle!$H$23,
IF(X37=regle!$I$11,regle!$I$23,
IF(X37=regle!$J$11,regle!$J$23,
IF(X37=regle!$K$11,regle!$K$23,0))))))))))))</f>
        <v>0</v>
      </c>
      <c r="AI37" s="17">
        <f>IF($A37,$J37*(IF(Y37=regle!$B$11,regle!$B$23*IF(AR37=-2,1+regle!$B$35,1),
IF(Y37=regle!$C$11,regle!$C$23,
IF(Y37=regle!$D$11,regle!$D$23,
IF(Y37=regle!$E$11,regle!$E$23,
IF(Y37=regle!$F$11,regle!$F$23,
IF(Y37=regle!$G$11,regle!$G$23,
IF(Y37=regle!$H$11,regle!$H$23,
IF(Y37=regle!$I$11,regle!$I$23,
IF(Y37=regle!$J$11,regle!$J$23,
IF(Y37=regle!$K$11,regle!$K$23,0))))))))))))</f>
        <v>0</v>
      </c>
      <c r="AJ37" s="17">
        <f>IF($A37,$J37*(IF(Z37=regle!$B$11,regle!$B$23*IF(AS37=-2,1+regle!$B$35,1),
IF(Z37=regle!$C$11,regle!$C$23,
IF(Z37=regle!$D$11,regle!$D$23,
IF(Z37=regle!$E$11,regle!$E$23,
IF(Z37=regle!$F$11,regle!$F$23,
IF(Z37=regle!$G$11,regle!$G$23,
IF(Z37=regle!$H$11,regle!$H$23,
IF(Z37=regle!$I$11,regle!$I$23,
IF(Z37=regle!$J$11,regle!$J$23,
IF(Z37=regle!$K$11,regle!$K$23,0))))))))))))</f>
        <v>0</v>
      </c>
      <c r="AK37" s="16">
        <f>IF(OR(Q37=regle!$J$11,Q37=regle!$K$11),-2,IF(Q37=regle!$B$11,0,IF(AK$1=$AK$1,IF($O37,-1,regle!$B$2-$M37),IF(AJ37=-1,-1,AJ37+1))))</f>
        <v>-1</v>
      </c>
      <c r="AL37" s="16">
        <f>IF(OR(R37=regle!$J$11,R37=regle!$K$11),-2,IF(R37=regle!$B$11,0,IF(AL$1=$AK$1,IF($O37,-1,regle!$B$2-$M37),IF(AK37=-1,-1,AK37+1))))</f>
        <v>0</v>
      </c>
      <c r="AM37" s="16">
        <f>IF(OR(S37=regle!$J$11,S37=regle!$K$11),-2,IF(S37=regle!$B$11,0,IF(AM$1=$AK$1,IF($O37,-1,regle!$B$2-$M37),IF(AL37=-1,-1,AL37+1))))</f>
        <v>1</v>
      </c>
      <c r="AN37" s="16">
        <f>IF(OR(T37=regle!$J$11,T37=regle!$K$11),-2,IF(T37=regle!$B$11,0,IF(AN$1=$AK$1,IF($O37,-1,regle!$B$2-$M37),IF(AM37=-1,-1,AM37+1))))</f>
        <v>2</v>
      </c>
      <c r="AO37" s="16">
        <f>IF(OR(U37=regle!$J$11,U37=regle!$K$11),-2,IF(U37=regle!$B$11,0,IF(AO$1=$AK$1,IF($O37,-1,regle!$B$2-$M37),IF(AN37=-1,-1,AN37+1))))</f>
        <v>3</v>
      </c>
      <c r="AP37" s="16">
        <f>IF(OR(V37=regle!$J$11,V37=regle!$K$11),-2,IF(V37=regle!$B$11,0,IF(AP$1=$AK$1,IF($O37,-1,regle!$B$2-$M37),IF(AO37=-1,-1,AO37+1))))</f>
        <v>4</v>
      </c>
      <c r="AQ37" s="16">
        <f>IF(OR(W37=regle!$J$11,W37=regle!$K$11),-2,IF(W37=regle!$B$11,0,IF(AQ$1=$AK$1,IF($O37,-1,regle!$B$2-$M37),IF(AP37=-1,-1,AP37+1))))</f>
        <v>5</v>
      </c>
      <c r="AR37" s="16">
        <f>IF(OR(X37=regle!$J$11,X37=regle!$K$11),-2,IF(X37=regle!$B$11,0,IF(AR$1=$AK$1,IF($O37,-1,regle!$B$2-$M37),IF(AQ37=-1,-1,AQ37+1))))</f>
        <v>6</v>
      </c>
      <c r="AS37" s="16">
        <f>IF(OR(Y37=regle!$J$11,Y37=regle!$K$11),-2,IF(Y37=regle!$B$11,0,IF(AS$1=$AK$1,IF($O37,-1,regle!$B$2-$M37),IF(AR37=-1,-1,AR37+1))))</f>
        <v>7</v>
      </c>
      <c r="AT37" s="16">
        <f>IF(OR(Z37=regle!$J$11,Z37=regle!$K$11),-2,IF(Z37=regle!$B$11,0,IF(AT$1=$AK$1,IF($O37,-1,regle!$B$2-$M37),IF(AS37=-1,-1,AS37+1))))</f>
        <v>8</v>
      </c>
    </row>
    <row r="38" spans="1:46" x14ac:dyDescent="0.25">
      <c r="A38" t="b">
        <f>modif1!A38</f>
        <v>1</v>
      </c>
      <c r="B38">
        <f>ROW(modif1!B38)</f>
        <v>38</v>
      </c>
      <c r="C38" t="str">
        <f>modif1!C41</f>
        <v>202</v>
      </c>
      <c r="D38" t="str">
        <f>modif1!D38</f>
        <v>MANO</v>
      </c>
      <c r="E38">
        <f>modif1!E38</f>
        <v>17</v>
      </c>
      <c r="F38" t="str">
        <f>modif1!F38</f>
        <v>LANDE DE TABARTON</v>
      </c>
      <c r="G38" t="str">
        <f>modif1!G38</f>
        <v>0B</v>
      </c>
      <c r="H38">
        <f>modif1!H38</f>
        <v>272</v>
      </c>
      <c r="I38" t="str">
        <f>modif1!I38</f>
        <v/>
      </c>
      <c r="J38" s="11">
        <f>modif1!J38</f>
        <v>1.355</v>
      </c>
      <c r="K38" t="str">
        <f>modif1!K38</f>
        <v>CR</v>
      </c>
      <c r="L38" t="str">
        <f>modif1!L38</f>
        <v>PM</v>
      </c>
      <c r="M38">
        <f>modif1!M38</f>
        <v>2022</v>
      </c>
      <c r="N38" t="str">
        <f>modif1!N38</f>
        <v>CR-PM_2022</v>
      </c>
      <c r="O38" t="b">
        <f>modif1!O38</f>
        <v>1</v>
      </c>
      <c r="P38">
        <v>25</v>
      </c>
      <c r="Q38" s="22"/>
      <c r="R38" t="s">
        <v>1868</v>
      </c>
      <c r="Z38"/>
      <c r="AA38" s="17">
        <f>IF($A38,$J38*(IF(Q38=regle!$B$11,regle!$B$23*IF(AJ38=-2,1+regle!$B$35,1),
IF(Q38=regle!$C$11,regle!$C$23,
IF(Q38=regle!$D$11,regle!$D$23,
IF(Q38=regle!$E$11,regle!$E$23,
IF(Q38=regle!$F$11,regle!$F$23,
IF(Q38=regle!$G$11,regle!$G$23,
IF(Q38=regle!$H$11,regle!$H$23,
IF(Q38=regle!$I$11,regle!$I$23,
IF(Q38=regle!$J$11,regle!$J$23,
IF(Q38=regle!$K$11,regle!$K$23,0))))))))))))</f>
        <v>0</v>
      </c>
      <c r="AB38" s="17">
        <f>IF($A38,$J38*(IF(R38=regle!$B$11,regle!$B$23*IF(AK38=-2,1+regle!$B$35,1),
IF(R38=regle!$C$11,regle!$C$23,
IF(R38=regle!$D$11,regle!$D$23,
IF(R38=regle!$E$11,regle!$E$23,
IF(R38=regle!$F$11,regle!$F$23,
IF(R38=regle!$G$11,regle!$G$23,
IF(R38=regle!$H$11,regle!$H$23,
IF(R38=regle!$I$11,regle!$I$23,
IF(R38=regle!$J$11,regle!$J$23,
IF(R38=regle!$K$11,regle!$K$23,0))))))))))))</f>
        <v>-2303.5</v>
      </c>
      <c r="AC38" s="17">
        <f>IF($A38,$J38*(IF(S38=regle!$B$11,regle!$B$23*IF(AL38=-2,1+regle!$B$35,1),
IF(S38=regle!$C$11,regle!$C$23,
IF(S38=regle!$D$11,regle!$D$23,
IF(S38=regle!$E$11,regle!$E$23,
IF(S38=regle!$F$11,regle!$F$23,
IF(S38=regle!$G$11,regle!$G$23,
IF(S38=regle!$H$11,regle!$H$23,
IF(S38=regle!$I$11,regle!$I$23,
IF(S38=regle!$J$11,regle!$J$23,
IF(S38=regle!$K$11,regle!$K$23,0))))))))))))</f>
        <v>0</v>
      </c>
      <c r="AD38" s="17">
        <f>IF($A38,$J38*(IF(T38=regle!$B$11,regle!$B$23*IF(AM38=-2,1+regle!$B$35,1),
IF(T38=regle!$C$11,regle!$C$23,
IF(T38=regle!$D$11,regle!$D$23,
IF(T38=regle!$E$11,regle!$E$23,
IF(T38=regle!$F$11,regle!$F$23,
IF(T38=regle!$G$11,regle!$G$23,
IF(T38=regle!$H$11,regle!$H$23,
IF(T38=regle!$I$11,regle!$I$23,
IF(T38=regle!$J$11,regle!$J$23,
IF(T38=regle!$K$11,regle!$K$23,0))))))))))))</f>
        <v>0</v>
      </c>
      <c r="AE38" s="17">
        <f>IF($A38,$J38*(IF(U38=regle!$B$11,regle!$B$23*IF(AN38=-2,1+regle!$B$35,1),
IF(U38=regle!$C$11,regle!$C$23,
IF(U38=regle!$D$11,regle!$D$23,
IF(U38=regle!$E$11,regle!$E$23,
IF(U38=regle!$F$11,regle!$F$23,
IF(U38=regle!$G$11,regle!$G$23,
IF(U38=regle!$H$11,regle!$H$23,
IF(U38=regle!$I$11,regle!$I$23,
IF(U38=regle!$J$11,regle!$J$23,
IF(U38=regle!$K$11,regle!$K$23,0))))))))))))</f>
        <v>0</v>
      </c>
      <c r="AF38" s="17">
        <f>IF($A38,$J38*(IF(V38=regle!$B$11,regle!$B$23*IF(AO38=-2,1+regle!$B$35,1),
IF(V38=regle!$C$11,regle!$C$23,
IF(V38=regle!$D$11,regle!$D$23,
IF(V38=regle!$E$11,regle!$E$23,
IF(V38=regle!$F$11,regle!$F$23,
IF(V38=regle!$G$11,regle!$G$23,
IF(V38=regle!$H$11,regle!$H$23,
IF(V38=regle!$I$11,regle!$I$23,
IF(V38=regle!$J$11,regle!$J$23,
IF(V38=regle!$K$11,regle!$K$23,0))))))))))))</f>
        <v>0</v>
      </c>
      <c r="AG38" s="17">
        <f>IF($A38,$J38*(IF(W38=regle!$B$11,regle!$B$23*IF(AP38=-2,1+regle!$B$35,1),
IF(W38=regle!$C$11,regle!$C$23,
IF(W38=regle!$D$11,regle!$D$23,
IF(W38=regle!$E$11,regle!$E$23,
IF(W38=regle!$F$11,regle!$F$23,
IF(W38=regle!$G$11,regle!$G$23,
IF(W38=regle!$H$11,regle!$H$23,
IF(W38=regle!$I$11,regle!$I$23,
IF(W38=regle!$J$11,regle!$J$23,
IF(W38=regle!$K$11,regle!$K$23,0))))))))))))</f>
        <v>0</v>
      </c>
      <c r="AH38" s="17">
        <f>IF($A38,$J38*(IF(X38=regle!$B$11,regle!$B$23*IF(AQ38=-2,1+regle!$B$35,1),
IF(X38=regle!$C$11,regle!$C$23,
IF(X38=regle!$D$11,regle!$D$23,
IF(X38=regle!$E$11,regle!$E$23,
IF(X38=regle!$F$11,regle!$F$23,
IF(X38=regle!$G$11,regle!$G$23,
IF(X38=regle!$H$11,regle!$H$23,
IF(X38=regle!$I$11,regle!$I$23,
IF(X38=regle!$J$11,regle!$J$23,
IF(X38=regle!$K$11,regle!$K$23,0))))))))))))</f>
        <v>0</v>
      </c>
      <c r="AI38" s="17">
        <f>IF($A38,$J38*(IF(Y38=regle!$B$11,regle!$B$23*IF(AR38=-2,1+regle!$B$35,1),
IF(Y38=regle!$C$11,regle!$C$23,
IF(Y38=regle!$D$11,regle!$D$23,
IF(Y38=regle!$E$11,regle!$E$23,
IF(Y38=regle!$F$11,regle!$F$23,
IF(Y38=regle!$G$11,regle!$G$23,
IF(Y38=regle!$H$11,regle!$H$23,
IF(Y38=regle!$I$11,regle!$I$23,
IF(Y38=regle!$J$11,regle!$J$23,
IF(Y38=regle!$K$11,regle!$K$23,0))))))))))))</f>
        <v>0</v>
      </c>
      <c r="AJ38" s="17">
        <f>IF($A38,$J38*(IF(Z38=regle!$B$11,regle!$B$23*IF(AS38=-2,1+regle!$B$35,1),
IF(Z38=regle!$C$11,regle!$C$23,
IF(Z38=regle!$D$11,regle!$D$23,
IF(Z38=regle!$E$11,regle!$E$23,
IF(Z38=regle!$F$11,regle!$F$23,
IF(Z38=regle!$G$11,regle!$G$23,
IF(Z38=regle!$H$11,regle!$H$23,
IF(Z38=regle!$I$11,regle!$I$23,
IF(Z38=regle!$J$11,regle!$J$23,
IF(Z38=regle!$K$11,regle!$K$23,0))))))))))))</f>
        <v>0</v>
      </c>
      <c r="AK38" s="16">
        <f>IF(OR(Q38=regle!$J$11,Q38=regle!$K$11),-2,IF(Q38=regle!$B$11,0,IF(AK$1=$AK$1,IF($O38,-1,regle!$B$2-$M38),IF(AJ38=-1,-1,AJ38+1))))</f>
        <v>-1</v>
      </c>
      <c r="AL38" s="16">
        <f>IF(OR(R38=regle!$J$11,R38=regle!$K$11),-2,IF(R38=regle!$B$11,0,IF(AL$1=$AK$1,IF($O38,-1,regle!$B$2-$M38),IF(AK38=-1,-1,AK38+1))))</f>
        <v>0</v>
      </c>
      <c r="AM38" s="16">
        <f>IF(OR(S38=regle!$J$11,S38=regle!$K$11),-2,IF(S38=regle!$B$11,0,IF(AM$1=$AK$1,IF($O38,-1,regle!$B$2-$M38),IF(AL38=-1,-1,AL38+1))))</f>
        <v>1</v>
      </c>
      <c r="AN38" s="16">
        <f>IF(OR(T38=regle!$J$11,T38=regle!$K$11),-2,IF(T38=regle!$B$11,0,IF(AN$1=$AK$1,IF($O38,-1,regle!$B$2-$M38),IF(AM38=-1,-1,AM38+1))))</f>
        <v>2</v>
      </c>
      <c r="AO38" s="16">
        <f>IF(OR(U38=regle!$J$11,U38=regle!$K$11),-2,IF(U38=regle!$B$11,0,IF(AO$1=$AK$1,IF($O38,-1,regle!$B$2-$M38),IF(AN38=-1,-1,AN38+1))))</f>
        <v>3</v>
      </c>
      <c r="AP38" s="16">
        <f>IF(OR(V38=regle!$J$11,V38=regle!$K$11),-2,IF(V38=regle!$B$11,0,IF(AP$1=$AK$1,IF($O38,-1,regle!$B$2-$M38),IF(AO38=-1,-1,AO38+1))))</f>
        <v>4</v>
      </c>
      <c r="AQ38" s="16">
        <f>IF(OR(W38=regle!$J$11,W38=regle!$K$11),-2,IF(W38=regle!$B$11,0,IF(AQ$1=$AK$1,IF($O38,-1,regle!$B$2-$M38),IF(AP38=-1,-1,AP38+1))))</f>
        <v>5</v>
      </c>
      <c r="AR38" s="16">
        <f>IF(OR(X38=regle!$J$11,X38=regle!$K$11),-2,IF(X38=regle!$B$11,0,IF(AR$1=$AK$1,IF($O38,-1,regle!$B$2-$M38),IF(AQ38=-1,-1,AQ38+1))))</f>
        <v>6</v>
      </c>
      <c r="AS38" s="16">
        <f>IF(OR(Y38=regle!$J$11,Y38=regle!$K$11),-2,IF(Y38=regle!$B$11,0,IF(AS$1=$AK$1,IF($O38,-1,regle!$B$2-$M38),IF(AR38=-1,-1,AR38+1))))</f>
        <v>7</v>
      </c>
      <c r="AT38" s="16">
        <f>IF(OR(Z38=regle!$J$11,Z38=regle!$K$11),-2,IF(Z38=regle!$B$11,0,IF(AT$1=$AK$1,IF($O38,-1,regle!$B$2-$M38),IF(AS38=-1,-1,AS38+1))))</f>
        <v>8</v>
      </c>
    </row>
    <row r="39" spans="1:46" x14ac:dyDescent="0.25">
      <c r="A39" t="b">
        <f>modif1!A39</f>
        <v>1</v>
      </c>
      <c r="B39">
        <f>ROW(modif1!B39)</f>
        <v>39</v>
      </c>
      <c r="C39" t="str">
        <f>modif1!C42</f>
        <v>171</v>
      </c>
      <c r="D39" t="str">
        <f>modif1!D39</f>
        <v>MOUSTEY</v>
      </c>
      <c r="E39">
        <f>modif1!E39</f>
        <v>9</v>
      </c>
      <c r="F39" t="str">
        <f>modif1!F39</f>
        <v>Peyroulet</v>
      </c>
      <c r="G39" t="str">
        <f>modif1!G39</f>
        <v>0N</v>
      </c>
      <c r="H39">
        <f>modif1!H39</f>
        <v>161</v>
      </c>
      <c r="I39" t="str">
        <f>modif1!I39</f>
        <v>b</v>
      </c>
      <c r="J39" s="11">
        <f>modif1!J39</f>
        <v>1.2435</v>
      </c>
      <c r="K39" t="str">
        <f>modif1!K39</f>
        <v>CR</v>
      </c>
      <c r="L39" t="str">
        <f>modif1!L39</f>
        <v>PM</v>
      </c>
      <c r="M39">
        <f>modif1!M39</f>
        <v>2022</v>
      </c>
      <c r="N39" t="str">
        <f>modif1!N39</f>
        <v>CR-PM_2022</v>
      </c>
      <c r="O39" t="b">
        <f>modif1!O39</f>
        <v>1</v>
      </c>
      <c r="P39">
        <v>25</v>
      </c>
      <c r="Q39" s="22"/>
      <c r="R39" t="s">
        <v>1868</v>
      </c>
      <c r="Z39"/>
      <c r="AA39" s="17">
        <f>IF($A39,$J39*(IF(Q39=regle!$B$11,regle!$B$23*IF(AJ39=-2,1+regle!$B$35,1),
IF(Q39=regle!$C$11,regle!$C$23,
IF(Q39=regle!$D$11,regle!$D$23,
IF(Q39=regle!$E$11,regle!$E$23,
IF(Q39=regle!$F$11,regle!$F$23,
IF(Q39=regle!$G$11,regle!$G$23,
IF(Q39=regle!$H$11,regle!$H$23,
IF(Q39=regle!$I$11,regle!$I$23,
IF(Q39=regle!$J$11,regle!$J$23,
IF(Q39=regle!$K$11,regle!$K$23,0))))))))))))</f>
        <v>0</v>
      </c>
      <c r="AB39" s="17">
        <f>IF($A39,$J39*(IF(R39=regle!$B$11,regle!$B$23*IF(AK39=-2,1+regle!$B$35,1),
IF(R39=regle!$C$11,regle!$C$23,
IF(R39=regle!$D$11,regle!$D$23,
IF(R39=regle!$E$11,regle!$E$23,
IF(R39=regle!$F$11,regle!$F$23,
IF(R39=regle!$G$11,regle!$G$23,
IF(R39=regle!$H$11,regle!$H$23,
IF(R39=regle!$I$11,regle!$I$23,
IF(R39=regle!$J$11,regle!$J$23,
IF(R39=regle!$K$11,regle!$K$23,0))))))))))))</f>
        <v>-2113.9500000000003</v>
      </c>
      <c r="AC39" s="17">
        <f>IF($A39,$J39*(IF(S39=regle!$B$11,regle!$B$23*IF(AL39=-2,1+regle!$B$35,1),
IF(S39=regle!$C$11,regle!$C$23,
IF(S39=regle!$D$11,regle!$D$23,
IF(S39=regle!$E$11,regle!$E$23,
IF(S39=regle!$F$11,regle!$F$23,
IF(S39=regle!$G$11,regle!$G$23,
IF(S39=regle!$H$11,regle!$H$23,
IF(S39=regle!$I$11,regle!$I$23,
IF(S39=regle!$J$11,regle!$J$23,
IF(S39=regle!$K$11,regle!$K$23,0))))))))))))</f>
        <v>0</v>
      </c>
      <c r="AD39" s="17">
        <f>IF($A39,$J39*(IF(T39=regle!$B$11,regle!$B$23*IF(AM39=-2,1+regle!$B$35,1),
IF(T39=regle!$C$11,regle!$C$23,
IF(T39=regle!$D$11,regle!$D$23,
IF(T39=regle!$E$11,regle!$E$23,
IF(T39=regle!$F$11,regle!$F$23,
IF(T39=regle!$G$11,regle!$G$23,
IF(T39=regle!$H$11,regle!$H$23,
IF(T39=regle!$I$11,regle!$I$23,
IF(T39=regle!$J$11,regle!$J$23,
IF(T39=regle!$K$11,regle!$K$23,0))))))))))))</f>
        <v>0</v>
      </c>
      <c r="AE39" s="17">
        <f>IF($A39,$J39*(IF(U39=regle!$B$11,regle!$B$23*IF(AN39=-2,1+regle!$B$35,1),
IF(U39=regle!$C$11,regle!$C$23,
IF(U39=regle!$D$11,regle!$D$23,
IF(U39=regle!$E$11,regle!$E$23,
IF(U39=regle!$F$11,regle!$F$23,
IF(U39=regle!$G$11,regle!$G$23,
IF(U39=regle!$H$11,regle!$H$23,
IF(U39=regle!$I$11,regle!$I$23,
IF(U39=regle!$J$11,regle!$J$23,
IF(U39=regle!$K$11,regle!$K$23,0))))))))))))</f>
        <v>0</v>
      </c>
      <c r="AF39" s="17">
        <f>IF($A39,$J39*(IF(V39=regle!$B$11,regle!$B$23*IF(AO39=-2,1+regle!$B$35,1),
IF(V39=regle!$C$11,regle!$C$23,
IF(V39=regle!$D$11,regle!$D$23,
IF(V39=regle!$E$11,regle!$E$23,
IF(V39=regle!$F$11,regle!$F$23,
IF(V39=regle!$G$11,regle!$G$23,
IF(V39=regle!$H$11,regle!$H$23,
IF(V39=regle!$I$11,regle!$I$23,
IF(V39=regle!$J$11,regle!$J$23,
IF(V39=regle!$K$11,regle!$K$23,0))))))))))))</f>
        <v>0</v>
      </c>
      <c r="AG39" s="17">
        <f>IF($A39,$J39*(IF(W39=regle!$B$11,regle!$B$23*IF(AP39=-2,1+regle!$B$35,1),
IF(W39=regle!$C$11,regle!$C$23,
IF(W39=regle!$D$11,regle!$D$23,
IF(W39=regle!$E$11,regle!$E$23,
IF(W39=regle!$F$11,regle!$F$23,
IF(W39=regle!$G$11,regle!$G$23,
IF(W39=regle!$H$11,regle!$H$23,
IF(W39=regle!$I$11,regle!$I$23,
IF(W39=regle!$J$11,regle!$J$23,
IF(W39=regle!$K$11,regle!$K$23,0))))))))))))</f>
        <v>0</v>
      </c>
      <c r="AH39" s="17">
        <f>IF($A39,$J39*(IF(X39=regle!$B$11,regle!$B$23*IF(AQ39=-2,1+regle!$B$35,1),
IF(X39=regle!$C$11,regle!$C$23,
IF(X39=regle!$D$11,regle!$D$23,
IF(X39=regle!$E$11,regle!$E$23,
IF(X39=regle!$F$11,regle!$F$23,
IF(X39=regle!$G$11,regle!$G$23,
IF(X39=regle!$H$11,regle!$H$23,
IF(X39=regle!$I$11,regle!$I$23,
IF(X39=regle!$J$11,regle!$J$23,
IF(X39=regle!$K$11,regle!$K$23,0))))))))))))</f>
        <v>0</v>
      </c>
      <c r="AI39" s="17">
        <f>IF($A39,$J39*(IF(Y39=regle!$B$11,regle!$B$23*IF(AR39=-2,1+regle!$B$35,1),
IF(Y39=regle!$C$11,regle!$C$23,
IF(Y39=regle!$D$11,regle!$D$23,
IF(Y39=regle!$E$11,regle!$E$23,
IF(Y39=regle!$F$11,regle!$F$23,
IF(Y39=regle!$G$11,regle!$G$23,
IF(Y39=regle!$H$11,regle!$H$23,
IF(Y39=regle!$I$11,regle!$I$23,
IF(Y39=regle!$J$11,regle!$J$23,
IF(Y39=regle!$K$11,regle!$K$23,0))))))))))))</f>
        <v>0</v>
      </c>
      <c r="AJ39" s="17">
        <f>IF($A39,$J39*(IF(Z39=regle!$B$11,regle!$B$23*IF(AS39=-2,1+regle!$B$35,1),
IF(Z39=regle!$C$11,regle!$C$23,
IF(Z39=regle!$D$11,regle!$D$23,
IF(Z39=regle!$E$11,regle!$E$23,
IF(Z39=regle!$F$11,regle!$F$23,
IF(Z39=regle!$G$11,regle!$G$23,
IF(Z39=regle!$H$11,regle!$H$23,
IF(Z39=regle!$I$11,regle!$I$23,
IF(Z39=regle!$J$11,regle!$J$23,
IF(Z39=regle!$K$11,regle!$K$23,0))))))))))))</f>
        <v>0</v>
      </c>
      <c r="AK39" s="16">
        <f>IF(OR(Q39=regle!$J$11,Q39=regle!$K$11),-2,IF(Q39=regle!$B$11,0,IF(AK$1=$AK$1,IF($O39,-1,regle!$B$2-$M39),IF(AJ39=-1,-1,AJ39+1))))</f>
        <v>-1</v>
      </c>
      <c r="AL39" s="16">
        <f>IF(OR(R39=regle!$J$11,R39=regle!$K$11),-2,IF(R39=regle!$B$11,0,IF(AL$1=$AK$1,IF($O39,-1,regle!$B$2-$M39),IF(AK39=-1,-1,AK39+1))))</f>
        <v>0</v>
      </c>
      <c r="AM39" s="16">
        <f>IF(OR(S39=regle!$J$11,S39=regle!$K$11),-2,IF(S39=regle!$B$11,0,IF(AM$1=$AK$1,IF($O39,-1,regle!$B$2-$M39),IF(AL39=-1,-1,AL39+1))))</f>
        <v>1</v>
      </c>
      <c r="AN39" s="16">
        <f>IF(OR(T39=regle!$J$11,T39=regle!$K$11),-2,IF(T39=regle!$B$11,0,IF(AN$1=$AK$1,IF($O39,-1,regle!$B$2-$M39),IF(AM39=-1,-1,AM39+1))))</f>
        <v>2</v>
      </c>
      <c r="AO39" s="16">
        <f>IF(OR(U39=regle!$J$11,U39=regle!$K$11),-2,IF(U39=regle!$B$11,0,IF(AO$1=$AK$1,IF($O39,-1,regle!$B$2-$M39),IF(AN39=-1,-1,AN39+1))))</f>
        <v>3</v>
      </c>
      <c r="AP39" s="16">
        <f>IF(OR(V39=regle!$J$11,V39=regle!$K$11),-2,IF(V39=regle!$B$11,0,IF(AP$1=$AK$1,IF($O39,-1,regle!$B$2-$M39),IF(AO39=-1,-1,AO39+1))))</f>
        <v>4</v>
      </c>
      <c r="AQ39" s="16">
        <f>IF(OR(W39=regle!$J$11,W39=regle!$K$11),-2,IF(W39=regle!$B$11,0,IF(AQ$1=$AK$1,IF($O39,-1,regle!$B$2-$M39),IF(AP39=-1,-1,AP39+1))))</f>
        <v>5</v>
      </c>
      <c r="AR39" s="16">
        <f>IF(OR(X39=regle!$J$11,X39=regle!$K$11),-2,IF(X39=regle!$B$11,0,IF(AR$1=$AK$1,IF($O39,-1,regle!$B$2-$M39),IF(AQ39=-1,-1,AQ39+1))))</f>
        <v>6</v>
      </c>
      <c r="AS39" s="16">
        <f>IF(OR(Y39=regle!$J$11,Y39=regle!$K$11),-2,IF(Y39=regle!$B$11,0,IF(AS$1=$AK$1,IF($O39,-1,regle!$B$2-$M39),IF(AR39=-1,-1,AR39+1))))</f>
        <v>7</v>
      </c>
      <c r="AT39" s="16">
        <f>IF(OR(Z39=regle!$J$11,Z39=regle!$K$11),-2,IF(Z39=regle!$B$11,0,IF(AT$1=$AK$1,IF($O39,-1,regle!$B$2-$M39),IF(AS39=-1,-1,AS39+1))))</f>
        <v>8</v>
      </c>
    </row>
    <row r="40" spans="1:46" x14ac:dyDescent="0.25">
      <c r="A40" t="b">
        <f>modif1!A40</f>
        <v>1</v>
      </c>
      <c r="B40">
        <f>ROW(modif1!B40)</f>
        <v>40</v>
      </c>
      <c r="C40" t="str">
        <f>modif1!C43</f>
        <v>200</v>
      </c>
      <c r="D40" t="str">
        <f>modif1!D40</f>
        <v>MANO</v>
      </c>
      <c r="E40">
        <f>modif1!E40</f>
        <v>17</v>
      </c>
      <c r="F40" t="str">
        <f>modif1!F40</f>
        <v>LANDE DE TABARTON</v>
      </c>
      <c r="G40" t="str">
        <f>modif1!G40</f>
        <v>0B</v>
      </c>
      <c r="H40">
        <f>modif1!H40</f>
        <v>279</v>
      </c>
      <c r="I40" t="str">
        <f>modif1!I40</f>
        <v/>
      </c>
      <c r="J40" s="11">
        <f>modif1!J40</f>
        <v>1.1200000000000001</v>
      </c>
      <c r="K40" t="str">
        <f>modif1!K40</f>
        <v>CR</v>
      </c>
      <c r="L40" t="str">
        <f>modif1!L40</f>
        <v>PM</v>
      </c>
      <c r="M40">
        <f>modif1!M40</f>
        <v>2022</v>
      </c>
      <c r="N40" t="str">
        <f>modif1!N40</f>
        <v>CR-PM_2022</v>
      </c>
      <c r="O40" t="b">
        <f>modif1!O40</f>
        <v>1</v>
      </c>
      <c r="P40">
        <v>25</v>
      </c>
      <c r="Q40" s="22"/>
      <c r="R40" t="s">
        <v>1868</v>
      </c>
      <c r="Z40"/>
      <c r="AA40" s="17">
        <f>IF($A40,$J40*(IF(Q40=regle!$B$11,regle!$B$23*IF(AJ40=-2,1+regle!$B$35,1),
IF(Q40=regle!$C$11,regle!$C$23,
IF(Q40=regle!$D$11,regle!$D$23,
IF(Q40=regle!$E$11,regle!$E$23,
IF(Q40=regle!$F$11,regle!$F$23,
IF(Q40=regle!$G$11,regle!$G$23,
IF(Q40=regle!$H$11,regle!$H$23,
IF(Q40=regle!$I$11,regle!$I$23,
IF(Q40=regle!$J$11,regle!$J$23,
IF(Q40=regle!$K$11,regle!$K$23,0))))))))))))</f>
        <v>0</v>
      </c>
      <c r="AB40" s="17">
        <f>IF($A40,$J40*(IF(R40=regle!$B$11,regle!$B$23*IF(AK40=-2,1+regle!$B$35,1),
IF(R40=regle!$C$11,regle!$C$23,
IF(R40=regle!$D$11,regle!$D$23,
IF(R40=regle!$E$11,regle!$E$23,
IF(R40=regle!$F$11,regle!$F$23,
IF(R40=regle!$G$11,regle!$G$23,
IF(R40=regle!$H$11,regle!$H$23,
IF(R40=regle!$I$11,regle!$I$23,
IF(R40=regle!$J$11,regle!$J$23,
IF(R40=regle!$K$11,regle!$K$23,0))))))))))))</f>
        <v>-1904.0000000000002</v>
      </c>
      <c r="AC40" s="17">
        <f>IF($A40,$J40*(IF(S40=regle!$B$11,regle!$B$23*IF(AL40=-2,1+regle!$B$35,1),
IF(S40=regle!$C$11,regle!$C$23,
IF(S40=regle!$D$11,regle!$D$23,
IF(S40=regle!$E$11,regle!$E$23,
IF(S40=regle!$F$11,regle!$F$23,
IF(S40=regle!$G$11,regle!$G$23,
IF(S40=regle!$H$11,regle!$H$23,
IF(S40=regle!$I$11,regle!$I$23,
IF(S40=regle!$J$11,regle!$J$23,
IF(S40=regle!$K$11,regle!$K$23,0))))))))))))</f>
        <v>0</v>
      </c>
      <c r="AD40" s="17">
        <f>IF($A40,$J40*(IF(T40=regle!$B$11,regle!$B$23*IF(AM40=-2,1+regle!$B$35,1),
IF(T40=regle!$C$11,regle!$C$23,
IF(T40=regle!$D$11,regle!$D$23,
IF(T40=regle!$E$11,regle!$E$23,
IF(T40=regle!$F$11,regle!$F$23,
IF(T40=regle!$G$11,regle!$G$23,
IF(T40=regle!$H$11,regle!$H$23,
IF(T40=regle!$I$11,regle!$I$23,
IF(T40=regle!$J$11,regle!$J$23,
IF(T40=regle!$K$11,regle!$K$23,0))))))))))))</f>
        <v>0</v>
      </c>
      <c r="AE40" s="17">
        <f>IF($A40,$J40*(IF(U40=regle!$B$11,regle!$B$23*IF(AN40=-2,1+regle!$B$35,1),
IF(U40=regle!$C$11,regle!$C$23,
IF(U40=regle!$D$11,regle!$D$23,
IF(U40=regle!$E$11,regle!$E$23,
IF(U40=regle!$F$11,regle!$F$23,
IF(U40=regle!$G$11,regle!$G$23,
IF(U40=regle!$H$11,regle!$H$23,
IF(U40=regle!$I$11,regle!$I$23,
IF(U40=regle!$J$11,regle!$J$23,
IF(U40=regle!$K$11,regle!$K$23,0))))))))))))</f>
        <v>0</v>
      </c>
      <c r="AF40" s="17">
        <f>IF($A40,$J40*(IF(V40=regle!$B$11,regle!$B$23*IF(AO40=-2,1+regle!$B$35,1),
IF(V40=regle!$C$11,regle!$C$23,
IF(V40=regle!$D$11,regle!$D$23,
IF(V40=regle!$E$11,regle!$E$23,
IF(V40=regle!$F$11,regle!$F$23,
IF(V40=regle!$G$11,regle!$G$23,
IF(V40=regle!$H$11,regle!$H$23,
IF(V40=regle!$I$11,regle!$I$23,
IF(V40=regle!$J$11,regle!$J$23,
IF(V40=regle!$K$11,regle!$K$23,0))))))))))))</f>
        <v>0</v>
      </c>
      <c r="AG40" s="17">
        <f>IF($A40,$J40*(IF(W40=regle!$B$11,regle!$B$23*IF(AP40=-2,1+regle!$B$35,1),
IF(W40=regle!$C$11,regle!$C$23,
IF(W40=regle!$D$11,regle!$D$23,
IF(W40=regle!$E$11,regle!$E$23,
IF(W40=regle!$F$11,regle!$F$23,
IF(W40=regle!$G$11,regle!$G$23,
IF(W40=regle!$H$11,regle!$H$23,
IF(W40=regle!$I$11,regle!$I$23,
IF(W40=regle!$J$11,regle!$J$23,
IF(W40=regle!$K$11,regle!$K$23,0))))))))))))</f>
        <v>0</v>
      </c>
      <c r="AH40" s="17">
        <f>IF($A40,$J40*(IF(X40=regle!$B$11,regle!$B$23*IF(AQ40=-2,1+regle!$B$35,1),
IF(X40=regle!$C$11,regle!$C$23,
IF(X40=regle!$D$11,regle!$D$23,
IF(X40=regle!$E$11,regle!$E$23,
IF(X40=regle!$F$11,regle!$F$23,
IF(X40=regle!$G$11,regle!$G$23,
IF(X40=regle!$H$11,regle!$H$23,
IF(X40=regle!$I$11,regle!$I$23,
IF(X40=regle!$J$11,regle!$J$23,
IF(X40=regle!$K$11,regle!$K$23,0))))))))))))</f>
        <v>0</v>
      </c>
      <c r="AI40" s="17">
        <f>IF($A40,$J40*(IF(Y40=regle!$B$11,regle!$B$23*IF(AR40=-2,1+regle!$B$35,1),
IF(Y40=regle!$C$11,regle!$C$23,
IF(Y40=regle!$D$11,regle!$D$23,
IF(Y40=regle!$E$11,regle!$E$23,
IF(Y40=regle!$F$11,regle!$F$23,
IF(Y40=regle!$G$11,regle!$G$23,
IF(Y40=regle!$H$11,regle!$H$23,
IF(Y40=regle!$I$11,regle!$I$23,
IF(Y40=regle!$J$11,regle!$J$23,
IF(Y40=regle!$K$11,regle!$K$23,0))))))))))))</f>
        <v>0</v>
      </c>
      <c r="AJ40" s="17">
        <f>IF($A40,$J40*(IF(Z40=regle!$B$11,regle!$B$23*IF(AS40=-2,1+regle!$B$35,1),
IF(Z40=regle!$C$11,regle!$C$23,
IF(Z40=regle!$D$11,regle!$D$23,
IF(Z40=regle!$E$11,regle!$E$23,
IF(Z40=regle!$F$11,regle!$F$23,
IF(Z40=regle!$G$11,regle!$G$23,
IF(Z40=regle!$H$11,regle!$H$23,
IF(Z40=regle!$I$11,regle!$I$23,
IF(Z40=regle!$J$11,regle!$J$23,
IF(Z40=regle!$K$11,regle!$K$23,0))))))))))))</f>
        <v>0</v>
      </c>
      <c r="AK40" s="16">
        <f>IF(OR(Q40=regle!$J$11,Q40=regle!$K$11),-2,IF(Q40=regle!$B$11,0,IF(AK$1=$AK$1,IF($O40,-1,regle!$B$2-$M40),IF(AJ40=-1,-1,AJ40+1))))</f>
        <v>-1</v>
      </c>
      <c r="AL40" s="16">
        <f>IF(OR(R40=regle!$J$11,R40=regle!$K$11),-2,IF(R40=regle!$B$11,0,IF(AL$1=$AK$1,IF($O40,-1,regle!$B$2-$M40),IF(AK40=-1,-1,AK40+1))))</f>
        <v>0</v>
      </c>
      <c r="AM40" s="16">
        <f>IF(OR(S40=regle!$J$11,S40=regle!$K$11),-2,IF(S40=regle!$B$11,0,IF(AM$1=$AK$1,IF($O40,-1,regle!$B$2-$M40),IF(AL40=-1,-1,AL40+1))))</f>
        <v>1</v>
      </c>
      <c r="AN40" s="16">
        <f>IF(OR(T40=regle!$J$11,T40=regle!$K$11),-2,IF(T40=regle!$B$11,0,IF(AN$1=$AK$1,IF($O40,-1,regle!$B$2-$M40),IF(AM40=-1,-1,AM40+1))))</f>
        <v>2</v>
      </c>
      <c r="AO40" s="16">
        <f>IF(OR(U40=regle!$J$11,U40=regle!$K$11),-2,IF(U40=regle!$B$11,0,IF(AO$1=$AK$1,IF($O40,-1,regle!$B$2-$M40),IF(AN40=-1,-1,AN40+1))))</f>
        <v>3</v>
      </c>
      <c r="AP40" s="16">
        <f>IF(OR(V40=regle!$J$11,V40=regle!$K$11),-2,IF(V40=regle!$B$11,0,IF(AP$1=$AK$1,IF($O40,-1,regle!$B$2-$M40),IF(AO40=-1,-1,AO40+1))))</f>
        <v>4</v>
      </c>
      <c r="AQ40" s="16">
        <f>IF(OR(W40=regle!$J$11,W40=regle!$K$11),-2,IF(W40=regle!$B$11,0,IF(AQ$1=$AK$1,IF($O40,-1,regle!$B$2-$M40),IF(AP40=-1,-1,AP40+1))))</f>
        <v>5</v>
      </c>
      <c r="AR40" s="16">
        <f>IF(OR(X40=regle!$J$11,X40=regle!$K$11),-2,IF(X40=regle!$B$11,0,IF(AR$1=$AK$1,IF($O40,-1,regle!$B$2-$M40),IF(AQ40=-1,-1,AQ40+1))))</f>
        <v>6</v>
      </c>
      <c r="AS40" s="16">
        <f>IF(OR(Y40=regle!$J$11,Y40=regle!$K$11),-2,IF(Y40=regle!$B$11,0,IF(AS$1=$AK$1,IF($O40,-1,regle!$B$2-$M40),IF(AR40=-1,-1,AR40+1))))</f>
        <v>7</v>
      </c>
      <c r="AT40" s="16">
        <f>IF(OR(Z40=regle!$J$11,Z40=regle!$K$11),-2,IF(Z40=regle!$B$11,0,IF(AT$1=$AK$1,IF($O40,-1,regle!$B$2-$M40),IF(AS40=-1,-1,AS40+1))))</f>
        <v>8</v>
      </c>
    </row>
    <row r="41" spans="1:46" x14ac:dyDescent="0.25">
      <c r="A41" t="b">
        <f>modif1!A41</f>
        <v>1</v>
      </c>
      <c r="B41">
        <f>ROW(modif1!B41)</f>
        <v>41</v>
      </c>
      <c r="C41" t="str">
        <f>modif1!C44</f>
        <v>171</v>
      </c>
      <c r="D41" t="str">
        <f>modif1!D41</f>
        <v>HOSTENS</v>
      </c>
      <c r="E41">
        <f>modif1!E41</f>
        <v>11</v>
      </c>
      <c r="F41" t="str">
        <f>modif1!F41</f>
        <v>L'ARGILEYRE</v>
      </c>
      <c r="G41" t="str">
        <f>modif1!G41</f>
        <v>0A</v>
      </c>
      <c r="H41">
        <f>modif1!H41</f>
        <v>1293</v>
      </c>
      <c r="I41" t="str">
        <f>modif1!I41</f>
        <v>l</v>
      </c>
      <c r="J41" s="11">
        <f>modif1!J41</f>
        <v>1.1172</v>
      </c>
      <c r="K41" t="str">
        <f>modif1!K41</f>
        <v>CR</v>
      </c>
      <c r="L41" t="str">
        <f>modif1!L41</f>
        <v>PM</v>
      </c>
      <c r="M41">
        <f>modif1!M41</f>
        <v>2022</v>
      </c>
      <c r="N41" t="str">
        <f>modif1!N41</f>
        <v>CR-PM_2022</v>
      </c>
      <c r="O41" t="b">
        <f>modif1!O41</f>
        <v>1</v>
      </c>
      <c r="P41">
        <v>40</v>
      </c>
      <c r="Q41" s="22"/>
      <c r="R41" t="s">
        <v>1868</v>
      </c>
      <c r="T41" t="s">
        <v>1872</v>
      </c>
      <c r="V41" t="s">
        <v>1870</v>
      </c>
      <c r="Y41" t="s">
        <v>1871</v>
      </c>
      <c r="Z41"/>
      <c r="AA41" s="17">
        <f>IF($A41,$J41*(IF(Q41=regle!$B$11,regle!$B$23*IF(AJ41=-2,1+regle!$B$35,1),
IF(Q41=regle!$C$11,regle!$C$23,
IF(Q41=regle!$D$11,regle!$D$23,
IF(Q41=regle!$E$11,regle!$E$23,
IF(Q41=regle!$F$11,regle!$F$23,
IF(Q41=regle!$G$11,regle!$G$23,
IF(Q41=regle!$H$11,regle!$H$23,
IF(Q41=regle!$I$11,regle!$I$23,
IF(Q41=regle!$J$11,regle!$J$23,
IF(Q41=regle!$K$11,regle!$K$23,0))))))))))))</f>
        <v>0</v>
      </c>
      <c r="AB41" s="17">
        <f>IF($A41,$J41*(IF(R41=regle!$B$11,regle!$B$23*IF(AK41=-2,1+regle!$B$35,1),
IF(R41=regle!$C$11,regle!$C$23,
IF(R41=regle!$D$11,regle!$D$23,
IF(R41=regle!$E$11,regle!$E$23,
IF(R41=regle!$F$11,regle!$F$23,
IF(R41=regle!$G$11,regle!$G$23,
IF(R41=regle!$H$11,regle!$H$23,
IF(R41=regle!$I$11,regle!$I$23,
IF(R41=regle!$J$11,regle!$J$23,
IF(R41=regle!$K$11,regle!$K$23,0))))))))))))</f>
        <v>-1899.24</v>
      </c>
      <c r="AC41" s="17">
        <f>IF($A41,$J41*(IF(S41=regle!$B$11,regle!$B$23*IF(AL41=-2,1+regle!$B$35,1),
IF(S41=regle!$C$11,regle!$C$23,
IF(S41=regle!$D$11,regle!$D$23,
IF(S41=regle!$E$11,regle!$E$23,
IF(S41=regle!$F$11,regle!$F$23,
IF(S41=regle!$G$11,regle!$G$23,
IF(S41=regle!$H$11,regle!$H$23,
IF(S41=regle!$I$11,regle!$I$23,
IF(S41=regle!$J$11,regle!$J$23,
IF(S41=regle!$K$11,regle!$K$23,0))))))))))))</f>
        <v>0</v>
      </c>
      <c r="AD41" s="17">
        <f>IF($A41,$J41*(IF(T41=regle!$B$11,regle!$B$23*IF(AM41=-2,1+regle!$B$35,1),
IF(T41=regle!$C$11,regle!$C$23,
IF(T41=regle!$D$11,regle!$D$23,
IF(T41=regle!$E$11,regle!$E$23,
IF(T41=regle!$F$11,regle!$F$23,
IF(T41=regle!$G$11,regle!$G$23,
IF(T41=regle!$H$11,regle!$H$23,
IF(T41=regle!$I$11,regle!$I$23,
IF(T41=regle!$J$11,regle!$J$23,
IF(T41=regle!$K$11,regle!$K$23,0))))))))))))</f>
        <v>-83.789999999999992</v>
      </c>
      <c r="AE41" s="17">
        <f>IF($A41,$J41*(IF(U41=regle!$B$11,regle!$B$23*IF(AN41=-2,1+regle!$B$35,1),
IF(U41=regle!$C$11,regle!$C$23,
IF(U41=regle!$D$11,regle!$D$23,
IF(U41=regle!$E$11,regle!$E$23,
IF(U41=regle!$F$11,regle!$F$23,
IF(U41=regle!$G$11,regle!$G$23,
IF(U41=regle!$H$11,regle!$H$23,
IF(U41=regle!$I$11,regle!$I$23,
IF(U41=regle!$J$11,regle!$J$23,
IF(U41=regle!$K$11,regle!$K$23,0))))))))))))</f>
        <v>0</v>
      </c>
      <c r="AF41" s="17">
        <f>IF($A41,$J41*(IF(V41=regle!$B$11,regle!$B$23*IF(AO41=-2,1+regle!$B$35,1),
IF(V41=regle!$C$11,regle!$C$23,
IF(V41=regle!$D$11,regle!$D$23,
IF(V41=regle!$E$11,regle!$E$23,
IF(V41=regle!$F$11,regle!$F$23,
IF(V41=regle!$G$11,regle!$G$23,
IF(V41=regle!$H$11,regle!$H$23,
IF(V41=regle!$I$11,regle!$I$23,
IF(V41=regle!$J$11,regle!$J$23,
IF(V41=regle!$K$11,regle!$K$23,0))))))))))))</f>
        <v>-100.548</v>
      </c>
      <c r="AG41" s="17">
        <f>IF($A41,$J41*(IF(W41=regle!$B$11,regle!$B$23*IF(AP41=-2,1+regle!$B$35,1),
IF(W41=regle!$C$11,regle!$C$23,
IF(W41=regle!$D$11,regle!$D$23,
IF(W41=regle!$E$11,regle!$E$23,
IF(W41=regle!$F$11,regle!$F$23,
IF(W41=regle!$G$11,regle!$G$23,
IF(W41=regle!$H$11,regle!$H$23,
IF(W41=regle!$I$11,regle!$I$23,
IF(W41=regle!$J$11,regle!$J$23,
IF(W41=regle!$K$11,regle!$K$23,0))))))))))))</f>
        <v>0</v>
      </c>
      <c r="AH41" s="17">
        <f>IF($A41,$J41*(IF(X41=regle!$B$11,regle!$B$23*IF(AQ41=-2,1+regle!$B$35,1),
IF(X41=regle!$C$11,regle!$C$23,
IF(X41=regle!$D$11,regle!$D$23,
IF(X41=regle!$E$11,regle!$E$23,
IF(X41=regle!$F$11,regle!$F$23,
IF(X41=regle!$G$11,regle!$G$23,
IF(X41=regle!$H$11,regle!$H$23,
IF(X41=regle!$I$11,regle!$I$23,
IF(X41=regle!$J$11,regle!$J$23,
IF(X41=regle!$K$11,regle!$K$23,0))))))))))))</f>
        <v>0</v>
      </c>
      <c r="AI41" s="17">
        <f>IF($A41,$J41*(IF(Y41=regle!$B$11,regle!$B$23*IF(AR41=-2,1+regle!$B$35,1),
IF(Y41=regle!$C$11,regle!$C$23,
IF(Y41=regle!$D$11,regle!$D$23,
IF(Y41=regle!$E$11,regle!$E$23,
IF(Y41=regle!$F$11,regle!$F$23,
IF(Y41=regle!$G$11,regle!$G$23,
IF(Y41=regle!$H$11,regle!$H$23,
IF(Y41=regle!$I$11,regle!$I$23,
IF(Y41=regle!$J$11,regle!$J$23,
IF(Y41=regle!$K$11,regle!$K$23,0))))))))))))</f>
        <v>-100.548</v>
      </c>
      <c r="AJ41" s="17">
        <f>IF($A41,$J41*(IF(Z41=regle!$B$11,regle!$B$23*IF(AS41=-2,1+regle!$B$35,1),
IF(Z41=regle!$C$11,regle!$C$23,
IF(Z41=regle!$D$11,regle!$D$23,
IF(Z41=regle!$E$11,regle!$E$23,
IF(Z41=regle!$F$11,regle!$F$23,
IF(Z41=regle!$G$11,regle!$G$23,
IF(Z41=regle!$H$11,regle!$H$23,
IF(Z41=regle!$I$11,regle!$I$23,
IF(Z41=regle!$J$11,regle!$J$23,
IF(Z41=regle!$K$11,regle!$K$23,0))))))))))))</f>
        <v>0</v>
      </c>
      <c r="AK41" s="16">
        <f>IF(OR(Q41=regle!$J$11,Q41=regle!$K$11),-2,IF(Q41=regle!$B$11,0,IF(AK$1=$AK$1,IF($O41,-1,regle!$B$2-$M41),IF(AJ41=-1,-1,AJ41+1))))</f>
        <v>-1</v>
      </c>
      <c r="AL41" s="16">
        <f>IF(OR(R41=regle!$J$11,R41=regle!$K$11),-2,IF(R41=regle!$B$11,0,IF(AL$1=$AK$1,IF($O41,-1,regle!$B$2-$M41),IF(AK41=-1,-1,AK41+1))))</f>
        <v>0</v>
      </c>
      <c r="AM41" s="16">
        <f>IF(OR(S41=regle!$J$11,S41=regle!$K$11),-2,IF(S41=regle!$B$11,0,IF(AM$1=$AK$1,IF($O41,-1,regle!$B$2-$M41),IF(AL41=-1,-1,AL41+1))))</f>
        <v>1</v>
      </c>
      <c r="AN41" s="16">
        <f>IF(OR(T41=regle!$J$11,T41=regle!$K$11),-2,IF(T41=regle!$B$11,0,IF(AN$1=$AK$1,IF($O41,-1,regle!$B$2-$M41),IF(AM41=-1,-1,AM41+1))))</f>
        <v>2</v>
      </c>
      <c r="AO41" s="16">
        <f>IF(OR(U41=regle!$J$11,U41=regle!$K$11),-2,IF(U41=regle!$B$11,0,IF(AO$1=$AK$1,IF($O41,-1,regle!$B$2-$M41),IF(AN41=-1,-1,AN41+1))))</f>
        <v>3</v>
      </c>
      <c r="AP41" s="16">
        <f>IF(OR(V41=regle!$J$11,V41=regle!$K$11),-2,IF(V41=regle!$B$11,0,IF(AP$1=$AK$1,IF($O41,-1,regle!$B$2-$M41),IF(AO41=-1,-1,AO41+1))))</f>
        <v>4</v>
      </c>
      <c r="AQ41" s="16">
        <f>IF(OR(W41=regle!$J$11,W41=regle!$K$11),-2,IF(W41=regle!$B$11,0,IF(AQ$1=$AK$1,IF($O41,-1,regle!$B$2-$M41),IF(AP41=-1,-1,AP41+1))))</f>
        <v>5</v>
      </c>
      <c r="AR41" s="16">
        <f>IF(OR(X41=regle!$J$11,X41=regle!$K$11),-2,IF(X41=regle!$B$11,0,IF(AR$1=$AK$1,IF($O41,-1,regle!$B$2-$M41),IF(AQ41=-1,-1,AQ41+1))))</f>
        <v>6</v>
      </c>
      <c r="AS41" s="16">
        <f>IF(OR(Y41=regle!$J$11,Y41=regle!$K$11),-2,IF(Y41=regle!$B$11,0,IF(AS$1=$AK$1,IF($O41,-1,regle!$B$2-$M41),IF(AR41=-1,-1,AR41+1))))</f>
        <v>7</v>
      </c>
      <c r="AT41" s="16">
        <f>IF(OR(Z41=regle!$J$11,Z41=regle!$K$11),-2,IF(Z41=regle!$B$11,0,IF(AT$1=$AK$1,IF($O41,-1,regle!$B$2-$M41),IF(AS41=-1,-1,AS41+1))))</f>
        <v>8</v>
      </c>
    </row>
    <row r="42" spans="1:46" x14ac:dyDescent="0.25">
      <c r="A42" t="b">
        <f>modif1!A42</f>
        <v>1</v>
      </c>
      <c r="B42">
        <f>ROW(modif1!B42)</f>
        <v>42</v>
      </c>
      <c r="C42" t="str">
        <f>modif1!C45</f>
        <v>171</v>
      </c>
      <c r="D42" t="str">
        <f>modif1!D42</f>
        <v>MANO</v>
      </c>
      <c r="E42">
        <f>modif1!E42</f>
        <v>16</v>
      </c>
      <c r="F42" t="str">
        <f>modif1!F42</f>
        <v>BAS DE TOURNICON</v>
      </c>
      <c r="G42" t="str">
        <f>modif1!G42</f>
        <v>0B</v>
      </c>
      <c r="H42">
        <f>modif1!H42</f>
        <v>241</v>
      </c>
      <c r="I42" t="str">
        <f>modif1!I42</f>
        <v/>
      </c>
      <c r="J42" s="11">
        <f>modif1!J42</f>
        <v>1.1120000000000001</v>
      </c>
      <c r="K42" t="str">
        <f>modif1!K42</f>
        <v>CR</v>
      </c>
      <c r="L42" t="str">
        <f>modif1!L42</f>
        <v>PM</v>
      </c>
      <c r="M42">
        <f>modif1!M42</f>
        <v>2022</v>
      </c>
      <c r="N42" t="str">
        <f>modif1!N42</f>
        <v>CR-PM_2022</v>
      </c>
      <c r="O42" t="b">
        <f>modif1!O42</f>
        <v>1</v>
      </c>
      <c r="P42">
        <v>25</v>
      </c>
      <c r="Q42" t="s">
        <v>1868</v>
      </c>
      <c r="Z42"/>
      <c r="AA42" s="17">
        <f>IF($A42,$J42*(IF(Q42=regle!$B$11,regle!$B$23*IF(AJ42=-2,1+regle!$B$35,1),
IF(Q42=regle!$C$11,regle!$C$23,
IF(Q42=regle!$D$11,regle!$D$23,
IF(Q42=regle!$E$11,regle!$E$23,
IF(Q42=regle!$F$11,regle!$F$23,
IF(Q42=regle!$G$11,regle!$G$23,
IF(Q42=regle!$H$11,regle!$H$23,
IF(Q42=regle!$I$11,regle!$I$23,
IF(Q42=regle!$J$11,regle!$J$23,
IF(Q42=regle!$K$11,regle!$K$23,0))))))))))))</f>
        <v>-1890.4</v>
      </c>
      <c r="AB42" s="17">
        <f>IF($A42,$J42*(IF(R42=regle!$B$11,regle!$B$23*IF(AK42=-2,1+regle!$B$35,1),
IF(R42=regle!$C$11,regle!$C$23,
IF(R42=regle!$D$11,regle!$D$23,
IF(R42=regle!$E$11,regle!$E$23,
IF(R42=regle!$F$11,regle!$F$23,
IF(R42=regle!$G$11,regle!$G$23,
IF(R42=regle!$H$11,regle!$H$23,
IF(R42=regle!$I$11,regle!$I$23,
IF(R42=regle!$J$11,regle!$J$23,
IF(R42=regle!$K$11,regle!$K$23,0))))))))))))</f>
        <v>0</v>
      </c>
      <c r="AC42" s="17">
        <f>IF($A42,$J42*(IF(S42=regle!$B$11,regle!$B$23*IF(AL42=-2,1+regle!$B$35,1),
IF(S42=regle!$C$11,regle!$C$23,
IF(S42=regle!$D$11,regle!$D$23,
IF(S42=regle!$E$11,regle!$E$23,
IF(S42=regle!$F$11,regle!$F$23,
IF(S42=regle!$G$11,regle!$G$23,
IF(S42=regle!$H$11,regle!$H$23,
IF(S42=regle!$I$11,regle!$I$23,
IF(S42=regle!$J$11,regle!$J$23,
IF(S42=regle!$K$11,regle!$K$23,0))))))))))))</f>
        <v>0</v>
      </c>
      <c r="AD42" s="17">
        <f>IF($A42,$J42*(IF(T42=regle!$B$11,regle!$B$23*IF(AM42=-2,1+regle!$B$35,1),
IF(T42=regle!$C$11,regle!$C$23,
IF(T42=regle!$D$11,regle!$D$23,
IF(T42=regle!$E$11,regle!$E$23,
IF(T42=regle!$F$11,regle!$F$23,
IF(T42=regle!$G$11,regle!$G$23,
IF(T42=regle!$H$11,regle!$H$23,
IF(T42=regle!$I$11,regle!$I$23,
IF(T42=regle!$J$11,regle!$J$23,
IF(T42=regle!$K$11,regle!$K$23,0))))))))))))</f>
        <v>0</v>
      </c>
      <c r="AE42" s="17">
        <f>IF($A42,$J42*(IF(U42=regle!$B$11,regle!$B$23*IF(AN42=-2,1+regle!$B$35,1),
IF(U42=regle!$C$11,regle!$C$23,
IF(U42=regle!$D$11,regle!$D$23,
IF(U42=regle!$E$11,regle!$E$23,
IF(U42=regle!$F$11,regle!$F$23,
IF(U42=regle!$G$11,regle!$G$23,
IF(U42=regle!$H$11,regle!$H$23,
IF(U42=regle!$I$11,regle!$I$23,
IF(U42=regle!$J$11,regle!$J$23,
IF(U42=regle!$K$11,regle!$K$23,0))))))))))))</f>
        <v>0</v>
      </c>
      <c r="AF42" s="17">
        <f>IF($A42,$J42*(IF(V42=regle!$B$11,regle!$B$23*IF(AO42=-2,1+regle!$B$35,1),
IF(V42=regle!$C$11,regle!$C$23,
IF(V42=regle!$D$11,regle!$D$23,
IF(V42=regle!$E$11,regle!$E$23,
IF(V42=regle!$F$11,regle!$F$23,
IF(V42=regle!$G$11,regle!$G$23,
IF(V42=regle!$H$11,regle!$H$23,
IF(V42=regle!$I$11,regle!$I$23,
IF(V42=regle!$J$11,regle!$J$23,
IF(V42=regle!$K$11,regle!$K$23,0))))))))))))</f>
        <v>0</v>
      </c>
      <c r="AG42" s="17">
        <f>IF($A42,$J42*(IF(W42=regle!$B$11,regle!$B$23*IF(AP42=-2,1+regle!$B$35,1),
IF(W42=regle!$C$11,regle!$C$23,
IF(W42=regle!$D$11,regle!$D$23,
IF(W42=regle!$E$11,regle!$E$23,
IF(W42=regle!$F$11,regle!$F$23,
IF(W42=regle!$G$11,regle!$G$23,
IF(W42=regle!$H$11,regle!$H$23,
IF(W42=regle!$I$11,regle!$I$23,
IF(W42=regle!$J$11,regle!$J$23,
IF(W42=regle!$K$11,regle!$K$23,0))))))))))))</f>
        <v>0</v>
      </c>
      <c r="AH42" s="17">
        <f>IF($A42,$J42*(IF(X42=regle!$B$11,regle!$B$23*IF(AQ42=-2,1+regle!$B$35,1),
IF(X42=regle!$C$11,regle!$C$23,
IF(X42=regle!$D$11,regle!$D$23,
IF(X42=regle!$E$11,regle!$E$23,
IF(X42=regle!$F$11,regle!$F$23,
IF(X42=regle!$G$11,regle!$G$23,
IF(X42=regle!$H$11,regle!$H$23,
IF(X42=regle!$I$11,regle!$I$23,
IF(X42=regle!$J$11,regle!$J$23,
IF(X42=regle!$K$11,regle!$K$23,0))))))))))))</f>
        <v>0</v>
      </c>
      <c r="AI42" s="17">
        <f>IF($A42,$J42*(IF(Y42=regle!$B$11,regle!$B$23*IF(AR42=-2,1+regle!$B$35,1),
IF(Y42=regle!$C$11,regle!$C$23,
IF(Y42=regle!$D$11,regle!$D$23,
IF(Y42=regle!$E$11,regle!$E$23,
IF(Y42=regle!$F$11,regle!$F$23,
IF(Y42=regle!$G$11,regle!$G$23,
IF(Y42=regle!$H$11,regle!$H$23,
IF(Y42=regle!$I$11,regle!$I$23,
IF(Y42=regle!$J$11,regle!$J$23,
IF(Y42=regle!$K$11,regle!$K$23,0))))))))))))</f>
        <v>0</v>
      </c>
      <c r="AJ42" s="17">
        <f>IF($A42,$J42*(IF(Z42=regle!$B$11,regle!$B$23*IF(AS42=-2,1+regle!$B$35,1),
IF(Z42=regle!$C$11,regle!$C$23,
IF(Z42=regle!$D$11,regle!$D$23,
IF(Z42=regle!$E$11,regle!$E$23,
IF(Z42=regle!$F$11,regle!$F$23,
IF(Z42=regle!$G$11,regle!$G$23,
IF(Z42=regle!$H$11,regle!$H$23,
IF(Z42=regle!$I$11,regle!$I$23,
IF(Z42=regle!$J$11,regle!$J$23,
IF(Z42=regle!$K$11,regle!$K$23,0))))))))))))</f>
        <v>0</v>
      </c>
      <c r="AK42" s="16">
        <f>IF(OR(Q42=regle!$J$11,Q42=regle!$K$11),-2,IF(Q42=regle!$B$11,0,IF(AK$1=$AK$1,IF($O42,-1,regle!$B$2-$M42),IF(AJ42=-1,-1,AJ42+1))))</f>
        <v>0</v>
      </c>
      <c r="AL42" s="16">
        <f>IF(OR(R42=regle!$J$11,R42=regle!$K$11),-2,IF(R42=regle!$B$11,0,IF(AL$1=$AK$1,IF($O42,-1,regle!$B$2-$M42),IF(AK42=-1,-1,AK42+1))))</f>
        <v>1</v>
      </c>
      <c r="AM42" s="16">
        <f>IF(OR(S42=regle!$J$11,S42=regle!$K$11),-2,IF(S42=regle!$B$11,0,IF(AM$1=$AK$1,IF($O42,-1,regle!$B$2-$M42),IF(AL42=-1,-1,AL42+1))))</f>
        <v>2</v>
      </c>
      <c r="AN42" s="16">
        <f>IF(OR(T42=regle!$J$11,T42=regle!$K$11),-2,IF(T42=regle!$B$11,0,IF(AN$1=$AK$1,IF($O42,-1,regle!$B$2-$M42),IF(AM42=-1,-1,AM42+1))))</f>
        <v>3</v>
      </c>
      <c r="AO42" s="16">
        <f>IF(OR(U42=regle!$J$11,U42=regle!$K$11),-2,IF(U42=regle!$B$11,0,IF(AO$1=$AK$1,IF($O42,-1,regle!$B$2-$M42),IF(AN42=-1,-1,AN42+1))))</f>
        <v>4</v>
      </c>
      <c r="AP42" s="16">
        <f>IF(OR(V42=regle!$J$11,V42=regle!$K$11),-2,IF(V42=regle!$B$11,0,IF(AP$1=$AK$1,IF($O42,-1,regle!$B$2-$M42),IF(AO42=-1,-1,AO42+1))))</f>
        <v>5</v>
      </c>
      <c r="AQ42" s="16">
        <f>IF(OR(W42=regle!$J$11,W42=regle!$K$11),-2,IF(W42=regle!$B$11,0,IF(AQ$1=$AK$1,IF($O42,-1,regle!$B$2-$M42),IF(AP42=-1,-1,AP42+1))))</f>
        <v>6</v>
      </c>
      <c r="AR42" s="16">
        <f>IF(OR(X42=regle!$J$11,X42=regle!$K$11),-2,IF(X42=regle!$B$11,0,IF(AR$1=$AK$1,IF($O42,-1,regle!$B$2-$M42),IF(AQ42=-1,-1,AQ42+1))))</f>
        <v>7</v>
      </c>
      <c r="AS42" s="16">
        <f>IF(OR(Y42=regle!$J$11,Y42=regle!$K$11),-2,IF(Y42=regle!$B$11,0,IF(AS$1=$AK$1,IF($O42,-1,regle!$B$2-$M42),IF(AR42=-1,-1,AR42+1))))</f>
        <v>8</v>
      </c>
      <c r="AT42" s="16">
        <f>IF(OR(Z42=regle!$J$11,Z42=regle!$K$11),-2,IF(Z42=regle!$B$11,0,IF(AT$1=$AK$1,IF($O42,-1,regle!$B$2-$M42),IF(AS42=-1,-1,AS42+1))))</f>
        <v>9</v>
      </c>
    </row>
    <row r="43" spans="1:46" x14ac:dyDescent="0.25">
      <c r="A43" t="b">
        <f>modif1!A43</f>
        <v>1</v>
      </c>
      <c r="B43">
        <f>ROW(modif1!B43)</f>
        <v>43</v>
      </c>
      <c r="C43" t="str">
        <f>modif1!C46</f>
        <v>171</v>
      </c>
      <c r="D43" t="str">
        <f>modif1!D43</f>
        <v>MOUSTEY</v>
      </c>
      <c r="E43">
        <f>modif1!E43</f>
        <v>5</v>
      </c>
      <c r="F43" t="str">
        <f>modif1!F43</f>
        <v>Plata</v>
      </c>
      <c r="G43" t="str">
        <f>modif1!G43</f>
        <v>0M</v>
      </c>
      <c r="H43">
        <f>modif1!H43</f>
        <v>23</v>
      </c>
      <c r="I43" t="str">
        <f>modif1!I43</f>
        <v>a</v>
      </c>
      <c r="J43" s="11">
        <f>modif1!J43</f>
        <v>1.1000000000000001</v>
      </c>
      <c r="K43" t="str">
        <f>modif1!K43</f>
        <v>CR</v>
      </c>
      <c r="L43" t="str">
        <f>modif1!L43</f>
        <v>PM</v>
      </c>
      <c r="M43">
        <f>modif1!M43</f>
        <v>2022</v>
      </c>
      <c r="N43" t="str">
        <f>modif1!N43</f>
        <v>CR-PM_2022</v>
      </c>
      <c r="O43" t="b">
        <f>modif1!O43</f>
        <v>1</v>
      </c>
      <c r="P43">
        <v>25</v>
      </c>
      <c r="Q43" t="s">
        <v>1868</v>
      </c>
      <c r="Z43"/>
      <c r="AA43" s="17">
        <f>IF($A43,$J43*(IF(Q43=regle!$B$11,regle!$B$23*IF(AJ43=-2,1+regle!$B$35,1),
IF(Q43=regle!$C$11,regle!$C$23,
IF(Q43=regle!$D$11,regle!$D$23,
IF(Q43=regle!$E$11,regle!$E$23,
IF(Q43=regle!$F$11,regle!$F$23,
IF(Q43=regle!$G$11,regle!$G$23,
IF(Q43=regle!$H$11,regle!$H$23,
IF(Q43=regle!$I$11,regle!$I$23,
IF(Q43=regle!$J$11,regle!$J$23,
IF(Q43=regle!$K$11,regle!$K$23,0))))))))))))</f>
        <v>-1870.0000000000002</v>
      </c>
      <c r="AB43" s="17">
        <f>IF($A43,$J43*(IF(R43=regle!$B$11,regle!$B$23*IF(AK43=-2,1+regle!$B$35,1),
IF(R43=regle!$C$11,regle!$C$23,
IF(R43=regle!$D$11,regle!$D$23,
IF(R43=regle!$E$11,regle!$E$23,
IF(R43=regle!$F$11,regle!$F$23,
IF(R43=regle!$G$11,regle!$G$23,
IF(R43=regle!$H$11,regle!$H$23,
IF(R43=regle!$I$11,regle!$I$23,
IF(R43=regle!$J$11,regle!$J$23,
IF(R43=regle!$K$11,regle!$K$23,0))))))))))))</f>
        <v>0</v>
      </c>
      <c r="AC43" s="17">
        <f>IF($A43,$J43*(IF(S43=regle!$B$11,regle!$B$23*IF(AL43=-2,1+regle!$B$35,1),
IF(S43=regle!$C$11,regle!$C$23,
IF(S43=regle!$D$11,regle!$D$23,
IF(S43=regle!$E$11,regle!$E$23,
IF(S43=regle!$F$11,regle!$F$23,
IF(S43=regle!$G$11,regle!$G$23,
IF(S43=regle!$H$11,regle!$H$23,
IF(S43=regle!$I$11,regle!$I$23,
IF(S43=regle!$J$11,regle!$J$23,
IF(S43=regle!$K$11,regle!$K$23,0))))))))))))</f>
        <v>0</v>
      </c>
      <c r="AD43" s="17">
        <f>IF($A43,$J43*(IF(T43=regle!$B$11,regle!$B$23*IF(AM43=-2,1+regle!$B$35,1),
IF(T43=regle!$C$11,regle!$C$23,
IF(T43=regle!$D$11,regle!$D$23,
IF(T43=regle!$E$11,regle!$E$23,
IF(T43=regle!$F$11,regle!$F$23,
IF(T43=regle!$G$11,regle!$G$23,
IF(T43=regle!$H$11,regle!$H$23,
IF(T43=regle!$I$11,regle!$I$23,
IF(T43=regle!$J$11,regle!$J$23,
IF(T43=regle!$K$11,regle!$K$23,0))))))))))))</f>
        <v>0</v>
      </c>
      <c r="AE43" s="17">
        <f>IF($A43,$J43*(IF(U43=regle!$B$11,regle!$B$23*IF(AN43=-2,1+regle!$B$35,1),
IF(U43=regle!$C$11,regle!$C$23,
IF(U43=regle!$D$11,regle!$D$23,
IF(U43=regle!$E$11,regle!$E$23,
IF(U43=regle!$F$11,regle!$F$23,
IF(U43=regle!$G$11,regle!$G$23,
IF(U43=regle!$H$11,regle!$H$23,
IF(U43=regle!$I$11,regle!$I$23,
IF(U43=regle!$J$11,regle!$J$23,
IF(U43=regle!$K$11,regle!$K$23,0))))))))))))</f>
        <v>0</v>
      </c>
      <c r="AF43" s="17">
        <f>IF($A43,$J43*(IF(V43=regle!$B$11,regle!$B$23*IF(AO43=-2,1+regle!$B$35,1),
IF(V43=regle!$C$11,regle!$C$23,
IF(V43=regle!$D$11,regle!$D$23,
IF(V43=regle!$E$11,regle!$E$23,
IF(V43=regle!$F$11,regle!$F$23,
IF(V43=regle!$G$11,regle!$G$23,
IF(V43=regle!$H$11,regle!$H$23,
IF(V43=regle!$I$11,regle!$I$23,
IF(V43=regle!$J$11,regle!$J$23,
IF(V43=regle!$K$11,regle!$K$23,0))))))))))))</f>
        <v>0</v>
      </c>
      <c r="AG43" s="17">
        <f>IF($A43,$J43*(IF(W43=regle!$B$11,regle!$B$23*IF(AP43=-2,1+regle!$B$35,1),
IF(W43=regle!$C$11,regle!$C$23,
IF(W43=regle!$D$11,regle!$D$23,
IF(W43=regle!$E$11,regle!$E$23,
IF(W43=regle!$F$11,regle!$F$23,
IF(W43=regle!$G$11,regle!$G$23,
IF(W43=regle!$H$11,regle!$H$23,
IF(W43=regle!$I$11,regle!$I$23,
IF(W43=regle!$J$11,regle!$J$23,
IF(W43=regle!$K$11,regle!$K$23,0))))))))))))</f>
        <v>0</v>
      </c>
      <c r="AH43" s="17">
        <f>IF($A43,$J43*(IF(X43=regle!$B$11,regle!$B$23*IF(AQ43=-2,1+regle!$B$35,1),
IF(X43=regle!$C$11,regle!$C$23,
IF(X43=regle!$D$11,regle!$D$23,
IF(X43=regle!$E$11,regle!$E$23,
IF(X43=regle!$F$11,regle!$F$23,
IF(X43=regle!$G$11,regle!$G$23,
IF(X43=regle!$H$11,regle!$H$23,
IF(X43=regle!$I$11,regle!$I$23,
IF(X43=regle!$J$11,regle!$J$23,
IF(X43=regle!$K$11,regle!$K$23,0))))))))))))</f>
        <v>0</v>
      </c>
      <c r="AI43" s="17">
        <f>IF($A43,$J43*(IF(Y43=regle!$B$11,regle!$B$23*IF(AR43=-2,1+regle!$B$35,1),
IF(Y43=regle!$C$11,regle!$C$23,
IF(Y43=regle!$D$11,regle!$D$23,
IF(Y43=regle!$E$11,regle!$E$23,
IF(Y43=regle!$F$11,regle!$F$23,
IF(Y43=regle!$G$11,regle!$G$23,
IF(Y43=regle!$H$11,regle!$H$23,
IF(Y43=regle!$I$11,regle!$I$23,
IF(Y43=regle!$J$11,regle!$J$23,
IF(Y43=regle!$K$11,regle!$K$23,0))))))))))))</f>
        <v>0</v>
      </c>
      <c r="AJ43" s="17">
        <f>IF($A43,$J43*(IF(Z43=regle!$B$11,regle!$B$23*IF(AS43=-2,1+regle!$B$35,1),
IF(Z43=regle!$C$11,regle!$C$23,
IF(Z43=regle!$D$11,regle!$D$23,
IF(Z43=regle!$E$11,regle!$E$23,
IF(Z43=regle!$F$11,regle!$F$23,
IF(Z43=regle!$G$11,regle!$G$23,
IF(Z43=regle!$H$11,regle!$H$23,
IF(Z43=regle!$I$11,regle!$I$23,
IF(Z43=regle!$J$11,regle!$J$23,
IF(Z43=regle!$K$11,regle!$K$23,0))))))))))))</f>
        <v>0</v>
      </c>
      <c r="AK43" s="16">
        <f>IF(OR(Q43=regle!$J$11,Q43=regle!$K$11),-2,IF(Q43=regle!$B$11,0,IF(AK$1=$AK$1,IF($O43,-1,regle!$B$2-$M43),IF(AJ43=-1,-1,AJ43+1))))</f>
        <v>0</v>
      </c>
      <c r="AL43" s="16">
        <f>IF(OR(R43=regle!$J$11,R43=regle!$K$11),-2,IF(R43=regle!$B$11,0,IF(AL$1=$AK$1,IF($O43,-1,regle!$B$2-$M43),IF(AK43=-1,-1,AK43+1))))</f>
        <v>1</v>
      </c>
      <c r="AM43" s="16">
        <f>IF(OR(S43=regle!$J$11,S43=regle!$K$11),-2,IF(S43=regle!$B$11,0,IF(AM$1=$AK$1,IF($O43,-1,regle!$B$2-$M43),IF(AL43=-1,-1,AL43+1))))</f>
        <v>2</v>
      </c>
      <c r="AN43" s="16">
        <f>IF(OR(T43=regle!$J$11,T43=regle!$K$11),-2,IF(T43=regle!$B$11,0,IF(AN$1=$AK$1,IF($O43,-1,regle!$B$2-$M43),IF(AM43=-1,-1,AM43+1))))</f>
        <v>3</v>
      </c>
      <c r="AO43" s="16">
        <f>IF(OR(U43=regle!$J$11,U43=regle!$K$11),-2,IF(U43=regle!$B$11,0,IF(AO$1=$AK$1,IF($O43,-1,regle!$B$2-$M43),IF(AN43=-1,-1,AN43+1))))</f>
        <v>4</v>
      </c>
      <c r="AP43" s="16">
        <f>IF(OR(V43=regle!$J$11,V43=regle!$K$11),-2,IF(V43=regle!$B$11,0,IF(AP$1=$AK$1,IF($O43,-1,regle!$B$2-$M43),IF(AO43=-1,-1,AO43+1))))</f>
        <v>5</v>
      </c>
      <c r="AQ43" s="16">
        <f>IF(OR(W43=regle!$J$11,W43=regle!$K$11),-2,IF(W43=regle!$B$11,0,IF(AQ$1=$AK$1,IF($O43,-1,regle!$B$2-$M43),IF(AP43=-1,-1,AP43+1))))</f>
        <v>6</v>
      </c>
      <c r="AR43" s="16">
        <f>IF(OR(X43=regle!$J$11,X43=regle!$K$11),-2,IF(X43=regle!$B$11,0,IF(AR$1=$AK$1,IF($O43,-1,regle!$B$2-$M43),IF(AQ43=-1,-1,AQ43+1))))</f>
        <v>7</v>
      </c>
      <c r="AS43" s="16">
        <f>IF(OR(Y43=regle!$J$11,Y43=regle!$K$11),-2,IF(Y43=regle!$B$11,0,IF(AS$1=$AK$1,IF($O43,-1,regle!$B$2-$M43),IF(AR43=-1,-1,AR43+1))))</f>
        <v>8</v>
      </c>
      <c r="AT43" s="16">
        <f>IF(OR(Z43=regle!$J$11,Z43=regle!$K$11),-2,IF(Z43=regle!$B$11,0,IF(AT$1=$AK$1,IF($O43,-1,regle!$B$2-$M43),IF(AS43=-1,-1,AS43+1))))</f>
        <v>9</v>
      </c>
    </row>
    <row r="44" spans="1:46" x14ac:dyDescent="0.25">
      <c r="A44" t="b">
        <f>modif1!A44</f>
        <v>1</v>
      </c>
      <c r="B44">
        <f>ROW(modif1!B44)</f>
        <v>44</v>
      </c>
      <c r="C44" t="str">
        <f>modif1!C47</f>
        <v>171</v>
      </c>
      <c r="D44" t="str">
        <f>modif1!D44</f>
        <v>MANO</v>
      </c>
      <c r="E44">
        <f>modif1!E44</f>
        <v>17</v>
      </c>
      <c r="F44" t="str">
        <f>modif1!F44</f>
        <v>LANDE DE TABARTON</v>
      </c>
      <c r="G44" t="str">
        <f>modif1!G44</f>
        <v>0B</v>
      </c>
      <c r="H44">
        <f>modif1!H44</f>
        <v>310</v>
      </c>
      <c r="I44" t="str">
        <f>modif1!I44</f>
        <v/>
      </c>
      <c r="J44" s="11">
        <f>modif1!J44</f>
        <v>1.087</v>
      </c>
      <c r="K44" t="str">
        <f>modif1!K44</f>
        <v>CR</v>
      </c>
      <c r="L44" t="str">
        <f>modif1!L44</f>
        <v>PM</v>
      </c>
      <c r="M44">
        <f>modif1!M44</f>
        <v>2022</v>
      </c>
      <c r="N44" t="str">
        <f>modif1!N44</f>
        <v>CR-PM_2022</v>
      </c>
      <c r="O44" t="b">
        <f>modif1!O44</f>
        <v>1</v>
      </c>
      <c r="P44">
        <v>25</v>
      </c>
      <c r="Q44" t="s">
        <v>1868</v>
      </c>
      <c r="Z44"/>
      <c r="AA44" s="17">
        <f>IF($A44,$J44*(IF(Q44=regle!$B$11,regle!$B$23*IF(AJ44=-2,1+regle!$B$35,1),
IF(Q44=regle!$C$11,regle!$C$23,
IF(Q44=regle!$D$11,regle!$D$23,
IF(Q44=regle!$E$11,regle!$E$23,
IF(Q44=regle!$F$11,regle!$F$23,
IF(Q44=regle!$G$11,regle!$G$23,
IF(Q44=regle!$H$11,regle!$H$23,
IF(Q44=regle!$I$11,regle!$I$23,
IF(Q44=regle!$J$11,regle!$J$23,
IF(Q44=regle!$K$11,regle!$K$23,0))))))))))))</f>
        <v>-1847.8999999999999</v>
      </c>
      <c r="AB44" s="17">
        <f>IF($A44,$J44*(IF(R44=regle!$B$11,regle!$B$23*IF(AK44=-2,1+regle!$B$35,1),
IF(R44=regle!$C$11,regle!$C$23,
IF(R44=regle!$D$11,regle!$D$23,
IF(R44=regle!$E$11,regle!$E$23,
IF(R44=regle!$F$11,regle!$F$23,
IF(R44=regle!$G$11,regle!$G$23,
IF(R44=regle!$H$11,regle!$H$23,
IF(R44=regle!$I$11,regle!$I$23,
IF(R44=regle!$J$11,regle!$J$23,
IF(R44=regle!$K$11,regle!$K$23,0))))))))))))</f>
        <v>0</v>
      </c>
      <c r="AC44" s="17">
        <f>IF($A44,$J44*(IF(S44=regle!$B$11,regle!$B$23*IF(AL44=-2,1+regle!$B$35,1),
IF(S44=regle!$C$11,regle!$C$23,
IF(S44=regle!$D$11,regle!$D$23,
IF(S44=regle!$E$11,regle!$E$23,
IF(S44=regle!$F$11,regle!$F$23,
IF(S44=regle!$G$11,regle!$G$23,
IF(S44=regle!$H$11,regle!$H$23,
IF(S44=regle!$I$11,regle!$I$23,
IF(S44=regle!$J$11,regle!$J$23,
IF(S44=regle!$K$11,regle!$K$23,0))))))))))))</f>
        <v>0</v>
      </c>
      <c r="AD44" s="17">
        <f>IF($A44,$J44*(IF(T44=regle!$B$11,regle!$B$23*IF(AM44=-2,1+regle!$B$35,1),
IF(T44=regle!$C$11,regle!$C$23,
IF(T44=regle!$D$11,regle!$D$23,
IF(T44=regle!$E$11,regle!$E$23,
IF(T44=regle!$F$11,regle!$F$23,
IF(T44=regle!$G$11,regle!$G$23,
IF(T44=regle!$H$11,regle!$H$23,
IF(T44=regle!$I$11,regle!$I$23,
IF(T44=regle!$J$11,regle!$J$23,
IF(T44=regle!$K$11,regle!$K$23,0))))))))))))</f>
        <v>0</v>
      </c>
      <c r="AE44" s="17">
        <f>IF($A44,$J44*(IF(U44=regle!$B$11,regle!$B$23*IF(AN44=-2,1+regle!$B$35,1),
IF(U44=regle!$C$11,regle!$C$23,
IF(U44=regle!$D$11,regle!$D$23,
IF(U44=regle!$E$11,regle!$E$23,
IF(U44=regle!$F$11,regle!$F$23,
IF(U44=regle!$G$11,regle!$G$23,
IF(U44=regle!$H$11,regle!$H$23,
IF(U44=regle!$I$11,regle!$I$23,
IF(U44=regle!$J$11,regle!$J$23,
IF(U44=regle!$K$11,regle!$K$23,0))))))))))))</f>
        <v>0</v>
      </c>
      <c r="AF44" s="17">
        <f>IF($A44,$J44*(IF(V44=regle!$B$11,regle!$B$23*IF(AO44=-2,1+regle!$B$35,1),
IF(V44=regle!$C$11,regle!$C$23,
IF(V44=regle!$D$11,regle!$D$23,
IF(V44=regle!$E$11,regle!$E$23,
IF(V44=regle!$F$11,regle!$F$23,
IF(V44=regle!$G$11,regle!$G$23,
IF(V44=regle!$H$11,regle!$H$23,
IF(V44=regle!$I$11,regle!$I$23,
IF(V44=regle!$J$11,regle!$J$23,
IF(V44=regle!$K$11,regle!$K$23,0))))))))))))</f>
        <v>0</v>
      </c>
      <c r="AG44" s="17">
        <f>IF($A44,$J44*(IF(W44=regle!$B$11,regle!$B$23*IF(AP44=-2,1+regle!$B$35,1),
IF(W44=regle!$C$11,regle!$C$23,
IF(W44=regle!$D$11,regle!$D$23,
IF(W44=regle!$E$11,regle!$E$23,
IF(W44=regle!$F$11,regle!$F$23,
IF(W44=regle!$G$11,regle!$G$23,
IF(W44=regle!$H$11,regle!$H$23,
IF(W44=regle!$I$11,regle!$I$23,
IF(W44=regle!$J$11,regle!$J$23,
IF(W44=regle!$K$11,regle!$K$23,0))))))))))))</f>
        <v>0</v>
      </c>
      <c r="AH44" s="17">
        <f>IF($A44,$J44*(IF(X44=regle!$B$11,regle!$B$23*IF(AQ44=-2,1+regle!$B$35,1),
IF(X44=regle!$C$11,regle!$C$23,
IF(X44=regle!$D$11,regle!$D$23,
IF(X44=regle!$E$11,regle!$E$23,
IF(X44=regle!$F$11,regle!$F$23,
IF(X44=regle!$G$11,regle!$G$23,
IF(X44=regle!$H$11,regle!$H$23,
IF(X44=regle!$I$11,regle!$I$23,
IF(X44=regle!$J$11,regle!$J$23,
IF(X44=regle!$K$11,regle!$K$23,0))))))))))))</f>
        <v>0</v>
      </c>
      <c r="AI44" s="17">
        <f>IF($A44,$J44*(IF(Y44=regle!$B$11,regle!$B$23*IF(AR44=-2,1+regle!$B$35,1),
IF(Y44=regle!$C$11,regle!$C$23,
IF(Y44=regle!$D$11,regle!$D$23,
IF(Y44=regle!$E$11,regle!$E$23,
IF(Y44=regle!$F$11,regle!$F$23,
IF(Y44=regle!$G$11,regle!$G$23,
IF(Y44=regle!$H$11,regle!$H$23,
IF(Y44=regle!$I$11,regle!$I$23,
IF(Y44=regle!$J$11,regle!$J$23,
IF(Y44=regle!$K$11,regle!$K$23,0))))))))))))</f>
        <v>0</v>
      </c>
      <c r="AJ44" s="17">
        <f>IF($A44,$J44*(IF(Z44=regle!$B$11,regle!$B$23*IF(AS44=-2,1+regle!$B$35,1),
IF(Z44=regle!$C$11,regle!$C$23,
IF(Z44=regle!$D$11,regle!$D$23,
IF(Z44=regle!$E$11,regle!$E$23,
IF(Z44=regle!$F$11,regle!$F$23,
IF(Z44=regle!$G$11,regle!$G$23,
IF(Z44=regle!$H$11,regle!$H$23,
IF(Z44=regle!$I$11,regle!$I$23,
IF(Z44=regle!$J$11,regle!$J$23,
IF(Z44=regle!$K$11,regle!$K$23,0))))))))))))</f>
        <v>0</v>
      </c>
      <c r="AK44" s="16">
        <f>IF(OR(Q44=regle!$J$11,Q44=regle!$K$11),-2,IF(Q44=regle!$B$11,0,IF(AK$1=$AK$1,IF($O44,-1,regle!$B$2-$M44),IF(AJ44=-1,-1,AJ44+1))))</f>
        <v>0</v>
      </c>
      <c r="AL44" s="16">
        <f>IF(OR(R44=regle!$J$11,R44=regle!$K$11),-2,IF(R44=regle!$B$11,0,IF(AL$1=$AK$1,IF($O44,-1,regle!$B$2-$M44),IF(AK44=-1,-1,AK44+1))))</f>
        <v>1</v>
      </c>
      <c r="AM44" s="16">
        <f>IF(OR(S44=regle!$J$11,S44=regle!$K$11),-2,IF(S44=regle!$B$11,0,IF(AM$1=$AK$1,IF($O44,-1,regle!$B$2-$M44),IF(AL44=-1,-1,AL44+1))))</f>
        <v>2</v>
      </c>
      <c r="AN44" s="16">
        <f>IF(OR(T44=regle!$J$11,T44=regle!$K$11),-2,IF(T44=regle!$B$11,0,IF(AN$1=$AK$1,IF($O44,-1,regle!$B$2-$M44),IF(AM44=-1,-1,AM44+1))))</f>
        <v>3</v>
      </c>
      <c r="AO44" s="16">
        <f>IF(OR(U44=regle!$J$11,U44=regle!$K$11),-2,IF(U44=regle!$B$11,0,IF(AO$1=$AK$1,IF($O44,-1,regle!$B$2-$M44),IF(AN44=-1,-1,AN44+1))))</f>
        <v>4</v>
      </c>
      <c r="AP44" s="16">
        <f>IF(OR(V44=regle!$J$11,V44=regle!$K$11),-2,IF(V44=regle!$B$11,0,IF(AP$1=$AK$1,IF($O44,-1,regle!$B$2-$M44),IF(AO44=-1,-1,AO44+1))))</f>
        <v>5</v>
      </c>
      <c r="AQ44" s="16">
        <f>IF(OR(W44=regle!$J$11,W44=regle!$K$11),-2,IF(W44=regle!$B$11,0,IF(AQ$1=$AK$1,IF($O44,-1,regle!$B$2-$M44),IF(AP44=-1,-1,AP44+1))))</f>
        <v>6</v>
      </c>
      <c r="AR44" s="16">
        <f>IF(OR(X44=regle!$J$11,X44=regle!$K$11),-2,IF(X44=regle!$B$11,0,IF(AR$1=$AK$1,IF($O44,-1,regle!$B$2-$M44),IF(AQ44=-1,-1,AQ44+1))))</f>
        <v>7</v>
      </c>
      <c r="AS44" s="16">
        <f>IF(OR(Y44=regle!$J$11,Y44=regle!$K$11),-2,IF(Y44=regle!$B$11,0,IF(AS$1=$AK$1,IF($O44,-1,regle!$B$2-$M44),IF(AR44=-1,-1,AR44+1))))</f>
        <v>8</v>
      </c>
      <c r="AT44" s="16">
        <f>IF(OR(Z44=regle!$J$11,Z44=regle!$K$11),-2,IF(Z44=regle!$B$11,0,IF(AT$1=$AK$1,IF($O44,-1,regle!$B$2-$M44),IF(AS44=-1,-1,AS44+1))))</f>
        <v>9</v>
      </c>
    </row>
    <row r="45" spans="1:46" x14ac:dyDescent="0.25">
      <c r="A45" t="b">
        <f>modif1!A45</f>
        <v>1</v>
      </c>
      <c r="B45">
        <f>ROW(modif1!B45)</f>
        <v>45</v>
      </c>
      <c r="C45" t="str">
        <f>modif1!C48</f>
        <v>200</v>
      </c>
      <c r="D45" t="str">
        <f>modif1!D45</f>
        <v>MANO</v>
      </c>
      <c r="E45">
        <f>modif1!E45</f>
        <v>16</v>
      </c>
      <c r="F45" t="str">
        <f>modif1!F45</f>
        <v>BAS DE TOURNICON</v>
      </c>
      <c r="G45" t="str">
        <f>modif1!G45</f>
        <v>0B</v>
      </c>
      <c r="H45">
        <f>modif1!H45</f>
        <v>240</v>
      </c>
      <c r="I45" t="str">
        <f>modif1!I45</f>
        <v/>
      </c>
      <c r="J45" s="11">
        <f>modif1!J45</f>
        <v>1.0591999999999999</v>
      </c>
      <c r="K45" t="str">
        <f>modif1!K45</f>
        <v>CR</v>
      </c>
      <c r="L45" t="str">
        <f>modif1!L45</f>
        <v>PM</v>
      </c>
      <c r="M45">
        <f>modif1!M45</f>
        <v>2022</v>
      </c>
      <c r="N45" t="str">
        <f>modif1!N45</f>
        <v>CR-PM_2022</v>
      </c>
      <c r="O45" t="b">
        <f>modif1!O45</f>
        <v>1</v>
      </c>
      <c r="P45">
        <v>25</v>
      </c>
      <c r="Q45" t="s">
        <v>1868</v>
      </c>
      <c r="Z45"/>
      <c r="AA45" s="17">
        <f>IF($A45,$J45*(IF(Q45=regle!$B$11,regle!$B$23*IF(AJ45=-2,1+regle!$B$35,1),
IF(Q45=regle!$C$11,regle!$C$23,
IF(Q45=regle!$D$11,regle!$D$23,
IF(Q45=regle!$E$11,regle!$E$23,
IF(Q45=regle!$F$11,regle!$F$23,
IF(Q45=regle!$G$11,regle!$G$23,
IF(Q45=regle!$H$11,regle!$H$23,
IF(Q45=regle!$I$11,regle!$I$23,
IF(Q45=regle!$J$11,regle!$J$23,
IF(Q45=regle!$K$11,regle!$K$23,0))))))))))))</f>
        <v>-1800.6399999999999</v>
      </c>
      <c r="AB45" s="17">
        <f>IF($A45,$J45*(IF(R45=regle!$B$11,regle!$B$23*IF(AK45=-2,1+regle!$B$35,1),
IF(R45=regle!$C$11,regle!$C$23,
IF(R45=regle!$D$11,regle!$D$23,
IF(R45=regle!$E$11,regle!$E$23,
IF(R45=regle!$F$11,regle!$F$23,
IF(R45=regle!$G$11,regle!$G$23,
IF(R45=regle!$H$11,regle!$H$23,
IF(R45=regle!$I$11,regle!$I$23,
IF(R45=regle!$J$11,regle!$J$23,
IF(R45=regle!$K$11,regle!$K$23,0))))))))))))</f>
        <v>0</v>
      </c>
      <c r="AC45" s="17">
        <f>IF($A45,$J45*(IF(S45=regle!$B$11,regle!$B$23*IF(AL45=-2,1+regle!$B$35,1),
IF(S45=regle!$C$11,regle!$C$23,
IF(S45=regle!$D$11,regle!$D$23,
IF(S45=regle!$E$11,regle!$E$23,
IF(S45=regle!$F$11,regle!$F$23,
IF(S45=regle!$G$11,regle!$G$23,
IF(S45=regle!$H$11,regle!$H$23,
IF(S45=regle!$I$11,regle!$I$23,
IF(S45=regle!$J$11,regle!$J$23,
IF(S45=regle!$K$11,regle!$K$23,0))))))))))))</f>
        <v>0</v>
      </c>
      <c r="AD45" s="17">
        <f>IF($A45,$J45*(IF(T45=regle!$B$11,regle!$B$23*IF(AM45=-2,1+regle!$B$35,1),
IF(T45=regle!$C$11,regle!$C$23,
IF(T45=regle!$D$11,regle!$D$23,
IF(T45=regle!$E$11,regle!$E$23,
IF(T45=regle!$F$11,regle!$F$23,
IF(T45=regle!$G$11,regle!$G$23,
IF(T45=regle!$H$11,regle!$H$23,
IF(T45=regle!$I$11,regle!$I$23,
IF(T45=regle!$J$11,regle!$J$23,
IF(T45=regle!$K$11,regle!$K$23,0))))))))))))</f>
        <v>0</v>
      </c>
      <c r="AE45" s="17">
        <f>IF($A45,$J45*(IF(U45=regle!$B$11,regle!$B$23*IF(AN45=-2,1+regle!$B$35,1),
IF(U45=regle!$C$11,regle!$C$23,
IF(U45=regle!$D$11,regle!$D$23,
IF(U45=regle!$E$11,regle!$E$23,
IF(U45=regle!$F$11,regle!$F$23,
IF(U45=regle!$G$11,regle!$G$23,
IF(U45=regle!$H$11,regle!$H$23,
IF(U45=regle!$I$11,regle!$I$23,
IF(U45=regle!$J$11,regle!$J$23,
IF(U45=regle!$K$11,regle!$K$23,0))))))))))))</f>
        <v>0</v>
      </c>
      <c r="AF45" s="17">
        <f>IF($A45,$J45*(IF(V45=regle!$B$11,regle!$B$23*IF(AO45=-2,1+regle!$B$35,1),
IF(V45=regle!$C$11,regle!$C$23,
IF(V45=regle!$D$11,regle!$D$23,
IF(V45=regle!$E$11,regle!$E$23,
IF(V45=regle!$F$11,regle!$F$23,
IF(V45=regle!$G$11,regle!$G$23,
IF(V45=regle!$H$11,regle!$H$23,
IF(V45=regle!$I$11,regle!$I$23,
IF(V45=regle!$J$11,regle!$J$23,
IF(V45=regle!$K$11,regle!$K$23,0))))))))))))</f>
        <v>0</v>
      </c>
      <c r="AG45" s="17">
        <f>IF($A45,$J45*(IF(W45=regle!$B$11,regle!$B$23*IF(AP45=-2,1+regle!$B$35,1),
IF(W45=regle!$C$11,regle!$C$23,
IF(W45=regle!$D$11,regle!$D$23,
IF(W45=regle!$E$11,regle!$E$23,
IF(W45=regle!$F$11,regle!$F$23,
IF(W45=regle!$G$11,regle!$G$23,
IF(W45=regle!$H$11,regle!$H$23,
IF(W45=regle!$I$11,regle!$I$23,
IF(W45=regle!$J$11,regle!$J$23,
IF(W45=regle!$K$11,regle!$K$23,0))))))))))))</f>
        <v>0</v>
      </c>
      <c r="AH45" s="17">
        <f>IF($A45,$J45*(IF(X45=regle!$B$11,regle!$B$23*IF(AQ45=-2,1+regle!$B$35,1),
IF(X45=regle!$C$11,regle!$C$23,
IF(X45=regle!$D$11,regle!$D$23,
IF(X45=regle!$E$11,regle!$E$23,
IF(X45=regle!$F$11,regle!$F$23,
IF(X45=regle!$G$11,regle!$G$23,
IF(X45=regle!$H$11,regle!$H$23,
IF(X45=regle!$I$11,regle!$I$23,
IF(X45=regle!$J$11,regle!$J$23,
IF(X45=regle!$K$11,regle!$K$23,0))))))))))))</f>
        <v>0</v>
      </c>
      <c r="AI45" s="17">
        <f>IF($A45,$J45*(IF(Y45=regle!$B$11,regle!$B$23*IF(AR45=-2,1+regle!$B$35,1),
IF(Y45=regle!$C$11,regle!$C$23,
IF(Y45=regle!$D$11,regle!$D$23,
IF(Y45=regle!$E$11,regle!$E$23,
IF(Y45=regle!$F$11,regle!$F$23,
IF(Y45=regle!$G$11,regle!$G$23,
IF(Y45=regle!$H$11,regle!$H$23,
IF(Y45=regle!$I$11,regle!$I$23,
IF(Y45=regle!$J$11,regle!$J$23,
IF(Y45=regle!$K$11,regle!$K$23,0))))))))))))</f>
        <v>0</v>
      </c>
      <c r="AJ45" s="17">
        <f>IF($A45,$J45*(IF(Z45=regle!$B$11,regle!$B$23*IF(AS45=-2,1+regle!$B$35,1),
IF(Z45=regle!$C$11,regle!$C$23,
IF(Z45=regle!$D$11,regle!$D$23,
IF(Z45=regle!$E$11,regle!$E$23,
IF(Z45=regle!$F$11,regle!$F$23,
IF(Z45=regle!$G$11,regle!$G$23,
IF(Z45=regle!$H$11,regle!$H$23,
IF(Z45=regle!$I$11,regle!$I$23,
IF(Z45=regle!$J$11,regle!$J$23,
IF(Z45=regle!$K$11,regle!$K$23,0))))))))))))</f>
        <v>0</v>
      </c>
      <c r="AK45" s="16">
        <f>IF(OR(Q45=regle!$J$11,Q45=regle!$K$11),-2,IF(Q45=regle!$B$11,0,IF(AK$1=$AK$1,IF($O45,-1,regle!$B$2-$M45),IF(AJ45=-1,-1,AJ45+1))))</f>
        <v>0</v>
      </c>
      <c r="AL45" s="16">
        <f>IF(OR(R45=regle!$J$11,R45=regle!$K$11),-2,IF(R45=regle!$B$11,0,IF(AL$1=$AK$1,IF($O45,-1,regle!$B$2-$M45),IF(AK45=-1,-1,AK45+1))))</f>
        <v>1</v>
      </c>
      <c r="AM45" s="16">
        <f>IF(OR(S45=regle!$J$11,S45=regle!$K$11),-2,IF(S45=regle!$B$11,0,IF(AM$1=$AK$1,IF($O45,-1,regle!$B$2-$M45),IF(AL45=-1,-1,AL45+1))))</f>
        <v>2</v>
      </c>
      <c r="AN45" s="16">
        <f>IF(OR(T45=regle!$J$11,T45=regle!$K$11),-2,IF(T45=regle!$B$11,0,IF(AN$1=$AK$1,IF($O45,-1,regle!$B$2-$M45),IF(AM45=-1,-1,AM45+1))))</f>
        <v>3</v>
      </c>
      <c r="AO45" s="16">
        <f>IF(OR(U45=regle!$J$11,U45=regle!$K$11),-2,IF(U45=regle!$B$11,0,IF(AO$1=$AK$1,IF($O45,-1,regle!$B$2-$M45),IF(AN45=-1,-1,AN45+1))))</f>
        <v>4</v>
      </c>
      <c r="AP45" s="16">
        <f>IF(OR(V45=regle!$J$11,V45=regle!$K$11),-2,IF(V45=regle!$B$11,0,IF(AP$1=$AK$1,IF($O45,-1,regle!$B$2-$M45),IF(AO45=-1,-1,AO45+1))))</f>
        <v>5</v>
      </c>
      <c r="AQ45" s="16">
        <f>IF(OR(W45=regle!$J$11,W45=regle!$K$11),-2,IF(W45=regle!$B$11,0,IF(AQ$1=$AK$1,IF($O45,-1,regle!$B$2-$M45),IF(AP45=-1,-1,AP45+1))))</f>
        <v>6</v>
      </c>
      <c r="AR45" s="16">
        <f>IF(OR(X45=regle!$J$11,X45=regle!$K$11),-2,IF(X45=regle!$B$11,0,IF(AR$1=$AK$1,IF($O45,-1,regle!$B$2-$M45),IF(AQ45=-1,-1,AQ45+1))))</f>
        <v>7</v>
      </c>
      <c r="AS45" s="16">
        <f>IF(OR(Y45=regle!$J$11,Y45=regle!$K$11),-2,IF(Y45=regle!$B$11,0,IF(AS$1=$AK$1,IF($O45,-1,regle!$B$2-$M45),IF(AR45=-1,-1,AR45+1))))</f>
        <v>8</v>
      </c>
      <c r="AT45" s="16">
        <f>IF(OR(Z45=regle!$J$11,Z45=regle!$K$11),-2,IF(Z45=regle!$B$11,0,IF(AT$1=$AK$1,IF($O45,-1,regle!$B$2-$M45),IF(AS45=-1,-1,AS45+1))))</f>
        <v>9</v>
      </c>
    </row>
    <row r="46" spans="1:46" x14ac:dyDescent="0.25">
      <c r="A46" t="b">
        <f>modif1!A46</f>
        <v>1</v>
      </c>
      <c r="B46">
        <f>ROW(modif1!B46)</f>
        <v>46</v>
      </c>
      <c r="C46" t="str">
        <f>modif1!C49</f>
        <v>202</v>
      </c>
      <c r="D46" t="str">
        <f>modif1!D46</f>
        <v>MANO</v>
      </c>
      <c r="E46">
        <f>modif1!E46</f>
        <v>16</v>
      </c>
      <c r="F46" t="str">
        <f>modif1!F46</f>
        <v>BAS DE TOURNICON</v>
      </c>
      <c r="G46" t="str">
        <f>modif1!G46</f>
        <v>0B</v>
      </c>
      <c r="H46">
        <f>modif1!H46</f>
        <v>242</v>
      </c>
      <c r="I46" t="str">
        <f>modif1!I46</f>
        <v/>
      </c>
      <c r="J46" s="11">
        <f>modif1!J46</f>
        <v>1.0582</v>
      </c>
      <c r="K46" t="str">
        <f>modif1!K46</f>
        <v>CR</v>
      </c>
      <c r="L46" t="str">
        <f>modif1!L46</f>
        <v>PM</v>
      </c>
      <c r="M46">
        <f>modif1!M46</f>
        <v>2022</v>
      </c>
      <c r="N46" t="str">
        <f>modif1!N46</f>
        <v>CR-PM_2022</v>
      </c>
      <c r="O46" t="b">
        <f>modif1!O46</f>
        <v>1</v>
      </c>
      <c r="P46">
        <v>25</v>
      </c>
      <c r="Q46" t="s">
        <v>1868</v>
      </c>
      <c r="Z46"/>
      <c r="AA46" s="17">
        <f>IF($A46,$J46*(IF(Q46=regle!$B$11,regle!$B$23*IF(AJ46=-2,1+regle!$B$35,1),
IF(Q46=regle!$C$11,regle!$C$23,
IF(Q46=regle!$D$11,regle!$D$23,
IF(Q46=regle!$E$11,regle!$E$23,
IF(Q46=regle!$F$11,regle!$F$23,
IF(Q46=regle!$G$11,regle!$G$23,
IF(Q46=regle!$H$11,regle!$H$23,
IF(Q46=regle!$I$11,regle!$I$23,
IF(Q46=regle!$J$11,regle!$J$23,
IF(Q46=regle!$K$11,regle!$K$23,0))))))))))))</f>
        <v>-1798.94</v>
      </c>
      <c r="AB46" s="17">
        <f>IF($A46,$J46*(IF(R46=regle!$B$11,regle!$B$23*IF(AK46=-2,1+regle!$B$35,1),
IF(R46=regle!$C$11,regle!$C$23,
IF(R46=regle!$D$11,regle!$D$23,
IF(R46=regle!$E$11,regle!$E$23,
IF(R46=regle!$F$11,regle!$F$23,
IF(R46=regle!$G$11,regle!$G$23,
IF(R46=regle!$H$11,regle!$H$23,
IF(R46=regle!$I$11,regle!$I$23,
IF(R46=regle!$J$11,regle!$J$23,
IF(R46=regle!$K$11,regle!$K$23,0))))))))))))</f>
        <v>0</v>
      </c>
      <c r="AC46" s="17">
        <f>IF($A46,$J46*(IF(S46=regle!$B$11,regle!$B$23*IF(AL46=-2,1+regle!$B$35,1),
IF(S46=regle!$C$11,regle!$C$23,
IF(S46=regle!$D$11,regle!$D$23,
IF(S46=regle!$E$11,regle!$E$23,
IF(S46=regle!$F$11,regle!$F$23,
IF(S46=regle!$G$11,regle!$G$23,
IF(S46=regle!$H$11,regle!$H$23,
IF(S46=regle!$I$11,regle!$I$23,
IF(S46=regle!$J$11,regle!$J$23,
IF(S46=regle!$K$11,regle!$K$23,0))))))))))))</f>
        <v>0</v>
      </c>
      <c r="AD46" s="17">
        <f>IF($A46,$J46*(IF(T46=regle!$B$11,regle!$B$23*IF(AM46=-2,1+regle!$B$35,1),
IF(T46=regle!$C$11,regle!$C$23,
IF(T46=regle!$D$11,regle!$D$23,
IF(T46=regle!$E$11,regle!$E$23,
IF(T46=regle!$F$11,regle!$F$23,
IF(T46=regle!$G$11,regle!$G$23,
IF(T46=regle!$H$11,regle!$H$23,
IF(T46=regle!$I$11,regle!$I$23,
IF(T46=regle!$J$11,regle!$J$23,
IF(T46=regle!$K$11,regle!$K$23,0))))))))))))</f>
        <v>0</v>
      </c>
      <c r="AE46" s="17">
        <f>IF($A46,$J46*(IF(U46=regle!$B$11,regle!$B$23*IF(AN46=-2,1+regle!$B$35,1),
IF(U46=regle!$C$11,regle!$C$23,
IF(U46=regle!$D$11,regle!$D$23,
IF(U46=regle!$E$11,regle!$E$23,
IF(U46=regle!$F$11,regle!$F$23,
IF(U46=regle!$G$11,regle!$G$23,
IF(U46=regle!$H$11,regle!$H$23,
IF(U46=regle!$I$11,regle!$I$23,
IF(U46=regle!$J$11,regle!$J$23,
IF(U46=regle!$K$11,regle!$K$23,0))))))))))))</f>
        <v>0</v>
      </c>
      <c r="AF46" s="17">
        <f>IF($A46,$J46*(IF(V46=regle!$B$11,regle!$B$23*IF(AO46=-2,1+regle!$B$35,1),
IF(V46=regle!$C$11,regle!$C$23,
IF(V46=regle!$D$11,regle!$D$23,
IF(V46=regle!$E$11,regle!$E$23,
IF(V46=regle!$F$11,regle!$F$23,
IF(V46=regle!$G$11,regle!$G$23,
IF(V46=regle!$H$11,regle!$H$23,
IF(V46=regle!$I$11,regle!$I$23,
IF(V46=regle!$J$11,regle!$J$23,
IF(V46=regle!$K$11,regle!$K$23,0))))))))))))</f>
        <v>0</v>
      </c>
      <c r="AG46" s="17">
        <f>IF($A46,$J46*(IF(W46=regle!$B$11,regle!$B$23*IF(AP46=-2,1+regle!$B$35,1),
IF(W46=regle!$C$11,regle!$C$23,
IF(W46=regle!$D$11,regle!$D$23,
IF(W46=regle!$E$11,regle!$E$23,
IF(W46=regle!$F$11,regle!$F$23,
IF(W46=regle!$G$11,regle!$G$23,
IF(W46=regle!$H$11,regle!$H$23,
IF(W46=regle!$I$11,regle!$I$23,
IF(W46=regle!$J$11,regle!$J$23,
IF(W46=regle!$K$11,regle!$K$23,0))))))))))))</f>
        <v>0</v>
      </c>
      <c r="AH46" s="17">
        <f>IF($A46,$J46*(IF(X46=regle!$B$11,regle!$B$23*IF(AQ46=-2,1+regle!$B$35,1),
IF(X46=regle!$C$11,regle!$C$23,
IF(X46=regle!$D$11,regle!$D$23,
IF(X46=regle!$E$11,regle!$E$23,
IF(X46=regle!$F$11,regle!$F$23,
IF(X46=regle!$G$11,regle!$G$23,
IF(X46=regle!$H$11,regle!$H$23,
IF(X46=regle!$I$11,regle!$I$23,
IF(X46=regle!$J$11,regle!$J$23,
IF(X46=regle!$K$11,regle!$K$23,0))))))))))))</f>
        <v>0</v>
      </c>
      <c r="AI46" s="17">
        <f>IF($A46,$J46*(IF(Y46=regle!$B$11,regle!$B$23*IF(AR46=-2,1+regle!$B$35,1),
IF(Y46=regle!$C$11,regle!$C$23,
IF(Y46=regle!$D$11,regle!$D$23,
IF(Y46=regle!$E$11,regle!$E$23,
IF(Y46=regle!$F$11,regle!$F$23,
IF(Y46=regle!$G$11,regle!$G$23,
IF(Y46=regle!$H$11,regle!$H$23,
IF(Y46=regle!$I$11,regle!$I$23,
IF(Y46=regle!$J$11,regle!$J$23,
IF(Y46=regle!$K$11,regle!$K$23,0))))))))))))</f>
        <v>0</v>
      </c>
      <c r="AJ46" s="17">
        <f>IF($A46,$J46*(IF(Z46=regle!$B$11,regle!$B$23*IF(AS46=-2,1+regle!$B$35,1),
IF(Z46=regle!$C$11,regle!$C$23,
IF(Z46=regle!$D$11,regle!$D$23,
IF(Z46=regle!$E$11,regle!$E$23,
IF(Z46=regle!$F$11,regle!$F$23,
IF(Z46=regle!$G$11,regle!$G$23,
IF(Z46=regle!$H$11,regle!$H$23,
IF(Z46=regle!$I$11,regle!$I$23,
IF(Z46=regle!$J$11,regle!$J$23,
IF(Z46=regle!$K$11,regle!$K$23,0))))))))))))</f>
        <v>0</v>
      </c>
      <c r="AK46" s="16">
        <f>IF(OR(Q46=regle!$J$11,Q46=regle!$K$11),-2,IF(Q46=regle!$B$11,0,IF(AK$1=$AK$1,IF($O46,-1,regle!$B$2-$M46),IF(AJ46=-1,-1,AJ46+1))))</f>
        <v>0</v>
      </c>
      <c r="AL46" s="16">
        <f>IF(OR(R46=regle!$J$11,R46=regle!$K$11),-2,IF(R46=regle!$B$11,0,IF(AL$1=$AK$1,IF($O46,-1,regle!$B$2-$M46),IF(AK46=-1,-1,AK46+1))))</f>
        <v>1</v>
      </c>
      <c r="AM46" s="16">
        <f>IF(OR(S46=regle!$J$11,S46=regle!$K$11),-2,IF(S46=regle!$B$11,0,IF(AM$1=$AK$1,IF($O46,-1,regle!$B$2-$M46),IF(AL46=-1,-1,AL46+1))))</f>
        <v>2</v>
      </c>
      <c r="AN46" s="16">
        <f>IF(OR(T46=regle!$J$11,T46=regle!$K$11),-2,IF(T46=regle!$B$11,0,IF(AN$1=$AK$1,IF($O46,-1,regle!$B$2-$M46),IF(AM46=-1,-1,AM46+1))))</f>
        <v>3</v>
      </c>
      <c r="AO46" s="16">
        <f>IF(OR(U46=regle!$J$11,U46=regle!$K$11),-2,IF(U46=regle!$B$11,0,IF(AO$1=$AK$1,IF($O46,-1,regle!$B$2-$M46),IF(AN46=-1,-1,AN46+1))))</f>
        <v>4</v>
      </c>
      <c r="AP46" s="16">
        <f>IF(OR(V46=regle!$J$11,V46=regle!$K$11),-2,IF(V46=regle!$B$11,0,IF(AP$1=$AK$1,IF($O46,-1,regle!$B$2-$M46),IF(AO46=-1,-1,AO46+1))))</f>
        <v>5</v>
      </c>
      <c r="AQ46" s="16">
        <f>IF(OR(W46=regle!$J$11,W46=regle!$K$11),-2,IF(W46=regle!$B$11,0,IF(AQ$1=$AK$1,IF($O46,-1,regle!$B$2-$M46),IF(AP46=-1,-1,AP46+1))))</f>
        <v>6</v>
      </c>
      <c r="AR46" s="16">
        <f>IF(OR(X46=regle!$J$11,X46=regle!$K$11),-2,IF(X46=regle!$B$11,0,IF(AR$1=$AK$1,IF($O46,-1,regle!$B$2-$M46),IF(AQ46=-1,-1,AQ46+1))))</f>
        <v>7</v>
      </c>
      <c r="AS46" s="16">
        <f>IF(OR(Y46=regle!$J$11,Y46=regle!$K$11),-2,IF(Y46=regle!$B$11,0,IF(AS$1=$AK$1,IF($O46,-1,regle!$B$2-$M46),IF(AR46=-1,-1,AR46+1))))</f>
        <v>8</v>
      </c>
      <c r="AT46" s="16">
        <f>IF(OR(Z46=regle!$J$11,Z46=regle!$K$11),-2,IF(Z46=regle!$B$11,0,IF(AT$1=$AK$1,IF($O46,-1,regle!$B$2-$M46),IF(AS46=-1,-1,AS46+1))))</f>
        <v>9</v>
      </c>
    </row>
    <row r="47" spans="1:46" x14ac:dyDescent="0.25">
      <c r="A47" t="b">
        <f>modif1!A47</f>
        <v>1</v>
      </c>
      <c r="B47">
        <f>ROW(modif1!B47)</f>
        <v>47</v>
      </c>
      <c r="C47" t="str">
        <f>modif1!C50</f>
        <v>200</v>
      </c>
      <c r="D47" t="str">
        <f>modif1!D47</f>
        <v>MANO</v>
      </c>
      <c r="E47">
        <f>modif1!E47</f>
        <v>17</v>
      </c>
      <c r="F47" t="str">
        <f>modif1!F47</f>
        <v>LANDE DE TABARTON</v>
      </c>
      <c r="G47" t="str">
        <f>modif1!G47</f>
        <v>0B</v>
      </c>
      <c r="H47">
        <f>modif1!H47</f>
        <v>275</v>
      </c>
      <c r="I47" t="str">
        <f>modif1!I47</f>
        <v/>
      </c>
      <c r="J47" s="11">
        <f>modif1!J47</f>
        <v>1.0449999999999999</v>
      </c>
      <c r="K47" t="str">
        <f>modif1!K47</f>
        <v>CR</v>
      </c>
      <c r="L47" t="str">
        <f>modif1!L47</f>
        <v>PM</v>
      </c>
      <c r="M47">
        <f>modif1!M47</f>
        <v>2022</v>
      </c>
      <c r="N47" t="str">
        <f>modif1!N47</f>
        <v>CR-PM_2022</v>
      </c>
      <c r="O47" t="b">
        <f>modif1!O47</f>
        <v>1</v>
      </c>
      <c r="P47">
        <v>25</v>
      </c>
      <c r="Q47" t="s">
        <v>1868</v>
      </c>
      <c r="Z47"/>
      <c r="AA47" s="17">
        <f>IF($A47,$J47*(IF(Q47=regle!$B$11,regle!$B$23*IF(AJ47=-2,1+regle!$B$35,1),
IF(Q47=regle!$C$11,regle!$C$23,
IF(Q47=regle!$D$11,regle!$D$23,
IF(Q47=regle!$E$11,regle!$E$23,
IF(Q47=regle!$F$11,regle!$F$23,
IF(Q47=regle!$G$11,regle!$G$23,
IF(Q47=regle!$H$11,regle!$H$23,
IF(Q47=regle!$I$11,regle!$I$23,
IF(Q47=regle!$J$11,regle!$J$23,
IF(Q47=regle!$K$11,regle!$K$23,0))))))))))))</f>
        <v>-1776.4999999999998</v>
      </c>
      <c r="AB47" s="17">
        <f>IF($A47,$J47*(IF(R47=regle!$B$11,regle!$B$23*IF(AK47=-2,1+regle!$B$35,1),
IF(R47=regle!$C$11,regle!$C$23,
IF(R47=regle!$D$11,regle!$D$23,
IF(R47=regle!$E$11,regle!$E$23,
IF(R47=regle!$F$11,regle!$F$23,
IF(R47=regle!$G$11,regle!$G$23,
IF(R47=regle!$H$11,regle!$H$23,
IF(R47=regle!$I$11,regle!$I$23,
IF(R47=regle!$J$11,regle!$J$23,
IF(R47=regle!$K$11,regle!$K$23,0))))))))))))</f>
        <v>0</v>
      </c>
      <c r="AC47" s="17">
        <f>IF($A47,$J47*(IF(S47=regle!$B$11,regle!$B$23*IF(AL47=-2,1+regle!$B$35,1),
IF(S47=regle!$C$11,regle!$C$23,
IF(S47=regle!$D$11,regle!$D$23,
IF(S47=regle!$E$11,regle!$E$23,
IF(S47=regle!$F$11,regle!$F$23,
IF(S47=regle!$G$11,regle!$G$23,
IF(S47=regle!$H$11,regle!$H$23,
IF(S47=regle!$I$11,regle!$I$23,
IF(S47=regle!$J$11,regle!$J$23,
IF(S47=regle!$K$11,regle!$K$23,0))))))))))))</f>
        <v>0</v>
      </c>
      <c r="AD47" s="17">
        <f>IF($A47,$J47*(IF(T47=regle!$B$11,regle!$B$23*IF(AM47=-2,1+regle!$B$35,1),
IF(T47=regle!$C$11,regle!$C$23,
IF(T47=regle!$D$11,regle!$D$23,
IF(T47=regle!$E$11,regle!$E$23,
IF(T47=regle!$F$11,regle!$F$23,
IF(T47=regle!$G$11,regle!$G$23,
IF(T47=regle!$H$11,regle!$H$23,
IF(T47=regle!$I$11,regle!$I$23,
IF(T47=regle!$J$11,regle!$J$23,
IF(T47=regle!$K$11,regle!$K$23,0))))))))))))</f>
        <v>0</v>
      </c>
      <c r="AE47" s="17">
        <f>IF($A47,$J47*(IF(U47=regle!$B$11,regle!$B$23*IF(AN47=-2,1+regle!$B$35,1),
IF(U47=regle!$C$11,regle!$C$23,
IF(U47=regle!$D$11,regle!$D$23,
IF(U47=regle!$E$11,regle!$E$23,
IF(U47=regle!$F$11,regle!$F$23,
IF(U47=regle!$G$11,regle!$G$23,
IF(U47=regle!$H$11,regle!$H$23,
IF(U47=regle!$I$11,regle!$I$23,
IF(U47=regle!$J$11,regle!$J$23,
IF(U47=regle!$K$11,regle!$K$23,0))))))))))))</f>
        <v>0</v>
      </c>
      <c r="AF47" s="17">
        <f>IF($A47,$J47*(IF(V47=regle!$B$11,regle!$B$23*IF(AO47=-2,1+regle!$B$35,1),
IF(V47=regle!$C$11,regle!$C$23,
IF(V47=regle!$D$11,regle!$D$23,
IF(V47=regle!$E$11,regle!$E$23,
IF(V47=regle!$F$11,regle!$F$23,
IF(V47=regle!$G$11,regle!$G$23,
IF(V47=regle!$H$11,regle!$H$23,
IF(V47=regle!$I$11,regle!$I$23,
IF(V47=regle!$J$11,regle!$J$23,
IF(V47=regle!$K$11,regle!$K$23,0))))))))))))</f>
        <v>0</v>
      </c>
      <c r="AG47" s="17">
        <f>IF($A47,$J47*(IF(W47=regle!$B$11,regle!$B$23*IF(AP47=-2,1+regle!$B$35,1),
IF(W47=regle!$C$11,regle!$C$23,
IF(W47=regle!$D$11,regle!$D$23,
IF(W47=regle!$E$11,regle!$E$23,
IF(W47=regle!$F$11,regle!$F$23,
IF(W47=regle!$G$11,regle!$G$23,
IF(W47=regle!$H$11,regle!$H$23,
IF(W47=regle!$I$11,regle!$I$23,
IF(W47=regle!$J$11,regle!$J$23,
IF(W47=regle!$K$11,regle!$K$23,0))))))))))))</f>
        <v>0</v>
      </c>
      <c r="AH47" s="17">
        <f>IF($A47,$J47*(IF(X47=regle!$B$11,regle!$B$23*IF(AQ47=-2,1+regle!$B$35,1),
IF(X47=regle!$C$11,regle!$C$23,
IF(X47=regle!$D$11,regle!$D$23,
IF(X47=regle!$E$11,regle!$E$23,
IF(X47=regle!$F$11,regle!$F$23,
IF(X47=regle!$G$11,regle!$G$23,
IF(X47=regle!$H$11,regle!$H$23,
IF(X47=regle!$I$11,regle!$I$23,
IF(X47=regle!$J$11,regle!$J$23,
IF(X47=regle!$K$11,regle!$K$23,0))))))))))))</f>
        <v>0</v>
      </c>
      <c r="AI47" s="17">
        <f>IF($A47,$J47*(IF(Y47=regle!$B$11,regle!$B$23*IF(AR47=-2,1+regle!$B$35,1),
IF(Y47=regle!$C$11,regle!$C$23,
IF(Y47=regle!$D$11,regle!$D$23,
IF(Y47=regle!$E$11,regle!$E$23,
IF(Y47=regle!$F$11,regle!$F$23,
IF(Y47=regle!$G$11,regle!$G$23,
IF(Y47=regle!$H$11,regle!$H$23,
IF(Y47=regle!$I$11,regle!$I$23,
IF(Y47=regle!$J$11,regle!$J$23,
IF(Y47=regle!$K$11,regle!$K$23,0))))))))))))</f>
        <v>0</v>
      </c>
      <c r="AJ47" s="17">
        <f>IF($A47,$J47*(IF(Z47=regle!$B$11,regle!$B$23*IF(AS47=-2,1+regle!$B$35,1),
IF(Z47=regle!$C$11,regle!$C$23,
IF(Z47=regle!$D$11,regle!$D$23,
IF(Z47=regle!$E$11,regle!$E$23,
IF(Z47=regle!$F$11,regle!$F$23,
IF(Z47=regle!$G$11,regle!$G$23,
IF(Z47=regle!$H$11,regle!$H$23,
IF(Z47=regle!$I$11,regle!$I$23,
IF(Z47=regle!$J$11,regle!$J$23,
IF(Z47=regle!$K$11,regle!$K$23,0))))))))))))</f>
        <v>0</v>
      </c>
      <c r="AK47" s="16">
        <f>IF(OR(Q47=regle!$J$11,Q47=regle!$K$11),-2,IF(Q47=regle!$B$11,0,IF(AK$1=$AK$1,IF($O47,-1,regle!$B$2-$M47),IF(AJ47=-1,-1,AJ47+1))))</f>
        <v>0</v>
      </c>
      <c r="AL47" s="16">
        <f>IF(OR(R47=regle!$J$11,R47=regle!$K$11),-2,IF(R47=regle!$B$11,0,IF(AL$1=$AK$1,IF($O47,-1,regle!$B$2-$M47),IF(AK47=-1,-1,AK47+1))))</f>
        <v>1</v>
      </c>
      <c r="AM47" s="16">
        <f>IF(OR(S47=regle!$J$11,S47=regle!$K$11),-2,IF(S47=regle!$B$11,0,IF(AM$1=$AK$1,IF($O47,-1,regle!$B$2-$M47),IF(AL47=-1,-1,AL47+1))))</f>
        <v>2</v>
      </c>
      <c r="AN47" s="16">
        <f>IF(OR(T47=regle!$J$11,T47=regle!$K$11),-2,IF(T47=regle!$B$11,0,IF(AN$1=$AK$1,IF($O47,-1,regle!$B$2-$M47),IF(AM47=-1,-1,AM47+1))))</f>
        <v>3</v>
      </c>
      <c r="AO47" s="16">
        <f>IF(OR(U47=regle!$J$11,U47=regle!$K$11),-2,IF(U47=regle!$B$11,0,IF(AO$1=$AK$1,IF($O47,-1,regle!$B$2-$M47),IF(AN47=-1,-1,AN47+1))))</f>
        <v>4</v>
      </c>
      <c r="AP47" s="16">
        <f>IF(OR(V47=regle!$J$11,V47=regle!$K$11),-2,IF(V47=regle!$B$11,0,IF(AP$1=$AK$1,IF($O47,-1,regle!$B$2-$M47),IF(AO47=-1,-1,AO47+1))))</f>
        <v>5</v>
      </c>
      <c r="AQ47" s="16">
        <f>IF(OR(W47=regle!$J$11,W47=regle!$K$11),-2,IF(W47=regle!$B$11,0,IF(AQ$1=$AK$1,IF($O47,-1,regle!$B$2-$M47),IF(AP47=-1,-1,AP47+1))))</f>
        <v>6</v>
      </c>
      <c r="AR47" s="16">
        <f>IF(OR(X47=regle!$J$11,X47=regle!$K$11),-2,IF(X47=regle!$B$11,0,IF(AR$1=$AK$1,IF($O47,-1,regle!$B$2-$M47),IF(AQ47=-1,-1,AQ47+1))))</f>
        <v>7</v>
      </c>
      <c r="AS47" s="16">
        <f>IF(OR(Y47=regle!$J$11,Y47=regle!$K$11),-2,IF(Y47=regle!$B$11,0,IF(AS$1=$AK$1,IF($O47,-1,regle!$B$2-$M47),IF(AR47=-1,-1,AR47+1))))</f>
        <v>8</v>
      </c>
      <c r="AT47" s="16">
        <f>IF(OR(Z47=regle!$J$11,Z47=regle!$K$11),-2,IF(Z47=regle!$B$11,0,IF(AT$1=$AK$1,IF($O47,-1,regle!$B$2-$M47),IF(AS47=-1,-1,AS47+1))))</f>
        <v>9</v>
      </c>
    </row>
    <row r="48" spans="1:46" x14ac:dyDescent="0.25">
      <c r="A48" t="b">
        <f>modif1!A48</f>
        <v>1</v>
      </c>
      <c r="B48">
        <f>ROW(modif1!B48)</f>
        <v>48</v>
      </c>
      <c r="C48" t="str">
        <f>modif1!C51</f>
        <v>202</v>
      </c>
      <c r="D48" t="str">
        <f>modif1!D48</f>
        <v>MOUSTEY</v>
      </c>
      <c r="E48">
        <f>modif1!E48</f>
        <v>5</v>
      </c>
      <c r="F48" t="str">
        <f>modif1!F48</f>
        <v>Plata</v>
      </c>
      <c r="G48" t="str">
        <f>modif1!G48</f>
        <v>0M</v>
      </c>
      <c r="H48">
        <f>modif1!H48</f>
        <v>9</v>
      </c>
      <c r="I48" t="str">
        <f>modif1!I48</f>
        <v>a</v>
      </c>
      <c r="J48" s="11">
        <f>modif1!J48</f>
        <v>1.0283</v>
      </c>
      <c r="K48" t="str">
        <f>modif1!K48</f>
        <v>CR</v>
      </c>
      <c r="L48" t="str">
        <f>modif1!L48</f>
        <v>PM</v>
      </c>
      <c r="M48">
        <f>modif1!M48</f>
        <v>2022</v>
      </c>
      <c r="N48" t="str">
        <f>modif1!N48</f>
        <v>CR-PM_2022</v>
      </c>
      <c r="O48" t="b">
        <f>modif1!O48</f>
        <v>1</v>
      </c>
      <c r="P48">
        <v>25</v>
      </c>
      <c r="Q48" t="s">
        <v>1868</v>
      </c>
      <c r="Z48"/>
      <c r="AA48" s="17">
        <f>IF($A48,$J48*(IF(Q48=regle!$B$11,regle!$B$23*IF(AJ48=-2,1+regle!$B$35,1),
IF(Q48=regle!$C$11,regle!$C$23,
IF(Q48=regle!$D$11,regle!$D$23,
IF(Q48=regle!$E$11,regle!$E$23,
IF(Q48=regle!$F$11,regle!$F$23,
IF(Q48=regle!$G$11,regle!$G$23,
IF(Q48=regle!$H$11,regle!$H$23,
IF(Q48=regle!$I$11,regle!$I$23,
IF(Q48=regle!$J$11,regle!$J$23,
IF(Q48=regle!$K$11,regle!$K$23,0))))))))))))</f>
        <v>-1748.11</v>
      </c>
      <c r="AB48" s="17">
        <f>IF($A48,$J48*(IF(R48=regle!$B$11,regle!$B$23*IF(AK48=-2,1+regle!$B$35,1),
IF(R48=regle!$C$11,regle!$C$23,
IF(R48=regle!$D$11,regle!$D$23,
IF(R48=regle!$E$11,regle!$E$23,
IF(R48=regle!$F$11,regle!$F$23,
IF(R48=regle!$G$11,regle!$G$23,
IF(R48=regle!$H$11,regle!$H$23,
IF(R48=regle!$I$11,regle!$I$23,
IF(R48=regle!$J$11,regle!$J$23,
IF(R48=regle!$K$11,regle!$K$23,0))))))))))))</f>
        <v>0</v>
      </c>
      <c r="AC48" s="17">
        <f>IF($A48,$J48*(IF(S48=regle!$B$11,regle!$B$23*IF(AL48=-2,1+regle!$B$35,1),
IF(S48=regle!$C$11,regle!$C$23,
IF(S48=regle!$D$11,regle!$D$23,
IF(S48=regle!$E$11,regle!$E$23,
IF(S48=regle!$F$11,regle!$F$23,
IF(S48=regle!$G$11,regle!$G$23,
IF(S48=regle!$H$11,regle!$H$23,
IF(S48=regle!$I$11,regle!$I$23,
IF(S48=regle!$J$11,regle!$J$23,
IF(S48=regle!$K$11,regle!$K$23,0))))))))))))</f>
        <v>0</v>
      </c>
      <c r="AD48" s="17">
        <f>IF($A48,$J48*(IF(T48=regle!$B$11,regle!$B$23*IF(AM48=-2,1+regle!$B$35,1),
IF(T48=regle!$C$11,regle!$C$23,
IF(T48=regle!$D$11,regle!$D$23,
IF(T48=regle!$E$11,regle!$E$23,
IF(T48=regle!$F$11,regle!$F$23,
IF(T48=regle!$G$11,regle!$G$23,
IF(T48=regle!$H$11,regle!$H$23,
IF(T48=regle!$I$11,regle!$I$23,
IF(T48=regle!$J$11,regle!$J$23,
IF(T48=regle!$K$11,regle!$K$23,0))))))))))))</f>
        <v>0</v>
      </c>
      <c r="AE48" s="17">
        <f>IF($A48,$J48*(IF(U48=regle!$B$11,regle!$B$23*IF(AN48=-2,1+regle!$B$35,1),
IF(U48=regle!$C$11,regle!$C$23,
IF(U48=regle!$D$11,regle!$D$23,
IF(U48=regle!$E$11,regle!$E$23,
IF(U48=regle!$F$11,regle!$F$23,
IF(U48=regle!$G$11,regle!$G$23,
IF(U48=regle!$H$11,regle!$H$23,
IF(U48=regle!$I$11,regle!$I$23,
IF(U48=regle!$J$11,regle!$J$23,
IF(U48=regle!$K$11,regle!$K$23,0))))))))))))</f>
        <v>0</v>
      </c>
      <c r="AF48" s="17">
        <f>IF($A48,$J48*(IF(V48=regle!$B$11,regle!$B$23*IF(AO48=-2,1+regle!$B$35,1),
IF(V48=regle!$C$11,regle!$C$23,
IF(V48=regle!$D$11,regle!$D$23,
IF(V48=regle!$E$11,regle!$E$23,
IF(V48=regle!$F$11,regle!$F$23,
IF(V48=regle!$G$11,regle!$G$23,
IF(V48=regle!$H$11,regle!$H$23,
IF(V48=regle!$I$11,regle!$I$23,
IF(V48=regle!$J$11,regle!$J$23,
IF(V48=regle!$K$11,regle!$K$23,0))))))))))))</f>
        <v>0</v>
      </c>
      <c r="AG48" s="17">
        <f>IF($A48,$J48*(IF(W48=regle!$B$11,regle!$B$23*IF(AP48=-2,1+regle!$B$35,1),
IF(W48=regle!$C$11,regle!$C$23,
IF(W48=regle!$D$11,regle!$D$23,
IF(W48=regle!$E$11,regle!$E$23,
IF(W48=regle!$F$11,regle!$F$23,
IF(W48=regle!$G$11,regle!$G$23,
IF(W48=regle!$H$11,regle!$H$23,
IF(W48=regle!$I$11,regle!$I$23,
IF(W48=regle!$J$11,regle!$J$23,
IF(W48=regle!$K$11,regle!$K$23,0))))))))))))</f>
        <v>0</v>
      </c>
      <c r="AH48" s="17">
        <f>IF($A48,$J48*(IF(X48=regle!$B$11,regle!$B$23*IF(AQ48=-2,1+regle!$B$35,1),
IF(X48=regle!$C$11,regle!$C$23,
IF(X48=regle!$D$11,regle!$D$23,
IF(X48=regle!$E$11,regle!$E$23,
IF(X48=regle!$F$11,regle!$F$23,
IF(X48=regle!$G$11,regle!$G$23,
IF(X48=regle!$H$11,regle!$H$23,
IF(X48=regle!$I$11,regle!$I$23,
IF(X48=regle!$J$11,regle!$J$23,
IF(X48=regle!$K$11,regle!$K$23,0))))))))))))</f>
        <v>0</v>
      </c>
      <c r="AI48" s="17">
        <f>IF($A48,$J48*(IF(Y48=regle!$B$11,regle!$B$23*IF(AR48=-2,1+regle!$B$35,1),
IF(Y48=regle!$C$11,regle!$C$23,
IF(Y48=regle!$D$11,regle!$D$23,
IF(Y48=regle!$E$11,regle!$E$23,
IF(Y48=regle!$F$11,regle!$F$23,
IF(Y48=regle!$G$11,regle!$G$23,
IF(Y48=regle!$H$11,regle!$H$23,
IF(Y48=regle!$I$11,regle!$I$23,
IF(Y48=regle!$J$11,regle!$J$23,
IF(Y48=regle!$K$11,regle!$K$23,0))))))))))))</f>
        <v>0</v>
      </c>
      <c r="AJ48" s="17">
        <f>IF($A48,$J48*(IF(Z48=regle!$B$11,regle!$B$23*IF(AS48=-2,1+regle!$B$35,1),
IF(Z48=regle!$C$11,regle!$C$23,
IF(Z48=regle!$D$11,regle!$D$23,
IF(Z48=regle!$E$11,regle!$E$23,
IF(Z48=regle!$F$11,regle!$F$23,
IF(Z48=regle!$G$11,regle!$G$23,
IF(Z48=regle!$H$11,regle!$H$23,
IF(Z48=regle!$I$11,regle!$I$23,
IF(Z48=regle!$J$11,regle!$J$23,
IF(Z48=regle!$K$11,regle!$K$23,0))))))))))))</f>
        <v>0</v>
      </c>
      <c r="AK48" s="16">
        <f>IF(OR(Q48=regle!$J$11,Q48=regle!$K$11),-2,IF(Q48=regle!$B$11,0,IF(AK$1=$AK$1,IF($O48,-1,regle!$B$2-$M48),IF(AJ48=-1,-1,AJ48+1))))</f>
        <v>0</v>
      </c>
      <c r="AL48" s="16">
        <f>IF(OR(R48=regle!$J$11,R48=regle!$K$11),-2,IF(R48=regle!$B$11,0,IF(AL$1=$AK$1,IF($O48,-1,regle!$B$2-$M48),IF(AK48=-1,-1,AK48+1))))</f>
        <v>1</v>
      </c>
      <c r="AM48" s="16">
        <f>IF(OR(S48=regle!$J$11,S48=regle!$K$11),-2,IF(S48=regle!$B$11,0,IF(AM$1=$AK$1,IF($O48,-1,regle!$B$2-$M48),IF(AL48=-1,-1,AL48+1))))</f>
        <v>2</v>
      </c>
      <c r="AN48" s="16">
        <f>IF(OR(T48=regle!$J$11,T48=regle!$K$11),-2,IF(T48=regle!$B$11,0,IF(AN$1=$AK$1,IF($O48,-1,regle!$B$2-$M48),IF(AM48=-1,-1,AM48+1))))</f>
        <v>3</v>
      </c>
      <c r="AO48" s="16">
        <f>IF(OR(U48=regle!$J$11,U48=regle!$K$11),-2,IF(U48=regle!$B$11,0,IF(AO$1=$AK$1,IF($O48,-1,regle!$B$2-$M48),IF(AN48=-1,-1,AN48+1))))</f>
        <v>4</v>
      </c>
      <c r="AP48" s="16">
        <f>IF(OR(V48=regle!$J$11,V48=regle!$K$11),-2,IF(V48=regle!$B$11,0,IF(AP$1=$AK$1,IF($O48,-1,regle!$B$2-$M48),IF(AO48=-1,-1,AO48+1))))</f>
        <v>5</v>
      </c>
      <c r="AQ48" s="16">
        <f>IF(OR(W48=regle!$J$11,W48=regle!$K$11),-2,IF(W48=regle!$B$11,0,IF(AQ$1=$AK$1,IF($O48,-1,regle!$B$2-$M48),IF(AP48=-1,-1,AP48+1))))</f>
        <v>6</v>
      </c>
      <c r="AR48" s="16">
        <f>IF(OR(X48=regle!$J$11,X48=regle!$K$11),-2,IF(X48=regle!$B$11,0,IF(AR$1=$AK$1,IF($O48,-1,regle!$B$2-$M48),IF(AQ48=-1,-1,AQ48+1))))</f>
        <v>7</v>
      </c>
      <c r="AS48" s="16">
        <f>IF(OR(Y48=regle!$J$11,Y48=regle!$K$11),-2,IF(Y48=regle!$B$11,0,IF(AS$1=$AK$1,IF($O48,-1,regle!$B$2-$M48),IF(AR48=-1,-1,AR48+1))))</f>
        <v>8</v>
      </c>
      <c r="AT48" s="16">
        <f>IF(OR(Z48=regle!$J$11,Z48=regle!$K$11),-2,IF(Z48=regle!$B$11,0,IF(AT$1=$AK$1,IF($O48,-1,regle!$B$2-$M48),IF(AS48=-1,-1,AS48+1))))</f>
        <v>9</v>
      </c>
    </row>
    <row r="49" spans="1:46" x14ac:dyDescent="0.25">
      <c r="A49" t="b">
        <f>modif1!A49</f>
        <v>1</v>
      </c>
      <c r="B49">
        <f>ROW(modif1!B49)</f>
        <v>49</v>
      </c>
      <c r="C49" t="str">
        <f>modif1!C52</f>
        <v>171</v>
      </c>
      <c r="D49" t="str">
        <f>modif1!D49</f>
        <v>HOSTENS</v>
      </c>
      <c r="E49">
        <f>modif1!E49</f>
        <v>11</v>
      </c>
      <c r="F49" t="str">
        <f>modif1!F49</f>
        <v>L'ARGILEYRE</v>
      </c>
      <c r="G49" t="str">
        <f>modif1!G49</f>
        <v>0A</v>
      </c>
      <c r="H49">
        <f>modif1!H49</f>
        <v>1310</v>
      </c>
      <c r="I49" t="str">
        <f>modif1!I49</f>
        <v/>
      </c>
      <c r="J49" s="11">
        <f>modif1!J49</f>
        <v>1.028</v>
      </c>
      <c r="K49" t="str">
        <f>modif1!K49</f>
        <v>CR</v>
      </c>
      <c r="L49" t="str">
        <f>modif1!L49</f>
        <v>PM</v>
      </c>
      <c r="M49">
        <f>modif1!M49</f>
        <v>2022</v>
      </c>
      <c r="N49" t="str">
        <f>modif1!N49</f>
        <v>CR-PM_2022</v>
      </c>
      <c r="O49" t="b">
        <f>modif1!O49</f>
        <v>1</v>
      </c>
      <c r="P49">
        <v>25</v>
      </c>
      <c r="Q49" t="s">
        <v>1868</v>
      </c>
      <c r="Z49"/>
      <c r="AA49" s="17">
        <f>IF($A49,$J49*(IF(Q49=regle!$B$11,regle!$B$23*IF(AJ49=-2,1+regle!$B$35,1),
IF(Q49=regle!$C$11,regle!$C$23,
IF(Q49=regle!$D$11,regle!$D$23,
IF(Q49=regle!$E$11,regle!$E$23,
IF(Q49=regle!$F$11,regle!$F$23,
IF(Q49=regle!$G$11,regle!$G$23,
IF(Q49=regle!$H$11,regle!$H$23,
IF(Q49=regle!$I$11,regle!$I$23,
IF(Q49=regle!$J$11,regle!$J$23,
IF(Q49=regle!$K$11,regle!$K$23,0))))))))))))</f>
        <v>-1747.6000000000001</v>
      </c>
      <c r="AB49" s="17">
        <f>IF($A49,$J49*(IF(R49=regle!$B$11,regle!$B$23*IF(AK49=-2,1+regle!$B$35,1),
IF(R49=regle!$C$11,regle!$C$23,
IF(R49=regle!$D$11,regle!$D$23,
IF(R49=regle!$E$11,regle!$E$23,
IF(R49=regle!$F$11,regle!$F$23,
IF(R49=regle!$G$11,regle!$G$23,
IF(R49=regle!$H$11,regle!$H$23,
IF(R49=regle!$I$11,regle!$I$23,
IF(R49=regle!$J$11,regle!$J$23,
IF(R49=regle!$K$11,regle!$K$23,0))))))))))))</f>
        <v>0</v>
      </c>
      <c r="AC49" s="17">
        <f>IF($A49,$J49*(IF(S49=regle!$B$11,regle!$B$23*IF(AL49=-2,1+regle!$B$35,1),
IF(S49=regle!$C$11,regle!$C$23,
IF(S49=regle!$D$11,regle!$D$23,
IF(S49=regle!$E$11,regle!$E$23,
IF(S49=regle!$F$11,regle!$F$23,
IF(S49=regle!$G$11,regle!$G$23,
IF(S49=regle!$H$11,regle!$H$23,
IF(S49=regle!$I$11,regle!$I$23,
IF(S49=regle!$J$11,regle!$J$23,
IF(S49=regle!$K$11,regle!$K$23,0))))))))))))</f>
        <v>0</v>
      </c>
      <c r="AD49" s="17">
        <f>IF($A49,$J49*(IF(T49=regle!$B$11,regle!$B$23*IF(AM49=-2,1+regle!$B$35,1),
IF(T49=regle!$C$11,regle!$C$23,
IF(T49=regle!$D$11,regle!$D$23,
IF(T49=regle!$E$11,regle!$E$23,
IF(T49=regle!$F$11,regle!$F$23,
IF(T49=regle!$G$11,regle!$G$23,
IF(T49=regle!$H$11,regle!$H$23,
IF(T49=regle!$I$11,regle!$I$23,
IF(T49=regle!$J$11,regle!$J$23,
IF(T49=regle!$K$11,regle!$K$23,0))))))))))))</f>
        <v>0</v>
      </c>
      <c r="AE49" s="17">
        <f>IF($A49,$J49*(IF(U49=regle!$B$11,regle!$B$23*IF(AN49=-2,1+regle!$B$35,1),
IF(U49=regle!$C$11,regle!$C$23,
IF(U49=regle!$D$11,regle!$D$23,
IF(U49=regle!$E$11,regle!$E$23,
IF(U49=regle!$F$11,regle!$F$23,
IF(U49=regle!$G$11,regle!$G$23,
IF(U49=regle!$H$11,regle!$H$23,
IF(U49=regle!$I$11,regle!$I$23,
IF(U49=regle!$J$11,regle!$J$23,
IF(U49=regle!$K$11,regle!$K$23,0))))))))))))</f>
        <v>0</v>
      </c>
      <c r="AF49" s="17">
        <f>IF($A49,$J49*(IF(V49=regle!$B$11,regle!$B$23*IF(AO49=-2,1+regle!$B$35,1),
IF(V49=regle!$C$11,regle!$C$23,
IF(V49=regle!$D$11,regle!$D$23,
IF(V49=regle!$E$11,regle!$E$23,
IF(V49=regle!$F$11,regle!$F$23,
IF(V49=regle!$G$11,regle!$G$23,
IF(V49=regle!$H$11,regle!$H$23,
IF(V49=regle!$I$11,regle!$I$23,
IF(V49=regle!$J$11,regle!$J$23,
IF(V49=regle!$K$11,regle!$K$23,0))))))))))))</f>
        <v>0</v>
      </c>
      <c r="AG49" s="17">
        <f>IF($A49,$J49*(IF(W49=regle!$B$11,regle!$B$23*IF(AP49=-2,1+regle!$B$35,1),
IF(W49=regle!$C$11,regle!$C$23,
IF(W49=regle!$D$11,regle!$D$23,
IF(W49=regle!$E$11,regle!$E$23,
IF(W49=regle!$F$11,regle!$F$23,
IF(W49=regle!$G$11,regle!$G$23,
IF(W49=regle!$H$11,regle!$H$23,
IF(W49=regle!$I$11,regle!$I$23,
IF(W49=regle!$J$11,regle!$J$23,
IF(W49=regle!$K$11,regle!$K$23,0))))))))))))</f>
        <v>0</v>
      </c>
      <c r="AH49" s="17">
        <f>IF($A49,$J49*(IF(X49=regle!$B$11,regle!$B$23*IF(AQ49=-2,1+regle!$B$35,1),
IF(X49=regle!$C$11,regle!$C$23,
IF(X49=regle!$D$11,regle!$D$23,
IF(X49=regle!$E$11,regle!$E$23,
IF(X49=regle!$F$11,regle!$F$23,
IF(X49=regle!$G$11,regle!$G$23,
IF(X49=regle!$H$11,regle!$H$23,
IF(X49=regle!$I$11,regle!$I$23,
IF(X49=regle!$J$11,regle!$J$23,
IF(X49=regle!$K$11,regle!$K$23,0))))))))))))</f>
        <v>0</v>
      </c>
      <c r="AI49" s="17">
        <f>IF($A49,$J49*(IF(Y49=regle!$B$11,regle!$B$23*IF(AR49=-2,1+regle!$B$35,1),
IF(Y49=regle!$C$11,regle!$C$23,
IF(Y49=regle!$D$11,regle!$D$23,
IF(Y49=regle!$E$11,regle!$E$23,
IF(Y49=regle!$F$11,regle!$F$23,
IF(Y49=regle!$G$11,regle!$G$23,
IF(Y49=regle!$H$11,regle!$H$23,
IF(Y49=regle!$I$11,regle!$I$23,
IF(Y49=regle!$J$11,regle!$J$23,
IF(Y49=regle!$K$11,regle!$K$23,0))))))))))))</f>
        <v>0</v>
      </c>
      <c r="AJ49" s="17">
        <f>IF($A49,$J49*(IF(Z49=regle!$B$11,regle!$B$23*IF(AS49=-2,1+regle!$B$35,1),
IF(Z49=regle!$C$11,regle!$C$23,
IF(Z49=regle!$D$11,regle!$D$23,
IF(Z49=regle!$E$11,regle!$E$23,
IF(Z49=regle!$F$11,regle!$F$23,
IF(Z49=regle!$G$11,regle!$G$23,
IF(Z49=regle!$H$11,regle!$H$23,
IF(Z49=regle!$I$11,regle!$I$23,
IF(Z49=regle!$J$11,regle!$J$23,
IF(Z49=regle!$K$11,regle!$K$23,0))))))))))))</f>
        <v>0</v>
      </c>
      <c r="AK49" s="16">
        <f>IF(OR(Q49=regle!$J$11,Q49=regle!$K$11),-2,IF(Q49=regle!$B$11,0,IF(AK$1=$AK$1,IF($O49,-1,regle!$B$2-$M49),IF(AJ49=-1,-1,AJ49+1))))</f>
        <v>0</v>
      </c>
      <c r="AL49" s="16">
        <f>IF(OR(R49=regle!$J$11,R49=regle!$K$11),-2,IF(R49=regle!$B$11,0,IF(AL$1=$AK$1,IF($O49,-1,regle!$B$2-$M49),IF(AK49=-1,-1,AK49+1))))</f>
        <v>1</v>
      </c>
      <c r="AM49" s="16">
        <f>IF(OR(S49=regle!$J$11,S49=regle!$K$11),-2,IF(S49=regle!$B$11,0,IF(AM$1=$AK$1,IF($O49,-1,regle!$B$2-$M49),IF(AL49=-1,-1,AL49+1))))</f>
        <v>2</v>
      </c>
      <c r="AN49" s="16">
        <f>IF(OR(T49=regle!$J$11,T49=regle!$K$11),-2,IF(T49=regle!$B$11,0,IF(AN$1=$AK$1,IF($O49,-1,regle!$B$2-$M49),IF(AM49=-1,-1,AM49+1))))</f>
        <v>3</v>
      </c>
      <c r="AO49" s="16">
        <f>IF(OR(U49=regle!$J$11,U49=regle!$K$11),-2,IF(U49=regle!$B$11,0,IF(AO$1=$AK$1,IF($O49,-1,regle!$B$2-$M49),IF(AN49=-1,-1,AN49+1))))</f>
        <v>4</v>
      </c>
      <c r="AP49" s="16">
        <f>IF(OR(V49=regle!$J$11,V49=regle!$K$11),-2,IF(V49=regle!$B$11,0,IF(AP$1=$AK$1,IF($O49,-1,regle!$B$2-$M49),IF(AO49=-1,-1,AO49+1))))</f>
        <v>5</v>
      </c>
      <c r="AQ49" s="16">
        <f>IF(OR(W49=regle!$J$11,W49=regle!$K$11),-2,IF(W49=regle!$B$11,0,IF(AQ$1=$AK$1,IF($O49,-1,regle!$B$2-$M49),IF(AP49=-1,-1,AP49+1))))</f>
        <v>6</v>
      </c>
      <c r="AR49" s="16">
        <f>IF(OR(X49=regle!$J$11,X49=regle!$K$11),-2,IF(X49=regle!$B$11,0,IF(AR$1=$AK$1,IF($O49,-1,regle!$B$2-$M49),IF(AQ49=-1,-1,AQ49+1))))</f>
        <v>7</v>
      </c>
      <c r="AS49" s="16">
        <f>IF(OR(Y49=regle!$J$11,Y49=regle!$K$11),-2,IF(Y49=regle!$B$11,0,IF(AS$1=$AK$1,IF($O49,-1,regle!$B$2-$M49),IF(AR49=-1,-1,AR49+1))))</f>
        <v>8</v>
      </c>
      <c r="AT49" s="16">
        <f>IF(OR(Z49=regle!$J$11,Z49=regle!$K$11),-2,IF(Z49=regle!$B$11,0,IF(AT$1=$AK$1,IF($O49,-1,regle!$B$2-$M49),IF(AS49=-1,-1,AS49+1))))</f>
        <v>9</v>
      </c>
    </row>
    <row r="50" spans="1:46" x14ac:dyDescent="0.25">
      <c r="A50" t="b">
        <f>modif1!A50</f>
        <v>1</v>
      </c>
      <c r="B50">
        <f>ROW(modif1!B50)</f>
        <v>50</v>
      </c>
      <c r="C50" t="str">
        <f>modif1!C53</f>
        <v>171</v>
      </c>
      <c r="D50" t="str">
        <f>modif1!D50</f>
        <v>MOUSTEY</v>
      </c>
      <c r="E50">
        <f>modif1!E50</f>
        <v>5</v>
      </c>
      <c r="F50" t="str">
        <f>modif1!F50</f>
        <v>Plata</v>
      </c>
      <c r="G50" t="str">
        <f>modif1!G50</f>
        <v>0M</v>
      </c>
      <c r="H50">
        <f>modif1!H50</f>
        <v>11</v>
      </c>
      <c r="I50" t="str">
        <f>modif1!I50</f>
        <v>a</v>
      </c>
      <c r="J50" s="11">
        <f>modif1!J50</f>
        <v>0.94350000000000001</v>
      </c>
      <c r="K50" t="str">
        <f>modif1!K50</f>
        <v>CR</v>
      </c>
      <c r="L50" t="str">
        <f>modif1!L50</f>
        <v>PM</v>
      </c>
      <c r="M50">
        <f>modif1!M50</f>
        <v>2022</v>
      </c>
      <c r="N50" t="str">
        <f>modif1!N50</f>
        <v>CR-PM_2022</v>
      </c>
      <c r="O50" t="b">
        <f>modif1!O50</f>
        <v>1</v>
      </c>
      <c r="P50">
        <v>25</v>
      </c>
      <c r="Q50" t="s">
        <v>1868</v>
      </c>
      <c r="Z50"/>
      <c r="AA50" s="17">
        <f>IF($A50,$J50*(IF(Q50=regle!$B$11,regle!$B$23*IF(AJ50=-2,1+regle!$B$35,1),
IF(Q50=regle!$C$11,regle!$C$23,
IF(Q50=regle!$D$11,regle!$D$23,
IF(Q50=regle!$E$11,regle!$E$23,
IF(Q50=regle!$F$11,regle!$F$23,
IF(Q50=regle!$G$11,regle!$G$23,
IF(Q50=regle!$H$11,regle!$H$23,
IF(Q50=regle!$I$11,regle!$I$23,
IF(Q50=regle!$J$11,regle!$J$23,
IF(Q50=regle!$K$11,regle!$K$23,0))))))))))))</f>
        <v>-1603.95</v>
      </c>
      <c r="AB50" s="17">
        <f>IF($A50,$J50*(IF(R50=regle!$B$11,regle!$B$23*IF(AK50=-2,1+regle!$B$35,1),
IF(R50=regle!$C$11,regle!$C$23,
IF(R50=regle!$D$11,regle!$D$23,
IF(R50=regle!$E$11,regle!$E$23,
IF(R50=regle!$F$11,regle!$F$23,
IF(R50=regle!$G$11,regle!$G$23,
IF(R50=regle!$H$11,regle!$H$23,
IF(R50=regle!$I$11,regle!$I$23,
IF(R50=regle!$J$11,regle!$J$23,
IF(R50=regle!$K$11,regle!$K$23,0))))))))))))</f>
        <v>0</v>
      </c>
      <c r="AC50" s="17">
        <f>IF($A50,$J50*(IF(S50=regle!$B$11,regle!$B$23*IF(AL50=-2,1+regle!$B$35,1),
IF(S50=regle!$C$11,regle!$C$23,
IF(S50=regle!$D$11,regle!$D$23,
IF(S50=regle!$E$11,regle!$E$23,
IF(S50=regle!$F$11,regle!$F$23,
IF(S50=regle!$G$11,regle!$G$23,
IF(S50=regle!$H$11,regle!$H$23,
IF(S50=regle!$I$11,regle!$I$23,
IF(S50=regle!$J$11,regle!$J$23,
IF(S50=regle!$K$11,regle!$K$23,0))))))))))))</f>
        <v>0</v>
      </c>
      <c r="AD50" s="17">
        <f>IF($A50,$J50*(IF(T50=regle!$B$11,regle!$B$23*IF(AM50=-2,1+regle!$B$35,1),
IF(T50=regle!$C$11,regle!$C$23,
IF(T50=regle!$D$11,regle!$D$23,
IF(T50=regle!$E$11,regle!$E$23,
IF(T50=regle!$F$11,regle!$F$23,
IF(T50=regle!$G$11,regle!$G$23,
IF(T50=regle!$H$11,regle!$H$23,
IF(T50=regle!$I$11,regle!$I$23,
IF(T50=regle!$J$11,regle!$J$23,
IF(T50=regle!$K$11,regle!$K$23,0))))))))))))</f>
        <v>0</v>
      </c>
      <c r="AE50" s="17">
        <f>IF($A50,$J50*(IF(U50=regle!$B$11,regle!$B$23*IF(AN50=-2,1+regle!$B$35,1),
IF(U50=regle!$C$11,regle!$C$23,
IF(U50=regle!$D$11,regle!$D$23,
IF(U50=regle!$E$11,regle!$E$23,
IF(U50=regle!$F$11,regle!$F$23,
IF(U50=regle!$G$11,regle!$G$23,
IF(U50=regle!$H$11,regle!$H$23,
IF(U50=regle!$I$11,regle!$I$23,
IF(U50=regle!$J$11,regle!$J$23,
IF(U50=regle!$K$11,regle!$K$23,0))))))))))))</f>
        <v>0</v>
      </c>
      <c r="AF50" s="17">
        <f>IF($A50,$J50*(IF(V50=regle!$B$11,regle!$B$23*IF(AO50=-2,1+regle!$B$35,1),
IF(V50=regle!$C$11,regle!$C$23,
IF(V50=regle!$D$11,regle!$D$23,
IF(V50=regle!$E$11,regle!$E$23,
IF(V50=regle!$F$11,regle!$F$23,
IF(V50=regle!$G$11,regle!$G$23,
IF(V50=regle!$H$11,regle!$H$23,
IF(V50=regle!$I$11,regle!$I$23,
IF(V50=regle!$J$11,regle!$J$23,
IF(V50=regle!$K$11,regle!$K$23,0))))))))))))</f>
        <v>0</v>
      </c>
      <c r="AG50" s="17">
        <f>IF($A50,$J50*(IF(W50=regle!$B$11,regle!$B$23*IF(AP50=-2,1+regle!$B$35,1),
IF(W50=regle!$C$11,regle!$C$23,
IF(W50=regle!$D$11,regle!$D$23,
IF(W50=regle!$E$11,regle!$E$23,
IF(W50=regle!$F$11,regle!$F$23,
IF(W50=regle!$G$11,regle!$G$23,
IF(W50=regle!$H$11,regle!$H$23,
IF(W50=regle!$I$11,regle!$I$23,
IF(W50=regle!$J$11,regle!$J$23,
IF(W50=regle!$K$11,regle!$K$23,0))))))))))))</f>
        <v>0</v>
      </c>
      <c r="AH50" s="17">
        <f>IF($A50,$J50*(IF(X50=regle!$B$11,regle!$B$23*IF(AQ50=-2,1+regle!$B$35,1),
IF(X50=regle!$C$11,regle!$C$23,
IF(X50=regle!$D$11,regle!$D$23,
IF(X50=regle!$E$11,regle!$E$23,
IF(X50=regle!$F$11,regle!$F$23,
IF(X50=regle!$G$11,regle!$G$23,
IF(X50=regle!$H$11,regle!$H$23,
IF(X50=regle!$I$11,regle!$I$23,
IF(X50=regle!$J$11,regle!$J$23,
IF(X50=regle!$K$11,regle!$K$23,0))))))))))))</f>
        <v>0</v>
      </c>
      <c r="AI50" s="17">
        <f>IF($A50,$J50*(IF(Y50=regle!$B$11,regle!$B$23*IF(AR50=-2,1+regle!$B$35,1),
IF(Y50=regle!$C$11,regle!$C$23,
IF(Y50=regle!$D$11,regle!$D$23,
IF(Y50=regle!$E$11,regle!$E$23,
IF(Y50=regle!$F$11,regle!$F$23,
IF(Y50=regle!$G$11,regle!$G$23,
IF(Y50=regle!$H$11,regle!$H$23,
IF(Y50=regle!$I$11,regle!$I$23,
IF(Y50=regle!$J$11,regle!$J$23,
IF(Y50=regle!$K$11,regle!$K$23,0))))))))))))</f>
        <v>0</v>
      </c>
      <c r="AJ50" s="17">
        <f>IF($A50,$J50*(IF(Z50=regle!$B$11,regle!$B$23*IF(AS50=-2,1+regle!$B$35,1),
IF(Z50=regle!$C$11,regle!$C$23,
IF(Z50=regle!$D$11,regle!$D$23,
IF(Z50=regle!$E$11,regle!$E$23,
IF(Z50=regle!$F$11,regle!$F$23,
IF(Z50=regle!$G$11,regle!$G$23,
IF(Z50=regle!$H$11,regle!$H$23,
IF(Z50=regle!$I$11,regle!$I$23,
IF(Z50=regle!$J$11,regle!$J$23,
IF(Z50=regle!$K$11,regle!$K$23,0))))))))))))</f>
        <v>0</v>
      </c>
      <c r="AK50" s="16">
        <f>IF(OR(Q50=regle!$J$11,Q50=regle!$K$11),-2,IF(Q50=regle!$B$11,0,IF(AK$1=$AK$1,IF($O50,-1,regle!$B$2-$M50),IF(AJ50=-1,-1,AJ50+1))))</f>
        <v>0</v>
      </c>
      <c r="AL50" s="16">
        <f>IF(OR(R50=regle!$J$11,R50=regle!$K$11),-2,IF(R50=regle!$B$11,0,IF(AL$1=$AK$1,IF($O50,-1,regle!$B$2-$M50),IF(AK50=-1,-1,AK50+1))))</f>
        <v>1</v>
      </c>
      <c r="AM50" s="16">
        <f>IF(OR(S50=regle!$J$11,S50=regle!$K$11),-2,IF(S50=regle!$B$11,0,IF(AM$1=$AK$1,IF($O50,-1,regle!$B$2-$M50),IF(AL50=-1,-1,AL50+1))))</f>
        <v>2</v>
      </c>
      <c r="AN50" s="16">
        <f>IF(OR(T50=regle!$J$11,T50=regle!$K$11),-2,IF(T50=regle!$B$11,0,IF(AN$1=$AK$1,IF($O50,-1,regle!$B$2-$M50),IF(AM50=-1,-1,AM50+1))))</f>
        <v>3</v>
      </c>
      <c r="AO50" s="16">
        <f>IF(OR(U50=regle!$J$11,U50=regle!$K$11),-2,IF(U50=regle!$B$11,0,IF(AO$1=$AK$1,IF($O50,-1,regle!$B$2-$M50),IF(AN50=-1,-1,AN50+1))))</f>
        <v>4</v>
      </c>
      <c r="AP50" s="16">
        <f>IF(OR(V50=regle!$J$11,V50=regle!$K$11),-2,IF(V50=regle!$B$11,0,IF(AP$1=$AK$1,IF($O50,-1,regle!$B$2-$M50),IF(AO50=-1,-1,AO50+1))))</f>
        <v>5</v>
      </c>
      <c r="AQ50" s="16">
        <f>IF(OR(W50=regle!$J$11,W50=regle!$K$11),-2,IF(W50=regle!$B$11,0,IF(AQ$1=$AK$1,IF($O50,-1,regle!$B$2-$M50),IF(AP50=-1,-1,AP50+1))))</f>
        <v>6</v>
      </c>
      <c r="AR50" s="16">
        <f>IF(OR(X50=regle!$J$11,X50=regle!$K$11),-2,IF(X50=regle!$B$11,0,IF(AR$1=$AK$1,IF($O50,-1,regle!$B$2-$M50),IF(AQ50=-1,-1,AQ50+1))))</f>
        <v>7</v>
      </c>
      <c r="AS50" s="16">
        <f>IF(OR(Y50=regle!$J$11,Y50=regle!$K$11),-2,IF(Y50=regle!$B$11,0,IF(AS$1=$AK$1,IF($O50,-1,regle!$B$2-$M50),IF(AR50=-1,-1,AR50+1))))</f>
        <v>8</v>
      </c>
      <c r="AT50" s="16">
        <f>IF(OR(Z50=regle!$J$11,Z50=regle!$K$11),-2,IF(Z50=regle!$B$11,0,IF(AT$1=$AK$1,IF($O50,-1,regle!$B$2-$M50),IF(AS50=-1,-1,AS50+1))))</f>
        <v>9</v>
      </c>
    </row>
    <row r="51" spans="1:46" x14ac:dyDescent="0.25">
      <c r="A51" t="b">
        <f>modif1!A51</f>
        <v>1</v>
      </c>
      <c r="B51">
        <f>ROW(modif1!B51)</f>
        <v>51</v>
      </c>
      <c r="C51" t="str">
        <f>modif1!C54</f>
        <v>200</v>
      </c>
      <c r="D51" t="str">
        <f>modif1!D51</f>
        <v>HOSTENS</v>
      </c>
      <c r="E51">
        <f>modif1!E51</f>
        <v>11</v>
      </c>
      <c r="F51" t="str">
        <f>modif1!F51</f>
        <v>L'ARGILEYRE</v>
      </c>
      <c r="G51" t="str">
        <f>modif1!G51</f>
        <v>0A</v>
      </c>
      <c r="H51">
        <f>modif1!H51</f>
        <v>1312</v>
      </c>
      <c r="I51" t="str">
        <f>modif1!I51</f>
        <v>k</v>
      </c>
      <c r="J51" s="11">
        <f>modif1!J51</f>
        <v>0.86199999999999999</v>
      </c>
      <c r="K51" t="str">
        <f>modif1!K51</f>
        <v>CR</v>
      </c>
      <c r="L51" t="str">
        <f>modif1!L51</f>
        <v>PM</v>
      </c>
      <c r="M51">
        <f>modif1!M51</f>
        <v>2022</v>
      </c>
      <c r="N51" t="str">
        <f>modif1!N51</f>
        <v>CR-PM_2022</v>
      </c>
      <c r="O51" t="b">
        <f>modif1!O51</f>
        <v>1</v>
      </c>
      <c r="P51">
        <v>25</v>
      </c>
      <c r="Q51" t="s">
        <v>1868</v>
      </c>
      <c r="Z51"/>
      <c r="AA51" s="17">
        <f>IF($A51,$J51*(IF(Q51=regle!$B$11,regle!$B$23*IF(AJ51=-2,1+regle!$B$35,1),
IF(Q51=regle!$C$11,regle!$C$23,
IF(Q51=regle!$D$11,regle!$D$23,
IF(Q51=regle!$E$11,regle!$E$23,
IF(Q51=regle!$F$11,regle!$F$23,
IF(Q51=regle!$G$11,regle!$G$23,
IF(Q51=regle!$H$11,regle!$H$23,
IF(Q51=regle!$I$11,regle!$I$23,
IF(Q51=regle!$J$11,regle!$J$23,
IF(Q51=regle!$K$11,regle!$K$23,0))))))))))))</f>
        <v>-1465.4</v>
      </c>
      <c r="AB51" s="17">
        <f>IF($A51,$J51*(IF(R51=regle!$B$11,regle!$B$23*IF(AK51=-2,1+regle!$B$35,1),
IF(R51=regle!$C$11,regle!$C$23,
IF(R51=regle!$D$11,regle!$D$23,
IF(R51=regle!$E$11,regle!$E$23,
IF(R51=regle!$F$11,regle!$F$23,
IF(R51=regle!$G$11,regle!$G$23,
IF(R51=regle!$H$11,regle!$H$23,
IF(R51=regle!$I$11,regle!$I$23,
IF(R51=regle!$J$11,regle!$J$23,
IF(R51=regle!$K$11,regle!$K$23,0))))))))))))</f>
        <v>0</v>
      </c>
      <c r="AC51" s="17">
        <f>IF($A51,$J51*(IF(S51=regle!$B$11,regle!$B$23*IF(AL51=-2,1+regle!$B$35,1),
IF(S51=regle!$C$11,regle!$C$23,
IF(S51=regle!$D$11,regle!$D$23,
IF(S51=regle!$E$11,regle!$E$23,
IF(S51=regle!$F$11,regle!$F$23,
IF(S51=regle!$G$11,regle!$G$23,
IF(S51=regle!$H$11,regle!$H$23,
IF(S51=regle!$I$11,regle!$I$23,
IF(S51=regle!$J$11,regle!$J$23,
IF(S51=regle!$K$11,regle!$K$23,0))))))))))))</f>
        <v>0</v>
      </c>
      <c r="AD51" s="17">
        <f>IF($A51,$J51*(IF(T51=regle!$B$11,regle!$B$23*IF(AM51=-2,1+regle!$B$35,1),
IF(T51=regle!$C$11,regle!$C$23,
IF(T51=regle!$D$11,regle!$D$23,
IF(T51=regle!$E$11,regle!$E$23,
IF(T51=regle!$F$11,regle!$F$23,
IF(T51=regle!$G$11,regle!$G$23,
IF(T51=regle!$H$11,regle!$H$23,
IF(T51=regle!$I$11,regle!$I$23,
IF(T51=regle!$J$11,regle!$J$23,
IF(T51=regle!$K$11,regle!$K$23,0))))))))))))</f>
        <v>0</v>
      </c>
      <c r="AE51" s="17">
        <f>IF($A51,$J51*(IF(U51=regle!$B$11,regle!$B$23*IF(AN51=-2,1+regle!$B$35,1),
IF(U51=regle!$C$11,regle!$C$23,
IF(U51=regle!$D$11,regle!$D$23,
IF(U51=regle!$E$11,regle!$E$23,
IF(U51=regle!$F$11,regle!$F$23,
IF(U51=regle!$G$11,regle!$G$23,
IF(U51=regle!$H$11,regle!$H$23,
IF(U51=regle!$I$11,regle!$I$23,
IF(U51=regle!$J$11,regle!$J$23,
IF(U51=regle!$K$11,regle!$K$23,0))))))))))))</f>
        <v>0</v>
      </c>
      <c r="AF51" s="17">
        <f>IF($A51,$J51*(IF(V51=regle!$B$11,regle!$B$23*IF(AO51=-2,1+regle!$B$35,1),
IF(V51=regle!$C$11,regle!$C$23,
IF(V51=regle!$D$11,regle!$D$23,
IF(V51=regle!$E$11,regle!$E$23,
IF(V51=regle!$F$11,regle!$F$23,
IF(V51=regle!$G$11,regle!$G$23,
IF(V51=regle!$H$11,regle!$H$23,
IF(V51=regle!$I$11,regle!$I$23,
IF(V51=regle!$J$11,regle!$J$23,
IF(V51=regle!$K$11,regle!$K$23,0))))))))))))</f>
        <v>0</v>
      </c>
      <c r="AG51" s="17">
        <f>IF($A51,$J51*(IF(W51=regle!$B$11,regle!$B$23*IF(AP51=-2,1+regle!$B$35,1),
IF(W51=regle!$C$11,regle!$C$23,
IF(W51=regle!$D$11,regle!$D$23,
IF(W51=regle!$E$11,regle!$E$23,
IF(W51=regle!$F$11,regle!$F$23,
IF(W51=regle!$G$11,regle!$G$23,
IF(W51=regle!$H$11,regle!$H$23,
IF(W51=regle!$I$11,regle!$I$23,
IF(W51=regle!$J$11,regle!$J$23,
IF(W51=regle!$K$11,regle!$K$23,0))))))))))))</f>
        <v>0</v>
      </c>
      <c r="AH51" s="17">
        <f>IF($A51,$J51*(IF(X51=regle!$B$11,regle!$B$23*IF(AQ51=-2,1+regle!$B$35,1),
IF(X51=regle!$C$11,regle!$C$23,
IF(X51=regle!$D$11,regle!$D$23,
IF(X51=regle!$E$11,regle!$E$23,
IF(X51=regle!$F$11,regle!$F$23,
IF(X51=regle!$G$11,regle!$G$23,
IF(X51=regle!$H$11,regle!$H$23,
IF(X51=regle!$I$11,regle!$I$23,
IF(X51=regle!$J$11,regle!$J$23,
IF(X51=regle!$K$11,regle!$K$23,0))))))))))))</f>
        <v>0</v>
      </c>
      <c r="AI51" s="17">
        <f>IF($A51,$J51*(IF(Y51=regle!$B$11,regle!$B$23*IF(AR51=-2,1+regle!$B$35,1),
IF(Y51=regle!$C$11,regle!$C$23,
IF(Y51=regle!$D$11,regle!$D$23,
IF(Y51=regle!$E$11,regle!$E$23,
IF(Y51=regle!$F$11,regle!$F$23,
IF(Y51=regle!$G$11,regle!$G$23,
IF(Y51=regle!$H$11,regle!$H$23,
IF(Y51=regle!$I$11,regle!$I$23,
IF(Y51=regle!$J$11,regle!$J$23,
IF(Y51=regle!$K$11,regle!$K$23,0))))))))))))</f>
        <v>0</v>
      </c>
      <c r="AJ51" s="17">
        <f>IF($A51,$J51*(IF(Z51=regle!$B$11,regle!$B$23*IF(AS51=-2,1+regle!$B$35,1),
IF(Z51=regle!$C$11,regle!$C$23,
IF(Z51=regle!$D$11,regle!$D$23,
IF(Z51=regle!$E$11,regle!$E$23,
IF(Z51=regle!$F$11,regle!$F$23,
IF(Z51=regle!$G$11,regle!$G$23,
IF(Z51=regle!$H$11,regle!$H$23,
IF(Z51=regle!$I$11,regle!$I$23,
IF(Z51=regle!$J$11,regle!$J$23,
IF(Z51=regle!$K$11,regle!$K$23,0))))))))))))</f>
        <v>0</v>
      </c>
      <c r="AK51" s="16">
        <f>IF(OR(Q51=regle!$J$11,Q51=regle!$K$11),-2,IF(Q51=regle!$B$11,0,IF(AK$1=$AK$1,IF($O51,-1,regle!$B$2-$M51),IF(AJ51=-1,-1,AJ51+1))))</f>
        <v>0</v>
      </c>
      <c r="AL51" s="16">
        <f>IF(OR(R51=regle!$J$11,R51=regle!$K$11),-2,IF(R51=regle!$B$11,0,IF(AL$1=$AK$1,IF($O51,-1,regle!$B$2-$M51),IF(AK51=-1,-1,AK51+1))))</f>
        <v>1</v>
      </c>
      <c r="AM51" s="16">
        <f>IF(OR(S51=regle!$J$11,S51=regle!$K$11),-2,IF(S51=regle!$B$11,0,IF(AM$1=$AK$1,IF($O51,-1,regle!$B$2-$M51),IF(AL51=-1,-1,AL51+1))))</f>
        <v>2</v>
      </c>
      <c r="AN51" s="16">
        <f>IF(OR(T51=regle!$J$11,T51=regle!$K$11),-2,IF(T51=regle!$B$11,0,IF(AN$1=$AK$1,IF($O51,-1,regle!$B$2-$M51),IF(AM51=-1,-1,AM51+1))))</f>
        <v>3</v>
      </c>
      <c r="AO51" s="16">
        <f>IF(OR(U51=regle!$J$11,U51=regle!$K$11),-2,IF(U51=regle!$B$11,0,IF(AO$1=$AK$1,IF($O51,-1,regle!$B$2-$M51),IF(AN51=-1,-1,AN51+1))))</f>
        <v>4</v>
      </c>
      <c r="AP51" s="16">
        <f>IF(OR(V51=regle!$J$11,V51=regle!$K$11),-2,IF(V51=regle!$B$11,0,IF(AP$1=$AK$1,IF($O51,-1,regle!$B$2-$M51),IF(AO51=-1,-1,AO51+1))))</f>
        <v>5</v>
      </c>
      <c r="AQ51" s="16">
        <f>IF(OR(W51=regle!$J$11,W51=regle!$K$11),-2,IF(W51=regle!$B$11,0,IF(AQ$1=$AK$1,IF($O51,-1,regle!$B$2-$M51),IF(AP51=-1,-1,AP51+1))))</f>
        <v>6</v>
      </c>
      <c r="AR51" s="16">
        <f>IF(OR(X51=regle!$J$11,X51=regle!$K$11),-2,IF(X51=regle!$B$11,0,IF(AR$1=$AK$1,IF($O51,-1,regle!$B$2-$M51),IF(AQ51=-1,-1,AQ51+1))))</f>
        <v>7</v>
      </c>
      <c r="AS51" s="16">
        <f>IF(OR(Y51=regle!$J$11,Y51=regle!$K$11),-2,IF(Y51=regle!$B$11,0,IF(AS$1=$AK$1,IF($O51,-1,regle!$B$2-$M51),IF(AR51=-1,-1,AR51+1))))</f>
        <v>8</v>
      </c>
      <c r="AT51" s="16">
        <f>IF(OR(Z51=regle!$J$11,Z51=regle!$K$11),-2,IF(Z51=regle!$B$11,0,IF(AT$1=$AK$1,IF($O51,-1,regle!$B$2-$M51),IF(AS51=-1,-1,AS51+1))))</f>
        <v>9</v>
      </c>
    </row>
    <row r="52" spans="1:46" x14ac:dyDescent="0.25">
      <c r="A52" t="b">
        <f>modif1!A52</f>
        <v>1</v>
      </c>
      <c r="B52">
        <f>ROW(modif1!B52)</f>
        <v>52</v>
      </c>
      <c r="C52" t="str">
        <f>modif1!C55</f>
        <v>171</v>
      </c>
      <c r="D52" t="str">
        <f>modif1!D52</f>
        <v>MANO</v>
      </c>
      <c r="E52">
        <f>modif1!E52</f>
        <v>17</v>
      </c>
      <c r="F52" t="str">
        <f>modif1!F52</f>
        <v>LANDE DE TABARTON</v>
      </c>
      <c r="G52" t="str">
        <f>modif1!G52</f>
        <v>0B</v>
      </c>
      <c r="H52">
        <f>modif1!H52</f>
        <v>303</v>
      </c>
      <c r="I52" t="str">
        <f>modif1!I52</f>
        <v>j</v>
      </c>
      <c r="J52" s="11">
        <f>modif1!J52</f>
        <v>0.84970000000000001</v>
      </c>
      <c r="K52" t="str">
        <f>modif1!K52</f>
        <v>CR</v>
      </c>
      <c r="L52" t="str">
        <f>modif1!L52</f>
        <v>PM</v>
      </c>
      <c r="M52">
        <f>modif1!M52</f>
        <v>2022</v>
      </c>
      <c r="N52" t="str">
        <f>modif1!N52</f>
        <v>CR-PM_2022</v>
      </c>
      <c r="O52" t="b">
        <f>modif1!O52</f>
        <v>1</v>
      </c>
      <c r="P52">
        <v>25</v>
      </c>
      <c r="Q52" t="s">
        <v>1868</v>
      </c>
      <c r="Z52"/>
      <c r="AA52" s="17">
        <f>IF($A52,$J52*(IF(Q52=regle!$B$11,regle!$B$23*IF(AJ52=-2,1+regle!$B$35,1),
IF(Q52=regle!$C$11,regle!$C$23,
IF(Q52=regle!$D$11,regle!$D$23,
IF(Q52=regle!$E$11,regle!$E$23,
IF(Q52=regle!$F$11,regle!$F$23,
IF(Q52=regle!$G$11,regle!$G$23,
IF(Q52=regle!$H$11,regle!$H$23,
IF(Q52=regle!$I$11,regle!$I$23,
IF(Q52=regle!$J$11,regle!$J$23,
IF(Q52=regle!$K$11,regle!$K$23,0))))))))))))</f>
        <v>-1444.49</v>
      </c>
      <c r="AB52" s="17">
        <f>IF($A52,$J52*(IF(R52=regle!$B$11,regle!$B$23*IF(AK52=-2,1+regle!$B$35,1),
IF(R52=regle!$C$11,regle!$C$23,
IF(R52=regle!$D$11,regle!$D$23,
IF(R52=regle!$E$11,regle!$E$23,
IF(R52=regle!$F$11,regle!$F$23,
IF(R52=regle!$G$11,regle!$G$23,
IF(R52=regle!$H$11,regle!$H$23,
IF(R52=regle!$I$11,regle!$I$23,
IF(R52=regle!$J$11,regle!$J$23,
IF(R52=regle!$K$11,regle!$K$23,0))))))))))))</f>
        <v>0</v>
      </c>
      <c r="AC52" s="17">
        <f>IF($A52,$J52*(IF(S52=regle!$B$11,regle!$B$23*IF(AL52=-2,1+regle!$B$35,1),
IF(S52=regle!$C$11,regle!$C$23,
IF(S52=regle!$D$11,regle!$D$23,
IF(S52=regle!$E$11,regle!$E$23,
IF(S52=regle!$F$11,regle!$F$23,
IF(S52=regle!$G$11,regle!$G$23,
IF(S52=regle!$H$11,regle!$H$23,
IF(S52=regle!$I$11,regle!$I$23,
IF(S52=regle!$J$11,regle!$J$23,
IF(S52=regle!$K$11,regle!$K$23,0))))))))))))</f>
        <v>0</v>
      </c>
      <c r="AD52" s="17">
        <f>IF($A52,$J52*(IF(T52=regle!$B$11,regle!$B$23*IF(AM52=-2,1+regle!$B$35,1),
IF(T52=regle!$C$11,regle!$C$23,
IF(T52=regle!$D$11,regle!$D$23,
IF(T52=regle!$E$11,regle!$E$23,
IF(T52=regle!$F$11,regle!$F$23,
IF(T52=regle!$G$11,regle!$G$23,
IF(T52=regle!$H$11,regle!$H$23,
IF(T52=regle!$I$11,regle!$I$23,
IF(T52=regle!$J$11,regle!$J$23,
IF(T52=regle!$K$11,regle!$K$23,0))))))))))))</f>
        <v>0</v>
      </c>
      <c r="AE52" s="17">
        <f>IF($A52,$J52*(IF(U52=regle!$B$11,regle!$B$23*IF(AN52=-2,1+regle!$B$35,1),
IF(U52=regle!$C$11,regle!$C$23,
IF(U52=regle!$D$11,regle!$D$23,
IF(U52=regle!$E$11,regle!$E$23,
IF(U52=regle!$F$11,regle!$F$23,
IF(U52=regle!$G$11,regle!$G$23,
IF(U52=regle!$H$11,regle!$H$23,
IF(U52=regle!$I$11,regle!$I$23,
IF(U52=regle!$J$11,regle!$J$23,
IF(U52=regle!$K$11,regle!$K$23,0))))))))))))</f>
        <v>0</v>
      </c>
      <c r="AF52" s="17">
        <f>IF($A52,$J52*(IF(V52=regle!$B$11,regle!$B$23*IF(AO52=-2,1+regle!$B$35,1),
IF(V52=regle!$C$11,regle!$C$23,
IF(V52=regle!$D$11,regle!$D$23,
IF(V52=regle!$E$11,regle!$E$23,
IF(V52=regle!$F$11,regle!$F$23,
IF(V52=regle!$G$11,regle!$G$23,
IF(V52=regle!$H$11,regle!$H$23,
IF(V52=regle!$I$11,regle!$I$23,
IF(V52=regle!$J$11,regle!$J$23,
IF(V52=regle!$K$11,regle!$K$23,0))))))))))))</f>
        <v>0</v>
      </c>
      <c r="AG52" s="17">
        <f>IF($A52,$J52*(IF(W52=regle!$B$11,regle!$B$23*IF(AP52=-2,1+regle!$B$35,1),
IF(W52=regle!$C$11,regle!$C$23,
IF(W52=regle!$D$11,regle!$D$23,
IF(W52=regle!$E$11,regle!$E$23,
IF(W52=regle!$F$11,regle!$F$23,
IF(W52=regle!$G$11,regle!$G$23,
IF(W52=regle!$H$11,regle!$H$23,
IF(W52=regle!$I$11,regle!$I$23,
IF(W52=regle!$J$11,regle!$J$23,
IF(W52=regle!$K$11,regle!$K$23,0))))))))))))</f>
        <v>0</v>
      </c>
      <c r="AH52" s="17">
        <f>IF($A52,$J52*(IF(X52=regle!$B$11,regle!$B$23*IF(AQ52=-2,1+regle!$B$35,1),
IF(X52=regle!$C$11,regle!$C$23,
IF(X52=regle!$D$11,regle!$D$23,
IF(X52=regle!$E$11,regle!$E$23,
IF(X52=regle!$F$11,regle!$F$23,
IF(X52=regle!$G$11,regle!$G$23,
IF(X52=regle!$H$11,regle!$H$23,
IF(X52=regle!$I$11,regle!$I$23,
IF(X52=regle!$J$11,regle!$J$23,
IF(X52=regle!$K$11,regle!$K$23,0))))))))))))</f>
        <v>0</v>
      </c>
      <c r="AI52" s="17">
        <f>IF($A52,$J52*(IF(Y52=regle!$B$11,regle!$B$23*IF(AR52=-2,1+regle!$B$35,1),
IF(Y52=regle!$C$11,regle!$C$23,
IF(Y52=regle!$D$11,regle!$D$23,
IF(Y52=regle!$E$11,regle!$E$23,
IF(Y52=regle!$F$11,regle!$F$23,
IF(Y52=regle!$G$11,regle!$G$23,
IF(Y52=regle!$H$11,regle!$H$23,
IF(Y52=regle!$I$11,regle!$I$23,
IF(Y52=regle!$J$11,regle!$J$23,
IF(Y52=regle!$K$11,regle!$K$23,0))))))))))))</f>
        <v>0</v>
      </c>
      <c r="AJ52" s="17">
        <f>IF($A52,$J52*(IF(Z52=regle!$B$11,regle!$B$23*IF(AS52=-2,1+regle!$B$35,1),
IF(Z52=regle!$C$11,regle!$C$23,
IF(Z52=regle!$D$11,regle!$D$23,
IF(Z52=regle!$E$11,regle!$E$23,
IF(Z52=regle!$F$11,regle!$F$23,
IF(Z52=regle!$G$11,regle!$G$23,
IF(Z52=regle!$H$11,regle!$H$23,
IF(Z52=regle!$I$11,regle!$I$23,
IF(Z52=regle!$J$11,regle!$J$23,
IF(Z52=regle!$K$11,regle!$K$23,0))))))))))))</f>
        <v>0</v>
      </c>
      <c r="AK52" s="16">
        <f>IF(OR(Q52=regle!$J$11,Q52=regle!$K$11),-2,IF(Q52=regle!$B$11,0,IF(AK$1=$AK$1,IF($O52,-1,regle!$B$2-$M52),IF(AJ52=-1,-1,AJ52+1))))</f>
        <v>0</v>
      </c>
      <c r="AL52" s="16">
        <f>IF(OR(R52=regle!$J$11,R52=regle!$K$11),-2,IF(R52=regle!$B$11,0,IF(AL$1=$AK$1,IF($O52,-1,regle!$B$2-$M52),IF(AK52=-1,-1,AK52+1))))</f>
        <v>1</v>
      </c>
      <c r="AM52" s="16">
        <f>IF(OR(S52=regle!$J$11,S52=regle!$K$11),-2,IF(S52=regle!$B$11,0,IF(AM$1=$AK$1,IF($O52,-1,regle!$B$2-$M52),IF(AL52=-1,-1,AL52+1))))</f>
        <v>2</v>
      </c>
      <c r="AN52" s="16">
        <f>IF(OR(T52=regle!$J$11,T52=regle!$K$11),-2,IF(T52=regle!$B$11,0,IF(AN$1=$AK$1,IF($O52,-1,regle!$B$2-$M52),IF(AM52=-1,-1,AM52+1))))</f>
        <v>3</v>
      </c>
      <c r="AO52" s="16">
        <f>IF(OR(U52=regle!$J$11,U52=regle!$K$11),-2,IF(U52=regle!$B$11,0,IF(AO$1=$AK$1,IF($O52,-1,regle!$B$2-$M52),IF(AN52=-1,-1,AN52+1))))</f>
        <v>4</v>
      </c>
      <c r="AP52" s="16">
        <f>IF(OR(V52=regle!$J$11,V52=regle!$K$11),-2,IF(V52=regle!$B$11,0,IF(AP$1=$AK$1,IF($O52,-1,regle!$B$2-$M52),IF(AO52=-1,-1,AO52+1))))</f>
        <v>5</v>
      </c>
      <c r="AQ52" s="16">
        <f>IF(OR(W52=regle!$J$11,W52=regle!$K$11),-2,IF(W52=regle!$B$11,0,IF(AQ$1=$AK$1,IF($O52,-1,regle!$B$2-$M52),IF(AP52=-1,-1,AP52+1))))</f>
        <v>6</v>
      </c>
      <c r="AR52" s="16">
        <f>IF(OR(X52=regle!$J$11,X52=regle!$K$11),-2,IF(X52=regle!$B$11,0,IF(AR$1=$AK$1,IF($O52,-1,regle!$B$2-$M52),IF(AQ52=-1,-1,AQ52+1))))</f>
        <v>7</v>
      </c>
      <c r="AS52" s="16">
        <f>IF(OR(Y52=regle!$J$11,Y52=regle!$K$11),-2,IF(Y52=regle!$B$11,0,IF(AS$1=$AK$1,IF($O52,-1,regle!$B$2-$M52),IF(AR52=-1,-1,AR52+1))))</f>
        <v>8</v>
      </c>
      <c r="AT52" s="16">
        <f>IF(OR(Z52=regle!$J$11,Z52=regle!$K$11),-2,IF(Z52=regle!$B$11,0,IF(AT$1=$AK$1,IF($O52,-1,regle!$B$2-$M52),IF(AS52=-1,-1,AS52+1))))</f>
        <v>9</v>
      </c>
    </row>
    <row r="53" spans="1:46" x14ac:dyDescent="0.25">
      <c r="A53" t="b">
        <f>modif1!A53</f>
        <v>1</v>
      </c>
      <c r="B53">
        <f>ROW(modif1!B53)</f>
        <v>53</v>
      </c>
      <c r="C53" t="str">
        <f>modif1!C56</f>
        <v>171</v>
      </c>
      <c r="D53" t="str">
        <f>modif1!D53</f>
        <v>MANO</v>
      </c>
      <c r="E53">
        <f>modif1!E53</f>
        <v>17</v>
      </c>
      <c r="F53" t="str">
        <f>modif1!F53</f>
        <v>LANDE DE TABARTON</v>
      </c>
      <c r="G53" t="str">
        <f>modif1!G53</f>
        <v>0B</v>
      </c>
      <c r="H53">
        <f>modif1!H53</f>
        <v>308</v>
      </c>
      <c r="I53" t="str">
        <f>modif1!I53</f>
        <v>j</v>
      </c>
      <c r="J53" s="11">
        <f>modif1!J53</f>
        <v>0.84750000000000003</v>
      </c>
      <c r="K53" t="str">
        <f>modif1!K53</f>
        <v>CR</v>
      </c>
      <c r="L53" t="str">
        <f>modif1!L53</f>
        <v>PM</v>
      </c>
      <c r="M53">
        <f>modif1!M53</f>
        <v>2022</v>
      </c>
      <c r="N53" t="str">
        <f>modif1!N53</f>
        <v>CR-PM_2022</v>
      </c>
      <c r="O53" t="b">
        <f>modif1!O53</f>
        <v>1</v>
      </c>
      <c r="P53">
        <v>25</v>
      </c>
      <c r="Q53" t="s">
        <v>1868</v>
      </c>
      <c r="Z53"/>
      <c r="AA53" s="17">
        <f>IF($A53,$J53*(IF(Q53=regle!$B$11,regle!$B$23*IF(AJ53=-2,1+regle!$B$35,1),
IF(Q53=regle!$C$11,regle!$C$23,
IF(Q53=regle!$D$11,regle!$D$23,
IF(Q53=regle!$E$11,regle!$E$23,
IF(Q53=regle!$F$11,regle!$F$23,
IF(Q53=regle!$G$11,regle!$G$23,
IF(Q53=regle!$H$11,regle!$H$23,
IF(Q53=regle!$I$11,regle!$I$23,
IF(Q53=regle!$J$11,regle!$J$23,
IF(Q53=regle!$K$11,regle!$K$23,0))))))))))))</f>
        <v>-1440.75</v>
      </c>
      <c r="AB53" s="17">
        <f>IF($A53,$J53*(IF(R53=regle!$B$11,regle!$B$23*IF(AK53=-2,1+regle!$B$35,1),
IF(R53=regle!$C$11,regle!$C$23,
IF(R53=regle!$D$11,regle!$D$23,
IF(R53=regle!$E$11,regle!$E$23,
IF(R53=regle!$F$11,regle!$F$23,
IF(R53=regle!$G$11,regle!$G$23,
IF(R53=regle!$H$11,regle!$H$23,
IF(R53=regle!$I$11,regle!$I$23,
IF(R53=regle!$J$11,regle!$J$23,
IF(R53=regle!$K$11,regle!$K$23,0))))))))))))</f>
        <v>0</v>
      </c>
      <c r="AC53" s="17">
        <f>IF($A53,$J53*(IF(S53=regle!$B$11,regle!$B$23*IF(AL53=-2,1+regle!$B$35,1),
IF(S53=regle!$C$11,regle!$C$23,
IF(S53=regle!$D$11,regle!$D$23,
IF(S53=regle!$E$11,regle!$E$23,
IF(S53=regle!$F$11,regle!$F$23,
IF(S53=regle!$G$11,regle!$G$23,
IF(S53=regle!$H$11,regle!$H$23,
IF(S53=regle!$I$11,regle!$I$23,
IF(S53=regle!$J$11,regle!$J$23,
IF(S53=regle!$K$11,regle!$K$23,0))))))))))))</f>
        <v>0</v>
      </c>
      <c r="AD53" s="17">
        <f>IF($A53,$J53*(IF(T53=regle!$B$11,regle!$B$23*IF(AM53=-2,1+regle!$B$35,1),
IF(T53=regle!$C$11,regle!$C$23,
IF(T53=regle!$D$11,regle!$D$23,
IF(T53=regle!$E$11,regle!$E$23,
IF(T53=regle!$F$11,regle!$F$23,
IF(T53=regle!$G$11,regle!$G$23,
IF(T53=regle!$H$11,regle!$H$23,
IF(T53=regle!$I$11,regle!$I$23,
IF(T53=regle!$J$11,regle!$J$23,
IF(T53=regle!$K$11,regle!$K$23,0))))))))))))</f>
        <v>0</v>
      </c>
      <c r="AE53" s="17">
        <f>IF($A53,$J53*(IF(U53=regle!$B$11,regle!$B$23*IF(AN53=-2,1+regle!$B$35,1),
IF(U53=regle!$C$11,regle!$C$23,
IF(U53=regle!$D$11,regle!$D$23,
IF(U53=regle!$E$11,regle!$E$23,
IF(U53=regle!$F$11,regle!$F$23,
IF(U53=regle!$G$11,regle!$G$23,
IF(U53=regle!$H$11,regle!$H$23,
IF(U53=regle!$I$11,regle!$I$23,
IF(U53=regle!$J$11,regle!$J$23,
IF(U53=regle!$K$11,regle!$K$23,0))))))))))))</f>
        <v>0</v>
      </c>
      <c r="AF53" s="17">
        <f>IF($A53,$J53*(IF(V53=regle!$B$11,regle!$B$23*IF(AO53=-2,1+regle!$B$35,1),
IF(V53=regle!$C$11,regle!$C$23,
IF(V53=regle!$D$11,regle!$D$23,
IF(V53=regle!$E$11,regle!$E$23,
IF(V53=regle!$F$11,regle!$F$23,
IF(V53=regle!$G$11,regle!$G$23,
IF(V53=regle!$H$11,regle!$H$23,
IF(V53=regle!$I$11,regle!$I$23,
IF(V53=regle!$J$11,regle!$J$23,
IF(V53=regle!$K$11,regle!$K$23,0))))))))))))</f>
        <v>0</v>
      </c>
      <c r="AG53" s="17">
        <f>IF($A53,$J53*(IF(W53=regle!$B$11,regle!$B$23*IF(AP53=-2,1+regle!$B$35,1),
IF(W53=regle!$C$11,regle!$C$23,
IF(W53=regle!$D$11,regle!$D$23,
IF(W53=regle!$E$11,regle!$E$23,
IF(W53=regle!$F$11,regle!$F$23,
IF(W53=regle!$G$11,regle!$G$23,
IF(W53=regle!$H$11,regle!$H$23,
IF(W53=regle!$I$11,regle!$I$23,
IF(W53=regle!$J$11,regle!$J$23,
IF(W53=regle!$K$11,regle!$K$23,0))))))))))))</f>
        <v>0</v>
      </c>
      <c r="AH53" s="17">
        <f>IF($A53,$J53*(IF(X53=regle!$B$11,regle!$B$23*IF(AQ53=-2,1+regle!$B$35,1),
IF(X53=regle!$C$11,regle!$C$23,
IF(X53=regle!$D$11,regle!$D$23,
IF(X53=regle!$E$11,regle!$E$23,
IF(X53=regle!$F$11,regle!$F$23,
IF(X53=regle!$G$11,regle!$G$23,
IF(X53=regle!$H$11,regle!$H$23,
IF(X53=regle!$I$11,regle!$I$23,
IF(X53=regle!$J$11,regle!$J$23,
IF(X53=regle!$K$11,regle!$K$23,0))))))))))))</f>
        <v>0</v>
      </c>
      <c r="AI53" s="17">
        <f>IF($A53,$J53*(IF(Y53=regle!$B$11,regle!$B$23*IF(AR53=-2,1+regle!$B$35,1),
IF(Y53=regle!$C$11,regle!$C$23,
IF(Y53=regle!$D$11,regle!$D$23,
IF(Y53=regle!$E$11,regle!$E$23,
IF(Y53=regle!$F$11,regle!$F$23,
IF(Y53=regle!$G$11,regle!$G$23,
IF(Y53=regle!$H$11,regle!$H$23,
IF(Y53=regle!$I$11,regle!$I$23,
IF(Y53=regle!$J$11,regle!$J$23,
IF(Y53=regle!$K$11,regle!$K$23,0))))))))))))</f>
        <v>0</v>
      </c>
      <c r="AJ53" s="17">
        <f>IF($A53,$J53*(IF(Z53=regle!$B$11,regle!$B$23*IF(AS53=-2,1+regle!$B$35,1),
IF(Z53=regle!$C$11,regle!$C$23,
IF(Z53=regle!$D$11,regle!$D$23,
IF(Z53=regle!$E$11,regle!$E$23,
IF(Z53=regle!$F$11,regle!$F$23,
IF(Z53=regle!$G$11,regle!$G$23,
IF(Z53=regle!$H$11,regle!$H$23,
IF(Z53=regle!$I$11,regle!$I$23,
IF(Z53=regle!$J$11,regle!$J$23,
IF(Z53=regle!$K$11,regle!$K$23,0))))))))))))</f>
        <v>0</v>
      </c>
      <c r="AK53" s="16">
        <f>IF(OR(Q53=regle!$J$11,Q53=regle!$K$11),-2,IF(Q53=regle!$B$11,0,IF(AK$1=$AK$1,IF($O53,-1,regle!$B$2-$M53),IF(AJ53=-1,-1,AJ53+1))))</f>
        <v>0</v>
      </c>
      <c r="AL53" s="16">
        <f>IF(OR(R53=regle!$J$11,R53=regle!$K$11),-2,IF(R53=regle!$B$11,0,IF(AL$1=$AK$1,IF($O53,-1,regle!$B$2-$M53),IF(AK53=-1,-1,AK53+1))))</f>
        <v>1</v>
      </c>
      <c r="AM53" s="16">
        <f>IF(OR(S53=regle!$J$11,S53=regle!$K$11),-2,IF(S53=regle!$B$11,0,IF(AM$1=$AK$1,IF($O53,-1,regle!$B$2-$M53),IF(AL53=-1,-1,AL53+1))))</f>
        <v>2</v>
      </c>
      <c r="AN53" s="16">
        <f>IF(OR(T53=regle!$J$11,T53=regle!$K$11),-2,IF(T53=regle!$B$11,0,IF(AN$1=$AK$1,IF($O53,-1,regle!$B$2-$M53),IF(AM53=-1,-1,AM53+1))))</f>
        <v>3</v>
      </c>
      <c r="AO53" s="16">
        <f>IF(OR(U53=regle!$J$11,U53=regle!$K$11),-2,IF(U53=regle!$B$11,0,IF(AO$1=$AK$1,IF($O53,-1,regle!$B$2-$M53),IF(AN53=-1,-1,AN53+1))))</f>
        <v>4</v>
      </c>
      <c r="AP53" s="16">
        <f>IF(OR(V53=regle!$J$11,V53=regle!$K$11),-2,IF(V53=regle!$B$11,0,IF(AP$1=$AK$1,IF($O53,-1,regle!$B$2-$M53),IF(AO53=-1,-1,AO53+1))))</f>
        <v>5</v>
      </c>
      <c r="AQ53" s="16">
        <f>IF(OR(W53=regle!$J$11,W53=regle!$K$11),-2,IF(W53=regle!$B$11,0,IF(AQ$1=$AK$1,IF($O53,-1,regle!$B$2-$M53),IF(AP53=-1,-1,AP53+1))))</f>
        <v>6</v>
      </c>
      <c r="AR53" s="16">
        <f>IF(OR(X53=regle!$J$11,X53=regle!$K$11),-2,IF(X53=regle!$B$11,0,IF(AR$1=$AK$1,IF($O53,-1,regle!$B$2-$M53),IF(AQ53=-1,-1,AQ53+1))))</f>
        <v>7</v>
      </c>
      <c r="AS53" s="16">
        <f>IF(OR(Y53=regle!$J$11,Y53=regle!$K$11),-2,IF(Y53=regle!$B$11,0,IF(AS$1=$AK$1,IF($O53,-1,regle!$B$2-$M53),IF(AR53=-1,-1,AR53+1))))</f>
        <v>8</v>
      </c>
      <c r="AT53" s="16">
        <f>IF(OR(Z53=regle!$J$11,Z53=regle!$K$11),-2,IF(Z53=regle!$B$11,0,IF(AT$1=$AK$1,IF($O53,-1,regle!$B$2-$M53),IF(AS53=-1,-1,AS53+1))))</f>
        <v>9</v>
      </c>
    </row>
    <row r="54" spans="1:46" x14ac:dyDescent="0.25">
      <c r="A54" t="b">
        <f>modif1!A54</f>
        <v>1</v>
      </c>
      <c r="B54">
        <f>ROW(modif1!B54)</f>
        <v>54</v>
      </c>
      <c r="C54" t="str">
        <f>modif1!C57</f>
        <v>202</v>
      </c>
      <c r="D54" t="str">
        <f>modif1!D54</f>
        <v>MOUSTEY</v>
      </c>
      <c r="E54">
        <f>modif1!E54</f>
        <v>5</v>
      </c>
      <c r="F54" t="str">
        <f>modif1!F54</f>
        <v>Plata</v>
      </c>
      <c r="G54" t="str">
        <f>modif1!G54</f>
        <v>0M</v>
      </c>
      <c r="H54">
        <f>modif1!H54</f>
        <v>7</v>
      </c>
      <c r="I54" t="str">
        <f>modif1!I54</f>
        <v>a</v>
      </c>
      <c r="J54" s="11">
        <f>modif1!J54</f>
        <v>0.84609999999999996</v>
      </c>
      <c r="K54" t="str">
        <f>modif1!K54</f>
        <v>CR</v>
      </c>
      <c r="L54" t="str">
        <f>modif1!L54</f>
        <v>PM</v>
      </c>
      <c r="M54">
        <f>modif1!M54</f>
        <v>2022</v>
      </c>
      <c r="N54" t="str">
        <f>modif1!N54</f>
        <v>CR-PM_2022</v>
      </c>
      <c r="O54" t="b">
        <f>modif1!O54</f>
        <v>1</v>
      </c>
      <c r="P54">
        <v>25</v>
      </c>
      <c r="Q54" t="s">
        <v>1868</v>
      </c>
      <c r="Z54"/>
      <c r="AA54" s="17">
        <f>IF($A54,$J54*(IF(Q54=regle!$B$11,regle!$B$23*IF(AJ54=-2,1+regle!$B$35,1),
IF(Q54=regle!$C$11,regle!$C$23,
IF(Q54=regle!$D$11,regle!$D$23,
IF(Q54=regle!$E$11,regle!$E$23,
IF(Q54=regle!$F$11,regle!$F$23,
IF(Q54=regle!$G$11,regle!$G$23,
IF(Q54=regle!$H$11,regle!$H$23,
IF(Q54=regle!$I$11,regle!$I$23,
IF(Q54=regle!$J$11,regle!$J$23,
IF(Q54=regle!$K$11,regle!$K$23,0))))))))))))</f>
        <v>-1438.37</v>
      </c>
      <c r="AB54" s="17">
        <f>IF($A54,$J54*(IF(R54=regle!$B$11,regle!$B$23*IF(AK54=-2,1+regle!$B$35,1),
IF(R54=regle!$C$11,regle!$C$23,
IF(R54=regle!$D$11,regle!$D$23,
IF(R54=regle!$E$11,regle!$E$23,
IF(R54=regle!$F$11,regle!$F$23,
IF(R54=regle!$G$11,regle!$G$23,
IF(R54=regle!$H$11,regle!$H$23,
IF(R54=regle!$I$11,regle!$I$23,
IF(R54=regle!$J$11,regle!$J$23,
IF(R54=regle!$K$11,regle!$K$23,0))))))))))))</f>
        <v>0</v>
      </c>
      <c r="AC54" s="17">
        <f>IF($A54,$J54*(IF(S54=regle!$B$11,regle!$B$23*IF(AL54=-2,1+regle!$B$35,1),
IF(S54=regle!$C$11,regle!$C$23,
IF(S54=regle!$D$11,regle!$D$23,
IF(S54=regle!$E$11,regle!$E$23,
IF(S54=regle!$F$11,regle!$F$23,
IF(S54=regle!$G$11,regle!$G$23,
IF(S54=regle!$H$11,regle!$H$23,
IF(S54=regle!$I$11,regle!$I$23,
IF(S54=regle!$J$11,regle!$J$23,
IF(S54=regle!$K$11,regle!$K$23,0))))))))))))</f>
        <v>0</v>
      </c>
      <c r="AD54" s="17">
        <f>IF($A54,$J54*(IF(T54=regle!$B$11,regle!$B$23*IF(AM54=-2,1+regle!$B$35,1),
IF(T54=regle!$C$11,regle!$C$23,
IF(T54=regle!$D$11,regle!$D$23,
IF(T54=regle!$E$11,regle!$E$23,
IF(T54=regle!$F$11,regle!$F$23,
IF(T54=regle!$G$11,regle!$G$23,
IF(T54=regle!$H$11,regle!$H$23,
IF(T54=regle!$I$11,regle!$I$23,
IF(T54=regle!$J$11,regle!$J$23,
IF(T54=regle!$K$11,regle!$K$23,0))))))))))))</f>
        <v>0</v>
      </c>
      <c r="AE54" s="17">
        <f>IF($A54,$J54*(IF(U54=regle!$B$11,regle!$B$23*IF(AN54=-2,1+regle!$B$35,1),
IF(U54=regle!$C$11,regle!$C$23,
IF(U54=regle!$D$11,regle!$D$23,
IF(U54=regle!$E$11,regle!$E$23,
IF(U54=regle!$F$11,regle!$F$23,
IF(U54=regle!$G$11,regle!$G$23,
IF(U54=regle!$H$11,regle!$H$23,
IF(U54=regle!$I$11,regle!$I$23,
IF(U54=regle!$J$11,regle!$J$23,
IF(U54=regle!$K$11,regle!$K$23,0))))))))))))</f>
        <v>0</v>
      </c>
      <c r="AF54" s="17">
        <f>IF($A54,$J54*(IF(V54=regle!$B$11,regle!$B$23*IF(AO54=-2,1+regle!$B$35,1),
IF(V54=regle!$C$11,regle!$C$23,
IF(V54=regle!$D$11,regle!$D$23,
IF(V54=regle!$E$11,regle!$E$23,
IF(V54=regle!$F$11,regle!$F$23,
IF(V54=regle!$G$11,regle!$G$23,
IF(V54=regle!$H$11,regle!$H$23,
IF(V54=regle!$I$11,regle!$I$23,
IF(V54=regle!$J$11,regle!$J$23,
IF(V54=regle!$K$11,regle!$K$23,0))))))))))))</f>
        <v>0</v>
      </c>
      <c r="AG54" s="17">
        <f>IF($A54,$J54*(IF(W54=regle!$B$11,regle!$B$23*IF(AP54=-2,1+regle!$B$35,1),
IF(W54=regle!$C$11,regle!$C$23,
IF(W54=regle!$D$11,regle!$D$23,
IF(W54=regle!$E$11,regle!$E$23,
IF(W54=regle!$F$11,regle!$F$23,
IF(W54=regle!$G$11,regle!$G$23,
IF(W54=regle!$H$11,regle!$H$23,
IF(W54=regle!$I$11,regle!$I$23,
IF(W54=regle!$J$11,regle!$J$23,
IF(W54=regle!$K$11,regle!$K$23,0))))))))))))</f>
        <v>0</v>
      </c>
      <c r="AH54" s="17">
        <f>IF($A54,$J54*(IF(X54=regle!$B$11,regle!$B$23*IF(AQ54=-2,1+regle!$B$35,1),
IF(X54=regle!$C$11,regle!$C$23,
IF(X54=regle!$D$11,regle!$D$23,
IF(X54=regle!$E$11,regle!$E$23,
IF(X54=regle!$F$11,regle!$F$23,
IF(X54=regle!$G$11,regle!$G$23,
IF(X54=regle!$H$11,regle!$H$23,
IF(X54=regle!$I$11,regle!$I$23,
IF(X54=regle!$J$11,regle!$J$23,
IF(X54=regle!$K$11,regle!$K$23,0))))))))))))</f>
        <v>0</v>
      </c>
      <c r="AI54" s="17">
        <f>IF($A54,$J54*(IF(Y54=regle!$B$11,regle!$B$23*IF(AR54=-2,1+regle!$B$35,1),
IF(Y54=regle!$C$11,regle!$C$23,
IF(Y54=regle!$D$11,regle!$D$23,
IF(Y54=regle!$E$11,regle!$E$23,
IF(Y54=regle!$F$11,regle!$F$23,
IF(Y54=regle!$G$11,regle!$G$23,
IF(Y54=regle!$H$11,regle!$H$23,
IF(Y54=regle!$I$11,regle!$I$23,
IF(Y54=regle!$J$11,regle!$J$23,
IF(Y54=regle!$K$11,regle!$K$23,0))))))))))))</f>
        <v>0</v>
      </c>
      <c r="AJ54" s="17">
        <f>IF($A54,$J54*(IF(Z54=regle!$B$11,regle!$B$23*IF(AS54=-2,1+regle!$B$35,1),
IF(Z54=regle!$C$11,regle!$C$23,
IF(Z54=regle!$D$11,regle!$D$23,
IF(Z54=regle!$E$11,regle!$E$23,
IF(Z54=regle!$F$11,regle!$F$23,
IF(Z54=regle!$G$11,regle!$G$23,
IF(Z54=regle!$H$11,regle!$H$23,
IF(Z54=regle!$I$11,regle!$I$23,
IF(Z54=regle!$J$11,regle!$J$23,
IF(Z54=regle!$K$11,regle!$K$23,0))))))))))))</f>
        <v>0</v>
      </c>
      <c r="AK54" s="16">
        <f>IF(OR(Q54=regle!$J$11,Q54=regle!$K$11),-2,IF(Q54=regle!$B$11,0,IF(AK$1=$AK$1,IF($O54,-1,regle!$B$2-$M54),IF(AJ54=-1,-1,AJ54+1))))</f>
        <v>0</v>
      </c>
      <c r="AL54" s="16">
        <f>IF(OR(R54=regle!$J$11,R54=regle!$K$11),-2,IF(R54=regle!$B$11,0,IF(AL$1=$AK$1,IF($O54,-1,regle!$B$2-$M54),IF(AK54=-1,-1,AK54+1))))</f>
        <v>1</v>
      </c>
      <c r="AM54" s="16">
        <f>IF(OR(S54=regle!$J$11,S54=regle!$K$11),-2,IF(S54=regle!$B$11,0,IF(AM$1=$AK$1,IF($O54,-1,regle!$B$2-$M54),IF(AL54=-1,-1,AL54+1))))</f>
        <v>2</v>
      </c>
      <c r="AN54" s="16">
        <f>IF(OR(T54=regle!$J$11,T54=regle!$K$11),-2,IF(T54=regle!$B$11,0,IF(AN$1=$AK$1,IF($O54,-1,regle!$B$2-$M54),IF(AM54=-1,-1,AM54+1))))</f>
        <v>3</v>
      </c>
      <c r="AO54" s="16">
        <f>IF(OR(U54=regle!$J$11,U54=regle!$K$11),-2,IF(U54=regle!$B$11,0,IF(AO$1=$AK$1,IF($O54,-1,regle!$B$2-$M54),IF(AN54=-1,-1,AN54+1))))</f>
        <v>4</v>
      </c>
      <c r="AP54" s="16">
        <f>IF(OR(V54=regle!$J$11,V54=regle!$K$11),-2,IF(V54=regle!$B$11,0,IF(AP$1=$AK$1,IF($O54,-1,regle!$B$2-$M54),IF(AO54=-1,-1,AO54+1))))</f>
        <v>5</v>
      </c>
      <c r="AQ54" s="16">
        <f>IF(OR(W54=regle!$J$11,W54=regle!$K$11),-2,IF(W54=regle!$B$11,0,IF(AQ$1=$AK$1,IF($O54,-1,regle!$B$2-$M54),IF(AP54=-1,-1,AP54+1))))</f>
        <v>6</v>
      </c>
      <c r="AR54" s="16">
        <f>IF(OR(X54=regle!$J$11,X54=regle!$K$11),-2,IF(X54=regle!$B$11,0,IF(AR$1=$AK$1,IF($O54,-1,regle!$B$2-$M54),IF(AQ54=-1,-1,AQ54+1))))</f>
        <v>7</v>
      </c>
      <c r="AS54" s="16">
        <f>IF(OR(Y54=regle!$J$11,Y54=regle!$K$11),-2,IF(Y54=regle!$B$11,0,IF(AS$1=$AK$1,IF($O54,-1,regle!$B$2-$M54),IF(AR54=-1,-1,AR54+1))))</f>
        <v>8</v>
      </c>
      <c r="AT54" s="16">
        <f>IF(OR(Z54=regle!$J$11,Z54=regle!$K$11),-2,IF(Z54=regle!$B$11,0,IF(AT$1=$AK$1,IF($O54,-1,regle!$B$2-$M54),IF(AS54=-1,-1,AS54+1))))</f>
        <v>9</v>
      </c>
    </row>
    <row r="55" spans="1:46" x14ac:dyDescent="0.25">
      <c r="A55" t="b">
        <f>modif1!A55</f>
        <v>1</v>
      </c>
      <c r="B55">
        <f>ROW(modif1!B55)</f>
        <v>55</v>
      </c>
      <c r="C55" t="str">
        <f>modif1!C58</f>
        <v>171</v>
      </c>
      <c r="D55" t="str">
        <f>modif1!D55</f>
        <v>MANO</v>
      </c>
      <c r="E55">
        <f>modif1!E55</f>
        <v>17</v>
      </c>
      <c r="F55" t="str">
        <f>modif1!F55</f>
        <v>LANDE DE TABARTON</v>
      </c>
      <c r="G55" t="str">
        <f>modif1!G55</f>
        <v>0B</v>
      </c>
      <c r="H55">
        <f>modif1!H55</f>
        <v>246</v>
      </c>
      <c r="I55" t="str">
        <f>modif1!I55</f>
        <v/>
      </c>
      <c r="J55" s="11">
        <f>modif1!J55</f>
        <v>0.81599999999999995</v>
      </c>
      <c r="K55" t="str">
        <f>modif1!K55</f>
        <v>CR</v>
      </c>
      <c r="L55" t="str">
        <f>modif1!L55</f>
        <v>PM</v>
      </c>
      <c r="M55">
        <f>modif1!M55</f>
        <v>2022</v>
      </c>
      <c r="N55" t="str">
        <f>modif1!N55</f>
        <v>CR-PM_2022</v>
      </c>
      <c r="O55" t="b">
        <f>modif1!O55</f>
        <v>1</v>
      </c>
      <c r="P55">
        <v>25</v>
      </c>
      <c r="Q55" t="s">
        <v>1868</v>
      </c>
      <c r="Z55"/>
      <c r="AA55" s="17">
        <f>IF($A55,$J55*(IF(Q55=regle!$B$11,regle!$B$23*IF(AJ55=-2,1+regle!$B$35,1),
IF(Q55=regle!$C$11,regle!$C$23,
IF(Q55=regle!$D$11,regle!$D$23,
IF(Q55=regle!$E$11,regle!$E$23,
IF(Q55=regle!$F$11,regle!$F$23,
IF(Q55=regle!$G$11,regle!$G$23,
IF(Q55=regle!$H$11,regle!$H$23,
IF(Q55=regle!$I$11,regle!$I$23,
IF(Q55=regle!$J$11,regle!$J$23,
IF(Q55=regle!$K$11,regle!$K$23,0))))))))))))</f>
        <v>-1387.1999999999998</v>
      </c>
      <c r="AB55" s="17">
        <f>IF($A55,$J55*(IF(R55=regle!$B$11,regle!$B$23*IF(AK55=-2,1+regle!$B$35,1),
IF(R55=regle!$C$11,regle!$C$23,
IF(R55=regle!$D$11,regle!$D$23,
IF(R55=regle!$E$11,regle!$E$23,
IF(R55=regle!$F$11,regle!$F$23,
IF(R55=regle!$G$11,regle!$G$23,
IF(R55=regle!$H$11,regle!$H$23,
IF(R55=regle!$I$11,regle!$I$23,
IF(R55=regle!$J$11,regle!$J$23,
IF(R55=regle!$K$11,regle!$K$23,0))))))))))))</f>
        <v>0</v>
      </c>
      <c r="AC55" s="17">
        <f>IF($A55,$J55*(IF(S55=regle!$B$11,regle!$B$23*IF(AL55=-2,1+regle!$B$35,1),
IF(S55=regle!$C$11,regle!$C$23,
IF(S55=regle!$D$11,regle!$D$23,
IF(S55=regle!$E$11,regle!$E$23,
IF(S55=regle!$F$11,regle!$F$23,
IF(S55=regle!$G$11,regle!$G$23,
IF(S55=regle!$H$11,regle!$H$23,
IF(S55=regle!$I$11,regle!$I$23,
IF(S55=regle!$J$11,regle!$J$23,
IF(S55=regle!$K$11,regle!$K$23,0))))))))))))</f>
        <v>0</v>
      </c>
      <c r="AD55" s="17">
        <f>IF($A55,$J55*(IF(T55=regle!$B$11,regle!$B$23*IF(AM55=-2,1+regle!$B$35,1),
IF(T55=regle!$C$11,regle!$C$23,
IF(T55=regle!$D$11,regle!$D$23,
IF(T55=regle!$E$11,regle!$E$23,
IF(T55=regle!$F$11,regle!$F$23,
IF(T55=regle!$G$11,regle!$G$23,
IF(T55=regle!$H$11,regle!$H$23,
IF(T55=regle!$I$11,regle!$I$23,
IF(T55=regle!$J$11,regle!$J$23,
IF(T55=regle!$K$11,regle!$K$23,0))))))))))))</f>
        <v>0</v>
      </c>
      <c r="AE55" s="17">
        <f>IF($A55,$J55*(IF(U55=regle!$B$11,regle!$B$23*IF(AN55=-2,1+regle!$B$35,1),
IF(U55=regle!$C$11,regle!$C$23,
IF(U55=regle!$D$11,regle!$D$23,
IF(U55=regle!$E$11,regle!$E$23,
IF(U55=regle!$F$11,regle!$F$23,
IF(U55=regle!$G$11,regle!$G$23,
IF(U55=regle!$H$11,regle!$H$23,
IF(U55=regle!$I$11,regle!$I$23,
IF(U55=regle!$J$11,regle!$J$23,
IF(U55=regle!$K$11,regle!$K$23,0))))))))))))</f>
        <v>0</v>
      </c>
      <c r="AF55" s="17">
        <f>IF($A55,$J55*(IF(V55=regle!$B$11,regle!$B$23*IF(AO55=-2,1+regle!$B$35,1),
IF(V55=regle!$C$11,regle!$C$23,
IF(V55=regle!$D$11,regle!$D$23,
IF(V55=regle!$E$11,regle!$E$23,
IF(V55=regle!$F$11,regle!$F$23,
IF(V55=regle!$G$11,regle!$G$23,
IF(V55=regle!$H$11,regle!$H$23,
IF(V55=regle!$I$11,regle!$I$23,
IF(V55=regle!$J$11,regle!$J$23,
IF(V55=regle!$K$11,regle!$K$23,0))))))))))))</f>
        <v>0</v>
      </c>
      <c r="AG55" s="17">
        <f>IF($A55,$J55*(IF(W55=regle!$B$11,regle!$B$23*IF(AP55=-2,1+regle!$B$35,1),
IF(W55=regle!$C$11,regle!$C$23,
IF(W55=regle!$D$11,regle!$D$23,
IF(W55=regle!$E$11,regle!$E$23,
IF(W55=regle!$F$11,regle!$F$23,
IF(W55=regle!$G$11,regle!$G$23,
IF(W55=regle!$H$11,regle!$H$23,
IF(W55=regle!$I$11,regle!$I$23,
IF(W55=regle!$J$11,regle!$J$23,
IF(W55=regle!$K$11,regle!$K$23,0))))))))))))</f>
        <v>0</v>
      </c>
      <c r="AH55" s="17">
        <f>IF($A55,$J55*(IF(X55=regle!$B$11,regle!$B$23*IF(AQ55=-2,1+regle!$B$35,1),
IF(X55=regle!$C$11,regle!$C$23,
IF(X55=regle!$D$11,regle!$D$23,
IF(X55=regle!$E$11,regle!$E$23,
IF(X55=regle!$F$11,regle!$F$23,
IF(X55=regle!$G$11,regle!$G$23,
IF(X55=regle!$H$11,regle!$H$23,
IF(X55=regle!$I$11,regle!$I$23,
IF(X55=regle!$J$11,regle!$J$23,
IF(X55=regle!$K$11,regle!$K$23,0))))))))))))</f>
        <v>0</v>
      </c>
      <c r="AI55" s="17">
        <f>IF($A55,$J55*(IF(Y55=regle!$B$11,regle!$B$23*IF(AR55=-2,1+regle!$B$35,1),
IF(Y55=regle!$C$11,regle!$C$23,
IF(Y55=regle!$D$11,regle!$D$23,
IF(Y55=regle!$E$11,regle!$E$23,
IF(Y55=regle!$F$11,regle!$F$23,
IF(Y55=regle!$G$11,regle!$G$23,
IF(Y55=regle!$H$11,regle!$H$23,
IF(Y55=regle!$I$11,regle!$I$23,
IF(Y55=regle!$J$11,regle!$J$23,
IF(Y55=regle!$K$11,regle!$K$23,0))))))))))))</f>
        <v>0</v>
      </c>
      <c r="AJ55" s="17">
        <f>IF($A55,$J55*(IF(Z55=regle!$B$11,regle!$B$23*IF(AS55=-2,1+regle!$B$35,1),
IF(Z55=regle!$C$11,regle!$C$23,
IF(Z55=regle!$D$11,regle!$D$23,
IF(Z55=regle!$E$11,regle!$E$23,
IF(Z55=regle!$F$11,regle!$F$23,
IF(Z55=regle!$G$11,regle!$G$23,
IF(Z55=regle!$H$11,regle!$H$23,
IF(Z55=regle!$I$11,regle!$I$23,
IF(Z55=regle!$J$11,regle!$J$23,
IF(Z55=regle!$K$11,regle!$K$23,0))))))))))))</f>
        <v>0</v>
      </c>
      <c r="AK55" s="16">
        <f>IF(OR(Q55=regle!$J$11,Q55=regle!$K$11),-2,IF(Q55=regle!$B$11,0,IF(AK$1=$AK$1,IF($O55,-1,regle!$B$2-$M55),IF(AJ55=-1,-1,AJ55+1))))</f>
        <v>0</v>
      </c>
      <c r="AL55" s="16">
        <f>IF(OR(R55=regle!$J$11,R55=regle!$K$11),-2,IF(R55=regle!$B$11,0,IF(AL$1=$AK$1,IF($O55,-1,regle!$B$2-$M55),IF(AK55=-1,-1,AK55+1))))</f>
        <v>1</v>
      </c>
      <c r="AM55" s="16">
        <f>IF(OR(S55=regle!$J$11,S55=regle!$K$11),-2,IF(S55=regle!$B$11,0,IF(AM$1=$AK$1,IF($O55,-1,regle!$B$2-$M55),IF(AL55=-1,-1,AL55+1))))</f>
        <v>2</v>
      </c>
      <c r="AN55" s="16">
        <f>IF(OR(T55=regle!$J$11,T55=regle!$K$11),-2,IF(T55=regle!$B$11,0,IF(AN$1=$AK$1,IF($O55,-1,regle!$B$2-$M55),IF(AM55=-1,-1,AM55+1))))</f>
        <v>3</v>
      </c>
      <c r="AO55" s="16">
        <f>IF(OR(U55=regle!$J$11,U55=regle!$K$11),-2,IF(U55=regle!$B$11,0,IF(AO$1=$AK$1,IF($O55,-1,regle!$B$2-$M55),IF(AN55=-1,-1,AN55+1))))</f>
        <v>4</v>
      </c>
      <c r="AP55" s="16">
        <f>IF(OR(V55=regle!$J$11,V55=regle!$K$11),-2,IF(V55=regle!$B$11,0,IF(AP$1=$AK$1,IF($O55,-1,regle!$B$2-$M55),IF(AO55=-1,-1,AO55+1))))</f>
        <v>5</v>
      </c>
      <c r="AQ55" s="16">
        <f>IF(OR(W55=regle!$J$11,W55=regle!$K$11),-2,IF(W55=regle!$B$11,0,IF(AQ$1=$AK$1,IF($O55,-1,regle!$B$2-$M55),IF(AP55=-1,-1,AP55+1))))</f>
        <v>6</v>
      </c>
      <c r="AR55" s="16">
        <f>IF(OR(X55=regle!$J$11,X55=regle!$K$11),-2,IF(X55=regle!$B$11,0,IF(AR$1=$AK$1,IF($O55,-1,regle!$B$2-$M55),IF(AQ55=-1,-1,AQ55+1))))</f>
        <v>7</v>
      </c>
      <c r="AS55" s="16">
        <f>IF(OR(Y55=regle!$J$11,Y55=regle!$K$11),-2,IF(Y55=regle!$B$11,0,IF(AS$1=$AK$1,IF($O55,-1,regle!$B$2-$M55),IF(AR55=-1,-1,AR55+1))))</f>
        <v>8</v>
      </c>
      <c r="AT55" s="16">
        <f>IF(OR(Z55=regle!$J$11,Z55=regle!$K$11),-2,IF(Z55=regle!$B$11,0,IF(AT$1=$AK$1,IF($O55,-1,regle!$B$2-$M55),IF(AS55=-1,-1,AS55+1))))</f>
        <v>9</v>
      </c>
    </row>
    <row r="56" spans="1:46" x14ac:dyDescent="0.25">
      <c r="A56" t="b">
        <f>modif1!A56</f>
        <v>1</v>
      </c>
      <c r="B56">
        <f>ROW(modif1!B56)</f>
        <v>56</v>
      </c>
      <c r="C56" t="str">
        <f>modif1!C59</f>
        <v>200</v>
      </c>
      <c r="D56" t="str">
        <f>modif1!D56</f>
        <v>MANO</v>
      </c>
      <c r="E56">
        <f>modif1!E56</f>
        <v>6</v>
      </c>
      <c r="F56" t="str">
        <f>modif1!F56</f>
        <v>BARRAT</v>
      </c>
      <c r="G56" t="str">
        <f>modif1!G56</f>
        <v>0C</v>
      </c>
      <c r="H56">
        <f>modif1!H56</f>
        <v>155</v>
      </c>
      <c r="I56" t="str">
        <f>modif1!I56</f>
        <v/>
      </c>
      <c r="J56" s="11">
        <f>modif1!J56</f>
        <v>0.78480000000000005</v>
      </c>
      <c r="K56" t="str">
        <f>modif1!K56</f>
        <v>CR</v>
      </c>
      <c r="L56" t="str">
        <f>modif1!L56</f>
        <v>PM</v>
      </c>
      <c r="M56">
        <f>modif1!M56</f>
        <v>2022</v>
      </c>
      <c r="N56" t="str">
        <f>modif1!N56</f>
        <v>CR-PM_2022</v>
      </c>
      <c r="O56" t="b">
        <f>modif1!O56</f>
        <v>1</v>
      </c>
      <c r="P56">
        <v>25</v>
      </c>
      <c r="Q56" t="s">
        <v>1868</v>
      </c>
      <c r="Z56"/>
      <c r="AA56" s="17">
        <f>IF($A56,$J56*(IF(Q56=regle!$B$11,regle!$B$23*IF(AJ56=-2,1+regle!$B$35,1),
IF(Q56=regle!$C$11,regle!$C$23,
IF(Q56=regle!$D$11,regle!$D$23,
IF(Q56=regle!$E$11,regle!$E$23,
IF(Q56=regle!$F$11,regle!$F$23,
IF(Q56=regle!$G$11,regle!$G$23,
IF(Q56=regle!$H$11,regle!$H$23,
IF(Q56=regle!$I$11,regle!$I$23,
IF(Q56=regle!$J$11,regle!$J$23,
IF(Q56=regle!$K$11,regle!$K$23,0))))))))))))</f>
        <v>-1334.16</v>
      </c>
      <c r="AB56" s="17">
        <f>IF($A56,$J56*(IF(R56=regle!$B$11,regle!$B$23*IF(AK56=-2,1+regle!$B$35,1),
IF(R56=regle!$C$11,regle!$C$23,
IF(R56=regle!$D$11,regle!$D$23,
IF(R56=regle!$E$11,regle!$E$23,
IF(R56=regle!$F$11,regle!$F$23,
IF(R56=regle!$G$11,regle!$G$23,
IF(R56=regle!$H$11,regle!$H$23,
IF(R56=regle!$I$11,regle!$I$23,
IF(R56=regle!$J$11,regle!$J$23,
IF(R56=regle!$K$11,regle!$K$23,0))))))))))))</f>
        <v>0</v>
      </c>
      <c r="AC56" s="17">
        <f>IF($A56,$J56*(IF(S56=regle!$B$11,regle!$B$23*IF(AL56=-2,1+regle!$B$35,1),
IF(S56=regle!$C$11,regle!$C$23,
IF(S56=regle!$D$11,regle!$D$23,
IF(S56=regle!$E$11,regle!$E$23,
IF(S56=regle!$F$11,regle!$F$23,
IF(S56=regle!$G$11,regle!$G$23,
IF(S56=regle!$H$11,regle!$H$23,
IF(S56=regle!$I$11,regle!$I$23,
IF(S56=regle!$J$11,regle!$J$23,
IF(S56=regle!$K$11,regle!$K$23,0))))))))))))</f>
        <v>0</v>
      </c>
      <c r="AD56" s="17">
        <f>IF($A56,$J56*(IF(T56=regle!$B$11,regle!$B$23*IF(AM56=-2,1+regle!$B$35,1),
IF(T56=regle!$C$11,regle!$C$23,
IF(T56=regle!$D$11,regle!$D$23,
IF(T56=regle!$E$11,regle!$E$23,
IF(T56=regle!$F$11,regle!$F$23,
IF(T56=regle!$G$11,regle!$G$23,
IF(T56=regle!$H$11,regle!$H$23,
IF(T56=regle!$I$11,regle!$I$23,
IF(T56=regle!$J$11,regle!$J$23,
IF(T56=regle!$K$11,regle!$K$23,0))))))))))))</f>
        <v>0</v>
      </c>
      <c r="AE56" s="17">
        <f>IF($A56,$J56*(IF(U56=regle!$B$11,regle!$B$23*IF(AN56=-2,1+regle!$B$35,1),
IF(U56=regle!$C$11,regle!$C$23,
IF(U56=regle!$D$11,regle!$D$23,
IF(U56=regle!$E$11,regle!$E$23,
IF(U56=regle!$F$11,regle!$F$23,
IF(U56=regle!$G$11,regle!$G$23,
IF(U56=regle!$H$11,regle!$H$23,
IF(U56=regle!$I$11,regle!$I$23,
IF(U56=regle!$J$11,regle!$J$23,
IF(U56=regle!$K$11,regle!$K$23,0))))))))))))</f>
        <v>0</v>
      </c>
      <c r="AF56" s="17">
        <f>IF($A56,$J56*(IF(V56=regle!$B$11,regle!$B$23*IF(AO56=-2,1+regle!$B$35,1),
IF(V56=regle!$C$11,regle!$C$23,
IF(V56=regle!$D$11,regle!$D$23,
IF(V56=regle!$E$11,regle!$E$23,
IF(V56=regle!$F$11,regle!$F$23,
IF(V56=regle!$G$11,regle!$G$23,
IF(V56=regle!$H$11,regle!$H$23,
IF(V56=regle!$I$11,regle!$I$23,
IF(V56=regle!$J$11,regle!$J$23,
IF(V56=regle!$K$11,regle!$K$23,0))))))))))))</f>
        <v>0</v>
      </c>
      <c r="AG56" s="17">
        <f>IF($A56,$J56*(IF(W56=regle!$B$11,regle!$B$23*IF(AP56=-2,1+regle!$B$35,1),
IF(W56=regle!$C$11,regle!$C$23,
IF(W56=regle!$D$11,regle!$D$23,
IF(W56=regle!$E$11,regle!$E$23,
IF(W56=regle!$F$11,regle!$F$23,
IF(W56=regle!$G$11,regle!$G$23,
IF(W56=regle!$H$11,regle!$H$23,
IF(W56=regle!$I$11,regle!$I$23,
IF(W56=regle!$J$11,regle!$J$23,
IF(W56=regle!$K$11,regle!$K$23,0))))))))))))</f>
        <v>0</v>
      </c>
      <c r="AH56" s="17">
        <f>IF($A56,$J56*(IF(X56=regle!$B$11,regle!$B$23*IF(AQ56=-2,1+regle!$B$35,1),
IF(X56=regle!$C$11,regle!$C$23,
IF(X56=regle!$D$11,regle!$D$23,
IF(X56=regle!$E$11,regle!$E$23,
IF(X56=regle!$F$11,regle!$F$23,
IF(X56=regle!$G$11,regle!$G$23,
IF(X56=regle!$H$11,regle!$H$23,
IF(X56=regle!$I$11,regle!$I$23,
IF(X56=regle!$J$11,regle!$J$23,
IF(X56=regle!$K$11,regle!$K$23,0))))))))))))</f>
        <v>0</v>
      </c>
      <c r="AI56" s="17">
        <f>IF($A56,$J56*(IF(Y56=regle!$B$11,regle!$B$23*IF(AR56=-2,1+regle!$B$35,1),
IF(Y56=regle!$C$11,regle!$C$23,
IF(Y56=regle!$D$11,regle!$D$23,
IF(Y56=regle!$E$11,regle!$E$23,
IF(Y56=regle!$F$11,regle!$F$23,
IF(Y56=regle!$G$11,regle!$G$23,
IF(Y56=regle!$H$11,regle!$H$23,
IF(Y56=regle!$I$11,regle!$I$23,
IF(Y56=regle!$J$11,regle!$J$23,
IF(Y56=regle!$K$11,regle!$K$23,0))))))))))))</f>
        <v>0</v>
      </c>
      <c r="AJ56" s="17">
        <f>IF($A56,$J56*(IF(Z56=regle!$B$11,regle!$B$23*IF(AS56=-2,1+regle!$B$35,1),
IF(Z56=regle!$C$11,regle!$C$23,
IF(Z56=regle!$D$11,regle!$D$23,
IF(Z56=regle!$E$11,regle!$E$23,
IF(Z56=regle!$F$11,regle!$F$23,
IF(Z56=regle!$G$11,regle!$G$23,
IF(Z56=regle!$H$11,regle!$H$23,
IF(Z56=regle!$I$11,regle!$I$23,
IF(Z56=regle!$J$11,regle!$J$23,
IF(Z56=regle!$K$11,regle!$K$23,0))))))))))))</f>
        <v>0</v>
      </c>
      <c r="AK56" s="16">
        <f>IF(OR(Q56=regle!$J$11,Q56=regle!$K$11),-2,IF(Q56=regle!$B$11,0,IF(AK$1=$AK$1,IF($O56,-1,regle!$B$2-$M56),IF(AJ56=-1,-1,AJ56+1))))</f>
        <v>0</v>
      </c>
      <c r="AL56" s="16">
        <f>IF(OR(R56=regle!$J$11,R56=regle!$K$11),-2,IF(R56=regle!$B$11,0,IF(AL$1=$AK$1,IF($O56,-1,regle!$B$2-$M56),IF(AK56=-1,-1,AK56+1))))</f>
        <v>1</v>
      </c>
      <c r="AM56" s="16">
        <f>IF(OR(S56=regle!$J$11,S56=regle!$K$11),-2,IF(S56=regle!$B$11,0,IF(AM$1=$AK$1,IF($O56,-1,regle!$B$2-$M56),IF(AL56=-1,-1,AL56+1))))</f>
        <v>2</v>
      </c>
      <c r="AN56" s="16">
        <f>IF(OR(T56=regle!$J$11,T56=regle!$K$11),-2,IF(T56=regle!$B$11,0,IF(AN$1=$AK$1,IF($O56,-1,regle!$B$2-$M56),IF(AM56=-1,-1,AM56+1))))</f>
        <v>3</v>
      </c>
      <c r="AO56" s="16">
        <f>IF(OR(U56=regle!$J$11,U56=regle!$K$11),-2,IF(U56=regle!$B$11,0,IF(AO$1=$AK$1,IF($O56,-1,regle!$B$2-$M56),IF(AN56=-1,-1,AN56+1))))</f>
        <v>4</v>
      </c>
      <c r="AP56" s="16">
        <f>IF(OR(V56=regle!$J$11,V56=regle!$K$11),-2,IF(V56=regle!$B$11,0,IF(AP$1=$AK$1,IF($O56,-1,regle!$B$2-$M56),IF(AO56=-1,-1,AO56+1))))</f>
        <v>5</v>
      </c>
      <c r="AQ56" s="16">
        <f>IF(OR(W56=regle!$J$11,W56=regle!$K$11),-2,IF(W56=regle!$B$11,0,IF(AQ$1=$AK$1,IF($O56,-1,regle!$B$2-$M56),IF(AP56=-1,-1,AP56+1))))</f>
        <v>6</v>
      </c>
      <c r="AR56" s="16">
        <f>IF(OR(X56=regle!$J$11,X56=regle!$K$11),-2,IF(X56=regle!$B$11,0,IF(AR$1=$AK$1,IF($O56,-1,regle!$B$2-$M56),IF(AQ56=-1,-1,AQ56+1))))</f>
        <v>7</v>
      </c>
      <c r="AS56" s="16">
        <f>IF(OR(Y56=regle!$J$11,Y56=regle!$K$11),-2,IF(Y56=regle!$B$11,0,IF(AS$1=$AK$1,IF($O56,-1,regle!$B$2-$M56),IF(AR56=-1,-1,AR56+1))))</f>
        <v>8</v>
      </c>
      <c r="AT56" s="16">
        <f>IF(OR(Z56=regle!$J$11,Z56=regle!$K$11),-2,IF(Z56=regle!$B$11,0,IF(AT$1=$AK$1,IF($O56,-1,regle!$B$2-$M56),IF(AS56=-1,-1,AS56+1))))</f>
        <v>9</v>
      </c>
    </row>
    <row r="57" spans="1:46" x14ac:dyDescent="0.25">
      <c r="A57" t="b">
        <f>modif1!A57</f>
        <v>1</v>
      </c>
      <c r="B57">
        <f>ROW(modif1!B57)</f>
        <v>57</v>
      </c>
      <c r="C57" t="str">
        <f>modif1!C60</f>
        <v>171</v>
      </c>
      <c r="D57" t="str">
        <f>modif1!D57</f>
        <v>HOSTENS</v>
      </c>
      <c r="E57">
        <f>modif1!E57</f>
        <v>7</v>
      </c>
      <c r="F57" t="str">
        <f>modif1!F57</f>
        <v>HAUDOUA</v>
      </c>
      <c r="G57" t="str">
        <f>modif1!G57</f>
        <v>0A</v>
      </c>
      <c r="H57">
        <f>modif1!H57</f>
        <v>407</v>
      </c>
      <c r="I57" t="str">
        <f>modif1!I57</f>
        <v/>
      </c>
      <c r="J57" s="11">
        <f>modif1!J57</f>
        <v>0.74950000000000006</v>
      </c>
      <c r="K57" t="str">
        <f>modif1!K57</f>
        <v>CR</v>
      </c>
      <c r="L57" t="str">
        <f>modif1!L57</f>
        <v>PM</v>
      </c>
      <c r="M57">
        <f>modif1!M57</f>
        <v>2022</v>
      </c>
      <c r="N57" t="str">
        <f>modif1!N57</f>
        <v>CR-PM_2022</v>
      </c>
      <c r="O57" t="b">
        <f>modif1!O57</f>
        <v>1</v>
      </c>
      <c r="P57">
        <v>25</v>
      </c>
      <c r="Q57" t="s">
        <v>1868</v>
      </c>
      <c r="Z57"/>
      <c r="AA57" s="17">
        <f>IF($A57,$J57*(IF(Q57=regle!$B$11,regle!$B$23*IF(AJ57=-2,1+regle!$B$35,1),
IF(Q57=regle!$C$11,regle!$C$23,
IF(Q57=regle!$D$11,regle!$D$23,
IF(Q57=regle!$E$11,regle!$E$23,
IF(Q57=regle!$F$11,regle!$F$23,
IF(Q57=regle!$G$11,regle!$G$23,
IF(Q57=regle!$H$11,regle!$H$23,
IF(Q57=regle!$I$11,regle!$I$23,
IF(Q57=regle!$J$11,regle!$J$23,
IF(Q57=regle!$K$11,regle!$K$23,0))))))))))))</f>
        <v>-1274.1500000000001</v>
      </c>
      <c r="AB57" s="17">
        <f>IF($A57,$J57*(IF(R57=regle!$B$11,regle!$B$23*IF(AK57=-2,1+regle!$B$35,1),
IF(R57=regle!$C$11,regle!$C$23,
IF(R57=regle!$D$11,regle!$D$23,
IF(R57=regle!$E$11,regle!$E$23,
IF(R57=regle!$F$11,regle!$F$23,
IF(R57=regle!$G$11,regle!$G$23,
IF(R57=regle!$H$11,regle!$H$23,
IF(R57=regle!$I$11,regle!$I$23,
IF(R57=regle!$J$11,regle!$J$23,
IF(R57=regle!$K$11,regle!$K$23,0))))))))))))</f>
        <v>0</v>
      </c>
      <c r="AC57" s="17">
        <f>IF($A57,$J57*(IF(S57=regle!$B$11,regle!$B$23*IF(AL57=-2,1+regle!$B$35,1),
IF(S57=regle!$C$11,regle!$C$23,
IF(S57=regle!$D$11,regle!$D$23,
IF(S57=regle!$E$11,regle!$E$23,
IF(S57=regle!$F$11,regle!$F$23,
IF(S57=regle!$G$11,regle!$G$23,
IF(S57=regle!$H$11,regle!$H$23,
IF(S57=regle!$I$11,regle!$I$23,
IF(S57=regle!$J$11,regle!$J$23,
IF(S57=regle!$K$11,regle!$K$23,0))))))))))))</f>
        <v>0</v>
      </c>
      <c r="AD57" s="17">
        <f>IF($A57,$J57*(IF(T57=regle!$B$11,regle!$B$23*IF(AM57=-2,1+regle!$B$35,1),
IF(T57=regle!$C$11,regle!$C$23,
IF(T57=regle!$D$11,regle!$D$23,
IF(T57=regle!$E$11,regle!$E$23,
IF(T57=regle!$F$11,regle!$F$23,
IF(T57=regle!$G$11,regle!$G$23,
IF(T57=regle!$H$11,regle!$H$23,
IF(T57=regle!$I$11,regle!$I$23,
IF(T57=regle!$J$11,regle!$J$23,
IF(T57=regle!$K$11,regle!$K$23,0))))))))))))</f>
        <v>0</v>
      </c>
      <c r="AE57" s="17">
        <f>IF($A57,$J57*(IF(U57=regle!$B$11,regle!$B$23*IF(AN57=-2,1+regle!$B$35,1),
IF(U57=regle!$C$11,regle!$C$23,
IF(U57=regle!$D$11,regle!$D$23,
IF(U57=regle!$E$11,regle!$E$23,
IF(U57=regle!$F$11,regle!$F$23,
IF(U57=regle!$G$11,regle!$G$23,
IF(U57=regle!$H$11,regle!$H$23,
IF(U57=regle!$I$11,regle!$I$23,
IF(U57=regle!$J$11,regle!$J$23,
IF(U57=regle!$K$11,regle!$K$23,0))))))))))))</f>
        <v>0</v>
      </c>
      <c r="AF57" s="17">
        <f>IF($A57,$J57*(IF(V57=regle!$B$11,regle!$B$23*IF(AO57=-2,1+regle!$B$35,1),
IF(V57=regle!$C$11,regle!$C$23,
IF(V57=regle!$D$11,regle!$D$23,
IF(V57=regle!$E$11,regle!$E$23,
IF(V57=regle!$F$11,regle!$F$23,
IF(V57=regle!$G$11,regle!$G$23,
IF(V57=regle!$H$11,regle!$H$23,
IF(V57=regle!$I$11,regle!$I$23,
IF(V57=regle!$J$11,regle!$J$23,
IF(V57=regle!$K$11,regle!$K$23,0))))))))))))</f>
        <v>0</v>
      </c>
      <c r="AG57" s="17">
        <f>IF($A57,$J57*(IF(W57=regle!$B$11,regle!$B$23*IF(AP57=-2,1+regle!$B$35,1),
IF(W57=regle!$C$11,regle!$C$23,
IF(W57=regle!$D$11,regle!$D$23,
IF(W57=regle!$E$11,regle!$E$23,
IF(W57=regle!$F$11,regle!$F$23,
IF(W57=regle!$G$11,regle!$G$23,
IF(W57=regle!$H$11,regle!$H$23,
IF(W57=regle!$I$11,regle!$I$23,
IF(W57=regle!$J$11,regle!$J$23,
IF(W57=regle!$K$11,regle!$K$23,0))))))))))))</f>
        <v>0</v>
      </c>
      <c r="AH57" s="17">
        <f>IF($A57,$J57*(IF(X57=regle!$B$11,regle!$B$23*IF(AQ57=-2,1+regle!$B$35,1),
IF(X57=regle!$C$11,regle!$C$23,
IF(X57=regle!$D$11,regle!$D$23,
IF(X57=regle!$E$11,regle!$E$23,
IF(X57=regle!$F$11,regle!$F$23,
IF(X57=regle!$G$11,regle!$G$23,
IF(X57=regle!$H$11,regle!$H$23,
IF(X57=regle!$I$11,regle!$I$23,
IF(X57=regle!$J$11,regle!$J$23,
IF(X57=regle!$K$11,regle!$K$23,0))))))))))))</f>
        <v>0</v>
      </c>
      <c r="AI57" s="17">
        <f>IF($A57,$J57*(IF(Y57=regle!$B$11,regle!$B$23*IF(AR57=-2,1+regle!$B$35,1),
IF(Y57=regle!$C$11,regle!$C$23,
IF(Y57=regle!$D$11,regle!$D$23,
IF(Y57=regle!$E$11,regle!$E$23,
IF(Y57=regle!$F$11,regle!$F$23,
IF(Y57=regle!$G$11,regle!$G$23,
IF(Y57=regle!$H$11,regle!$H$23,
IF(Y57=regle!$I$11,regle!$I$23,
IF(Y57=regle!$J$11,regle!$J$23,
IF(Y57=regle!$K$11,regle!$K$23,0))))))))))))</f>
        <v>0</v>
      </c>
      <c r="AJ57" s="17">
        <f>IF($A57,$J57*(IF(Z57=regle!$B$11,regle!$B$23*IF(AS57=-2,1+regle!$B$35,1),
IF(Z57=regle!$C$11,regle!$C$23,
IF(Z57=regle!$D$11,regle!$D$23,
IF(Z57=regle!$E$11,regle!$E$23,
IF(Z57=regle!$F$11,regle!$F$23,
IF(Z57=regle!$G$11,regle!$G$23,
IF(Z57=regle!$H$11,regle!$H$23,
IF(Z57=regle!$I$11,regle!$I$23,
IF(Z57=regle!$J$11,regle!$J$23,
IF(Z57=regle!$K$11,regle!$K$23,0))))))))))))</f>
        <v>0</v>
      </c>
      <c r="AK57" s="16">
        <f>IF(OR(Q57=regle!$J$11,Q57=regle!$K$11),-2,IF(Q57=regle!$B$11,0,IF(AK$1=$AK$1,IF($O57,-1,regle!$B$2-$M57),IF(AJ57=-1,-1,AJ57+1))))</f>
        <v>0</v>
      </c>
      <c r="AL57" s="16">
        <f>IF(OR(R57=regle!$J$11,R57=regle!$K$11),-2,IF(R57=regle!$B$11,0,IF(AL$1=$AK$1,IF($O57,-1,regle!$B$2-$M57),IF(AK57=-1,-1,AK57+1))))</f>
        <v>1</v>
      </c>
      <c r="AM57" s="16">
        <f>IF(OR(S57=regle!$J$11,S57=regle!$K$11),-2,IF(S57=regle!$B$11,0,IF(AM$1=$AK$1,IF($O57,-1,regle!$B$2-$M57),IF(AL57=-1,-1,AL57+1))))</f>
        <v>2</v>
      </c>
      <c r="AN57" s="16">
        <f>IF(OR(T57=regle!$J$11,T57=regle!$K$11),-2,IF(T57=regle!$B$11,0,IF(AN$1=$AK$1,IF($O57,-1,regle!$B$2-$M57),IF(AM57=-1,-1,AM57+1))))</f>
        <v>3</v>
      </c>
      <c r="AO57" s="16">
        <f>IF(OR(U57=regle!$J$11,U57=regle!$K$11),-2,IF(U57=regle!$B$11,0,IF(AO$1=$AK$1,IF($O57,-1,regle!$B$2-$M57),IF(AN57=-1,-1,AN57+1))))</f>
        <v>4</v>
      </c>
      <c r="AP57" s="16">
        <f>IF(OR(V57=regle!$J$11,V57=regle!$K$11),-2,IF(V57=regle!$B$11,0,IF(AP$1=$AK$1,IF($O57,-1,regle!$B$2-$M57),IF(AO57=-1,-1,AO57+1))))</f>
        <v>5</v>
      </c>
      <c r="AQ57" s="16">
        <f>IF(OR(W57=regle!$J$11,W57=regle!$K$11),-2,IF(W57=regle!$B$11,0,IF(AQ$1=$AK$1,IF($O57,-1,regle!$B$2-$M57),IF(AP57=-1,-1,AP57+1))))</f>
        <v>6</v>
      </c>
      <c r="AR57" s="16">
        <f>IF(OR(X57=regle!$J$11,X57=regle!$K$11),-2,IF(X57=regle!$B$11,0,IF(AR$1=$AK$1,IF($O57,-1,regle!$B$2-$M57),IF(AQ57=-1,-1,AQ57+1))))</f>
        <v>7</v>
      </c>
      <c r="AS57" s="16">
        <f>IF(OR(Y57=regle!$J$11,Y57=regle!$K$11),-2,IF(Y57=regle!$B$11,0,IF(AS$1=$AK$1,IF($O57,-1,regle!$B$2-$M57),IF(AR57=-1,-1,AR57+1))))</f>
        <v>8</v>
      </c>
      <c r="AT57" s="16">
        <f>IF(OR(Z57=regle!$J$11,Z57=regle!$K$11),-2,IF(Z57=regle!$B$11,0,IF(AT$1=$AK$1,IF($O57,-1,regle!$B$2-$M57),IF(AS57=-1,-1,AS57+1))))</f>
        <v>9</v>
      </c>
    </row>
    <row r="58" spans="1:46" x14ac:dyDescent="0.25">
      <c r="A58" t="b">
        <f>modif1!A58</f>
        <v>1</v>
      </c>
      <c r="B58">
        <f>ROW(modif1!B58)</f>
        <v>58</v>
      </c>
      <c r="C58" t="str">
        <f>modif1!C61</f>
        <v>171</v>
      </c>
      <c r="D58" t="str">
        <f>modif1!D58</f>
        <v>MANO</v>
      </c>
      <c r="E58">
        <f>modif1!E58</f>
        <v>17</v>
      </c>
      <c r="F58" t="str">
        <f>modif1!F58</f>
        <v>LANDE DE TABARTON</v>
      </c>
      <c r="G58" t="str">
        <f>modif1!G58</f>
        <v>0B</v>
      </c>
      <c r="H58">
        <f>modif1!H58</f>
        <v>247</v>
      </c>
      <c r="I58" t="str">
        <f>modif1!I58</f>
        <v/>
      </c>
      <c r="J58" s="11">
        <f>modif1!J58</f>
        <v>0.6</v>
      </c>
      <c r="K58" t="str">
        <f>modif1!K58</f>
        <v>CR</v>
      </c>
      <c r="L58" t="str">
        <f>modif1!L58</f>
        <v>PM</v>
      </c>
      <c r="M58">
        <f>modif1!M58</f>
        <v>2022</v>
      </c>
      <c r="N58" t="str">
        <f>modif1!N58</f>
        <v>CR-PM_2022</v>
      </c>
      <c r="O58" t="b">
        <f>modif1!O58</f>
        <v>1</v>
      </c>
      <c r="P58">
        <v>25</v>
      </c>
      <c r="Q58" s="22"/>
      <c r="R58" t="s">
        <v>1868</v>
      </c>
      <c r="Z58"/>
      <c r="AA58" s="17">
        <f>IF($A58,$J58*(IF(Q58=regle!$B$11,regle!$B$23*IF(AJ58=-2,1+regle!$B$35,1),
IF(Q58=regle!$C$11,regle!$C$23,
IF(Q58=regle!$D$11,regle!$D$23,
IF(Q58=regle!$E$11,regle!$E$23,
IF(Q58=regle!$F$11,regle!$F$23,
IF(Q58=regle!$G$11,regle!$G$23,
IF(Q58=regle!$H$11,regle!$H$23,
IF(Q58=regle!$I$11,regle!$I$23,
IF(Q58=regle!$J$11,regle!$J$23,
IF(Q58=regle!$K$11,regle!$K$23,0))))))))))))</f>
        <v>0</v>
      </c>
      <c r="AB58" s="17">
        <f>IF($A58,$J58*(IF(R58=regle!$B$11,regle!$B$23*IF(AK58=-2,1+regle!$B$35,1),
IF(R58=regle!$C$11,regle!$C$23,
IF(R58=regle!$D$11,regle!$D$23,
IF(R58=regle!$E$11,regle!$E$23,
IF(R58=regle!$F$11,regle!$F$23,
IF(R58=regle!$G$11,regle!$G$23,
IF(R58=regle!$H$11,regle!$H$23,
IF(R58=regle!$I$11,regle!$I$23,
IF(R58=regle!$J$11,regle!$J$23,
IF(R58=regle!$K$11,regle!$K$23,0))))))))))))</f>
        <v>-1020</v>
      </c>
      <c r="AC58" s="17">
        <f>IF($A58,$J58*(IF(S58=regle!$B$11,regle!$B$23*IF(AL58=-2,1+regle!$B$35,1),
IF(S58=regle!$C$11,regle!$C$23,
IF(S58=regle!$D$11,regle!$D$23,
IF(S58=regle!$E$11,regle!$E$23,
IF(S58=regle!$F$11,regle!$F$23,
IF(S58=regle!$G$11,regle!$G$23,
IF(S58=regle!$H$11,regle!$H$23,
IF(S58=regle!$I$11,regle!$I$23,
IF(S58=regle!$J$11,regle!$J$23,
IF(S58=regle!$K$11,regle!$K$23,0))))))))))))</f>
        <v>0</v>
      </c>
      <c r="AD58" s="17">
        <f>IF($A58,$J58*(IF(T58=regle!$B$11,regle!$B$23*IF(AM58=-2,1+regle!$B$35,1),
IF(T58=regle!$C$11,regle!$C$23,
IF(T58=regle!$D$11,regle!$D$23,
IF(T58=regle!$E$11,regle!$E$23,
IF(T58=regle!$F$11,regle!$F$23,
IF(T58=regle!$G$11,regle!$G$23,
IF(T58=regle!$H$11,regle!$H$23,
IF(T58=regle!$I$11,regle!$I$23,
IF(T58=regle!$J$11,regle!$J$23,
IF(T58=regle!$K$11,regle!$K$23,0))))))))))))</f>
        <v>0</v>
      </c>
      <c r="AE58" s="17">
        <f>IF($A58,$J58*(IF(U58=regle!$B$11,regle!$B$23*IF(AN58=-2,1+regle!$B$35,1),
IF(U58=regle!$C$11,regle!$C$23,
IF(U58=regle!$D$11,regle!$D$23,
IF(U58=regle!$E$11,regle!$E$23,
IF(U58=regle!$F$11,regle!$F$23,
IF(U58=regle!$G$11,regle!$G$23,
IF(U58=regle!$H$11,regle!$H$23,
IF(U58=regle!$I$11,regle!$I$23,
IF(U58=regle!$J$11,regle!$J$23,
IF(U58=regle!$K$11,regle!$K$23,0))))))))))))</f>
        <v>0</v>
      </c>
      <c r="AF58" s="17">
        <f>IF($A58,$J58*(IF(V58=regle!$B$11,regle!$B$23*IF(AO58=-2,1+regle!$B$35,1),
IF(V58=regle!$C$11,regle!$C$23,
IF(V58=regle!$D$11,regle!$D$23,
IF(V58=regle!$E$11,regle!$E$23,
IF(V58=regle!$F$11,regle!$F$23,
IF(V58=regle!$G$11,regle!$G$23,
IF(V58=regle!$H$11,regle!$H$23,
IF(V58=regle!$I$11,regle!$I$23,
IF(V58=regle!$J$11,regle!$J$23,
IF(V58=regle!$K$11,regle!$K$23,0))))))))))))</f>
        <v>0</v>
      </c>
      <c r="AG58" s="17">
        <f>IF($A58,$J58*(IF(W58=regle!$B$11,regle!$B$23*IF(AP58=-2,1+regle!$B$35,1),
IF(W58=regle!$C$11,regle!$C$23,
IF(W58=regle!$D$11,regle!$D$23,
IF(W58=regle!$E$11,regle!$E$23,
IF(W58=regle!$F$11,regle!$F$23,
IF(W58=regle!$G$11,regle!$G$23,
IF(W58=regle!$H$11,regle!$H$23,
IF(W58=regle!$I$11,regle!$I$23,
IF(W58=regle!$J$11,regle!$J$23,
IF(W58=regle!$K$11,regle!$K$23,0))))))))))))</f>
        <v>0</v>
      </c>
      <c r="AH58" s="17">
        <f>IF($A58,$J58*(IF(X58=regle!$B$11,regle!$B$23*IF(AQ58=-2,1+regle!$B$35,1),
IF(X58=regle!$C$11,regle!$C$23,
IF(X58=regle!$D$11,regle!$D$23,
IF(X58=regle!$E$11,regle!$E$23,
IF(X58=regle!$F$11,regle!$F$23,
IF(X58=regle!$G$11,regle!$G$23,
IF(X58=regle!$H$11,regle!$H$23,
IF(X58=regle!$I$11,regle!$I$23,
IF(X58=regle!$J$11,regle!$J$23,
IF(X58=regle!$K$11,regle!$K$23,0))))))))))))</f>
        <v>0</v>
      </c>
      <c r="AI58" s="17">
        <f>IF($A58,$J58*(IF(Y58=regle!$B$11,regle!$B$23*IF(AR58=-2,1+regle!$B$35,1),
IF(Y58=regle!$C$11,regle!$C$23,
IF(Y58=regle!$D$11,regle!$D$23,
IF(Y58=regle!$E$11,regle!$E$23,
IF(Y58=regle!$F$11,regle!$F$23,
IF(Y58=regle!$G$11,regle!$G$23,
IF(Y58=regle!$H$11,regle!$H$23,
IF(Y58=regle!$I$11,regle!$I$23,
IF(Y58=regle!$J$11,regle!$J$23,
IF(Y58=regle!$K$11,regle!$K$23,0))))))))))))</f>
        <v>0</v>
      </c>
      <c r="AJ58" s="17">
        <f>IF($A58,$J58*(IF(Z58=regle!$B$11,regle!$B$23*IF(AS58=-2,1+regle!$B$35,1),
IF(Z58=regle!$C$11,regle!$C$23,
IF(Z58=regle!$D$11,regle!$D$23,
IF(Z58=regle!$E$11,regle!$E$23,
IF(Z58=regle!$F$11,regle!$F$23,
IF(Z58=regle!$G$11,regle!$G$23,
IF(Z58=regle!$H$11,regle!$H$23,
IF(Z58=regle!$I$11,regle!$I$23,
IF(Z58=regle!$J$11,regle!$J$23,
IF(Z58=regle!$K$11,regle!$K$23,0))))))))))))</f>
        <v>0</v>
      </c>
      <c r="AK58" s="16">
        <f>IF(OR(Q58=regle!$J$11,Q58=regle!$K$11),-2,IF(Q58=regle!$B$11,0,IF(AK$1=$AK$1,IF($O58,-1,regle!$B$2-$M58),IF(AJ58=-1,-1,AJ58+1))))</f>
        <v>-1</v>
      </c>
      <c r="AL58" s="16">
        <f>IF(OR(R58=regle!$J$11,R58=regle!$K$11),-2,IF(R58=regle!$B$11,0,IF(AL$1=$AK$1,IF($O58,-1,regle!$B$2-$M58),IF(AK58=-1,-1,AK58+1))))</f>
        <v>0</v>
      </c>
      <c r="AM58" s="16">
        <f>IF(OR(S58=regle!$J$11,S58=regle!$K$11),-2,IF(S58=regle!$B$11,0,IF(AM$1=$AK$1,IF($O58,-1,regle!$B$2-$M58),IF(AL58=-1,-1,AL58+1))))</f>
        <v>1</v>
      </c>
      <c r="AN58" s="16">
        <f>IF(OR(T58=regle!$J$11,T58=regle!$K$11),-2,IF(T58=regle!$B$11,0,IF(AN$1=$AK$1,IF($O58,-1,regle!$B$2-$M58),IF(AM58=-1,-1,AM58+1))))</f>
        <v>2</v>
      </c>
      <c r="AO58" s="16">
        <f>IF(OR(U58=regle!$J$11,U58=regle!$K$11),-2,IF(U58=regle!$B$11,0,IF(AO$1=$AK$1,IF($O58,-1,regle!$B$2-$M58),IF(AN58=-1,-1,AN58+1))))</f>
        <v>3</v>
      </c>
      <c r="AP58" s="16">
        <f>IF(OR(V58=regle!$J$11,V58=regle!$K$11),-2,IF(V58=regle!$B$11,0,IF(AP$1=$AK$1,IF($O58,-1,regle!$B$2-$M58),IF(AO58=-1,-1,AO58+1))))</f>
        <v>4</v>
      </c>
      <c r="AQ58" s="16">
        <f>IF(OR(W58=regle!$J$11,W58=regle!$K$11),-2,IF(W58=regle!$B$11,0,IF(AQ$1=$AK$1,IF($O58,-1,regle!$B$2-$M58),IF(AP58=-1,-1,AP58+1))))</f>
        <v>5</v>
      </c>
      <c r="AR58" s="16">
        <f>IF(OR(X58=regle!$J$11,X58=regle!$K$11),-2,IF(X58=regle!$B$11,0,IF(AR$1=$AK$1,IF($O58,-1,regle!$B$2-$M58),IF(AQ58=-1,-1,AQ58+1))))</f>
        <v>6</v>
      </c>
      <c r="AS58" s="16">
        <f>IF(OR(Y58=regle!$J$11,Y58=regle!$K$11),-2,IF(Y58=regle!$B$11,0,IF(AS$1=$AK$1,IF($O58,-1,regle!$B$2-$M58),IF(AR58=-1,-1,AR58+1))))</f>
        <v>7</v>
      </c>
      <c r="AT58" s="16">
        <f>IF(OR(Z58=regle!$J$11,Z58=regle!$K$11),-2,IF(Z58=regle!$B$11,0,IF(AT$1=$AK$1,IF($O58,-1,regle!$B$2-$M58),IF(AS58=-1,-1,AS58+1))))</f>
        <v>8</v>
      </c>
    </row>
    <row r="59" spans="1:46" x14ac:dyDescent="0.25">
      <c r="A59" t="b">
        <f>modif1!A59</f>
        <v>1</v>
      </c>
      <c r="B59">
        <f>ROW(modif1!B59)</f>
        <v>59</v>
      </c>
      <c r="C59" t="str">
        <f>modif1!C62</f>
        <v>171</v>
      </c>
      <c r="D59" t="str">
        <f>modif1!D59</f>
        <v>MOUSTEY</v>
      </c>
      <c r="E59">
        <f>modif1!E59</f>
        <v>5</v>
      </c>
      <c r="F59" t="str">
        <f>modif1!F59</f>
        <v>Plata</v>
      </c>
      <c r="G59" t="str">
        <f>modif1!G59</f>
        <v>0M</v>
      </c>
      <c r="H59">
        <f>modif1!H59</f>
        <v>20</v>
      </c>
      <c r="I59" t="str">
        <f>modif1!I59</f>
        <v/>
      </c>
      <c r="J59" s="11">
        <f>modif1!J59</f>
        <v>0.59399999999999997</v>
      </c>
      <c r="K59" t="str">
        <f>modif1!K59</f>
        <v>CR</v>
      </c>
      <c r="L59" t="str">
        <f>modif1!L59</f>
        <v>PM</v>
      </c>
      <c r="M59">
        <f>modif1!M59</f>
        <v>2022</v>
      </c>
      <c r="N59" t="str">
        <f>modif1!N59</f>
        <v>CR-PM_2022</v>
      </c>
      <c r="O59" t="b">
        <f>modif1!O59</f>
        <v>1</v>
      </c>
      <c r="P59">
        <v>25</v>
      </c>
      <c r="Q59" t="s">
        <v>1868</v>
      </c>
      <c r="Z59"/>
      <c r="AA59" s="17">
        <f>IF($A59,$J59*(IF(Q59=regle!$B$11,regle!$B$23*IF(AJ59=-2,1+regle!$B$35,1),
IF(Q59=regle!$C$11,regle!$C$23,
IF(Q59=regle!$D$11,regle!$D$23,
IF(Q59=regle!$E$11,regle!$E$23,
IF(Q59=regle!$F$11,regle!$F$23,
IF(Q59=regle!$G$11,regle!$G$23,
IF(Q59=regle!$H$11,regle!$H$23,
IF(Q59=regle!$I$11,regle!$I$23,
IF(Q59=regle!$J$11,regle!$J$23,
IF(Q59=regle!$K$11,regle!$K$23,0))))))))))))</f>
        <v>-1009.8</v>
      </c>
      <c r="AB59" s="17">
        <f>IF($A59,$J59*(IF(R59=regle!$B$11,regle!$B$23*IF(AK59=-2,1+regle!$B$35,1),
IF(R59=regle!$C$11,regle!$C$23,
IF(R59=regle!$D$11,regle!$D$23,
IF(R59=regle!$E$11,regle!$E$23,
IF(R59=regle!$F$11,regle!$F$23,
IF(R59=regle!$G$11,regle!$G$23,
IF(R59=regle!$H$11,regle!$H$23,
IF(R59=regle!$I$11,regle!$I$23,
IF(R59=regle!$J$11,regle!$J$23,
IF(R59=regle!$K$11,regle!$K$23,0))))))))))))</f>
        <v>0</v>
      </c>
      <c r="AC59" s="17">
        <f>IF($A59,$J59*(IF(S59=regle!$B$11,regle!$B$23*IF(AL59=-2,1+regle!$B$35,1),
IF(S59=regle!$C$11,regle!$C$23,
IF(S59=regle!$D$11,regle!$D$23,
IF(S59=regle!$E$11,regle!$E$23,
IF(S59=regle!$F$11,regle!$F$23,
IF(S59=regle!$G$11,regle!$G$23,
IF(S59=regle!$H$11,regle!$H$23,
IF(S59=regle!$I$11,regle!$I$23,
IF(S59=regle!$J$11,regle!$J$23,
IF(S59=regle!$K$11,regle!$K$23,0))))))))))))</f>
        <v>0</v>
      </c>
      <c r="AD59" s="17">
        <f>IF($A59,$J59*(IF(T59=regle!$B$11,regle!$B$23*IF(AM59=-2,1+regle!$B$35,1),
IF(T59=regle!$C$11,regle!$C$23,
IF(T59=regle!$D$11,regle!$D$23,
IF(T59=regle!$E$11,regle!$E$23,
IF(T59=regle!$F$11,regle!$F$23,
IF(T59=regle!$G$11,regle!$G$23,
IF(T59=regle!$H$11,regle!$H$23,
IF(T59=regle!$I$11,regle!$I$23,
IF(T59=regle!$J$11,regle!$J$23,
IF(T59=regle!$K$11,regle!$K$23,0))))))))))))</f>
        <v>0</v>
      </c>
      <c r="AE59" s="17">
        <f>IF($A59,$J59*(IF(U59=regle!$B$11,regle!$B$23*IF(AN59=-2,1+regle!$B$35,1),
IF(U59=regle!$C$11,regle!$C$23,
IF(U59=regle!$D$11,regle!$D$23,
IF(U59=regle!$E$11,regle!$E$23,
IF(U59=regle!$F$11,regle!$F$23,
IF(U59=regle!$G$11,regle!$G$23,
IF(U59=regle!$H$11,regle!$H$23,
IF(U59=regle!$I$11,regle!$I$23,
IF(U59=regle!$J$11,regle!$J$23,
IF(U59=regle!$K$11,regle!$K$23,0))))))))))))</f>
        <v>0</v>
      </c>
      <c r="AF59" s="17">
        <f>IF($A59,$J59*(IF(V59=regle!$B$11,regle!$B$23*IF(AO59=-2,1+regle!$B$35,1),
IF(V59=regle!$C$11,regle!$C$23,
IF(V59=regle!$D$11,regle!$D$23,
IF(V59=regle!$E$11,regle!$E$23,
IF(V59=regle!$F$11,regle!$F$23,
IF(V59=regle!$G$11,regle!$G$23,
IF(V59=regle!$H$11,regle!$H$23,
IF(V59=regle!$I$11,regle!$I$23,
IF(V59=regle!$J$11,regle!$J$23,
IF(V59=regle!$K$11,regle!$K$23,0))))))))))))</f>
        <v>0</v>
      </c>
      <c r="AG59" s="17">
        <f>IF($A59,$J59*(IF(W59=regle!$B$11,regle!$B$23*IF(AP59=-2,1+regle!$B$35,1),
IF(W59=regle!$C$11,regle!$C$23,
IF(W59=regle!$D$11,regle!$D$23,
IF(W59=regle!$E$11,regle!$E$23,
IF(W59=regle!$F$11,regle!$F$23,
IF(W59=regle!$G$11,regle!$G$23,
IF(W59=regle!$H$11,regle!$H$23,
IF(W59=regle!$I$11,regle!$I$23,
IF(W59=regle!$J$11,regle!$J$23,
IF(W59=regle!$K$11,regle!$K$23,0))))))))))))</f>
        <v>0</v>
      </c>
      <c r="AH59" s="17">
        <f>IF($A59,$J59*(IF(X59=regle!$B$11,regle!$B$23*IF(AQ59=-2,1+regle!$B$35,1),
IF(X59=regle!$C$11,regle!$C$23,
IF(X59=regle!$D$11,regle!$D$23,
IF(X59=regle!$E$11,regle!$E$23,
IF(X59=regle!$F$11,regle!$F$23,
IF(X59=regle!$G$11,regle!$G$23,
IF(X59=regle!$H$11,regle!$H$23,
IF(X59=regle!$I$11,regle!$I$23,
IF(X59=regle!$J$11,regle!$J$23,
IF(X59=regle!$K$11,regle!$K$23,0))))))))))))</f>
        <v>0</v>
      </c>
      <c r="AI59" s="17">
        <f>IF($A59,$J59*(IF(Y59=regle!$B$11,regle!$B$23*IF(AR59=-2,1+regle!$B$35,1),
IF(Y59=regle!$C$11,regle!$C$23,
IF(Y59=regle!$D$11,regle!$D$23,
IF(Y59=regle!$E$11,regle!$E$23,
IF(Y59=regle!$F$11,regle!$F$23,
IF(Y59=regle!$G$11,regle!$G$23,
IF(Y59=regle!$H$11,regle!$H$23,
IF(Y59=regle!$I$11,regle!$I$23,
IF(Y59=regle!$J$11,regle!$J$23,
IF(Y59=regle!$K$11,regle!$K$23,0))))))))))))</f>
        <v>0</v>
      </c>
      <c r="AJ59" s="17">
        <f>IF($A59,$J59*(IF(Z59=regle!$B$11,regle!$B$23*IF(AS59=-2,1+regle!$B$35,1),
IF(Z59=regle!$C$11,regle!$C$23,
IF(Z59=regle!$D$11,regle!$D$23,
IF(Z59=regle!$E$11,regle!$E$23,
IF(Z59=regle!$F$11,regle!$F$23,
IF(Z59=regle!$G$11,regle!$G$23,
IF(Z59=regle!$H$11,regle!$H$23,
IF(Z59=regle!$I$11,regle!$I$23,
IF(Z59=regle!$J$11,regle!$J$23,
IF(Z59=regle!$K$11,regle!$K$23,0))))))))))))</f>
        <v>0</v>
      </c>
      <c r="AK59" s="16">
        <f>IF(OR(Q59=regle!$J$11,Q59=regle!$K$11),-2,IF(Q59=regle!$B$11,0,IF(AK$1=$AK$1,IF($O59,-1,regle!$B$2-$M59),IF(AJ59=-1,-1,AJ59+1))))</f>
        <v>0</v>
      </c>
      <c r="AL59" s="16">
        <f>IF(OR(R59=regle!$J$11,R59=regle!$K$11),-2,IF(R59=regle!$B$11,0,IF(AL$1=$AK$1,IF($O59,-1,regle!$B$2-$M59),IF(AK59=-1,-1,AK59+1))))</f>
        <v>1</v>
      </c>
      <c r="AM59" s="16">
        <f>IF(OR(S59=regle!$J$11,S59=regle!$K$11),-2,IF(S59=regle!$B$11,0,IF(AM$1=$AK$1,IF($O59,-1,regle!$B$2-$M59),IF(AL59=-1,-1,AL59+1))))</f>
        <v>2</v>
      </c>
      <c r="AN59" s="16">
        <f>IF(OR(T59=regle!$J$11,T59=regle!$K$11),-2,IF(T59=regle!$B$11,0,IF(AN$1=$AK$1,IF($O59,-1,regle!$B$2-$M59),IF(AM59=-1,-1,AM59+1))))</f>
        <v>3</v>
      </c>
      <c r="AO59" s="16">
        <f>IF(OR(U59=regle!$J$11,U59=regle!$K$11),-2,IF(U59=regle!$B$11,0,IF(AO$1=$AK$1,IF($O59,-1,regle!$B$2-$M59),IF(AN59=-1,-1,AN59+1))))</f>
        <v>4</v>
      </c>
      <c r="AP59" s="16">
        <f>IF(OR(V59=regle!$J$11,V59=regle!$K$11),-2,IF(V59=regle!$B$11,0,IF(AP$1=$AK$1,IF($O59,-1,regle!$B$2-$M59),IF(AO59=-1,-1,AO59+1))))</f>
        <v>5</v>
      </c>
      <c r="AQ59" s="16">
        <f>IF(OR(W59=regle!$J$11,W59=regle!$K$11),-2,IF(W59=regle!$B$11,0,IF(AQ$1=$AK$1,IF($O59,-1,regle!$B$2-$M59),IF(AP59=-1,-1,AP59+1))))</f>
        <v>6</v>
      </c>
      <c r="AR59" s="16">
        <f>IF(OR(X59=regle!$J$11,X59=regle!$K$11),-2,IF(X59=regle!$B$11,0,IF(AR$1=$AK$1,IF($O59,-1,regle!$B$2-$M59),IF(AQ59=-1,-1,AQ59+1))))</f>
        <v>7</v>
      </c>
      <c r="AS59" s="16">
        <f>IF(OR(Y59=regle!$J$11,Y59=regle!$K$11),-2,IF(Y59=regle!$B$11,0,IF(AS$1=$AK$1,IF($O59,-1,regle!$B$2-$M59),IF(AR59=-1,-1,AR59+1))))</f>
        <v>8</v>
      </c>
      <c r="AT59" s="16">
        <f>IF(OR(Z59=regle!$J$11,Z59=regle!$K$11),-2,IF(Z59=regle!$B$11,0,IF(AT$1=$AK$1,IF($O59,-1,regle!$B$2-$M59),IF(AS59=-1,-1,AS59+1))))</f>
        <v>9</v>
      </c>
    </row>
    <row r="60" spans="1:46" x14ac:dyDescent="0.25">
      <c r="A60" t="b">
        <f>modif1!A60</f>
        <v>1</v>
      </c>
      <c r="B60">
        <f>ROW(modif1!B60)</f>
        <v>60</v>
      </c>
      <c r="C60" t="str">
        <f>modif1!C63</f>
        <v>171</v>
      </c>
      <c r="D60" t="str">
        <f>modif1!D60</f>
        <v>MANO</v>
      </c>
      <c r="E60">
        <f>modif1!E60</f>
        <v>17</v>
      </c>
      <c r="F60" t="str">
        <f>modif1!F60</f>
        <v>LANDE DE TABARTON</v>
      </c>
      <c r="G60" t="str">
        <f>modif1!G60</f>
        <v>0B</v>
      </c>
      <c r="H60">
        <f>modif1!H60</f>
        <v>313</v>
      </c>
      <c r="I60" t="str">
        <f>modif1!I60</f>
        <v/>
      </c>
      <c r="J60" s="11">
        <f>modif1!J60</f>
        <v>0.59219999999999995</v>
      </c>
      <c r="K60" t="str">
        <f>modif1!K60</f>
        <v>CR</v>
      </c>
      <c r="L60" t="str">
        <f>modif1!L60</f>
        <v>PM</v>
      </c>
      <c r="M60">
        <f>modif1!M60</f>
        <v>2022</v>
      </c>
      <c r="N60" t="str">
        <f>modif1!N60</f>
        <v>CR-PM_2022</v>
      </c>
      <c r="O60" t="b">
        <f>modif1!O60</f>
        <v>1</v>
      </c>
      <c r="P60">
        <v>25</v>
      </c>
      <c r="Q60" t="s">
        <v>1868</v>
      </c>
      <c r="Z60"/>
      <c r="AA60" s="17">
        <f>IF($A60,$J60*(IF(Q60=regle!$B$11,regle!$B$23*IF(AJ60=-2,1+regle!$B$35,1),
IF(Q60=regle!$C$11,regle!$C$23,
IF(Q60=regle!$D$11,regle!$D$23,
IF(Q60=regle!$E$11,regle!$E$23,
IF(Q60=regle!$F$11,regle!$F$23,
IF(Q60=regle!$G$11,regle!$G$23,
IF(Q60=regle!$H$11,regle!$H$23,
IF(Q60=regle!$I$11,regle!$I$23,
IF(Q60=regle!$J$11,regle!$J$23,
IF(Q60=regle!$K$11,regle!$K$23,0))))))))))))</f>
        <v>-1006.7399999999999</v>
      </c>
      <c r="AB60" s="17">
        <f>IF($A60,$J60*(IF(R60=regle!$B$11,regle!$B$23*IF(AK60=-2,1+regle!$B$35,1),
IF(R60=regle!$C$11,regle!$C$23,
IF(R60=regle!$D$11,regle!$D$23,
IF(R60=regle!$E$11,regle!$E$23,
IF(R60=regle!$F$11,regle!$F$23,
IF(R60=regle!$G$11,regle!$G$23,
IF(R60=regle!$H$11,regle!$H$23,
IF(R60=regle!$I$11,regle!$I$23,
IF(R60=regle!$J$11,regle!$J$23,
IF(R60=regle!$K$11,regle!$K$23,0))))))))))))</f>
        <v>0</v>
      </c>
      <c r="AC60" s="17">
        <f>IF($A60,$J60*(IF(S60=regle!$B$11,regle!$B$23*IF(AL60=-2,1+regle!$B$35,1),
IF(S60=regle!$C$11,regle!$C$23,
IF(S60=regle!$D$11,regle!$D$23,
IF(S60=regle!$E$11,regle!$E$23,
IF(S60=regle!$F$11,regle!$F$23,
IF(S60=regle!$G$11,regle!$G$23,
IF(S60=regle!$H$11,regle!$H$23,
IF(S60=regle!$I$11,regle!$I$23,
IF(S60=regle!$J$11,regle!$J$23,
IF(S60=regle!$K$11,regle!$K$23,0))))))))))))</f>
        <v>0</v>
      </c>
      <c r="AD60" s="17">
        <f>IF($A60,$J60*(IF(T60=regle!$B$11,regle!$B$23*IF(AM60=-2,1+regle!$B$35,1),
IF(T60=regle!$C$11,regle!$C$23,
IF(T60=regle!$D$11,regle!$D$23,
IF(T60=regle!$E$11,regle!$E$23,
IF(T60=regle!$F$11,regle!$F$23,
IF(T60=regle!$G$11,regle!$G$23,
IF(T60=regle!$H$11,regle!$H$23,
IF(T60=regle!$I$11,regle!$I$23,
IF(T60=regle!$J$11,regle!$J$23,
IF(T60=regle!$K$11,regle!$K$23,0))))))))))))</f>
        <v>0</v>
      </c>
      <c r="AE60" s="17">
        <f>IF($A60,$J60*(IF(U60=regle!$B$11,regle!$B$23*IF(AN60=-2,1+regle!$B$35,1),
IF(U60=regle!$C$11,regle!$C$23,
IF(U60=regle!$D$11,regle!$D$23,
IF(U60=regle!$E$11,regle!$E$23,
IF(U60=regle!$F$11,regle!$F$23,
IF(U60=regle!$G$11,regle!$G$23,
IF(U60=regle!$H$11,regle!$H$23,
IF(U60=regle!$I$11,regle!$I$23,
IF(U60=regle!$J$11,regle!$J$23,
IF(U60=regle!$K$11,regle!$K$23,0))))))))))))</f>
        <v>0</v>
      </c>
      <c r="AF60" s="17">
        <f>IF($A60,$J60*(IF(V60=regle!$B$11,regle!$B$23*IF(AO60=-2,1+regle!$B$35,1),
IF(V60=regle!$C$11,regle!$C$23,
IF(V60=regle!$D$11,regle!$D$23,
IF(V60=regle!$E$11,regle!$E$23,
IF(V60=regle!$F$11,regle!$F$23,
IF(V60=regle!$G$11,regle!$G$23,
IF(V60=regle!$H$11,regle!$H$23,
IF(V60=regle!$I$11,regle!$I$23,
IF(V60=regle!$J$11,regle!$J$23,
IF(V60=regle!$K$11,regle!$K$23,0))))))))))))</f>
        <v>0</v>
      </c>
      <c r="AG60" s="17">
        <f>IF($A60,$J60*(IF(W60=regle!$B$11,regle!$B$23*IF(AP60=-2,1+regle!$B$35,1),
IF(W60=regle!$C$11,regle!$C$23,
IF(W60=regle!$D$11,regle!$D$23,
IF(W60=regle!$E$11,regle!$E$23,
IF(W60=regle!$F$11,regle!$F$23,
IF(W60=regle!$G$11,regle!$G$23,
IF(W60=regle!$H$11,regle!$H$23,
IF(W60=regle!$I$11,regle!$I$23,
IF(W60=regle!$J$11,regle!$J$23,
IF(W60=regle!$K$11,regle!$K$23,0))))))))))))</f>
        <v>0</v>
      </c>
      <c r="AH60" s="17">
        <f>IF($A60,$J60*(IF(X60=regle!$B$11,regle!$B$23*IF(AQ60=-2,1+regle!$B$35,1),
IF(X60=regle!$C$11,regle!$C$23,
IF(X60=regle!$D$11,regle!$D$23,
IF(X60=regle!$E$11,regle!$E$23,
IF(X60=regle!$F$11,regle!$F$23,
IF(X60=regle!$G$11,regle!$G$23,
IF(X60=regle!$H$11,regle!$H$23,
IF(X60=regle!$I$11,regle!$I$23,
IF(X60=regle!$J$11,regle!$J$23,
IF(X60=regle!$K$11,regle!$K$23,0))))))))))))</f>
        <v>0</v>
      </c>
      <c r="AI60" s="17">
        <f>IF($A60,$J60*(IF(Y60=regle!$B$11,regle!$B$23*IF(AR60=-2,1+regle!$B$35,1),
IF(Y60=regle!$C$11,regle!$C$23,
IF(Y60=regle!$D$11,regle!$D$23,
IF(Y60=regle!$E$11,regle!$E$23,
IF(Y60=regle!$F$11,regle!$F$23,
IF(Y60=regle!$G$11,regle!$G$23,
IF(Y60=regle!$H$11,regle!$H$23,
IF(Y60=regle!$I$11,regle!$I$23,
IF(Y60=regle!$J$11,regle!$J$23,
IF(Y60=regle!$K$11,regle!$K$23,0))))))))))))</f>
        <v>0</v>
      </c>
      <c r="AJ60" s="17">
        <f>IF($A60,$J60*(IF(Z60=regle!$B$11,regle!$B$23*IF(AS60=-2,1+regle!$B$35,1),
IF(Z60=regle!$C$11,regle!$C$23,
IF(Z60=regle!$D$11,regle!$D$23,
IF(Z60=regle!$E$11,regle!$E$23,
IF(Z60=regle!$F$11,regle!$F$23,
IF(Z60=regle!$G$11,regle!$G$23,
IF(Z60=regle!$H$11,regle!$H$23,
IF(Z60=regle!$I$11,regle!$I$23,
IF(Z60=regle!$J$11,regle!$J$23,
IF(Z60=regle!$K$11,regle!$K$23,0))))))))))))</f>
        <v>0</v>
      </c>
      <c r="AK60" s="16">
        <f>IF(OR(Q60=regle!$J$11,Q60=regle!$K$11),-2,IF(Q60=regle!$B$11,0,IF(AK$1=$AK$1,IF($O60,-1,regle!$B$2-$M60),IF(AJ60=-1,-1,AJ60+1))))</f>
        <v>0</v>
      </c>
      <c r="AL60" s="16">
        <f>IF(OR(R60=regle!$J$11,R60=regle!$K$11),-2,IF(R60=regle!$B$11,0,IF(AL$1=$AK$1,IF($O60,-1,regle!$B$2-$M60),IF(AK60=-1,-1,AK60+1))))</f>
        <v>1</v>
      </c>
      <c r="AM60" s="16">
        <f>IF(OR(S60=regle!$J$11,S60=regle!$K$11),-2,IF(S60=regle!$B$11,0,IF(AM$1=$AK$1,IF($O60,-1,regle!$B$2-$M60),IF(AL60=-1,-1,AL60+1))))</f>
        <v>2</v>
      </c>
      <c r="AN60" s="16">
        <f>IF(OR(T60=regle!$J$11,T60=regle!$K$11),-2,IF(T60=regle!$B$11,0,IF(AN$1=$AK$1,IF($O60,-1,regle!$B$2-$M60),IF(AM60=-1,-1,AM60+1))))</f>
        <v>3</v>
      </c>
      <c r="AO60" s="16">
        <f>IF(OR(U60=regle!$J$11,U60=regle!$K$11),-2,IF(U60=regle!$B$11,0,IF(AO$1=$AK$1,IF($O60,-1,regle!$B$2-$M60),IF(AN60=-1,-1,AN60+1))))</f>
        <v>4</v>
      </c>
      <c r="AP60" s="16">
        <f>IF(OR(V60=regle!$J$11,V60=regle!$K$11),-2,IF(V60=regle!$B$11,0,IF(AP$1=$AK$1,IF($O60,-1,regle!$B$2-$M60),IF(AO60=-1,-1,AO60+1))))</f>
        <v>5</v>
      </c>
      <c r="AQ60" s="16">
        <f>IF(OR(W60=regle!$J$11,W60=regle!$K$11),-2,IF(W60=regle!$B$11,0,IF(AQ$1=$AK$1,IF($O60,-1,regle!$B$2-$M60),IF(AP60=-1,-1,AP60+1))))</f>
        <v>6</v>
      </c>
      <c r="AR60" s="16">
        <f>IF(OR(X60=regle!$J$11,X60=regle!$K$11),-2,IF(X60=regle!$B$11,0,IF(AR$1=$AK$1,IF($O60,-1,regle!$B$2-$M60),IF(AQ60=-1,-1,AQ60+1))))</f>
        <v>7</v>
      </c>
      <c r="AS60" s="16">
        <f>IF(OR(Y60=regle!$J$11,Y60=regle!$K$11),-2,IF(Y60=regle!$B$11,0,IF(AS$1=$AK$1,IF($O60,-1,regle!$B$2-$M60),IF(AR60=-1,-1,AR60+1))))</f>
        <v>8</v>
      </c>
      <c r="AT60" s="16">
        <f>IF(OR(Z60=regle!$J$11,Z60=regle!$K$11),-2,IF(Z60=regle!$B$11,0,IF(AT$1=$AK$1,IF($O60,-1,regle!$B$2-$M60),IF(AS60=-1,-1,AS60+1))))</f>
        <v>9</v>
      </c>
    </row>
    <row r="61" spans="1:46" x14ac:dyDescent="0.25">
      <c r="A61" t="b">
        <f>modif1!A61</f>
        <v>1</v>
      </c>
      <c r="B61">
        <f>ROW(modif1!B61)</f>
        <v>61</v>
      </c>
      <c r="C61" t="str">
        <f>modif1!C64</f>
        <v>171</v>
      </c>
      <c r="D61" t="str">
        <f>modif1!D61</f>
        <v>MANO</v>
      </c>
      <c r="E61">
        <f>modif1!E61</f>
        <v>17</v>
      </c>
      <c r="F61" t="str">
        <f>modif1!F61</f>
        <v>LANDE DE TABARTON</v>
      </c>
      <c r="G61" t="str">
        <f>modif1!G61</f>
        <v>0B</v>
      </c>
      <c r="H61">
        <f>modif1!H61</f>
        <v>281</v>
      </c>
      <c r="I61" t="str">
        <f>modif1!I61</f>
        <v/>
      </c>
      <c r="J61" s="11">
        <f>modif1!J61</f>
        <v>0.56299999999999994</v>
      </c>
      <c r="K61" t="str">
        <f>modif1!K61</f>
        <v>CR</v>
      </c>
      <c r="L61" t="str">
        <f>modif1!L61</f>
        <v>PM</v>
      </c>
      <c r="M61">
        <f>modif1!M61</f>
        <v>2022</v>
      </c>
      <c r="N61" t="str">
        <f>modif1!N61</f>
        <v>CR-PM_2022</v>
      </c>
      <c r="O61" t="b">
        <f>modif1!O61</f>
        <v>1</v>
      </c>
      <c r="P61">
        <v>25</v>
      </c>
      <c r="Q61" t="s">
        <v>1868</v>
      </c>
      <c r="Z61"/>
      <c r="AA61" s="17">
        <f>IF($A61,$J61*(IF(Q61=regle!$B$11,regle!$B$23*IF(AJ61=-2,1+regle!$B$35,1),
IF(Q61=regle!$C$11,regle!$C$23,
IF(Q61=regle!$D$11,regle!$D$23,
IF(Q61=regle!$E$11,regle!$E$23,
IF(Q61=regle!$F$11,regle!$F$23,
IF(Q61=regle!$G$11,regle!$G$23,
IF(Q61=regle!$H$11,regle!$H$23,
IF(Q61=regle!$I$11,regle!$I$23,
IF(Q61=regle!$J$11,regle!$J$23,
IF(Q61=regle!$K$11,regle!$K$23,0))))))))))))</f>
        <v>-957.09999999999991</v>
      </c>
      <c r="AB61" s="17">
        <f>IF($A61,$J61*(IF(R61=regle!$B$11,regle!$B$23*IF(AK61=-2,1+regle!$B$35,1),
IF(R61=regle!$C$11,regle!$C$23,
IF(R61=regle!$D$11,regle!$D$23,
IF(R61=regle!$E$11,regle!$E$23,
IF(R61=regle!$F$11,regle!$F$23,
IF(R61=regle!$G$11,regle!$G$23,
IF(R61=regle!$H$11,regle!$H$23,
IF(R61=regle!$I$11,regle!$I$23,
IF(R61=regle!$J$11,regle!$J$23,
IF(R61=regle!$K$11,regle!$K$23,0))))))))))))</f>
        <v>0</v>
      </c>
      <c r="AC61" s="17">
        <f>IF($A61,$J61*(IF(S61=regle!$B$11,regle!$B$23*IF(AL61=-2,1+regle!$B$35,1),
IF(S61=regle!$C$11,regle!$C$23,
IF(S61=regle!$D$11,regle!$D$23,
IF(S61=regle!$E$11,regle!$E$23,
IF(S61=regle!$F$11,regle!$F$23,
IF(S61=regle!$G$11,regle!$G$23,
IF(S61=regle!$H$11,regle!$H$23,
IF(S61=regle!$I$11,regle!$I$23,
IF(S61=regle!$J$11,regle!$J$23,
IF(S61=regle!$K$11,regle!$K$23,0))))))))))))</f>
        <v>0</v>
      </c>
      <c r="AD61" s="17">
        <f>IF($A61,$J61*(IF(T61=regle!$B$11,regle!$B$23*IF(AM61=-2,1+regle!$B$35,1),
IF(T61=regle!$C$11,regle!$C$23,
IF(T61=regle!$D$11,regle!$D$23,
IF(T61=regle!$E$11,regle!$E$23,
IF(T61=regle!$F$11,regle!$F$23,
IF(T61=regle!$G$11,regle!$G$23,
IF(T61=regle!$H$11,regle!$H$23,
IF(T61=regle!$I$11,regle!$I$23,
IF(T61=regle!$J$11,regle!$J$23,
IF(T61=regle!$K$11,regle!$K$23,0))))))))))))</f>
        <v>0</v>
      </c>
      <c r="AE61" s="17">
        <f>IF($A61,$J61*(IF(U61=regle!$B$11,regle!$B$23*IF(AN61=-2,1+regle!$B$35,1),
IF(U61=regle!$C$11,regle!$C$23,
IF(U61=regle!$D$11,regle!$D$23,
IF(U61=regle!$E$11,regle!$E$23,
IF(U61=regle!$F$11,regle!$F$23,
IF(U61=regle!$G$11,regle!$G$23,
IF(U61=regle!$H$11,regle!$H$23,
IF(U61=regle!$I$11,regle!$I$23,
IF(U61=regle!$J$11,regle!$J$23,
IF(U61=regle!$K$11,regle!$K$23,0))))))))))))</f>
        <v>0</v>
      </c>
      <c r="AF61" s="17">
        <f>IF($A61,$J61*(IF(V61=regle!$B$11,regle!$B$23*IF(AO61=-2,1+regle!$B$35,1),
IF(V61=regle!$C$11,regle!$C$23,
IF(V61=regle!$D$11,regle!$D$23,
IF(V61=regle!$E$11,regle!$E$23,
IF(V61=regle!$F$11,regle!$F$23,
IF(V61=regle!$G$11,regle!$G$23,
IF(V61=regle!$H$11,regle!$H$23,
IF(V61=regle!$I$11,regle!$I$23,
IF(V61=regle!$J$11,regle!$J$23,
IF(V61=regle!$K$11,regle!$K$23,0))))))))))))</f>
        <v>0</v>
      </c>
      <c r="AG61" s="17">
        <f>IF($A61,$J61*(IF(W61=regle!$B$11,regle!$B$23*IF(AP61=-2,1+regle!$B$35,1),
IF(W61=regle!$C$11,regle!$C$23,
IF(W61=regle!$D$11,regle!$D$23,
IF(W61=regle!$E$11,regle!$E$23,
IF(W61=regle!$F$11,regle!$F$23,
IF(W61=regle!$G$11,regle!$G$23,
IF(W61=regle!$H$11,regle!$H$23,
IF(W61=regle!$I$11,regle!$I$23,
IF(W61=regle!$J$11,regle!$J$23,
IF(W61=regle!$K$11,regle!$K$23,0))))))))))))</f>
        <v>0</v>
      </c>
      <c r="AH61" s="17">
        <f>IF($A61,$J61*(IF(X61=regle!$B$11,regle!$B$23*IF(AQ61=-2,1+regle!$B$35,1),
IF(X61=regle!$C$11,regle!$C$23,
IF(X61=regle!$D$11,regle!$D$23,
IF(X61=regle!$E$11,regle!$E$23,
IF(X61=regle!$F$11,regle!$F$23,
IF(X61=regle!$G$11,regle!$G$23,
IF(X61=regle!$H$11,regle!$H$23,
IF(X61=regle!$I$11,regle!$I$23,
IF(X61=regle!$J$11,regle!$J$23,
IF(X61=regle!$K$11,regle!$K$23,0))))))))))))</f>
        <v>0</v>
      </c>
      <c r="AI61" s="17">
        <f>IF($A61,$J61*(IF(Y61=regle!$B$11,regle!$B$23*IF(AR61=-2,1+regle!$B$35,1),
IF(Y61=regle!$C$11,regle!$C$23,
IF(Y61=regle!$D$11,regle!$D$23,
IF(Y61=regle!$E$11,regle!$E$23,
IF(Y61=regle!$F$11,regle!$F$23,
IF(Y61=regle!$G$11,regle!$G$23,
IF(Y61=regle!$H$11,regle!$H$23,
IF(Y61=regle!$I$11,regle!$I$23,
IF(Y61=regle!$J$11,regle!$J$23,
IF(Y61=regle!$K$11,regle!$K$23,0))))))))))))</f>
        <v>0</v>
      </c>
      <c r="AJ61" s="17">
        <f>IF($A61,$J61*(IF(Z61=regle!$B$11,regle!$B$23*IF(AS61=-2,1+regle!$B$35,1),
IF(Z61=regle!$C$11,regle!$C$23,
IF(Z61=regle!$D$11,regle!$D$23,
IF(Z61=regle!$E$11,regle!$E$23,
IF(Z61=regle!$F$11,regle!$F$23,
IF(Z61=regle!$G$11,regle!$G$23,
IF(Z61=regle!$H$11,regle!$H$23,
IF(Z61=regle!$I$11,regle!$I$23,
IF(Z61=regle!$J$11,regle!$J$23,
IF(Z61=regle!$K$11,regle!$K$23,0))))))))))))</f>
        <v>0</v>
      </c>
      <c r="AK61" s="16">
        <f>IF(OR(Q61=regle!$J$11,Q61=regle!$K$11),-2,IF(Q61=regle!$B$11,0,IF(AK$1=$AK$1,IF($O61,-1,regle!$B$2-$M61),IF(AJ61=-1,-1,AJ61+1))))</f>
        <v>0</v>
      </c>
      <c r="AL61" s="16">
        <f>IF(OR(R61=regle!$J$11,R61=regle!$K$11),-2,IF(R61=regle!$B$11,0,IF(AL$1=$AK$1,IF($O61,-1,regle!$B$2-$M61),IF(AK61=-1,-1,AK61+1))))</f>
        <v>1</v>
      </c>
      <c r="AM61" s="16">
        <f>IF(OR(S61=regle!$J$11,S61=regle!$K$11),-2,IF(S61=regle!$B$11,0,IF(AM$1=$AK$1,IF($O61,-1,regle!$B$2-$M61),IF(AL61=-1,-1,AL61+1))))</f>
        <v>2</v>
      </c>
      <c r="AN61" s="16">
        <f>IF(OR(T61=regle!$J$11,T61=regle!$K$11),-2,IF(T61=regle!$B$11,0,IF(AN$1=$AK$1,IF($O61,-1,regle!$B$2-$M61),IF(AM61=-1,-1,AM61+1))))</f>
        <v>3</v>
      </c>
      <c r="AO61" s="16">
        <f>IF(OR(U61=regle!$J$11,U61=regle!$K$11),-2,IF(U61=regle!$B$11,0,IF(AO$1=$AK$1,IF($O61,-1,regle!$B$2-$M61),IF(AN61=-1,-1,AN61+1))))</f>
        <v>4</v>
      </c>
      <c r="AP61" s="16">
        <f>IF(OR(V61=regle!$J$11,V61=regle!$K$11),-2,IF(V61=regle!$B$11,0,IF(AP$1=$AK$1,IF($O61,-1,regle!$B$2-$M61),IF(AO61=-1,-1,AO61+1))))</f>
        <v>5</v>
      </c>
      <c r="AQ61" s="16">
        <f>IF(OR(W61=regle!$J$11,W61=regle!$K$11),-2,IF(W61=regle!$B$11,0,IF(AQ$1=$AK$1,IF($O61,-1,regle!$B$2-$M61),IF(AP61=-1,-1,AP61+1))))</f>
        <v>6</v>
      </c>
      <c r="AR61" s="16">
        <f>IF(OR(X61=regle!$J$11,X61=regle!$K$11),-2,IF(X61=regle!$B$11,0,IF(AR$1=$AK$1,IF($O61,-1,regle!$B$2-$M61),IF(AQ61=-1,-1,AQ61+1))))</f>
        <v>7</v>
      </c>
      <c r="AS61" s="16">
        <f>IF(OR(Y61=regle!$J$11,Y61=regle!$K$11),-2,IF(Y61=regle!$B$11,0,IF(AS$1=$AK$1,IF($O61,-1,regle!$B$2-$M61),IF(AR61=-1,-1,AR61+1))))</f>
        <v>8</v>
      </c>
      <c r="AT61" s="16">
        <f>IF(OR(Z61=regle!$J$11,Z61=regle!$K$11),-2,IF(Z61=regle!$B$11,0,IF(AT$1=$AK$1,IF($O61,-1,regle!$B$2-$M61),IF(AS61=-1,-1,AS61+1))))</f>
        <v>9</v>
      </c>
    </row>
    <row r="62" spans="1:46" x14ac:dyDescent="0.25">
      <c r="A62" t="b">
        <f>modif1!A62</f>
        <v>1</v>
      </c>
      <c r="B62">
        <f>ROW(modif1!B62)</f>
        <v>62</v>
      </c>
      <c r="C62" t="str">
        <f>modif1!C65</f>
        <v>171</v>
      </c>
      <c r="D62" t="str">
        <f>modif1!D62</f>
        <v>MANO</v>
      </c>
      <c r="E62">
        <f>modif1!E62</f>
        <v>6</v>
      </c>
      <c r="F62" t="str">
        <f>modif1!F62</f>
        <v>BARRAT</v>
      </c>
      <c r="G62" t="str">
        <f>modif1!G62</f>
        <v>0C</v>
      </c>
      <c r="H62">
        <f>modif1!H62</f>
        <v>174</v>
      </c>
      <c r="I62" t="str">
        <f>modif1!I62</f>
        <v/>
      </c>
      <c r="J62" s="11">
        <f>modif1!J62</f>
        <v>0.55859999999999999</v>
      </c>
      <c r="K62" t="str">
        <f>modif1!K62</f>
        <v>CR</v>
      </c>
      <c r="L62" t="str">
        <f>modif1!L62</f>
        <v>PM</v>
      </c>
      <c r="M62">
        <f>modif1!M62</f>
        <v>2022</v>
      </c>
      <c r="N62" t="str">
        <f>modif1!N62</f>
        <v>CR-PM_2022</v>
      </c>
      <c r="O62" t="b">
        <f>modif1!O62</f>
        <v>1</v>
      </c>
      <c r="P62">
        <v>25</v>
      </c>
      <c r="Q62" t="s">
        <v>1868</v>
      </c>
      <c r="Z62"/>
      <c r="AA62" s="17">
        <f>IF($A62,$J62*(IF(Q62=regle!$B$11,regle!$B$23*IF(AJ62=-2,1+regle!$B$35,1),
IF(Q62=regle!$C$11,regle!$C$23,
IF(Q62=regle!$D$11,regle!$D$23,
IF(Q62=regle!$E$11,regle!$E$23,
IF(Q62=regle!$F$11,regle!$F$23,
IF(Q62=regle!$G$11,regle!$G$23,
IF(Q62=regle!$H$11,regle!$H$23,
IF(Q62=regle!$I$11,regle!$I$23,
IF(Q62=regle!$J$11,regle!$J$23,
IF(Q62=regle!$K$11,regle!$K$23,0))))))))))))</f>
        <v>-949.62</v>
      </c>
      <c r="AB62" s="17">
        <f>IF($A62,$J62*(IF(R62=regle!$B$11,regle!$B$23*IF(AK62=-2,1+regle!$B$35,1),
IF(R62=regle!$C$11,regle!$C$23,
IF(R62=regle!$D$11,regle!$D$23,
IF(R62=regle!$E$11,regle!$E$23,
IF(R62=regle!$F$11,regle!$F$23,
IF(R62=regle!$G$11,regle!$G$23,
IF(R62=regle!$H$11,regle!$H$23,
IF(R62=regle!$I$11,regle!$I$23,
IF(R62=regle!$J$11,regle!$J$23,
IF(R62=regle!$K$11,regle!$K$23,0))))))))))))</f>
        <v>0</v>
      </c>
      <c r="AC62" s="17">
        <f>IF($A62,$J62*(IF(S62=regle!$B$11,regle!$B$23*IF(AL62=-2,1+regle!$B$35,1),
IF(S62=regle!$C$11,regle!$C$23,
IF(S62=regle!$D$11,regle!$D$23,
IF(S62=regle!$E$11,regle!$E$23,
IF(S62=regle!$F$11,regle!$F$23,
IF(S62=regle!$G$11,regle!$G$23,
IF(S62=regle!$H$11,regle!$H$23,
IF(S62=regle!$I$11,regle!$I$23,
IF(S62=regle!$J$11,regle!$J$23,
IF(S62=regle!$K$11,regle!$K$23,0))))))))))))</f>
        <v>0</v>
      </c>
      <c r="AD62" s="17">
        <f>IF($A62,$J62*(IF(T62=regle!$B$11,regle!$B$23*IF(AM62=-2,1+regle!$B$35,1),
IF(T62=regle!$C$11,regle!$C$23,
IF(T62=regle!$D$11,regle!$D$23,
IF(T62=regle!$E$11,regle!$E$23,
IF(T62=regle!$F$11,regle!$F$23,
IF(T62=regle!$G$11,regle!$G$23,
IF(T62=regle!$H$11,regle!$H$23,
IF(T62=regle!$I$11,regle!$I$23,
IF(T62=regle!$J$11,regle!$J$23,
IF(T62=regle!$K$11,regle!$K$23,0))))))))))))</f>
        <v>0</v>
      </c>
      <c r="AE62" s="17">
        <f>IF($A62,$J62*(IF(U62=regle!$B$11,regle!$B$23*IF(AN62=-2,1+regle!$B$35,1),
IF(U62=regle!$C$11,regle!$C$23,
IF(U62=regle!$D$11,regle!$D$23,
IF(U62=regle!$E$11,regle!$E$23,
IF(U62=regle!$F$11,regle!$F$23,
IF(U62=regle!$G$11,regle!$G$23,
IF(U62=regle!$H$11,regle!$H$23,
IF(U62=regle!$I$11,regle!$I$23,
IF(U62=regle!$J$11,regle!$J$23,
IF(U62=regle!$K$11,regle!$K$23,0))))))))))))</f>
        <v>0</v>
      </c>
      <c r="AF62" s="17">
        <f>IF($A62,$J62*(IF(V62=regle!$B$11,regle!$B$23*IF(AO62=-2,1+regle!$B$35,1),
IF(V62=regle!$C$11,regle!$C$23,
IF(V62=regle!$D$11,regle!$D$23,
IF(V62=regle!$E$11,regle!$E$23,
IF(V62=regle!$F$11,regle!$F$23,
IF(V62=regle!$G$11,regle!$G$23,
IF(V62=regle!$H$11,regle!$H$23,
IF(V62=regle!$I$11,regle!$I$23,
IF(V62=regle!$J$11,regle!$J$23,
IF(V62=regle!$K$11,regle!$K$23,0))))))))))))</f>
        <v>0</v>
      </c>
      <c r="AG62" s="17">
        <f>IF($A62,$J62*(IF(W62=regle!$B$11,regle!$B$23*IF(AP62=-2,1+regle!$B$35,1),
IF(W62=regle!$C$11,regle!$C$23,
IF(W62=regle!$D$11,regle!$D$23,
IF(W62=regle!$E$11,regle!$E$23,
IF(W62=regle!$F$11,regle!$F$23,
IF(W62=regle!$G$11,regle!$G$23,
IF(W62=regle!$H$11,regle!$H$23,
IF(W62=regle!$I$11,regle!$I$23,
IF(W62=regle!$J$11,regle!$J$23,
IF(W62=regle!$K$11,regle!$K$23,0))))))))))))</f>
        <v>0</v>
      </c>
      <c r="AH62" s="17">
        <f>IF($A62,$J62*(IF(X62=regle!$B$11,regle!$B$23*IF(AQ62=-2,1+regle!$B$35,1),
IF(X62=regle!$C$11,regle!$C$23,
IF(X62=regle!$D$11,regle!$D$23,
IF(X62=regle!$E$11,regle!$E$23,
IF(X62=regle!$F$11,regle!$F$23,
IF(X62=regle!$G$11,regle!$G$23,
IF(X62=regle!$H$11,regle!$H$23,
IF(X62=regle!$I$11,regle!$I$23,
IF(X62=regle!$J$11,regle!$J$23,
IF(X62=regle!$K$11,regle!$K$23,0))))))))))))</f>
        <v>0</v>
      </c>
      <c r="AI62" s="17">
        <f>IF($A62,$J62*(IF(Y62=regle!$B$11,regle!$B$23*IF(AR62=-2,1+regle!$B$35,1),
IF(Y62=regle!$C$11,regle!$C$23,
IF(Y62=regle!$D$11,regle!$D$23,
IF(Y62=regle!$E$11,regle!$E$23,
IF(Y62=regle!$F$11,regle!$F$23,
IF(Y62=regle!$G$11,regle!$G$23,
IF(Y62=regle!$H$11,regle!$H$23,
IF(Y62=regle!$I$11,regle!$I$23,
IF(Y62=regle!$J$11,regle!$J$23,
IF(Y62=regle!$K$11,regle!$K$23,0))))))))))))</f>
        <v>0</v>
      </c>
      <c r="AJ62" s="17">
        <f>IF($A62,$J62*(IF(Z62=regle!$B$11,regle!$B$23*IF(AS62=-2,1+regle!$B$35,1),
IF(Z62=regle!$C$11,regle!$C$23,
IF(Z62=regle!$D$11,regle!$D$23,
IF(Z62=regle!$E$11,regle!$E$23,
IF(Z62=regle!$F$11,regle!$F$23,
IF(Z62=regle!$G$11,regle!$G$23,
IF(Z62=regle!$H$11,regle!$H$23,
IF(Z62=regle!$I$11,regle!$I$23,
IF(Z62=regle!$J$11,regle!$J$23,
IF(Z62=regle!$K$11,regle!$K$23,0))))))))))))</f>
        <v>0</v>
      </c>
      <c r="AK62" s="16">
        <f>IF(OR(Q62=regle!$J$11,Q62=regle!$K$11),-2,IF(Q62=regle!$B$11,0,IF(AK$1=$AK$1,IF($O62,-1,regle!$B$2-$M62),IF(AJ62=-1,-1,AJ62+1))))</f>
        <v>0</v>
      </c>
      <c r="AL62" s="16">
        <f>IF(OR(R62=regle!$J$11,R62=regle!$K$11),-2,IF(R62=regle!$B$11,0,IF(AL$1=$AK$1,IF($O62,-1,regle!$B$2-$M62),IF(AK62=-1,-1,AK62+1))))</f>
        <v>1</v>
      </c>
      <c r="AM62" s="16">
        <f>IF(OR(S62=regle!$J$11,S62=regle!$K$11),-2,IF(S62=regle!$B$11,0,IF(AM$1=$AK$1,IF($O62,-1,regle!$B$2-$M62),IF(AL62=-1,-1,AL62+1))))</f>
        <v>2</v>
      </c>
      <c r="AN62" s="16">
        <f>IF(OR(T62=regle!$J$11,T62=regle!$K$11),-2,IF(T62=regle!$B$11,0,IF(AN$1=$AK$1,IF($O62,-1,regle!$B$2-$M62),IF(AM62=-1,-1,AM62+1))))</f>
        <v>3</v>
      </c>
      <c r="AO62" s="16">
        <f>IF(OR(U62=regle!$J$11,U62=regle!$K$11),-2,IF(U62=regle!$B$11,0,IF(AO$1=$AK$1,IF($O62,-1,regle!$B$2-$M62),IF(AN62=-1,-1,AN62+1))))</f>
        <v>4</v>
      </c>
      <c r="AP62" s="16">
        <f>IF(OR(V62=regle!$J$11,V62=regle!$K$11),-2,IF(V62=regle!$B$11,0,IF(AP$1=$AK$1,IF($O62,-1,regle!$B$2-$M62),IF(AO62=-1,-1,AO62+1))))</f>
        <v>5</v>
      </c>
      <c r="AQ62" s="16">
        <f>IF(OR(W62=regle!$J$11,W62=regle!$K$11),-2,IF(W62=regle!$B$11,0,IF(AQ$1=$AK$1,IF($O62,-1,regle!$B$2-$M62),IF(AP62=-1,-1,AP62+1))))</f>
        <v>6</v>
      </c>
      <c r="AR62" s="16">
        <f>IF(OR(X62=regle!$J$11,X62=regle!$K$11),-2,IF(X62=regle!$B$11,0,IF(AR$1=$AK$1,IF($O62,-1,regle!$B$2-$M62),IF(AQ62=-1,-1,AQ62+1))))</f>
        <v>7</v>
      </c>
      <c r="AS62" s="16">
        <f>IF(OR(Y62=regle!$J$11,Y62=regle!$K$11),-2,IF(Y62=regle!$B$11,0,IF(AS$1=$AK$1,IF($O62,-1,regle!$B$2-$M62),IF(AR62=-1,-1,AR62+1))))</f>
        <v>8</v>
      </c>
      <c r="AT62" s="16">
        <f>IF(OR(Z62=regle!$J$11,Z62=regle!$K$11),-2,IF(Z62=regle!$B$11,0,IF(AT$1=$AK$1,IF($O62,-1,regle!$B$2-$M62),IF(AS62=-1,-1,AS62+1))))</f>
        <v>9</v>
      </c>
    </row>
    <row r="63" spans="1:46" x14ac:dyDescent="0.25">
      <c r="A63" t="b">
        <f>modif1!A63</f>
        <v>1</v>
      </c>
      <c r="B63">
        <f>ROW(modif1!B63)</f>
        <v>63</v>
      </c>
      <c r="C63" t="str">
        <f>modif1!C66</f>
        <v>171</v>
      </c>
      <c r="D63" t="str">
        <f>modif1!D63</f>
        <v>MANO</v>
      </c>
      <c r="E63">
        <f>modif1!E63</f>
        <v>17</v>
      </c>
      <c r="F63" t="str">
        <f>modif1!F63</f>
        <v>LANDE DE TABARTON</v>
      </c>
      <c r="G63" t="str">
        <f>modif1!G63</f>
        <v>0B</v>
      </c>
      <c r="H63">
        <f>modif1!H63</f>
        <v>252</v>
      </c>
      <c r="I63" t="str">
        <f>modif1!I63</f>
        <v/>
      </c>
      <c r="J63" s="11">
        <f>modif1!J63</f>
        <v>0.55500000000000005</v>
      </c>
      <c r="K63" t="str">
        <f>modif1!K63</f>
        <v>CR</v>
      </c>
      <c r="L63" t="str">
        <f>modif1!L63</f>
        <v>PM</v>
      </c>
      <c r="M63">
        <f>modif1!M63</f>
        <v>2022</v>
      </c>
      <c r="N63" t="str">
        <f>modif1!N63</f>
        <v>CR-PM_2022</v>
      </c>
      <c r="O63" t="b">
        <f>modif1!O63</f>
        <v>1</v>
      </c>
      <c r="P63">
        <v>40</v>
      </c>
      <c r="Q63" t="s">
        <v>1868</v>
      </c>
      <c r="S63" t="s">
        <v>1872</v>
      </c>
      <c r="U63" t="s">
        <v>1870</v>
      </c>
      <c r="X63" t="s">
        <v>1871</v>
      </c>
      <c r="Z63"/>
      <c r="AA63" s="17">
        <f>IF($A63,$J63*(IF(Q63=regle!$B$11,regle!$B$23*IF(AJ63=-2,1+regle!$B$35,1),
IF(Q63=regle!$C$11,regle!$C$23,
IF(Q63=regle!$D$11,regle!$D$23,
IF(Q63=regle!$E$11,regle!$E$23,
IF(Q63=regle!$F$11,regle!$F$23,
IF(Q63=regle!$G$11,regle!$G$23,
IF(Q63=regle!$H$11,regle!$H$23,
IF(Q63=regle!$I$11,regle!$I$23,
IF(Q63=regle!$J$11,regle!$J$23,
IF(Q63=regle!$K$11,regle!$K$23,0))))))))))))</f>
        <v>-943.50000000000011</v>
      </c>
      <c r="AB63" s="17">
        <f>IF($A63,$J63*(IF(R63=regle!$B$11,regle!$B$23*IF(AK63=-2,1+regle!$B$35,1),
IF(R63=regle!$C$11,regle!$C$23,
IF(R63=regle!$D$11,regle!$D$23,
IF(R63=regle!$E$11,regle!$E$23,
IF(R63=regle!$F$11,regle!$F$23,
IF(R63=regle!$G$11,regle!$G$23,
IF(R63=regle!$H$11,regle!$H$23,
IF(R63=regle!$I$11,regle!$I$23,
IF(R63=regle!$J$11,regle!$J$23,
IF(R63=regle!$K$11,regle!$K$23,0))))))))))))</f>
        <v>0</v>
      </c>
      <c r="AC63" s="17">
        <f>IF($A63,$J63*(IF(S63=regle!$B$11,regle!$B$23*IF(AL63=-2,1+regle!$B$35,1),
IF(S63=regle!$C$11,regle!$C$23,
IF(S63=regle!$D$11,regle!$D$23,
IF(S63=regle!$E$11,regle!$E$23,
IF(S63=regle!$F$11,regle!$F$23,
IF(S63=regle!$G$11,regle!$G$23,
IF(S63=regle!$H$11,regle!$H$23,
IF(S63=regle!$I$11,regle!$I$23,
IF(S63=regle!$J$11,regle!$J$23,
IF(S63=regle!$K$11,regle!$K$23,0))))))))))))</f>
        <v>-41.625000000000007</v>
      </c>
      <c r="AD63" s="17">
        <f>IF($A63,$J63*(IF(T63=regle!$B$11,regle!$B$23*IF(AM63=-2,1+regle!$B$35,1),
IF(T63=regle!$C$11,regle!$C$23,
IF(T63=regle!$D$11,regle!$D$23,
IF(T63=regle!$E$11,regle!$E$23,
IF(T63=regle!$F$11,regle!$F$23,
IF(T63=regle!$G$11,regle!$G$23,
IF(T63=regle!$H$11,regle!$H$23,
IF(T63=regle!$I$11,regle!$I$23,
IF(T63=regle!$J$11,regle!$J$23,
IF(T63=regle!$K$11,regle!$K$23,0))))))))))))</f>
        <v>0</v>
      </c>
      <c r="AE63" s="17">
        <f>IF($A63,$J63*(IF(U63=regle!$B$11,regle!$B$23*IF(AN63=-2,1+regle!$B$35,1),
IF(U63=regle!$C$11,regle!$C$23,
IF(U63=regle!$D$11,regle!$D$23,
IF(U63=regle!$E$11,regle!$E$23,
IF(U63=regle!$F$11,regle!$F$23,
IF(U63=regle!$G$11,regle!$G$23,
IF(U63=regle!$H$11,regle!$H$23,
IF(U63=regle!$I$11,regle!$I$23,
IF(U63=regle!$J$11,regle!$J$23,
IF(U63=regle!$K$11,regle!$K$23,0))))))))))))</f>
        <v>-49.95</v>
      </c>
      <c r="AF63" s="17">
        <f>IF($A63,$J63*(IF(V63=regle!$B$11,regle!$B$23*IF(AO63=-2,1+regle!$B$35,1),
IF(V63=regle!$C$11,regle!$C$23,
IF(V63=regle!$D$11,regle!$D$23,
IF(V63=regle!$E$11,regle!$E$23,
IF(V63=regle!$F$11,regle!$F$23,
IF(V63=regle!$G$11,regle!$G$23,
IF(V63=regle!$H$11,regle!$H$23,
IF(V63=regle!$I$11,regle!$I$23,
IF(V63=regle!$J$11,regle!$J$23,
IF(V63=regle!$K$11,regle!$K$23,0))))))))))))</f>
        <v>0</v>
      </c>
      <c r="AG63" s="17">
        <f>IF($A63,$J63*(IF(W63=regle!$B$11,regle!$B$23*IF(AP63=-2,1+regle!$B$35,1),
IF(W63=regle!$C$11,regle!$C$23,
IF(W63=regle!$D$11,regle!$D$23,
IF(W63=regle!$E$11,regle!$E$23,
IF(W63=regle!$F$11,regle!$F$23,
IF(W63=regle!$G$11,regle!$G$23,
IF(W63=regle!$H$11,regle!$H$23,
IF(W63=regle!$I$11,regle!$I$23,
IF(W63=regle!$J$11,regle!$J$23,
IF(W63=regle!$K$11,regle!$K$23,0))))))))))))</f>
        <v>0</v>
      </c>
      <c r="AH63" s="17">
        <f>IF($A63,$J63*(IF(X63=regle!$B$11,regle!$B$23*IF(AQ63=-2,1+regle!$B$35,1),
IF(X63=regle!$C$11,regle!$C$23,
IF(X63=regle!$D$11,regle!$D$23,
IF(X63=regle!$E$11,regle!$E$23,
IF(X63=regle!$F$11,regle!$F$23,
IF(X63=regle!$G$11,regle!$G$23,
IF(X63=regle!$H$11,regle!$H$23,
IF(X63=regle!$I$11,regle!$I$23,
IF(X63=regle!$J$11,regle!$J$23,
IF(X63=regle!$K$11,regle!$K$23,0))))))))))))</f>
        <v>-49.95</v>
      </c>
      <c r="AI63" s="17">
        <f>IF($A63,$J63*(IF(Y63=regle!$B$11,regle!$B$23*IF(AR63=-2,1+regle!$B$35,1),
IF(Y63=regle!$C$11,regle!$C$23,
IF(Y63=regle!$D$11,regle!$D$23,
IF(Y63=regle!$E$11,regle!$E$23,
IF(Y63=regle!$F$11,regle!$F$23,
IF(Y63=regle!$G$11,regle!$G$23,
IF(Y63=regle!$H$11,regle!$H$23,
IF(Y63=regle!$I$11,regle!$I$23,
IF(Y63=regle!$J$11,regle!$J$23,
IF(Y63=regle!$K$11,regle!$K$23,0))))))))))))</f>
        <v>0</v>
      </c>
      <c r="AJ63" s="17">
        <f>IF($A63,$J63*(IF(Z63=regle!$B$11,regle!$B$23*IF(AS63=-2,1+regle!$B$35,1),
IF(Z63=regle!$C$11,regle!$C$23,
IF(Z63=regle!$D$11,regle!$D$23,
IF(Z63=regle!$E$11,regle!$E$23,
IF(Z63=regle!$F$11,regle!$F$23,
IF(Z63=regle!$G$11,regle!$G$23,
IF(Z63=regle!$H$11,regle!$H$23,
IF(Z63=regle!$I$11,regle!$I$23,
IF(Z63=regle!$J$11,regle!$J$23,
IF(Z63=regle!$K$11,regle!$K$23,0))))))))))))</f>
        <v>0</v>
      </c>
      <c r="AK63" s="16">
        <f>IF(OR(Q63=regle!$J$11,Q63=regle!$K$11),-2,IF(Q63=regle!$B$11,0,IF(AK$1=$AK$1,IF($O63,-1,regle!$B$2-$M63),IF(AJ63=-1,-1,AJ63+1))))</f>
        <v>0</v>
      </c>
      <c r="AL63" s="16">
        <f>IF(OR(R63=regle!$J$11,R63=regle!$K$11),-2,IF(R63=regle!$B$11,0,IF(AL$1=$AK$1,IF($O63,-1,regle!$B$2-$M63),IF(AK63=-1,-1,AK63+1))))</f>
        <v>1</v>
      </c>
      <c r="AM63" s="16">
        <f>IF(OR(S63=regle!$J$11,S63=regle!$K$11),-2,IF(S63=regle!$B$11,0,IF(AM$1=$AK$1,IF($O63,-1,regle!$B$2-$M63),IF(AL63=-1,-1,AL63+1))))</f>
        <v>2</v>
      </c>
      <c r="AN63" s="16">
        <f>IF(OR(T63=regle!$J$11,T63=regle!$K$11),-2,IF(T63=regle!$B$11,0,IF(AN$1=$AK$1,IF($O63,-1,regle!$B$2-$M63),IF(AM63=-1,-1,AM63+1))))</f>
        <v>3</v>
      </c>
      <c r="AO63" s="16">
        <f>IF(OR(U63=regle!$J$11,U63=regle!$K$11),-2,IF(U63=regle!$B$11,0,IF(AO$1=$AK$1,IF($O63,-1,regle!$B$2-$M63),IF(AN63=-1,-1,AN63+1))))</f>
        <v>4</v>
      </c>
      <c r="AP63" s="16">
        <f>IF(OR(V63=regle!$J$11,V63=regle!$K$11),-2,IF(V63=regle!$B$11,0,IF(AP$1=$AK$1,IF($O63,-1,regle!$B$2-$M63),IF(AO63=-1,-1,AO63+1))))</f>
        <v>5</v>
      </c>
      <c r="AQ63" s="16">
        <f>IF(OR(W63=regle!$J$11,W63=regle!$K$11),-2,IF(W63=regle!$B$11,0,IF(AQ$1=$AK$1,IF($O63,-1,regle!$B$2-$M63),IF(AP63=-1,-1,AP63+1))))</f>
        <v>6</v>
      </c>
      <c r="AR63" s="16">
        <f>IF(OR(X63=regle!$J$11,X63=regle!$K$11),-2,IF(X63=regle!$B$11,0,IF(AR$1=$AK$1,IF($O63,-1,regle!$B$2-$M63),IF(AQ63=-1,-1,AQ63+1))))</f>
        <v>7</v>
      </c>
      <c r="AS63" s="16">
        <f>IF(OR(Y63=regle!$J$11,Y63=regle!$K$11),-2,IF(Y63=regle!$B$11,0,IF(AS$1=$AK$1,IF($O63,-1,regle!$B$2-$M63),IF(AR63=-1,-1,AR63+1))))</f>
        <v>8</v>
      </c>
      <c r="AT63" s="16">
        <f>IF(OR(Z63=regle!$J$11,Z63=regle!$K$11),-2,IF(Z63=regle!$B$11,0,IF(AT$1=$AK$1,IF($O63,-1,regle!$B$2-$M63),IF(AS63=-1,-1,AS63+1))))</f>
        <v>9</v>
      </c>
    </row>
    <row r="64" spans="1:46" x14ac:dyDescent="0.25">
      <c r="A64" t="b">
        <f>modif1!A64</f>
        <v>1</v>
      </c>
      <c r="B64">
        <f>ROW(modif1!B64)</f>
        <v>64</v>
      </c>
      <c r="C64" t="str">
        <f>modif1!C67</f>
        <v>171</v>
      </c>
      <c r="D64" t="str">
        <f>modif1!D64</f>
        <v>MANO</v>
      </c>
      <c r="E64">
        <f>modif1!E64</f>
        <v>17</v>
      </c>
      <c r="F64" t="str">
        <f>modif1!F64</f>
        <v>LANDE DE TABARTON</v>
      </c>
      <c r="G64" t="str">
        <f>modif1!G64</f>
        <v>0B</v>
      </c>
      <c r="H64">
        <f>modif1!H64</f>
        <v>489</v>
      </c>
      <c r="I64" t="str">
        <f>modif1!I64</f>
        <v>j</v>
      </c>
      <c r="J64" s="11">
        <f>modif1!J64</f>
        <v>0.54049999999999998</v>
      </c>
      <c r="K64" t="str">
        <f>modif1!K64</f>
        <v>CR</v>
      </c>
      <c r="L64" t="str">
        <f>modif1!L64</f>
        <v>PM</v>
      </c>
      <c r="M64">
        <f>modif1!M64</f>
        <v>2022</v>
      </c>
      <c r="N64" t="str">
        <f>modif1!N64</f>
        <v>CR-PM_2022</v>
      </c>
      <c r="O64" t="b">
        <f>modif1!O64</f>
        <v>1</v>
      </c>
      <c r="P64">
        <v>40</v>
      </c>
      <c r="Q64" t="s">
        <v>1868</v>
      </c>
      <c r="S64" t="s">
        <v>1872</v>
      </c>
      <c r="U64" t="s">
        <v>1870</v>
      </c>
      <c r="X64" t="s">
        <v>1871</v>
      </c>
      <c r="Z64"/>
      <c r="AA64" s="17">
        <f>IF($A64,$J64*(IF(Q64=regle!$B$11,regle!$B$23*IF(AJ64=-2,1+regle!$B$35,1),
IF(Q64=regle!$C$11,regle!$C$23,
IF(Q64=regle!$D$11,regle!$D$23,
IF(Q64=regle!$E$11,regle!$E$23,
IF(Q64=regle!$F$11,regle!$F$23,
IF(Q64=regle!$G$11,regle!$G$23,
IF(Q64=regle!$H$11,regle!$H$23,
IF(Q64=regle!$I$11,regle!$I$23,
IF(Q64=regle!$J$11,regle!$J$23,
IF(Q64=regle!$K$11,regle!$K$23,0))))))))))))</f>
        <v>-918.85</v>
      </c>
      <c r="AB64" s="17">
        <f>IF($A64,$J64*(IF(R64=regle!$B$11,regle!$B$23*IF(AK64=-2,1+regle!$B$35,1),
IF(R64=regle!$C$11,regle!$C$23,
IF(R64=regle!$D$11,regle!$D$23,
IF(R64=regle!$E$11,regle!$E$23,
IF(R64=regle!$F$11,regle!$F$23,
IF(R64=regle!$G$11,regle!$G$23,
IF(R64=regle!$H$11,regle!$H$23,
IF(R64=regle!$I$11,regle!$I$23,
IF(R64=regle!$J$11,regle!$J$23,
IF(R64=regle!$K$11,regle!$K$23,0))))))))))))</f>
        <v>0</v>
      </c>
      <c r="AC64" s="17">
        <f>IF($A64,$J64*(IF(S64=regle!$B$11,regle!$B$23*IF(AL64=-2,1+regle!$B$35,1),
IF(S64=regle!$C$11,regle!$C$23,
IF(S64=regle!$D$11,regle!$D$23,
IF(S64=regle!$E$11,regle!$E$23,
IF(S64=regle!$F$11,regle!$F$23,
IF(S64=regle!$G$11,regle!$G$23,
IF(S64=regle!$H$11,regle!$H$23,
IF(S64=regle!$I$11,regle!$I$23,
IF(S64=regle!$J$11,regle!$J$23,
IF(S64=regle!$K$11,regle!$K$23,0))))))))))))</f>
        <v>-40.537500000000001</v>
      </c>
      <c r="AD64" s="17">
        <f>IF($A64,$J64*(IF(T64=regle!$B$11,regle!$B$23*IF(AM64=-2,1+regle!$B$35,1),
IF(T64=regle!$C$11,regle!$C$23,
IF(T64=regle!$D$11,regle!$D$23,
IF(T64=regle!$E$11,regle!$E$23,
IF(T64=regle!$F$11,regle!$F$23,
IF(T64=regle!$G$11,regle!$G$23,
IF(T64=regle!$H$11,regle!$H$23,
IF(T64=regle!$I$11,regle!$I$23,
IF(T64=regle!$J$11,regle!$J$23,
IF(T64=regle!$K$11,regle!$K$23,0))))))))))))</f>
        <v>0</v>
      </c>
      <c r="AE64" s="17">
        <f>IF($A64,$J64*(IF(U64=regle!$B$11,regle!$B$23*IF(AN64=-2,1+regle!$B$35,1),
IF(U64=regle!$C$11,regle!$C$23,
IF(U64=regle!$D$11,regle!$D$23,
IF(U64=regle!$E$11,regle!$E$23,
IF(U64=regle!$F$11,regle!$F$23,
IF(U64=regle!$G$11,regle!$G$23,
IF(U64=regle!$H$11,regle!$H$23,
IF(U64=regle!$I$11,regle!$I$23,
IF(U64=regle!$J$11,regle!$J$23,
IF(U64=regle!$K$11,regle!$K$23,0))))))))))))</f>
        <v>-48.644999999999996</v>
      </c>
      <c r="AF64" s="17">
        <f>IF($A64,$J64*(IF(V64=regle!$B$11,regle!$B$23*IF(AO64=-2,1+regle!$B$35,1),
IF(V64=regle!$C$11,regle!$C$23,
IF(V64=regle!$D$11,regle!$D$23,
IF(V64=regle!$E$11,regle!$E$23,
IF(V64=regle!$F$11,regle!$F$23,
IF(V64=regle!$G$11,regle!$G$23,
IF(V64=regle!$H$11,regle!$H$23,
IF(V64=regle!$I$11,regle!$I$23,
IF(V64=regle!$J$11,regle!$J$23,
IF(V64=regle!$K$11,regle!$K$23,0))))))))))))</f>
        <v>0</v>
      </c>
      <c r="AG64" s="17">
        <f>IF($A64,$J64*(IF(W64=regle!$B$11,regle!$B$23*IF(AP64=-2,1+regle!$B$35,1),
IF(W64=regle!$C$11,regle!$C$23,
IF(W64=regle!$D$11,regle!$D$23,
IF(W64=regle!$E$11,regle!$E$23,
IF(W64=regle!$F$11,regle!$F$23,
IF(W64=regle!$G$11,regle!$G$23,
IF(W64=regle!$H$11,regle!$H$23,
IF(W64=regle!$I$11,regle!$I$23,
IF(W64=regle!$J$11,regle!$J$23,
IF(W64=regle!$K$11,regle!$K$23,0))))))))))))</f>
        <v>0</v>
      </c>
      <c r="AH64" s="17">
        <f>IF($A64,$J64*(IF(X64=regle!$B$11,regle!$B$23*IF(AQ64=-2,1+regle!$B$35,1),
IF(X64=regle!$C$11,regle!$C$23,
IF(X64=regle!$D$11,regle!$D$23,
IF(X64=regle!$E$11,regle!$E$23,
IF(X64=regle!$F$11,regle!$F$23,
IF(X64=regle!$G$11,regle!$G$23,
IF(X64=regle!$H$11,regle!$H$23,
IF(X64=regle!$I$11,regle!$I$23,
IF(X64=regle!$J$11,regle!$J$23,
IF(X64=regle!$K$11,regle!$K$23,0))))))))))))</f>
        <v>-48.644999999999996</v>
      </c>
      <c r="AI64" s="17">
        <f>IF($A64,$J64*(IF(Y64=regle!$B$11,regle!$B$23*IF(AR64=-2,1+regle!$B$35,1),
IF(Y64=regle!$C$11,regle!$C$23,
IF(Y64=regle!$D$11,regle!$D$23,
IF(Y64=regle!$E$11,regle!$E$23,
IF(Y64=regle!$F$11,regle!$F$23,
IF(Y64=regle!$G$11,regle!$G$23,
IF(Y64=regle!$H$11,regle!$H$23,
IF(Y64=regle!$I$11,regle!$I$23,
IF(Y64=regle!$J$11,regle!$J$23,
IF(Y64=regle!$K$11,regle!$K$23,0))))))))))))</f>
        <v>0</v>
      </c>
      <c r="AJ64" s="17">
        <f>IF($A64,$J64*(IF(Z64=regle!$B$11,regle!$B$23*IF(AS64=-2,1+regle!$B$35,1),
IF(Z64=regle!$C$11,regle!$C$23,
IF(Z64=regle!$D$11,regle!$D$23,
IF(Z64=regle!$E$11,regle!$E$23,
IF(Z64=regle!$F$11,regle!$F$23,
IF(Z64=regle!$G$11,regle!$G$23,
IF(Z64=regle!$H$11,regle!$H$23,
IF(Z64=regle!$I$11,regle!$I$23,
IF(Z64=regle!$J$11,regle!$J$23,
IF(Z64=regle!$K$11,regle!$K$23,0))))))))))))</f>
        <v>0</v>
      </c>
      <c r="AK64" s="16">
        <f>IF(OR(Q64=regle!$J$11,Q64=regle!$K$11),-2,IF(Q64=regle!$B$11,0,IF(AK$1=$AK$1,IF($O64,-1,regle!$B$2-$M64),IF(AJ64=-1,-1,AJ64+1))))</f>
        <v>0</v>
      </c>
      <c r="AL64" s="16">
        <f>IF(OR(R64=regle!$J$11,R64=regle!$K$11),-2,IF(R64=regle!$B$11,0,IF(AL$1=$AK$1,IF($O64,-1,regle!$B$2-$M64),IF(AK64=-1,-1,AK64+1))))</f>
        <v>1</v>
      </c>
      <c r="AM64" s="16">
        <f>IF(OR(S64=regle!$J$11,S64=regle!$K$11),-2,IF(S64=regle!$B$11,0,IF(AM$1=$AK$1,IF($O64,-1,regle!$B$2-$M64),IF(AL64=-1,-1,AL64+1))))</f>
        <v>2</v>
      </c>
      <c r="AN64" s="16">
        <f>IF(OR(T64=regle!$J$11,T64=regle!$K$11),-2,IF(T64=regle!$B$11,0,IF(AN$1=$AK$1,IF($O64,-1,regle!$B$2-$M64),IF(AM64=-1,-1,AM64+1))))</f>
        <v>3</v>
      </c>
      <c r="AO64" s="16">
        <f>IF(OR(U64=regle!$J$11,U64=regle!$K$11),-2,IF(U64=regle!$B$11,0,IF(AO$1=$AK$1,IF($O64,-1,regle!$B$2-$M64),IF(AN64=-1,-1,AN64+1))))</f>
        <v>4</v>
      </c>
      <c r="AP64" s="16">
        <f>IF(OR(V64=regle!$J$11,V64=regle!$K$11),-2,IF(V64=regle!$B$11,0,IF(AP$1=$AK$1,IF($O64,-1,regle!$B$2-$M64),IF(AO64=-1,-1,AO64+1))))</f>
        <v>5</v>
      </c>
      <c r="AQ64" s="16">
        <f>IF(OR(W64=regle!$J$11,W64=regle!$K$11),-2,IF(W64=regle!$B$11,0,IF(AQ$1=$AK$1,IF($O64,-1,regle!$B$2-$M64),IF(AP64=-1,-1,AP64+1))))</f>
        <v>6</v>
      </c>
      <c r="AR64" s="16">
        <f>IF(OR(X64=regle!$J$11,X64=regle!$K$11),-2,IF(X64=regle!$B$11,0,IF(AR$1=$AK$1,IF($O64,-1,regle!$B$2-$M64),IF(AQ64=-1,-1,AQ64+1))))</f>
        <v>7</v>
      </c>
      <c r="AS64" s="16">
        <f>IF(OR(Y64=regle!$J$11,Y64=regle!$K$11),-2,IF(Y64=regle!$B$11,0,IF(AS$1=$AK$1,IF($O64,-1,regle!$B$2-$M64),IF(AR64=-1,-1,AR64+1))))</f>
        <v>8</v>
      </c>
      <c r="AT64" s="16">
        <f>IF(OR(Z64=regle!$J$11,Z64=regle!$K$11),-2,IF(Z64=regle!$B$11,0,IF(AT$1=$AK$1,IF($O64,-1,regle!$B$2-$M64),IF(AS64=-1,-1,AS64+1))))</f>
        <v>9</v>
      </c>
    </row>
    <row r="65" spans="1:46" x14ac:dyDescent="0.25">
      <c r="A65" t="b">
        <f>modif1!A65</f>
        <v>1</v>
      </c>
      <c r="B65">
        <f>ROW(modif1!B65)</f>
        <v>65</v>
      </c>
      <c r="C65" t="str">
        <f>modif1!C68</f>
        <v>171</v>
      </c>
      <c r="D65" t="str">
        <f>modif1!D65</f>
        <v>MANO</v>
      </c>
      <c r="E65">
        <f>modif1!E65</f>
        <v>17</v>
      </c>
      <c r="F65" t="str">
        <f>modif1!F65</f>
        <v>LANDE DE TABARTON</v>
      </c>
      <c r="G65" t="str">
        <f>modif1!G65</f>
        <v>0B</v>
      </c>
      <c r="H65">
        <f>modif1!H65</f>
        <v>311</v>
      </c>
      <c r="I65" t="str">
        <f>modif1!I65</f>
        <v/>
      </c>
      <c r="J65" s="11">
        <f>modif1!J65</f>
        <v>0.51400000000000001</v>
      </c>
      <c r="K65" t="str">
        <f>modif1!K65</f>
        <v>CR</v>
      </c>
      <c r="L65" t="str">
        <f>modif1!L65</f>
        <v>PM</v>
      </c>
      <c r="M65">
        <f>modif1!M65</f>
        <v>2022</v>
      </c>
      <c r="N65" t="str">
        <f>modif1!N65</f>
        <v>CR-PM_2022</v>
      </c>
      <c r="O65" t="b">
        <f>modif1!O65</f>
        <v>1</v>
      </c>
      <c r="P65">
        <v>40</v>
      </c>
      <c r="Q65" t="s">
        <v>1868</v>
      </c>
      <c r="S65" t="s">
        <v>1872</v>
      </c>
      <c r="U65" t="s">
        <v>1870</v>
      </c>
      <c r="X65" t="s">
        <v>1871</v>
      </c>
      <c r="Z65"/>
      <c r="AA65" s="17">
        <f>IF($A65,$J65*(IF(Q65=regle!$B$11,regle!$B$23*IF(AJ65=-2,1+regle!$B$35,1),
IF(Q65=regle!$C$11,regle!$C$23,
IF(Q65=regle!$D$11,regle!$D$23,
IF(Q65=regle!$E$11,regle!$E$23,
IF(Q65=regle!$F$11,regle!$F$23,
IF(Q65=regle!$G$11,regle!$G$23,
IF(Q65=regle!$H$11,regle!$H$23,
IF(Q65=regle!$I$11,regle!$I$23,
IF(Q65=regle!$J$11,regle!$J$23,
IF(Q65=regle!$K$11,regle!$K$23,0))))))))))))</f>
        <v>-873.80000000000007</v>
      </c>
      <c r="AB65" s="17">
        <f>IF($A65,$J65*(IF(R65=regle!$B$11,regle!$B$23*IF(AK65=-2,1+regle!$B$35,1),
IF(R65=regle!$C$11,regle!$C$23,
IF(R65=regle!$D$11,regle!$D$23,
IF(R65=regle!$E$11,regle!$E$23,
IF(R65=regle!$F$11,regle!$F$23,
IF(R65=regle!$G$11,regle!$G$23,
IF(R65=regle!$H$11,regle!$H$23,
IF(R65=regle!$I$11,regle!$I$23,
IF(R65=regle!$J$11,regle!$J$23,
IF(R65=regle!$K$11,regle!$K$23,0))))))))))))</f>
        <v>0</v>
      </c>
      <c r="AC65" s="17">
        <f>IF($A65,$J65*(IF(S65=regle!$B$11,regle!$B$23*IF(AL65=-2,1+regle!$B$35,1),
IF(S65=regle!$C$11,regle!$C$23,
IF(S65=regle!$D$11,regle!$D$23,
IF(S65=regle!$E$11,regle!$E$23,
IF(S65=regle!$F$11,regle!$F$23,
IF(S65=regle!$G$11,regle!$G$23,
IF(S65=regle!$H$11,regle!$H$23,
IF(S65=regle!$I$11,regle!$I$23,
IF(S65=regle!$J$11,regle!$J$23,
IF(S65=regle!$K$11,regle!$K$23,0))))))))))))</f>
        <v>-38.550000000000004</v>
      </c>
      <c r="AD65" s="17">
        <f>IF($A65,$J65*(IF(T65=regle!$B$11,regle!$B$23*IF(AM65=-2,1+regle!$B$35,1),
IF(T65=regle!$C$11,regle!$C$23,
IF(T65=regle!$D$11,regle!$D$23,
IF(T65=regle!$E$11,regle!$E$23,
IF(T65=regle!$F$11,regle!$F$23,
IF(T65=regle!$G$11,regle!$G$23,
IF(T65=regle!$H$11,regle!$H$23,
IF(T65=regle!$I$11,regle!$I$23,
IF(T65=regle!$J$11,regle!$J$23,
IF(T65=regle!$K$11,regle!$K$23,0))))))))))))</f>
        <v>0</v>
      </c>
      <c r="AE65" s="17">
        <f>IF($A65,$J65*(IF(U65=regle!$B$11,regle!$B$23*IF(AN65=-2,1+regle!$B$35,1),
IF(U65=regle!$C$11,regle!$C$23,
IF(U65=regle!$D$11,regle!$D$23,
IF(U65=regle!$E$11,regle!$E$23,
IF(U65=regle!$F$11,regle!$F$23,
IF(U65=regle!$G$11,regle!$G$23,
IF(U65=regle!$H$11,regle!$H$23,
IF(U65=regle!$I$11,regle!$I$23,
IF(U65=regle!$J$11,regle!$J$23,
IF(U65=regle!$K$11,regle!$K$23,0))))))))))))</f>
        <v>-46.26</v>
      </c>
      <c r="AF65" s="17">
        <f>IF($A65,$J65*(IF(V65=regle!$B$11,regle!$B$23*IF(AO65=-2,1+regle!$B$35,1),
IF(V65=regle!$C$11,regle!$C$23,
IF(V65=regle!$D$11,regle!$D$23,
IF(V65=regle!$E$11,regle!$E$23,
IF(V65=regle!$F$11,regle!$F$23,
IF(V65=regle!$G$11,regle!$G$23,
IF(V65=regle!$H$11,regle!$H$23,
IF(V65=regle!$I$11,regle!$I$23,
IF(V65=regle!$J$11,regle!$J$23,
IF(V65=regle!$K$11,regle!$K$23,0))))))))))))</f>
        <v>0</v>
      </c>
      <c r="AG65" s="17">
        <f>IF($A65,$J65*(IF(W65=regle!$B$11,regle!$B$23*IF(AP65=-2,1+regle!$B$35,1),
IF(W65=regle!$C$11,regle!$C$23,
IF(W65=regle!$D$11,regle!$D$23,
IF(W65=regle!$E$11,regle!$E$23,
IF(W65=regle!$F$11,regle!$F$23,
IF(W65=regle!$G$11,regle!$G$23,
IF(W65=regle!$H$11,regle!$H$23,
IF(W65=regle!$I$11,regle!$I$23,
IF(W65=regle!$J$11,regle!$J$23,
IF(W65=regle!$K$11,regle!$K$23,0))))))))))))</f>
        <v>0</v>
      </c>
      <c r="AH65" s="17">
        <f>IF($A65,$J65*(IF(X65=regle!$B$11,regle!$B$23*IF(AQ65=-2,1+regle!$B$35,1),
IF(X65=regle!$C$11,regle!$C$23,
IF(X65=regle!$D$11,regle!$D$23,
IF(X65=regle!$E$11,regle!$E$23,
IF(X65=regle!$F$11,regle!$F$23,
IF(X65=regle!$G$11,regle!$G$23,
IF(X65=regle!$H$11,regle!$H$23,
IF(X65=regle!$I$11,regle!$I$23,
IF(X65=regle!$J$11,regle!$J$23,
IF(X65=regle!$K$11,regle!$K$23,0))))))))))))</f>
        <v>-46.26</v>
      </c>
      <c r="AI65" s="17">
        <f>IF($A65,$J65*(IF(Y65=regle!$B$11,regle!$B$23*IF(AR65=-2,1+regle!$B$35,1),
IF(Y65=regle!$C$11,regle!$C$23,
IF(Y65=regle!$D$11,regle!$D$23,
IF(Y65=regle!$E$11,regle!$E$23,
IF(Y65=regle!$F$11,regle!$F$23,
IF(Y65=regle!$G$11,regle!$G$23,
IF(Y65=regle!$H$11,regle!$H$23,
IF(Y65=regle!$I$11,regle!$I$23,
IF(Y65=regle!$J$11,regle!$J$23,
IF(Y65=regle!$K$11,regle!$K$23,0))))))))))))</f>
        <v>0</v>
      </c>
      <c r="AJ65" s="17">
        <f>IF($A65,$J65*(IF(Z65=regle!$B$11,regle!$B$23*IF(AS65=-2,1+regle!$B$35,1),
IF(Z65=regle!$C$11,regle!$C$23,
IF(Z65=regle!$D$11,regle!$D$23,
IF(Z65=regle!$E$11,regle!$E$23,
IF(Z65=regle!$F$11,regle!$F$23,
IF(Z65=regle!$G$11,regle!$G$23,
IF(Z65=regle!$H$11,regle!$H$23,
IF(Z65=regle!$I$11,regle!$I$23,
IF(Z65=regle!$J$11,regle!$J$23,
IF(Z65=regle!$K$11,regle!$K$23,0))))))))))))</f>
        <v>0</v>
      </c>
      <c r="AK65" s="16">
        <f>IF(OR(Q65=regle!$J$11,Q65=regle!$K$11),-2,IF(Q65=regle!$B$11,0,IF(AK$1=$AK$1,IF($O65,-1,regle!$B$2-$M65),IF(AJ65=-1,-1,AJ65+1))))</f>
        <v>0</v>
      </c>
      <c r="AL65" s="16">
        <f>IF(OR(R65=regle!$J$11,R65=regle!$K$11),-2,IF(R65=regle!$B$11,0,IF(AL$1=$AK$1,IF($O65,-1,regle!$B$2-$M65),IF(AK65=-1,-1,AK65+1))))</f>
        <v>1</v>
      </c>
      <c r="AM65" s="16">
        <f>IF(OR(S65=regle!$J$11,S65=regle!$K$11),-2,IF(S65=regle!$B$11,0,IF(AM$1=$AK$1,IF($O65,-1,regle!$B$2-$M65),IF(AL65=-1,-1,AL65+1))))</f>
        <v>2</v>
      </c>
      <c r="AN65" s="16">
        <f>IF(OR(T65=regle!$J$11,T65=regle!$K$11),-2,IF(T65=regle!$B$11,0,IF(AN$1=$AK$1,IF($O65,-1,regle!$B$2-$M65),IF(AM65=-1,-1,AM65+1))))</f>
        <v>3</v>
      </c>
      <c r="AO65" s="16">
        <f>IF(OR(U65=regle!$J$11,U65=regle!$K$11),-2,IF(U65=regle!$B$11,0,IF(AO$1=$AK$1,IF($O65,-1,regle!$B$2-$M65),IF(AN65=-1,-1,AN65+1))))</f>
        <v>4</v>
      </c>
      <c r="AP65" s="16">
        <f>IF(OR(V65=regle!$J$11,V65=regle!$K$11),-2,IF(V65=regle!$B$11,0,IF(AP$1=$AK$1,IF($O65,-1,regle!$B$2-$M65),IF(AO65=-1,-1,AO65+1))))</f>
        <v>5</v>
      </c>
      <c r="AQ65" s="16">
        <f>IF(OR(W65=regle!$J$11,W65=regle!$K$11),-2,IF(W65=regle!$B$11,0,IF(AQ$1=$AK$1,IF($O65,-1,regle!$B$2-$M65),IF(AP65=-1,-1,AP65+1))))</f>
        <v>6</v>
      </c>
      <c r="AR65" s="16">
        <f>IF(OR(X65=regle!$J$11,X65=regle!$K$11),-2,IF(X65=regle!$B$11,0,IF(AR$1=$AK$1,IF($O65,-1,regle!$B$2-$M65),IF(AQ65=-1,-1,AQ65+1))))</f>
        <v>7</v>
      </c>
      <c r="AS65" s="16">
        <f>IF(OR(Y65=regle!$J$11,Y65=regle!$K$11),-2,IF(Y65=regle!$B$11,0,IF(AS$1=$AK$1,IF($O65,-1,regle!$B$2-$M65),IF(AR65=-1,-1,AR65+1))))</f>
        <v>8</v>
      </c>
      <c r="AT65" s="16">
        <f>IF(OR(Z65=regle!$J$11,Z65=regle!$K$11),-2,IF(Z65=regle!$B$11,0,IF(AT$1=$AK$1,IF($O65,-1,regle!$B$2-$M65),IF(AS65=-1,-1,AS65+1))))</f>
        <v>9</v>
      </c>
    </row>
    <row r="66" spans="1:46" x14ac:dyDescent="0.25">
      <c r="A66" t="b">
        <f>modif1!A66</f>
        <v>1</v>
      </c>
      <c r="B66">
        <f>ROW(modif1!B66)</f>
        <v>66</v>
      </c>
      <c r="C66" t="str">
        <f>modif1!C69</f>
        <v>171</v>
      </c>
      <c r="D66" t="str">
        <f>modif1!D66</f>
        <v>MANO</v>
      </c>
      <c r="E66">
        <f>modif1!E66</f>
        <v>6</v>
      </c>
      <c r="F66" t="str">
        <f>modif1!F66</f>
        <v>BARRAT</v>
      </c>
      <c r="G66" t="str">
        <f>modif1!G66</f>
        <v>0C</v>
      </c>
      <c r="H66">
        <f>modif1!H66</f>
        <v>190</v>
      </c>
      <c r="I66" t="str">
        <f>modif1!I66</f>
        <v/>
      </c>
      <c r="J66" s="11">
        <f>modif1!J66</f>
        <v>0.48759999999999998</v>
      </c>
      <c r="K66" t="str">
        <f>modif1!K66</f>
        <v>CR</v>
      </c>
      <c r="L66" t="str">
        <f>modif1!L66</f>
        <v>PM</v>
      </c>
      <c r="M66">
        <f>modif1!M66</f>
        <v>2022</v>
      </c>
      <c r="N66" t="str">
        <f>modif1!N66</f>
        <v>CR-PM_2022</v>
      </c>
      <c r="O66" t="b">
        <f>modif1!O66</f>
        <v>1</v>
      </c>
      <c r="P66">
        <v>40</v>
      </c>
      <c r="Q66" t="s">
        <v>1868</v>
      </c>
      <c r="S66" t="s">
        <v>1872</v>
      </c>
      <c r="U66" t="s">
        <v>1870</v>
      </c>
      <c r="X66" t="s">
        <v>1871</v>
      </c>
      <c r="Z66"/>
      <c r="AA66" s="17">
        <f>IF($A66,$J66*(IF(Q66=regle!$B$11,regle!$B$23*IF(AJ66=-2,1+regle!$B$35,1),
IF(Q66=regle!$C$11,regle!$C$23,
IF(Q66=regle!$D$11,regle!$D$23,
IF(Q66=regle!$E$11,regle!$E$23,
IF(Q66=regle!$F$11,regle!$F$23,
IF(Q66=regle!$G$11,regle!$G$23,
IF(Q66=regle!$H$11,regle!$H$23,
IF(Q66=regle!$I$11,regle!$I$23,
IF(Q66=regle!$J$11,regle!$J$23,
IF(Q66=regle!$K$11,regle!$K$23,0))))))))))))</f>
        <v>-828.92</v>
      </c>
      <c r="AB66" s="17">
        <f>IF($A66,$J66*(IF(R66=regle!$B$11,regle!$B$23*IF(AK66=-2,1+regle!$B$35,1),
IF(R66=regle!$C$11,regle!$C$23,
IF(R66=regle!$D$11,regle!$D$23,
IF(R66=regle!$E$11,regle!$E$23,
IF(R66=regle!$F$11,regle!$F$23,
IF(R66=regle!$G$11,regle!$G$23,
IF(R66=regle!$H$11,regle!$H$23,
IF(R66=regle!$I$11,regle!$I$23,
IF(R66=regle!$J$11,regle!$J$23,
IF(R66=regle!$K$11,regle!$K$23,0))))))))))))</f>
        <v>0</v>
      </c>
      <c r="AC66" s="17">
        <f>IF($A66,$J66*(IF(S66=regle!$B$11,regle!$B$23*IF(AL66=-2,1+regle!$B$35,1),
IF(S66=regle!$C$11,regle!$C$23,
IF(S66=regle!$D$11,regle!$D$23,
IF(S66=regle!$E$11,regle!$E$23,
IF(S66=regle!$F$11,regle!$F$23,
IF(S66=regle!$G$11,regle!$G$23,
IF(S66=regle!$H$11,regle!$H$23,
IF(S66=regle!$I$11,regle!$I$23,
IF(S66=regle!$J$11,regle!$J$23,
IF(S66=regle!$K$11,regle!$K$23,0))))))))))))</f>
        <v>-36.57</v>
      </c>
      <c r="AD66" s="17">
        <f>IF($A66,$J66*(IF(T66=regle!$B$11,regle!$B$23*IF(AM66=-2,1+regle!$B$35,1),
IF(T66=regle!$C$11,regle!$C$23,
IF(T66=regle!$D$11,regle!$D$23,
IF(T66=regle!$E$11,regle!$E$23,
IF(T66=regle!$F$11,regle!$F$23,
IF(T66=regle!$G$11,regle!$G$23,
IF(T66=regle!$H$11,regle!$H$23,
IF(T66=regle!$I$11,regle!$I$23,
IF(T66=regle!$J$11,regle!$J$23,
IF(T66=regle!$K$11,regle!$K$23,0))))))))))))</f>
        <v>0</v>
      </c>
      <c r="AE66" s="17">
        <f>IF($A66,$J66*(IF(U66=regle!$B$11,regle!$B$23*IF(AN66=-2,1+regle!$B$35,1),
IF(U66=regle!$C$11,regle!$C$23,
IF(U66=regle!$D$11,regle!$D$23,
IF(U66=regle!$E$11,regle!$E$23,
IF(U66=regle!$F$11,regle!$F$23,
IF(U66=regle!$G$11,regle!$G$23,
IF(U66=regle!$H$11,regle!$H$23,
IF(U66=regle!$I$11,regle!$I$23,
IF(U66=regle!$J$11,regle!$J$23,
IF(U66=regle!$K$11,regle!$K$23,0))))))))))))</f>
        <v>-43.884</v>
      </c>
      <c r="AF66" s="17">
        <f>IF($A66,$J66*(IF(V66=regle!$B$11,regle!$B$23*IF(AO66=-2,1+regle!$B$35,1),
IF(V66=regle!$C$11,regle!$C$23,
IF(V66=regle!$D$11,regle!$D$23,
IF(V66=regle!$E$11,regle!$E$23,
IF(V66=regle!$F$11,regle!$F$23,
IF(V66=regle!$G$11,regle!$G$23,
IF(V66=regle!$H$11,regle!$H$23,
IF(V66=regle!$I$11,regle!$I$23,
IF(V66=regle!$J$11,regle!$J$23,
IF(V66=regle!$K$11,regle!$K$23,0))))))))))))</f>
        <v>0</v>
      </c>
      <c r="AG66" s="17">
        <f>IF($A66,$J66*(IF(W66=regle!$B$11,regle!$B$23*IF(AP66=-2,1+regle!$B$35,1),
IF(W66=regle!$C$11,regle!$C$23,
IF(W66=regle!$D$11,regle!$D$23,
IF(W66=regle!$E$11,regle!$E$23,
IF(W66=regle!$F$11,regle!$F$23,
IF(W66=regle!$G$11,regle!$G$23,
IF(W66=regle!$H$11,regle!$H$23,
IF(W66=regle!$I$11,regle!$I$23,
IF(W66=regle!$J$11,regle!$J$23,
IF(W66=regle!$K$11,regle!$K$23,0))))))))))))</f>
        <v>0</v>
      </c>
      <c r="AH66" s="17">
        <f>IF($A66,$J66*(IF(X66=regle!$B$11,regle!$B$23*IF(AQ66=-2,1+regle!$B$35,1),
IF(X66=regle!$C$11,regle!$C$23,
IF(X66=regle!$D$11,regle!$D$23,
IF(X66=regle!$E$11,regle!$E$23,
IF(X66=regle!$F$11,regle!$F$23,
IF(X66=regle!$G$11,regle!$G$23,
IF(X66=regle!$H$11,regle!$H$23,
IF(X66=regle!$I$11,regle!$I$23,
IF(X66=regle!$J$11,regle!$J$23,
IF(X66=regle!$K$11,regle!$K$23,0))))))))))))</f>
        <v>-43.884</v>
      </c>
      <c r="AI66" s="17">
        <f>IF($A66,$J66*(IF(Y66=regle!$B$11,regle!$B$23*IF(AR66=-2,1+regle!$B$35,1),
IF(Y66=regle!$C$11,regle!$C$23,
IF(Y66=regle!$D$11,regle!$D$23,
IF(Y66=regle!$E$11,regle!$E$23,
IF(Y66=regle!$F$11,regle!$F$23,
IF(Y66=regle!$G$11,regle!$G$23,
IF(Y66=regle!$H$11,regle!$H$23,
IF(Y66=regle!$I$11,regle!$I$23,
IF(Y66=regle!$J$11,regle!$J$23,
IF(Y66=regle!$K$11,regle!$K$23,0))))))))))))</f>
        <v>0</v>
      </c>
      <c r="AJ66" s="17">
        <f>IF($A66,$J66*(IF(Z66=regle!$B$11,regle!$B$23*IF(AS66=-2,1+regle!$B$35,1),
IF(Z66=regle!$C$11,regle!$C$23,
IF(Z66=regle!$D$11,regle!$D$23,
IF(Z66=regle!$E$11,regle!$E$23,
IF(Z66=regle!$F$11,regle!$F$23,
IF(Z66=regle!$G$11,regle!$G$23,
IF(Z66=regle!$H$11,regle!$H$23,
IF(Z66=regle!$I$11,regle!$I$23,
IF(Z66=regle!$J$11,regle!$J$23,
IF(Z66=regle!$K$11,regle!$K$23,0))))))))))))</f>
        <v>0</v>
      </c>
      <c r="AK66" s="16">
        <f>IF(OR(Q66=regle!$J$11,Q66=regle!$K$11),-2,IF(Q66=regle!$B$11,0,IF(AK$1=$AK$1,IF($O66,-1,regle!$B$2-$M66),IF(AJ66=-1,-1,AJ66+1))))</f>
        <v>0</v>
      </c>
      <c r="AL66" s="16">
        <f>IF(OR(R66=regle!$J$11,R66=regle!$K$11),-2,IF(R66=regle!$B$11,0,IF(AL$1=$AK$1,IF($O66,-1,regle!$B$2-$M66),IF(AK66=-1,-1,AK66+1))))</f>
        <v>1</v>
      </c>
      <c r="AM66" s="16">
        <f>IF(OR(S66=regle!$J$11,S66=regle!$K$11),-2,IF(S66=regle!$B$11,0,IF(AM$1=$AK$1,IF($O66,-1,regle!$B$2-$M66),IF(AL66=-1,-1,AL66+1))))</f>
        <v>2</v>
      </c>
      <c r="AN66" s="16">
        <f>IF(OR(T66=regle!$J$11,T66=regle!$K$11),-2,IF(T66=regle!$B$11,0,IF(AN$1=$AK$1,IF($O66,-1,regle!$B$2-$M66),IF(AM66=-1,-1,AM66+1))))</f>
        <v>3</v>
      </c>
      <c r="AO66" s="16">
        <f>IF(OR(U66=regle!$J$11,U66=regle!$K$11),-2,IF(U66=regle!$B$11,0,IF(AO$1=$AK$1,IF($O66,-1,regle!$B$2-$M66),IF(AN66=-1,-1,AN66+1))))</f>
        <v>4</v>
      </c>
      <c r="AP66" s="16">
        <f>IF(OR(V66=regle!$J$11,V66=regle!$K$11),-2,IF(V66=regle!$B$11,0,IF(AP$1=$AK$1,IF($O66,-1,regle!$B$2-$M66),IF(AO66=-1,-1,AO66+1))))</f>
        <v>5</v>
      </c>
      <c r="AQ66" s="16">
        <f>IF(OR(W66=regle!$J$11,W66=regle!$K$11),-2,IF(W66=regle!$B$11,0,IF(AQ$1=$AK$1,IF($O66,-1,regle!$B$2-$M66),IF(AP66=-1,-1,AP66+1))))</f>
        <v>6</v>
      </c>
      <c r="AR66" s="16">
        <f>IF(OR(X66=regle!$J$11,X66=regle!$K$11),-2,IF(X66=regle!$B$11,0,IF(AR$1=$AK$1,IF($O66,-1,regle!$B$2-$M66),IF(AQ66=-1,-1,AQ66+1))))</f>
        <v>7</v>
      </c>
      <c r="AS66" s="16">
        <f>IF(OR(Y66=regle!$J$11,Y66=regle!$K$11),-2,IF(Y66=regle!$B$11,0,IF(AS$1=$AK$1,IF($O66,-1,regle!$B$2-$M66),IF(AR66=-1,-1,AR66+1))))</f>
        <v>8</v>
      </c>
      <c r="AT66" s="16">
        <f>IF(OR(Z66=regle!$J$11,Z66=regle!$K$11),-2,IF(Z66=regle!$B$11,0,IF(AT$1=$AK$1,IF($O66,-1,regle!$B$2-$M66),IF(AS66=-1,-1,AS66+1))))</f>
        <v>9</v>
      </c>
    </row>
    <row r="67" spans="1:46" x14ac:dyDescent="0.25">
      <c r="A67" t="b">
        <f>modif1!A67</f>
        <v>1</v>
      </c>
      <c r="B67">
        <f>ROW(modif1!B67)</f>
        <v>67</v>
      </c>
      <c r="C67" t="str">
        <f>modif1!C70</f>
        <v>171</v>
      </c>
      <c r="D67" t="str">
        <f>modif1!D67</f>
        <v>MANO</v>
      </c>
      <c r="E67">
        <f>modif1!E67</f>
        <v>17</v>
      </c>
      <c r="F67" t="str">
        <f>modif1!F67</f>
        <v>LANDE DE TABARTON</v>
      </c>
      <c r="G67" t="str">
        <f>modif1!G67</f>
        <v>0B</v>
      </c>
      <c r="H67">
        <f>modif1!H67</f>
        <v>304</v>
      </c>
      <c r="I67" t="str">
        <f>modif1!I67</f>
        <v>k</v>
      </c>
      <c r="J67" s="11">
        <f>modif1!J67</f>
        <v>0.45639999999999997</v>
      </c>
      <c r="K67" t="str">
        <f>modif1!K67</f>
        <v>CR</v>
      </c>
      <c r="L67" t="str">
        <f>modif1!L67</f>
        <v>PM</v>
      </c>
      <c r="M67">
        <f>modif1!M67</f>
        <v>2022</v>
      </c>
      <c r="N67" t="str">
        <f>modif1!N67</f>
        <v>CR-PM_2022</v>
      </c>
      <c r="O67" t="b">
        <f>modif1!O67</f>
        <v>1</v>
      </c>
      <c r="P67">
        <v>40</v>
      </c>
      <c r="Q67" t="s">
        <v>1868</v>
      </c>
      <c r="S67" t="s">
        <v>1872</v>
      </c>
      <c r="U67" t="s">
        <v>1870</v>
      </c>
      <c r="X67" t="s">
        <v>1871</v>
      </c>
      <c r="Z67"/>
      <c r="AA67" s="17">
        <f>IF($A67,$J67*(IF(Q67=regle!$B$11,regle!$B$23*IF(AJ67=-2,1+regle!$B$35,1),
IF(Q67=regle!$C$11,regle!$C$23,
IF(Q67=regle!$D$11,regle!$D$23,
IF(Q67=regle!$E$11,regle!$E$23,
IF(Q67=regle!$F$11,regle!$F$23,
IF(Q67=regle!$G$11,regle!$G$23,
IF(Q67=regle!$H$11,regle!$H$23,
IF(Q67=regle!$I$11,regle!$I$23,
IF(Q67=regle!$J$11,regle!$J$23,
IF(Q67=regle!$K$11,regle!$K$23,0))))))))))))</f>
        <v>-775.88</v>
      </c>
      <c r="AB67" s="17">
        <f>IF($A67,$J67*(IF(R67=regle!$B$11,regle!$B$23*IF(AK67=-2,1+regle!$B$35,1),
IF(R67=regle!$C$11,regle!$C$23,
IF(R67=regle!$D$11,regle!$D$23,
IF(R67=regle!$E$11,regle!$E$23,
IF(R67=regle!$F$11,regle!$F$23,
IF(R67=regle!$G$11,regle!$G$23,
IF(R67=regle!$H$11,regle!$H$23,
IF(R67=regle!$I$11,regle!$I$23,
IF(R67=regle!$J$11,regle!$J$23,
IF(R67=regle!$K$11,regle!$K$23,0))))))))))))</f>
        <v>0</v>
      </c>
      <c r="AC67" s="17">
        <f>IF($A67,$J67*(IF(S67=regle!$B$11,regle!$B$23*IF(AL67=-2,1+regle!$B$35,1),
IF(S67=regle!$C$11,regle!$C$23,
IF(S67=regle!$D$11,regle!$D$23,
IF(S67=regle!$E$11,regle!$E$23,
IF(S67=regle!$F$11,regle!$F$23,
IF(S67=regle!$G$11,regle!$G$23,
IF(S67=regle!$H$11,regle!$H$23,
IF(S67=regle!$I$11,regle!$I$23,
IF(S67=regle!$J$11,regle!$J$23,
IF(S67=regle!$K$11,regle!$K$23,0))))))))))))</f>
        <v>-34.229999999999997</v>
      </c>
      <c r="AD67" s="17">
        <f>IF($A67,$J67*(IF(T67=regle!$B$11,regle!$B$23*IF(AM67=-2,1+regle!$B$35,1),
IF(T67=regle!$C$11,regle!$C$23,
IF(T67=regle!$D$11,regle!$D$23,
IF(T67=regle!$E$11,regle!$E$23,
IF(T67=regle!$F$11,regle!$F$23,
IF(T67=regle!$G$11,regle!$G$23,
IF(T67=regle!$H$11,regle!$H$23,
IF(T67=regle!$I$11,regle!$I$23,
IF(T67=regle!$J$11,regle!$J$23,
IF(T67=regle!$K$11,regle!$K$23,0))))))))))))</f>
        <v>0</v>
      </c>
      <c r="AE67" s="17">
        <f>IF($A67,$J67*(IF(U67=regle!$B$11,regle!$B$23*IF(AN67=-2,1+regle!$B$35,1),
IF(U67=regle!$C$11,regle!$C$23,
IF(U67=regle!$D$11,regle!$D$23,
IF(U67=regle!$E$11,regle!$E$23,
IF(U67=regle!$F$11,regle!$F$23,
IF(U67=regle!$G$11,regle!$G$23,
IF(U67=regle!$H$11,regle!$H$23,
IF(U67=regle!$I$11,regle!$I$23,
IF(U67=regle!$J$11,regle!$J$23,
IF(U67=regle!$K$11,regle!$K$23,0))))))))))))</f>
        <v>-41.076000000000001</v>
      </c>
      <c r="AF67" s="17">
        <f>IF($A67,$J67*(IF(V67=regle!$B$11,regle!$B$23*IF(AO67=-2,1+regle!$B$35,1),
IF(V67=regle!$C$11,regle!$C$23,
IF(V67=regle!$D$11,regle!$D$23,
IF(V67=regle!$E$11,regle!$E$23,
IF(V67=regle!$F$11,regle!$F$23,
IF(V67=regle!$G$11,regle!$G$23,
IF(V67=regle!$H$11,regle!$H$23,
IF(V67=regle!$I$11,regle!$I$23,
IF(V67=regle!$J$11,regle!$J$23,
IF(V67=regle!$K$11,regle!$K$23,0))))))))))))</f>
        <v>0</v>
      </c>
      <c r="AG67" s="17">
        <f>IF($A67,$J67*(IF(W67=regle!$B$11,regle!$B$23*IF(AP67=-2,1+regle!$B$35,1),
IF(W67=regle!$C$11,regle!$C$23,
IF(W67=regle!$D$11,regle!$D$23,
IF(W67=regle!$E$11,regle!$E$23,
IF(W67=regle!$F$11,regle!$F$23,
IF(W67=regle!$G$11,regle!$G$23,
IF(W67=regle!$H$11,regle!$H$23,
IF(W67=regle!$I$11,regle!$I$23,
IF(W67=regle!$J$11,regle!$J$23,
IF(W67=regle!$K$11,regle!$K$23,0))))))))))))</f>
        <v>0</v>
      </c>
      <c r="AH67" s="17">
        <f>IF($A67,$J67*(IF(X67=regle!$B$11,regle!$B$23*IF(AQ67=-2,1+regle!$B$35,1),
IF(X67=regle!$C$11,regle!$C$23,
IF(X67=regle!$D$11,regle!$D$23,
IF(X67=regle!$E$11,regle!$E$23,
IF(X67=regle!$F$11,regle!$F$23,
IF(X67=regle!$G$11,regle!$G$23,
IF(X67=regle!$H$11,regle!$H$23,
IF(X67=regle!$I$11,regle!$I$23,
IF(X67=regle!$J$11,regle!$J$23,
IF(X67=regle!$K$11,regle!$K$23,0))))))))))))</f>
        <v>-41.076000000000001</v>
      </c>
      <c r="AI67" s="17">
        <f>IF($A67,$J67*(IF(Y67=regle!$B$11,regle!$B$23*IF(AR67=-2,1+regle!$B$35,1),
IF(Y67=regle!$C$11,regle!$C$23,
IF(Y67=regle!$D$11,regle!$D$23,
IF(Y67=regle!$E$11,regle!$E$23,
IF(Y67=regle!$F$11,regle!$F$23,
IF(Y67=regle!$G$11,regle!$G$23,
IF(Y67=regle!$H$11,regle!$H$23,
IF(Y67=regle!$I$11,regle!$I$23,
IF(Y67=regle!$J$11,regle!$J$23,
IF(Y67=regle!$K$11,regle!$K$23,0))))))))))))</f>
        <v>0</v>
      </c>
      <c r="AJ67" s="17">
        <f>IF($A67,$J67*(IF(Z67=regle!$B$11,regle!$B$23*IF(AS67=-2,1+regle!$B$35,1),
IF(Z67=regle!$C$11,regle!$C$23,
IF(Z67=regle!$D$11,regle!$D$23,
IF(Z67=regle!$E$11,regle!$E$23,
IF(Z67=regle!$F$11,regle!$F$23,
IF(Z67=regle!$G$11,regle!$G$23,
IF(Z67=regle!$H$11,regle!$H$23,
IF(Z67=regle!$I$11,regle!$I$23,
IF(Z67=regle!$J$11,regle!$J$23,
IF(Z67=regle!$K$11,regle!$K$23,0))))))))))))</f>
        <v>0</v>
      </c>
      <c r="AK67" s="16">
        <f>IF(OR(Q67=regle!$J$11,Q67=regle!$K$11),-2,IF(Q67=regle!$B$11,0,IF(AK$1=$AK$1,IF($O67,-1,regle!$B$2-$M67),IF(AJ67=-1,-1,AJ67+1))))</f>
        <v>0</v>
      </c>
      <c r="AL67" s="16">
        <f>IF(OR(R67=regle!$J$11,R67=regle!$K$11),-2,IF(R67=regle!$B$11,0,IF(AL$1=$AK$1,IF($O67,-1,regle!$B$2-$M67),IF(AK67=-1,-1,AK67+1))))</f>
        <v>1</v>
      </c>
      <c r="AM67" s="16">
        <f>IF(OR(S67=regle!$J$11,S67=regle!$K$11),-2,IF(S67=regle!$B$11,0,IF(AM$1=$AK$1,IF($O67,-1,regle!$B$2-$M67),IF(AL67=-1,-1,AL67+1))))</f>
        <v>2</v>
      </c>
      <c r="AN67" s="16">
        <f>IF(OR(T67=regle!$J$11,T67=regle!$K$11),-2,IF(T67=regle!$B$11,0,IF(AN$1=$AK$1,IF($O67,-1,regle!$B$2-$M67),IF(AM67=-1,-1,AM67+1))))</f>
        <v>3</v>
      </c>
      <c r="AO67" s="16">
        <f>IF(OR(U67=regle!$J$11,U67=regle!$K$11),-2,IF(U67=regle!$B$11,0,IF(AO$1=$AK$1,IF($O67,-1,regle!$B$2-$M67),IF(AN67=-1,-1,AN67+1))))</f>
        <v>4</v>
      </c>
      <c r="AP67" s="16">
        <f>IF(OR(V67=regle!$J$11,V67=regle!$K$11),-2,IF(V67=regle!$B$11,0,IF(AP$1=$AK$1,IF($O67,-1,regle!$B$2-$M67),IF(AO67=-1,-1,AO67+1))))</f>
        <v>5</v>
      </c>
      <c r="AQ67" s="16">
        <f>IF(OR(W67=regle!$J$11,W67=regle!$K$11),-2,IF(W67=regle!$B$11,0,IF(AQ$1=$AK$1,IF($O67,-1,regle!$B$2-$M67),IF(AP67=-1,-1,AP67+1))))</f>
        <v>6</v>
      </c>
      <c r="AR67" s="16">
        <f>IF(OR(X67=regle!$J$11,X67=regle!$K$11),-2,IF(X67=regle!$B$11,0,IF(AR$1=$AK$1,IF($O67,-1,regle!$B$2-$M67),IF(AQ67=-1,-1,AQ67+1))))</f>
        <v>7</v>
      </c>
      <c r="AS67" s="16">
        <f>IF(OR(Y67=regle!$J$11,Y67=regle!$K$11),-2,IF(Y67=regle!$B$11,0,IF(AS$1=$AK$1,IF($O67,-1,regle!$B$2-$M67),IF(AR67=-1,-1,AR67+1))))</f>
        <v>8</v>
      </c>
      <c r="AT67" s="16">
        <f>IF(OR(Z67=regle!$J$11,Z67=regle!$K$11),-2,IF(Z67=regle!$B$11,0,IF(AT$1=$AK$1,IF($O67,-1,regle!$B$2-$M67),IF(AS67=-1,-1,AS67+1))))</f>
        <v>9</v>
      </c>
    </row>
    <row r="68" spans="1:46" x14ac:dyDescent="0.25">
      <c r="A68" t="b">
        <f>modif1!A68</f>
        <v>1</v>
      </c>
      <c r="B68">
        <f>ROW(modif1!B68)</f>
        <v>68</v>
      </c>
      <c r="C68" t="str">
        <f>modif1!C71</f>
        <v>171</v>
      </c>
      <c r="D68" t="str">
        <f>modif1!D68</f>
        <v>MANO</v>
      </c>
      <c r="E68">
        <f>modif1!E68</f>
        <v>17</v>
      </c>
      <c r="F68" t="str">
        <f>modif1!F68</f>
        <v>LANDE DE TABARTON</v>
      </c>
      <c r="G68" t="str">
        <f>modif1!G68</f>
        <v>0B</v>
      </c>
      <c r="H68">
        <f>modif1!H68</f>
        <v>302</v>
      </c>
      <c r="I68" t="str">
        <f>modif1!I68</f>
        <v/>
      </c>
      <c r="J68" s="11">
        <f>modif1!J68</f>
        <v>0.41699999999999998</v>
      </c>
      <c r="K68" t="str">
        <f>modif1!K68</f>
        <v>CR</v>
      </c>
      <c r="L68" t="str">
        <f>modif1!L68</f>
        <v>PM</v>
      </c>
      <c r="M68">
        <f>modif1!M68</f>
        <v>2022</v>
      </c>
      <c r="N68" t="str">
        <f>modif1!N68</f>
        <v>CR-PM_2022</v>
      </c>
      <c r="O68" t="b">
        <f>modif1!O68</f>
        <v>1</v>
      </c>
      <c r="P68">
        <v>40</v>
      </c>
      <c r="Q68" t="s">
        <v>1868</v>
      </c>
      <c r="S68" t="s">
        <v>1872</v>
      </c>
      <c r="U68" t="s">
        <v>1870</v>
      </c>
      <c r="X68" t="s">
        <v>1871</v>
      </c>
      <c r="Z68"/>
      <c r="AA68" s="17">
        <f>IF($A68,$J68*(IF(Q68=regle!$B$11,regle!$B$23*IF(AJ68=-2,1+regle!$B$35,1),
IF(Q68=regle!$C$11,regle!$C$23,
IF(Q68=regle!$D$11,regle!$D$23,
IF(Q68=regle!$E$11,regle!$E$23,
IF(Q68=regle!$F$11,regle!$F$23,
IF(Q68=regle!$G$11,regle!$G$23,
IF(Q68=regle!$H$11,regle!$H$23,
IF(Q68=regle!$I$11,regle!$I$23,
IF(Q68=regle!$J$11,regle!$J$23,
IF(Q68=regle!$K$11,regle!$K$23,0))))))))))))</f>
        <v>-708.9</v>
      </c>
      <c r="AB68" s="17">
        <f>IF($A68,$J68*(IF(R68=regle!$B$11,regle!$B$23*IF(AK68=-2,1+regle!$B$35,1),
IF(R68=regle!$C$11,regle!$C$23,
IF(R68=regle!$D$11,regle!$D$23,
IF(R68=regle!$E$11,regle!$E$23,
IF(R68=regle!$F$11,regle!$F$23,
IF(R68=regle!$G$11,regle!$G$23,
IF(R68=regle!$H$11,regle!$H$23,
IF(R68=regle!$I$11,regle!$I$23,
IF(R68=regle!$J$11,regle!$J$23,
IF(R68=regle!$K$11,regle!$K$23,0))))))))))))</f>
        <v>0</v>
      </c>
      <c r="AC68" s="17">
        <f>IF($A68,$J68*(IF(S68=regle!$B$11,regle!$B$23*IF(AL68=-2,1+regle!$B$35,1),
IF(S68=regle!$C$11,regle!$C$23,
IF(S68=regle!$D$11,regle!$D$23,
IF(S68=regle!$E$11,regle!$E$23,
IF(S68=regle!$F$11,regle!$F$23,
IF(S68=regle!$G$11,regle!$G$23,
IF(S68=regle!$H$11,regle!$H$23,
IF(S68=regle!$I$11,regle!$I$23,
IF(S68=regle!$J$11,regle!$J$23,
IF(S68=regle!$K$11,regle!$K$23,0))))))))))))</f>
        <v>-31.274999999999999</v>
      </c>
      <c r="AD68" s="17">
        <f>IF($A68,$J68*(IF(T68=regle!$B$11,regle!$B$23*IF(AM68=-2,1+regle!$B$35,1),
IF(T68=regle!$C$11,regle!$C$23,
IF(T68=regle!$D$11,regle!$D$23,
IF(T68=regle!$E$11,regle!$E$23,
IF(T68=regle!$F$11,regle!$F$23,
IF(T68=regle!$G$11,regle!$G$23,
IF(T68=regle!$H$11,regle!$H$23,
IF(T68=regle!$I$11,regle!$I$23,
IF(T68=regle!$J$11,regle!$J$23,
IF(T68=regle!$K$11,regle!$K$23,0))))))))))))</f>
        <v>0</v>
      </c>
      <c r="AE68" s="17">
        <f>IF($A68,$J68*(IF(U68=regle!$B$11,regle!$B$23*IF(AN68=-2,1+regle!$B$35,1),
IF(U68=regle!$C$11,regle!$C$23,
IF(U68=regle!$D$11,regle!$D$23,
IF(U68=regle!$E$11,regle!$E$23,
IF(U68=regle!$F$11,regle!$F$23,
IF(U68=regle!$G$11,regle!$G$23,
IF(U68=regle!$H$11,regle!$H$23,
IF(U68=regle!$I$11,regle!$I$23,
IF(U68=regle!$J$11,regle!$J$23,
IF(U68=regle!$K$11,regle!$K$23,0))))))))))))</f>
        <v>-37.53</v>
      </c>
      <c r="AF68" s="17">
        <f>IF($A68,$J68*(IF(V68=regle!$B$11,regle!$B$23*IF(AO68=-2,1+regle!$B$35,1),
IF(V68=regle!$C$11,regle!$C$23,
IF(V68=regle!$D$11,regle!$D$23,
IF(V68=regle!$E$11,regle!$E$23,
IF(V68=regle!$F$11,regle!$F$23,
IF(V68=regle!$G$11,regle!$G$23,
IF(V68=regle!$H$11,regle!$H$23,
IF(V68=regle!$I$11,regle!$I$23,
IF(V68=regle!$J$11,regle!$J$23,
IF(V68=regle!$K$11,regle!$K$23,0))))))))))))</f>
        <v>0</v>
      </c>
      <c r="AG68" s="17">
        <f>IF($A68,$J68*(IF(W68=regle!$B$11,regle!$B$23*IF(AP68=-2,1+regle!$B$35,1),
IF(W68=regle!$C$11,regle!$C$23,
IF(W68=regle!$D$11,regle!$D$23,
IF(W68=regle!$E$11,regle!$E$23,
IF(W68=regle!$F$11,regle!$F$23,
IF(W68=regle!$G$11,regle!$G$23,
IF(W68=regle!$H$11,regle!$H$23,
IF(W68=regle!$I$11,regle!$I$23,
IF(W68=regle!$J$11,regle!$J$23,
IF(W68=regle!$K$11,regle!$K$23,0))))))))))))</f>
        <v>0</v>
      </c>
      <c r="AH68" s="17">
        <f>IF($A68,$J68*(IF(X68=regle!$B$11,regle!$B$23*IF(AQ68=-2,1+regle!$B$35,1),
IF(X68=regle!$C$11,regle!$C$23,
IF(X68=regle!$D$11,regle!$D$23,
IF(X68=regle!$E$11,regle!$E$23,
IF(X68=regle!$F$11,regle!$F$23,
IF(X68=regle!$G$11,regle!$G$23,
IF(X68=regle!$H$11,regle!$H$23,
IF(X68=regle!$I$11,regle!$I$23,
IF(X68=regle!$J$11,regle!$J$23,
IF(X68=regle!$K$11,regle!$K$23,0))))))))))))</f>
        <v>-37.53</v>
      </c>
      <c r="AI68" s="17">
        <f>IF($A68,$J68*(IF(Y68=regle!$B$11,regle!$B$23*IF(AR68=-2,1+regle!$B$35,1),
IF(Y68=regle!$C$11,regle!$C$23,
IF(Y68=regle!$D$11,regle!$D$23,
IF(Y68=regle!$E$11,regle!$E$23,
IF(Y68=regle!$F$11,regle!$F$23,
IF(Y68=regle!$G$11,regle!$G$23,
IF(Y68=regle!$H$11,regle!$H$23,
IF(Y68=regle!$I$11,regle!$I$23,
IF(Y68=regle!$J$11,regle!$J$23,
IF(Y68=regle!$K$11,regle!$K$23,0))))))))))))</f>
        <v>0</v>
      </c>
      <c r="AJ68" s="17">
        <f>IF($A68,$J68*(IF(Z68=regle!$B$11,regle!$B$23*IF(AS68=-2,1+regle!$B$35,1),
IF(Z68=regle!$C$11,regle!$C$23,
IF(Z68=regle!$D$11,regle!$D$23,
IF(Z68=regle!$E$11,regle!$E$23,
IF(Z68=regle!$F$11,regle!$F$23,
IF(Z68=regle!$G$11,regle!$G$23,
IF(Z68=regle!$H$11,regle!$H$23,
IF(Z68=regle!$I$11,regle!$I$23,
IF(Z68=regle!$J$11,regle!$J$23,
IF(Z68=regle!$K$11,regle!$K$23,0))))))))))))</f>
        <v>0</v>
      </c>
      <c r="AK68" s="16">
        <f>IF(OR(Q68=regle!$J$11,Q68=regle!$K$11),-2,IF(Q68=regle!$B$11,0,IF(AK$1=$AK$1,IF($O68,-1,regle!$B$2-$M68),IF(AJ68=-1,-1,AJ68+1))))</f>
        <v>0</v>
      </c>
      <c r="AL68" s="16">
        <f>IF(OR(R68=regle!$J$11,R68=regle!$K$11),-2,IF(R68=regle!$B$11,0,IF(AL$1=$AK$1,IF($O68,-1,regle!$B$2-$M68),IF(AK68=-1,-1,AK68+1))))</f>
        <v>1</v>
      </c>
      <c r="AM68" s="16">
        <f>IF(OR(S68=regle!$J$11,S68=regle!$K$11),-2,IF(S68=regle!$B$11,0,IF(AM$1=$AK$1,IF($O68,-1,regle!$B$2-$M68),IF(AL68=-1,-1,AL68+1))))</f>
        <v>2</v>
      </c>
      <c r="AN68" s="16">
        <f>IF(OR(T68=regle!$J$11,T68=regle!$K$11),-2,IF(T68=regle!$B$11,0,IF(AN$1=$AK$1,IF($O68,-1,regle!$B$2-$M68),IF(AM68=-1,-1,AM68+1))))</f>
        <v>3</v>
      </c>
      <c r="AO68" s="16">
        <f>IF(OR(U68=regle!$J$11,U68=regle!$K$11),-2,IF(U68=regle!$B$11,0,IF(AO$1=$AK$1,IF($O68,-1,regle!$B$2-$M68),IF(AN68=-1,-1,AN68+1))))</f>
        <v>4</v>
      </c>
      <c r="AP68" s="16">
        <f>IF(OR(V68=regle!$J$11,V68=regle!$K$11),-2,IF(V68=regle!$B$11,0,IF(AP$1=$AK$1,IF($O68,-1,regle!$B$2-$M68),IF(AO68=-1,-1,AO68+1))))</f>
        <v>5</v>
      </c>
      <c r="AQ68" s="16">
        <f>IF(OR(W68=regle!$J$11,W68=regle!$K$11),-2,IF(W68=regle!$B$11,0,IF(AQ$1=$AK$1,IF($O68,-1,regle!$B$2-$M68),IF(AP68=-1,-1,AP68+1))))</f>
        <v>6</v>
      </c>
      <c r="AR68" s="16">
        <f>IF(OR(X68=regle!$J$11,X68=regle!$K$11),-2,IF(X68=regle!$B$11,0,IF(AR$1=$AK$1,IF($O68,-1,regle!$B$2-$M68),IF(AQ68=-1,-1,AQ68+1))))</f>
        <v>7</v>
      </c>
      <c r="AS68" s="16">
        <f>IF(OR(Y68=regle!$J$11,Y68=regle!$K$11),-2,IF(Y68=regle!$B$11,0,IF(AS$1=$AK$1,IF($O68,-1,regle!$B$2-$M68),IF(AR68=-1,-1,AR68+1))))</f>
        <v>8</v>
      </c>
      <c r="AT68" s="16">
        <f>IF(OR(Z68=regle!$J$11,Z68=regle!$K$11),-2,IF(Z68=regle!$B$11,0,IF(AT$1=$AK$1,IF($O68,-1,regle!$B$2-$M68),IF(AS68=-1,-1,AS68+1))))</f>
        <v>9</v>
      </c>
    </row>
    <row r="69" spans="1:46" x14ac:dyDescent="0.25">
      <c r="A69" t="b">
        <f>modif1!A69</f>
        <v>1</v>
      </c>
      <c r="B69">
        <f>ROW(modif1!B69)</f>
        <v>69</v>
      </c>
      <c r="C69" t="str">
        <f>modif1!C72</f>
        <v>171</v>
      </c>
      <c r="D69" t="str">
        <f>modif1!D69</f>
        <v>MANO</v>
      </c>
      <c r="E69">
        <f>modif1!E69</f>
        <v>6</v>
      </c>
      <c r="F69" t="str">
        <f>modif1!F69</f>
        <v>BARRAT</v>
      </c>
      <c r="G69" t="str">
        <f>modif1!G69</f>
        <v>0C</v>
      </c>
      <c r="H69">
        <f>modif1!H69</f>
        <v>192</v>
      </c>
      <c r="I69" t="str">
        <f>modif1!I69</f>
        <v/>
      </c>
      <c r="J69" s="11">
        <f>modif1!J69</f>
        <v>0.39960000000000001</v>
      </c>
      <c r="K69" t="str">
        <f>modif1!K69</f>
        <v>CR</v>
      </c>
      <c r="L69" t="str">
        <f>modif1!L69</f>
        <v>PM</v>
      </c>
      <c r="M69">
        <f>modif1!M69</f>
        <v>2022</v>
      </c>
      <c r="N69" t="str">
        <f>modif1!N69</f>
        <v>CR-PM_2022</v>
      </c>
      <c r="O69" t="b">
        <f>modif1!O69</f>
        <v>1</v>
      </c>
      <c r="P69">
        <v>40</v>
      </c>
      <c r="Q69" t="s">
        <v>1868</v>
      </c>
      <c r="S69" t="s">
        <v>1872</v>
      </c>
      <c r="U69" t="s">
        <v>1870</v>
      </c>
      <c r="X69" t="s">
        <v>1871</v>
      </c>
      <c r="Z69"/>
      <c r="AA69" s="17">
        <f>IF($A69,$J69*(IF(Q69=regle!$B$11,regle!$B$23*IF(AJ69=-2,1+regle!$B$35,1),
IF(Q69=regle!$C$11,regle!$C$23,
IF(Q69=regle!$D$11,regle!$D$23,
IF(Q69=regle!$E$11,regle!$E$23,
IF(Q69=regle!$F$11,regle!$F$23,
IF(Q69=regle!$G$11,regle!$G$23,
IF(Q69=regle!$H$11,regle!$H$23,
IF(Q69=regle!$I$11,regle!$I$23,
IF(Q69=regle!$J$11,regle!$J$23,
IF(Q69=regle!$K$11,regle!$K$23,0))))))))))))</f>
        <v>-679.32</v>
      </c>
      <c r="AB69" s="17">
        <f>IF($A69,$J69*(IF(R69=regle!$B$11,regle!$B$23*IF(AK69=-2,1+regle!$B$35,1),
IF(R69=regle!$C$11,regle!$C$23,
IF(R69=regle!$D$11,regle!$D$23,
IF(R69=regle!$E$11,regle!$E$23,
IF(R69=regle!$F$11,regle!$F$23,
IF(R69=regle!$G$11,regle!$G$23,
IF(R69=regle!$H$11,regle!$H$23,
IF(R69=regle!$I$11,regle!$I$23,
IF(R69=regle!$J$11,regle!$J$23,
IF(R69=regle!$K$11,regle!$K$23,0))))))))))))</f>
        <v>0</v>
      </c>
      <c r="AC69" s="17">
        <f>IF($A69,$J69*(IF(S69=regle!$B$11,regle!$B$23*IF(AL69=-2,1+regle!$B$35,1),
IF(S69=regle!$C$11,regle!$C$23,
IF(S69=regle!$D$11,regle!$D$23,
IF(S69=regle!$E$11,regle!$E$23,
IF(S69=regle!$F$11,regle!$F$23,
IF(S69=regle!$G$11,regle!$G$23,
IF(S69=regle!$H$11,regle!$H$23,
IF(S69=regle!$I$11,regle!$I$23,
IF(S69=regle!$J$11,regle!$J$23,
IF(S69=regle!$K$11,regle!$K$23,0))))))))))))</f>
        <v>-29.970000000000002</v>
      </c>
      <c r="AD69" s="17">
        <f>IF($A69,$J69*(IF(T69=regle!$B$11,regle!$B$23*IF(AM69=-2,1+regle!$B$35,1),
IF(T69=regle!$C$11,regle!$C$23,
IF(T69=regle!$D$11,regle!$D$23,
IF(T69=regle!$E$11,regle!$E$23,
IF(T69=regle!$F$11,regle!$F$23,
IF(T69=regle!$G$11,regle!$G$23,
IF(T69=regle!$H$11,regle!$H$23,
IF(T69=regle!$I$11,regle!$I$23,
IF(T69=regle!$J$11,regle!$J$23,
IF(T69=regle!$K$11,regle!$K$23,0))))))))))))</f>
        <v>0</v>
      </c>
      <c r="AE69" s="17">
        <f>IF($A69,$J69*(IF(U69=regle!$B$11,regle!$B$23*IF(AN69=-2,1+regle!$B$35,1),
IF(U69=regle!$C$11,regle!$C$23,
IF(U69=regle!$D$11,regle!$D$23,
IF(U69=regle!$E$11,regle!$E$23,
IF(U69=regle!$F$11,regle!$F$23,
IF(U69=regle!$G$11,regle!$G$23,
IF(U69=regle!$H$11,regle!$H$23,
IF(U69=regle!$I$11,regle!$I$23,
IF(U69=regle!$J$11,regle!$J$23,
IF(U69=regle!$K$11,regle!$K$23,0))))))))))))</f>
        <v>-35.963999999999999</v>
      </c>
      <c r="AF69" s="17">
        <f>IF($A69,$J69*(IF(V69=regle!$B$11,regle!$B$23*IF(AO69=-2,1+regle!$B$35,1),
IF(V69=regle!$C$11,regle!$C$23,
IF(V69=regle!$D$11,regle!$D$23,
IF(V69=regle!$E$11,regle!$E$23,
IF(V69=regle!$F$11,regle!$F$23,
IF(V69=regle!$G$11,regle!$G$23,
IF(V69=regle!$H$11,regle!$H$23,
IF(V69=regle!$I$11,regle!$I$23,
IF(V69=regle!$J$11,regle!$J$23,
IF(V69=regle!$K$11,regle!$K$23,0))))))))))))</f>
        <v>0</v>
      </c>
      <c r="AG69" s="17">
        <f>IF($A69,$J69*(IF(W69=regle!$B$11,regle!$B$23*IF(AP69=-2,1+regle!$B$35,1),
IF(W69=regle!$C$11,regle!$C$23,
IF(W69=regle!$D$11,regle!$D$23,
IF(W69=regle!$E$11,regle!$E$23,
IF(W69=regle!$F$11,regle!$F$23,
IF(W69=regle!$G$11,regle!$G$23,
IF(W69=regle!$H$11,regle!$H$23,
IF(W69=regle!$I$11,regle!$I$23,
IF(W69=regle!$J$11,regle!$J$23,
IF(W69=regle!$K$11,regle!$K$23,0))))))))))))</f>
        <v>0</v>
      </c>
      <c r="AH69" s="17">
        <f>IF($A69,$J69*(IF(X69=regle!$B$11,regle!$B$23*IF(AQ69=-2,1+regle!$B$35,1),
IF(X69=regle!$C$11,regle!$C$23,
IF(X69=regle!$D$11,regle!$D$23,
IF(X69=regle!$E$11,regle!$E$23,
IF(X69=regle!$F$11,regle!$F$23,
IF(X69=regle!$G$11,regle!$G$23,
IF(X69=regle!$H$11,regle!$H$23,
IF(X69=regle!$I$11,regle!$I$23,
IF(X69=regle!$J$11,regle!$J$23,
IF(X69=regle!$K$11,regle!$K$23,0))))))))))))</f>
        <v>-35.963999999999999</v>
      </c>
      <c r="AI69" s="17">
        <f>IF($A69,$J69*(IF(Y69=regle!$B$11,regle!$B$23*IF(AR69=-2,1+regle!$B$35,1),
IF(Y69=regle!$C$11,regle!$C$23,
IF(Y69=regle!$D$11,regle!$D$23,
IF(Y69=regle!$E$11,regle!$E$23,
IF(Y69=regle!$F$11,regle!$F$23,
IF(Y69=regle!$G$11,regle!$G$23,
IF(Y69=regle!$H$11,regle!$H$23,
IF(Y69=regle!$I$11,regle!$I$23,
IF(Y69=regle!$J$11,regle!$J$23,
IF(Y69=regle!$K$11,regle!$K$23,0))))))))))))</f>
        <v>0</v>
      </c>
      <c r="AJ69" s="17">
        <f>IF($A69,$J69*(IF(Z69=regle!$B$11,regle!$B$23*IF(AS69=-2,1+regle!$B$35,1),
IF(Z69=regle!$C$11,regle!$C$23,
IF(Z69=regle!$D$11,regle!$D$23,
IF(Z69=regle!$E$11,regle!$E$23,
IF(Z69=regle!$F$11,regle!$F$23,
IF(Z69=regle!$G$11,regle!$G$23,
IF(Z69=regle!$H$11,regle!$H$23,
IF(Z69=regle!$I$11,regle!$I$23,
IF(Z69=regle!$J$11,regle!$J$23,
IF(Z69=regle!$K$11,regle!$K$23,0))))))))))))</f>
        <v>0</v>
      </c>
      <c r="AK69" s="16">
        <f>IF(OR(Q69=regle!$J$11,Q69=regle!$K$11),-2,IF(Q69=regle!$B$11,0,IF(AK$1=$AK$1,IF($O69,-1,regle!$B$2-$M69),IF(AJ69=-1,-1,AJ69+1))))</f>
        <v>0</v>
      </c>
      <c r="AL69" s="16">
        <f>IF(OR(R69=regle!$J$11,R69=regle!$K$11),-2,IF(R69=regle!$B$11,0,IF(AL$1=$AK$1,IF($O69,-1,regle!$B$2-$M69),IF(AK69=-1,-1,AK69+1))))</f>
        <v>1</v>
      </c>
      <c r="AM69" s="16">
        <f>IF(OR(S69=regle!$J$11,S69=regle!$K$11),-2,IF(S69=regle!$B$11,0,IF(AM$1=$AK$1,IF($O69,-1,regle!$B$2-$M69),IF(AL69=-1,-1,AL69+1))))</f>
        <v>2</v>
      </c>
      <c r="AN69" s="16">
        <f>IF(OR(T69=regle!$J$11,T69=regle!$K$11),-2,IF(T69=regle!$B$11,0,IF(AN$1=$AK$1,IF($O69,-1,regle!$B$2-$M69),IF(AM69=-1,-1,AM69+1))))</f>
        <v>3</v>
      </c>
      <c r="AO69" s="16">
        <f>IF(OR(U69=regle!$J$11,U69=regle!$K$11),-2,IF(U69=regle!$B$11,0,IF(AO$1=$AK$1,IF($O69,-1,regle!$B$2-$M69),IF(AN69=-1,-1,AN69+1))))</f>
        <v>4</v>
      </c>
      <c r="AP69" s="16">
        <f>IF(OR(V69=regle!$J$11,V69=regle!$K$11),-2,IF(V69=regle!$B$11,0,IF(AP$1=$AK$1,IF($O69,-1,regle!$B$2-$M69),IF(AO69=-1,-1,AO69+1))))</f>
        <v>5</v>
      </c>
      <c r="AQ69" s="16">
        <f>IF(OR(W69=regle!$J$11,W69=regle!$K$11),-2,IF(W69=regle!$B$11,0,IF(AQ$1=$AK$1,IF($O69,-1,regle!$B$2-$M69),IF(AP69=-1,-1,AP69+1))))</f>
        <v>6</v>
      </c>
      <c r="AR69" s="16">
        <f>IF(OR(X69=regle!$J$11,X69=regle!$K$11),-2,IF(X69=regle!$B$11,0,IF(AR$1=$AK$1,IF($O69,-1,regle!$B$2-$M69),IF(AQ69=-1,-1,AQ69+1))))</f>
        <v>7</v>
      </c>
      <c r="AS69" s="16">
        <f>IF(OR(Y69=regle!$J$11,Y69=regle!$K$11),-2,IF(Y69=regle!$B$11,0,IF(AS$1=$AK$1,IF($O69,-1,regle!$B$2-$M69),IF(AR69=-1,-1,AR69+1))))</f>
        <v>8</v>
      </c>
      <c r="AT69" s="16">
        <f>IF(OR(Z69=regle!$J$11,Z69=regle!$K$11),-2,IF(Z69=regle!$B$11,0,IF(AT$1=$AK$1,IF($O69,-1,regle!$B$2-$M69),IF(AS69=-1,-1,AS69+1))))</f>
        <v>9</v>
      </c>
    </row>
    <row r="70" spans="1:46" x14ac:dyDescent="0.25">
      <c r="A70" t="b">
        <f>modif1!A70</f>
        <v>1</v>
      </c>
      <c r="B70">
        <f>ROW(modif1!B70)</f>
        <v>70</v>
      </c>
      <c r="C70" t="str">
        <f>modif1!C73</f>
        <v>171</v>
      </c>
      <c r="D70" t="str">
        <f>modif1!D70</f>
        <v>MANO</v>
      </c>
      <c r="E70">
        <f>modif1!E70</f>
        <v>16</v>
      </c>
      <c r="F70" t="str">
        <f>modif1!F70</f>
        <v>BAS DE TOURNICON</v>
      </c>
      <c r="G70" t="str">
        <f>modif1!G70</f>
        <v>0B</v>
      </c>
      <c r="H70">
        <f>modif1!H70</f>
        <v>217</v>
      </c>
      <c r="I70" t="str">
        <f>modif1!I70</f>
        <v/>
      </c>
      <c r="J70" s="11">
        <f>modif1!J70</f>
        <v>0.38500000000000001</v>
      </c>
      <c r="K70" t="str">
        <f>modif1!K70</f>
        <v>CR</v>
      </c>
      <c r="L70" t="str">
        <f>modif1!L70</f>
        <v>PM</v>
      </c>
      <c r="M70">
        <f>modif1!M70</f>
        <v>2022</v>
      </c>
      <c r="N70" t="str">
        <f>modif1!N70</f>
        <v>CR-PM_2022</v>
      </c>
      <c r="O70" t="b">
        <f>modif1!O70</f>
        <v>1</v>
      </c>
      <c r="P70">
        <v>40</v>
      </c>
      <c r="Q70" t="s">
        <v>1868</v>
      </c>
      <c r="S70" t="s">
        <v>1872</v>
      </c>
      <c r="U70" t="s">
        <v>1870</v>
      </c>
      <c r="X70" t="s">
        <v>1871</v>
      </c>
      <c r="Z70"/>
      <c r="AA70" s="17">
        <f>IF($A70,$J70*(IF(Q70=regle!$B$11,regle!$B$23*IF(AJ70=-2,1+regle!$B$35,1),
IF(Q70=regle!$C$11,regle!$C$23,
IF(Q70=regle!$D$11,regle!$D$23,
IF(Q70=regle!$E$11,regle!$E$23,
IF(Q70=regle!$F$11,regle!$F$23,
IF(Q70=regle!$G$11,regle!$G$23,
IF(Q70=regle!$H$11,regle!$H$23,
IF(Q70=regle!$I$11,regle!$I$23,
IF(Q70=regle!$J$11,regle!$J$23,
IF(Q70=regle!$K$11,regle!$K$23,0))))))))))))</f>
        <v>-654.5</v>
      </c>
      <c r="AB70" s="17">
        <f>IF($A70,$J70*(IF(R70=regle!$B$11,regle!$B$23*IF(AK70=-2,1+regle!$B$35,1),
IF(R70=regle!$C$11,regle!$C$23,
IF(R70=regle!$D$11,regle!$D$23,
IF(R70=regle!$E$11,regle!$E$23,
IF(R70=regle!$F$11,regle!$F$23,
IF(R70=regle!$G$11,regle!$G$23,
IF(R70=regle!$H$11,regle!$H$23,
IF(R70=regle!$I$11,regle!$I$23,
IF(R70=regle!$J$11,regle!$J$23,
IF(R70=regle!$K$11,regle!$K$23,0))))))))))))</f>
        <v>0</v>
      </c>
      <c r="AC70" s="17">
        <f>IF($A70,$J70*(IF(S70=regle!$B$11,regle!$B$23*IF(AL70=-2,1+regle!$B$35,1),
IF(S70=regle!$C$11,regle!$C$23,
IF(S70=regle!$D$11,regle!$D$23,
IF(S70=regle!$E$11,regle!$E$23,
IF(S70=regle!$F$11,regle!$F$23,
IF(S70=regle!$G$11,regle!$G$23,
IF(S70=regle!$H$11,regle!$H$23,
IF(S70=regle!$I$11,regle!$I$23,
IF(S70=regle!$J$11,regle!$J$23,
IF(S70=regle!$K$11,regle!$K$23,0))))))))))))</f>
        <v>-28.875</v>
      </c>
      <c r="AD70" s="17">
        <f>IF($A70,$J70*(IF(T70=regle!$B$11,regle!$B$23*IF(AM70=-2,1+regle!$B$35,1),
IF(T70=regle!$C$11,regle!$C$23,
IF(T70=regle!$D$11,regle!$D$23,
IF(T70=regle!$E$11,regle!$E$23,
IF(T70=regle!$F$11,regle!$F$23,
IF(T70=regle!$G$11,regle!$G$23,
IF(T70=regle!$H$11,regle!$H$23,
IF(T70=regle!$I$11,regle!$I$23,
IF(T70=regle!$J$11,regle!$J$23,
IF(T70=regle!$K$11,regle!$K$23,0))))))))))))</f>
        <v>0</v>
      </c>
      <c r="AE70" s="17">
        <f>IF($A70,$J70*(IF(U70=regle!$B$11,regle!$B$23*IF(AN70=-2,1+regle!$B$35,1),
IF(U70=regle!$C$11,regle!$C$23,
IF(U70=regle!$D$11,regle!$D$23,
IF(U70=regle!$E$11,regle!$E$23,
IF(U70=regle!$F$11,regle!$F$23,
IF(U70=regle!$G$11,regle!$G$23,
IF(U70=regle!$H$11,regle!$H$23,
IF(U70=regle!$I$11,regle!$I$23,
IF(U70=regle!$J$11,regle!$J$23,
IF(U70=regle!$K$11,regle!$K$23,0))))))))))))</f>
        <v>-34.65</v>
      </c>
      <c r="AF70" s="17">
        <f>IF($A70,$J70*(IF(V70=regle!$B$11,regle!$B$23*IF(AO70=-2,1+regle!$B$35,1),
IF(V70=regle!$C$11,regle!$C$23,
IF(V70=regle!$D$11,regle!$D$23,
IF(V70=regle!$E$11,regle!$E$23,
IF(V70=regle!$F$11,regle!$F$23,
IF(V70=regle!$G$11,regle!$G$23,
IF(V70=regle!$H$11,regle!$H$23,
IF(V70=regle!$I$11,regle!$I$23,
IF(V70=regle!$J$11,regle!$J$23,
IF(V70=regle!$K$11,regle!$K$23,0))))))))))))</f>
        <v>0</v>
      </c>
      <c r="AG70" s="17">
        <f>IF($A70,$J70*(IF(W70=regle!$B$11,regle!$B$23*IF(AP70=-2,1+regle!$B$35,1),
IF(W70=regle!$C$11,regle!$C$23,
IF(W70=regle!$D$11,regle!$D$23,
IF(W70=regle!$E$11,regle!$E$23,
IF(W70=regle!$F$11,regle!$F$23,
IF(W70=regle!$G$11,regle!$G$23,
IF(W70=regle!$H$11,regle!$H$23,
IF(W70=regle!$I$11,regle!$I$23,
IF(W70=regle!$J$11,regle!$J$23,
IF(W70=regle!$K$11,regle!$K$23,0))))))))))))</f>
        <v>0</v>
      </c>
      <c r="AH70" s="17">
        <f>IF($A70,$J70*(IF(X70=regle!$B$11,regle!$B$23*IF(AQ70=-2,1+regle!$B$35,1),
IF(X70=regle!$C$11,regle!$C$23,
IF(X70=regle!$D$11,regle!$D$23,
IF(X70=regle!$E$11,regle!$E$23,
IF(X70=regle!$F$11,regle!$F$23,
IF(X70=regle!$G$11,regle!$G$23,
IF(X70=regle!$H$11,regle!$H$23,
IF(X70=regle!$I$11,regle!$I$23,
IF(X70=regle!$J$11,regle!$J$23,
IF(X70=regle!$K$11,regle!$K$23,0))))))))))))</f>
        <v>-34.65</v>
      </c>
      <c r="AI70" s="17">
        <f>IF($A70,$J70*(IF(Y70=regle!$B$11,regle!$B$23*IF(AR70=-2,1+regle!$B$35,1),
IF(Y70=regle!$C$11,regle!$C$23,
IF(Y70=regle!$D$11,regle!$D$23,
IF(Y70=regle!$E$11,regle!$E$23,
IF(Y70=regle!$F$11,regle!$F$23,
IF(Y70=regle!$G$11,regle!$G$23,
IF(Y70=regle!$H$11,regle!$H$23,
IF(Y70=regle!$I$11,regle!$I$23,
IF(Y70=regle!$J$11,regle!$J$23,
IF(Y70=regle!$K$11,regle!$K$23,0))))))))))))</f>
        <v>0</v>
      </c>
      <c r="AJ70" s="17">
        <f>IF($A70,$J70*(IF(Z70=regle!$B$11,regle!$B$23*IF(AS70=-2,1+regle!$B$35,1),
IF(Z70=regle!$C$11,regle!$C$23,
IF(Z70=regle!$D$11,regle!$D$23,
IF(Z70=regle!$E$11,regle!$E$23,
IF(Z70=regle!$F$11,regle!$F$23,
IF(Z70=regle!$G$11,regle!$G$23,
IF(Z70=regle!$H$11,regle!$H$23,
IF(Z70=regle!$I$11,regle!$I$23,
IF(Z70=regle!$J$11,regle!$J$23,
IF(Z70=regle!$K$11,regle!$K$23,0))))))))))))</f>
        <v>0</v>
      </c>
      <c r="AK70" s="16">
        <f>IF(OR(Q70=regle!$J$11,Q70=regle!$K$11),-2,IF(Q70=regle!$B$11,0,IF(AK$1=$AK$1,IF($O70,-1,regle!$B$2-$M70),IF(AJ70=-1,-1,AJ70+1))))</f>
        <v>0</v>
      </c>
      <c r="AL70" s="16">
        <f>IF(OR(R70=regle!$J$11,R70=regle!$K$11),-2,IF(R70=regle!$B$11,0,IF(AL$1=$AK$1,IF($O70,-1,regle!$B$2-$M70),IF(AK70=-1,-1,AK70+1))))</f>
        <v>1</v>
      </c>
      <c r="AM70" s="16">
        <f>IF(OR(S70=regle!$J$11,S70=regle!$K$11),-2,IF(S70=regle!$B$11,0,IF(AM$1=$AK$1,IF($O70,-1,regle!$B$2-$M70),IF(AL70=-1,-1,AL70+1))))</f>
        <v>2</v>
      </c>
      <c r="AN70" s="16">
        <f>IF(OR(T70=regle!$J$11,T70=regle!$K$11),-2,IF(T70=regle!$B$11,0,IF(AN$1=$AK$1,IF($O70,-1,regle!$B$2-$M70),IF(AM70=-1,-1,AM70+1))))</f>
        <v>3</v>
      </c>
      <c r="AO70" s="16">
        <f>IF(OR(U70=regle!$J$11,U70=regle!$K$11),-2,IF(U70=regle!$B$11,0,IF(AO$1=$AK$1,IF($O70,-1,regle!$B$2-$M70),IF(AN70=-1,-1,AN70+1))))</f>
        <v>4</v>
      </c>
      <c r="AP70" s="16">
        <f>IF(OR(V70=regle!$J$11,V70=regle!$K$11),-2,IF(V70=regle!$B$11,0,IF(AP$1=$AK$1,IF($O70,-1,regle!$B$2-$M70),IF(AO70=-1,-1,AO70+1))))</f>
        <v>5</v>
      </c>
      <c r="AQ70" s="16">
        <f>IF(OR(W70=regle!$J$11,W70=regle!$K$11),-2,IF(W70=regle!$B$11,0,IF(AQ$1=$AK$1,IF($O70,-1,regle!$B$2-$M70),IF(AP70=-1,-1,AP70+1))))</f>
        <v>6</v>
      </c>
      <c r="AR70" s="16">
        <f>IF(OR(X70=regle!$J$11,X70=regle!$K$11),-2,IF(X70=regle!$B$11,0,IF(AR$1=$AK$1,IF($O70,-1,regle!$B$2-$M70),IF(AQ70=-1,-1,AQ70+1))))</f>
        <v>7</v>
      </c>
      <c r="AS70" s="16">
        <f>IF(OR(Y70=regle!$J$11,Y70=regle!$K$11),-2,IF(Y70=regle!$B$11,0,IF(AS$1=$AK$1,IF($O70,-1,regle!$B$2-$M70),IF(AR70=-1,-1,AR70+1))))</f>
        <v>8</v>
      </c>
      <c r="AT70" s="16">
        <f>IF(OR(Z70=regle!$J$11,Z70=regle!$K$11),-2,IF(Z70=regle!$B$11,0,IF(AT$1=$AK$1,IF($O70,-1,regle!$B$2-$M70),IF(AS70=-1,-1,AS70+1))))</f>
        <v>9</v>
      </c>
    </row>
    <row r="71" spans="1:46" x14ac:dyDescent="0.25">
      <c r="A71" t="b">
        <f>modif1!A71</f>
        <v>1</v>
      </c>
      <c r="B71">
        <f>ROW(modif1!B71)</f>
        <v>71</v>
      </c>
      <c r="C71" t="str">
        <f>modif1!C74</f>
        <v>171</v>
      </c>
      <c r="D71" t="str">
        <f>modif1!D71</f>
        <v>MANO</v>
      </c>
      <c r="E71">
        <f>modif1!E71</f>
        <v>6</v>
      </c>
      <c r="F71" t="str">
        <f>modif1!F71</f>
        <v>BARRAT</v>
      </c>
      <c r="G71" t="str">
        <f>modif1!G71</f>
        <v>0C</v>
      </c>
      <c r="H71">
        <f>modif1!H71</f>
        <v>189</v>
      </c>
      <c r="I71" t="str">
        <f>modif1!I71</f>
        <v/>
      </c>
      <c r="J71" s="11">
        <f>modif1!J71</f>
        <v>0.36559999999999998</v>
      </c>
      <c r="K71" t="str">
        <f>modif1!K71</f>
        <v>CR</v>
      </c>
      <c r="L71" t="str">
        <f>modif1!L71</f>
        <v>PM</v>
      </c>
      <c r="M71">
        <f>modif1!M71</f>
        <v>2022</v>
      </c>
      <c r="N71" t="str">
        <f>modif1!N71</f>
        <v>CR-PM_2022</v>
      </c>
      <c r="O71" t="b">
        <f>modif1!O71</f>
        <v>1</v>
      </c>
      <c r="P71">
        <v>40</v>
      </c>
      <c r="Q71" t="s">
        <v>1868</v>
      </c>
      <c r="S71" t="s">
        <v>1872</v>
      </c>
      <c r="U71" t="s">
        <v>1870</v>
      </c>
      <c r="X71" t="s">
        <v>1871</v>
      </c>
      <c r="Z71"/>
      <c r="AA71" s="17">
        <f>IF($A71,$J71*(IF(Q71=regle!$B$11,regle!$B$23*IF(AJ71=-2,1+regle!$B$35,1),
IF(Q71=regle!$C$11,regle!$C$23,
IF(Q71=regle!$D$11,regle!$D$23,
IF(Q71=regle!$E$11,regle!$E$23,
IF(Q71=regle!$F$11,regle!$F$23,
IF(Q71=regle!$G$11,regle!$G$23,
IF(Q71=regle!$H$11,regle!$H$23,
IF(Q71=regle!$I$11,regle!$I$23,
IF(Q71=regle!$J$11,regle!$J$23,
IF(Q71=regle!$K$11,regle!$K$23,0))))))))))))</f>
        <v>-621.52</v>
      </c>
      <c r="AB71" s="17">
        <f>IF($A71,$J71*(IF(R71=regle!$B$11,regle!$B$23*IF(AK71=-2,1+regle!$B$35,1),
IF(R71=regle!$C$11,regle!$C$23,
IF(R71=regle!$D$11,regle!$D$23,
IF(R71=regle!$E$11,regle!$E$23,
IF(R71=regle!$F$11,regle!$F$23,
IF(R71=regle!$G$11,regle!$G$23,
IF(R71=regle!$H$11,regle!$H$23,
IF(R71=regle!$I$11,regle!$I$23,
IF(R71=regle!$J$11,regle!$J$23,
IF(R71=regle!$K$11,regle!$K$23,0))))))))))))</f>
        <v>0</v>
      </c>
      <c r="AC71" s="17">
        <f>IF($A71,$J71*(IF(S71=regle!$B$11,regle!$B$23*IF(AL71=-2,1+regle!$B$35,1),
IF(S71=regle!$C$11,regle!$C$23,
IF(S71=regle!$D$11,regle!$D$23,
IF(S71=regle!$E$11,regle!$E$23,
IF(S71=regle!$F$11,regle!$F$23,
IF(S71=regle!$G$11,regle!$G$23,
IF(S71=regle!$H$11,regle!$H$23,
IF(S71=regle!$I$11,regle!$I$23,
IF(S71=regle!$J$11,regle!$J$23,
IF(S71=regle!$K$11,regle!$K$23,0))))))))))))</f>
        <v>-27.419999999999998</v>
      </c>
      <c r="AD71" s="17">
        <f>IF($A71,$J71*(IF(T71=regle!$B$11,regle!$B$23*IF(AM71=-2,1+regle!$B$35,1),
IF(T71=regle!$C$11,regle!$C$23,
IF(T71=regle!$D$11,regle!$D$23,
IF(T71=regle!$E$11,regle!$E$23,
IF(T71=regle!$F$11,regle!$F$23,
IF(T71=regle!$G$11,regle!$G$23,
IF(T71=regle!$H$11,regle!$H$23,
IF(T71=regle!$I$11,regle!$I$23,
IF(T71=regle!$J$11,regle!$J$23,
IF(T71=regle!$K$11,regle!$K$23,0))))))))))))</f>
        <v>0</v>
      </c>
      <c r="AE71" s="17">
        <f>IF($A71,$J71*(IF(U71=regle!$B$11,regle!$B$23*IF(AN71=-2,1+regle!$B$35,1),
IF(U71=regle!$C$11,regle!$C$23,
IF(U71=regle!$D$11,regle!$D$23,
IF(U71=regle!$E$11,regle!$E$23,
IF(U71=regle!$F$11,regle!$F$23,
IF(U71=regle!$G$11,regle!$G$23,
IF(U71=regle!$H$11,regle!$H$23,
IF(U71=regle!$I$11,regle!$I$23,
IF(U71=regle!$J$11,regle!$J$23,
IF(U71=regle!$K$11,regle!$K$23,0))))))))))))</f>
        <v>-32.903999999999996</v>
      </c>
      <c r="AF71" s="17">
        <f>IF($A71,$J71*(IF(V71=regle!$B$11,regle!$B$23*IF(AO71=-2,1+regle!$B$35,1),
IF(V71=regle!$C$11,regle!$C$23,
IF(V71=regle!$D$11,regle!$D$23,
IF(V71=regle!$E$11,regle!$E$23,
IF(V71=regle!$F$11,regle!$F$23,
IF(V71=regle!$G$11,regle!$G$23,
IF(V71=regle!$H$11,regle!$H$23,
IF(V71=regle!$I$11,regle!$I$23,
IF(V71=regle!$J$11,regle!$J$23,
IF(V71=regle!$K$11,regle!$K$23,0))))))))))))</f>
        <v>0</v>
      </c>
      <c r="AG71" s="17">
        <f>IF($A71,$J71*(IF(W71=regle!$B$11,regle!$B$23*IF(AP71=-2,1+regle!$B$35,1),
IF(W71=regle!$C$11,regle!$C$23,
IF(W71=regle!$D$11,regle!$D$23,
IF(W71=regle!$E$11,regle!$E$23,
IF(W71=regle!$F$11,regle!$F$23,
IF(W71=regle!$G$11,regle!$G$23,
IF(W71=regle!$H$11,regle!$H$23,
IF(W71=regle!$I$11,regle!$I$23,
IF(W71=regle!$J$11,regle!$J$23,
IF(W71=regle!$K$11,regle!$K$23,0))))))))))))</f>
        <v>0</v>
      </c>
      <c r="AH71" s="17">
        <f>IF($A71,$J71*(IF(X71=regle!$B$11,regle!$B$23*IF(AQ71=-2,1+regle!$B$35,1),
IF(X71=regle!$C$11,regle!$C$23,
IF(X71=regle!$D$11,regle!$D$23,
IF(X71=regle!$E$11,regle!$E$23,
IF(X71=regle!$F$11,regle!$F$23,
IF(X71=regle!$G$11,regle!$G$23,
IF(X71=regle!$H$11,regle!$H$23,
IF(X71=regle!$I$11,regle!$I$23,
IF(X71=regle!$J$11,regle!$J$23,
IF(X71=regle!$K$11,regle!$K$23,0))))))))))))</f>
        <v>-32.903999999999996</v>
      </c>
      <c r="AI71" s="17">
        <f>IF($A71,$J71*(IF(Y71=regle!$B$11,regle!$B$23*IF(AR71=-2,1+regle!$B$35,1),
IF(Y71=regle!$C$11,regle!$C$23,
IF(Y71=regle!$D$11,regle!$D$23,
IF(Y71=regle!$E$11,regle!$E$23,
IF(Y71=regle!$F$11,regle!$F$23,
IF(Y71=regle!$G$11,regle!$G$23,
IF(Y71=regle!$H$11,regle!$H$23,
IF(Y71=regle!$I$11,regle!$I$23,
IF(Y71=regle!$J$11,regle!$J$23,
IF(Y71=regle!$K$11,regle!$K$23,0))))))))))))</f>
        <v>0</v>
      </c>
      <c r="AJ71" s="17">
        <f>IF($A71,$J71*(IF(Z71=regle!$B$11,regle!$B$23*IF(AS71=-2,1+regle!$B$35,1),
IF(Z71=regle!$C$11,regle!$C$23,
IF(Z71=regle!$D$11,regle!$D$23,
IF(Z71=regle!$E$11,regle!$E$23,
IF(Z71=regle!$F$11,regle!$F$23,
IF(Z71=regle!$G$11,regle!$G$23,
IF(Z71=regle!$H$11,regle!$H$23,
IF(Z71=regle!$I$11,regle!$I$23,
IF(Z71=regle!$J$11,regle!$J$23,
IF(Z71=regle!$K$11,regle!$K$23,0))))))))))))</f>
        <v>0</v>
      </c>
      <c r="AK71" s="16">
        <f>IF(OR(Q71=regle!$J$11,Q71=regle!$K$11),-2,IF(Q71=regle!$B$11,0,IF(AK$1=$AK$1,IF($O71,-1,regle!$B$2-$M71),IF(AJ71=-1,-1,AJ71+1))))</f>
        <v>0</v>
      </c>
      <c r="AL71" s="16">
        <f>IF(OR(R71=regle!$J$11,R71=regle!$K$11),-2,IF(R71=regle!$B$11,0,IF(AL$1=$AK$1,IF($O71,-1,regle!$B$2-$M71),IF(AK71=-1,-1,AK71+1))))</f>
        <v>1</v>
      </c>
      <c r="AM71" s="16">
        <f>IF(OR(S71=regle!$J$11,S71=regle!$K$11),-2,IF(S71=regle!$B$11,0,IF(AM$1=$AK$1,IF($O71,-1,regle!$B$2-$M71),IF(AL71=-1,-1,AL71+1))))</f>
        <v>2</v>
      </c>
      <c r="AN71" s="16">
        <f>IF(OR(T71=regle!$J$11,T71=regle!$K$11),-2,IF(T71=regle!$B$11,0,IF(AN$1=$AK$1,IF($O71,-1,regle!$B$2-$M71),IF(AM71=-1,-1,AM71+1))))</f>
        <v>3</v>
      </c>
      <c r="AO71" s="16">
        <f>IF(OR(U71=regle!$J$11,U71=regle!$K$11),-2,IF(U71=regle!$B$11,0,IF(AO$1=$AK$1,IF($O71,-1,regle!$B$2-$M71),IF(AN71=-1,-1,AN71+1))))</f>
        <v>4</v>
      </c>
      <c r="AP71" s="16">
        <f>IF(OR(V71=regle!$J$11,V71=regle!$K$11),-2,IF(V71=regle!$B$11,0,IF(AP$1=$AK$1,IF($O71,-1,regle!$B$2-$M71),IF(AO71=-1,-1,AO71+1))))</f>
        <v>5</v>
      </c>
      <c r="AQ71" s="16">
        <f>IF(OR(W71=regle!$J$11,W71=regle!$K$11),-2,IF(W71=regle!$B$11,0,IF(AQ$1=$AK$1,IF($O71,-1,regle!$B$2-$M71),IF(AP71=-1,-1,AP71+1))))</f>
        <v>6</v>
      </c>
      <c r="AR71" s="16">
        <f>IF(OR(X71=regle!$J$11,X71=regle!$K$11),-2,IF(X71=regle!$B$11,0,IF(AR$1=$AK$1,IF($O71,-1,regle!$B$2-$M71),IF(AQ71=-1,-1,AQ71+1))))</f>
        <v>7</v>
      </c>
      <c r="AS71" s="16">
        <f>IF(OR(Y71=regle!$J$11,Y71=regle!$K$11),-2,IF(Y71=regle!$B$11,0,IF(AS$1=$AK$1,IF($O71,-1,regle!$B$2-$M71),IF(AR71=-1,-1,AR71+1))))</f>
        <v>8</v>
      </c>
      <c r="AT71" s="16">
        <f>IF(OR(Z71=regle!$J$11,Z71=regle!$K$11),-2,IF(Z71=regle!$B$11,0,IF(AT$1=$AK$1,IF($O71,-1,regle!$B$2-$M71),IF(AS71=-1,-1,AS71+1))))</f>
        <v>9</v>
      </c>
    </row>
    <row r="72" spans="1:46" x14ac:dyDescent="0.25">
      <c r="A72" t="b">
        <f>modif1!A72</f>
        <v>1</v>
      </c>
      <c r="B72">
        <f>ROW(modif1!B72)</f>
        <v>72</v>
      </c>
      <c r="C72" t="str">
        <f>modif1!C75</f>
        <v>202</v>
      </c>
      <c r="D72" t="str">
        <f>modif1!D72</f>
        <v>MANO</v>
      </c>
      <c r="E72">
        <f>modif1!E72</f>
        <v>16</v>
      </c>
      <c r="F72" t="str">
        <f>modif1!F72</f>
        <v>BAS DE TOURNICON</v>
      </c>
      <c r="G72" t="str">
        <f>modif1!G72</f>
        <v>0B</v>
      </c>
      <c r="H72">
        <f>modif1!H72</f>
        <v>420</v>
      </c>
      <c r="I72" t="str">
        <f>modif1!I72</f>
        <v/>
      </c>
      <c r="J72" s="11">
        <f>modif1!J72</f>
        <v>0.34899999999999998</v>
      </c>
      <c r="K72" t="str">
        <f>modif1!K72</f>
        <v>CR</v>
      </c>
      <c r="L72" t="str">
        <f>modif1!L72</f>
        <v>PM</v>
      </c>
      <c r="M72">
        <f>modif1!M72</f>
        <v>2022</v>
      </c>
      <c r="N72" t="str">
        <f>modif1!N72</f>
        <v>CR-PM_2022</v>
      </c>
      <c r="O72" t="b">
        <f>modif1!O72</f>
        <v>1</v>
      </c>
      <c r="P72">
        <v>40</v>
      </c>
      <c r="Q72" t="s">
        <v>1868</v>
      </c>
      <c r="S72" t="s">
        <v>1872</v>
      </c>
      <c r="U72" t="s">
        <v>1870</v>
      </c>
      <c r="X72" t="s">
        <v>1871</v>
      </c>
      <c r="Z72"/>
      <c r="AA72" s="17">
        <f>IF($A72,$J72*(IF(Q72=regle!$B$11,regle!$B$23*IF(AJ72=-2,1+regle!$B$35,1),
IF(Q72=regle!$C$11,regle!$C$23,
IF(Q72=regle!$D$11,regle!$D$23,
IF(Q72=regle!$E$11,regle!$E$23,
IF(Q72=regle!$F$11,regle!$F$23,
IF(Q72=regle!$G$11,regle!$G$23,
IF(Q72=regle!$H$11,regle!$H$23,
IF(Q72=regle!$I$11,regle!$I$23,
IF(Q72=regle!$J$11,regle!$J$23,
IF(Q72=regle!$K$11,regle!$K$23,0))))))))))))</f>
        <v>-593.29999999999995</v>
      </c>
      <c r="AB72" s="17">
        <f>IF($A72,$J72*(IF(R72=regle!$B$11,regle!$B$23*IF(AK72=-2,1+regle!$B$35,1),
IF(R72=regle!$C$11,regle!$C$23,
IF(R72=regle!$D$11,regle!$D$23,
IF(R72=regle!$E$11,regle!$E$23,
IF(R72=regle!$F$11,regle!$F$23,
IF(R72=regle!$G$11,regle!$G$23,
IF(R72=regle!$H$11,regle!$H$23,
IF(R72=regle!$I$11,regle!$I$23,
IF(R72=regle!$J$11,regle!$J$23,
IF(R72=regle!$K$11,regle!$K$23,0))))))))))))</f>
        <v>0</v>
      </c>
      <c r="AC72" s="17">
        <f>IF($A72,$J72*(IF(S72=regle!$B$11,regle!$B$23*IF(AL72=-2,1+regle!$B$35,1),
IF(S72=regle!$C$11,regle!$C$23,
IF(S72=regle!$D$11,regle!$D$23,
IF(S72=regle!$E$11,regle!$E$23,
IF(S72=regle!$F$11,regle!$F$23,
IF(S72=regle!$G$11,regle!$G$23,
IF(S72=regle!$H$11,regle!$H$23,
IF(S72=regle!$I$11,regle!$I$23,
IF(S72=regle!$J$11,regle!$J$23,
IF(S72=regle!$K$11,regle!$K$23,0))))))))))))</f>
        <v>-26.174999999999997</v>
      </c>
      <c r="AD72" s="17">
        <f>IF($A72,$J72*(IF(T72=regle!$B$11,regle!$B$23*IF(AM72=-2,1+regle!$B$35,1),
IF(T72=regle!$C$11,regle!$C$23,
IF(T72=regle!$D$11,regle!$D$23,
IF(T72=regle!$E$11,regle!$E$23,
IF(T72=regle!$F$11,regle!$F$23,
IF(T72=regle!$G$11,regle!$G$23,
IF(T72=regle!$H$11,regle!$H$23,
IF(T72=regle!$I$11,regle!$I$23,
IF(T72=regle!$J$11,regle!$J$23,
IF(T72=regle!$K$11,regle!$K$23,0))))))))))))</f>
        <v>0</v>
      </c>
      <c r="AE72" s="17">
        <f>IF($A72,$J72*(IF(U72=regle!$B$11,regle!$B$23*IF(AN72=-2,1+regle!$B$35,1),
IF(U72=regle!$C$11,regle!$C$23,
IF(U72=regle!$D$11,regle!$D$23,
IF(U72=regle!$E$11,regle!$E$23,
IF(U72=regle!$F$11,regle!$F$23,
IF(U72=regle!$G$11,regle!$G$23,
IF(U72=regle!$H$11,regle!$H$23,
IF(U72=regle!$I$11,regle!$I$23,
IF(U72=regle!$J$11,regle!$J$23,
IF(U72=regle!$K$11,regle!$K$23,0))))))))))))</f>
        <v>-31.409999999999997</v>
      </c>
      <c r="AF72" s="17">
        <f>IF($A72,$J72*(IF(V72=regle!$B$11,regle!$B$23*IF(AO72=-2,1+regle!$B$35,1),
IF(V72=regle!$C$11,regle!$C$23,
IF(V72=regle!$D$11,regle!$D$23,
IF(V72=regle!$E$11,regle!$E$23,
IF(V72=regle!$F$11,regle!$F$23,
IF(V72=regle!$G$11,regle!$G$23,
IF(V72=regle!$H$11,regle!$H$23,
IF(V72=regle!$I$11,regle!$I$23,
IF(V72=regle!$J$11,regle!$J$23,
IF(V72=regle!$K$11,regle!$K$23,0))))))))))))</f>
        <v>0</v>
      </c>
      <c r="AG72" s="17">
        <f>IF($A72,$J72*(IF(W72=regle!$B$11,regle!$B$23*IF(AP72=-2,1+regle!$B$35,1),
IF(W72=regle!$C$11,regle!$C$23,
IF(W72=regle!$D$11,regle!$D$23,
IF(W72=regle!$E$11,regle!$E$23,
IF(W72=regle!$F$11,regle!$F$23,
IF(W72=regle!$G$11,regle!$G$23,
IF(W72=regle!$H$11,regle!$H$23,
IF(W72=regle!$I$11,regle!$I$23,
IF(W72=regle!$J$11,regle!$J$23,
IF(W72=regle!$K$11,regle!$K$23,0))))))))))))</f>
        <v>0</v>
      </c>
      <c r="AH72" s="17">
        <f>IF($A72,$J72*(IF(X72=regle!$B$11,regle!$B$23*IF(AQ72=-2,1+regle!$B$35,1),
IF(X72=regle!$C$11,regle!$C$23,
IF(X72=regle!$D$11,regle!$D$23,
IF(X72=regle!$E$11,regle!$E$23,
IF(X72=regle!$F$11,regle!$F$23,
IF(X72=regle!$G$11,regle!$G$23,
IF(X72=regle!$H$11,regle!$H$23,
IF(X72=regle!$I$11,regle!$I$23,
IF(X72=regle!$J$11,regle!$J$23,
IF(X72=regle!$K$11,regle!$K$23,0))))))))))))</f>
        <v>-31.409999999999997</v>
      </c>
      <c r="AI72" s="17">
        <f>IF($A72,$J72*(IF(Y72=regle!$B$11,regle!$B$23*IF(AR72=-2,1+regle!$B$35,1),
IF(Y72=regle!$C$11,regle!$C$23,
IF(Y72=regle!$D$11,regle!$D$23,
IF(Y72=regle!$E$11,regle!$E$23,
IF(Y72=regle!$F$11,regle!$F$23,
IF(Y72=regle!$G$11,regle!$G$23,
IF(Y72=regle!$H$11,regle!$H$23,
IF(Y72=regle!$I$11,regle!$I$23,
IF(Y72=regle!$J$11,regle!$J$23,
IF(Y72=regle!$K$11,regle!$K$23,0))))))))))))</f>
        <v>0</v>
      </c>
      <c r="AJ72" s="17">
        <f>IF($A72,$J72*(IF(Z72=regle!$B$11,regle!$B$23*IF(AS72=-2,1+regle!$B$35,1),
IF(Z72=regle!$C$11,regle!$C$23,
IF(Z72=regle!$D$11,regle!$D$23,
IF(Z72=regle!$E$11,regle!$E$23,
IF(Z72=regle!$F$11,regle!$F$23,
IF(Z72=regle!$G$11,regle!$G$23,
IF(Z72=regle!$H$11,regle!$H$23,
IF(Z72=regle!$I$11,regle!$I$23,
IF(Z72=regle!$J$11,regle!$J$23,
IF(Z72=regle!$K$11,regle!$K$23,0))))))))))))</f>
        <v>0</v>
      </c>
      <c r="AK72" s="16">
        <f>IF(OR(Q72=regle!$J$11,Q72=regle!$K$11),-2,IF(Q72=regle!$B$11,0,IF(AK$1=$AK$1,IF($O72,-1,regle!$B$2-$M72),IF(AJ72=-1,-1,AJ72+1))))</f>
        <v>0</v>
      </c>
      <c r="AL72" s="16">
        <f>IF(OR(R72=regle!$J$11,R72=regle!$K$11),-2,IF(R72=regle!$B$11,0,IF(AL$1=$AK$1,IF($O72,-1,regle!$B$2-$M72),IF(AK72=-1,-1,AK72+1))))</f>
        <v>1</v>
      </c>
      <c r="AM72" s="16">
        <f>IF(OR(S72=regle!$J$11,S72=regle!$K$11),-2,IF(S72=regle!$B$11,0,IF(AM$1=$AK$1,IF($O72,-1,regle!$B$2-$M72),IF(AL72=-1,-1,AL72+1))))</f>
        <v>2</v>
      </c>
      <c r="AN72" s="16">
        <f>IF(OR(T72=regle!$J$11,T72=regle!$K$11),-2,IF(T72=regle!$B$11,0,IF(AN$1=$AK$1,IF($O72,-1,regle!$B$2-$M72),IF(AM72=-1,-1,AM72+1))))</f>
        <v>3</v>
      </c>
      <c r="AO72" s="16">
        <f>IF(OR(U72=regle!$J$11,U72=regle!$K$11),-2,IF(U72=regle!$B$11,0,IF(AO$1=$AK$1,IF($O72,-1,regle!$B$2-$M72),IF(AN72=-1,-1,AN72+1))))</f>
        <v>4</v>
      </c>
      <c r="AP72" s="16">
        <f>IF(OR(V72=regle!$J$11,V72=regle!$K$11),-2,IF(V72=regle!$B$11,0,IF(AP$1=$AK$1,IF($O72,-1,regle!$B$2-$M72),IF(AO72=-1,-1,AO72+1))))</f>
        <v>5</v>
      </c>
      <c r="AQ72" s="16">
        <f>IF(OR(W72=regle!$J$11,W72=regle!$K$11),-2,IF(W72=regle!$B$11,0,IF(AQ$1=$AK$1,IF($O72,-1,regle!$B$2-$M72),IF(AP72=-1,-1,AP72+1))))</f>
        <v>6</v>
      </c>
      <c r="AR72" s="16">
        <f>IF(OR(X72=regle!$J$11,X72=regle!$K$11),-2,IF(X72=regle!$B$11,0,IF(AR$1=$AK$1,IF($O72,-1,regle!$B$2-$M72),IF(AQ72=-1,-1,AQ72+1))))</f>
        <v>7</v>
      </c>
      <c r="AS72" s="16">
        <f>IF(OR(Y72=regle!$J$11,Y72=regle!$K$11),-2,IF(Y72=regle!$B$11,0,IF(AS$1=$AK$1,IF($O72,-1,regle!$B$2-$M72),IF(AR72=-1,-1,AR72+1))))</f>
        <v>8</v>
      </c>
      <c r="AT72" s="16">
        <f>IF(OR(Z72=regle!$J$11,Z72=regle!$K$11),-2,IF(Z72=regle!$B$11,0,IF(AT$1=$AK$1,IF($O72,-1,regle!$B$2-$M72),IF(AS72=-1,-1,AS72+1))))</f>
        <v>9</v>
      </c>
    </row>
    <row r="73" spans="1:46" x14ac:dyDescent="0.25">
      <c r="A73" t="b">
        <f>modif1!A73</f>
        <v>1</v>
      </c>
      <c r="B73">
        <f>ROW(modif1!B73)</f>
        <v>73</v>
      </c>
      <c r="C73" t="str">
        <f>modif1!C76</f>
        <v>202</v>
      </c>
      <c r="D73" t="str">
        <f>modif1!D73</f>
        <v>MANO</v>
      </c>
      <c r="E73">
        <f>modif1!E73</f>
        <v>17</v>
      </c>
      <c r="F73" t="str">
        <f>modif1!F73</f>
        <v>LANDE DE TABARTON</v>
      </c>
      <c r="G73" t="str">
        <f>modif1!G73</f>
        <v>0B</v>
      </c>
      <c r="H73">
        <f>modif1!H73</f>
        <v>487</v>
      </c>
      <c r="I73" t="str">
        <f>modif1!I73</f>
        <v>j</v>
      </c>
      <c r="J73" s="11">
        <f>modif1!J73</f>
        <v>0.34010000000000001</v>
      </c>
      <c r="K73" t="str">
        <f>modif1!K73</f>
        <v>CR</v>
      </c>
      <c r="L73" t="str">
        <f>modif1!L73</f>
        <v>PM</v>
      </c>
      <c r="M73">
        <f>modif1!M73</f>
        <v>2022</v>
      </c>
      <c r="N73" t="str">
        <f>modif1!N73</f>
        <v>CR-PM_2022</v>
      </c>
      <c r="O73" t="b">
        <f>modif1!O73</f>
        <v>1</v>
      </c>
      <c r="P73">
        <v>40</v>
      </c>
      <c r="Q73" t="s">
        <v>1868</v>
      </c>
      <c r="S73" t="s">
        <v>1872</v>
      </c>
      <c r="U73" t="s">
        <v>1870</v>
      </c>
      <c r="X73" t="s">
        <v>1871</v>
      </c>
      <c r="Z73"/>
      <c r="AA73" s="17">
        <f>IF($A73,$J73*(IF(Q73=regle!$B$11,regle!$B$23*IF(AJ73=-2,1+regle!$B$35,1),
IF(Q73=regle!$C$11,regle!$C$23,
IF(Q73=regle!$D$11,regle!$D$23,
IF(Q73=regle!$E$11,regle!$E$23,
IF(Q73=regle!$F$11,regle!$F$23,
IF(Q73=regle!$G$11,regle!$G$23,
IF(Q73=regle!$H$11,regle!$H$23,
IF(Q73=regle!$I$11,regle!$I$23,
IF(Q73=regle!$J$11,regle!$J$23,
IF(Q73=regle!$K$11,regle!$K$23,0))))))))))))</f>
        <v>-578.17000000000007</v>
      </c>
      <c r="AB73" s="17">
        <f>IF($A73,$J73*(IF(R73=regle!$B$11,regle!$B$23*IF(AK73=-2,1+regle!$B$35,1),
IF(R73=regle!$C$11,regle!$C$23,
IF(R73=regle!$D$11,regle!$D$23,
IF(R73=regle!$E$11,regle!$E$23,
IF(R73=regle!$F$11,regle!$F$23,
IF(R73=regle!$G$11,regle!$G$23,
IF(R73=regle!$H$11,regle!$H$23,
IF(R73=regle!$I$11,regle!$I$23,
IF(R73=regle!$J$11,regle!$J$23,
IF(R73=regle!$K$11,regle!$K$23,0))))))))))))</f>
        <v>0</v>
      </c>
      <c r="AC73" s="17">
        <f>IF($A73,$J73*(IF(S73=regle!$B$11,regle!$B$23*IF(AL73=-2,1+regle!$B$35,1),
IF(S73=regle!$C$11,regle!$C$23,
IF(S73=regle!$D$11,regle!$D$23,
IF(S73=regle!$E$11,regle!$E$23,
IF(S73=regle!$F$11,regle!$F$23,
IF(S73=regle!$G$11,regle!$G$23,
IF(S73=regle!$H$11,regle!$H$23,
IF(S73=regle!$I$11,regle!$I$23,
IF(S73=regle!$J$11,regle!$J$23,
IF(S73=regle!$K$11,regle!$K$23,0))))))))))))</f>
        <v>-25.5075</v>
      </c>
      <c r="AD73" s="17">
        <f>IF($A73,$J73*(IF(T73=regle!$B$11,regle!$B$23*IF(AM73=-2,1+regle!$B$35,1),
IF(T73=regle!$C$11,regle!$C$23,
IF(T73=regle!$D$11,regle!$D$23,
IF(T73=regle!$E$11,regle!$E$23,
IF(T73=regle!$F$11,regle!$F$23,
IF(T73=regle!$G$11,regle!$G$23,
IF(T73=regle!$H$11,regle!$H$23,
IF(T73=regle!$I$11,regle!$I$23,
IF(T73=regle!$J$11,regle!$J$23,
IF(T73=regle!$K$11,regle!$K$23,0))))))))))))</f>
        <v>0</v>
      </c>
      <c r="AE73" s="17">
        <f>IF($A73,$J73*(IF(U73=regle!$B$11,regle!$B$23*IF(AN73=-2,1+regle!$B$35,1),
IF(U73=regle!$C$11,regle!$C$23,
IF(U73=regle!$D$11,regle!$D$23,
IF(U73=regle!$E$11,regle!$E$23,
IF(U73=regle!$F$11,regle!$F$23,
IF(U73=regle!$G$11,regle!$G$23,
IF(U73=regle!$H$11,regle!$H$23,
IF(U73=regle!$I$11,regle!$I$23,
IF(U73=regle!$J$11,regle!$J$23,
IF(U73=regle!$K$11,regle!$K$23,0))))))))))))</f>
        <v>-30.609000000000002</v>
      </c>
      <c r="AF73" s="17">
        <f>IF($A73,$J73*(IF(V73=regle!$B$11,regle!$B$23*IF(AO73=-2,1+regle!$B$35,1),
IF(V73=regle!$C$11,regle!$C$23,
IF(V73=regle!$D$11,regle!$D$23,
IF(V73=regle!$E$11,regle!$E$23,
IF(V73=regle!$F$11,regle!$F$23,
IF(V73=regle!$G$11,regle!$G$23,
IF(V73=regle!$H$11,regle!$H$23,
IF(V73=regle!$I$11,regle!$I$23,
IF(V73=regle!$J$11,regle!$J$23,
IF(V73=regle!$K$11,regle!$K$23,0))))))))))))</f>
        <v>0</v>
      </c>
      <c r="AG73" s="17">
        <f>IF($A73,$J73*(IF(W73=regle!$B$11,regle!$B$23*IF(AP73=-2,1+regle!$B$35,1),
IF(W73=regle!$C$11,regle!$C$23,
IF(W73=regle!$D$11,regle!$D$23,
IF(W73=regle!$E$11,regle!$E$23,
IF(W73=regle!$F$11,regle!$F$23,
IF(W73=regle!$G$11,regle!$G$23,
IF(W73=regle!$H$11,regle!$H$23,
IF(W73=regle!$I$11,regle!$I$23,
IF(W73=regle!$J$11,regle!$J$23,
IF(W73=regle!$K$11,regle!$K$23,0))))))))))))</f>
        <v>0</v>
      </c>
      <c r="AH73" s="17">
        <f>IF($A73,$J73*(IF(X73=regle!$B$11,regle!$B$23*IF(AQ73=-2,1+regle!$B$35,1),
IF(X73=regle!$C$11,regle!$C$23,
IF(X73=regle!$D$11,regle!$D$23,
IF(X73=regle!$E$11,regle!$E$23,
IF(X73=regle!$F$11,regle!$F$23,
IF(X73=regle!$G$11,regle!$G$23,
IF(X73=regle!$H$11,regle!$H$23,
IF(X73=regle!$I$11,regle!$I$23,
IF(X73=regle!$J$11,regle!$J$23,
IF(X73=regle!$K$11,regle!$K$23,0))))))))))))</f>
        <v>-30.609000000000002</v>
      </c>
      <c r="AI73" s="17">
        <f>IF($A73,$J73*(IF(Y73=regle!$B$11,regle!$B$23*IF(AR73=-2,1+regle!$B$35,1),
IF(Y73=regle!$C$11,regle!$C$23,
IF(Y73=regle!$D$11,regle!$D$23,
IF(Y73=regle!$E$11,regle!$E$23,
IF(Y73=regle!$F$11,regle!$F$23,
IF(Y73=regle!$G$11,regle!$G$23,
IF(Y73=regle!$H$11,regle!$H$23,
IF(Y73=regle!$I$11,regle!$I$23,
IF(Y73=regle!$J$11,regle!$J$23,
IF(Y73=regle!$K$11,regle!$K$23,0))))))))))))</f>
        <v>0</v>
      </c>
      <c r="AJ73" s="17">
        <f>IF($A73,$J73*(IF(Z73=regle!$B$11,regle!$B$23*IF(AS73=-2,1+regle!$B$35,1),
IF(Z73=regle!$C$11,regle!$C$23,
IF(Z73=regle!$D$11,regle!$D$23,
IF(Z73=regle!$E$11,regle!$E$23,
IF(Z73=regle!$F$11,regle!$F$23,
IF(Z73=regle!$G$11,regle!$G$23,
IF(Z73=regle!$H$11,regle!$H$23,
IF(Z73=regle!$I$11,regle!$I$23,
IF(Z73=regle!$J$11,regle!$J$23,
IF(Z73=regle!$K$11,regle!$K$23,0))))))))))))</f>
        <v>0</v>
      </c>
      <c r="AK73" s="16">
        <f>IF(OR(Q73=regle!$J$11,Q73=regle!$K$11),-2,IF(Q73=regle!$B$11,0,IF(AK$1=$AK$1,IF($O73,-1,regle!$B$2-$M73),IF(AJ73=-1,-1,AJ73+1))))</f>
        <v>0</v>
      </c>
      <c r="AL73" s="16">
        <f>IF(OR(R73=regle!$J$11,R73=regle!$K$11),-2,IF(R73=regle!$B$11,0,IF(AL$1=$AK$1,IF($O73,-1,regle!$B$2-$M73),IF(AK73=-1,-1,AK73+1))))</f>
        <v>1</v>
      </c>
      <c r="AM73" s="16">
        <f>IF(OR(S73=regle!$J$11,S73=regle!$K$11),-2,IF(S73=regle!$B$11,0,IF(AM$1=$AK$1,IF($O73,-1,regle!$B$2-$M73),IF(AL73=-1,-1,AL73+1))))</f>
        <v>2</v>
      </c>
      <c r="AN73" s="16">
        <f>IF(OR(T73=regle!$J$11,T73=regle!$K$11),-2,IF(T73=regle!$B$11,0,IF(AN$1=$AK$1,IF($O73,-1,regle!$B$2-$M73),IF(AM73=-1,-1,AM73+1))))</f>
        <v>3</v>
      </c>
      <c r="AO73" s="16">
        <f>IF(OR(U73=regle!$J$11,U73=regle!$K$11),-2,IF(U73=regle!$B$11,0,IF(AO$1=$AK$1,IF($O73,-1,regle!$B$2-$M73),IF(AN73=-1,-1,AN73+1))))</f>
        <v>4</v>
      </c>
      <c r="AP73" s="16">
        <f>IF(OR(V73=regle!$J$11,V73=regle!$K$11),-2,IF(V73=regle!$B$11,0,IF(AP$1=$AK$1,IF($O73,-1,regle!$B$2-$M73),IF(AO73=-1,-1,AO73+1))))</f>
        <v>5</v>
      </c>
      <c r="AQ73" s="16">
        <f>IF(OR(W73=regle!$J$11,W73=regle!$K$11),-2,IF(W73=regle!$B$11,0,IF(AQ$1=$AK$1,IF($O73,-1,regle!$B$2-$M73),IF(AP73=-1,-1,AP73+1))))</f>
        <v>6</v>
      </c>
      <c r="AR73" s="16">
        <f>IF(OR(X73=regle!$J$11,X73=regle!$K$11),-2,IF(X73=regle!$B$11,0,IF(AR$1=$AK$1,IF($O73,-1,regle!$B$2-$M73),IF(AQ73=-1,-1,AQ73+1))))</f>
        <v>7</v>
      </c>
      <c r="AS73" s="16">
        <f>IF(OR(Y73=regle!$J$11,Y73=regle!$K$11),-2,IF(Y73=regle!$B$11,0,IF(AS$1=$AK$1,IF($O73,-1,regle!$B$2-$M73),IF(AR73=-1,-1,AR73+1))))</f>
        <v>8</v>
      </c>
      <c r="AT73" s="16">
        <f>IF(OR(Z73=regle!$J$11,Z73=regle!$K$11),-2,IF(Z73=regle!$B$11,0,IF(AT$1=$AK$1,IF($O73,-1,regle!$B$2-$M73),IF(AS73=-1,-1,AS73+1))))</f>
        <v>9</v>
      </c>
    </row>
    <row r="74" spans="1:46" x14ac:dyDescent="0.25">
      <c r="A74" t="b">
        <f>modif1!A74</f>
        <v>1</v>
      </c>
      <c r="B74">
        <f>ROW(modif1!B74)</f>
        <v>74</v>
      </c>
      <c r="C74" t="str">
        <f>modif1!C77</f>
        <v>171</v>
      </c>
      <c r="D74" t="str">
        <f>modif1!D74</f>
        <v>MANO</v>
      </c>
      <c r="E74">
        <f>modif1!E74</f>
        <v>17</v>
      </c>
      <c r="F74" t="str">
        <f>modif1!F74</f>
        <v>LANDE DE TABARTON</v>
      </c>
      <c r="G74" t="str">
        <f>modif1!G74</f>
        <v>0B</v>
      </c>
      <c r="H74">
        <f>modif1!H74</f>
        <v>418</v>
      </c>
      <c r="I74" t="str">
        <f>modif1!I74</f>
        <v/>
      </c>
      <c r="J74" s="11">
        <f>modif1!J74</f>
        <v>0.33960000000000001</v>
      </c>
      <c r="K74" t="str">
        <f>modif1!K74</f>
        <v>CR</v>
      </c>
      <c r="L74" t="str">
        <f>modif1!L74</f>
        <v>PM</v>
      </c>
      <c r="M74">
        <f>modif1!M74</f>
        <v>2022</v>
      </c>
      <c r="N74" t="str">
        <f>modif1!N74</f>
        <v>CR-PM_2022</v>
      </c>
      <c r="O74" t="b">
        <f>modif1!O74</f>
        <v>1</v>
      </c>
      <c r="P74">
        <v>40</v>
      </c>
      <c r="Q74" t="s">
        <v>1868</v>
      </c>
      <c r="S74" t="s">
        <v>1872</v>
      </c>
      <c r="U74" t="s">
        <v>1870</v>
      </c>
      <c r="X74" t="s">
        <v>1871</v>
      </c>
      <c r="Z74"/>
      <c r="AA74" s="17">
        <f>IF($A74,$J74*(IF(Q74=regle!$B$11,regle!$B$23*IF(AJ74=-2,1+regle!$B$35,1),
IF(Q74=regle!$C$11,regle!$C$23,
IF(Q74=regle!$D$11,regle!$D$23,
IF(Q74=regle!$E$11,regle!$E$23,
IF(Q74=regle!$F$11,regle!$F$23,
IF(Q74=regle!$G$11,regle!$G$23,
IF(Q74=regle!$H$11,regle!$H$23,
IF(Q74=regle!$I$11,regle!$I$23,
IF(Q74=regle!$J$11,regle!$J$23,
IF(Q74=regle!$K$11,regle!$K$23,0))))))))))))</f>
        <v>-577.32000000000005</v>
      </c>
      <c r="AB74" s="17">
        <f>IF($A74,$J74*(IF(R74=regle!$B$11,regle!$B$23*IF(AK74=-2,1+regle!$B$35,1),
IF(R74=regle!$C$11,regle!$C$23,
IF(R74=regle!$D$11,regle!$D$23,
IF(R74=regle!$E$11,regle!$E$23,
IF(R74=regle!$F$11,regle!$F$23,
IF(R74=regle!$G$11,regle!$G$23,
IF(R74=regle!$H$11,regle!$H$23,
IF(R74=regle!$I$11,regle!$I$23,
IF(R74=regle!$J$11,regle!$J$23,
IF(R74=regle!$K$11,regle!$K$23,0))))))))))))</f>
        <v>0</v>
      </c>
      <c r="AC74" s="17">
        <f>IF($A74,$J74*(IF(S74=regle!$B$11,regle!$B$23*IF(AL74=-2,1+regle!$B$35,1),
IF(S74=regle!$C$11,regle!$C$23,
IF(S74=regle!$D$11,regle!$D$23,
IF(S74=regle!$E$11,regle!$E$23,
IF(S74=regle!$F$11,regle!$F$23,
IF(S74=regle!$G$11,regle!$G$23,
IF(S74=regle!$H$11,regle!$H$23,
IF(S74=regle!$I$11,regle!$I$23,
IF(S74=regle!$J$11,regle!$J$23,
IF(S74=regle!$K$11,regle!$K$23,0))))))))))))</f>
        <v>-25.470000000000002</v>
      </c>
      <c r="AD74" s="17">
        <f>IF($A74,$J74*(IF(T74=regle!$B$11,regle!$B$23*IF(AM74=-2,1+regle!$B$35,1),
IF(T74=regle!$C$11,regle!$C$23,
IF(T74=regle!$D$11,regle!$D$23,
IF(T74=regle!$E$11,regle!$E$23,
IF(T74=regle!$F$11,regle!$F$23,
IF(T74=regle!$G$11,regle!$G$23,
IF(T74=regle!$H$11,regle!$H$23,
IF(T74=regle!$I$11,regle!$I$23,
IF(T74=regle!$J$11,regle!$J$23,
IF(T74=regle!$K$11,regle!$K$23,0))))))))))))</f>
        <v>0</v>
      </c>
      <c r="AE74" s="17">
        <f>IF($A74,$J74*(IF(U74=regle!$B$11,regle!$B$23*IF(AN74=-2,1+regle!$B$35,1),
IF(U74=regle!$C$11,regle!$C$23,
IF(U74=regle!$D$11,regle!$D$23,
IF(U74=regle!$E$11,regle!$E$23,
IF(U74=regle!$F$11,regle!$F$23,
IF(U74=regle!$G$11,regle!$G$23,
IF(U74=regle!$H$11,regle!$H$23,
IF(U74=regle!$I$11,regle!$I$23,
IF(U74=regle!$J$11,regle!$J$23,
IF(U74=regle!$K$11,regle!$K$23,0))))))))))))</f>
        <v>-30.564</v>
      </c>
      <c r="AF74" s="17">
        <f>IF($A74,$J74*(IF(V74=regle!$B$11,regle!$B$23*IF(AO74=-2,1+regle!$B$35,1),
IF(V74=regle!$C$11,regle!$C$23,
IF(V74=regle!$D$11,regle!$D$23,
IF(V74=regle!$E$11,regle!$E$23,
IF(V74=regle!$F$11,regle!$F$23,
IF(V74=regle!$G$11,regle!$G$23,
IF(V74=regle!$H$11,regle!$H$23,
IF(V74=regle!$I$11,regle!$I$23,
IF(V74=regle!$J$11,regle!$J$23,
IF(V74=regle!$K$11,regle!$K$23,0))))))))))))</f>
        <v>0</v>
      </c>
      <c r="AG74" s="17">
        <f>IF($A74,$J74*(IF(W74=regle!$B$11,regle!$B$23*IF(AP74=-2,1+regle!$B$35,1),
IF(W74=regle!$C$11,regle!$C$23,
IF(W74=regle!$D$11,regle!$D$23,
IF(W74=regle!$E$11,regle!$E$23,
IF(W74=regle!$F$11,regle!$F$23,
IF(W74=regle!$G$11,regle!$G$23,
IF(W74=regle!$H$11,regle!$H$23,
IF(W74=regle!$I$11,regle!$I$23,
IF(W74=regle!$J$11,regle!$J$23,
IF(W74=regle!$K$11,regle!$K$23,0))))))))))))</f>
        <v>0</v>
      </c>
      <c r="AH74" s="17">
        <f>IF($A74,$J74*(IF(X74=regle!$B$11,regle!$B$23*IF(AQ74=-2,1+regle!$B$35,1),
IF(X74=regle!$C$11,regle!$C$23,
IF(X74=regle!$D$11,regle!$D$23,
IF(X74=regle!$E$11,regle!$E$23,
IF(X74=regle!$F$11,regle!$F$23,
IF(X74=regle!$G$11,regle!$G$23,
IF(X74=regle!$H$11,regle!$H$23,
IF(X74=regle!$I$11,regle!$I$23,
IF(X74=regle!$J$11,regle!$J$23,
IF(X74=regle!$K$11,regle!$K$23,0))))))))))))</f>
        <v>-30.564</v>
      </c>
      <c r="AI74" s="17">
        <f>IF($A74,$J74*(IF(Y74=regle!$B$11,regle!$B$23*IF(AR74=-2,1+regle!$B$35,1),
IF(Y74=regle!$C$11,regle!$C$23,
IF(Y74=regle!$D$11,regle!$D$23,
IF(Y74=regle!$E$11,regle!$E$23,
IF(Y74=regle!$F$11,regle!$F$23,
IF(Y74=regle!$G$11,regle!$G$23,
IF(Y74=regle!$H$11,regle!$H$23,
IF(Y74=regle!$I$11,regle!$I$23,
IF(Y74=regle!$J$11,regle!$J$23,
IF(Y74=regle!$K$11,regle!$K$23,0))))))))))))</f>
        <v>0</v>
      </c>
      <c r="AJ74" s="17">
        <f>IF($A74,$J74*(IF(Z74=regle!$B$11,regle!$B$23*IF(AS74=-2,1+regle!$B$35,1),
IF(Z74=regle!$C$11,regle!$C$23,
IF(Z74=regle!$D$11,regle!$D$23,
IF(Z74=regle!$E$11,regle!$E$23,
IF(Z74=regle!$F$11,regle!$F$23,
IF(Z74=regle!$G$11,regle!$G$23,
IF(Z74=regle!$H$11,regle!$H$23,
IF(Z74=regle!$I$11,regle!$I$23,
IF(Z74=regle!$J$11,regle!$J$23,
IF(Z74=regle!$K$11,regle!$K$23,0))))))))))))</f>
        <v>0</v>
      </c>
      <c r="AK74" s="16">
        <f>IF(OR(Q74=regle!$J$11,Q74=regle!$K$11),-2,IF(Q74=regle!$B$11,0,IF(AK$1=$AK$1,IF($O74,-1,regle!$B$2-$M74),IF(AJ74=-1,-1,AJ74+1))))</f>
        <v>0</v>
      </c>
      <c r="AL74" s="16">
        <f>IF(OR(R74=regle!$J$11,R74=regle!$K$11),-2,IF(R74=regle!$B$11,0,IF(AL$1=$AK$1,IF($O74,-1,regle!$B$2-$M74),IF(AK74=-1,-1,AK74+1))))</f>
        <v>1</v>
      </c>
      <c r="AM74" s="16">
        <f>IF(OR(S74=regle!$J$11,S74=regle!$K$11),-2,IF(S74=regle!$B$11,0,IF(AM$1=$AK$1,IF($O74,-1,regle!$B$2-$M74),IF(AL74=-1,-1,AL74+1))))</f>
        <v>2</v>
      </c>
      <c r="AN74" s="16">
        <f>IF(OR(T74=regle!$J$11,T74=regle!$K$11),-2,IF(T74=regle!$B$11,0,IF(AN$1=$AK$1,IF($O74,-1,regle!$B$2-$M74),IF(AM74=-1,-1,AM74+1))))</f>
        <v>3</v>
      </c>
      <c r="AO74" s="16">
        <f>IF(OR(U74=regle!$J$11,U74=regle!$K$11),-2,IF(U74=regle!$B$11,0,IF(AO$1=$AK$1,IF($O74,-1,regle!$B$2-$M74),IF(AN74=-1,-1,AN74+1))))</f>
        <v>4</v>
      </c>
      <c r="AP74" s="16">
        <f>IF(OR(V74=regle!$J$11,V74=regle!$K$11),-2,IF(V74=regle!$B$11,0,IF(AP$1=$AK$1,IF($O74,-1,regle!$B$2-$M74),IF(AO74=-1,-1,AO74+1))))</f>
        <v>5</v>
      </c>
      <c r="AQ74" s="16">
        <f>IF(OR(W74=regle!$J$11,W74=regle!$K$11),-2,IF(W74=regle!$B$11,0,IF(AQ$1=$AK$1,IF($O74,-1,regle!$B$2-$M74),IF(AP74=-1,-1,AP74+1))))</f>
        <v>6</v>
      </c>
      <c r="AR74" s="16">
        <f>IF(OR(X74=regle!$J$11,X74=regle!$K$11),-2,IF(X74=regle!$B$11,0,IF(AR$1=$AK$1,IF($O74,-1,regle!$B$2-$M74),IF(AQ74=-1,-1,AQ74+1))))</f>
        <v>7</v>
      </c>
      <c r="AS74" s="16">
        <f>IF(OR(Y74=regle!$J$11,Y74=regle!$K$11),-2,IF(Y74=regle!$B$11,0,IF(AS$1=$AK$1,IF($O74,-1,regle!$B$2-$M74),IF(AR74=-1,-1,AR74+1))))</f>
        <v>8</v>
      </c>
      <c r="AT74" s="16">
        <f>IF(OR(Z74=regle!$J$11,Z74=regle!$K$11),-2,IF(Z74=regle!$B$11,0,IF(AT$1=$AK$1,IF($O74,-1,regle!$B$2-$M74),IF(AS74=-1,-1,AS74+1))))</f>
        <v>9</v>
      </c>
    </row>
    <row r="75" spans="1:46" x14ac:dyDescent="0.25">
      <c r="A75" t="b">
        <f>modif1!A75</f>
        <v>1</v>
      </c>
      <c r="B75">
        <f>ROW(modif1!B75)</f>
        <v>75</v>
      </c>
      <c r="C75" t="str">
        <f>modif1!C78</f>
        <v>200</v>
      </c>
      <c r="D75" t="str">
        <f>modif1!D75</f>
        <v>HOSTENS</v>
      </c>
      <c r="E75">
        <f>modif1!E75</f>
        <v>11</v>
      </c>
      <c r="F75" t="str">
        <f>modif1!F75</f>
        <v>L'ARGILEYRE</v>
      </c>
      <c r="G75" t="str">
        <f>modif1!G75</f>
        <v>0A</v>
      </c>
      <c r="H75">
        <f>modif1!H75</f>
        <v>1294</v>
      </c>
      <c r="I75" t="str">
        <f>modif1!I75</f>
        <v>k</v>
      </c>
      <c r="J75" s="11">
        <f>modif1!J75</f>
        <v>0.33410000000000001</v>
      </c>
      <c r="K75" t="str">
        <f>modif1!K75</f>
        <v>CR</v>
      </c>
      <c r="L75" t="str">
        <f>modif1!L75</f>
        <v>PM</v>
      </c>
      <c r="M75">
        <f>modif1!M75</f>
        <v>2022</v>
      </c>
      <c r="N75" t="str">
        <f>modif1!N75</f>
        <v>CR-PM_2022</v>
      </c>
      <c r="O75" t="b">
        <f>modif1!O75</f>
        <v>1</v>
      </c>
      <c r="P75">
        <v>40</v>
      </c>
      <c r="Q75" t="s">
        <v>1868</v>
      </c>
      <c r="S75" t="s">
        <v>1872</v>
      </c>
      <c r="U75" t="s">
        <v>1870</v>
      </c>
      <c r="X75" t="s">
        <v>1871</v>
      </c>
      <c r="Z75"/>
      <c r="AA75" s="17">
        <f>IF($A75,$J75*(IF(Q75=regle!$B$11,regle!$B$23*IF(AJ75=-2,1+regle!$B$35,1),
IF(Q75=regle!$C$11,regle!$C$23,
IF(Q75=regle!$D$11,regle!$D$23,
IF(Q75=regle!$E$11,regle!$E$23,
IF(Q75=regle!$F$11,regle!$F$23,
IF(Q75=regle!$G$11,regle!$G$23,
IF(Q75=regle!$H$11,regle!$H$23,
IF(Q75=regle!$I$11,regle!$I$23,
IF(Q75=regle!$J$11,regle!$J$23,
IF(Q75=regle!$K$11,regle!$K$23,0))))))))))))</f>
        <v>-567.97</v>
      </c>
      <c r="AB75" s="17">
        <f>IF($A75,$J75*(IF(R75=regle!$B$11,regle!$B$23*IF(AK75=-2,1+regle!$B$35,1),
IF(R75=regle!$C$11,regle!$C$23,
IF(R75=regle!$D$11,regle!$D$23,
IF(R75=regle!$E$11,regle!$E$23,
IF(R75=regle!$F$11,regle!$F$23,
IF(R75=regle!$G$11,regle!$G$23,
IF(R75=regle!$H$11,regle!$H$23,
IF(R75=regle!$I$11,regle!$I$23,
IF(R75=regle!$J$11,regle!$J$23,
IF(R75=regle!$K$11,regle!$K$23,0))))))))))))</f>
        <v>0</v>
      </c>
      <c r="AC75" s="17">
        <f>IF($A75,$J75*(IF(S75=regle!$B$11,regle!$B$23*IF(AL75=-2,1+regle!$B$35,1),
IF(S75=regle!$C$11,regle!$C$23,
IF(S75=regle!$D$11,regle!$D$23,
IF(S75=regle!$E$11,regle!$E$23,
IF(S75=regle!$F$11,regle!$F$23,
IF(S75=regle!$G$11,regle!$G$23,
IF(S75=regle!$H$11,regle!$H$23,
IF(S75=regle!$I$11,regle!$I$23,
IF(S75=regle!$J$11,regle!$J$23,
IF(S75=regle!$K$11,regle!$K$23,0))))))))))))</f>
        <v>-25.057500000000001</v>
      </c>
      <c r="AD75" s="17">
        <f>IF($A75,$J75*(IF(T75=regle!$B$11,regle!$B$23*IF(AM75=-2,1+regle!$B$35,1),
IF(T75=regle!$C$11,regle!$C$23,
IF(T75=regle!$D$11,regle!$D$23,
IF(T75=regle!$E$11,regle!$E$23,
IF(T75=regle!$F$11,regle!$F$23,
IF(T75=regle!$G$11,regle!$G$23,
IF(T75=regle!$H$11,regle!$H$23,
IF(T75=regle!$I$11,regle!$I$23,
IF(T75=regle!$J$11,regle!$J$23,
IF(T75=regle!$K$11,regle!$K$23,0))))))))))))</f>
        <v>0</v>
      </c>
      <c r="AE75" s="17">
        <f>IF($A75,$J75*(IF(U75=regle!$B$11,regle!$B$23*IF(AN75=-2,1+regle!$B$35,1),
IF(U75=regle!$C$11,regle!$C$23,
IF(U75=regle!$D$11,regle!$D$23,
IF(U75=regle!$E$11,regle!$E$23,
IF(U75=regle!$F$11,regle!$F$23,
IF(U75=regle!$G$11,regle!$G$23,
IF(U75=regle!$H$11,regle!$H$23,
IF(U75=regle!$I$11,regle!$I$23,
IF(U75=regle!$J$11,regle!$J$23,
IF(U75=regle!$K$11,regle!$K$23,0))))))))))))</f>
        <v>-30.068999999999999</v>
      </c>
      <c r="AF75" s="17">
        <f>IF($A75,$J75*(IF(V75=regle!$B$11,regle!$B$23*IF(AO75=-2,1+regle!$B$35,1),
IF(V75=regle!$C$11,regle!$C$23,
IF(V75=regle!$D$11,regle!$D$23,
IF(V75=regle!$E$11,regle!$E$23,
IF(V75=regle!$F$11,regle!$F$23,
IF(V75=regle!$G$11,regle!$G$23,
IF(V75=regle!$H$11,regle!$H$23,
IF(V75=regle!$I$11,regle!$I$23,
IF(V75=regle!$J$11,regle!$J$23,
IF(V75=regle!$K$11,regle!$K$23,0))))))))))))</f>
        <v>0</v>
      </c>
      <c r="AG75" s="17">
        <f>IF($A75,$J75*(IF(W75=regle!$B$11,regle!$B$23*IF(AP75=-2,1+regle!$B$35,1),
IF(W75=regle!$C$11,regle!$C$23,
IF(W75=regle!$D$11,regle!$D$23,
IF(W75=regle!$E$11,regle!$E$23,
IF(W75=regle!$F$11,regle!$F$23,
IF(W75=regle!$G$11,regle!$G$23,
IF(W75=regle!$H$11,regle!$H$23,
IF(W75=regle!$I$11,regle!$I$23,
IF(W75=regle!$J$11,regle!$J$23,
IF(W75=regle!$K$11,regle!$K$23,0))))))))))))</f>
        <v>0</v>
      </c>
      <c r="AH75" s="17">
        <f>IF($A75,$J75*(IF(X75=regle!$B$11,regle!$B$23*IF(AQ75=-2,1+regle!$B$35,1),
IF(X75=regle!$C$11,regle!$C$23,
IF(X75=regle!$D$11,regle!$D$23,
IF(X75=regle!$E$11,regle!$E$23,
IF(X75=regle!$F$11,regle!$F$23,
IF(X75=regle!$G$11,regle!$G$23,
IF(X75=regle!$H$11,regle!$H$23,
IF(X75=regle!$I$11,regle!$I$23,
IF(X75=regle!$J$11,regle!$J$23,
IF(X75=regle!$K$11,regle!$K$23,0))))))))))))</f>
        <v>-30.068999999999999</v>
      </c>
      <c r="AI75" s="17">
        <f>IF($A75,$J75*(IF(Y75=regle!$B$11,regle!$B$23*IF(AR75=-2,1+regle!$B$35,1),
IF(Y75=regle!$C$11,regle!$C$23,
IF(Y75=regle!$D$11,regle!$D$23,
IF(Y75=regle!$E$11,regle!$E$23,
IF(Y75=regle!$F$11,regle!$F$23,
IF(Y75=regle!$G$11,regle!$G$23,
IF(Y75=regle!$H$11,regle!$H$23,
IF(Y75=regle!$I$11,regle!$I$23,
IF(Y75=regle!$J$11,regle!$J$23,
IF(Y75=regle!$K$11,regle!$K$23,0))))))))))))</f>
        <v>0</v>
      </c>
      <c r="AJ75" s="17">
        <f>IF($A75,$J75*(IF(Z75=regle!$B$11,regle!$B$23*IF(AS75=-2,1+regle!$B$35,1),
IF(Z75=regle!$C$11,regle!$C$23,
IF(Z75=regle!$D$11,regle!$D$23,
IF(Z75=regle!$E$11,regle!$E$23,
IF(Z75=regle!$F$11,regle!$F$23,
IF(Z75=regle!$G$11,regle!$G$23,
IF(Z75=regle!$H$11,regle!$H$23,
IF(Z75=regle!$I$11,regle!$I$23,
IF(Z75=regle!$J$11,regle!$J$23,
IF(Z75=regle!$K$11,regle!$K$23,0))))))))))))</f>
        <v>0</v>
      </c>
      <c r="AK75" s="16">
        <f>IF(OR(Q75=regle!$J$11,Q75=regle!$K$11),-2,IF(Q75=regle!$B$11,0,IF(AK$1=$AK$1,IF($O75,-1,regle!$B$2-$M75),IF(AJ75=-1,-1,AJ75+1))))</f>
        <v>0</v>
      </c>
      <c r="AL75" s="16">
        <f>IF(OR(R75=regle!$J$11,R75=regle!$K$11),-2,IF(R75=regle!$B$11,0,IF(AL$1=$AK$1,IF($O75,-1,regle!$B$2-$M75),IF(AK75=-1,-1,AK75+1))))</f>
        <v>1</v>
      </c>
      <c r="AM75" s="16">
        <f>IF(OR(S75=regle!$J$11,S75=regle!$K$11),-2,IF(S75=regle!$B$11,0,IF(AM$1=$AK$1,IF($O75,-1,regle!$B$2-$M75),IF(AL75=-1,-1,AL75+1))))</f>
        <v>2</v>
      </c>
      <c r="AN75" s="16">
        <f>IF(OR(T75=regle!$J$11,T75=regle!$K$11),-2,IF(T75=regle!$B$11,0,IF(AN$1=$AK$1,IF($O75,-1,regle!$B$2-$M75),IF(AM75=-1,-1,AM75+1))))</f>
        <v>3</v>
      </c>
      <c r="AO75" s="16">
        <f>IF(OR(U75=regle!$J$11,U75=regle!$K$11),-2,IF(U75=regle!$B$11,0,IF(AO$1=$AK$1,IF($O75,-1,regle!$B$2-$M75),IF(AN75=-1,-1,AN75+1))))</f>
        <v>4</v>
      </c>
      <c r="AP75" s="16">
        <f>IF(OR(V75=regle!$J$11,V75=regle!$K$11),-2,IF(V75=regle!$B$11,0,IF(AP$1=$AK$1,IF($O75,-1,regle!$B$2-$M75),IF(AO75=-1,-1,AO75+1))))</f>
        <v>5</v>
      </c>
      <c r="AQ75" s="16">
        <f>IF(OR(W75=regle!$J$11,W75=regle!$K$11),-2,IF(W75=regle!$B$11,0,IF(AQ$1=$AK$1,IF($O75,-1,regle!$B$2-$M75),IF(AP75=-1,-1,AP75+1))))</f>
        <v>6</v>
      </c>
      <c r="AR75" s="16">
        <f>IF(OR(X75=regle!$J$11,X75=regle!$K$11),-2,IF(X75=regle!$B$11,0,IF(AR$1=$AK$1,IF($O75,-1,regle!$B$2-$M75),IF(AQ75=-1,-1,AQ75+1))))</f>
        <v>7</v>
      </c>
      <c r="AS75" s="16">
        <f>IF(OR(Y75=regle!$J$11,Y75=regle!$K$11),-2,IF(Y75=regle!$B$11,0,IF(AS$1=$AK$1,IF($O75,-1,regle!$B$2-$M75),IF(AR75=-1,-1,AR75+1))))</f>
        <v>8</v>
      </c>
      <c r="AT75" s="16">
        <f>IF(OR(Z75=regle!$J$11,Z75=regle!$K$11),-2,IF(Z75=regle!$B$11,0,IF(AT$1=$AK$1,IF($O75,-1,regle!$B$2-$M75),IF(AS75=-1,-1,AS75+1))))</f>
        <v>9</v>
      </c>
    </row>
    <row r="76" spans="1:46" x14ac:dyDescent="0.25">
      <c r="A76" t="b">
        <f>modif1!A76</f>
        <v>1</v>
      </c>
      <c r="B76">
        <f>ROW(modif1!B76)</f>
        <v>76</v>
      </c>
      <c r="C76" t="str">
        <f>modif1!C79</f>
        <v>536</v>
      </c>
      <c r="D76" t="str">
        <f>modif1!D76</f>
        <v>HOSTENS</v>
      </c>
      <c r="E76">
        <f>modif1!E76</f>
        <v>11</v>
      </c>
      <c r="F76" t="str">
        <f>modif1!F76</f>
        <v>L'ARGILEYRE</v>
      </c>
      <c r="G76" t="str">
        <f>modif1!G76</f>
        <v>0A</v>
      </c>
      <c r="H76">
        <f>modif1!H76</f>
        <v>1295</v>
      </c>
      <c r="I76" t="str">
        <f>modif1!I76</f>
        <v/>
      </c>
      <c r="J76" s="11">
        <f>modif1!J76</f>
        <v>0.32500000000000001</v>
      </c>
      <c r="K76" t="str">
        <f>modif1!K76</f>
        <v>CR</v>
      </c>
      <c r="L76" t="str">
        <f>modif1!L76</f>
        <v>PM</v>
      </c>
      <c r="M76">
        <f>modif1!M76</f>
        <v>2022</v>
      </c>
      <c r="N76" t="str">
        <f>modif1!N76</f>
        <v>CR-PM_2022</v>
      </c>
      <c r="O76" t="b">
        <f>modif1!O76</f>
        <v>1</v>
      </c>
      <c r="P76">
        <v>40</v>
      </c>
      <c r="Q76" t="s">
        <v>1868</v>
      </c>
      <c r="S76" t="s">
        <v>1872</v>
      </c>
      <c r="U76" t="s">
        <v>1870</v>
      </c>
      <c r="X76" t="s">
        <v>1871</v>
      </c>
      <c r="Z76"/>
      <c r="AA76" s="17">
        <f>IF($A76,$J76*(IF(Q76=regle!$B$11,regle!$B$23*IF(AJ76=-2,1+regle!$B$35,1),
IF(Q76=regle!$C$11,regle!$C$23,
IF(Q76=regle!$D$11,regle!$D$23,
IF(Q76=regle!$E$11,regle!$E$23,
IF(Q76=regle!$F$11,regle!$F$23,
IF(Q76=regle!$G$11,regle!$G$23,
IF(Q76=regle!$H$11,regle!$H$23,
IF(Q76=regle!$I$11,regle!$I$23,
IF(Q76=regle!$J$11,regle!$J$23,
IF(Q76=regle!$K$11,regle!$K$23,0))))))))))))</f>
        <v>-552.5</v>
      </c>
      <c r="AB76" s="17">
        <f>IF($A76,$J76*(IF(R76=regle!$B$11,regle!$B$23*IF(AK76=-2,1+regle!$B$35,1),
IF(R76=regle!$C$11,regle!$C$23,
IF(R76=regle!$D$11,regle!$D$23,
IF(R76=regle!$E$11,regle!$E$23,
IF(R76=regle!$F$11,regle!$F$23,
IF(R76=regle!$G$11,regle!$G$23,
IF(R76=regle!$H$11,regle!$H$23,
IF(R76=regle!$I$11,regle!$I$23,
IF(R76=regle!$J$11,regle!$J$23,
IF(R76=regle!$K$11,regle!$K$23,0))))))))))))</f>
        <v>0</v>
      </c>
      <c r="AC76" s="17">
        <f>IF($A76,$J76*(IF(S76=regle!$B$11,regle!$B$23*IF(AL76=-2,1+regle!$B$35,1),
IF(S76=regle!$C$11,regle!$C$23,
IF(S76=regle!$D$11,regle!$D$23,
IF(S76=regle!$E$11,regle!$E$23,
IF(S76=regle!$F$11,regle!$F$23,
IF(S76=regle!$G$11,regle!$G$23,
IF(S76=regle!$H$11,regle!$H$23,
IF(S76=regle!$I$11,regle!$I$23,
IF(S76=regle!$J$11,regle!$J$23,
IF(S76=regle!$K$11,regle!$K$23,0))))))))))))</f>
        <v>-24.375</v>
      </c>
      <c r="AD76" s="17">
        <f>IF($A76,$J76*(IF(T76=regle!$B$11,regle!$B$23*IF(AM76=-2,1+regle!$B$35,1),
IF(T76=regle!$C$11,regle!$C$23,
IF(T76=regle!$D$11,regle!$D$23,
IF(T76=regle!$E$11,regle!$E$23,
IF(T76=regle!$F$11,regle!$F$23,
IF(T76=regle!$G$11,regle!$G$23,
IF(T76=regle!$H$11,regle!$H$23,
IF(T76=regle!$I$11,regle!$I$23,
IF(T76=regle!$J$11,regle!$J$23,
IF(T76=regle!$K$11,regle!$K$23,0))))))))))))</f>
        <v>0</v>
      </c>
      <c r="AE76" s="17">
        <f>IF($A76,$J76*(IF(U76=regle!$B$11,regle!$B$23*IF(AN76=-2,1+regle!$B$35,1),
IF(U76=regle!$C$11,regle!$C$23,
IF(U76=regle!$D$11,regle!$D$23,
IF(U76=regle!$E$11,regle!$E$23,
IF(U76=regle!$F$11,regle!$F$23,
IF(U76=regle!$G$11,regle!$G$23,
IF(U76=regle!$H$11,regle!$H$23,
IF(U76=regle!$I$11,regle!$I$23,
IF(U76=regle!$J$11,regle!$J$23,
IF(U76=regle!$K$11,regle!$K$23,0))))))))))))</f>
        <v>-29.25</v>
      </c>
      <c r="AF76" s="17">
        <f>IF($A76,$J76*(IF(V76=regle!$B$11,regle!$B$23*IF(AO76=-2,1+regle!$B$35,1),
IF(V76=regle!$C$11,regle!$C$23,
IF(V76=regle!$D$11,regle!$D$23,
IF(V76=regle!$E$11,regle!$E$23,
IF(V76=regle!$F$11,regle!$F$23,
IF(V76=regle!$G$11,regle!$G$23,
IF(V76=regle!$H$11,regle!$H$23,
IF(V76=regle!$I$11,regle!$I$23,
IF(V76=regle!$J$11,regle!$J$23,
IF(V76=regle!$K$11,regle!$K$23,0))))))))))))</f>
        <v>0</v>
      </c>
      <c r="AG76" s="17">
        <f>IF($A76,$J76*(IF(W76=regle!$B$11,regle!$B$23*IF(AP76=-2,1+regle!$B$35,1),
IF(W76=regle!$C$11,regle!$C$23,
IF(W76=regle!$D$11,regle!$D$23,
IF(W76=regle!$E$11,regle!$E$23,
IF(W76=regle!$F$11,regle!$F$23,
IF(W76=regle!$G$11,regle!$G$23,
IF(W76=regle!$H$11,regle!$H$23,
IF(W76=regle!$I$11,regle!$I$23,
IF(W76=regle!$J$11,regle!$J$23,
IF(W76=regle!$K$11,regle!$K$23,0))))))))))))</f>
        <v>0</v>
      </c>
      <c r="AH76" s="17">
        <f>IF($A76,$J76*(IF(X76=regle!$B$11,regle!$B$23*IF(AQ76=-2,1+regle!$B$35,1),
IF(X76=regle!$C$11,regle!$C$23,
IF(X76=regle!$D$11,regle!$D$23,
IF(X76=regle!$E$11,regle!$E$23,
IF(X76=regle!$F$11,regle!$F$23,
IF(X76=regle!$G$11,regle!$G$23,
IF(X76=regle!$H$11,regle!$H$23,
IF(X76=regle!$I$11,regle!$I$23,
IF(X76=regle!$J$11,regle!$J$23,
IF(X76=regle!$K$11,regle!$K$23,0))))))))))))</f>
        <v>-29.25</v>
      </c>
      <c r="AI76" s="17">
        <f>IF($A76,$J76*(IF(Y76=regle!$B$11,regle!$B$23*IF(AR76=-2,1+regle!$B$35,1),
IF(Y76=regle!$C$11,regle!$C$23,
IF(Y76=regle!$D$11,regle!$D$23,
IF(Y76=regle!$E$11,regle!$E$23,
IF(Y76=regle!$F$11,regle!$F$23,
IF(Y76=regle!$G$11,regle!$G$23,
IF(Y76=regle!$H$11,regle!$H$23,
IF(Y76=regle!$I$11,regle!$I$23,
IF(Y76=regle!$J$11,regle!$J$23,
IF(Y76=regle!$K$11,regle!$K$23,0))))))))))))</f>
        <v>0</v>
      </c>
      <c r="AJ76" s="17">
        <f>IF($A76,$J76*(IF(Z76=regle!$B$11,regle!$B$23*IF(AS76=-2,1+regle!$B$35,1),
IF(Z76=regle!$C$11,regle!$C$23,
IF(Z76=regle!$D$11,regle!$D$23,
IF(Z76=regle!$E$11,regle!$E$23,
IF(Z76=regle!$F$11,regle!$F$23,
IF(Z76=regle!$G$11,regle!$G$23,
IF(Z76=regle!$H$11,regle!$H$23,
IF(Z76=regle!$I$11,regle!$I$23,
IF(Z76=regle!$J$11,regle!$J$23,
IF(Z76=regle!$K$11,regle!$K$23,0))))))))))))</f>
        <v>0</v>
      </c>
      <c r="AK76" s="16">
        <f>IF(OR(Q76=regle!$J$11,Q76=regle!$K$11),-2,IF(Q76=regle!$B$11,0,IF(AK$1=$AK$1,IF($O76,-1,regle!$B$2-$M76),IF(AJ76=-1,-1,AJ76+1))))</f>
        <v>0</v>
      </c>
      <c r="AL76" s="16">
        <f>IF(OR(R76=regle!$J$11,R76=regle!$K$11),-2,IF(R76=regle!$B$11,0,IF(AL$1=$AK$1,IF($O76,-1,regle!$B$2-$M76),IF(AK76=-1,-1,AK76+1))))</f>
        <v>1</v>
      </c>
      <c r="AM76" s="16">
        <f>IF(OR(S76=regle!$J$11,S76=regle!$K$11),-2,IF(S76=regle!$B$11,0,IF(AM$1=$AK$1,IF($O76,-1,regle!$B$2-$M76),IF(AL76=-1,-1,AL76+1))))</f>
        <v>2</v>
      </c>
      <c r="AN76" s="16">
        <f>IF(OR(T76=regle!$J$11,T76=regle!$K$11),-2,IF(T76=regle!$B$11,0,IF(AN$1=$AK$1,IF($O76,-1,regle!$B$2-$M76),IF(AM76=-1,-1,AM76+1))))</f>
        <v>3</v>
      </c>
      <c r="AO76" s="16">
        <f>IF(OR(U76=regle!$J$11,U76=regle!$K$11),-2,IF(U76=regle!$B$11,0,IF(AO$1=$AK$1,IF($O76,-1,regle!$B$2-$M76),IF(AN76=-1,-1,AN76+1))))</f>
        <v>4</v>
      </c>
      <c r="AP76" s="16">
        <f>IF(OR(V76=regle!$J$11,V76=regle!$K$11),-2,IF(V76=regle!$B$11,0,IF(AP$1=$AK$1,IF($O76,-1,regle!$B$2-$M76),IF(AO76=-1,-1,AO76+1))))</f>
        <v>5</v>
      </c>
      <c r="AQ76" s="16">
        <f>IF(OR(W76=regle!$J$11,W76=regle!$K$11),-2,IF(W76=regle!$B$11,0,IF(AQ$1=$AK$1,IF($O76,-1,regle!$B$2-$M76),IF(AP76=-1,-1,AP76+1))))</f>
        <v>6</v>
      </c>
      <c r="AR76" s="16">
        <f>IF(OR(X76=regle!$J$11,X76=regle!$K$11),-2,IF(X76=regle!$B$11,0,IF(AR$1=$AK$1,IF($O76,-1,regle!$B$2-$M76),IF(AQ76=-1,-1,AQ76+1))))</f>
        <v>7</v>
      </c>
      <c r="AS76" s="16">
        <f>IF(OR(Y76=regle!$J$11,Y76=regle!$K$11),-2,IF(Y76=regle!$B$11,0,IF(AS$1=$AK$1,IF($O76,-1,regle!$B$2-$M76),IF(AR76=-1,-1,AR76+1))))</f>
        <v>8</v>
      </c>
      <c r="AT76" s="16">
        <f>IF(OR(Z76=regle!$J$11,Z76=regle!$K$11),-2,IF(Z76=regle!$B$11,0,IF(AT$1=$AK$1,IF($O76,-1,regle!$B$2-$M76),IF(AS76=-1,-1,AS76+1))))</f>
        <v>9</v>
      </c>
    </row>
    <row r="77" spans="1:46" x14ac:dyDescent="0.25">
      <c r="A77" t="b">
        <f>modif1!A77</f>
        <v>1</v>
      </c>
      <c r="B77">
        <f>ROW(modif1!B77)</f>
        <v>77</v>
      </c>
      <c r="C77" t="str">
        <f>modif1!C80</f>
        <v>200</v>
      </c>
      <c r="D77" t="str">
        <f>modif1!D77</f>
        <v>MANO</v>
      </c>
      <c r="E77">
        <f>modif1!E77</f>
        <v>6</v>
      </c>
      <c r="F77" t="str">
        <f>modif1!F77</f>
        <v>BARRAT</v>
      </c>
      <c r="G77" t="str">
        <f>modif1!G77</f>
        <v>0C</v>
      </c>
      <c r="H77">
        <f>modif1!H77</f>
        <v>188</v>
      </c>
      <c r="I77" t="str">
        <f>modif1!I77</f>
        <v/>
      </c>
      <c r="J77" s="11">
        <f>modif1!J77</f>
        <v>0.2979</v>
      </c>
      <c r="K77" t="str">
        <f>modif1!K77</f>
        <v>CR</v>
      </c>
      <c r="L77" t="str">
        <f>modif1!L77</f>
        <v>PM</v>
      </c>
      <c r="M77">
        <f>modif1!M77</f>
        <v>2022</v>
      </c>
      <c r="N77" t="str">
        <f>modif1!N77</f>
        <v>CR-PM_2022</v>
      </c>
      <c r="O77" t="b">
        <f>modif1!O77</f>
        <v>1</v>
      </c>
      <c r="P77">
        <v>40</v>
      </c>
      <c r="Q77" t="s">
        <v>1868</v>
      </c>
      <c r="S77" t="s">
        <v>1872</v>
      </c>
      <c r="U77" t="s">
        <v>1870</v>
      </c>
      <c r="X77" t="s">
        <v>1871</v>
      </c>
      <c r="Z77"/>
      <c r="AA77" s="17">
        <f>IF($A77,$J77*(IF(Q77=regle!$B$11,regle!$B$23*IF(AJ77=-2,1+regle!$B$35,1),
IF(Q77=regle!$C$11,regle!$C$23,
IF(Q77=regle!$D$11,regle!$D$23,
IF(Q77=regle!$E$11,regle!$E$23,
IF(Q77=regle!$F$11,regle!$F$23,
IF(Q77=regle!$G$11,regle!$G$23,
IF(Q77=regle!$H$11,regle!$H$23,
IF(Q77=regle!$I$11,regle!$I$23,
IF(Q77=regle!$J$11,regle!$J$23,
IF(Q77=regle!$K$11,regle!$K$23,0))))))))))))</f>
        <v>-506.43</v>
      </c>
      <c r="AB77" s="17">
        <f>IF($A77,$J77*(IF(R77=regle!$B$11,regle!$B$23*IF(AK77=-2,1+regle!$B$35,1),
IF(R77=regle!$C$11,regle!$C$23,
IF(R77=regle!$D$11,regle!$D$23,
IF(R77=regle!$E$11,regle!$E$23,
IF(R77=regle!$F$11,regle!$F$23,
IF(R77=regle!$G$11,regle!$G$23,
IF(R77=regle!$H$11,regle!$H$23,
IF(R77=regle!$I$11,regle!$I$23,
IF(R77=regle!$J$11,regle!$J$23,
IF(R77=regle!$K$11,regle!$K$23,0))))))))))))</f>
        <v>0</v>
      </c>
      <c r="AC77" s="17">
        <f>IF($A77,$J77*(IF(S77=regle!$B$11,regle!$B$23*IF(AL77=-2,1+regle!$B$35,1),
IF(S77=regle!$C$11,regle!$C$23,
IF(S77=regle!$D$11,regle!$D$23,
IF(S77=regle!$E$11,regle!$E$23,
IF(S77=regle!$F$11,regle!$F$23,
IF(S77=regle!$G$11,regle!$G$23,
IF(S77=regle!$H$11,regle!$H$23,
IF(S77=regle!$I$11,regle!$I$23,
IF(S77=regle!$J$11,regle!$J$23,
IF(S77=regle!$K$11,regle!$K$23,0))))))))))))</f>
        <v>-22.342500000000001</v>
      </c>
      <c r="AD77" s="17">
        <f>IF($A77,$J77*(IF(T77=regle!$B$11,regle!$B$23*IF(AM77=-2,1+regle!$B$35,1),
IF(T77=regle!$C$11,regle!$C$23,
IF(T77=regle!$D$11,regle!$D$23,
IF(T77=regle!$E$11,regle!$E$23,
IF(T77=regle!$F$11,regle!$F$23,
IF(T77=regle!$G$11,regle!$G$23,
IF(T77=regle!$H$11,regle!$H$23,
IF(T77=regle!$I$11,regle!$I$23,
IF(T77=regle!$J$11,regle!$J$23,
IF(T77=regle!$K$11,regle!$K$23,0))))))))))))</f>
        <v>0</v>
      </c>
      <c r="AE77" s="17">
        <f>IF($A77,$J77*(IF(U77=regle!$B$11,regle!$B$23*IF(AN77=-2,1+regle!$B$35,1),
IF(U77=regle!$C$11,regle!$C$23,
IF(U77=regle!$D$11,regle!$D$23,
IF(U77=regle!$E$11,regle!$E$23,
IF(U77=regle!$F$11,regle!$F$23,
IF(U77=regle!$G$11,regle!$G$23,
IF(U77=regle!$H$11,regle!$H$23,
IF(U77=regle!$I$11,regle!$I$23,
IF(U77=regle!$J$11,regle!$J$23,
IF(U77=regle!$K$11,regle!$K$23,0))))))))))))</f>
        <v>-26.811</v>
      </c>
      <c r="AF77" s="17">
        <f>IF($A77,$J77*(IF(V77=regle!$B$11,regle!$B$23*IF(AO77=-2,1+regle!$B$35,1),
IF(V77=regle!$C$11,regle!$C$23,
IF(V77=regle!$D$11,regle!$D$23,
IF(V77=regle!$E$11,regle!$E$23,
IF(V77=regle!$F$11,regle!$F$23,
IF(V77=regle!$G$11,regle!$G$23,
IF(V77=regle!$H$11,regle!$H$23,
IF(V77=regle!$I$11,regle!$I$23,
IF(V77=regle!$J$11,regle!$J$23,
IF(V77=regle!$K$11,regle!$K$23,0))))))))))))</f>
        <v>0</v>
      </c>
      <c r="AG77" s="17">
        <f>IF($A77,$J77*(IF(W77=regle!$B$11,regle!$B$23*IF(AP77=-2,1+regle!$B$35,1),
IF(W77=regle!$C$11,regle!$C$23,
IF(W77=regle!$D$11,regle!$D$23,
IF(W77=regle!$E$11,regle!$E$23,
IF(W77=regle!$F$11,regle!$F$23,
IF(W77=regle!$G$11,regle!$G$23,
IF(W77=regle!$H$11,regle!$H$23,
IF(W77=regle!$I$11,regle!$I$23,
IF(W77=regle!$J$11,regle!$J$23,
IF(W77=regle!$K$11,regle!$K$23,0))))))))))))</f>
        <v>0</v>
      </c>
      <c r="AH77" s="17">
        <f>IF($A77,$J77*(IF(X77=regle!$B$11,regle!$B$23*IF(AQ77=-2,1+regle!$B$35,1),
IF(X77=regle!$C$11,regle!$C$23,
IF(X77=regle!$D$11,regle!$D$23,
IF(X77=regle!$E$11,regle!$E$23,
IF(X77=regle!$F$11,regle!$F$23,
IF(X77=regle!$G$11,regle!$G$23,
IF(X77=regle!$H$11,regle!$H$23,
IF(X77=regle!$I$11,regle!$I$23,
IF(X77=regle!$J$11,regle!$J$23,
IF(X77=regle!$K$11,regle!$K$23,0))))))))))))</f>
        <v>-26.811</v>
      </c>
      <c r="AI77" s="17">
        <f>IF($A77,$J77*(IF(Y77=regle!$B$11,regle!$B$23*IF(AR77=-2,1+regle!$B$35,1),
IF(Y77=regle!$C$11,regle!$C$23,
IF(Y77=regle!$D$11,regle!$D$23,
IF(Y77=regle!$E$11,regle!$E$23,
IF(Y77=regle!$F$11,regle!$F$23,
IF(Y77=regle!$G$11,regle!$G$23,
IF(Y77=regle!$H$11,regle!$H$23,
IF(Y77=regle!$I$11,regle!$I$23,
IF(Y77=regle!$J$11,regle!$J$23,
IF(Y77=regle!$K$11,regle!$K$23,0))))))))))))</f>
        <v>0</v>
      </c>
      <c r="AJ77" s="17">
        <f>IF($A77,$J77*(IF(Z77=regle!$B$11,regle!$B$23*IF(AS77=-2,1+regle!$B$35,1),
IF(Z77=regle!$C$11,regle!$C$23,
IF(Z77=regle!$D$11,regle!$D$23,
IF(Z77=regle!$E$11,regle!$E$23,
IF(Z77=regle!$F$11,regle!$F$23,
IF(Z77=regle!$G$11,regle!$G$23,
IF(Z77=regle!$H$11,regle!$H$23,
IF(Z77=regle!$I$11,regle!$I$23,
IF(Z77=regle!$J$11,regle!$J$23,
IF(Z77=regle!$K$11,regle!$K$23,0))))))))))))</f>
        <v>0</v>
      </c>
      <c r="AK77" s="16">
        <f>IF(OR(Q77=regle!$J$11,Q77=regle!$K$11),-2,IF(Q77=regle!$B$11,0,IF(AK$1=$AK$1,IF($O77,-1,regle!$B$2-$M77),IF(AJ77=-1,-1,AJ77+1))))</f>
        <v>0</v>
      </c>
      <c r="AL77" s="16">
        <f>IF(OR(R77=regle!$J$11,R77=regle!$K$11),-2,IF(R77=regle!$B$11,0,IF(AL$1=$AK$1,IF($O77,-1,regle!$B$2-$M77),IF(AK77=-1,-1,AK77+1))))</f>
        <v>1</v>
      </c>
      <c r="AM77" s="16">
        <f>IF(OR(S77=regle!$J$11,S77=regle!$K$11),-2,IF(S77=regle!$B$11,0,IF(AM$1=$AK$1,IF($O77,-1,regle!$B$2-$M77),IF(AL77=-1,-1,AL77+1))))</f>
        <v>2</v>
      </c>
      <c r="AN77" s="16">
        <f>IF(OR(T77=regle!$J$11,T77=regle!$K$11),-2,IF(T77=regle!$B$11,0,IF(AN$1=$AK$1,IF($O77,-1,regle!$B$2-$M77),IF(AM77=-1,-1,AM77+1))))</f>
        <v>3</v>
      </c>
      <c r="AO77" s="16">
        <f>IF(OR(U77=regle!$J$11,U77=regle!$K$11),-2,IF(U77=regle!$B$11,0,IF(AO$1=$AK$1,IF($O77,-1,regle!$B$2-$M77),IF(AN77=-1,-1,AN77+1))))</f>
        <v>4</v>
      </c>
      <c r="AP77" s="16">
        <f>IF(OR(V77=regle!$J$11,V77=regle!$K$11),-2,IF(V77=regle!$B$11,0,IF(AP$1=$AK$1,IF($O77,-1,regle!$B$2-$M77),IF(AO77=-1,-1,AO77+1))))</f>
        <v>5</v>
      </c>
      <c r="AQ77" s="16">
        <f>IF(OR(W77=regle!$J$11,W77=regle!$K$11),-2,IF(W77=regle!$B$11,0,IF(AQ$1=$AK$1,IF($O77,-1,regle!$B$2-$M77),IF(AP77=-1,-1,AP77+1))))</f>
        <v>6</v>
      </c>
      <c r="AR77" s="16">
        <f>IF(OR(X77=regle!$J$11,X77=regle!$K$11),-2,IF(X77=regle!$B$11,0,IF(AR$1=$AK$1,IF($O77,-1,regle!$B$2-$M77),IF(AQ77=-1,-1,AQ77+1))))</f>
        <v>7</v>
      </c>
      <c r="AS77" s="16">
        <f>IF(OR(Y77=regle!$J$11,Y77=regle!$K$11),-2,IF(Y77=regle!$B$11,0,IF(AS$1=$AK$1,IF($O77,-1,regle!$B$2-$M77),IF(AR77=-1,-1,AR77+1))))</f>
        <v>8</v>
      </c>
      <c r="AT77" s="16">
        <f>IF(OR(Z77=regle!$J$11,Z77=regle!$K$11),-2,IF(Z77=regle!$B$11,0,IF(AT$1=$AK$1,IF($O77,-1,regle!$B$2-$M77),IF(AS77=-1,-1,AS77+1))))</f>
        <v>9</v>
      </c>
    </row>
    <row r="78" spans="1:46" x14ac:dyDescent="0.25">
      <c r="A78" t="b">
        <f>modif1!A78</f>
        <v>1</v>
      </c>
      <c r="B78">
        <f>ROW(modif1!B78)</f>
        <v>78</v>
      </c>
      <c r="C78" t="str">
        <f>modif1!C81</f>
        <v>171</v>
      </c>
      <c r="D78" t="str">
        <f>modif1!D78</f>
        <v>MOUSTEY</v>
      </c>
      <c r="E78">
        <f>modif1!E78</f>
        <v>5</v>
      </c>
      <c r="F78" t="str">
        <f>modif1!F78</f>
        <v>Plata</v>
      </c>
      <c r="G78" t="str">
        <f>modif1!G78</f>
        <v>0M</v>
      </c>
      <c r="H78">
        <f>modif1!H78</f>
        <v>21</v>
      </c>
      <c r="I78" t="str">
        <f>modif1!I78</f>
        <v>a</v>
      </c>
      <c r="J78" s="11">
        <f>modif1!J78</f>
        <v>0.22989999999999999</v>
      </c>
      <c r="K78" t="str">
        <f>modif1!K78</f>
        <v>CR</v>
      </c>
      <c r="L78" t="str">
        <f>modif1!L78</f>
        <v>PM</v>
      </c>
      <c r="M78">
        <f>modif1!M78</f>
        <v>2022</v>
      </c>
      <c r="N78" t="str">
        <f>modif1!N78</f>
        <v>CR-PM_2022</v>
      </c>
      <c r="O78" t="b">
        <f>modif1!O78</f>
        <v>1</v>
      </c>
      <c r="P78">
        <v>40</v>
      </c>
      <c r="Q78" t="s">
        <v>1868</v>
      </c>
      <c r="S78" t="s">
        <v>1872</v>
      </c>
      <c r="U78" t="s">
        <v>1870</v>
      </c>
      <c r="X78" t="s">
        <v>1871</v>
      </c>
      <c r="Z78"/>
      <c r="AA78" s="17">
        <f>IF($A78,$J78*(IF(Q78=regle!$B$11,regle!$B$23*IF(AJ78=-2,1+regle!$B$35,1),
IF(Q78=regle!$C$11,regle!$C$23,
IF(Q78=regle!$D$11,regle!$D$23,
IF(Q78=regle!$E$11,regle!$E$23,
IF(Q78=regle!$F$11,regle!$F$23,
IF(Q78=regle!$G$11,regle!$G$23,
IF(Q78=regle!$H$11,regle!$H$23,
IF(Q78=regle!$I$11,regle!$I$23,
IF(Q78=regle!$J$11,regle!$J$23,
IF(Q78=regle!$K$11,regle!$K$23,0))))))))))))</f>
        <v>-390.83</v>
      </c>
      <c r="AB78" s="17">
        <f>IF($A78,$J78*(IF(R78=regle!$B$11,regle!$B$23*IF(AK78=-2,1+regle!$B$35,1),
IF(R78=regle!$C$11,regle!$C$23,
IF(R78=regle!$D$11,regle!$D$23,
IF(R78=regle!$E$11,regle!$E$23,
IF(R78=regle!$F$11,regle!$F$23,
IF(R78=regle!$G$11,regle!$G$23,
IF(R78=regle!$H$11,regle!$H$23,
IF(R78=regle!$I$11,regle!$I$23,
IF(R78=regle!$J$11,regle!$J$23,
IF(R78=regle!$K$11,regle!$K$23,0))))))))))))</f>
        <v>0</v>
      </c>
      <c r="AC78" s="17">
        <f>IF($A78,$J78*(IF(S78=regle!$B$11,regle!$B$23*IF(AL78=-2,1+regle!$B$35,1),
IF(S78=regle!$C$11,regle!$C$23,
IF(S78=regle!$D$11,regle!$D$23,
IF(S78=regle!$E$11,regle!$E$23,
IF(S78=regle!$F$11,regle!$F$23,
IF(S78=regle!$G$11,regle!$G$23,
IF(S78=regle!$H$11,regle!$H$23,
IF(S78=regle!$I$11,regle!$I$23,
IF(S78=regle!$J$11,regle!$J$23,
IF(S78=regle!$K$11,regle!$K$23,0))))))))))))</f>
        <v>-17.2425</v>
      </c>
      <c r="AD78" s="17">
        <f>IF($A78,$J78*(IF(T78=regle!$B$11,regle!$B$23*IF(AM78=-2,1+regle!$B$35,1),
IF(T78=regle!$C$11,regle!$C$23,
IF(T78=regle!$D$11,regle!$D$23,
IF(T78=regle!$E$11,regle!$E$23,
IF(T78=regle!$F$11,regle!$F$23,
IF(T78=regle!$G$11,regle!$G$23,
IF(T78=regle!$H$11,regle!$H$23,
IF(T78=regle!$I$11,regle!$I$23,
IF(T78=regle!$J$11,regle!$J$23,
IF(T78=regle!$K$11,regle!$K$23,0))))))))))))</f>
        <v>0</v>
      </c>
      <c r="AE78" s="17">
        <f>IF($A78,$J78*(IF(U78=regle!$B$11,regle!$B$23*IF(AN78=-2,1+regle!$B$35,1),
IF(U78=regle!$C$11,regle!$C$23,
IF(U78=regle!$D$11,regle!$D$23,
IF(U78=regle!$E$11,regle!$E$23,
IF(U78=regle!$F$11,regle!$F$23,
IF(U78=regle!$G$11,regle!$G$23,
IF(U78=regle!$H$11,regle!$H$23,
IF(U78=regle!$I$11,regle!$I$23,
IF(U78=regle!$J$11,regle!$J$23,
IF(U78=regle!$K$11,regle!$K$23,0))))))))))))</f>
        <v>-20.690999999999999</v>
      </c>
      <c r="AF78" s="17">
        <f>IF($A78,$J78*(IF(V78=regle!$B$11,regle!$B$23*IF(AO78=-2,1+regle!$B$35,1),
IF(V78=regle!$C$11,regle!$C$23,
IF(V78=regle!$D$11,regle!$D$23,
IF(V78=regle!$E$11,regle!$E$23,
IF(V78=regle!$F$11,regle!$F$23,
IF(V78=regle!$G$11,regle!$G$23,
IF(V78=regle!$H$11,regle!$H$23,
IF(V78=regle!$I$11,regle!$I$23,
IF(V78=regle!$J$11,regle!$J$23,
IF(V78=regle!$K$11,regle!$K$23,0))))))))))))</f>
        <v>0</v>
      </c>
      <c r="AG78" s="17">
        <f>IF($A78,$J78*(IF(W78=regle!$B$11,regle!$B$23*IF(AP78=-2,1+regle!$B$35,1),
IF(W78=regle!$C$11,regle!$C$23,
IF(W78=regle!$D$11,regle!$D$23,
IF(W78=regle!$E$11,regle!$E$23,
IF(W78=regle!$F$11,regle!$F$23,
IF(W78=regle!$G$11,regle!$G$23,
IF(W78=regle!$H$11,regle!$H$23,
IF(W78=regle!$I$11,regle!$I$23,
IF(W78=regle!$J$11,regle!$J$23,
IF(W78=regle!$K$11,regle!$K$23,0))))))))))))</f>
        <v>0</v>
      </c>
      <c r="AH78" s="17">
        <f>IF($A78,$J78*(IF(X78=regle!$B$11,regle!$B$23*IF(AQ78=-2,1+regle!$B$35,1),
IF(X78=regle!$C$11,regle!$C$23,
IF(X78=regle!$D$11,regle!$D$23,
IF(X78=regle!$E$11,regle!$E$23,
IF(X78=regle!$F$11,regle!$F$23,
IF(X78=regle!$G$11,regle!$G$23,
IF(X78=regle!$H$11,regle!$H$23,
IF(X78=regle!$I$11,regle!$I$23,
IF(X78=regle!$J$11,regle!$J$23,
IF(X78=regle!$K$11,regle!$K$23,0))))))))))))</f>
        <v>-20.690999999999999</v>
      </c>
      <c r="AI78" s="17">
        <f>IF($A78,$J78*(IF(Y78=regle!$B$11,regle!$B$23*IF(AR78=-2,1+regle!$B$35,1),
IF(Y78=regle!$C$11,regle!$C$23,
IF(Y78=regle!$D$11,regle!$D$23,
IF(Y78=regle!$E$11,regle!$E$23,
IF(Y78=regle!$F$11,regle!$F$23,
IF(Y78=regle!$G$11,regle!$G$23,
IF(Y78=regle!$H$11,regle!$H$23,
IF(Y78=regle!$I$11,regle!$I$23,
IF(Y78=regle!$J$11,regle!$J$23,
IF(Y78=regle!$K$11,regle!$K$23,0))))))))))))</f>
        <v>0</v>
      </c>
      <c r="AJ78" s="17">
        <f>IF($A78,$J78*(IF(Z78=regle!$B$11,regle!$B$23*IF(AS78=-2,1+regle!$B$35,1),
IF(Z78=regle!$C$11,regle!$C$23,
IF(Z78=regle!$D$11,regle!$D$23,
IF(Z78=regle!$E$11,regle!$E$23,
IF(Z78=regle!$F$11,regle!$F$23,
IF(Z78=regle!$G$11,regle!$G$23,
IF(Z78=regle!$H$11,regle!$H$23,
IF(Z78=regle!$I$11,regle!$I$23,
IF(Z78=regle!$J$11,regle!$J$23,
IF(Z78=regle!$K$11,regle!$K$23,0))))))))))))</f>
        <v>0</v>
      </c>
      <c r="AK78" s="16">
        <f>IF(OR(Q78=regle!$J$11,Q78=regle!$K$11),-2,IF(Q78=regle!$B$11,0,IF(AK$1=$AK$1,IF($O78,-1,regle!$B$2-$M78),IF(AJ78=-1,-1,AJ78+1))))</f>
        <v>0</v>
      </c>
      <c r="AL78" s="16">
        <f>IF(OR(R78=regle!$J$11,R78=regle!$K$11),-2,IF(R78=regle!$B$11,0,IF(AL$1=$AK$1,IF($O78,-1,regle!$B$2-$M78),IF(AK78=-1,-1,AK78+1))))</f>
        <v>1</v>
      </c>
      <c r="AM78" s="16">
        <f>IF(OR(S78=regle!$J$11,S78=regle!$K$11),-2,IF(S78=regle!$B$11,0,IF(AM$1=$AK$1,IF($O78,-1,regle!$B$2-$M78),IF(AL78=-1,-1,AL78+1))))</f>
        <v>2</v>
      </c>
      <c r="AN78" s="16">
        <f>IF(OR(T78=regle!$J$11,T78=regle!$K$11),-2,IF(T78=regle!$B$11,0,IF(AN$1=$AK$1,IF($O78,-1,regle!$B$2-$M78),IF(AM78=-1,-1,AM78+1))))</f>
        <v>3</v>
      </c>
      <c r="AO78" s="16">
        <f>IF(OR(U78=regle!$J$11,U78=regle!$K$11),-2,IF(U78=regle!$B$11,0,IF(AO$1=$AK$1,IF($O78,-1,regle!$B$2-$M78),IF(AN78=-1,-1,AN78+1))))</f>
        <v>4</v>
      </c>
      <c r="AP78" s="16">
        <f>IF(OR(V78=regle!$J$11,V78=regle!$K$11),-2,IF(V78=regle!$B$11,0,IF(AP$1=$AK$1,IF($O78,-1,regle!$B$2-$M78),IF(AO78=-1,-1,AO78+1))))</f>
        <v>5</v>
      </c>
      <c r="AQ78" s="16">
        <f>IF(OR(W78=regle!$J$11,W78=regle!$K$11),-2,IF(W78=regle!$B$11,0,IF(AQ$1=$AK$1,IF($O78,-1,regle!$B$2-$M78),IF(AP78=-1,-1,AP78+1))))</f>
        <v>6</v>
      </c>
      <c r="AR78" s="16">
        <f>IF(OR(X78=regle!$J$11,X78=regle!$K$11),-2,IF(X78=regle!$B$11,0,IF(AR$1=$AK$1,IF($O78,-1,regle!$B$2-$M78),IF(AQ78=-1,-1,AQ78+1))))</f>
        <v>7</v>
      </c>
      <c r="AS78" s="16">
        <f>IF(OR(Y78=regle!$J$11,Y78=regle!$K$11),-2,IF(Y78=regle!$B$11,0,IF(AS$1=$AK$1,IF($O78,-1,regle!$B$2-$M78),IF(AR78=-1,-1,AR78+1))))</f>
        <v>8</v>
      </c>
      <c r="AT78" s="16">
        <f>IF(OR(Z78=regle!$J$11,Z78=regle!$K$11),-2,IF(Z78=regle!$B$11,0,IF(AT$1=$AK$1,IF($O78,-1,regle!$B$2-$M78),IF(AS78=-1,-1,AS78+1))))</f>
        <v>9</v>
      </c>
    </row>
    <row r="79" spans="1:46" x14ac:dyDescent="0.25">
      <c r="A79" t="b">
        <f>modif1!A79</f>
        <v>1</v>
      </c>
      <c r="B79">
        <f>ROW(modif1!B79)</f>
        <v>79</v>
      </c>
      <c r="C79" t="str">
        <f>modif1!C82</f>
        <v>171</v>
      </c>
      <c r="D79" t="str">
        <f>modif1!D79</f>
        <v>LE TUZAN</v>
      </c>
      <c r="E79">
        <f>modif1!E79</f>
        <v>21</v>
      </c>
      <c r="F79" t="str">
        <f>modif1!F79</f>
        <v>METAIRIES DE TABARTON</v>
      </c>
      <c r="G79" t="str">
        <f>modif1!G79</f>
        <v>0A</v>
      </c>
      <c r="H79">
        <f>modif1!H79</f>
        <v>462</v>
      </c>
      <c r="I79" t="str">
        <f>modif1!I79</f>
        <v>ak</v>
      </c>
      <c r="J79" s="11">
        <f>modif1!J79</f>
        <v>0.1542</v>
      </c>
      <c r="K79" t="str">
        <f>modif1!K79</f>
        <v>CR</v>
      </c>
      <c r="L79" t="str">
        <f>modif1!L79</f>
        <v>PM</v>
      </c>
      <c r="M79">
        <f>modif1!M79</f>
        <v>2022</v>
      </c>
      <c r="N79" t="str">
        <f>modif1!N79</f>
        <v>CR-PM_2022</v>
      </c>
      <c r="O79" t="b">
        <f>modif1!O79</f>
        <v>1</v>
      </c>
      <c r="P79">
        <v>40</v>
      </c>
      <c r="Q79" t="s">
        <v>1868</v>
      </c>
      <c r="S79" t="s">
        <v>1872</v>
      </c>
      <c r="U79" t="s">
        <v>1870</v>
      </c>
      <c r="X79" t="s">
        <v>1871</v>
      </c>
      <c r="Z79"/>
      <c r="AA79" s="17">
        <f>IF($A79,$J79*(IF(Q79=regle!$B$11,regle!$B$23*IF(AJ79=-2,1+regle!$B$35,1),
IF(Q79=regle!$C$11,regle!$C$23,
IF(Q79=regle!$D$11,regle!$D$23,
IF(Q79=regle!$E$11,regle!$E$23,
IF(Q79=regle!$F$11,regle!$F$23,
IF(Q79=regle!$G$11,regle!$G$23,
IF(Q79=regle!$H$11,regle!$H$23,
IF(Q79=regle!$I$11,regle!$I$23,
IF(Q79=regle!$J$11,regle!$J$23,
IF(Q79=regle!$K$11,regle!$K$23,0))))))))))))</f>
        <v>-262.14</v>
      </c>
      <c r="AB79" s="17">
        <f>IF($A79,$J79*(IF(R79=regle!$B$11,regle!$B$23*IF(AK79=-2,1+regle!$B$35,1),
IF(R79=regle!$C$11,regle!$C$23,
IF(R79=regle!$D$11,regle!$D$23,
IF(R79=regle!$E$11,regle!$E$23,
IF(R79=regle!$F$11,regle!$F$23,
IF(R79=regle!$G$11,regle!$G$23,
IF(R79=regle!$H$11,regle!$H$23,
IF(R79=regle!$I$11,regle!$I$23,
IF(R79=regle!$J$11,regle!$J$23,
IF(R79=regle!$K$11,regle!$K$23,0))))))))))))</f>
        <v>0</v>
      </c>
      <c r="AC79" s="17">
        <f>IF($A79,$J79*(IF(S79=regle!$B$11,regle!$B$23*IF(AL79=-2,1+regle!$B$35,1),
IF(S79=regle!$C$11,regle!$C$23,
IF(S79=regle!$D$11,regle!$D$23,
IF(S79=regle!$E$11,regle!$E$23,
IF(S79=regle!$F$11,regle!$F$23,
IF(S79=regle!$G$11,regle!$G$23,
IF(S79=regle!$H$11,regle!$H$23,
IF(S79=regle!$I$11,regle!$I$23,
IF(S79=regle!$J$11,regle!$J$23,
IF(S79=regle!$K$11,regle!$K$23,0))))))))))))</f>
        <v>-11.565</v>
      </c>
      <c r="AD79" s="17">
        <f>IF($A79,$J79*(IF(T79=regle!$B$11,regle!$B$23*IF(AM79=-2,1+regle!$B$35,1),
IF(T79=regle!$C$11,regle!$C$23,
IF(T79=regle!$D$11,regle!$D$23,
IF(T79=regle!$E$11,regle!$E$23,
IF(T79=regle!$F$11,regle!$F$23,
IF(T79=regle!$G$11,regle!$G$23,
IF(T79=regle!$H$11,regle!$H$23,
IF(T79=regle!$I$11,regle!$I$23,
IF(T79=regle!$J$11,regle!$J$23,
IF(T79=regle!$K$11,regle!$K$23,0))))))))))))</f>
        <v>0</v>
      </c>
      <c r="AE79" s="17">
        <f>IF($A79,$J79*(IF(U79=regle!$B$11,regle!$B$23*IF(AN79=-2,1+regle!$B$35,1),
IF(U79=regle!$C$11,regle!$C$23,
IF(U79=regle!$D$11,regle!$D$23,
IF(U79=regle!$E$11,regle!$E$23,
IF(U79=regle!$F$11,regle!$F$23,
IF(U79=regle!$G$11,regle!$G$23,
IF(U79=regle!$H$11,regle!$H$23,
IF(U79=regle!$I$11,regle!$I$23,
IF(U79=regle!$J$11,regle!$J$23,
IF(U79=regle!$K$11,regle!$K$23,0))))))))))))</f>
        <v>-13.878</v>
      </c>
      <c r="AF79" s="17">
        <f>IF($A79,$J79*(IF(V79=regle!$B$11,regle!$B$23*IF(AO79=-2,1+regle!$B$35,1),
IF(V79=regle!$C$11,regle!$C$23,
IF(V79=regle!$D$11,regle!$D$23,
IF(V79=regle!$E$11,regle!$E$23,
IF(V79=regle!$F$11,regle!$F$23,
IF(V79=regle!$G$11,regle!$G$23,
IF(V79=regle!$H$11,regle!$H$23,
IF(V79=regle!$I$11,regle!$I$23,
IF(V79=regle!$J$11,regle!$J$23,
IF(V79=regle!$K$11,regle!$K$23,0))))))))))))</f>
        <v>0</v>
      </c>
      <c r="AG79" s="17">
        <f>IF($A79,$J79*(IF(W79=regle!$B$11,regle!$B$23*IF(AP79=-2,1+regle!$B$35,1),
IF(W79=regle!$C$11,regle!$C$23,
IF(W79=regle!$D$11,regle!$D$23,
IF(W79=regle!$E$11,regle!$E$23,
IF(W79=regle!$F$11,regle!$F$23,
IF(W79=regle!$G$11,regle!$G$23,
IF(W79=regle!$H$11,regle!$H$23,
IF(W79=regle!$I$11,regle!$I$23,
IF(W79=regle!$J$11,regle!$J$23,
IF(W79=regle!$K$11,regle!$K$23,0))))))))))))</f>
        <v>0</v>
      </c>
      <c r="AH79" s="17">
        <f>IF($A79,$J79*(IF(X79=regle!$B$11,regle!$B$23*IF(AQ79=-2,1+regle!$B$35,1),
IF(X79=regle!$C$11,regle!$C$23,
IF(X79=regle!$D$11,regle!$D$23,
IF(X79=regle!$E$11,regle!$E$23,
IF(X79=regle!$F$11,regle!$F$23,
IF(X79=regle!$G$11,regle!$G$23,
IF(X79=regle!$H$11,regle!$H$23,
IF(X79=regle!$I$11,regle!$I$23,
IF(X79=regle!$J$11,regle!$J$23,
IF(X79=regle!$K$11,regle!$K$23,0))))))))))))</f>
        <v>-13.878</v>
      </c>
      <c r="AI79" s="17">
        <f>IF($A79,$J79*(IF(Y79=regle!$B$11,regle!$B$23*IF(AR79=-2,1+regle!$B$35,1),
IF(Y79=regle!$C$11,regle!$C$23,
IF(Y79=regle!$D$11,regle!$D$23,
IF(Y79=regle!$E$11,regle!$E$23,
IF(Y79=regle!$F$11,regle!$F$23,
IF(Y79=regle!$G$11,regle!$G$23,
IF(Y79=regle!$H$11,regle!$H$23,
IF(Y79=regle!$I$11,regle!$I$23,
IF(Y79=regle!$J$11,regle!$J$23,
IF(Y79=regle!$K$11,regle!$K$23,0))))))))))))</f>
        <v>0</v>
      </c>
      <c r="AJ79" s="17">
        <f>IF($A79,$J79*(IF(Z79=regle!$B$11,regle!$B$23*IF(AS79=-2,1+regle!$B$35,1),
IF(Z79=regle!$C$11,regle!$C$23,
IF(Z79=regle!$D$11,regle!$D$23,
IF(Z79=regle!$E$11,regle!$E$23,
IF(Z79=regle!$F$11,regle!$F$23,
IF(Z79=regle!$G$11,regle!$G$23,
IF(Z79=regle!$H$11,regle!$H$23,
IF(Z79=regle!$I$11,regle!$I$23,
IF(Z79=regle!$J$11,regle!$J$23,
IF(Z79=regle!$K$11,regle!$K$23,0))))))))))))</f>
        <v>0</v>
      </c>
      <c r="AK79" s="16">
        <f>IF(OR(Q79=regle!$J$11,Q79=regle!$K$11),-2,IF(Q79=regle!$B$11,0,IF(AK$1=$AK$1,IF($O79,-1,regle!$B$2-$M79),IF(AJ79=-1,-1,AJ79+1))))</f>
        <v>0</v>
      </c>
      <c r="AL79" s="16">
        <f>IF(OR(R79=regle!$J$11,R79=regle!$K$11),-2,IF(R79=regle!$B$11,0,IF(AL$1=$AK$1,IF($O79,-1,regle!$B$2-$M79),IF(AK79=-1,-1,AK79+1))))</f>
        <v>1</v>
      </c>
      <c r="AM79" s="16">
        <f>IF(OR(S79=regle!$J$11,S79=regle!$K$11),-2,IF(S79=regle!$B$11,0,IF(AM$1=$AK$1,IF($O79,-1,regle!$B$2-$M79),IF(AL79=-1,-1,AL79+1))))</f>
        <v>2</v>
      </c>
      <c r="AN79" s="16">
        <f>IF(OR(T79=regle!$J$11,T79=regle!$K$11),-2,IF(T79=regle!$B$11,0,IF(AN$1=$AK$1,IF($O79,-1,regle!$B$2-$M79),IF(AM79=-1,-1,AM79+1))))</f>
        <v>3</v>
      </c>
      <c r="AO79" s="16">
        <f>IF(OR(U79=regle!$J$11,U79=regle!$K$11),-2,IF(U79=regle!$B$11,0,IF(AO$1=$AK$1,IF($O79,-1,regle!$B$2-$M79),IF(AN79=-1,-1,AN79+1))))</f>
        <v>4</v>
      </c>
      <c r="AP79" s="16">
        <f>IF(OR(V79=regle!$J$11,V79=regle!$K$11),-2,IF(V79=regle!$B$11,0,IF(AP$1=$AK$1,IF($O79,-1,regle!$B$2-$M79),IF(AO79=-1,-1,AO79+1))))</f>
        <v>5</v>
      </c>
      <c r="AQ79" s="16">
        <f>IF(OR(W79=regle!$J$11,W79=regle!$K$11),-2,IF(W79=regle!$B$11,0,IF(AQ$1=$AK$1,IF($O79,-1,regle!$B$2-$M79),IF(AP79=-1,-1,AP79+1))))</f>
        <v>6</v>
      </c>
      <c r="AR79" s="16">
        <f>IF(OR(X79=regle!$J$11,X79=regle!$K$11),-2,IF(X79=regle!$B$11,0,IF(AR$1=$AK$1,IF($O79,-1,regle!$B$2-$M79),IF(AQ79=-1,-1,AQ79+1))))</f>
        <v>7</v>
      </c>
      <c r="AS79" s="16">
        <f>IF(OR(Y79=regle!$J$11,Y79=regle!$K$11),-2,IF(Y79=regle!$B$11,0,IF(AS$1=$AK$1,IF($O79,-1,regle!$B$2-$M79),IF(AR79=-1,-1,AR79+1))))</f>
        <v>8</v>
      </c>
      <c r="AT79" s="16">
        <f>IF(OR(Z79=regle!$J$11,Z79=regle!$K$11),-2,IF(Z79=regle!$B$11,0,IF(AT$1=$AK$1,IF($O79,-1,regle!$B$2-$M79),IF(AS79=-1,-1,AS79+1))))</f>
        <v>9</v>
      </c>
    </row>
    <row r="80" spans="1:46" x14ac:dyDescent="0.25">
      <c r="A80" t="b">
        <f>modif1!A80</f>
        <v>1</v>
      </c>
      <c r="B80">
        <f>ROW(modif1!B80)</f>
        <v>80</v>
      </c>
      <c r="C80" t="str">
        <f>modif1!C83</f>
        <v>171</v>
      </c>
      <c r="D80" t="str">
        <f>modif1!D80</f>
        <v>MOUSTEY</v>
      </c>
      <c r="E80">
        <f>modif1!E80</f>
        <v>9</v>
      </c>
      <c r="F80" t="str">
        <f>modif1!F80</f>
        <v>Peyroulet</v>
      </c>
      <c r="G80" t="str">
        <f>modif1!G80</f>
        <v>0N</v>
      </c>
      <c r="H80">
        <f>modif1!H80</f>
        <v>180</v>
      </c>
      <c r="I80" t="str">
        <f>modif1!I80</f>
        <v/>
      </c>
      <c r="J80" s="11">
        <f>modif1!J80</f>
        <v>0.14399999999999999</v>
      </c>
      <c r="K80" t="str">
        <f>modif1!K80</f>
        <v>CR</v>
      </c>
      <c r="L80" t="str">
        <f>modif1!L80</f>
        <v>PM</v>
      </c>
      <c r="M80">
        <f>modif1!M80</f>
        <v>2022</v>
      </c>
      <c r="N80" t="str">
        <f>modif1!N80</f>
        <v>CR-PM_2022</v>
      </c>
      <c r="O80" t="b">
        <f>modif1!O80</f>
        <v>1</v>
      </c>
      <c r="P80">
        <v>40</v>
      </c>
      <c r="Q80" t="s">
        <v>1868</v>
      </c>
      <c r="S80" t="s">
        <v>1872</v>
      </c>
      <c r="U80" t="s">
        <v>1870</v>
      </c>
      <c r="X80" t="s">
        <v>1871</v>
      </c>
      <c r="Z80"/>
      <c r="AA80" s="17">
        <f>IF($A80,$J80*(IF(Q80=regle!$B$11,regle!$B$23*IF(AJ80=-2,1+regle!$B$35,1),
IF(Q80=regle!$C$11,regle!$C$23,
IF(Q80=regle!$D$11,regle!$D$23,
IF(Q80=regle!$E$11,regle!$E$23,
IF(Q80=regle!$F$11,regle!$F$23,
IF(Q80=regle!$G$11,regle!$G$23,
IF(Q80=regle!$H$11,regle!$H$23,
IF(Q80=regle!$I$11,regle!$I$23,
IF(Q80=regle!$J$11,regle!$J$23,
IF(Q80=regle!$K$11,regle!$K$23,0))))))))))))</f>
        <v>-244.79999999999998</v>
      </c>
      <c r="AB80" s="17">
        <f>IF($A80,$J80*(IF(R80=regle!$B$11,regle!$B$23*IF(AK80=-2,1+regle!$B$35,1),
IF(R80=regle!$C$11,regle!$C$23,
IF(R80=regle!$D$11,regle!$D$23,
IF(R80=regle!$E$11,regle!$E$23,
IF(R80=regle!$F$11,regle!$F$23,
IF(R80=regle!$G$11,regle!$G$23,
IF(R80=regle!$H$11,regle!$H$23,
IF(R80=regle!$I$11,regle!$I$23,
IF(R80=regle!$J$11,regle!$J$23,
IF(R80=regle!$K$11,regle!$K$23,0))))))))))))</f>
        <v>0</v>
      </c>
      <c r="AC80" s="17">
        <f>IF($A80,$J80*(IF(S80=regle!$B$11,regle!$B$23*IF(AL80=-2,1+regle!$B$35,1),
IF(S80=regle!$C$11,regle!$C$23,
IF(S80=regle!$D$11,regle!$D$23,
IF(S80=regle!$E$11,regle!$E$23,
IF(S80=regle!$F$11,regle!$F$23,
IF(S80=regle!$G$11,regle!$G$23,
IF(S80=regle!$H$11,regle!$H$23,
IF(S80=regle!$I$11,regle!$I$23,
IF(S80=regle!$J$11,regle!$J$23,
IF(S80=regle!$K$11,regle!$K$23,0))))))))))))</f>
        <v>-10.799999999999999</v>
      </c>
      <c r="AD80" s="17">
        <f>IF($A80,$J80*(IF(T80=regle!$B$11,regle!$B$23*IF(AM80=-2,1+regle!$B$35,1),
IF(T80=regle!$C$11,regle!$C$23,
IF(T80=regle!$D$11,regle!$D$23,
IF(T80=regle!$E$11,regle!$E$23,
IF(T80=regle!$F$11,regle!$F$23,
IF(T80=regle!$G$11,regle!$G$23,
IF(T80=regle!$H$11,regle!$H$23,
IF(T80=regle!$I$11,regle!$I$23,
IF(T80=regle!$J$11,regle!$J$23,
IF(T80=regle!$K$11,regle!$K$23,0))))))))))))</f>
        <v>0</v>
      </c>
      <c r="AE80" s="17">
        <f>IF($A80,$J80*(IF(U80=regle!$B$11,regle!$B$23*IF(AN80=-2,1+regle!$B$35,1),
IF(U80=regle!$C$11,regle!$C$23,
IF(U80=regle!$D$11,regle!$D$23,
IF(U80=regle!$E$11,regle!$E$23,
IF(U80=regle!$F$11,regle!$F$23,
IF(U80=regle!$G$11,regle!$G$23,
IF(U80=regle!$H$11,regle!$H$23,
IF(U80=regle!$I$11,regle!$I$23,
IF(U80=regle!$J$11,regle!$J$23,
IF(U80=regle!$K$11,regle!$K$23,0))))))))))))</f>
        <v>-12.959999999999999</v>
      </c>
      <c r="AF80" s="17">
        <f>IF($A80,$J80*(IF(V80=regle!$B$11,regle!$B$23*IF(AO80=-2,1+regle!$B$35,1),
IF(V80=regle!$C$11,regle!$C$23,
IF(V80=regle!$D$11,regle!$D$23,
IF(V80=regle!$E$11,regle!$E$23,
IF(V80=regle!$F$11,regle!$F$23,
IF(V80=regle!$G$11,regle!$G$23,
IF(V80=regle!$H$11,regle!$H$23,
IF(V80=regle!$I$11,regle!$I$23,
IF(V80=regle!$J$11,regle!$J$23,
IF(V80=regle!$K$11,regle!$K$23,0))))))))))))</f>
        <v>0</v>
      </c>
      <c r="AG80" s="17">
        <f>IF($A80,$J80*(IF(W80=regle!$B$11,regle!$B$23*IF(AP80=-2,1+regle!$B$35,1),
IF(W80=regle!$C$11,regle!$C$23,
IF(W80=regle!$D$11,regle!$D$23,
IF(W80=regle!$E$11,regle!$E$23,
IF(W80=regle!$F$11,regle!$F$23,
IF(W80=regle!$G$11,regle!$G$23,
IF(W80=regle!$H$11,regle!$H$23,
IF(W80=regle!$I$11,regle!$I$23,
IF(W80=regle!$J$11,regle!$J$23,
IF(W80=regle!$K$11,regle!$K$23,0))))))))))))</f>
        <v>0</v>
      </c>
      <c r="AH80" s="17">
        <f>IF($A80,$J80*(IF(X80=regle!$B$11,regle!$B$23*IF(AQ80=-2,1+regle!$B$35,1),
IF(X80=regle!$C$11,regle!$C$23,
IF(X80=regle!$D$11,regle!$D$23,
IF(X80=regle!$E$11,regle!$E$23,
IF(X80=regle!$F$11,regle!$F$23,
IF(X80=regle!$G$11,regle!$G$23,
IF(X80=regle!$H$11,regle!$H$23,
IF(X80=regle!$I$11,regle!$I$23,
IF(X80=regle!$J$11,regle!$J$23,
IF(X80=regle!$K$11,regle!$K$23,0))))))))))))</f>
        <v>-12.959999999999999</v>
      </c>
      <c r="AI80" s="17">
        <f>IF($A80,$J80*(IF(Y80=regle!$B$11,regle!$B$23*IF(AR80=-2,1+regle!$B$35,1),
IF(Y80=regle!$C$11,regle!$C$23,
IF(Y80=regle!$D$11,regle!$D$23,
IF(Y80=regle!$E$11,regle!$E$23,
IF(Y80=regle!$F$11,regle!$F$23,
IF(Y80=regle!$G$11,regle!$G$23,
IF(Y80=regle!$H$11,regle!$H$23,
IF(Y80=regle!$I$11,regle!$I$23,
IF(Y80=regle!$J$11,regle!$J$23,
IF(Y80=regle!$K$11,regle!$K$23,0))))))))))))</f>
        <v>0</v>
      </c>
      <c r="AJ80" s="17">
        <f>IF($A80,$J80*(IF(Z80=regle!$B$11,regle!$B$23*IF(AS80=-2,1+regle!$B$35,1),
IF(Z80=regle!$C$11,regle!$C$23,
IF(Z80=regle!$D$11,regle!$D$23,
IF(Z80=regle!$E$11,regle!$E$23,
IF(Z80=regle!$F$11,regle!$F$23,
IF(Z80=regle!$G$11,regle!$G$23,
IF(Z80=regle!$H$11,regle!$H$23,
IF(Z80=regle!$I$11,regle!$I$23,
IF(Z80=regle!$J$11,regle!$J$23,
IF(Z80=regle!$K$11,regle!$K$23,0))))))))))))</f>
        <v>0</v>
      </c>
      <c r="AK80" s="16">
        <f>IF(OR(Q80=regle!$J$11,Q80=regle!$K$11),-2,IF(Q80=regle!$B$11,0,IF(AK$1=$AK$1,IF($O80,-1,regle!$B$2-$M80),IF(AJ80=-1,-1,AJ80+1))))</f>
        <v>0</v>
      </c>
      <c r="AL80" s="16">
        <f>IF(OR(R80=regle!$J$11,R80=regle!$K$11),-2,IF(R80=regle!$B$11,0,IF(AL$1=$AK$1,IF($O80,-1,regle!$B$2-$M80),IF(AK80=-1,-1,AK80+1))))</f>
        <v>1</v>
      </c>
      <c r="AM80" s="16">
        <f>IF(OR(S80=regle!$J$11,S80=regle!$K$11),-2,IF(S80=regle!$B$11,0,IF(AM$1=$AK$1,IF($O80,-1,regle!$B$2-$M80),IF(AL80=-1,-1,AL80+1))))</f>
        <v>2</v>
      </c>
      <c r="AN80" s="16">
        <f>IF(OR(T80=regle!$J$11,T80=regle!$K$11),-2,IF(T80=regle!$B$11,0,IF(AN$1=$AK$1,IF($O80,-1,regle!$B$2-$M80),IF(AM80=-1,-1,AM80+1))))</f>
        <v>3</v>
      </c>
      <c r="AO80" s="16">
        <f>IF(OR(U80=regle!$J$11,U80=regle!$K$11),-2,IF(U80=regle!$B$11,0,IF(AO$1=$AK$1,IF($O80,-1,regle!$B$2-$M80),IF(AN80=-1,-1,AN80+1))))</f>
        <v>4</v>
      </c>
      <c r="AP80" s="16">
        <f>IF(OR(V80=regle!$J$11,V80=regle!$K$11),-2,IF(V80=regle!$B$11,0,IF(AP$1=$AK$1,IF($O80,-1,regle!$B$2-$M80),IF(AO80=-1,-1,AO80+1))))</f>
        <v>5</v>
      </c>
      <c r="AQ80" s="16">
        <f>IF(OR(W80=regle!$J$11,W80=regle!$K$11),-2,IF(W80=regle!$B$11,0,IF(AQ$1=$AK$1,IF($O80,-1,regle!$B$2-$M80),IF(AP80=-1,-1,AP80+1))))</f>
        <v>6</v>
      </c>
      <c r="AR80" s="16">
        <f>IF(OR(X80=regle!$J$11,X80=regle!$K$11),-2,IF(X80=regle!$B$11,0,IF(AR$1=$AK$1,IF($O80,-1,regle!$B$2-$M80),IF(AQ80=-1,-1,AQ80+1))))</f>
        <v>7</v>
      </c>
      <c r="AS80" s="16">
        <f>IF(OR(Y80=regle!$J$11,Y80=regle!$K$11),-2,IF(Y80=regle!$B$11,0,IF(AS$1=$AK$1,IF($O80,-1,regle!$B$2-$M80),IF(AR80=-1,-1,AR80+1))))</f>
        <v>8</v>
      </c>
      <c r="AT80" s="16">
        <f>IF(OR(Z80=regle!$J$11,Z80=regle!$K$11),-2,IF(Z80=regle!$B$11,0,IF(AT$1=$AK$1,IF($O80,-1,regle!$B$2-$M80),IF(AS80=-1,-1,AS80+1))))</f>
        <v>9</v>
      </c>
    </row>
    <row r="81" spans="1:46" x14ac:dyDescent="0.25">
      <c r="A81" t="b">
        <f>modif1!A81</f>
        <v>1</v>
      </c>
      <c r="B81">
        <f>ROW(modif1!B81)</f>
        <v>81</v>
      </c>
      <c r="C81" t="str">
        <f>modif1!C84</f>
        <v>171</v>
      </c>
      <c r="D81" t="str">
        <f>modif1!D81</f>
        <v>MANO</v>
      </c>
      <c r="E81">
        <f>modif1!E81</f>
        <v>17</v>
      </c>
      <c r="F81" t="str">
        <f>modif1!F81</f>
        <v>LANDE DE TABARTON</v>
      </c>
      <c r="G81" t="str">
        <f>modif1!G81</f>
        <v>0B</v>
      </c>
      <c r="H81">
        <f>modif1!H81</f>
        <v>315</v>
      </c>
      <c r="I81" t="str">
        <f>modif1!I81</f>
        <v/>
      </c>
      <c r="J81" s="11">
        <f>modif1!J81</f>
        <v>0.125</v>
      </c>
      <c r="K81" t="str">
        <f>modif1!K81</f>
        <v>CR</v>
      </c>
      <c r="L81" t="str">
        <f>modif1!L81</f>
        <v>PM</v>
      </c>
      <c r="M81">
        <f>modif1!M81</f>
        <v>2022</v>
      </c>
      <c r="N81" t="str">
        <f>modif1!N81</f>
        <v>CR-PM_2022</v>
      </c>
      <c r="O81" t="b">
        <f>modif1!O81</f>
        <v>1</v>
      </c>
      <c r="P81">
        <v>40</v>
      </c>
      <c r="Q81" t="s">
        <v>1868</v>
      </c>
      <c r="S81" t="s">
        <v>1872</v>
      </c>
      <c r="U81" t="s">
        <v>1870</v>
      </c>
      <c r="X81" t="s">
        <v>1871</v>
      </c>
      <c r="Z81"/>
      <c r="AA81" s="17">
        <f>IF($A81,$J81*(IF(Q81=regle!$B$11,regle!$B$23*IF(AJ81=-2,1+regle!$B$35,1),
IF(Q81=regle!$C$11,regle!$C$23,
IF(Q81=regle!$D$11,regle!$D$23,
IF(Q81=regle!$E$11,regle!$E$23,
IF(Q81=regle!$F$11,regle!$F$23,
IF(Q81=regle!$G$11,regle!$G$23,
IF(Q81=regle!$H$11,regle!$H$23,
IF(Q81=regle!$I$11,regle!$I$23,
IF(Q81=regle!$J$11,regle!$J$23,
IF(Q81=regle!$K$11,regle!$K$23,0))))))))))))</f>
        <v>-212.5</v>
      </c>
      <c r="AB81" s="17">
        <f>IF($A81,$J81*(IF(R81=regle!$B$11,regle!$B$23*IF(AK81=-2,1+regle!$B$35,1),
IF(R81=regle!$C$11,regle!$C$23,
IF(R81=regle!$D$11,regle!$D$23,
IF(R81=regle!$E$11,regle!$E$23,
IF(R81=regle!$F$11,regle!$F$23,
IF(R81=regle!$G$11,regle!$G$23,
IF(R81=regle!$H$11,regle!$H$23,
IF(R81=regle!$I$11,regle!$I$23,
IF(R81=regle!$J$11,regle!$J$23,
IF(R81=regle!$K$11,regle!$K$23,0))))))))))))</f>
        <v>0</v>
      </c>
      <c r="AC81" s="17">
        <f>IF($A81,$J81*(IF(S81=regle!$B$11,regle!$B$23*IF(AL81=-2,1+regle!$B$35,1),
IF(S81=regle!$C$11,regle!$C$23,
IF(S81=regle!$D$11,regle!$D$23,
IF(S81=regle!$E$11,regle!$E$23,
IF(S81=regle!$F$11,regle!$F$23,
IF(S81=regle!$G$11,regle!$G$23,
IF(S81=regle!$H$11,regle!$H$23,
IF(S81=regle!$I$11,regle!$I$23,
IF(S81=regle!$J$11,regle!$J$23,
IF(S81=regle!$K$11,regle!$K$23,0))))))))))))</f>
        <v>-9.375</v>
      </c>
      <c r="AD81" s="17">
        <f>IF($A81,$J81*(IF(T81=regle!$B$11,regle!$B$23*IF(AM81=-2,1+regle!$B$35,1),
IF(T81=regle!$C$11,regle!$C$23,
IF(T81=regle!$D$11,regle!$D$23,
IF(T81=regle!$E$11,regle!$E$23,
IF(T81=regle!$F$11,regle!$F$23,
IF(T81=regle!$G$11,regle!$G$23,
IF(T81=regle!$H$11,regle!$H$23,
IF(T81=regle!$I$11,regle!$I$23,
IF(T81=regle!$J$11,regle!$J$23,
IF(T81=regle!$K$11,regle!$K$23,0))))))))))))</f>
        <v>0</v>
      </c>
      <c r="AE81" s="17">
        <f>IF($A81,$J81*(IF(U81=regle!$B$11,regle!$B$23*IF(AN81=-2,1+regle!$B$35,1),
IF(U81=regle!$C$11,regle!$C$23,
IF(U81=regle!$D$11,regle!$D$23,
IF(U81=regle!$E$11,regle!$E$23,
IF(U81=regle!$F$11,regle!$F$23,
IF(U81=regle!$G$11,regle!$G$23,
IF(U81=regle!$H$11,regle!$H$23,
IF(U81=regle!$I$11,regle!$I$23,
IF(U81=regle!$J$11,regle!$J$23,
IF(U81=regle!$K$11,regle!$K$23,0))))))))))))</f>
        <v>-11.25</v>
      </c>
      <c r="AF81" s="17">
        <f>IF($A81,$J81*(IF(V81=regle!$B$11,regle!$B$23*IF(AO81=-2,1+regle!$B$35,1),
IF(V81=regle!$C$11,regle!$C$23,
IF(V81=regle!$D$11,regle!$D$23,
IF(V81=regle!$E$11,regle!$E$23,
IF(V81=regle!$F$11,regle!$F$23,
IF(V81=regle!$G$11,regle!$G$23,
IF(V81=regle!$H$11,regle!$H$23,
IF(V81=regle!$I$11,regle!$I$23,
IF(V81=regle!$J$11,regle!$J$23,
IF(V81=regle!$K$11,regle!$K$23,0))))))))))))</f>
        <v>0</v>
      </c>
      <c r="AG81" s="17">
        <f>IF($A81,$J81*(IF(W81=regle!$B$11,regle!$B$23*IF(AP81=-2,1+regle!$B$35,1),
IF(W81=regle!$C$11,regle!$C$23,
IF(W81=regle!$D$11,regle!$D$23,
IF(W81=regle!$E$11,regle!$E$23,
IF(W81=regle!$F$11,regle!$F$23,
IF(W81=regle!$G$11,regle!$G$23,
IF(W81=regle!$H$11,regle!$H$23,
IF(W81=regle!$I$11,regle!$I$23,
IF(W81=regle!$J$11,regle!$J$23,
IF(W81=regle!$K$11,regle!$K$23,0))))))))))))</f>
        <v>0</v>
      </c>
      <c r="AH81" s="17">
        <f>IF($A81,$J81*(IF(X81=regle!$B$11,regle!$B$23*IF(AQ81=-2,1+regle!$B$35,1),
IF(X81=regle!$C$11,regle!$C$23,
IF(X81=regle!$D$11,regle!$D$23,
IF(X81=regle!$E$11,regle!$E$23,
IF(X81=regle!$F$11,regle!$F$23,
IF(X81=regle!$G$11,regle!$G$23,
IF(X81=regle!$H$11,regle!$H$23,
IF(X81=regle!$I$11,regle!$I$23,
IF(X81=regle!$J$11,regle!$J$23,
IF(X81=regle!$K$11,regle!$K$23,0))))))))))))</f>
        <v>-11.25</v>
      </c>
      <c r="AI81" s="17">
        <f>IF($A81,$J81*(IF(Y81=regle!$B$11,regle!$B$23*IF(AR81=-2,1+regle!$B$35,1),
IF(Y81=regle!$C$11,regle!$C$23,
IF(Y81=regle!$D$11,regle!$D$23,
IF(Y81=regle!$E$11,regle!$E$23,
IF(Y81=regle!$F$11,regle!$F$23,
IF(Y81=regle!$G$11,regle!$G$23,
IF(Y81=regle!$H$11,regle!$H$23,
IF(Y81=regle!$I$11,regle!$I$23,
IF(Y81=regle!$J$11,regle!$J$23,
IF(Y81=regle!$K$11,regle!$K$23,0))))))))))))</f>
        <v>0</v>
      </c>
      <c r="AJ81" s="17">
        <f>IF($A81,$J81*(IF(Z81=regle!$B$11,regle!$B$23*IF(AS81=-2,1+regle!$B$35,1),
IF(Z81=regle!$C$11,regle!$C$23,
IF(Z81=regle!$D$11,regle!$D$23,
IF(Z81=regle!$E$11,regle!$E$23,
IF(Z81=regle!$F$11,regle!$F$23,
IF(Z81=regle!$G$11,regle!$G$23,
IF(Z81=regle!$H$11,regle!$H$23,
IF(Z81=regle!$I$11,regle!$I$23,
IF(Z81=regle!$J$11,regle!$J$23,
IF(Z81=regle!$K$11,regle!$K$23,0))))))))))))</f>
        <v>0</v>
      </c>
      <c r="AK81" s="16">
        <f>IF(OR(Q81=regle!$J$11,Q81=regle!$K$11),-2,IF(Q81=regle!$B$11,0,IF(AK$1=$AK$1,IF($O81,-1,regle!$B$2-$M81),IF(AJ81=-1,-1,AJ81+1))))</f>
        <v>0</v>
      </c>
      <c r="AL81" s="16">
        <f>IF(OR(R81=regle!$J$11,R81=regle!$K$11),-2,IF(R81=regle!$B$11,0,IF(AL$1=$AK$1,IF($O81,-1,regle!$B$2-$M81),IF(AK81=-1,-1,AK81+1))))</f>
        <v>1</v>
      </c>
      <c r="AM81" s="16">
        <f>IF(OR(S81=regle!$J$11,S81=regle!$K$11),-2,IF(S81=regle!$B$11,0,IF(AM$1=$AK$1,IF($O81,-1,regle!$B$2-$M81),IF(AL81=-1,-1,AL81+1))))</f>
        <v>2</v>
      </c>
      <c r="AN81" s="16">
        <f>IF(OR(T81=regle!$J$11,T81=regle!$K$11),-2,IF(T81=regle!$B$11,0,IF(AN$1=$AK$1,IF($O81,-1,regle!$B$2-$M81),IF(AM81=-1,-1,AM81+1))))</f>
        <v>3</v>
      </c>
      <c r="AO81" s="16">
        <f>IF(OR(U81=regle!$J$11,U81=regle!$K$11),-2,IF(U81=regle!$B$11,0,IF(AO$1=$AK$1,IF($O81,-1,regle!$B$2-$M81),IF(AN81=-1,-1,AN81+1))))</f>
        <v>4</v>
      </c>
      <c r="AP81" s="16">
        <f>IF(OR(V81=regle!$J$11,V81=regle!$K$11),-2,IF(V81=regle!$B$11,0,IF(AP$1=$AK$1,IF($O81,-1,regle!$B$2-$M81),IF(AO81=-1,-1,AO81+1))))</f>
        <v>5</v>
      </c>
      <c r="AQ81" s="16">
        <f>IF(OR(W81=regle!$J$11,W81=regle!$K$11),-2,IF(W81=regle!$B$11,0,IF(AQ$1=$AK$1,IF($O81,-1,regle!$B$2-$M81),IF(AP81=-1,-1,AP81+1))))</f>
        <v>6</v>
      </c>
      <c r="AR81" s="16">
        <f>IF(OR(X81=regle!$J$11,X81=regle!$K$11),-2,IF(X81=regle!$B$11,0,IF(AR$1=$AK$1,IF($O81,-1,regle!$B$2-$M81),IF(AQ81=-1,-1,AQ81+1))))</f>
        <v>7</v>
      </c>
      <c r="AS81" s="16">
        <f>IF(OR(Y81=regle!$J$11,Y81=regle!$K$11),-2,IF(Y81=regle!$B$11,0,IF(AS$1=$AK$1,IF($O81,-1,regle!$B$2-$M81),IF(AR81=-1,-1,AR81+1))))</f>
        <v>8</v>
      </c>
      <c r="AT81" s="16">
        <f>IF(OR(Z81=regle!$J$11,Z81=regle!$K$11),-2,IF(Z81=regle!$B$11,0,IF(AT$1=$AK$1,IF($O81,-1,regle!$B$2-$M81),IF(AS81=-1,-1,AS81+1))))</f>
        <v>9</v>
      </c>
    </row>
    <row r="82" spans="1:46" x14ac:dyDescent="0.25">
      <c r="A82" t="b">
        <f>modif1!A82</f>
        <v>1</v>
      </c>
      <c r="B82">
        <f>ROW(modif1!B82)</f>
        <v>82</v>
      </c>
      <c r="C82" t="str">
        <f>modif1!C85</f>
        <v>200</v>
      </c>
      <c r="D82" t="str">
        <f>modif1!D82</f>
        <v>MANO</v>
      </c>
      <c r="E82">
        <f>modif1!E82</f>
        <v>16</v>
      </c>
      <c r="F82" t="str">
        <f>modif1!F82</f>
        <v>BAS DE TOURNICON</v>
      </c>
      <c r="G82" t="str">
        <f>modif1!G82</f>
        <v>0B</v>
      </c>
      <c r="H82">
        <f>modif1!H82</f>
        <v>218</v>
      </c>
      <c r="I82" t="str">
        <f>modif1!I82</f>
        <v/>
      </c>
      <c r="J82" s="11">
        <f>modif1!J82</f>
        <v>0.107</v>
      </c>
      <c r="K82" t="str">
        <f>modif1!K82</f>
        <v>CR</v>
      </c>
      <c r="L82" t="str">
        <f>modif1!L82</f>
        <v>PM</v>
      </c>
      <c r="M82">
        <f>modif1!M82</f>
        <v>2022</v>
      </c>
      <c r="N82" t="str">
        <f>modif1!N82</f>
        <v>CR-PM_2022</v>
      </c>
      <c r="O82" t="b">
        <f>modif1!O82</f>
        <v>1</v>
      </c>
      <c r="P82">
        <v>40</v>
      </c>
      <c r="Q82" t="s">
        <v>1868</v>
      </c>
      <c r="S82" t="s">
        <v>1872</v>
      </c>
      <c r="U82" t="s">
        <v>1870</v>
      </c>
      <c r="X82" t="s">
        <v>1871</v>
      </c>
      <c r="Z82"/>
      <c r="AA82" s="17">
        <f>IF($A82,$J82*(IF(Q82=regle!$B$11,regle!$B$23*IF(AJ82=-2,1+regle!$B$35,1),
IF(Q82=regle!$C$11,regle!$C$23,
IF(Q82=regle!$D$11,regle!$D$23,
IF(Q82=regle!$E$11,regle!$E$23,
IF(Q82=regle!$F$11,regle!$F$23,
IF(Q82=regle!$G$11,regle!$G$23,
IF(Q82=regle!$H$11,regle!$H$23,
IF(Q82=regle!$I$11,regle!$I$23,
IF(Q82=regle!$J$11,regle!$J$23,
IF(Q82=regle!$K$11,regle!$K$23,0))))))))))))</f>
        <v>-181.9</v>
      </c>
      <c r="AB82" s="17">
        <f>IF($A82,$J82*(IF(R82=regle!$B$11,regle!$B$23*IF(AK82=-2,1+regle!$B$35,1),
IF(R82=regle!$C$11,regle!$C$23,
IF(R82=regle!$D$11,regle!$D$23,
IF(R82=regle!$E$11,regle!$E$23,
IF(R82=regle!$F$11,regle!$F$23,
IF(R82=regle!$G$11,regle!$G$23,
IF(R82=regle!$H$11,regle!$H$23,
IF(R82=regle!$I$11,regle!$I$23,
IF(R82=regle!$J$11,regle!$J$23,
IF(R82=regle!$K$11,regle!$K$23,0))))))))))))</f>
        <v>0</v>
      </c>
      <c r="AC82" s="17">
        <f>IF($A82,$J82*(IF(S82=regle!$B$11,regle!$B$23*IF(AL82=-2,1+regle!$B$35,1),
IF(S82=regle!$C$11,regle!$C$23,
IF(S82=regle!$D$11,regle!$D$23,
IF(S82=regle!$E$11,regle!$E$23,
IF(S82=regle!$F$11,regle!$F$23,
IF(S82=regle!$G$11,regle!$G$23,
IF(S82=regle!$H$11,regle!$H$23,
IF(S82=regle!$I$11,regle!$I$23,
IF(S82=regle!$J$11,regle!$J$23,
IF(S82=regle!$K$11,regle!$K$23,0))))))))))))</f>
        <v>-8.0250000000000004</v>
      </c>
      <c r="AD82" s="17">
        <f>IF($A82,$J82*(IF(T82=regle!$B$11,regle!$B$23*IF(AM82=-2,1+regle!$B$35,1),
IF(T82=regle!$C$11,regle!$C$23,
IF(T82=regle!$D$11,regle!$D$23,
IF(T82=regle!$E$11,regle!$E$23,
IF(T82=regle!$F$11,regle!$F$23,
IF(T82=regle!$G$11,regle!$G$23,
IF(T82=regle!$H$11,regle!$H$23,
IF(T82=regle!$I$11,regle!$I$23,
IF(T82=regle!$J$11,regle!$J$23,
IF(T82=regle!$K$11,regle!$K$23,0))))))))))))</f>
        <v>0</v>
      </c>
      <c r="AE82" s="17">
        <f>IF($A82,$J82*(IF(U82=regle!$B$11,regle!$B$23*IF(AN82=-2,1+regle!$B$35,1),
IF(U82=regle!$C$11,regle!$C$23,
IF(U82=regle!$D$11,regle!$D$23,
IF(U82=regle!$E$11,regle!$E$23,
IF(U82=regle!$F$11,regle!$F$23,
IF(U82=regle!$G$11,regle!$G$23,
IF(U82=regle!$H$11,regle!$H$23,
IF(U82=regle!$I$11,regle!$I$23,
IF(U82=regle!$J$11,regle!$J$23,
IF(U82=regle!$K$11,regle!$K$23,0))))))))))))</f>
        <v>-9.629999999999999</v>
      </c>
      <c r="AF82" s="17">
        <f>IF($A82,$J82*(IF(V82=regle!$B$11,regle!$B$23*IF(AO82=-2,1+regle!$B$35,1),
IF(V82=regle!$C$11,regle!$C$23,
IF(V82=regle!$D$11,regle!$D$23,
IF(V82=regle!$E$11,regle!$E$23,
IF(V82=regle!$F$11,regle!$F$23,
IF(V82=regle!$G$11,regle!$G$23,
IF(V82=regle!$H$11,regle!$H$23,
IF(V82=regle!$I$11,regle!$I$23,
IF(V82=regle!$J$11,regle!$J$23,
IF(V82=regle!$K$11,regle!$K$23,0))))))))))))</f>
        <v>0</v>
      </c>
      <c r="AG82" s="17">
        <f>IF($A82,$J82*(IF(W82=regle!$B$11,regle!$B$23*IF(AP82=-2,1+regle!$B$35,1),
IF(W82=regle!$C$11,regle!$C$23,
IF(W82=regle!$D$11,regle!$D$23,
IF(W82=regle!$E$11,regle!$E$23,
IF(W82=regle!$F$11,regle!$F$23,
IF(W82=regle!$G$11,regle!$G$23,
IF(W82=regle!$H$11,regle!$H$23,
IF(W82=regle!$I$11,regle!$I$23,
IF(W82=regle!$J$11,regle!$J$23,
IF(W82=regle!$K$11,regle!$K$23,0))))))))))))</f>
        <v>0</v>
      </c>
      <c r="AH82" s="17">
        <f>IF($A82,$J82*(IF(X82=regle!$B$11,regle!$B$23*IF(AQ82=-2,1+regle!$B$35,1),
IF(X82=regle!$C$11,regle!$C$23,
IF(X82=regle!$D$11,regle!$D$23,
IF(X82=regle!$E$11,regle!$E$23,
IF(X82=regle!$F$11,regle!$F$23,
IF(X82=regle!$G$11,regle!$G$23,
IF(X82=regle!$H$11,regle!$H$23,
IF(X82=regle!$I$11,regle!$I$23,
IF(X82=regle!$J$11,regle!$J$23,
IF(X82=regle!$K$11,regle!$K$23,0))))))))))))</f>
        <v>-9.629999999999999</v>
      </c>
      <c r="AI82" s="17">
        <f>IF($A82,$J82*(IF(Y82=regle!$B$11,regle!$B$23*IF(AR82=-2,1+regle!$B$35,1),
IF(Y82=regle!$C$11,regle!$C$23,
IF(Y82=regle!$D$11,regle!$D$23,
IF(Y82=regle!$E$11,regle!$E$23,
IF(Y82=regle!$F$11,regle!$F$23,
IF(Y82=regle!$G$11,regle!$G$23,
IF(Y82=regle!$H$11,regle!$H$23,
IF(Y82=regle!$I$11,regle!$I$23,
IF(Y82=regle!$J$11,regle!$J$23,
IF(Y82=regle!$K$11,regle!$K$23,0))))))))))))</f>
        <v>0</v>
      </c>
      <c r="AJ82" s="17">
        <f>IF($A82,$J82*(IF(Z82=regle!$B$11,regle!$B$23*IF(AS82=-2,1+regle!$B$35,1),
IF(Z82=regle!$C$11,regle!$C$23,
IF(Z82=regle!$D$11,regle!$D$23,
IF(Z82=regle!$E$11,regle!$E$23,
IF(Z82=regle!$F$11,regle!$F$23,
IF(Z82=regle!$G$11,regle!$G$23,
IF(Z82=regle!$H$11,regle!$H$23,
IF(Z82=regle!$I$11,regle!$I$23,
IF(Z82=regle!$J$11,regle!$J$23,
IF(Z82=regle!$K$11,regle!$K$23,0))))))))))))</f>
        <v>0</v>
      </c>
      <c r="AK82" s="16">
        <f>IF(OR(Q82=regle!$J$11,Q82=regle!$K$11),-2,IF(Q82=regle!$B$11,0,IF(AK$1=$AK$1,IF($O82,-1,regle!$B$2-$M82),IF(AJ82=-1,-1,AJ82+1))))</f>
        <v>0</v>
      </c>
      <c r="AL82" s="16">
        <f>IF(OR(R82=regle!$J$11,R82=regle!$K$11),-2,IF(R82=regle!$B$11,0,IF(AL$1=$AK$1,IF($O82,-1,regle!$B$2-$M82),IF(AK82=-1,-1,AK82+1))))</f>
        <v>1</v>
      </c>
      <c r="AM82" s="16">
        <f>IF(OR(S82=regle!$J$11,S82=regle!$K$11),-2,IF(S82=regle!$B$11,0,IF(AM$1=$AK$1,IF($O82,-1,regle!$B$2-$M82),IF(AL82=-1,-1,AL82+1))))</f>
        <v>2</v>
      </c>
      <c r="AN82" s="16">
        <f>IF(OR(T82=regle!$J$11,T82=regle!$K$11),-2,IF(T82=regle!$B$11,0,IF(AN$1=$AK$1,IF($O82,-1,regle!$B$2-$M82),IF(AM82=-1,-1,AM82+1))))</f>
        <v>3</v>
      </c>
      <c r="AO82" s="16">
        <f>IF(OR(U82=regle!$J$11,U82=regle!$K$11),-2,IF(U82=regle!$B$11,0,IF(AO$1=$AK$1,IF($O82,-1,regle!$B$2-$M82),IF(AN82=-1,-1,AN82+1))))</f>
        <v>4</v>
      </c>
      <c r="AP82" s="16">
        <f>IF(OR(V82=regle!$J$11,V82=regle!$K$11),-2,IF(V82=regle!$B$11,0,IF(AP$1=$AK$1,IF($O82,-1,regle!$B$2-$M82),IF(AO82=-1,-1,AO82+1))))</f>
        <v>5</v>
      </c>
      <c r="AQ82" s="16">
        <f>IF(OR(W82=regle!$J$11,W82=regle!$K$11),-2,IF(W82=regle!$B$11,0,IF(AQ$1=$AK$1,IF($O82,-1,regle!$B$2-$M82),IF(AP82=-1,-1,AP82+1))))</f>
        <v>6</v>
      </c>
      <c r="AR82" s="16">
        <f>IF(OR(X82=regle!$J$11,X82=regle!$K$11),-2,IF(X82=regle!$B$11,0,IF(AR$1=$AK$1,IF($O82,-1,regle!$B$2-$M82),IF(AQ82=-1,-1,AQ82+1))))</f>
        <v>7</v>
      </c>
      <c r="AS82" s="16">
        <f>IF(OR(Y82=regle!$J$11,Y82=regle!$K$11),-2,IF(Y82=regle!$B$11,0,IF(AS$1=$AK$1,IF($O82,-1,regle!$B$2-$M82),IF(AR82=-1,-1,AR82+1))))</f>
        <v>8</v>
      </c>
      <c r="AT82" s="16">
        <f>IF(OR(Z82=regle!$J$11,Z82=regle!$K$11),-2,IF(Z82=regle!$B$11,0,IF(AT$1=$AK$1,IF($O82,-1,regle!$B$2-$M82),IF(AS82=-1,-1,AS82+1))))</f>
        <v>9</v>
      </c>
    </row>
    <row r="83" spans="1:46" x14ac:dyDescent="0.25">
      <c r="A83" t="b">
        <f>modif1!A83</f>
        <v>1</v>
      </c>
      <c r="B83">
        <f>ROW(modif1!B83)</f>
        <v>83</v>
      </c>
      <c r="C83" t="str">
        <f>modif1!C86</f>
        <v>171</v>
      </c>
      <c r="D83" t="str">
        <f>modif1!D83</f>
        <v>MANO</v>
      </c>
      <c r="E83">
        <f>modif1!E83</f>
        <v>16</v>
      </c>
      <c r="F83" t="str">
        <f>modif1!F83</f>
        <v>BAS DE TOURNICON</v>
      </c>
      <c r="G83" t="str">
        <f>modif1!G83</f>
        <v>0B</v>
      </c>
      <c r="H83">
        <f>modif1!H83</f>
        <v>244</v>
      </c>
      <c r="I83" t="str">
        <f>modif1!I83</f>
        <v/>
      </c>
      <c r="J83" s="11">
        <f>modif1!J83</f>
        <v>0.08</v>
      </c>
      <c r="K83" t="str">
        <f>modif1!K83</f>
        <v>CR</v>
      </c>
      <c r="L83" t="str">
        <f>modif1!L83</f>
        <v>PM</v>
      </c>
      <c r="M83">
        <f>modif1!M83</f>
        <v>2022</v>
      </c>
      <c r="N83" t="str">
        <f>modif1!N83</f>
        <v>CR-PM_2022</v>
      </c>
      <c r="O83" t="b">
        <f>modif1!O83</f>
        <v>1</v>
      </c>
      <c r="P83">
        <v>40</v>
      </c>
      <c r="Q83" t="s">
        <v>1868</v>
      </c>
      <c r="S83" t="s">
        <v>1872</v>
      </c>
      <c r="U83" t="s">
        <v>1870</v>
      </c>
      <c r="X83" t="s">
        <v>1871</v>
      </c>
      <c r="Z83"/>
      <c r="AA83" s="17">
        <f>IF($A83,$J83*(IF(Q83=regle!$B$11,regle!$B$23*IF(AJ83=-2,1+regle!$B$35,1),
IF(Q83=regle!$C$11,regle!$C$23,
IF(Q83=regle!$D$11,regle!$D$23,
IF(Q83=regle!$E$11,regle!$E$23,
IF(Q83=regle!$F$11,regle!$F$23,
IF(Q83=regle!$G$11,regle!$G$23,
IF(Q83=regle!$H$11,regle!$H$23,
IF(Q83=regle!$I$11,regle!$I$23,
IF(Q83=regle!$J$11,regle!$J$23,
IF(Q83=regle!$K$11,regle!$K$23,0))))))))))))</f>
        <v>-136</v>
      </c>
      <c r="AB83" s="17">
        <f>IF($A83,$J83*(IF(R83=regle!$B$11,regle!$B$23*IF(AK83=-2,1+regle!$B$35,1),
IF(R83=regle!$C$11,regle!$C$23,
IF(R83=regle!$D$11,regle!$D$23,
IF(R83=regle!$E$11,regle!$E$23,
IF(R83=regle!$F$11,regle!$F$23,
IF(R83=regle!$G$11,regle!$G$23,
IF(R83=regle!$H$11,regle!$H$23,
IF(R83=regle!$I$11,regle!$I$23,
IF(R83=regle!$J$11,regle!$J$23,
IF(R83=regle!$K$11,regle!$K$23,0))))))))))))</f>
        <v>0</v>
      </c>
      <c r="AC83" s="17">
        <f>IF($A83,$J83*(IF(S83=regle!$B$11,regle!$B$23*IF(AL83=-2,1+regle!$B$35,1),
IF(S83=regle!$C$11,regle!$C$23,
IF(S83=regle!$D$11,regle!$D$23,
IF(S83=regle!$E$11,regle!$E$23,
IF(S83=regle!$F$11,regle!$F$23,
IF(S83=regle!$G$11,regle!$G$23,
IF(S83=regle!$H$11,regle!$H$23,
IF(S83=regle!$I$11,regle!$I$23,
IF(S83=regle!$J$11,regle!$J$23,
IF(S83=regle!$K$11,regle!$K$23,0))))))))))))</f>
        <v>-6</v>
      </c>
      <c r="AD83" s="17">
        <f>IF($A83,$J83*(IF(T83=regle!$B$11,regle!$B$23*IF(AM83=-2,1+regle!$B$35,1),
IF(T83=regle!$C$11,regle!$C$23,
IF(T83=regle!$D$11,regle!$D$23,
IF(T83=regle!$E$11,regle!$E$23,
IF(T83=regle!$F$11,regle!$F$23,
IF(T83=regle!$G$11,regle!$G$23,
IF(T83=regle!$H$11,regle!$H$23,
IF(T83=regle!$I$11,regle!$I$23,
IF(T83=regle!$J$11,regle!$J$23,
IF(T83=regle!$K$11,regle!$K$23,0))))))))))))</f>
        <v>0</v>
      </c>
      <c r="AE83" s="17">
        <f>IF($A83,$J83*(IF(U83=regle!$B$11,regle!$B$23*IF(AN83=-2,1+regle!$B$35,1),
IF(U83=regle!$C$11,regle!$C$23,
IF(U83=regle!$D$11,regle!$D$23,
IF(U83=regle!$E$11,regle!$E$23,
IF(U83=regle!$F$11,regle!$F$23,
IF(U83=regle!$G$11,regle!$G$23,
IF(U83=regle!$H$11,regle!$H$23,
IF(U83=regle!$I$11,regle!$I$23,
IF(U83=regle!$J$11,regle!$J$23,
IF(U83=regle!$K$11,regle!$K$23,0))))))))))))</f>
        <v>-7.2</v>
      </c>
      <c r="AF83" s="17">
        <f>IF($A83,$J83*(IF(V83=regle!$B$11,regle!$B$23*IF(AO83=-2,1+regle!$B$35,1),
IF(V83=regle!$C$11,regle!$C$23,
IF(V83=regle!$D$11,regle!$D$23,
IF(V83=regle!$E$11,regle!$E$23,
IF(V83=regle!$F$11,regle!$F$23,
IF(V83=regle!$G$11,regle!$G$23,
IF(V83=regle!$H$11,regle!$H$23,
IF(V83=regle!$I$11,regle!$I$23,
IF(V83=regle!$J$11,regle!$J$23,
IF(V83=regle!$K$11,regle!$K$23,0))))))))))))</f>
        <v>0</v>
      </c>
      <c r="AG83" s="17">
        <f>IF($A83,$J83*(IF(W83=regle!$B$11,regle!$B$23*IF(AP83=-2,1+regle!$B$35,1),
IF(W83=regle!$C$11,regle!$C$23,
IF(W83=regle!$D$11,regle!$D$23,
IF(W83=regle!$E$11,regle!$E$23,
IF(W83=regle!$F$11,regle!$F$23,
IF(W83=regle!$G$11,regle!$G$23,
IF(W83=regle!$H$11,regle!$H$23,
IF(W83=regle!$I$11,regle!$I$23,
IF(W83=regle!$J$11,regle!$J$23,
IF(W83=regle!$K$11,regle!$K$23,0))))))))))))</f>
        <v>0</v>
      </c>
      <c r="AH83" s="17">
        <f>IF($A83,$J83*(IF(X83=regle!$B$11,regle!$B$23*IF(AQ83=-2,1+regle!$B$35,1),
IF(X83=regle!$C$11,regle!$C$23,
IF(X83=regle!$D$11,regle!$D$23,
IF(X83=regle!$E$11,regle!$E$23,
IF(X83=regle!$F$11,regle!$F$23,
IF(X83=regle!$G$11,regle!$G$23,
IF(X83=regle!$H$11,regle!$H$23,
IF(X83=regle!$I$11,regle!$I$23,
IF(X83=regle!$J$11,regle!$J$23,
IF(X83=regle!$K$11,regle!$K$23,0))))))))))))</f>
        <v>-7.2</v>
      </c>
      <c r="AI83" s="17">
        <f>IF($A83,$J83*(IF(Y83=regle!$B$11,regle!$B$23*IF(AR83=-2,1+regle!$B$35,1),
IF(Y83=regle!$C$11,regle!$C$23,
IF(Y83=regle!$D$11,regle!$D$23,
IF(Y83=regle!$E$11,regle!$E$23,
IF(Y83=regle!$F$11,regle!$F$23,
IF(Y83=regle!$G$11,regle!$G$23,
IF(Y83=regle!$H$11,regle!$H$23,
IF(Y83=regle!$I$11,regle!$I$23,
IF(Y83=regle!$J$11,regle!$J$23,
IF(Y83=regle!$K$11,regle!$K$23,0))))))))))))</f>
        <v>0</v>
      </c>
      <c r="AJ83" s="17">
        <f>IF($A83,$J83*(IF(Z83=regle!$B$11,regle!$B$23*IF(AS83=-2,1+regle!$B$35,1),
IF(Z83=regle!$C$11,regle!$C$23,
IF(Z83=regle!$D$11,regle!$D$23,
IF(Z83=regle!$E$11,regle!$E$23,
IF(Z83=regle!$F$11,regle!$F$23,
IF(Z83=regle!$G$11,regle!$G$23,
IF(Z83=regle!$H$11,regle!$H$23,
IF(Z83=regle!$I$11,regle!$I$23,
IF(Z83=regle!$J$11,regle!$J$23,
IF(Z83=regle!$K$11,regle!$K$23,0))))))))))))</f>
        <v>0</v>
      </c>
      <c r="AK83" s="16">
        <f>IF(OR(Q83=regle!$J$11,Q83=regle!$K$11),-2,IF(Q83=regle!$B$11,0,IF(AK$1=$AK$1,IF($O83,-1,regle!$B$2-$M83),IF(AJ83=-1,-1,AJ83+1))))</f>
        <v>0</v>
      </c>
      <c r="AL83" s="16">
        <f>IF(OR(R83=regle!$J$11,R83=regle!$K$11),-2,IF(R83=regle!$B$11,0,IF(AL$1=$AK$1,IF($O83,-1,regle!$B$2-$M83),IF(AK83=-1,-1,AK83+1))))</f>
        <v>1</v>
      </c>
      <c r="AM83" s="16">
        <f>IF(OR(S83=regle!$J$11,S83=regle!$K$11),-2,IF(S83=regle!$B$11,0,IF(AM$1=$AK$1,IF($O83,-1,regle!$B$2-$M83),IF(AL83=-1,-1,AL83+1))))</f>
        <v>2</v>
      </c>
      <c r="AN83" s="16">
        <f>IF(OR(T83=regle!$J$11,T83=regle!$K$11),-2,IF(T83=regle!$B$11,0,IF(AN$1=$AK$1,IF($O83,-1,regle!$B$2-$M83),IF(AM83=-1,-1,AM83+1))))</f>
        <v>3</v>
      </c>
      <c r="AO83" s="16">
        <f>IF(OR(U83=regle!$J$11,U83=regle!$K$11),-2,IF(U83=regle!$B$11,0,IF(AO$1=$AK$1,IF($O83,-1,regle!$B$2-$M83),IF(AN83=-1,-1,AN83+1))))</f>
        <v>4</v>
      </c>
      <c r="AP83" s="16">
        <f>IF(OR(V83=regle!$J$11,V83=regle!$K$11),-2,IF(V83=regle!$B$11,0,IF(AP$1=$AK$1,IF($O83,-1,regle!$B$2-$M83),IF(AO83=-1,-1,AO83+1))))</f>
        <v>5</v>
      </c>
      <c r="AQ83" s="16">
        <f>IF(OR(W83=regle!$J$11,W83=regle!$K$11),-2,IF(W83=regle!$B$11,0,IF(AQ$1=$AK$1,IF($O83,-1,regle!$B$2-$M83),IF(AP83=-1,-1,AP83+1))))</f>
        <v>6</v>
      </c>
      <c r="AR83" s="16">
        <f>IF(OR(X83=regle!$J$11,X83=regle!$K$11),-2,IF(X83=regle!$B$11,0,IF(AR$1=$AK$1,IF($O83,-1,regle!$B$2-$M83),IF(AQ83=-1,-1,AQ83+1))))</f>
        <v>7</v>
      </c>
      <c r="AS83" s="16">
        <f>IF(OR(Y83=regle!$J$11,Y83=regle!$K$11),-2,IF(Y83=regle!$B$11,0,IF(AS$1=$AK$1,IF($O83,-1,regle!$B$2-$M83),IF(AR83=-1,-1,AR83+1))))</f>
        <v>8</v>
      </c>
      <c r="AT83" s="16">
        <f>IF(OR(Z83=regle!$J$11,Z83=regle!$K$11),-2,IF(Z83=regle!$B$11,0,IF(AT$1=$AK$1,IF($O83,-1,regle!$B$2-$M83),IF(AS83=-1,-1,AS83+1))))</f>
        <v>9</v>
      </c>
    </row>
    <row r="84" spans="1:46" x14ac:dyDescent="0.25">
      <c r="A84" t="b">
        <f>modif1!A84</f>
        <v>1</v>
      </c>
      <c r="B84">
        <f>ROW(modif1!B84)</f>
        <v>84</v>
      </c>
      <c r="C84" t="str">
        <f>modif1!C87</f>
        <v>171</v>
      </c>
      <c r="D84" t="str">
        <f>modif1!D84</f>
        <v>MANO</v>
      </c>
      <c r="E84">
        <f>modif1!E84</f>
        <v>17</v>
      </c>
      <c r="F84" t="str">
        <f>modif1!F84</f>
        <v>LANDE DE TABARTON</v>
      </c>
      <c r="G84" t="str">
        <f>modif1!G84</f>
        <v>0B</v>
      </c>
      <c r="H84">
        <f>modif1!H84</f>
        <v>491</v>
      </c>
      <c r="I84" t="str">
        <f>modif1!I84</f>
        <v>j</v>
      </c>
      <c r="J84" s="11">
        <f>modif1!J84</f>
        <v>7.0099999999999996E-2</v>
      </c>
      <c r="K84" t="str">
        <f>modif1!K84</f>
        <v>CR</v>
      </c>
      <c r="L84" t="str">
        <f>modif1!L84</f>
        <v>PM</v>
      </c>
      <c r="M84">
        <f>modif1!M84</f>
        <v>2022</v>
      </c>
      <c r="N84" t="str">
        <f>modif1!N84</f>
        <v>CR-PM_2022</v>
      </c>
      <c r="O84" t="b">
        <f>modif1!O84</f>
        <v>1</v>
      </c>
      <c r="P84">
        <v>40</v>
      </c>
      <c r="Q84" t="s">
        <v>1868</v>
      </c>
      <c r="S84" t="s">
        <v>1872</v>
      </c>
      <c r="U84" t="s">
        <v>1870</v>
      </c>
      <c r="X84" t="s">
        <v>1871</v>
      </c>
      <c r="Z84"/>
      <c r="AA84" s="17">
        <f>IF($A84,$J84*(IF(Q84=regle!$B$11,regle!$B$23*IF(AJ84=-2,1+regle!$B$35,1),
IF(Q84=regle!$C$11,regle!$C$23,
IF(Q84=regle!$D$11,regle!$D$23,
IF(Q84=regle!$E$11,regle!$E$23,
IF(Q84=regle!$F$11,regle!$F$23,
IF(Q84=regle!$G$11,regle!$G$23,
IF(Q84=regle!$H$11,regle!$H$23,
IF(Q84=regle!$I$11,regle!$I$23,
IF(Q84=regle!$J$11,regle!$J$23,
IF(Q84=regle!$K$11,regle!$K$23,0))))))))))))</f>
        <v>-119.16999999999999</v>
      </c>
      <c r="AB84" s="17">
        <f>IF($A84,$J84*(IF(R84=regle!$B$11,regle!$B$23*IF(AK84=-2,1+regle!$B$35,1),
IF(R84=regle!$C$11,regle!$C$23,
IF(R84=regle!$D$11,regle!$D$23,
IF(R84=regle!$E$11,regle!$E$23,
IF(R84=regle!$F$11,regle!$F$23,
IF(R84=regle!$G$11,regle!$G$23,
IF(R84=regle!$H$11,regle!$H$23,
IF(R84=regle!$I$11,regle!$I$23,
IF(R84=regle!$J$11,regle!$J$23,
IF(R84=regle!$K$11,regle!$K$23,0))))))))))))</f>
        <v>0</v>
      </c>
      <c r="AC84" s="17">
        <f>IF($A84,$J84*(IF(S84=regle!$B$11,regle!$B$23*IF(AL84=-2,1+regle!$B$35,1),
IF(S84=regle!$C$11,regle!$C$23,
IF(S84=regle!$D$11,regle!$D$23,
IF(S84=regle!$E$11,regle!$E$23,
IF(S84=regle!$F$11,regle!$F$23,
IF(S84=regle!$G$11,regle!$G$23,
IF(S84=regle!$H$11,regle!$H$23,
IF(S84=regle!$I$11,regle!$I$23,
IF(S84=regle!$J$11,regle!$J$23,
IF(S84=regle!$K$11,regle!$K$23,0))))))))))))</f>
        <v>-5.2574999999999994</v>
      </c>
      <c r="AD84" s="17">
        <f>IF($A84,$J84*(IF(T84=regle!$B$11,regle!$B$23*IF(AM84=-2,1+regle!$B$35,1),
IF(T84=regle!$C$11,regle!$C$23,
IF(T84=regle!$D$11,regle!$D$23,
IF(T84=regle!$E$11,regle!$E$23,
IF(T84=regle!$F$11,regle!$F$23,
IF(T84=regle!$G$11,regle!$G$23,
IF(T84=regle!$H$11,regle!$H$23,
IF(T84=regle!$I$11,regle!$I$23,
IF(T84=regle!$J$11,regle!$J$23,
IF(T84=regle!$K$11,regle!$K$23,0))))))))))))</f>
        <v>0</v>
      </c>
      <c r="AE84" s="17">
        <f>IF($A84,$J84*(IF(U84=regle!$B$11,regle!$B$23*IF(AN84=-2,1+regle!$B$35,1),
IF(U84=regle!$C$11,regle!$C$23,
IF(U84=regle!$D$11,regle!$D$23,
IF(U84=regle!$E$11,regle!$E$23,
IF(U84=regle!$F$11,regle!$F$23,
IF(U84=regle!$G$11,regle!$G$23,
IF(U84=regle!$H$11,regle!$H$23,
IF(U84=regle!$I$11,regle!$I$23,
IF(U84=regle!$J$11,regle!$J$23,
IF(U84=regle!$K$11,regle!$K$23,0))))))))))))</f>
        <v>-6.3089999999999993</v>
      </c>
      <c r="AF84" s="17">
        <f>IF($A84,$J84*(IF(V84=regle!$B$11,regle!$B$23*IF(AO84=-2,1+regle!$B$35,1),
IF(V84=regle!$C$11,regle!$C$23,
IF(V84=regle!$D$11,regle!$D$23,
IF(V84=regle!$E$11,regle!$E$23,
IF(V84=regle!$F$11,regle!$F$23,
IF(V84=regle!$G$11,regle!$G$23,
IF(V84=regle!$H$11,regle!$H$23,
IF(V84=regle!$I$11,regle!$I$23,
IF(V84=regle!$J$11,regle!$J$23,
IF(V84=regle!$K$11,regle!$K$23,0))))))))))))</f>
        <v>0</v>
      </c>
      <c r="AG84" s="17">
        <f>IF($A84,$J84*(IF(W84=regle!$B$11,regle!$B$23*IF(AP84=-2,1+regle!$B$35,1),
IF(W84=regle!$C$11,regle!$C$23,
IF(W84=regle!$D$11,regle!$D$23,
IF(W84=regle!$E$11,regle!$E$23,
IF(W84=regle!$F$11,regle!$F$23,
IF(W84=regle!$G$11,regle!$G$23,
IF(W84=regle!$H$11,regle!$H$23,
IF(W84=regle!$I$11,regle!$I$23,
IF(W84=regle!$J$11,regle!$J$23,
IF(W84=regle!$K$11,regle!$K$23,0))))))))))))</f>
        <v>0</v>
      </c>
      <c r="AH84" s="17">
        <f>IF($A84,$J84*(IF(X84=regle!$B$11,regle!$B$23*IF(AQ84=-2,1+regle!$B$35,1),
IF(X84=regle!$C$11,regle!$C$23,
IF(X84=regle!$D$11,regle!$D$23,
IF(X84=regle!$E$11,regle!$E$23,
IF(X84=regle!$F$11,regle!$F$23,
IF(X84=regle!$G$11,regle!$G$23,
IF(X84=regle!$H$11,regle!$H$23,
IF(X84=regle!$I$11,regle!$I$23,
IF(X84=regle!$J$11,regle!$J$23,
IF(X84=regle!$K$11,regle!$K$23,0))))))))))))</f>
        <v>-6.3089999999999993</v>
      </c>
      <c r="AI84" s="17">
        <f>IF($A84,$J84*(IF(Y84=regle!$B$11,regle!$B$23*IF(AR84=-2,1+regle!$B$35,1),
IF(Y84=regle!$C$11,regle!$C$23,
IF(Y84=regle!$D$11,regle!$D$23,
IF(Y84=regle!$E$11,regle!$E$23,
IF(Y84=regle!$F$11,regle!$F$23,
IF(Y84=regle!$G$11,regle!$G$23,
IF(Y84=regle!$H$11,regle!$H$23,
IF(Y84=regle!$I$11,regle!$I$23,
IF(Y84=regle!$J$11,regle!$J$23,
IF(Y84=regle!$K$11,regle!$K$23,0))))))))))))</f>
        <v>0</v>
      </c>
      <c r="AJ84" s="17">
        <f>IF($A84,$J84*(IF(Z84=regle!$B$11,regle!$B$23*IF(AS84=-2,1+regle!$B$35,1),
IF(Z84=regle!$C$11,regle!$C$23,
IF(Z84=regle!$D$11,regle!$D$23,
IF(Z84=regle!$E$11,regle!$E$23,
IF(Z84=regle!$F$11,regle!$F$23,
IF(Z84=regle!$G$11,regle!$G$23,
IF(Z84=regle!$H$11,regle!$H$23,
IF(Z84=regle!$I$11,regle!$I$23,
IF(Z84=regle!$J$11,regle!$J$23,
IF(Z84=regle!$K$11,regle!$K$23,0))))))))))))</f>
        <v>0</v>
      </c>
      <c r="AK84" s="16">
        <f>IF(OR(Q84=regle!$J$11,Q84=regle!$K$11),-2,IF(Q84=regle!$B$11,0,IF(AK$1=$AK$1,IF($O84,-1,regle!$B$2-$M84),IF(AJ84=-1,-1,AJ84+1))))</f>
        <v>0</v>
      </c>
      <c r="AL84" s="16">
        <f>IF(OR(R84=regle!$J$11,R84=regle!$K$11),-2,IF(R84=regle!$B$11,0,IF(AL$1=$AK$1,IF($O84,-1,regle!$B$2-$M84),IF(AK84=-1,-1,AK84+1))))</f>
        <v>1</v>
      </c>
      <c r="AM84" s="16">
        <f>IF(OR(S84=regle!$J$11,S84=regle!$K$11),-2,IF(S84=regle!$B$11,0,IF(AM$1=$AK$1,IF($O84,-1,regle!$B$2-$M84),IF(AL84=-1,-1,AL84+1))))</f>
        <v>2</v>
      </c>
      <c r="AN84" s="16">
        <f>IF(OR(T84=regle!$J$11,T84=regle!$K$11),-2,IF(T84=regle!$B$11,0,IF(AN$1=$AK$1,IF($O84,-1,regle!$B$2-$M84),IF(AM84=-1,-1,AM84+1))))</f>
        <v>3</v>
      </c>
      <c r="AO84" s="16">
        <f>IF(OR(U84=regle!$J$11,U84=regle!$K$11),-2,IF(U84=regle!$B$11,0,IF(AO$1=$AK$1,IF($O84,-1,regle!$B$2-$M84),IF(AN84=-1,-1,AN84+1))))</f>
        <v>4</v>
      </c>
      <c r="AP84" s="16">
        <f>IF(OR(V84=regle!$J$11,V84=regle!$K$11),-2,IF(V84=regle!$B$11,0,IF(AP$1=$AK$1,IF($O84,-1,regle!$B$2-$M84),IF(AO84=-1,-1,AO84+1))))</f>
        <v>5</v>
      </c>
      <c r="AQ84" s="16">
        <f>IF(OR(W84=regle!$J$11,W84=regle!$K$11),-2,IF(W84=regle!$B$11,0,IF(AQ$1=$AK$1,IF($O84,-1,regle!$B$2-$M84),IF(AP84=-1,-1,AP84+1))))</f>
        <v>6</v>
      </c>
      <c r="AR84" s="16">
        <f>IF(OR(X84=regle!$J$11,X84=regle!$K$11),-2,IF(X84=regle!$B$11,0,IF(AR$1=$AK$1,IF($O84,-1,regle!$B$2-$M84),IF(AQ84=-1,-1,AQ84+1))))</f>
        <v>7</v>
      </c>
      <c r="AS84" s="16">
        <f>IF(OR(Y84=regle!$J$11,Y84=regle!$K$11),-2,IF(Y84=regle!$B$11,0,IF(AS$1=$AK$1,IF($O84,-1,regle!$B$2-$M84),IF(AR84=-1,-1,AR84+1))))</f>
        <v>8</v>
      </c>
      <c r="AT84" s="16">
        <f>IF(OR(Z84=regle!$J$11,Z84=regle!$K$11),-2,IF(Z84=regle!$B$11,0,IF(AT$1=$AK$1,IF($O84,-1,regle!$B$2-$M84),IF(AS84=-1,-1,AS84+1))))</f>
        <v>9</v>
      </c>
    </row>
    <row r="85" spans="1:46" x14ac:dyDescent="0.25">
      <c r="A85" t="b">
        <f>modif1!A85</f>
        <v>1</v>
      </c>
      <c r="B85">
        <f>ROW(modif1!B85)</f>
        <v>85</v>
      </c>
      <c r="C85" t="str">
        <f>modif1!C88</f>
        <v>200</v>
      </c>
      <c r="D85" t="str">
        <f>modif1!D85</f>
        <v>MOUSTEY</v>
      </c>
      <c r="E85">
        <f>modif1!E85</f>
        <v>18</v>
      </c>
      <c r="F85" t="str">
        <f>modif1!F85</f>
        <v>Quartier de Capsus</v>
      </c>
      <c r="G85" t="str">
        <f>modif1!G85</f>
        <v>0N</v>
      </c>
      <c r="H85">
        <f>modif1!H85</f>
        <v>146</v>
      </c>
      <c r="I85" t="str">
        <f>modif1!I85</f>
        <v/>
      </c>
      <c r="J85" s="11">
        <f>modif1!J85</f>
        <v>4.65E-2</v>
      </c>
      <c r="K85" t="str">
        <f>modif1!K85</f>
        <v>CR</v>
      </c>
      <c r="L85" t="str">
        <f>modif1!L85</f>
        <v>PM</v>
      </c>
      <c r="M85">
        <f>modif1!M85</f>
        <v>2022</v>
      </c>
      <c r="N85" t="str">
        <f>modif1!N85</f>
        <v>CR-PM_2022</v>
      </c>
      <c r="O85" t="b">
        <f>modif1!O85</f>
        <v>1</v>
      </c>
      <c r="P85">
        <v>40</v>
      </c>
      <c r="Q85" t="s">
        <v>1868</v>
      </c>
      <c r="S85" t="s">
        <v>1872</v>
      </c>
      <c r="U85" t="s">
        <v>1870</v>
      </c>
      <c r="X85" t="s">
        <v>1871</v>
      </c>
      <c r="Z85"/>
      <c r="AA85" s="17">
        <f>IF($A85,$J85*(IF(Q85=regle!$B$11,regle!$B$23*IF(AJ85=-2,1+regle!$B$35,1),
IF(Q85=regle!$C$11,regle!$C$23,
IF(Q85=regle!$D$11,regle!$D$23,
IF(Q85=regle!$E$11,regle!$E$23,
IF(Q85=regle!$F$11,regle!$F$23,
IF(Q85=regle!$G$11,regle!$G$23,
IF(Q85=regle!$H$11,regle!$H$23,
IF(Q85=regle!$I$11,regle!$I$23,
IF(Q85=regle!$J$11,regle!$J$23,
IF(Q85=regle!$K$11,regle!$K$23,0))))))))))))</f>
        <v>-79.05</v>
      </c>
      <c r="AB85" s="17">
        <f>IF($A85,$J85*(IF(R85=regle!$B$11,regle!$B$23*IF(AK85=-2,1+regle!$B$35,1),
IF(R85=regle!$C$11,regle!$C$23,
IF(R85=regle!$D$11,regle!$D$23,
IF(R85=regle!$E$11,regle!$E$23,
IF(R85=regle!$F$11,regle!$F$23,
IF(R85=regle!$G$11,regle!$G$23,
IF(R85=regle!$H$11,regle!$H$23,
IF(R85=regle!$I$11,regle!$I$23,
IF(R85=regle!$J$11,regle!$J$23,
IF(R85=regle!$K$11,regle!$K$23,0))))))))))))</f>
        <v>0</v>
      </c>
      <c r="AC85" s="17">
        <f>IF($A85,$J85*(IF(S85=regle!$B$11,regle!$B$23*IF(AL85=-2,1+regle!$B$35,1),
IF(S85=regle!$C$11,regle!$C$23,
IF(S85=regle!$D$11,regle!$D$23,
IF(S85=regle!$E$11,regle!$E$23,
IF(S85=regle!$F$11,regle!$F$23,
IF(S85=regle!$G$11,regle!$G$23,
IF(S85=regle!$H$11,regle!$H$23,
IF(S85=regle!$I$11,regle!$I$23,
IF(S85=regle!$J$11,regle!$J$23,
IF(S85=regle!$K$11,regle!$K$23,0))))))))))))</f>
        <v>-3.4874999999999998</v>
      </c>
      <c r="AD85" s="17">
        <f>IF($A85,$J85*(IF(T85=regle!$B$11,regle!$B$23*IF(AM85=-2,1+regle!$B$35,1),
IF(T85=regle!$C$11,regle!$C$23,
IF(T85=regle!$D$11,regle!$D$23,
IF(T85=regle!$E$11,regle!$E$23,
IF(T85=regle!$F$11,regle!$F$23,
IF(T85=regle!$G$11,regle!$G$23,
IF(T85=regle!$H$11,regle!$H$23,
IF(T85=regle!$I$11,regle!$I$23,
IF(T85=regle!$J$11,regle!$J$23,
IF(T85=regle!$K$11,regle!$K$23,0))))))))))))</f>
        <v>0</v>
      </c>
      <c r="AE85" s="17">
        <f>IF($A85,$J85*(IF(U85=regle!$B$11,regle!$B$23*IF(AN85=-2,1+regle!$B$35,1),
IF(U85=regle!$C$11,regle!$C$23,
IF(U85=regle!$D$11,regle!$D$23,
IF(U85=regle!$E$11,regle!$E$23,
IF(U85=regle!$F$11,regle!$F$23,
IF(U85=regle!$G$11,regle!$G$23,
IF(U85=regle!$H$11,regle!$H$23,
IF(U85=regle!$I$11,regle!$I$23,
IF(U85=regle!$J$11,regle!$J$23,
IF(U85=regle!$K$11,regle!$K$23,0))))))))))))</f>
        <v>-4.1849999999999996</v>
      </c>
      <c r="AF85" s="17">
        <f>IF($A85,$J85*(IF(V85=regle!$B$11,regle!$B$23*IF(AO85=-2,1+regle!$B$35,1),
IF(V85=regle!$C$11,regle!$C$23,
IF(V85=regle!$D$11,regle!$D$23,
IF(V85=regle!$E$11,regle!$E$23,
IF(V85=regle!$F$11,regle!$F$23,
IF(V85=regle!$G$11,regle!$G$23,
IF(V85=regle!$H$11,regle!$H$23,
IF(V85=regle!$I$11,regle!$I$23,
IF(V85=regle!$J$11,regle!$J$23,
IF(V85=regle!$K$11,regle!$K$23,0))))))))))))</f>
        <v>0</v>
      </c>
      <c r="AG85" s="17">
        <f>IF($A85,$J85*(IF(W85=regle!$B$11,regle!$B$23*IF(AP85=-2,1+regle!$B$35,1),
IF(W85=regle!$C$11,regle!$C$23,
IF(W85=regle!$D$11,regle!$D$23,
IF(W85=regle!$E$11,regle!$E$23,
IF(W85=regle!$F$11,regle!$F$23,
IF(W85=regle!$G$11,regle!$G$23,
IF(W85=regle!$H$11,regle!$H$23,
IF(W85=regle!$I$11,regle!$I$23,
IF(W85=regle!$J$11,regle!$J$23,
IF(W85=regle!$K$11,regle!$K$23,0))))))))))))</f>
        <v>0</v>
      </c>
      <c r="AH85" s="17">
        <f>IF($A85,$J85*(IF(X85=regle!$B$11,regle!$B$23*IF(AQ85=-2,1+regle!$B$35,1),
IF(X85=regle!$C$11,regle!$C$23,
IF(X85=regle!$D$11,regle!$D$23,
IF(X85=regle!$E$11,regle!$E$23,
IF(X85=regle!$F$11,regle!$F$23,
IF(X85=regle!$G$11,regle!$G$23,
IF(X85=regle!$H$11,regle!$H$23,
IF(X85=regle!$I$11,regle!$I$23,
IF(X85=regle!$J$11,regle!$J$23,
IF(X85=regle!$K$11,regle!$K$23,0))))))))))))</f>
        <v>-4.1849999999999996</v>
      </c>
      <c r="AI85" s="17">
        <f>IF($A85,$J85*(IF(Y85=regle!$B$11,regle!$B$23*IF(AR85=-2,1+regle!$B$35,1),
IF(Y85=regle!$C$11,regle!$C$23,
IF(Y85=regle!$D$11,regle!$D$23,
IF(Y85=regle!$E$11,regle!$E$23,
IF(Y85=regle!$F$11,regle!$F$23,
IF(Y85=regle!$G$11,regle!$G$23,
IF(Y85=regle!$H$11,regle!$H$23,
IF(Y85=regle!$I$11,regle!$I$23,
IF(Y85=regle!$J$11,regle!$J$23,
IF(Y85=regle!$K$11,regle!$K$23,0))))))))))))</f>
        <v>0</v>
      </c>
      <c r="AJ85" s="17">
        <f>IF($A85,$J85*(IF(Z85=regle!$B$11,regle!$B$23*IF(AS85=-2,1+regle!$B$35,1),
IF(Z85=regle!$C$11,regle!$C$23,
IF(Z85=regle!$D$11,regle!$D$23,
IF(Z85=regle!$E$11,regle!$E$23,
IF(Z85=regle!$F$11,regle!$F$23,
IF(Z85=regle!$G$11,regle!$G$23,
IF(Z85=regle!$H$11,regle!$H$23,
IF(Z85=regle!$I$11,regle!$I$23,
IF(Z85=regle!$J$11,regle!$J$23,
IF(Z85=regle!$K$11,regle!$K$23,0))))))))))))</f>
        <v>0</v>
      </c>
      <c r="AK85" s="16">
        <f>IF(OR(Q85=regle!$J$11,Q85=regle!$K$11),-2,IF(Q85=regle!$B$11,0,IF(AK$1=$AK$1,IF($O85,-1,regle!$B$2-$M85),IF(AJ85=-1,-1,AJ85+1))))</f>
        <v>0</v>
      </c>
      <c r="AL85" s="16">
        <f>IF(OR(R85=regle!$J$11,R85=regle!$K$11),-2,IF(R85=regle!$B$11,0,IF(AL$1=$AK$1,IF($O85,-1,regle!$B$2-$M85),IF(AK85=-1,-1,AK85+1))))</f>
        <v>1</v>
      </c>
      <c r="AM85" s="16">
        <f>IF(OR(S85=regle!$J$11,S85=regle!$K$11),-2,IF(S85=regle!$B$11,0,IF(AM$1=$AK$1,IF($O85,-1,regle!$B$2-$M85),IF(AL85=-1,-1,AL85+1))))</f>
        <v>2</v>
      </c>
      <c r="AN85" s="16">
        <f>IF(OR(T85=regle!$J$11,T85=regle!$K$11),-2,IF(T85=regle!$B$11,0,IF(AN$1=$AK$1,IF($O85,-1,regle!$B$2-$M85),IF(AM85=-1,-1,AM85+1))))</f>
        <v>3</v>
      </c>
      <c r="AO85" s="16">
        <f>IF(OR(U85=regle!$J$11,U85=regle!$K$11),-2,IF(U85=regle!$B$11,0,IF(AO$1=$AK$1,IF($O85,-1,regle!$B$2-$M85),IF(AN85=-1,-1,AN85+1))))</f>
        <v>4</v>
      </c>
      <c r="AP85" s="16">
        <f>IF(OR(V85=regle!$J$11,V85=regle!$K$11),-2,IF(V85=regle!$B$11,0,IF(AP$1=$AK$1,IF($O85,-1,regle!$B$2-$M85),IF(AO85=-1,-1,AO85+1))))</f>
        <v>5</v>
      </c>
      <c r="AQ85" s="16">
        <f>IF(OR(W85=regle!$J$11,W85=regle!$K$11),-2,IF(W85=regle!$B$11,0,IF(AQ$1=$AK$1,IF($O85,-1,regle!$B$2-$M85),IF(AP85=-1,-1,AP85+1))))</f>
        <v>6</v>
      </c>
      <c r="AR85" s="16">
        <f>IF(OR(X85=regle!$J$11,X85=regle!$K$11),-2,IF(X85=regle!$B$11,0,IF(AR$1=$AK$1,IF($O85,-1,regle!$B$2-$M85),IF(AQ85=-1,-1,AQ85+1))))</f>
        <v>7</v>
      </c>
      <c r="AS85" s="16">
        <f>IF(OR(Y85=regle!$J$11,Y85=regle!$K$11),-2,IF(Y85=regle!$B$11,0,IF(AS$1=$AK$1,IF($O85,-1,regle!$B$2-$M85),IF(AR85=-1,-1,AR85+1))))</f>
        <v>8</v>
      </c>
      <c r="AT85" s="16">
        <f>IF(OR(Z85=regle!$J$11,Z85=regle!$K$11),-2,IF(Z85=regle!$B$11,0,IF(AT$1=$AK$1,IF($O85,-1,regle!$B$2-$M85),IF(AS85=-1,-1,AS85+1))))</f>
        <v>9</v>
      </c>
    </row>
    <row r="86" spans="1:46" x14ac:dyDescent="0.25">
      <c r="A86" t="b">
        <f>modif1!A86</f>
        <v>1</v>
      </c>
      <c r="B86">
        <f>ROW(modif1!B86)</f>
        <v>86</v>
      </c>
      <c r="C86" t="str">
        <f>modif1!C89</f>
        <v>200</v>
      </c>
      <c r="D86" t="str">
        <f>modif1!D86</f>
        <v>MANO</v>
      </c>
      <c r="E86">
        <f>modif1!E86</f>
        <v>10</v>
      </c>
      <c r="F86" t="str">
        <f>modif1!F86</f>
        <v>LA PEYRERE</v>
      </c>
      <c r="G86" t="str">
        <f>modif1!G86</f>
        <v>0C</v>
      </c>
      <c r="H86">
        <f>modif1!H86</f>
        <v>176</v>
      </c>
      <c r="I86" t="str">
        <f>modif1!I86</f>
        <v/>
      </c>
      <c r="J86" s="11">
        <f>modif1!J86</f>
        <v>1.61E-2</v>
      </c>
      <c r="K86" t="str">
        <f>modif1!K86</f>
        <v>CR</v>
      </c>
      <c r="L86" t="str">
        <f>modif1!L86</f>
        <v>PM</v>
      </c>
      <c r="M86">
        <f>modif1!M86</f>
        <v>2022</v>
      </c>
      <c r="N86" t="str">
        <f>modif1!N86</f>
        <v>CR-PM_2022</v>
      </c>
      <c r="O86" t="b">
        <f>modif1!O86</f>
        <v>1</v>
      </c>
      <c r="P86">
        <v>40</v>
      </c>
      <c r="Q86" t="s">
        <v>1868</v>
      </c>
      <c r="S86" t="s">
        <v>1872</v>
      </c>
      <c r="U86" t="s">
        <v>1870</v>
      </c>
      <c r="X86" t="s">
        <v>1871</v>
      </c>
      <c r="Z86"/>
      <c r="AA86" s="17">
        <f>IF($A86,$J86*(IF(Q86=regle!$B$11,regle!$B$23*IF(AJ86=-2,1+regle!$B$35,1),
IF(Q86=regle!$C$11,regle!$C$23,
IF(Q86=regle!$D$11,regle!$D$23,
IF(Q86=regle!$E$11,regle!$E$23,
IF(Q86=regle!$F$11,regle!$F$23,
IF(Q86=regle!$G$11,regle!$G$23,
IF(Q86=regle!$H$11,regle!$H$23,
IF(Q86=regle!$I$11,regle!$I$23,
IF(Q86=regle!$J$11,regle!$J$23,
IF(Q86=regle!$K$11,regle!$K$23,0))))))))))))</f>
        <v>-27.37</v>
      </c>
      <c r="AB86" s="17">
        <f>IF($A86,$J86*(IF(R86=regle!$B$11,regle!$B$23*IF(AK86=-2,1+regle!$B$35,1),
IF(R86=regle!$C$11,regle!$C$23,
IF(R86=regle!$D$11,regle!$D$23,
IF(R86=regle!$E$11,regle!$E$23,
IF(R86=regle!$F$11,regle!$F$23,
IF(R86=regle!$G$11,regle!$G$23,
IF(R86=regle!$H$11,regle!$H$23,
IF(R86=regle!$I$11,regle!$I$23,
IF(R86=regle!$J$11,regle!$J$23,
IF(R86=regle!$K$11,regle!$K$23,0))))))))))))</f>
        <v>0</v>
      </c>
      <c r="AC86" s="17">
        <f>IF($A86,$J86*(IF(S86=regle!$B$11,regle!$B$23*IF(AL86=-2,1+regle!$B$35,1),
IF(S86=regle!$C$11,regle!$C$23,
IF(S86=regle!$D$11,regle!$D$23,
IF(S86=regle!$E$11,regle!$E$23,
IF(S86=regle!$F$11,regle!$F$23,
IF(S86=regle!$G$11,regle!$G$23,
IF(S86=regle!$H$11,regle!$H$23,
IF(S86=regle!$I$11,regle!$I$23,
IF(S86=regle!$J$11,regle!$J$23,
IF(S86=regle!$K$11,regle!$K$23,0))))))))))))</f>
        <v>-1.2075</v>
      </c>
      <c r="AD86" s="17">
        <f>IF($A86,$J86*(IF(T86=regle!$B$11,regle!$B$23*IF(AM86=-2,1+regle!$B$35,1),
IF(T86=regle!$C$11,regle!$C$23,
IF(T86=regle!$D$11,regle!$D$23,
IF(T86=regle!$E$11,regle!$E$23,
IF(T86=regle!$F$11,regle!$F$23,
IF(T86=regle!$G$11,regle!$G$23,
IF(T86=regle!$H$11,regle!$H$23,
IF(T86=regle!$I$11,regle!$I$23,
IF(T86=regle!$J$11,regle!$J$23,
IF(T86=regle!$K$11,regle!$K$23,0))))))))))))</f>
        <v>0</v>
      </c>
      <c r="AE86" s="17">
        <f>IF($A86,$J86*(IF(U86=regle!$B$11,regle!$B$23*IF(AN86=-2,1+regle!$B$35,1),
IF(U86=regle!$C$11,regle!$C$23,
IF(U86=regle!$D$11,regle!$D$23,
IF(U86=regle!$E$11,regle!$E$23,
IF(U86=regle!$F$11,regle!$F$23,
IF(U86=regle!$G$11,regle!$G$23,
IF(U86=regle!$H$11,regle!$H$23,
IF(U86=regle!$I$11,regle!$I$23,
IF(U86=regle!$J$11,regle!$J$23,
IF(U86=regle!$K$11,regle!$K$23,0))))))))))))</f>
        <v>-1.4490000000000001</v>
      </c>
      <c r="AF86" s="17">
        <f>IF($A86,$J86*(IF(V86=regle!$B$11,regle!$B$23*IF(AO86=-2,1+regle!$B$35,1),
IF(V86=regle!$C$11,regle!$C$23,
IF(V86=regle!$D$11,regle!$D$23,
IF(V86=regle!$E$11,regle!$E$23,
IF(V86=regle!$F$11,regle!$F$23,
IF(V86=regle!$G$11,regle!$G$23,
IF(V86=regle!$H$11,regle!$H$23,
IF(V86=regle!$I$11,regle!$I$23,
IF(V86=regle!$J$11,regle!$J$23,
IF(V86=regle!$K$11,regle!$K$23,0))))))))))))</f>
        <v>0</v>
      </c>
      <c r="AG86" s="17">
        <f>IF($A86,$J86*(IF(W86=regle!$B$11,regle!$B$23*IF(AP86=-2,1+regle!$B$35,1),
IF(W86=regle!$C$11,regle!$C$23,
IF(W86=regle!$D$11,regle!$D$23,
IF(W86=regle!$E$11,regle!$E$23,
IF(W86=regle!$F$11,regle!$F$23,
IF(W86=regle!$G$11,regle!$G$23,
IF(W86=regle!$H$11,regle!$H$23,
IF(W86=regle!$I$11,regle!$I$23,
IF(W86=regle!$J$11,regle!$J$23,
IF(W86=regle!$K$11,regle!$K$23,0))))))))))))</f>
        <v>0</v>
      </c>
      <c r="AH86" s="17">
        <f>IF($A86,$J86*(IF(X86=regle!$B$11,regle!$B$23*IF(AQ86=-2,1+regle!$B$35,1),
IF(X86=regle!$C$11,regle!$C$23,
IF(X86=regle!$D$11,regle!$D$23,
IF(X86=regle!$E$11,regle!$E$23,
IF(X86=regle!$F$11,regle!$F$23,
IF(X86=regle!$G$11,regle!$G$23,
IF(X86=regle!$H$11,regle!$H$23,
IF(X86=regle!$I$11,regle!$I$23,
IF(X86=regle!$J$11,regle!$J$23,
IF(X86=regle!$K$11,regle!$K$23,0))))))))))))</f>
        <v>-1.4490000000000001</v>
      </c>
      <c r="AI86" s="17">
        <f>IF($A86,$J86*(IF(Y86=regle!$B$11,regle!$B$23*IF(AR86=-2,1+regle!$B$35,1),
IF(Y86=regle!$C$11,regle!$C$23,
IF(Y86=regle!$D$11,regle!$D$23,
IF(Y86=regle!$E$11,regle!$E$23,
IF(Y86=regle!$F$11,regle!$F$23,
IF(Y86=regle!$G$11,regle!$G$23,
IF(Y86=regle!$H$11,regle!$H$23,
IF(Y86=regle!$I$11,regle!$I$23,
IF(Y86=regle!$J$11,regle!$J$23,
IF(Y86=regle!$K$11,regle!$K$23,0))))))))))))</f>
        <v>0</v>
      </c>
      <c r="AJ86" s="17">
        <f>IF($A86,$J86*(IF(Z86=regle!$B$11,regle!$B$23*IF(AS86=-2,1+regle!$B$35,1),
IF(Z86=regle!$C$11,regle!$C$23,
IF(Z86=regle!$D$11,regle!$D$23,
IF(Z86=regle!$E$11,regle!$E$23,
IF(Z86=regle!$F$11,regle!$F$23,
IF(Z86=regle!$G$11,regle!$G$23,
IF(Z86=regle!$H$11,regle!$H$23,
IF(Z86=regle!$I$11,regle!$I$23,
IF(Z86=regle!$J$11,regle!$J$23,
IF(Z86=regle!$K$11,regle!$K$23,0))))))))))))</f>
        <v>0</v>
      </c>
      <c r="AK86" s="16">
        <f>IF(OR(Q86=regle!$J$11,Q86=regle!$K$11),-2,IF(Q86=regle!$B$11,0,IF(AK$1=$AK$1,IF($O86,-1,regle!$B$2-$M86),IF(AJ86=-1,-1,AJ86+1))))</f>
        <v>0</v>
      </c>
      <c r="AL86" s="16">
        <f>IF(OR(R86=regle!$J$11,R86=regle!$K$11),-2,IF(R86=regle!$B$11,0,IF(AL$1=$AK$1,IF($O86,-1,regle!$B$2-$M86),IF(AK86=-1,-1,AK86+1))))</f>
        <v>1</v>
      </c>
      <c r="AM86" s="16">
        <f>IF(OR(S86=regle!$J$11,S86=regle!$K$11),-2,IF(S86=regle!$B$11,0,IF(AM$1=$AK$1,IF($O86,-1,regle!$B$2-$M86),IF(AL86=-1,-1,AL86+1))))</f>
        <v>2</v>
      </c>
      <c r="AN86" s="16">
        <f>IF(OR(T86=regle!$J$11,T86=regle!$K$11),-2,IF(T86=regle!$B$11,0,IF(AN$1=$AK$1,IF($O86,-1,regle!$B$2-$M86),IF(AM86=-1,-1,AM86+1))))</f>
        <v>3</v>
      </c>
      <c r="AO86" s="16">
        <f>IF(OR(U86=regle!$J$11,U86=regle!$K$11),-2,IF(U86=regle!$B$11,0,IF(AO$1=$AK$1,IF($O86,-1,regle!$B$2-$M86),IF(AN86=-1,-1,AN86+1))))</f>
        <v>4</v>
      </c>
      <c r="AP86" s="16">
        <f>IF(OR(V86=regle!$J$11,V86=regle!$K$11),-2,IF(V86=regle!$B$11,0,IF(AP$1=$AK$1,IF($O86,-1,regle!$B$2-$M86),IF(AO86=-1,-1,AO86+1))))</f>
        <v>5</v>
      </c>
      <c r="AQ86" s="16">
        <f>IF(OR(W86=regle!$J$11,W86=regle!$K$11),-2,IF(W86=regle!$B$11,0,IF(AQ$1=$AK$1,IF($O86,-1,regle!$B$2-$M86),IF(AP86=-1,-1,AP86+1))))</f>
        <v>6</v>
      </c>
      <c r="AR86" s="16">
        <f>IF(OR(X86=regle!$J$11,X86=regle!$K$11),-2,IF(X86=regle!$B$11,0,IF(AR$1=$AK$1,IF($O86,-1,regle!$B$2-$M86),IF(AQ86=-1,-1,AQ86+1))))</f>
        <v>7</v>
      </c>
      <c r="AS86" s="16">
        <f>IF(OR(Y86=regle!$J$11,Y86=regle!$K$11),-2,IF(Y86=regle!$B$11,0,IF(AS$1=$AK$1,IF($O86,-1,regle!$B$2-$M86),IF(AR86=-1,-1,AR86+1))))</f>
        <v>8</v>
      </c>
      <c r="AT86" s="16">
        <f>IF(OR(Z86=regle!$J$11,Z86=regle!$K$11),-2,IF(Z86=regle!$B$11,0,IF(AT$1=$AK$1,IF($O86,-1,regle!$B$2-$M86),IF(AS86=-1,-1,AS86+1))))</f>
        <v>9</v>
      </c>
    </row>
    <row r="87" spans="1:46" x14ac:dyDescent="0.25">
      <c r="A87" t="b">
        <f>modif1!A87</f>
        <v>1</v>
      </c>
      <c r="B87">
        <f>ROW(modif1!B87)</f>
        <v>87</v>
      </c>
      <c r="C87" t="str">
        <f>modif1!C90</f>
        <v>200</v>
      </c>
      <c r="D87" t="str">
        <f>modif1!D87</f>
        <v>MANO</v>
      </c>
      <c r="E87">
        <f>modif1!E87</f>
        <v>17</v>
      </c>
      <c r="F87" t="str">
        <f>modif1!F87</f>
        <v>LANDE DE TABARTON</v>
      </c>
      <c r="G87" t="str">
        <f>modif1!G87</f>
        <v>0B</v>
      </c>
      <c r="H87">
        <f>modif1!H87</f>
        <v>250</v>
      </c>
      <c r="I87" t="str">
        <f>modif1!I87</f>
        <v/>
      </c>
      <c r="J87" s="11">
        <f>modif1!J87</f>
        <v>1.4999999999999999E-2</v>
      </c>
      <c r="K87" t="str">
        <f>modif1!K87</f>
        <v>CR</v>
      </c>
      <c r="L87" t="str">
        <f>modif1!L87</f>
        <v>PM</v>
      </c>
      <c r="M87">
        <f>modif1!M87</f>
        <v>2022</v>
      </c>
      <c r="N87" t="str">
        <f>modif1!N87</f>
        <v>CR-PM_2022</v>
      </c>
      <c r="O87" t="b">
        <f>modif1!O87</f>
        <v>1</v>
      </c>
      <c r="P87">
        <v>40</v>
      </c>
      <c r="Q87" t="s">
        <v>1868</v>
      </c>
      <c r="S87" t="s">
        <v>1872</v>
      </c>
      <c r="U87" t="s">
        <v>1870</v>
      </c>
      <c r="X87" t="s">
        <v>1871</v>
      </c>
      <c r="Z87"/>
      <c r="AA87" s="17">
        <f>IF($A87,$J87*(IF(Q87=regle!$B$11,regle!$B$23*IF(AJ87=-2,1+regle!$B$35,1),
IF(Q87=regle!$C$11,regle!$C$23,
IF(Q87=regle!$D$11,regle!$D$23,
IF(Q87=regle!$E$11,regle!$E$23,
IF(Q87=regle!$F$11,regle!$F$23,
IF(Q87=regle!$G$11,regle!$G$23,
IF(Q87=regle!$H$11,regle!$H$23,
IF(Q87=regle!$I$11,regle!$I$23,
IF(Q87=regle!$J$11,regle!$J$23,
IF(Q87=regle!$K$11,regle!$K$23,0))))))))))))</f>
        <v>-25.5</v>
      </c>
      <c r="AB87" s="17">
        <f>IF($A87,$J87*(IF(R87=regle!$B$11,regle!$B$23*IF(AK87=-2,1+regle!$B$35,1),
IF(R87=regle!$C$11,regle!$C$23,
IF(R87=regle!$D$11,regle!$D$23,
IF(R87=regle!$E$11,regle!$E$23,
IF(R87=regle!$F$11,regle!$F$23,
IF(R87=regle!$G$11,regle!$G$23,
IF(R87=regle!$H$11,regle!$H$23,
IF(R87=regle!$I$11,regle!$I$23,
IF(R87=regle!$J$11,regle!$J$23,
IF(R87=regle!$K$11,regle!$K$23,0))))))))))))</f>
        <v>0</v>
      </c>
      <c r="AC87" s="17">
        <f>IF($A87,$J87*(IF(S87=regle!$B$11,regle!$B$23*IF(AL87=-2,1+regle!$B$35,1),
IF(S87=regle!$C$11,regle!$C$23,
IF(S87=regle!$D$11,regle!$D$23,
IF(S87=regle!$E$11,regle!$E$23,
IF(S87=regle!$F$11,regle!$F$23,
IF(S87=regle!$G$11,regle!$G$23,
IF(S87=regle!$H$11,regle!$H$23,
IF(S87=regle!$I$11,regle!$I$23,
IF(S87=regle!$J$11,regle!$J$23,
IF(S87=regle!$K$11,regle!$K$23,0))))))))))))</f>
        <v>-1.125</v>
      </c>
      <c r="AD87" s="17">
        <f>IF($A87,$J87*(IF(T87=regle!$B$11,regle!$B$23*IF(AM87=-2,1+regle!$B$35,1),
IF(T87=regle!$C$11,regle!$C$23,
IF(T87=regle!$D$11,regle!$D$23,
IF(T87=regle!$E$11,regle!$E$23,
IF(T87=regle!$F$11,regle!$F$23,
IF(T87=regle!$G$11,regle!$G$23,
IF(T87=regle!$H$11,regle!$H$23,
IF(T87=regle!$I$11,regle!$I$23,
IF(T87=regle!$J$11,regle!$J$23,
IF(T87=regle!$K$11,regle!$K$23,0))))))))))))</f>
        <v>0</v>
      </c>
      <c r="AE87" s="17">
        <f>IF($A87,$J87*(IF(U87=regle!$B$11,regle!$B$23*IF(AN87=-2,1+regle!$B$35,1),
IF(U87=regle!$C$11,regle!$C$23,
IF(U87=regle!$D$11,regle!$D$23,
IF(U87=regle!$E$11,regle!$E$23,
IF(U87=regle!$F$11,regle!$F$23,
IF(U87=regle!$G$11,regle!$G$23,
IF(U87=regle!$H$11,regle!$H$23,
IF(U87=regle!$I$11,regle!$I$23,
IF(U87=regle!$J$11,regle!$J$23,
IF(U87=regle!$K$11,regle!$K$23,0))))))))))))</f>
        <v>-1.3499999999999999</v>
      </c>
      <c r="AF87" s="17">
        <f>IF($A87,$J87*(IF(V87=regle!$B$11,regle!$B$23*IF(AO87=-2,1+regle!$B$35,1),
IF(V87=regle!$C$11,regle!$C$23,
IF(V87=regle!$D$11,regle!$D$23,
IF(V87=regle!$E$11,regle!$E$23,
IF(V87=regle!$F$11,regle!$F$23,
IF(V87=regle!$G$11,regle!$G$23,
IF(V87=regle!$H$11,regle!$H$23,
IF(V87=regle!$I$11,regle!$I$23,
IF(V87=regle!$J$11,regle!$J$23,
IF(V87=regle!$K$11,regle!$K$23,0))))))))))))</f>
        <v>0</v>
      </c>
      <c r="AG87" s="17">
        <f>IF($A87,$J87*(IF(W87=regle!$B$11,regle!$B$23*IF(AP87=-2,1+regle!$B$35,1),
IF(W87=regle!$C$11,regle!$C$23,
IF(W87=regle!$D$11,regle!$D$23,
IF(W87=regle!$E$11,regle!$E$23,
IF(W87=regle!$F$11,regle!$F$23,
IF(W87=regle!$G$11,regle!$G$23,
IF(W87=regle!$H$11,regle!$H$23,
IF(W87=regle!$I$11,regle!$I$23,
IF(W87=regle!$J$11,regle!$J$23,
IF(W87=regle!$K$11,regle!$K$23,0))))))))))))</f>
        <v>0</v>
      </c>
      <c r="AH87" s="17">
        <f>IF($A87,$J87*(IF(X87=regle!$B$11,regle!$B$23*IF(AQ87=-2,1+regle!$B$35,1),
IF(X87=regle!$C$11,regle!$C$23,
IF(X87=regle!$D$11,regle!$D$23,
IF(X87=regle!$E$11,regle!$E$23,
IF(X87=regle!$F$11,regle!$F$23,
IF(X87=regle!$G$11,regle!$G$23,
IF(X87=regle!$H$11,regle!$H$23,
IF(X87=regle!$I$11,regle!$I$23,
IF(X87=regle!$J$11,regle!$J$23,
IF(X87=regle!$K$11,regle!$K$23,0))))))))))))</f>
        <v>-1.3499999999999999</v>
      </c>
      <c r="AI87" s="17">
        <f>IF($A87,$J87*(IF(Y87=regle!$B$11,regle!$B$23*IF(AR87=-2,1+regle!$B$35,1),
IF(Y87=regle!$C$11,regle!$C$23,
IF(Y87=regle!$D$11,regle!$D$23,
IF(Y87=regle!$E$11,regle!$E$23,
IF(Y87=regle!$F$11,regle!$F$23,
IF(Y87=regle!$G$11,regle!$G$23,
IF(Y87=regle!$H$11,regle!$H$23,
IF(Y87=regle!$I$11,regle!$I$23,
IF(Y87=regle!$J$11,regle!$J$23,
IF(Y87=regle!$K$11,regle!$K$23,0))))))))))))</f>
        <v>0</v>
      </c>
      <c r="AJ87" s="17">
        <f>IF($A87,$J87*(IF(Z87=regle!$B$11,regle!$B$23*IF(AS87=-2,1+regle!$B$35,1),
IF(Z87=regle!$C$11,regle!$C$23,
IF(Z87=regle!$D$11,regle!$D$23,
IF(Z87=regle!$E$11,regle!$E$23,
IF(Z87=regle!$F$11,regle!$F$23,
IF(Z87=regle!$G$11,regle!$G$23,
IF(Z87=regle!$H$11,regle!$H$23,
IF(Z87=regle!$I$11,regle!$I$23,
IF(Z87=regle!$J$11,regle!$J$23,
IF(Z87=regle!$K$11,regle!$K$23,0))))))))))))</f>
        <v>0</v>
      </c>
      <c r="AK87" s="16">
        <f>IF(OR(Q87=regle!$J$11,Q87=regle!$K$11),-2,IF(Q87=regle!$B$11,0,IF(AK$1=$AK$1,IF($O87,-1,regle!$B$2-$M87),IF(AJ87=-1,-1,AJ87+1))))</f>
        <v>0</v>
      </c>
      <c r="AL87" s="16">
        <f>IF(OR(R87=regle!$J$11,R87=regle!$K$11),-2,IF(R87=regle!$B$11,0,IF(AL$1=$AK$1,IF($O87,-1,regle!$B$2-$M87),IF(AK87=-1,-1,AK87+1))))</f>
        <v>1</v>
      </c>
      <c r="AM87" s="16">
        <f>IF(OR(S87=regle!$J$11,S87=regle!$K$11),-2,IF(S87=regle!$B$11,0,IF(AM$1=$AK$1,IF($O87,-1,regle!$B$2-$M87),IF(AL87=-1,-1,AL87+1))))</f>
        <v>2</v>
      </c>
      <c r="AN87" s="16">
        <f>IF(OR(T87=regle!$J$11,T87=regle!$K$11),-2,IF(T87=regle!$B$11,0,IF(AN$1=$AK$1,IF($O87,-1,regle!$B$2-$M87),IF(AM87=-1,-1,AM87+1))))</f>
        <v>3</v>
      </c>
      <c r="AO87" s="16">
        <f>IF(OR(U87=regle!$J$11,U87=regle!$K$11),-2,IF(U87=regle!$B$11,0,IF(AO$1=$AK$1,IF($O87,-1,regle!$B$2-$M87),IF(AN87=-1,-1,AN87+1))))</f>
        <v>4</v>
      </c>
      <c r="AP87" s="16">
        <f>IF(OR(V87=regle!$J$11,V87=regle!$K$11),-2,IF(V87=regle!$B$11,0,IF(AP$1=$AK$1,IF($O87,-1,regle!$B$2-$M87),IF(AO87=-1,-1,AO87+1))))</f>
        <v>5</v>
      </c>
      <c r="AQ87" s="16">
        <f>IF(OR(W87=regle!$J$11,W87=regle!$K$11),-2,IF(W87=regle!$B$11,0,IF(AQ$1=$AK$1,IF($O87,-1,regle!$B$2-$M87),IF(AP87=-1,-1,AP87+1))))</f>
        <v>6</v>
      </c>
      <c r="AR87" s="16">
        <f>IF(OR(X87=regle!$J$11,X87=regle!$K$11),-2,IF(X87=regle!$B$11,0,IF(AR$1=$AK$1,IF($O87,-1,regle!$B$2-$M87),IF(AQ87=-1,-1,AQ87+1))))</f>
        <v>7</v>
      </c>
      <c r="AS87" s="16">
        <f>IF(OR(Y87=regle!$J$11,Y87=regle!$K$11),-2,IF(Y87=regle!$B$11,0,IF(AS$1=$AK$1,IF($O87,-1,regle!$B$2-$M87),IF(AR87=-1,-1,AR87+1))))</f>
        <v>8</v>
      </c>
      <c r="AT87" s="16">
        <f>IF(OR(Z87=regle!$J$11,Z87=regle!$K$11),-2,IF(Z87=regle!$B$11,0,IF(AT$1=$AK$1,IF($O87,-1,regle!$B$2-$M87),IF(AS87=-1,-1,AS87+1))))</f>
        <v>9</v>
      </c>
    </row>
    <row r="88" spans="1:46" x14ac:dyDescent="0.25">
      <c r="A88" t="b">
        <f>modif1!A88</f>
        <v>1</v>
      </c>
      <c r="B88">
        <f>ROW(modif1!B88)</f>
        <v>88</v>
      </c>
      <c r="C88" t="str">
        <f>modif1!C91</f>
        <v>200</v>
      </c>
      <c r="D88" t="str">
        <f>modif1!D88</f>
        <v>MOUSTEY</v>
      </c>
      <c r="E88">
        <f>modif1!E88</f>
        <v>4</v>
      </c>
      <c r="F88" t="str">
        <f>modif1!F88</f>
        <v>Kycs</v>
      </c>
      <c r="G88" t="str">
        <f>modif1!G88</f>
        <v>0M</v>
      </c>
      <c r="H88">
        <f>modif1!H88</f>
        <v>80</v>
      </c>
      <c r="I88" t="str">
        <f>modif1!I88</f>
        <v>k</v>
      </c>
      <c r="J88" s="11">
        <f>modif1!J88</f>
        <v>3.8868</v>
      </c>
      <c r="K88" t="str">
        <f>modif1!K88</f>
        <v>CR</v>
      </c>
      <c r="L88" t="str">
        <f>modif1!L88</f>
        <v>PM</v>
      </c>
      <c r="M88">
        <f>modif1!M88</f>
        <v>2021</v>
      </c>
      <c r="N88" t="str">
        <f>modif1!N88</f>
        <v>CR-PM_2021</v>
      </c>
      <c r="O88" t="b">
        <f>modif1!O88</f>
        <v>1</v>
      </c>
      <c r="P88">
        <v>40</v>
      </c>
      <c r="Q88" t="s">
        <v>1868</v>
      </c>
      <c r="S88" t="s">
        <v>1872</v>
      </c>
      <c r="U88" t="s">
        <v>1870</v>
      </c>
      <c r="X88" t="s">
        <v>1871</v>
      </c>
      <c r="Z88"/>
      <c r="AA88" s="17">
        <f>IF($A88,$J88*(IF(Q88=regle!$B$11,regle!$B$23*IF(AJ88=-2,1+regle!$B$35,1),
IF(Q88=regle!$C$11,regle!$C$23,
IF(Q88=regle!$D$11,regle!$D$23,
IF(Q88=regle!$E$11,regle!$E$23,
IF(Q88=regle!$F$11,regle!$F$23,
IF(Q88=regle!$G$11,regle!$G$23,
IF(Q88=regle!$H$11,regle!$H$23,
IF(Q88=regle!$I$11,regle!$I$23,
IF(Q88=regle!$J$11,regle!$J$23,
IF(Q88=regle!$K$11,regle!$K$23,0))))))))))))</f>
        <v>-6607.56</v>
      </c>
      <c r="AB88" s="17">
        <f>IF($A88,$J88*(IF(R88=regle!$B$11,regle!$B$23*IF(AK88=-2,1+regle!$B$35,1),
IF(R88=regle!$C$11,regle!$C$23,
IF(R88=regle!$D$11,regle!$D$23,
IF(R88=regle!$E$11,regle!$E$23,
IF(R88=regle!$F$11,regle!$F$23,
IF(R88=regle!$G$11,regle!$G$23,
IF(R88=regle!$H$11,regle!$H$23,
IF(R88=regle!$I$11,regle!$I$23,
IF(R88=regle!$J$11,regle!$J$23,
IF(R88=regle!$K$11,regle!$K$23,0))))))))))))</f>
        <v>0</v>
      </c>
      <c r="AC88" s="17">
        <f>IF($A88,$J88*(IF(S88=regle!$B$11,regle!$B$23*IF(AL88=-2,1+regle!$B$35,1),
IF(S88=regle!$C$11,regle!$C$23,
IF(S88=regle!$D$11,regle!$D$23,
IF(S88=regle!$E$11,regle!$E$23,
IF(S88=regle!$F$11,regle!$F$23,
IF(S88=regle!$G$11,regle!$G$23,
IF(S88=regle!$H$11,regle!$H$23,
IF(S88=regle!$I$11,regle!$I$23,
IF(S88=regle!$J$11,regle!$J$23,
IF(S88=regle!$K$11,regle!$K$23,0))))))))))))</f>
        <v>-291.51</v>
      </c>
      <c r="AD88" s="17">
        <f>IF($A88,$J88*(IF(T88=regle!$B$11,regle!$B$23*IF(AM88=-2,1+regle!$B$35,1),
IF(T88=regle!$C$11,regle!$C$23,
IF(T88=regle!$D$11,regle!$D$23,
IF(T88=regle!$E$11,regle!$E$23,
IF(T88=regle!$F$11,regle!$F$23,
IF(T88=regle!$G$11,regle!$G$23,
IF(T88=regle!$H$11,regle!$H$23,
IF(T88=regle!$I$11,regle!$I$23,
IF(T88=regle!$J$11,regle!$J$23,
IF(T88=regle!$K$11,regle!$K$23,0))))))))))))</f>
        <v>0</v>
      </c>
      <c r="AE88" s="17">
        <f>IF($A88,$J88*(IF(U88=regle!$B$11,regle!$B$23*IF(AN88=-2,1+regle!$B$35,1),
IF(U88=regle!$C$11,regle!$C$23,
IF(U88=regle!$D$11,regle!$D$23,
IF(U88=regle!$E$11,regle!$E$23,
IF(U88=regle!$F$11,regle!$F$23,
IF(U88=regle!$G$11,regle!$G$23,
IF(U88=regle!$H$11,regle!$H$23,
IF(U88=regle!$I$11,regle!$I$23,
IF(U88=regle!$J$11,regle!$J$23,
IF(U88=regle!$K$11,regle!$K$23,0))))))))))))</f>
        <v>-349.81200000000001</v>
      </c>
      <c r="AF88" s="17">
        <f>IF($A88,$J88*(IF(V88=regle!$B$11,regle!$B$23*IF(AO88=-2,1+regle!$B$35,1),
IF(V88=regle!$C$11,regle!$C$23,
IF(V88=regle!$D$11,regle!$D$23,
IF(V88=regle!$E$11,regle!$E$23,
IF(V88=regle!$F$11,regle!$F$23,
IF(V88=regle!$G$11,regle!$G$23,
IF(V88=regle!$H$11,regle!$H$23,
IF(V88=regle!$I$11,regle!$I$23,
IF(V88=regle!$J$11,regle!$J$23,
IF(V88=regle!$K$11,regle!$K$23,0))))))))))))</f>
        <v>0</v>
      </c>
      <c r="AG88" s="17">
        <f>IF($A88,$J88*(IF(W88=regle!$B$11,regle!$B$23*IF(AP88=-2,1+regle!$B$35,1),
IF(W88=regle!$C$11,regle!$C$23,
IF(W88=regle!$D$11,regle!$D$23,
IF(W88=regle!$E$11,regle!$E$23,
IF(W88=regle!$F$11,regle!$F$23,
IF(W88=regle!$G$11,regle!$G$23,
IF(W88=regle!$H$11,regle!$H$23,
IF(W88=regle!$I$11,regle!$I$23,
IF(W88=regle!$J$11,regle!$J$23,
IF(W88=regle!$K$11,regle!$K$23,0))))))))))))</f>
        <v>0</v>
      </c>
      <c r="AH88" s="17">
        <f>IF($A88,$J88*(IF(X88=regle!$B$11,regle!$B$23*IF(AQ88=-2,1+regle!$B$35,1),
IF(X88=regle!$C$11,regle!$C$23,
IF(X88=regle!$D$11,regle!$D$23,
IF(X88=regle!$E$11,regle!$E$23,
IF(X88=regle!$F$11,regle!$F$23,
IF(X88=regle!$G$11,regle!$G$23,
IF(X88=regle!$H$11,regle!$H$23,
IF(X88=regle!$I$11,regle!$I$23,
IF(X88=regle!$J$11,regle!$J$23,
IF(X88=regle!$K$11,regle!$K$23,0))))))))))))</f>
        <v>-349.81200000000001</v>
      </c>
      <c r="AI88" s="17">
        <f>IF($A88,$J88*(IF(Y88=regle!$B$11,regle!$B$23*IF(AR88=-2,1+regle!$B$35,1),
IF(Y88=regle!$C$11,regle!$C$23,
IF(Y88=regle!$D$11,regle!$D$23,
IF(Y88=regle!$E$11,regle!$E$23,
IF(Y88=regle!$F$11,regle!$F$23,
IF(Y88=regle!$G$11,regle!$G$23,
IF(Y88=regle!$H$11,regle!$H$23,
IF(Y88=regle!$I$11,regle!$I$23,
IF(Y88=regle!$J$11,regle!$J$23,
IF(Y88=regle!$K$11,regle!$K$23,0))))))))))))</f>
        <v>0</v>
      </c>
      <c r="AJ88" s="17">
        <f>IF($A88,$J88*(IF(Z88=regle!$B$11,regle!$B$23*IF(AS88=-2,1+regle!$B$35,1),
IF(Z88=regle!$C$11,regle!$C$23,
IF(Z88=regle!$D$11,regle!$D$23,
IF(Z88=regle!$E$11,regle!$E$23,
IF(Z88=regle!$F$11,regle!$F$23,
IF(Z88=regle!$G$11,regle!$G$23,
IF(Z88=regle!$H$11,regle!$H$23,
IF(Z88=regle!$I$11,regle!$I$23,
IF(Z88=regle!$J$11,regle!$J$23,
IF(Z88=regle!$K$11,regle!$K$23,0))))))))))))</f>
        <v>0</v>
      </c>
      <c r="AK88" s="16">
        <f>IF(OR(Q88=regle!$J$11,Q88=regle!$K$11),-2,IF(Q88=regle!$B$11,0,IF(AK$1=$AK$1,IF($O88,-1,regle!$B$2-$M88),IF(AJ88=-1,-1,AJ88+1))))</f>
        <v>0</v>
      </c>
      <c r="AL88" s="16">
        <f>IF(OR(R88=regle!$J$11,R88=regle!$K$11),-2,IF(R88=regle!$B$11,0,IF(AL$1=$AK$1,IF($O88,-1,regle!$B$2-$M88),IF(AK88=-1,-1,AK88+1))))</f>
        <v>1</v>
      </c>
      <c r="AM88" s="16">
        <f>IF(OR(S88=regle!$J$11,S88=regle!$K$11),-2,IF(S88=regle!$B$11,0,IF(AM$1=$AK$1,IF($O88,-1,regle!$B$2-$M88),IF(AL88=-1,-1,AL88+1))))</f>
        <v>2</v>
      </c>
      <c r="AN88" s="16">
        <f>IF(OR(T88=regle!$J$11,T88=regle!$K$11),-2,IF(T88=regle!$B$11,0,IF(AN$1=$AK$1,IF($O88,-1,regle!$B$2-$M88),IF(AM88=-1,-1,AM88+1))))</f>
        <v>3</v>
      </c>
      <c r="AO88" s="16">
        <f>IF(OR(U88=regle!$J$11,U88=regle!$K$11),-2,IF(U88=regle!$B$11,0,IF(AO$1=$AK$1,IF($O88,-1,regle!$B$2-$M88),IF(AN88=-1,-1,AN88+1))))</f>
        <v>4</v>
      </c>
      <c r="AP88" s="16">
        <f>IF(OR(V88=regle!$J$11,V88=regle!$K$11),-2,IF(V88=regle!$B$11,0,IF(AP$1=$AK$1,IF($O88,-1,regle!$B$2-$M88),IF(AO88=-1,-1,AO88+1))))</f>
        <v>5</v>
      </c>
      <c r="AQ88" s="16">
        <f>IF(OR(W88=regle!$J$11,W88=regle!$K$11),-2,IF(W88=regle!$B$11,0,IF(AQ$1=$AK$1,IF($O88,-1,regle!$B$2-$M88),IF(AP88=-1,-1,AP88+1))))</f>
        <v>6</v>
      </c>
      <c r="AR88" s="16">
        <f>IF(OR(X88=regle!$J$11,X88=regle!$K$11),-2,IF(X88=regle!$B$11,0,IF(AR$1=$AK$1,IF($O88,-1,regle!$B$2-$M88),IF(AQ88=-1,-1,AQ88+1))))</f>
        <v>7</v>
      </c>
      <c r="AS88" s="16">
        <f>IF(OR(Y88=regle!$J$11,Y88=regle!$K$11),-2,IF(Y88=regle!$B$11,0,IF(AS$1=$AK$1,IF($O88,-1,regle!$B$2-$M88),IF(AR88=-1,-1,AR88+1))))</f>
        <v>8</v>
      </c>
      <c r="AT88" s="16">
        <f>IF(OR(Z88=regle!$J$11,Z88=regle!$K$11),-2,IF(Z88=regle!$B$11,0,IF(AT$1=$AK$1,IF($O88,-1,regle!$B$2-$M88),IF(AS88=-1,-1,AS88+1))))</f>
        <v>9</v>
      </c>
    </row>
    <row r="89" spans="1:46" x14ac:dyDescent="0.25">
      <c r="A89" t="b">
        <f>modif1!A89</f>
        <v>1</v>
      </c>
      <c r="B89">
        <f>ROW(modif1!B89)</f>
        <v>89</v>
      </c>
      <c r="C89" t="str">
        <f>modif1!C92</f>
        <v>200</v>
      </c>
      <c r="D89" t="str">
        <f>modif1!D89</f>
        <v>MOUSTEY</v>
      </c>
      <c r="E89">
        <f>modif1!E89</f>
        <v>4</v>
      </c>
      <c r="F89" t="str">
        <f>modif1!F89</f>
        <v>Kycs</v>
      </c>
      <c r="G89" t="str">
        <f>modif1!G89</f>
        <v>0M</v>
      </c>
      <c r="H89">
        <f>modif1!H89</f>
        <v>80</v>
      </c>
      <c r="I89" t="str">
        <f>modif1!I89</f>
        <v>m</v>
      </c>
      <c r="J89" s="11">
        <f>modif1!J89</f>
        <v>1.1144000000000001</v>
      </c>
      <c r="K89" t="str">
        <f>modif1!K89</f>
        <v>CR</v>
      </c>
      <c r="L89" t="str">
        <f>modif1!L89</f>
        <v>PM</v>
      </c>
      <c r="M89">
        <f>modif1!M89</f>
        <v>2021</v>
      </c>
      <c r="N89" t="str">
        <f>modif1!N89</f>
        <v>CR-PM_2021</v>
      </c>
      <c r="O89" t="b">
        <f>modif1!O89</f>
        <v>1</v>
      </c>
      <c r="P89">
        <v>40</v>
      </c>
      <c r="Q89" t="s">
        <v>1868</v>
      </c>
      <c r="S89" t="s">
        <v>1872</v>
      </c>
      <c r="U89" t="s">
        <v>1870</v>
      </c>
      <c r="X89" t="s">
        <v>1871</v>
      </c>
      <c r="Z89"/>
      <c r="AA89" s="17">
        <f>IF($A89,$J89*(IF(Q89=regle!$B$11,regle!$B$23*IF(AJ89=-2,1+regle!$B$35,1),
IF(Q89=regle!$C$11,regle!$C$23,
IF(Q89=regle!$D$11,regle!$D$23,
IF(Q89=regle!$E$11,regle!$E$23,
IF(Q89=regle!$F$11,regle!$F$23,
IF(Q89=regle!$G$11,regle!$G$23,
IF(Q89=regle!$H$11,regle!$H$23,
IF(Q89=regle!$I$11,regle!$I$23,
IF(Q89=regle!$J$11,regle!$J$23,
IF(Q89=regle!$K$11,regle!$K$23,0))))))))))))</f>
        <v>-1894.48</v>
      </c>
      <c r="AB89" s="17">
        <f>IF($A89,$J89*(IF(R89=regle!$B$11,regle!$B$23*IF(AK89=-2,1+regle!$B$35,1),
IF(R89=regle!$C$11,regle!$C$23,
IF(R89=regle!$D$11,regle!$D$23,
IF(R89=regle!$E$11,regle!$E$23,
IF(R89=regle!$F$11,regle!$F$23,
IF(R89=regle!$G$11,regle!$G$23,
IF(R89=regle!$H$11,regle!$H$23,
IF(R89=regle!$I$11,regle!$I$23,
IF(R89=regle!$J$11,regle!$J$23,
IF(R89=regle!$K$11,regle!$K$23,0))))))))))))</f>
        <v>0</v>
      </c>
      <c r="AC89" s="17">
        <f>IF($A89,$J89*(IF(S89=regle!$B$11,regle!$B$23*IF(AL89=-2,1+regle!$B$35,1),
IF(S89=regle!$C$11,regle!$C$23,
IF(S89=regle!$D$11,regle!$D$23,
IF(S89=regle!$E$11,regle!$E$23,
IF(S89=regle!$F$11,regle!$F$23,
IF(S89=regle!$G$11,regle!$G$23,
IF(S89=regle!$H$11,regle!$H$23,
IF(S89=regle!$I$11,regle!$I$23,
IF(S89=regle!$J$11,regle!$J$23,
IF(S89=regle!$K$11,regle!$K$23,0))))))))))))</f>
        <v>-83.58</v>
      </c>
      <c r="AD89" s="17">
        <f>IF($A89,$J89*(IF(T89=regle!$B$11,regle!$B$23*IF(AM89=-2,1+regle!$B$35,1),
IF(T89=regle!$C$11,regle!$C$23,
IF(T89=regle!$D$11,regle!$D$23,
IF(T89=regle!$E$11,regle!$E$23,
IF(T89=regle!$F$11,regle!$F$23,
IF(T89=regle!$G$11,regle!$G$23,
IF(T89=regle!$H$11,regle!$H$23,
IF(T89=regle!$I$11,regle!$I$23,
IF(T89=regle!$J$11,regle!$J$23,
IF(T89=regle!$K$11,regle!$K$23,0))))))))))))</f>
        <v>0</v>
      </c>
      <c r="AE89" s="17">
        <f>IF($A89,$J89*(IF(U89=regle!$B$11,regle!$B$23*IF(AN89=-2,1+regle!$B$35,1),
IF(U89=regle!$C$11,regle!$C$23,
IF(U89=regle!$D$11,regle!$D$23,
IF(U89=regle!$E$11,regle!$E$23,
IF(U89=regle!$F$11,regle!$F$23,
IF(U89=regle!$G$11,regle!$G$23,
IF(U89=regle!$H$11,regle!$H$23,
IF(U89=regle!$I$11,regle!$I$23,
IF(U89=regle!$J$11,regle!$J$23,
IF(U89=regle!$K$11,regle!$K$23,0))))))))))))</f>
        <v>-100.29600000000001</v>
      </c>
      <c r="AF89" s="17">
        <f>IF($A89,$J89*(IF(V89=regle!$B$11,regle!$B$23*IF(AO89=-2,1+regle!$B$35,1),
IF(V89=regle!$C$11,regle!$C$23,
IF(V89=regle!$D$11,regle!$D$23,
IF(V89=regle!$E$11,regle!$E$23,
IF(V89=regle!$F$11,regle!$F$23,
IF(V89=regle!$G$11,regle!$G$23,
IF(V89=regle!$H$11,regle!$H$23,
IF(V89=regle!$I$11,regle!$I$23,
IF(V89=regle!$J$11,regle!$J$23,
IF(V89=regle!$K$11,regle!$K$23,0))))))))))))</f>
        <v>0</v>
      </c>
      <c r="AG89" s="17">
        <f>IF($A89,$J89*(IF(W89=regle!$B$11,regle!$B$23*IF(AP89=-2,1+regle!$B$35,1),
IF(W89=regle!$C$11,regle!$C$23,
IF(W89=regle!$D$11,regle!$D$23,
IF(W89=regle!$E$11,regle!$E$23,
IF(W89=regle!$F$11,regle!$F$23,
IF(W89=regle!$G$11,regle!$G$23,
IF(W89=regle!$H$11,regle!$H$23,
IF(W89=regle!$I$11,regle!$I$23,
IF(W89=regle!$J$11,regle!$J$23,
IF(W89=regle!$K$11,regle!$K$23,0))))))))))))</f>
        <v>0</v>
      </c>
      <c r="AH89" s="17">
        <f>IF($A89,$J89*(IF(X89=regle!$B$11,regle!$B$23*IF(AQ89=-2,1+regle!$B$35,1),
IF(X89=regle!$C$11,regle!$C$23,
IF(X89=regle!$D$11,regle!$D$23,
IF(X89=regle!$E$11,regle!$E$23,
IF(X89=regle!$F$11,regle!$F$23,
IF(X89=regle!$G$11,regle!$G$23,
IF(X89=regle!$H$11,regle!$H$23,
IF(X89=regle!$I$11,regle!$I$23,
IF(X89=regle!$J$11,regle!$J$23,
IF(X89=regle!$K$11,regle!$K$23,0))))))))))))</f>
        <v>-100.29600000000001</v>
      </c>
      <c r="AI89" s="17">
        <f>IF($A89,$J89*(IF(Y89=regle!$B$11,regle!$B$23*IF(AR89=-2,1+regle!$B$35,1),
IF(Y89=regle!$C$11,regle!$C$23,
IF(Y89=regle!$D$11,regle!$D$23,
IF(Y89=regle!$E$11,regle!$E$23,
IF(Y89=regle!$F$11,regle!$F$23,
IF(Y89=regle!$G$11,regle!$G$23,
IF(Y89=regle!$H$11,regle!$H$23,
IF(Y89=regle!$I$11,regle!$I$23,
IF(Y89=regle!$J$11,regle!$J$23,
IF(Y89=regle!$K$11,regle!$K$23,0))))))))))))</f>
        <v>0</v>
      </c>
      <c r="AJ89" s="17">
        <f>IF($A89,$J89*(IF(Z89=regle!$B$11,regle!$B$23*IF(AS89=-2,1+regle!$B$35,1),
IF(Z89=regle!$C$11,regle!$C$23,
IF(Z89=regle!$D$11,regle!$D$23,
IF(Z89=regle!$E$11,regle!$E$23,
IF(Z89=regle!$F$11,regle!$F$23,
IF(Z89=regle!$G$11,regle!$G$23,
IF(Z89=regle!$H$11,regle!$H$23,
IF(Z89=regle!$I$11,regle!$I$23,
IF(Z89=regle!$J$11,regle!$J$23,
IF(Z89=regle!$K$11,regle!$K$23,0))))))))))))</f>
        <v>0</v>
      </c>
      <c r="AK89" s="16">
        <f>IF(OR(Q89=regle!$J$11,Q89=regle!$K$11),-2,IF(Q89=regle!$B$11,0,IF(AK$1=$AK$1,IF($O89,-1,regle!$B$2-$M89),IF(AJ89=-1,-1,AJ89+1))))</f>
        <v>0</v>
      </c>
      <c r="AL89" s="16">
        <f>IF(OR(R89=regle!$J$11,R89=regle!$K$11),-2,IF(R89=regle!$B$11,0,IF(AL$1=$AK$1,IF($O89,-1,regle!$B$2-$M89),IF(AK89=-1,-1,AK89+1))))</f>
        <v>1</v>
      </c>
      <c r="AM89" s="16">
        <f>IF(OR(S89=regle!$J$11,S89=regle!$K$11),-2,IF(S89=regle!$B$11,0,IF(AM$1=$AK$1,IF($O89,-1,regle!$B$2-$M89),IF(AL89=-1,-1,AL89+1))))</f>
        <v>2</v>
      </c>
      <c r="AN89" s="16">
        <f>IF(OR(T89=regle!$J$11,T89=regle!$K$11),-2,IF(T89=regle!$B$11,0,IF(AN$1=$AK$1,IF($O89,-1,regle!$B$2-$M89),IF(AM89=-1,-1,AM89+1))))</f>
        <v>3</v>
      </c>
      <c r="AO89" s="16">
        <f>IF(OR(U89=regle!$J$11,U89=regle!$K$11),-2,IF(U89=regle!$B$11,0,IF(AO$1=$AK$1,IF($O89,-1,regle!$B$2-$M89),IF(AN89=-1,-1,AN89+1))))</f>
        <v>4</v>
      </c>
      <c r="AP89" s="16">
        <f>IF(OR(V89=regle!$J$11,V89=regle!$K$11),-2,IF(V89=regle!$B$11,0,IF(AP$1=$AK$1,IF($O89,-1,regle!$B$2-$M89),IF(AO89=-1,-1,AO89+1))))</f>
        <v>5</v>
      </c>
      <c r="AQ89" s="16">
        <f>IF(OR(W89=regle!$J$11,W89=regle!$K$11),-2,IF(W89=regle!$B$11,0,IF(AQ$1=$AK$1,IF($O89,-1,regle!$B$2-$M89),IF(AP89=-1,-1,AP89+1))))</f>
        <v>6</v>
      </c>
      <c r="AR89" s="16">
        <f>IF(OR(X89=regle!$J$11,X89=regle!$K$11),-2,IF(X89=regle!$B$11,0,IF(AR$1=$AK$1,IF($O89,-1,regle!$B$2-$M89),IF(AQ89=-1,-1,AQ89+1))))</f>
        <v>7</v>
      </c>
      <c r="AS89" s="16">
        <f>IF(OR(Y89=regle!$J$11,Y89=regle!$K$11),-2,IF(Y89=regle!$B$11,0,IF(AS$1=$AK$1,IF($O89,-1,regle!$B$2-$M89),IF(AR89=-1,-1,AR89+1))))</f>
        <v>8</v>
      </c>
      <c r="AT89" s="16">
        <f>IF(OR(Z89=regle!$J$11,Z89=regle!$K$11),-2,IF(Z89=regle!$B$11,0,IF(AT$1=$AK$1,IF($O89,-1,regle!$B$2-$M89),IF(AS89=-1,-1,AS89+1))))</f>
        <v>9</v>
      </c>
    </row>
    <row r="90" spans="1:46" x14ac:dyDescent="0.25">
      <c r="A90" t="b">
        <f>modif1!A90</f>
        <v>1</v>
      </c>
      <c r="B90">
        <f>ROW(modif1!B90)</f>
        <v>90</v>
      </c>
      <c r="C90" t="str">
        <f>modif1!C93</f>
        <v>202</v>
      </c>
      <c r="D90" t="str">
        <f>modif1!D90</f>
        <v>MOUSTEY</v>
      </c>
      <c r="E90">
        <f>modif1!E90</f>
        <v>9</v>
      </c>
      <c r="F90" t="str">
        <f>modif1!F90</f>
        <v>Peyroulet</v>
      </c>
      <c r="G90" t="str">
        <f>modif1!G90</f>
        <v>0N</v>
      </c>
      <c r="H90">
        <f>modif1!H90</f>
        <v>161</v>
      </c>
      <c r="I90" t="str">
        <f>modif1!I90</f>
        <v>a</v>
      </c>
      <c r="J90" s="11">
        <f>modif1!J90</f>
        <v>2.1</v>
      </c>
      <c r="K90" t="str">
        <f>modif1!K90</f>
        <v>CR</v>
      </c>
      <c r="L90" t="str">
        <f>modif1!L90</f>
        <v>PM</v>
      </c>
      <c r="M90">
        <f>modif1!M90</f>
        <v>2019</v>
      </c>
      <c r="N90" t="str">
        <f>modif1!N90</f>
        <v>CR-PM_2019</v>
      </c>
      <c r="O90" t="b">
        <f>modif1!O90</f>
        <v>1</v>
      </c>
      <c r="P90">
        <v>40</v>
      </c>
      <c r="Q90" t="s">
        <v>1868</v>
      </c>
      <c r="S90" t="s">
        <v>1872</v>
      </c>
      <c r="U90" t="s">
        <v>1870</v>
      </c>
      <c r="X90" t="s">
        <v>1871</v>
      </c>
      <c r="Z90"/>
      <c r="AA90" s="17">
        <f>IF($A90,$J90*(IF(Q90=regle!$B$11,regle!$B$23*IF(AJ90=-2,1+regle!$B$35,1),
IF(Q90=regle!$C$11,regle!$C$23,
IF(Q90=regle!$D$11,regle!$D$23,
IF(Q90=regle!$E$11,regle!$E$23,
IF(Q90=regle!$F$11,regle!$F$23,
IF(Q90=regle!$G$11,regle!$G$23,
IF(Q90=regle!$H$11,regle!$H$23,
IF(Q90=regle!$I$11,regle!$I$23,
IF(Q90=regle!$J$11,regle!$J$23,
IF(Q90=regle!$K$11,regle!$K$23,0))))))))))))</f>
        <v>-3570</v>
      </c>
      <c r="AB90" s="17">
        <f>IF($A90,$J90*(IF(R90=regle!$B$11,regle!$B$23*IF(AK90=-2,1+regle!$B$35,1),
IF(R90=regle!$C$11,regle!$C$23,
IF(R90=regle!$D$11,regle!$D$23,
IF(R90=regle!$E$11,regle!$E$23,
IF(R90=regle!$F$11,regle!$F$23,
IF(R90=regle!$G$11,regle!$G$23,
IF(R90=regle!$H$11,regle!$H$23,
IF(R90=regle!$I$11,regle!$I$23,
IF(R90=regle!$J$11,regle!$J$23,
IF(R90=regle!$K$11,regle!$K$23,0))))))))))))</f>
        <v>0</v>
      </c>
      <c r="AC90" s="17">
        <f>IF($A90,$J90*(IF(S90=regle!$B$11,regle!$B$23*IF(AL90=-2,1+regle!$B$35,1),
IF(S90=regle!$C$11,regle!$C$23,
IF(S90=regle!$D$11,regle!$D$23,
IF(S90=regle!$E$11,regle!$E$23,
IF(S90=regle!$F$11,regle!$F$23,
IF(S90=regle!$G$11,regle!$G$23,
IF(S90=regle!$H$11,regle!$H$23,
IF(S90=regle!$I$11,regle!$I$23,
IF(S90=regle!$J$11,regle!$J$23,
IF(S90=regle!$K$11,regle!$K$23,0))))))))))))</f>
        <v>-157.5</v>
      </c>
      <c r="AD90" s="17">
        <f>IF($A90,$J90*(IF(T90=regle!$B$11,regle!$B$23*IF(AM90=-2,1+regle!$B$35,1),
IF(T90=regle!$C$11,regle!$C$23,
IF(T90=regle!$D$11,regle!$D$23,
IF(T90=regle!$E$11,regle!$E$23,
IF(T90=regle!$F$11,regle!$F$23,
IF(T90=regle!$G$11,regle!$G$23,
IF(T90=regle!$H$11,regle!$H$23,
IF(T90=regle!$I$11,regle!$I$23,
IF(T90=regle!$J$11,regle!$J$23,
IF(T90=regle!$K$11,regle!$K$23,0))))))))))))</f>
        <v>0</v>
      </c>
      <c r="AE90" s="17">
        <f>IF($A90,$J90*(IF(U90=regle!$B$11,regle!$B$23*IF(AN90=-2,1+regle!$B$35,1),
IF(U90=regle!$C$11,regle!$C$23,
IF(U90=regle!$D$11,regle!$D$23,
IF(U90=regle!$E$11,regle!$E$23,
IF(U90=regle!$F$11,regle!$F$23,
IF(U90=regle!$G$11,regle!$G$23,
IF(U90=regle!$H$11,regle!$H$23,
IF(U90=regle!$I$11,regle!$I$23,
IF(U90=regle!$J$11,regle!$J$23,
IF(U90=regle!$K$11,regle!$K$23,0))))))))))))</f>
        <v>-189</v>
      </c>
      <c r="AF90" s="17">
        <f>IF($A90,$J90*(IF(V90=regle!$B$11,regle!$B$23*IF(AO90=-2,1+regle!$B$35,1),
IF(V90=regle!$C$11,regle!$C$23,
IF(V90=regle!$D$11,regle!$D$23,
IF(V90=regle!$E$11,regle!$E$23,
IF(V90=regle!$F$11,regle!$F$23,
IF(V90=regle!$G$11,regle!$G$23,
IF(V90=regle!$H$11,regle!$H$23,
IF(V90=regle!$I$11,regle!$I$23,
IF(V90=regle!$J$11,regle!$J$23,
IF(V90=regle!$K$11,regle!$K$23,0))))))))))))</f>
        <v>0</v>
      </c>
      <c r="AG90" s="17">
        <f>IF($A90,$J90*(IF(W90=regle!$B$11,regle!$B$23*IF(AP90=-2,1+regle!$B$35,1),
IF(W90=regle!$C$11,regle!$C$23,
IF(W90=regle!$D$11,regle!$D$23,
IF(W90=regle!$E$11,regle!$E$23,
IF(W90=regle!$F$11,regle!$F$23,
IF(W90=regle!$G$11,regle!$G$23,
IF(W90=regle!$H$11,regle!$H$23,
IF(W90=regle!$I$11,regle!$I$23,
IF(W90=regle!$J$11,regle!$J$23,
IF(W90=regle!$K$11,regle!$K$23,0))))))))))))</f>
        <v>0</v>
      </c>
      <c r="AH90" s="17">
        <f>IF($A90,$J90*(IF(X90=regle!$B$11,regle!$B$23*IF(AQ90=-2,1+regle!$B$35,1),
IF(X90=regle!$C$11,regle!$C$23,
IF(X90=regle!$D$11,regle!$D$23,
IF(X90=regle!$E$11,regle!$E$23,
IF(X90=regle!$F$11,regle!$F$23,
IF(X90=regle!$G$11,regle!$G$23,
IF(X90=regle!$H$11,regle!$H$23,
IF(X90=regle!$I$11,regle!$I$23,
IF(X90=regle!$J$11,regle!$J$23,
IF(X90=regle!$K$11,regle!$K$23,0))))))))))))</f>
        <v>-189</v>
      </c>
      <c r="AI90" s="17">
        <f>IF($A90,$J90*(IF(Y90=regle!$B$11,regle!$B$23*IF(AR90=-2,1+regle!$B$35,1),
IF(Y90=regle!$C$11,regle!$C$23,
IF(Y90=regle!$D$11,regle!$D$23,
IF(Y90=regle!$E$11,regle!$E$23,
IF(Y90=regle!$F$11,regle!$F$23,
IF(Y90=regle!$G$11,regle!$G$23,
IF(Y90=regle!$H$11,regle!$H$23,
IF(Y90=regle!$I$11,regle!$I$23,
IF(Y90=regle!$J$11,regle!$J$23,
IF(Y90=regle!$K$11,regle!$K$23,0))))))))))))</f>
        <v>0</v>
      </c>
      <c r="AJ90" s="17">
        <f>IF($A90,$J90*(IF(Z90=regle!$B$11,regle!$B$23*IF(AS90=-2,1+regle!$B$35,1),
IF(Z90=regle!$C$11,regle!$C$23,
IF(Z90=regle!$D$11,regle!$D$23,
IF(Z90=regle!$E$11,regle!$E$23,
IF(Z90=regle!$F$11,regle!$F$23,
IF(Z90=regle!$G$11,regle!$G$23,
IF(Z90=regle!$H$11,regle!$H$23,
IF(Z90=regle!$I$11,regle!$I$23,
IF(Z90=regle!$J$11,regle!$J$23,
IF(Z90=regle!$K$11,regle!$K$23,0))))))))))))</f>
        <v>0</v>
      </c>
      <c r="AK90" s="16">
        <f>IF(OR(Q90=regle!$J$11,Q90=regle!$K$11),-2,IF(Q90=regle!$B$11,0,IF(AK$1=$AK$1,IF($O90,-1,regle!$B$2-$M90),IF(AJ90=-1,-1,AJ90+1))))</f>
        <v>0</v>
      </c>
      <c r="AL90" s="16">
        <f>IF(OR(R90=regle!$J$11,R90=regle!$K$11),-2,IF(R90=regle!$B$11,0,IF(AL$1=$AK$1,IF($O90,-1,regle!$B$2-$M90),IF(AK90=-1,-1,AK90+1))))</f>
        <v>1</v>
      </c>
      <c r="AM90" s="16">
        <f>IF(OR(S90=regle!$J$11,S90=regle!$K$11),-2,IF(S90=regle!$B$11,0,IF(AM$1=$AK$1,IF($O90,-1,regle!$B$2-$M90),IF(AL90=-1,-1,AL90+1))))</f>
        <v>2</v>
      </c>
      <c r="AN90" s="16">
        <f>IF(OR(T90=regle!$J$11,T90=regle!$K$11),-2,IF(T90=regle!$B$11,0,IF(AN$1=$AK$1,IF($O90,-1,regle!$B$2-$M90),IF(AM90=-1,-1,AM90+1))))</f>
        <v>3</v>
      </c>
      <c r="AO90" s="16">
        <f>IF(OR(U90=regle!$J$11,U90=regle!$K$11),-2,IF(U90=regle!$B$11,0,IF(AO$1=$AK$1,IF($O90,-1,regle!$B$2-$M90),IF(AN90=-1,-1,AN90+1))))</f>
        <v>4</v>
      </c>
      <c r="AP90" s="16">
        <f>IF(OR(V90=regle!$J$11,V90=regle!$K$11),-2,IF(V90=regle!$B$11,0,IF(AP$1=$AK$1,IF($O90,-1,regle!$B$2-$M90),IF(AO90=-1,-1,AO90+1))))</f>
        <v>5</v>
      </c>
      <c r="AQ90" s="16">
        <f>IF(OR(W90=regle!$J$11,W90=regle!$K$11),-2,IF(W90=regle!$B$11,0,IF(AQ$1=$AK$1,IF($O90,-1,regle!$B$2-$M90),IF(AP90=-1,-1,AP90+1))))</f>
        <v>6</v>
      </c>
      <c r="AR90" s="16">
        <f>IF(OR(X90=regle!$J$11,X90=regle!$K$11),-2,IF(X90=regle!$B$11,0,IF(AR$1=$AK$1,IF($O90,-1,regle!$B$2-$M90),IF(AQ90=-1,-1,AQ90+1))))</f>
        <v>7</v>
      </c>
      <c r="AS90" s="16">
        <f>IF(OR(Y90=regle!$J$11,Y90=regle!$K$11),-2,IF(Y90=regle!$B$11,0,IF(AS$1=$AK$1,IF($O90,-1,regle!$B$2-$M90),IF(AR90=-1,-1,AR90+1))))</f>
        <v>8</v>
      </c>
      <c r="AT90" s="16">
        <f>IF(OR(Z90=regle!$J$11,Z90=regle!$K$11),-2,IF(Z90=regle!$B$11,0,IF(AT$1=$AK$1,IF($O90,-1,regle!$B$2-$M90),IF(AS90=-1,-1,AS90+1))))</f>
        <v>9</v>
      </c>
    </row>
    <row r="91" spans="1:46" x14ac:dyDescent="0.25">
      <c r="A91" t="b">
        <f>modif1!A91</f>
        <v>1</v>
      </c>
      <c r="B91">
        <f>ROW(modif1!B91)</f>
        <v>91</v>
      </c>
      <c r="C91" t="str">
        <f>modif1!C94</f>
        <v>171</v>
      </c>
      <c r="D91" t="str">
        <f>modif1!D91</f>
        <v>MOUSTEY</v>
      </c>
      <c r="E91">
        <f>modif1!E91</f>
        <v>18</v>
      </c>
      <c r="F91" t="str">
        <f>modif1!F91</f>
        <v>Quartier de Capsus</v>
      </c>
      <c r="G91" t="str">
        <f>modif1!G91</f>
        <v>0N</v>
      </c>
      <c r="H91">
        <f>modif1!H91</f>
        <v>787</v>
      </c>
      <c r="I91" t="str">
        <f>modif1!I91</f>
        <v/>
      </c>
      <c r="J91" s="11">
        <f>modif1!J91</f>
        <v>1.0985</v>
      </c>
      <c r="K91" t="str">
        <f>modif1!K91</f>
        <v>CR</v>
      </c>
      <c r="L91" t="str">
        <f>modif1!L91</f>
        <v>PM</v>
      </c>
      <c r="M91">
        <f>modif1!M91</f>
        <v>2019</v>
      </c>
      <c r="N91" t="str">
        <f>modif1!N91</f>
        <v>CR-PM_2019</v>
      </c>
      <c r="O91" t="b">
        <f>modif1!O91</f>
        <v>1</v>
      </c>
      <c r="P91">
        <v>40</v>
      </c>
      <c r="Q91" t="s">
        <v>1868</v>
      </c>
      <c r="S91" t="s">
        <v>1872</v>
      </c>
      <c r="U91" t="s">
        <v>1870</v>
      </c>
      <c r="X91" t="s">
        <v>1871</v>
      </c>
      <c r="Z91"/>
      <c r="AA91" s="17">
        <f>IF($A91,$J91*(IF(Q91=regle!$B$11,regle!$B$23*IF(AJ91=-2,1+regle!$B$35,1),
IF(Q91=regle!$C$11,regle!$C$23,
IF(Q91=regle!$D$11,regle!$D$23,
IF(Q91=regle!$E$11,regle!$E$23,
IF(Q91=regle!$F$11,regle!$F$23,
IF(Q91=regle!$G$11,regle!$G$23,
IF(Q91=regle!$H$11,regle!$H$23,
IF(Q91=regle!$I$11,regle!$I$23,
IF(Q91=regle!$J$11,regle!$J$23,
IF(Q91=regle!$K$11,regle!$K$23,0))))))))))))</f>
        <v>-1867.45</v>
      </c>
      <c r="AB91" s="17">
        <f>IF($A91,$J91*(IF(R91=regle!$B$11,regle!$B$23*IF(AK91=-2,1+regle!$B$35,1),
IF(R91=regle!$C$11,regle!$C$23,
IF(R91=regle!$D$11,regle!$D$23,
IF(R91=regle!$E$11,regle!$E$23,
IF(R91=regle!$F$11,regle!$F$23,
IF(R91=regle!$G$11,regle!$G$23,
IF(R91=regle!$H$11,regle!$H$23,
IF(R91=regle!$I$11,regle!$I$23,
IF(R91=regle!$J$11,regle!$J$23,
IF(R91=regle!$K$11,regle!$K$23,0))))))))))))</f>
        <v>0</v>
      </c>
      <c r="AC91" s="17">
        <f>IF($A91,$J91*(IF(S91=regle!$B$11,regle!$B$23*IF(AL91=-2,1+regle!$B$35,1),
IF(S91=regle!$C$11,regle!$C$23,
IF(S91=regle!$D$11,regle!$D$23,
IF(S91=regle!$E$11,regle!$E$23,
IF(S91=regle!$F$11,regle!$F$23,
IF(S91=regle!$G$11,regle!$G$23,
IF(S91=regle!$H$11,regle!$H$23,
IF(S91=regle!$I$11,regle!$I$23,
IF(S91=regle!$J$11,regle!$J$23,
IF(S91=regle!$K$11,regle!$K$23,0))))))))))))</f>
        <v>-82.387500000000003</v>
      </c>
      <c r="AD91" s="17">
        <f>IF($A91,$J91*(IF(T91=regle!$B$11,regle!$B$23*IF(AM91=-2,1+regle!$B$35,1),
IF(T91=regle!$C$11,regle!$C$23,
IF(T91=regle!$D$11,regle!$D$23,
IF(T91=regle!$E$11,regle!$E$23,
IF(T91=regle!$F$11,regle!$F$23,
IF(T91=regle!$G$11,regle!$G$23,
IF(T91=regle!$H$11,regle!$H$23,
IF(T91=regle!$I$11,regle!$I$23,
IF(T91=regle!$J$11,regle!$J$23,
IF(T91=regle!$K$11,regle!$K$23,0))))))))))))</f>
        <v>0</v>
      </c>
      <c r="AE91" s="17">
        <f>IF($A91,$J91*(IF(U91=regle!$B$11,regle!$B$23*IF(AN91=-2,1+regle!$B$35,1),
IF(U91=regle!$C$11,regle!$C$23,
IF(U91=regle!$D$11,regle!$D$23,
IF(U91=regle!$E$11,regle!$E$23,
IF(U91=regle!$F$11,regle!$F$23,
IF(U91=regle!$G$11,regle!$G$23,
IF(U91=regle!$H$11,regle!$H$23,
IF(U91=regle!$I$11,regle!$I$23,
IF(U91=regle!$J$11,regle!$J$23,
IF(U91=regle!$K$11,regle!$K$23,0))))))))))))</f>
        <v>-98.865000000000009</v>
      </c>
      <c r="AF91" s="17">
        <f>IF($A91,$J91*(IF(V91=regle!$B$11,regle!$B$23*IF(AO91=-2,1+regle!$B$35,1),
IF(V91=regle!$C$11,regle!$C$23,
IF(V91=regle!$D$11,regle!$D$23,
IF(V91=regle!$E$11,regle!$E$23,
IF(V91=regle!$F$11,regle!$F$23,
IF(V91=regle!$G$11,regle!$G$23,
IF(V91=regle!$H$11,regle!$H$23,
IF(V91=regle!$I$11,regle!$I$23,
IF(V91=regle!$J$11,regle!$J$23,
IF(V91=regle!$K$11,regle!$K$23,0))))))))))))</f>
        <v>0</v>
      </c>
      <c r="AG91" s="17">
        <f>IF($A91,$J91*(IF(W91=regle!$B$11,regle!$B$23*IF(AP91=-2,1+regle!$B$35,1),
IF(W91=regle!$C$11,regle!$C$23,
IF(W91=regle!$D$11,regle!$D$23,
IF(W91=regle!$E$11,regle!$E$23,
IF(W91=regle!$F$11,regle!$F$23,
IF(W91=regle!$G$11,regle!$G$23,
IF(W91=regle!$H$11,regle!$H$23,
IF(W91=regle!$I$11,regle!$I$23,
IF(W91=regle!$J$11,regle!$J$23,
IF(W91=regle!$K$11,regle!$K$23,0))))))))))))</f>
        <v>0</v>
      </c>
      <c r="AH91" s="17">
        <f>IF($A91,$J91*(IF(X91=regle!$B$11,regle!$B$23*IF(AQ91=-2,1+regle!$B$35,1),
IF(X91=regle!$C$11,regle!$C$23,
IF(X91=regle!$D$11,regle!$D$23,
IF(X91=regle!$E$11,regle!$E$23,
IF(X91=regle!$F$11,regle!$F$23,
IF(X91=regle!$G$11,regle!$G$23,
IF(X91=regle!$H$11,regle!$H$23,
IF(X91=regle!$I$11,regle!$I$23,
IF(X91=regle!$J$11,regle!$J$23,
IF(X91=regle!$K$11,regle!$K$23,0))))))))))))</f>
        <v>-98.865000000000009</v>
      </c>
      <c r="AI91" s="17">
        <f>IF($A91,$J91*(IF(Y91=regle!$B$11,regle!$B$23*IF(AR91=-2,1+regle!$B$35,1),
IF(Y91=regle!$C$11,regle!$C$23,
IF(Y91=regle!$D$11,regle!$D$23,
IF(Y91=regle!$E$11,regle!$E$23,
IF(Y91=regle!$F$11,regle!$F$23,
IF(Y91=regle!$G$11,regle!$G$23,
IF(Y91=regle!$H$11,regle!$H$23,
IF(Y91=regle!$I$11,regle!$I$23,
IF(Y91=regle!$J$11,regle!$J$23,
IF(Y91=regle!$K$11,regle!$K$23,0))))))))))))</f>
        <v>0</v>
      </c>
      <c r="AJ91" s="17">
        <f>IF($A91,$J91*(IF(Z91=regle!$B$11,regle!$B$23*IF(AS91=-2,1+regle!$B$35,1),
IF(Z91=regle!$C$11,regle!$C$23,
IF(Z91=regle!$D$11,regle!$D$23,
IF(Z91=regle!$E$11,regle!$E$23,
IF(Z91=regle!$F$11,regle!$F$23,
IF(Z91=regle!$G$11,regle!$G$23,
IF(Z91=regle!$H$11,regle!$H$23,
IF(Z91=regle!$I$11,regle!$I$23,
IF(Z91=regle!$J$11,regle!$J$23,
IF(Z91=regle!$K$11,regle!$K$23,0))))))))))))</f>
        <v>0</v>
      </c>
      <c r="AK91" s="16">
        <f>IF(OR(Q91=regle!$J$11,Q91=regle!$K$11),-2,IF(Q91=regle!$B$11,0,IF(AK$1=$AK$1,IF($O91,-1,regle!$B$2-$M91),IF(AJ91=-1,-1,AJ91+1))))</f>
        <v>0</v>
      </c>
      <c r="AL91" s="16">
        <f>IF(OR(R91=regle!$J$11,R91=regle!$K$11),-2,IF(R91=regle!$B$11,0,IF(AL$1=$AK$1,IF($O91,-1,regle!$B$2-$M91),IF(AK91=-1,-1,AK91+1))))</f>
        <v>1</v>
      </c>
      <c r="AM91" s="16">
        <f>IF(OR(S91=regle!$J$11,S91=regle!$K$11),-2,IF(S91=regle!$B$11,0,IF(AM$1=$AK$1,IF($O91,-1,regle!$B$2-$M91),IF(AL91=-1,-1,AL91+1))))</f>
        <v>2</v>
      </c>
      <c r="AN91" s="16">
        <f>IF(OR(T91=regle!$J$11,T91=regle!$K$11),-2,IF(T91=regle!$B$11,0,IF(AN$1=$AK$1,IF($O91,-1,regle!$B$2-$M91),IF(AM91=-1,-1,AM91+1))))</f>
        <v>3</v>
      </c>
      <c r="AO91" s="16">
        <f>IF(OR(U91=regle!$J$11,U91=regle!$K$11),-2,IF(U91=regle!$B$11,0,IF(AO$1=$AK$1,IF($O91,-1,regle!$B$2-$M91),IF(AN91=-1,-1,AN91+1))))</f>
        <v>4</v>
      </c>
      <c r="AP91" s="16">
        <f>IF(OR(V91=regle!$J$11,V91=regle!$K$11),-2,IF(V91=regle!$B$11,0,IF(AP$1=$AK$1,IF($O91,-1,regle!$B$2-$M91),IF(AO91=-1,-1,AO91+1))))</f>
        <v>5</v>
      </c>
      <c r="AQ91" s="16">
        <f>IF(OR(W91=regle!$J$11,W91=regle!$K$11),-2,IF(W91=regle!$B$11,0,IF(AQ$1=$AK$1,IF($O91,-1,regle!$B$2-$M91),IF(AP91=-1,-1,AP91+1))))</f>
        <v>6</v>
      </c>
      <c r="AR91" s="16">
        <f>IF(OR(X91=regle!$J$11,X91=regle!$K$11),-2,IF(X91=regle!$B$11,0,IF(AR$1=$AK$1,IF($O91,-1,regle!$B$2-$M91),IF(AQ91=-1,-1,AQ91+1))))</f>
        <v>7</v>
      </c>
      <c r="AS91" s="16">
        <f>IF(OR(Y91=regle!$J$11,Y91=regle!$K$11),-2,IF(Y91=regle!$B$11,0,IF(AS$1=$AK$1,IF($O91,-1,regle!$B$2-$M91),IF(AR91=-1,-1,AR91+1))))</f>
        <v>8</v>
      </c>
      <c r="AT91" s="16">
        <f>IF(OR(Z91=regle!$J$11,Z91=regle!$K$11),-2,IF(Z91=regle!$B$11,0,IF(AT$1=$AK$1,IF($O91,-1,regle!$B$2-$M91),IF(AS91=-1,-1,AS91+1))))</f>
        <v>9</v>
      </c>
    </row>
    <row r="92" spans="1:46" x14ac:dyDescent="0.25">
      <c r="A92" t="b">
        <f>modif1!A92</f>
        <v>1</v>
      </c>
      <c r="B92">
        <f>ROW(modif1!B92)</f>
        <v>92</v>
      </c>
      <c r="C92" t="str">
        <f>modif1!C95</f>
        <v>171</v>
      </c>
      <c r="D92" t="str">
        <f>modif1!D92</f>
        <v>MOUSTEY</v>
      </c>
      <c r="E92">
        <f>modif1!E92</f>
        <v>18</v>
      </c>
      <c r="F92" t="str">
        <f>modif1!F92</f>
        <v>Quartier de Capsus</v>
      </c>
      <c r="G92" t="str">
        <f>modif1!G92</f>
        <v>0N</v>
      </c>
      <c r="H92">
        <f>modif1!H92</f>
        <v>717</v>
      </c>
      <c r="I92" t="str">
        <f>modif1!I92</f>
        <v/>
      </c>
      <c r="J92" s="11">
        <f>modif1!J92</f>
        <v>0.85880000000000001</v>
      </c>
      <c r="K92" t="str">
        <f>modif1!K92</f>
        <v>CR</v>
      </c>
      <c r="L92" t="str">
        <f>modif1!L92</f>
        <v>PM</v>
      </c>
      <c r="M92">
        <f>modif1!M92</f>
        <v>2019</v>
      </c>
      <c r="N92" t="str">
        <f>modif1!N92</f>
        <v>CR-PM_2019</v>
      </c>
      <c r="O92" t="b">
        <f>modif1!O92</f>
        <v>1</v>
      </c>
      <c r="P92">
        <v>40</v>
      </c>
      <c r="Q92" t="s">
        <v>1868</v>
      </c>
      <c r="S92" t="s">
        <v>1872</v>
      </c>
      <c r="U92" t="s">
        <v>1870</v>
      </c>
      <c r="X92" t="s">
        <v>1871</v>
      </c>
      <c r="Z92"/>
      <c r="AA92" s="17">
        <f>IF($A92,$J92*(IF(Q92=regle!$B$11,regle!$B$23*IF(AJ92=-2,1+regle!$B$35,1),
IF(Q92=regle!$C$11,regle!$C$23,
IF(Q92=regle!$D$11,regle!$D$23,
IF(Q92=regle!$E$11,regle!$E$23,
IF(Q92=regle!$F$11,regle!$F$23,
IF(Q92=regle!$G$11,regle!$G$23,
IF(Q92=regle!$H$11,regle!$H$23,
IF(Q92=regle!$I$11,regle!$I$23,
IF(Q92=regle!$J$11,regle!$J$23,
IF(Q92=regle!$K$11,regle!$K$23,0))))))))))))</f>
        <v>-1459.96</v>
      </c>
      <c r="AB92" s="17">
        <f>IF($A92,$J92*(IF(R92=regle!$B$11,regle!$B$23*IF(AK92=-2,1+regle!$B$35,1),
IF(R92=regle!$C$11,regle!$C$23,
IF(R92=regle!$D$11,regle!$D$23,
IF(R92=regle!$E$11,regle!$E$23,
IF(R92=regle!$F$11,regle!$F$23,
IF(R92=regle!$G$11,regle!$G$23,
IF(R92=regle!$H$11,regle!$H$23,
IF(R92=regle!$I$11,regle!$I$23,
IF(R92=regle!$J$11,regle!$J$23,
IF(R92=regle!$K$11,regle!$K$23,0))))))))))))</f>
        <v>0</v>
      </c>
      <c r="AC92" s="17">
        <f>IF($A92,$J92*(IF(S92=regle!$B$11,regle!$B$23*IF(AL92=-2,1+regle!$B$35,1),
IF(S92=regle!$C$11,regle!$C$23,
IF(S92=regle!$D$11,regle!$D$23,
IF(S92=regle!$E$11,regle!$E$23,
IF(S92=regle!$F$11,regle!$F$23,
IF(S92=regle!$G$11,regle!$G$23,
IF(S92=regle!$H$11,regle!$H$23,
IF(S92=regle!$I$11,regle!$I$23,
IF(S92=regle!$J$11,regle!$J$23,
IF(S92=regle!$K$11,regle!$K$23,0))))))))))))</f>
        <v>-64.41</v>
      </c>
      <c r="AD92" s="17">
        <f>IF($A92,$J92*(IF(T92=regle!$B$11,regle!$B$23*IF(AM92=-2,1+regle!$B$35,1),
IF(T92=regle!$C$11,regle!$C$23,
IF(T92=regle!$D$11,regle!$D$23,
IF(T92=regle!$E$11,regle!$E$23,
IF(T92=regle!$F$11,regle!$F$23,
IF(T92=regle!$G$11,regle!$G$23,
IF(T92=regle!$H$11,regle!$H$23,
IF(T92=regle!$I$11,regle!$I$23,
IF(T92=regle!$J$11,regle!$J$23,
IF(T92=regle!$K$11,regle!$K$23,0))))))))))))</f>
        <v>0</v>
      </c>
      <c r="AE92" s="17">
        <f>IF($A92,$J92*(IF(U92=regle!$B$11,regle!$B$23*IF(AN92=-2,1+regle!$B$35,1),
IF(U92=regle!$C$11,regle!$C$23,
IF(U92=regle!$D$11,regle!$D$23,
IF(U92=regle!$E$11,regle!$E$23,
IF(U92=regle!$F$11,regle!$F$23,
IF(U92=regle!$G$11,regle!$G$23,
IF(U92=regle!$H$11,regle!$H$23,
IF(U92=regle!$I$11,regle!$I$23,
IF(U92=regle!$J$11,regle!$J$23,
IF(U92=regle!$K$11,regle!$K$23,0))))))))))))</f>
        <v>-77.292000000000002</v>
      </c>
      <c r="AF92" s="17">
        <f>IF($A92,$J92*(IF(V92=regle!$B$11,regle!$B$23*IF(AO92=-2,1+regle!$B$35,1),
IF(V92=regle!$C$11,regle!$C$23,
IF(V92=regle!$D$11,regle!$D$23,
IF(V92=regle!$E$11,regle!$E$23,
IF(V92=regle!$F$11,regle!$F$23,
IF(V92=regle!$G$11,regle!$G$23,
IF(V92=regle!$H$11,regle!$H$23,
IF(V92=regle!$I$11,regle!$I$23,
IF(V92=regle!$J$11,regle!$J$23,
IF(V92=regle!$K$11,regle!$K$23,0))))))))))))</f>
        <v>0</v>
      </c>
      <c r="AG92" s="17">
        <f>IF($A92,$J92*(IF(W92=regle!$B$11,regle!$B$23*IF(AP92=-2,1+regle!$B$35,1),
IF(W92=regle!$C$11,regle!$C$23,
IF(W92=regle!$D$11,regle!$D$23,
IF(W92=regle!$E$11,regle!$E$23,
IF(W92=regle!$F$11,regle!$F$23,
IF(W92=regle!$G$11,regle!$G$23,
IF(W92=regle!$H$11,regle!$H$23,
IF(W92=regle!$I$11,regle!$I$23,
IF(W92=regle!$J$11,regle!$J$23,
IF(W92=regle!$K$11,regle!$K$23,0))))))))))))</f>
        <v>0</v>
      </c>
      <c r="AH92" s="17">
        <f>IF($A92,$J92*(IF(X92=regle!$B$11,regle!$B$23*IF(AQ92=-2,1+regle!$B$35,1),
IF(X92=regle!$C$11,regle!$C$23,
IF(X92=regle!$D$11,regle!$D$23,
IF(X92=regle!$E$11,regle!$E$23,
IF(X92=regle!$F$11,regle!$F$23,
IF(X92=regle!$G$11,regle!$G$23,
IF(X92=regle!$H$11,regle!$H$23,
IF(X92=regle!$I$11,regle!$I$23,
IF(X92=regle!$J$11,regle!$J$23,
IF(X92=regle!$K$11,regle!$K$23,0))))))))))))</f>
        <v>-77.292000000000002</v>
      </c>
      <c r="AI92" s="17">
        <f>IF($A92,$J92*(IF(Y92=regle!$B$11,regle!$B$23*IF(AR92=-2,1+regle!$B$35,1),
IF(Y92=regle!$C$11,regle!$C$23,
IF(Y92=regle!$D$11,regle!$D$23,
IF(Y92=regle!$E$11,regle!$E$23,
IF(Y92=regle!$F$11,regle!$F$23,
IF(Y92=regle!$G$11,regle!$G$23,
IF(Y92=regle!$H$11,regle!$H$23,
IF(Y92=regle!$I$11,regle!$I$23,
IF(Y92=regle!$J$11,regle!$J$23,
IF(Y92=regle!$K$11,regle!$K$23,0))))))))))))</f>
        <v>0</v>
      </c>
      <c r="AJ92" s="17">
        <f>IF($A92,$J92*(IF(Z92=regle!$B$11,regle!$B$23*IF(AS92=-2,1+regle!$B$35,1),
IF(Z92=regle!$C$11,regle!$C$23,
IF(Z92=regle!$D$11,regle!$D$23,
IF(Z92=regle!$E$11,regle!$E$23,
IF(Z92=regle!$F$11,regle!$F$23,
IF(Z92=regle!$G$11,regle!$G$23,
IF(Z92=regle!$H$11,regle!$H$23,
IF(Z92=regle!$I$11,regle!$I$23,
IF(Z92=regle!$J$11,regle!$J$23,
IF(Z92=regle!$K$11,regle!$K$23,0))))))))))))</f>
        <v>0</v>
      </c>
      <c r="AK92" s="16">
        <f>IF(OR(Q92=regle!$J$11,Q92=regle!$K$11),-2,IF(Q92=regle!$B$11,0,IF(AK$1=$AK$1,IF($O92,-1,regle!$B$2-$M92),IF(AJ92=-1,-1,AJ92+1))))</f>
        <v>0</v>
      </c>
      <c r="AL92" s="16">
        <f>IF(OR(R92=regle!$J$11,R92=regle!$K$11),-2,IF(R92=regle!$B$11,0,IF(AL$1=$AK$1,IF($O92,-1,regle!$B$2-$M92),IF(AK92=-1,-1,AK92+1))))</f>
        <v>1</v>
      </c>
      <c r="AM92" s="16">
        <f>IF(OR(S92=regle!$J$11,S92=regle!$K$11),-2,IF(S92=regle!$B$11,0,IF(AM$1=$AK$1,IF($O92,-1,regle!$B$2-$M92),IF(AL92=-1,-1,AL92+1))))</f>
        <v>2</v>
      </c>
      <c r="AN92" s="16">
        <f>IF(OR(T92=regle!$J$11,T92=regle!$K$11),-2,IF(T92=regle!$B$11,0,IF(AN$1=$AK$1,IF($O92,-1,regle!$B$2-$M92),IF(AM92=-1,-1,AM92+1))))</f>
        <v>3</v>
      </c>
      <c r="AO92" s="16">
        <f>IF(OR(U92=regle!$J$11,U92=regle!$K$11),-2,IF(U92=regle!$B$11,0,IF(AO$1=$AK$1,IF($O92,-1,regle!$B$2-$M92),IF(AN92=-1,-1,AN92+1))))</f>
        <v>4</v>
      </c>
      <c r="AP92" s="16">
        <f>IF(OR(V92=regle!$J$11,V92=regle!$K$11),-2,IF(V92=regle!$B$11,0,IF(AP$1=$AK$1,IF($O92,-1,regle!$B$2-$M92),IF(AO92=-1,-1,AO92+1))))</f>
        <v>5</v>
      </c>
      <c r="AQ92" s="16">
        <f>IF(OR(W92=regle!$J$11,W92=regle!$K$11),-2,IF(W92=regle!$B$11,0,IF(AQ$1=$AK$1,IF($O92,-1,regle!$B$2-$M92),IF(AP92=-1,-1,AP92+1))))</f>
        <v>6</v>
      </c>
      <c r="AR92" s="16">
        <f>IF(OR(X92=regle!$J$11,X92=regle!$K$11),-2,IF(X92=regle!$B$11,0,IF(AR$1=$AK$1,IF($O92,-1,regle!$B$2-$M92),IF(AQ92=-1,-1,AQ92+1))))</f>
        <v>7</v>
      </c>
      <c r="AS92" s="16">
        <f>IF(OR(Y92=regle!$J$11,Y92=regle!$K$11),-2,IF(Y92=regle!$B$11,0,IF(AS$1=$AK$1,IF($O92,-1,regle!$B$2-$M92),IF(AR92=-1,-1,AR92+1))))</f>
        <v>8</v>
      </c>
      <c r="AT92" s="16">
        <f>IF(OR(Z92=regle!$J$11,Z92=regle!$K$11),-2,IF(Z92=regle!$B$11,0,IF(AT$1=$AK$1,IF($O92,-1,regle!$B$2-$M92),IF(AS92=-1,-1,AS92+1))))</f>
        <v>9</v>
      </c>
    </row>
    <row r="93" spans="1:46" x14ac:dyDescent="0.25">
      <c r="A93" t="b">
        <f>modif1!A93</f>
        <v>1</v>
      </c>
      <c r="B93">
        <f>ROW(modif1!B93)</f>
        <v>93</v>
      </c>
      <c r="C93" t="str">
        <f>modif1!C96</f>
        <v>171</v>
      </c>
      <c r="D93" t="str">
        <f>modif1!D93</f>
        <v>HOSTENS</v>
      </c>
      <c r="E93">
        <f>modif1!E93</f>
        <v>8</v>
      </c>
      <c r="F93" t="str">
        <f>modif1!F93</f>
        <v>LES BECS</v>
      </c>
      <c r="G93" t="str">
        <f>modif1!G93</f>
        <v>0B</v>
      </c>
      <c r="H93">
        <f>modif1!H93</f>
        <v>1215</v>
      </c>
      <c r="I93" t="str">
        <f>modif1!I93</f>
        <v/>
      </c>
      <c r="J93" s="11">
        <f>modif1!J93</f>
        <v>0.78949999999999998</v>
      </c>
      <c r="K93" t="str">
        <f>modif1!K93</f>
        <v>CR</v>
      </c>
      <c r="L93" t="str">
        <f>modif1!L93</f>
        <v>PM</v>
      </c>
      <c r="M93">
        <f>modif1!M93</f>
        <v>2016</v>
      </c>
      <c r="N93" t="str">
        <f>modif1!N93</f>
        <v>CR-PM_2016</v>
      </c>
      <c r="O93" t="b">
        <f>modif1!O93</f>
        <v>1</v>
      </c>
      <c r="P93">
        <v>40</v>
      </c>
      <c r="Q93" t="s">
        <v>1868</v>
      </c>
      <c r="S93" t="s">
        <v>1872</v>
      </c>
      <c r="U93" t="s">
        <v>1870</v>
      </c>
      <c r="X93" t="s">
        <v>1871</v>
      </c>
      <c r="Z93"/>
      <c r="AA93" s="17">
        <f>IF($A93,$J93*(IF(Q93=regle!$B$11,regle!$B$23*IF(AJ93=-2,1+regle!$B$35,1),
IF(Q93=regle!$C$11,regle!$C$23,
IF(Q93=regle!$D$11,regle!$D$23,
IF(Q93=regle!$E$11,regle!$E$23,
IF(Q93=regle!$F$11,regle!$F$23,
IF(Q93=regle!$G$11,regle!$G$23,
IF(Q93=regle!$H$11,regle!$H$23,
IF(Q93=regle!$I$11,regle!$I$23,
IF(Q93=regle!$J$11,regle!$J$23,
IF(Q93=regle!$K$11,regle!$K$23,0))))))))))))</f>
        <v>-1342.1499999999999</v>
      </c>
      <c r="AB93" s="17">
        <f>IF($A93,$J93*(IF(R93=regle!$B$11,regle!$B$23*IF(AK93=-2,1+regle!$B$35,1),
IF(R93=regle!$C$11,regle!$C$23,
IF(R93=regle!$D$11,regle!$D$23,
IF(R93=regle!$E$11,regle!$E$23,
IF(R93=regle!$F$11,regle!$F$23,
IF(R93=regle!$G$11,regle!$G$23,
IF(R93=regle!$H$11,regle!$H$23,
IF(R93=regle!$I$11,regle!$I$23,
IF(R93=regle!$J$11,regle!$J$23,
IF(R93=regle!$K$11,regle!$K$23,0))))))))))))</f>
        <v>0</v>
      </c>
      <c r="AC93" s="17">
        <f>IF($A93,$J93*(IF(S93=regle!$B$11,regle!$B$23*IF(AL93=-2,1+regle!$B$35,1),
IF(S93=regle!$C$11,regle!$C$23,
IF(S93=regle!$D$11,regle!$D$23,
IF(S93=regle!$E$11,regle!$E$23,
IF(S93=regle!$F$11,regle!$F$23,
IF(S93=regle!$G$11,regle!$G$23,
IF(S93=regle!$H$11,regle!$H$23,
IF(S93=regle!$I$11,regle!$I$23,
IF(S93=regle!$J$11,regle!$J$23,
IF(S93=regle!$K$11,regle!$K$23,0))))))))))))</f>
        <v>-59.212499999999999</v>
      </c>
      <c r="AD93" s="17">
        <f>IF($A93,$J93*(IF(T93=regle!$B$11,regle!$B$23*IF(AM93=-2,1+regle!$B$35,1),
IF(T93=regle!$C$11,regle!$C$23,
IF(T93=regle!$D$11,regle!$D$23,
IF(T93=regle!$E$11,regle!$E$23,
IF(T93=regle!$F$11,regle!$F$23,
IF(T93=regle!$G$11,regle!$G$23,
IF(T93=regle!$H$11,regle!$H$23,
IF(T93=regle!$I$11,regle!$I$23,
IF(T93=regle!$J$11,regle!$J$23,
IF(T93=regle!$K$11,regle!$K$23,0))))))))))))</f>
        <v>0</v>
      </c>
      <c r="AE93" s="17">
        <f>IF($A93,$J93*(IF(U93=regle!$B$11,regle!$B$23*IF(AN93=-2,1+regle!$B$35,1),
IF(U93=regle!$C$11,regle!$C$23,
IF(U93=regle!$D$11,regle!$D$23,
IF(U93=regle!$E$11,regle!$E$23,
IF(U93=regle!$F$11,regle!$F$23,
IF(U93=regle!$G$11,regle!$G$23,
IF(U93=regle!$H$11,regle!$H$23,
IF(U93=regle!$I$11,regle!$I$23,
IF(U93=regle!$J$11,regle!$J$23,
IF(U93=regle!$K$11,regle!$K$23,0))))))))))))</f>
        <v>-71.054999999999993</v>
      </c>
      <c r="AF93" s="17">
        <f>IF($A93,$J93*(IF(V93=regle!$B$11,regle!$B$23*IF(AO93=-2,1+regle!$B$35,1),
IF(V93=regle!$C$11,regle!$C$23,
IF(V93=regle!$D$11,regle!$D$23,
IF(V93=regle!$E$11,regle!$E$23,
IF(V93=regle!$F$11,regle!$F$23,
IF(V93=regle!$G$11,regle!$G$23,
IF(V93=regle!$H$11,regle!$H$23,
IF(V93=regle!$I$11,regle!$I$23,
IF(V93=regle!$J$11,regle!$J$23,
IF(V93=regle!$K$11,regle!$K$23,0))))))))))))</f>
        <v>0</v>
      </c>
      <c r="AG93" s="17">
        <f>IF($A93,$J93*(IF(W93=regle!$B$11,regle!$B$23*IF(AP93=-2,1+regle!$B$35,1),
IF(W93=regle!$C$11,regle!$C$23,
IF(W93=regle!$D$11,regle!$D$23,
IF(W93=regle!$E$11,regle!$E$23,
IF(W93=regle!$F$11,regle!$F$23,
IF(W93=regle!$G$11,regle!$G$23,
IF(W93=regle!$H$11,regle!$H$23,
IF(W93=regle!$I$11,regle!$I$23,
IF(W93=regle!$J$11,regle!$J$23,
IF(W93=regle!$K$11,regle!$K$23,0))))))))))))</f>
        <v>0</v>
      </c>
      <c r="AH93" s="17">
        <f>IF($A93,$J93*(IF(X93=regle!$B$11,regle!$B$23*IF(AQ93=-2,1+regle!$B$35,1),
IF(X93=regle!$C$11,regle!$C$23,
IF(X93=regle!$D$11,regle!$D$23,
IF(X93=regle!$E$11,regle!$E$23,
IF(X93=regle!$F$11,regle!$F$23,
IF(X93=regle!$G$11,regle!$G$23,
IF(X93=regle!$H$11,regle!$H$23,
IF(X93=regle!$I$11,regle!$I$23,
IF(X93=regle!$J$11,regle!$J$23,
IF(X93=regle!$K$11,regle!$K$23,0))))))))))))</f>
        <v>-71.054999999999993</v>
      </c>
      <c r="AI93" s="17">
        <f>IF($A93,$J93*(IF(Y93=regle!$B$11,regle!$B$23*IF(AR93=-2,1+regle!$B$35,1),
IF(Y93=regle!$C$11,regle!$C$23,
IF(Y93=regle!$D$11,regle!$D$23,
IF(Y93=regle!$E$11,regle!$E$23,
IF(Y93=regle!$F$11,regle!$F$23,
IF(Y93=regle!$G$11,regle!$G$23,
IF(Y93=regle!$H$11,regle!$H$23,
IF(Y93=regle!$I$11,regle!$I$23,
IF(Y93=regle!$J$11,regle!$J$23,
IF(Y93=regle!$K$11,regle!$K$23,0))))))))))))</f>
        <v>0</v>
      </c>
      <c r="AJ93" s="17">
        <f>IF($A93,$J93*(IF(Z93=regle!$B$11,regle!$B$23*IF(AS93=-2,1+regle!$B$35,1),
IF(Z93=regle!$C$11,regle!$C$23,
IF(Z93=regle!$D$11,regle!$D$23,
IF(Z93=regle!$E$11,regle!$E$23,
IF(Z93=regle!$F$11,regle!$F$23,
IF(Z93=regle!$G$11,regle!$G$23,
IF(Z93=regle!$H$11,regle!$H$23,
IF(Z93=regle!$I$11,regle!$I$23,
IF(Z93=regle!$J$11,regle!$J$23,
IF(Z93=regle!$K$11,regle!$K$23,0))))))))))))</f>
        <v>0</v>
      </c>
      <c r="AK93" s="16">
        <f>IF(OR(Q93=regle!$J$11,Q93=regle!$K$11),-2,IF(Q93=regle!$B$11,0,IF(AK$1=$AK$1,IF($O93,-1,regle!$B$2-$M93),IF(AJ93=-1,-1,AJ93+1))))</f>
        <v>0</v>
      </c>
      <c r="AL93" s="16">
        <f>IF(OR(R93=regle!$J$11,R93=regle!$K$11),-2,IF(R93=regle!$B$11,0,IF(AL$1=$AK$1,IF($O93,-1,regle!$B$2-$M93),IF(AK93=-1,-1,AK93+1))))</f>
        <v>1</v>
      </c>
      <c r="AM93" s="16">
        <f>IF(OR(S93=regle!$J$11,S93=regle!$K$11),-2,IF(S93=regle!$B$11,0,IF(AM$1=$AK$1,IF($O93,-1,regle!$B$2-$M93),IF(AL93=-1,-1,AL93+1))))</f>
        <v>2</v>
      </c>
      <c r="AN93" s="16">
        <f>IF(OR(T93=regle!$J$11,T93=regle!$K$11),-2,IF(T93=regle!$B$11,0,IF(AN$1=$AK$1,IF($O93,-1,regle!$B$2-$M93),IF(AM93=-1,-1,AM93+1))))</f>
        <v>3</v>
      </c>
      <c r="AO93" s="16">
        <f>IF(OR(U93=regle!$J$11,U93=regle!$K$11),-2,IF(U93=regle!$B$11,0,IF(AO$1=$AK$1,IF($O93,-1,regle!$B$2-$M93),IF(AN93=-1,-1,AN93+1))))</f>
        <v>4</v>
      </c>
      <c r="AP93" s="16">
        <f>IF(OR(V93=regle!$J$11,V93=regle!$K$11),-2,IF(V93=regle!$B$11,0,IF(AP$1=$AK$1,IF($O93,-1,regle!$B$2-$M93),IF(AO93=-1,-1,AO93+1))))</f>
        <v>5</v>
      </c>
      <c r="AQ93" s="16">
        <f>IF(OR(W93=regle!$J$11,W93=regle!$K$11),-2,IF(W93=regle!$B$11,0,IF(AQ$1=$AK$1,IF($O93,-1,regle!$B$2-$M93),IF(AP93=-1,-1,AP93+1))))</f>
        <v>6</v>
      </c>
      <c r="AR93" s="16">
        <f>IF(OR(X93=regle!$J$11,X93=regle!$K$11),-2,IF(X93=regle!$B$11,0,IF(AR$1=$AK$1,IF($O93,-1,regle!$B$2-$M93),IF(AQ93=-1,-1,AQ93+1))))</f>
        <v>7</v>
      </c>
      <c r="AS93" s="16">
        <f>IF(OR(Y93=regle!$J$11,Y93=regle!$K$11),-2,IF(Y93=regle!$B$11,0,IF(AS$1=$AK$1,IF($O93,-1,regle!$B$2-$M93),IF(AR93=-1,-1,AR93+1))))</f>
        <v>8</v>
      </c>
      <c r="AT93" s="16">
        <f>IF(OR(Z93=regle!$J$11,Z93=regle!$K$11),-2,IF(Z93=regle!$B$11,0,IF(AT$1=$AK$1,IF($O93,-1,regle!$B$2-$M93),IF(AS93=-1,-1,AS93+1))))</f>
        <v>9</v>
      </c>
    </row>
    <row r="94" spans="1:46" x14ac:dyDescent="0.25">
      <c r="A94" t="b">
        <f>modif1!A94</f>
        <v>1</v>
      </c>
      <c r="B94">
        <f>ROW(modif1!B94)</f>
        <v>94</v>
      </c>
      <c r="C94" t="str">
        <f>modif1!C97</f>
        <v>202</v>
      </c>
      <c r="D94" t="str">
        <f>modif1!D94</f>
        <v>MANO</v>
      </c>
      <c r="E94">
        <f>modif1!E94</f>
        <v>17</v>
      </c>
      <c r="F94" t="str">
        <f>modif1!F94</f>
        <v>LANDE DE TABARTON</v>
      </c>
      <c r="G94" t="str">
        <f>modif1!G94</f>
        <v>0B</v>
      </c>
      <c r="H94">
        <f>modif1!H94</f>
        <v>409</v>
      </c>
      <c r="I94" t="str">
        <f>modif1!I94</f>
        <v/>
      </c>
      <c r="J94" s="11">
        <f>modif1!J94</f>
        <v>0.68589999999999995</v>
      </c>
      <c r="K94" t="str">
        <f>modif1!K94</f>
        <v>CR</v>
      </c>
      <c r="L94" t="str">
        <f>modif1!L94</f>
        <v>PM</v>
      </c>
      <c r="M94">
        <f>modif1!M94</f>
        <v>2016</v>
      </c>
      <c r="N94" t="str">
        <f>modif1!N94</f>
        <v>CR-PM_2016</v>
      </c>
      <c r="O94" t="b">
        <f>modif1!O94</f>
        <v>1</v>
      </c>
      <c r="P94">
        <v>40</v>
      </c>
      <c r="Q94" t="s">
        <v>1868</v>
      </c>
      <c r="S94" t="s">
        <v>1872</v>
      </c>
      <c r="U94" t="s">
        <v>1870</v>
      </c>
      <c r="X94" t="s">
        <v>1871</v>
      </c>
      <c r="Z94"/>
      <c r="AA94" s="17">
        <f>IF($A94,$J94*(IF(Q94=regle!$B$11,regle!$B$23*IF(AJ94=-2,1+regle!$B$35,1),
IF(Q94=regle!$C$11,regle!$C$23,
IF(Q94=regle!$D$11,regle!$D$23,
IF(Q94=regle!$E$11,regle!$E$23,
IF(Q94=regle!$F$11,regle!$F$23,
IF(Q94=regle!$G$11,regle!$G$23,
IF(Q94=regle!$H$11,regle!$H$23,
IF(Q94=regle!$I$11,regle!$I$23,
IF(Q94=regle!$J$11,regle!$J$23,
IF(Q94=regle!$K$11,regle!$K$23,0))))))))))))</f>
        <v>-1166.03</v>
      </c>
      <c r="AB94" s="17">
        <f>IF($A94,$J94*(IF(R94=regle!$B$11,regle!$B$23*IF(AK94=-2,1+regle!$B$35,1),
IF(R94=regle!$C$11,regle!$C$23,
IF(R94=regle!$D$11,regle!$D$23,
IF(R94=regle!$E$11,regle!$E$23,
IF(R94=regle!$F$11,regle!$F$23,
IF(R94=regle!$G$11,regle!$G$23,
IF(R94=regle!$H$11,regle!$H$23,
IF(R94=regle!$I$11,regle!$I$23,
IF(R94=regle!$J$11,regle!$J$23,
IF(R94=regle!$K$11,regle!$K$23,0))))))))))))</f>
        <v>0</v>
      </c>
      <c r="AC94" s="17">
        <f>IF($A94,$J94*(IF(S94=regle!$B$11,regle!$B$23*IF(AL94=-2,1+regle!$B$35,1),
IF(S94=regle!$C$11,regle!$C$23,
IF(S94=regle!$D$11,regle!$D$23,
IF(S94=regle!$E$11,regle!$E$23,
IF(S94=regle!$F$11,regle!$F$23,
IF(S94=regle!$G$11,regle!$G$23,
IF(S94=regle!$H$11,regle!$H$23,
IF(S94=regle!$I$11,regle!$I$23,
IF(S94=regle!$J$11,regle!$J$23,
IF(S94=regle!$K$11,regle!$K$23,0))))))))))))</f>
        <v>-51.442499999999995</v>
      </c>
      <c r="AD94" s="17">
        <f>IF($A94,$J94*(IF(T94=regle!$B$11,regle!$B$23*IF(AM94=-2,1+regle!$B$35,1),
IF(T94=regle!$C$11,regle!$C$23,
IF(T94=regle!$D$11,regle!$D$23,
IF(T94=regle!$E$11,regle!$E$23,
IF(T94=regle!$F$11,regle!$F$23,
IF(T94=regle!$G$11,regle!$G$23,
IF(T94=regle!$H$11,regle!$H$23,
IF(T94=regle!$I$11,regle!$I$23,
IF(T94=regle!$J$11,regle!$J$23,
IF(T94=regle!$K$11,regle!$K$23,0))))))))))))</f>
        <v>0</v>
      </c>
      <c r="AE94" s="17">
        <f>IF($A94,$J94*(IF(U94=regle!$B$11,regle!$B$23*IF(AN94=-2,1+regle!$B$35,1),
IF(U94=regle!$C$11,regle!$C$23,
IF(U94=regle!$D$11,regle!$D$23,
IF(U94=regle!$E$11,regle!$E$23,
IF(U94=regle!$F$11,regle!$F$23,
IF(U94=regle!$G$11,regle!$G$23,
IF(U94=regle!$H$11,regle!$H$23,
IF(U94=regle!$I$11,regle!$I$23,
IF(U94=regle!$J$11,regle!$J$23,
IF(U94=regle!$K$11,regle!$K$23,0))))))))))))</f>
        <v>-61.730999999999995</v>
      </c>
      <c r="AF94" s="17">
        <f>IF($A94,$J94*(IF(V94=regle!$B$11,regle!$B$23*IF(AO94=-2,1+regle!$B$35,1),
IF(V94=regle!$C$11,regle!$C$23,
IF(V94=regle!$D$11,regle!$D$23,
IF(V94=regle!$E$11,regle!$E$23,
IF(V94=regle!$F$11,regle!$F$23,
IF(V94=regle!$G$11,regle!$G$23,
IF(V94=regle!$H$11,regle!$H$23,
IF(V94=regle!$I$11,regle!$I$23,
IF(V94=regle!$J$11,regle!$J$23,
IF(V94=regle!$K$11,regle!$K$23,0))))))))))))</f>
        <v>0</v>
      </c>
      <c r="AG94" s="17">
        <f>IF($A94,$J94*(IF(W94=regle!$B$11,regle!$B$23*IF(AP94=-2,1+regle!$B$35,1),
IF(W94=regle!$C$11,regle!$C$23,
IF(W94=regle!$D$11,regle!$D$23,
IF(W94=regle!$E$11,regle!$E$23,
IF(W94=regle!$F$11,regle!$F$23,
IF(W94=regle!$G$11,regle!$G$23,
IF(W94=regle!$H$11,regle!$H$23,
IF(W94=regle!$I$11,regle!$I$23,
IF(W94=regle!$J$11,regle!$J$23,
IF(W94=regle!$K$11,regle!$K$23,0))))))))))))</f>
        <v>0</v>
      </c>
      <c r="AH94" s="17">
        <f>IF($A94,$J94*(IF(X94=regle!$B$11,regle!$B$23*IF(AQ94=-2,1+regle!$B$35,1),
IF(X94=regle!$C$11,regle!$C$23,
IF(X94=regle!$D$11,regle!$D$23,
IF(X94=regle!$E$11,regle!$E$23,
IF(X94=regle!$F$11,regle!$F$23,
IF(X94=regle!$G$11,regle!$G$23,
IF(X94=regle!$H$11,regle!$H$23,
IF(X94=regle!$I$11,regle!$I$23,
IF(X94=regle!$J$11,regle!$J$23,
IF(X94=regle!$K$11,regle!$K$23,0))))))))))))</f>
        <v>-61.730999999999995</v>
      </c>
      <c r="AI94" s="17">
        <f>IF($A94,$J94*(IF(Y94=regle!$B$11,regle!$B$23*IF(AR94=-2,1+regle!$B$35,1),
IF(Y94=regle!$C$11,regle!$C$23,
IF(Y94=regle!$D$11,regle!$D$23,
IF(Y94=regle!$E$11,regle!$E$23,
IF(Y94=regle!$F$11,regle!$F$23,
IF(Y94=regle!$G$11,regle!$G$23,
IF(Y94=regle!$H$11,regle!$H$23,
IF(Y94=regle!$I$11,regle!$I$23,
IF(Y94=regle!$J$11,regle!$J$23,
IF(Y94=regle!$K$11,regle!$K$23,0))))))))))))</f>
        <v>0</v>
      </c>
      <c r="AJ94" s="17">
        <f>IF($A94,$J94*(IF(Z94=regle!$B$11,regle!$B$23*IF(AS94=-2,1+regle!$B$35,1),
IF(Z94=regle!$C$11,regle!$C$23,
IF(Z94=regle!$D$11,regle!$D$23,
IF(Z94=regle!$E$11,regle!$E$23,
IF(Z94=regle!$F$11,regle!$F$23,
IF(Z94=regle!$G$11,regle!$G$23,
IF(Z94=regle!$H$11,regle!$H$23,
IF(Z94=regle!$I$11,regle!$I$23,
IF(Z94=regle!$J$11,regle!$J$23,
IF(Z94=regle!$K$11,regle!$K$23,0))))))))))))</f>
        <v>0</v>
      </c>
      <c r="AK94" s="16">
        <f>IF(OR(Q94=regle!$J$11,Q94=regle!$K$11),-2,IF(Q94=regle!$B$11,0,IF(AK$1=$AK$1,IF($O94,-1,regle!$B$2-$M94),IF(AJ94=-1,-1,AJ94+1))))</f>
        <v>0</v>
      </c>
      <c r="AL94" s="16">
        <f>IF(OR(R94=regle!$J$11,R94=regle!$K$11),-2,IF(R94=regle!$B$11,0,IF(AL$1=$AK$1,IF($O94,-1,regle!$B$2-$M94),IF(AK94=-1,-1,AK94+1))))</f>
        <v>1</v>
      </c>
      <c r="AM94" s="16">
        <f>IF(OR(S94=regle!$J$11,S94=regle!$K$11),-2,IF(S94=regle!$B$11,0,IF(AM$1=$AK$1,IF($O94,-1,regle!$B$2-$M94),IF(AL94=-1,-1,AL94+1))))</f>
        <v>2</v>
      </c>
      <c r="AN94" s="16">
        <f>IF(OR(T94=regle!$J$11,T94=regle!$K$11),-2,IF(T94=regle!$B$11,0,IF(AN$1=$AK$1,IF($O94,-1,regle!$B$2-$M94),IF(AM94=-1,-1,AM94+1))))</f>
        <v>3</v>
      </c>
      <c r="AO94" s="16">
        <f>IF(OR(U94=regle!$J$11,U94=regle!$K$11),-2,IF(U94=regle!$B$11,0,IF(AO$1=$AK$1,IF($O94,-1,regle!$B$2-$M94),IF(AN94=-1,-1,AN94+1))))</f>
        <v>4</v>
      </c>
      <c r="AP94" s="16">
        <f>IF(OR(V94=regle!$J$11,V94=regle!$K$11),-2,IF(V94=regle!$B$11,0,IF(AP$1=$AK$1,IF($O94,-1,regle!$B$2-$M94),IF(AO94=-1,-1,AO94+1))))</f>
        <v>5</v>
      </c>
      <c r="AQ94" s="16">
        <f>IF(OR(W94=regle!$J$11,W94=regle!$K$11),-2,IF(W94=regle!$B$11,0,IF(AQ$1=$AK$1,IF($O94,-1,regle!$B$2-$M94),IF(AP94=-1,-1,AP94+1))))</f>
        <v>6</v>
      </c>
      <c r="AR94" s="16">
        <f>IF(OR(X94=regle!$J$11,X94=regle!$K$11),-2,IF(X94=regle!$B$11,0,IF(AR$1=$AK$1,IF($O94,-1,regle!$B$2-$M94),IF(AQ94=-1,-1,AQ94+1))))</f>
        <v>7</v>
      </c>
      <c r="AS94" s="16">
        <f>IF(OR(Y94=regle!$J$11,Y94=regle!$K$11),-2,IF(Y94=regle!$B$11,0,IF(AS$1=$AK$1,IF($O94,-1,regle!$B$2-$M94),IF(AR94=-1,-1,AR94+1))))</f>
        <v>8</v>
      </c>
      <c r="AT94" s="16">
        <f>IF(OR(Z94=regle!$J$11,Z94=regle!$K$11),-2,IF(Z94=regle!$B$11,0,IF(AT$1=$AK$1,IF($O94,-1,regle!$B$2-$M94),IF(AS94=-1,-1,AS94+1))))</f>
        <v>9</v>
      </c>
    </row>
    <row r="95" spans="1:46" x14ac:dyDescent="0.25">
      <c r="A95" t="b">
        <f>modif1!A95</f>
        <v>1</v>
      </c>
      <c r="B95">
        <f>ROW(modif1!B95)</f>
        <v>95</v>
      </c>
      <c r="C95" t="str">
        <f>modif1!C98</f>
        <v>202</v>
      </c>
      <c r="D95" t="str">
        <f>modif1!D95</f>
        <v>MANO</v>
      </c>
      <c r="E95">
        <f>modif1!E95</f>
        <v>17</v>
      </c>
      <c r="F95" t="str">
        <f>modif1!F95</f>
        <v>LANDE DE TABARTON</v>
      </c>
      <c r="G95" t="str">
        <f>modif1!G95</f>
        <v>0B</v>
      </c>
      <c r="H95">
        <f>modif1!H95</f>
        <v>410</v>
      </c>
      <c r="I95" t="str">
        <f>modif1!I95</f>
        <v/>
      </c>
      <c r="J95" s="11">
        <f>modif1!J95</f>
        <v>0.161</v>
      </c>
      <c r="K95" t="str">
        <f>modif1!K95</f>
        <v>CR</v>
      </c>
      <c r="L95" t="str">
        <f>modif1!L95</f>
        <v>PM</v>
      </c>
      <c r="M95">
        <f>modif1!M95</f>
        <v>2016</v>
      </c>
      <c r="N95" t="str">
        <f>modif1!N95</f>
        <v>CR-PM_2016</v>
      </c>
      <c r="O95" t="b">
        <f>modif1!O95</f>
        <v>1</v>
      </c>
      <c r="P95">
        <v>40</v>
      </c>
      <c r="Q95" t="s">
        <v>1868</v>
      </c>
      <c r="S95" t="s">
        <v>1872</v>
      </c>
      <c r="U95" t="s">
        <v>1870</v>
      </c>
      <c r="X95" t="s">
        <v>1871</v>
      </c>
      <c r="Z95"/>
      <c r="AA95" s="17">
        <f>IF($A95,$J95*(IF(Q95=regle!$B$11,regle!$B$23*IF(AJ95=-2,1+regle!$B$35,1),
IF(Q95=regle!$C$11,regle!$C$23,
IF(Q95=regle!$D$11,regle!$D$23,
IF(Q95=regle!$E$11,regle!$E$23,
IF(Q95=regle!$F$11,regle!$F$23,
IF(Q95=regle!$G$11,regle!$G$23,
IF(Q95=regle!$H$11,regle!$H$23,
IF(Q95=regle!$I$11,regle!$I$23,
IF(Q95=regle!$J$11,regle!$J$23,
IF(Q95=regle!$K$11,regle!$K$23,0))))))))))))</f>
        <v>-273.7</v>
      </c>
      <c r="AB95" s="17">
        <f>IF($A95,$J95*(IF(R95=regle!$B$11,regle!$B$23*IF(AK95=-2,1+regle!$B$35,1),
IF(R95=regle!$C$11,regle!$C$23,
IF(R95=regle!$D$11,regle!$D$23,
IF(R95=regle!$E$11,regle!$E$23,
IF(R95=regle!$F$11,regle!$F$23,
IF(R95=regle!$G$11,regle!$G$23,
IF(R95=regle!$H$11,regle!$H$23,
IF(R95=regle!$I$11,regle!$I$23,
IF(R95=regle!$J$11,regle!$J$23,
IF(R95=regle!$K$11,regle!$K$23,0))))))))))))</f>
        <v>0</v>
      </c>
      <c r="AC95" s="17">
        <f>IF($A95,$J95*(IF(S95=regle!$B$11,regle!$B$23*IF(AL95=-2,1+regle!$B$35,1),
IF(S95=regle!$C$11,regle!$C$23,
IF(S95=regle!$D$11,regle!$D$23,
IF(S95=regle!$E$11,regle!$E$23,
IF(S95=regle!$F$11,regle!$F$23,
IF(S95=regle!$G$11,regle!$G$23,
IF(S95=regle!$H$11,regle!$H$23,
IF(S95=regle!$I$11,regle!$I$23,
IF(S95=regle!$J$11,regle!$J$23,
IF(S95=regle!$K$11,regle!$K$23,0))))))))))))</f>
        <v>-12.075000000000001</v>
      </c>
      <c r="AD95" s="17">
        <f>IF($A95,$J95*(IF(T95=regle!$B$11,regle!$B$23*IF(AM95=-2,1+regle!$B$35,1),
IF(T95=regle!$C$11,regle!$C$23,
IF(T95=regle!$D$11,regle!$D$23,
IF(T95=regle!$E$11,regle!$E$23,
IF(T95=regle!$F$11,regle!$F$23,
IF(T95=regle!$G$11,regle!$G$23,
IF(T95=regle!$H$11,regle!$H$23,
IF(T95=regle!$I$11,regle!$I$23,
IF(T95=regle!$J$11,regle!$J$23,
IF(T95=regle!$K$11,regle!$K$23,0))))))))))))</f>
        <v>0</v>
      </c>
      <c r="AE95" s="17">
        <f>IF($A95,$J95*(IF(U95=regle!$B$11,regle!$B$23*IF(AN95=-2,1+regle!$B$35,1),
IF(U95=regle!$C$11,regle!$C$23,
IF(U95=regle!$D$11,regle!$D$23,
IF(U95=regle!$E$11,regle!$E$23,
IF(U95=regle!$F$11,regle!$F$23,
IF(U95=regle!$G$11,regle!$G$23,
IF(U95=regle!$H$11,regle!$H$23,
IF(U95=regle!$I$11,regle!$I$23,
IF(U95=regle!$J$11,regle!$J$23,
IF(U95=regle!$K$11,regle!$K$23,0))))))))))))</f>
        <v>-14.49</v>
      </c>
      <c r="AF95" s="17">
        <f>IF($A95,$J95*(IF(V95=regle!$B$11,regle!$B$23*IF(AO95=-2,1+regle!$B$35,1),
IF(V95=regle!$C$11,regle!$C$23,
IF(V95=regle!$D$11,regle!$D$23,
IF(V95=regle!$E$11,regle!$E$23,
IF(V95=regle!$F$11,regle!$F$23,
IF(V95=regle!$G$11,regle!$G$23,
IF(V95=regle!$H$11,regle!$H$23,
IF(V95=regle!$I$11,regle!$I$23,
IF(V95=regle!$J$11,regle!$J$23,
IF(V95=regle!$K$11,regle!$K$23,0))))))))))))</f>
        <v>0</v>
      </c>
      <c r="AG95" s="17">
        <f>IF($A95,$J95*(IF(W95=regle!$B$11,regle!$B$23*IF(AP95=-2,1+regle!$B$35,1),
IF(W95=regle!$C$11,regle!$C$23,
IF(W95=regle!$D$11,regle!$D$23,
IF(W95=regle!$E$11,regle!$E$23,
IF(W95=regle!$F$11,regle!$F$23,
IF(W95=regle!$G$11,regle!$G$23,
IF(W95=regle!$H$11,regle!$H$23,
IF(W95=regle!$I$11,regle!$I$23,
IF(W95=regle!$J$11,regle!$J$23,
IF(W95=regle!$K$11,regle!$K$23,0))))))))))))</f>
        <v>0</v>
      </c>
      <c r="AH95" s="17">
        <f>IF($A95,$J95*(IF(X95=regle!$B$11,regle!$B$23*IF(AQ95=-2,1+regle!$B$35,1),
IF(X95=regle!$C$11,regle!$C$23,
IF(X95=regle!$D$11,regle!$D$23,
IF(X95=regle!$E$11,regle!$E$23,
IF(X95=regle!$F$11,regle!$F$23,
IF(X95=regle!$G$11,regle!$G$23,
IF(X95=regle!$H$11,regle!$H$23,
IF(X95=regle!$I$11,regle!$I$23,
IF(X95=regle!$J$11,regle!$J$23,
IF(X95=regle!$K$11,regle!$K$23,0))))))))))))</f>
        <v>-14.49</v>
      </c>
      <c r="AI95" s="17">
        <f>IF($A95,$J95*(IF(Y95=regle!$B$11,regle!$B$23*IF(AR95=-2,1+regle!$B$35,1),
IF(Y95=regle!$C$11,regle!$C$23,
IF(Y95=regle!$D$11,regle!$D$23,
IF(Y95=regle!$E$11,regle!$E$23,
IF(Y95=regle!$F$11,regle!$F$23,
IF(Y95=regle!$G$11,regle!$G$23,
IF(Y95=regle!$H$11,regle!$H$23,
IF(Y95=regle!$I$11,regle!$I$23,
IF(Y95=regle!$J$11,regle!$J$23,
IF(Y95=regle!$K$11,regle!$K$23,0))))))))))))</f>
        <v>0</v>
      </c>
      <c r="AJ95" s="17">
        <f>IF($A95,$J95*(IF(Z95=regle!$B$11,regle!$B$23*IF(AS95=-2,1+regle!$B$35,1),
IF(Z95=regle!$C$11,regle!$C$23,
IF(Z95=regle!$D$11,regle!$D$23,
IF(Z95=regle!$E$11,regle!$E$23,
IF(Z95=regle!$F$11,regle!$F$23,
IF(Z95=regle!$G$11,regle!$G$23,
IF(Z95=regle!$H$11,regle!$H$23,
IF(Z95=regle!$I$11,regle!$I$23,
IF(Z95=regle!$J$11,regle!$J$23,
IF(Z95=regle!$K$11,regle!$K$23,0))))))))))))</f>
        <v>0</v>
      </c>
      <c r="AK95" s="16">
        <f>IF(OR(Q95=regle!$J$11,Q95=regle!$K$11),-2,IF(Q95=regle!$B$11,0,IF(AK$1=$AK$1,IF($O95,-1,regle!$B$2-$M95),IF(AJ95=-1,-1,AJ95+1))))</f>
        <v>0</v>
      </c>
      <c r="AL95" s="16">
        <f>IF(OR(R95=regle!$J$11,R95=regle!$K$11),-2,IF(R95=regle!$B$11,0,IF(AL$1=$AK$1,IF($O95,-1,regle!$B$2-$M95),IF(AK95=-1,-1,AK95+1))))</f>
        <v>1</v>
      </c>
      <c r="AM95" s="16">
        <f>IF(OR(S95=regle!$J$11,S95=regle!$K$11),-2,IF(S95=regle!$B$11,0,IF(AM$1=$AK$1,IF($O95,-1,regle!$B$2-$M95),IF(AL95=-1,-1,AL95+1))))</f>
        <v>2</v>
      </c>
      <c r="AN95" s="16">
        <f>IF(OR(T95=regle!$J$11,T95=regle!$K$11),-2,IF(T95=regle!$B$11,0,IF(AN$1=$AK$1,IF($O95,-1,regle!$B$2-$M95),IF(AM95=-1,-1,AM95+1))))</f>
        <v>3</v>
      </c>
      <c r="AO95" s="16">
        <f>IF(OR(U95=regle!$J$11,U95=regle!$K$11),-2,IF(U95=regle!$B$11,0,IF(AO$1=$AK$1,IF($O95,-1,regle!$B$2-$M95),IF(AN95=-1,-1,AN95+1))))</f>
        <v>4</v>
      </c>
      <c r="AP95" s="16">
        <f>IF(OR(V95=regle!$J$11,V95=regle!$K$11),-2,IF(V95=regle!$B$11,0,IF(AP$1=$AK$1,IF($O95,-1,regle!$B$2-$M95),IF(AO95=-1,-1,AO95+1))))</f>
        <v>5</v>
      </c>
      <c r="AQ95" s="16">
        <f>IF(OR(W95=regle!$J$11,W95=regle!$K$11),-2,IF(W95=regle!$B$11,0,IF(AQ$1=$AK$1,IF($O95,-1,regle!$B$2-$M95),IF(AP95=-1,-1,AP95+1))))</f>
        <v>6</v>
      </c>
      <c r="AR95" s="16">
        <f>IF(OR(X95=regle!$J$11,X95=regle!$K$11),-2,IF(X95=regle!$B$11,0,IF(AR$1=$AK$1,IF($O95,-1,regle!$B$2-$M95),IF(AQ95=-1,-1,AQ95+1))))</f>
        <v>7</v>
      </c>
      <c r="AS95" s="16">
        <f>IF(OR(Y95=regle!$J$11,Y95=regle!$K$11),-2,IF(Y95=regle!$B$11,0,IF(AS$1=$AK$1,IF($O95,-1,regle!$B$2-$M95),IF(AR95=-1,-1,AR95+1))))</f>
        <v>8</v>
      </c>
      <c r="AT95" s="16">
        <f>IF(OR(Z95=regle!$J$11,Z95=regle!$K$11),-2,IF(Z95=regle!$B$11,0,IF(AT$1=$AK$1,IF($O95,-1,regle!$B$2-$M95),IF(AS95=-1,-1,AS95+1))))</f>
        <v>9</v>
      </c>
    </row>
    <row r="96" spans="1:46" x14ac:dyDescent="0.25">
      <c r="A96" t="b">
        <f>modif1!A96</f>
        <v>1</v>
      </c>
      <c r="B96">
        <f>ROW(modif1!B96)</f>
        <v>96</v>
      </c>
      <c r="C96" t="str">
        <f>modif1!C99</f>
        <v>202</v>
      </c>
      <c r="D96" t="str">
        <f>modif1!D96</f>
        <v>MANO</v>
      </c>
      <c r="E96">
        <f>modif1!E96</f>
        <v>17</v>
      </c>
      <c r="F96" t="str">
        <f>modif1!F96</f>
        <v>LANDE DE TABARTON</v>
      </c>
      <c r="G96" t="str">
        <f>modif1!G96</f>
        <v>0B</v>
      </c>
      <c r="H96">
        <f>modif1!H96</f>
        <v>299</v>
      </c>
      <c r="I96" t="str">
        <f>modif1!I96</f>
        <v/>
      </c>
      <c r="J96" s="11">
        <f>modif1!J96</f>
        <v>0.83499999999999996</v>
      </c>
      <c r="K96" t="str">
        <f>modif1!K96</f>
        <v>PLA</v>
      </c>
      <c r="L96" t="str">
        <f>modif1!L96</f>
        <v>PM</v>
      </c>
      <c r="M96">
        <f>modif1!M96</f>
        <v>2023</v>
      </c>
      <c r="N96" t="str">
        <f>modif1!N96</f>
        <v>PLA-PM_2023</v>
      </c>
      <c r="O96" t="b">
        <f>modif1!O96</f>
        <v>0</v>
      </c>
      <c r="P96">
        <v>40</v>
      </c>
      <c r="R96" t="s">
        <v>1872</v>
      </c>
      <c r="T96" t="s">
        <v>1870</v>
      </c>
      <c r="W96" t="s">
        <v>1871</v>
      </c>
      <c r="Z96"/>
      <c r="AA96" s="17">
        <f>IF($A96,$J96*(IF(Q96=regle!$B$11,regle!$B$23*IF(AJ96=-2,1+regle!$B$35,1),
IF(Q96=regle!$C$11,regle!$C$23,
IF(Q96=regle!$D$11,regle!$D$23,
IF(Q96=regle!$E$11,regle!$E$23,
IF(Q96=regle!$F$11,regle!$F$23,
IF(Q96=regle!$G$11,regle!$G$23,
IF(Q96=regle!$H$11,regle!$H$23,
IF(Q96=regle!$I$11,regle!$I$23,
IF(Q96=regle!$J$11,regle!$J$23,
IF(Q96=regle!$K$11,regle!$K$23,0))))))))))))</f>
        <v>0</v>
      </c>
      <c r="AB96" s="17">
        <f>IF($A96,$J96*(IF(R96=regle!$B$11,regle!$B$23*IF(AK96=-2,1+regle!$B$35,1),
IF(R96=regle!$C$11,regle!$C$23,
IF(R96=regle!$D$11,regle!$D$23,
IF(R96=regle!$E$11,regle!$E$23,
IF(R96=regle!$F$11,regle!$F$23,
IF(R96=regle!$G$11,regle!$G$23,
IF(R96=regle!$H$11,regle!$H$23,
IF(R96=regle!$I$11,regle!$I$23,
IF(R96=regle!$J$11,regle!$J$23,
IF(R96=regle!$K$11,regle!$K$23,0))))))))))))</f>
        <v>-62.625</v>
      </c>
      <c r="AC96" s="17">
        <f>IF($A96,$J96*(IF(S96=regle!$B$11,regle!$B$23*IF(AL96=-2,1+regle!$B$35,1),
IF(S96=regle!$C$11,regle!$C$23,
IF(S96=regle!$D$11,regle!$D$23,
IF(S96=regle!$E$11,regle!$E$23,
IF(S96=regle!$F$11,regle!$F$23,
IF(S96=regle!$G$11,regle!$G$23,
IF(S96=regle!$H$11,regle!$H$23,
IF(S96=regle!$I$11,regle!$I$23,
IF(S96=regle!$J$11,regle!$J$23,
IF(S96=regle!$K$11,regle!$K$23,0))))))))))))</f>
        <v>0</v>
      </c>
      <c r="AD96" s="17">
        <f>IF($A96,$J96*(IF(T96=regle!$B$11,regle!$B$23*IF(AM96=-2,1+regle!$B$35,1),
IF(T96=regle!$C$11,regle!$C$23,
IF(T96=regle!$D$11,regle!$D$23,
IF(T96=regle!$E$11,regle!$E$23,
IF(T96=regle!$F$11,regle!$F$23,
IF(T96=regle!$G$11,regle!$G$23,
IF(T96=regle!$H$11,regle!$H$23,
IF(T96=regle!$I$11,regle!$I$23,
IF(T96=regle!$J$11,regle!$J$23,
IF(T96=regle!$K$11,regle!$K$23,0))))))))))))</f>
        <v>-75.149999999999991</v>
      </c>
      <c r="AE96" s="17">
        <f>IF($A96,$J96*(IF(U96=regle!$B$11,regle!$B$23*IF(AN96=-2,1+regle!$B$35,1),
IF(U96=regle!$C$11,regle!$C$23,
IF(U96=regle!$D$11,regle!$D$23,
IF(U96=regle!$E$11,regle!$E$23,
IF(U96=regle!$F$11,regle!$F$23,
IF(U96=regle!$G$11,regle!$G$23,
IF(U96=regle!$H$11,regle!$H$23,
IF(U96=regle!$I$11,regle!$I$23,
IF(U96=regle!$J$11,regle!$J$23,
IF(U96=regle!$K$11,regle!$K$23,0))))))))))))</f>
        <v>0</v>
      </c>
      <c r="AF96" s="17">
        <f>IF($A96,$J96*(IF(V96=regle!$B$11,regle!$B$23*IF(AO96=-2,1+regle!$B$35,1),
IF(V96=regle!$C$11,regle!$C$23,
IF(V96=regle!$D$11,regle!$D$23,
IF(V96=regle!$E$11,regle!$E$23,
IF(V96=regle!$F$11,regle!$F$23,
IF(V96=regle!$G$11,regle!$G$23,
IF(V96=regle!$H$11,regle!$H$23,
IF(V96=regle!$I$11,regle!$I$23,
IF(V96=regle!$J$11,regle!$J$23,
IF(V96=regle!$K$11,regle!$K$23,0))))))))))))</f>
        <v>0</v>
      </c>
      <c r="AG96" s="17">
        <f>IF($A96,$J96*(IF(W96=regle!$B$11,regle!$B$23*IF(AP96=-2,1+regle!$B$35,1),
IF(W96=regle!$C$11,regle!$C$23,
IF(W96=regle!$D$11,regle!$D$23,
IF(W96=regle!$E$11,regle!$E$23,
IF(W96=regle!$F$11,regle!$F$23,
IF(W96=regle!$G$11,regle!$G$23,
IF(W96=regle!$H$11,regle!$H$23,
IF(W96=regle!$I$11,regle!$I$23,
IF(W96=regle!$J$11,regle!$J$23,
IF(W96=regle!$K$11,regle!$K$23,0))))))))))))</f>
        <v>-75.149999999999991</v>
      </c>
      <c r="AH96" s="17">
        <f>IF($A96,$J96*(IF(X96=regle!$B$11,regle!$B$23*IF(AQ96=-2,1+regle!$B$35,1),
IF(X96=regle!$C$11,regle!$C$23,
IF(X96=regle!$D$11,regle!$D$23,
IF(X96=regle!$E$11,regle!$E$23,
IF(X96=regle!$F$11,regle!$F$23,
IF(X96=regle!$G$11,regle!$G$23,
IF(X96=regle!$H$11,regle!$H$23,
IF(X96=regle!$I$11,regle!$I$23,
IF(X96=regle!$J$11,regle!$J$23,
IF(X96=regle!$K$11,regle!$K$23,0))))))))))))</f>
        <v>0</v>
      </c>
      <c r="AI96" s="17">
        <f>IF($A96,$J96*(IF(Y96=regle!$B$11,regle!$B$23*IF(AR96=-2,1+regle!$B$35,1),
IF(Y96=regle!$C$11,regle!$C$23,
IF(Y96=regle!$D$11,regle!$D$23,
IF(Y96=regle!$E$11,regle!$E$23,
IF(Y96=regle!$F$11,regle!$F$23,
IF(Y96=regle!$G$11,regle!$G$23,
IF(Y96=regle!$H$11,regle!$H$23,
IF(Y96=regle!$I$11,regle!$I$23,
IF(Y96=regle!$J$11,regle!$J$23,
IF(Y96=regle!$K$11,regle!$K$23,0))))))))))))</f>
        <v>0</v>
      </c>
      <c r="AJ96" s="17">
        <f>IF($A96,$J96*(IF(Z96=regle!$B$11,regle!$B$23*IF(AS96=-2,1+regle!$B$35,1),
IF(Z96=regle!$C$11,regle!$C$23,
IF(Z96=regle!$D$11,regle!$D$23,
IF(Z96=regle!$E$11,regle!$E$23,
IF(Z96=regle!$F$11,regle!$F$23,
IF(Z96=regle!$G$11,regle!$G$23,
IF(Z96=regle!$H$11,regle!$H$23,
IF(Z96=regle!$I$11,regle!$I$23,
IF(Z96=regle!$J$11,regle!$J$23,
IF(Z96=regle!$K$11,regle!$K$23,0))))))))))))</f>
        <v>0</v>
      </c>
      <c r="AK96" s="16">
        <f>IF(OR(Q96=regle!$J$11,Q96=regle!$K$11),-2,IF(Q96=regle!$B$11,0,IF(AK$1=$AK$1,IF($O96,-1,regle!$B$2-$M96),IF(AJ96=-1,-1,AJ96+1))))</f>
        <v>1</v>
      </c>
      <c r="AL96" s="16">
        <f>IF(OR(R96=regle!$J$11,R96=regle!$K$11),-2,IF(R96=regle!$B$11,0,IF(AL$1=$AK$1,IF($O96,-1,regle!$B$2-$M96),IF(AK96=-1,-1,AK96+1))))</f>
        <v>2</v>
      </c>
      <c r="AM96" s="16">
        <f>IF(OR(S96=regle!$J$11,S96=regle!$K$11),-2,IF(S96=regle!$B$11,0,IF(AM$1=$AK$1,IF($O96,-1,regle!$B$2-$M96),IF(AL96=-1,-1,AL96+1))))</f>
        <v>3</v>
      </c>
      <c r="AN96" s="16">
        <f>IF(OR(T96=regle!$J$11,T96=regle!$K$11),-2,IF(T96=regle!$B$11,0,IF(AN$1=$AK$1,IF($O96,-1,regle!$B$2-$M96),IF(AM96=-1,-1,AM96+1))))</f>
        <v>4</v>
      </c>
      <c r="AO96" s="16">
        <f>IF(OR(U96=regle!$J$11,U96=regle!$K$11),-2,IF(U96=regle!$B$11,0,IF(AO$1=$AK$1,IF($O96,-1,regle!$B$2-$M96),IF(AN96=-1,-1,AN96+1))))</f>
        <v>5</v>
      </c>
      <c r="AP96" s="16">
        <f>IF(OR(V96=regle!$J$11,V96=regle!$K$11),-2,IF(V96=regle!$B$11,0,IF(AP$1=$AK$1,IF($O96,-1,regle!$B$2-$M96),IF(AO96=-1,-1,AO96+1))))</f>
        <v>6</v>
      </c>
      <c r="AQ96" s="16">
        <f>IF(OR(W96=regle!$J$11,W96=regle!$K$11),-2,IF(W96=regle!$B$11,0,IF(AQ$1=$AK$1,IF($O96,-1,regle!$B$2-$M96),IF(AP96=-1,-1,AP96+1))))</f>
        <v>7</v>
      </c>
      <c r="AR96" s="16">
        <f>IF(OR(X96=regle!$J$11,X96=regle!$K$11),-2,IF(X96=regle!$B$11,0,IF(AR$1=$AK$1,IF($O96,-1,regle!$B$2-$M96),IF(AQ96=-1,-1,AQ96+1))))</f>
        <v>8</v>
      </c>
      <c r="AS96" s="16">
        <f>IF(OR(Y96=regle!$J$11,Y96=regle!$K$11),-2,IF(Y96=regle!$B$11,0,IF(AS$1=$AK$1,IF($O96,-1,regle!$B$2-$M96),IF(AR96=-1,-1,AR96+1))))</f>
        <v>9</v>
      </c>
      <c r="AT96" s="16">
        <f>IF(OR(Z96=regle!$J$11,Z96=regle!$K$11),-2,IF(Z96=regle!$B$11,0,IF(AT$1=$AK$1,IF($O96,-1,regle!$B$2-$M96),IF(AS96=-1,-1,AS96+1))))</f>
        <v>10</v>
      </c>
    </row>
    <row r="97" spans="1:46" x14ac:dyDescent="0.25">
      <c r="A97" t="b">
        <f>modif1!A97</f>
        <v>1</v>
      </c>
      <c r="B97">
        <f>ROW(modif1!B97)</f>
        <v>97</v>
      </c>
      <c r="C97" t="str">
        <f>modif1!C100</f>
        <v>202</v>
      </c>
      <c r="D97" t="str">
        <f>modif1!D97</f>
        <v>HOSTENS</v>
      </c>
      <c r="E97">
        <f>modif1!E97</f>
        <v>8</v>
      </c>
      <c r="F97" t="str">
        <f>modif1!F97</f>
        <v>LES BECS</v>
      </c>
      <c r="G97" t="str">
        <f>modif1!G97</f>
        <v>0B</v>
      </c>
      <c r="H97">
        <f>modif1!H97</f>
        <v>1204</v>
      </c>
      <c r="I97" t="str">
        <f>modif1!I97</f>
        <v/>
      </c>
      <c r="J97" s="11">
        <f>modif1!J97</f>
        <v>1.2835000000000001</v>
      </c>
      <c r="K97" t="str">
        <f>modif1!K97</f>
        <v>PLA</v>
      </c>
      <c r="L97" t="str">
        <f>modif1!L97</f>
        <v>PM</v>
      </c>
      <c r="M97">
        <f>modif1!M97</f>
        <v>2020</v>
      </c>
      <c r="N97" t="str">
        <f>modif1!N97</f>
        <v>PLA-PM_2020</v>
      </c>
      <c r="O97" t="b">
        <f>modif1!O97</f>
        <v>0</v>
      </c>
      <c r="P97">
        <v>40</v>
      </c>
      <c r="Q97" t="s">
        <v>1870</v>
      </c>
      <c r="T97" t="s">
        <v>1871</v>
      </c>
      <c r="Y97" s="22"/>
      <c r="Z97" t="s">
        <v>1803</v>
      </c>
      <c r="AA97" s="17">
        <f>IF($A97,$J97*(IF(Q97=regle!$B$11,regle!$B$23*IF(AJ97=-2,1+regle!$B$35,1),
IF(Q97=regle!$C$11,regle!$C$23,
IF(Q97=regle!$D$11,regle!$D$23,
IF(Q97=regle!$E$11,regle!$E$23,
IF(Q97=regle!$F$11,regle!$F$23,
IF(Q97=regle!$G$11,regle!$G$23,
IF(Q97=regle!$H$11,regle!$H$23,
IF(Q97=regle!$I$11,regle!$I$23,
IF(Q97=regle!$J$11,regle!$J$23,
IF(Q97=regle!$K$11,regle!$K$23,0))))))))))))</f>
        <v>-115.51500000000001</v>
      </c>
      <c r="AB97" s="17">
        <f>IF($A97,$J97*(IF(R97=regle!$B$11,regle!$B$23*IF(AK97=-2,1+regle!$B$35,1),
IF(R97=regle!$C$11,regle!$C$23,
IF(R97=regle!$D$11,regle!$D$23,
IF(R97=regle!$E$11,regle!$E$23,
IF(R97=regle!$F$11,regle!$F$23,
IF(R97=regle!$G$11,regle!$G$23,
IF(R97=regle!$H$11,regle!$H$23,
IF(R97=regle!$I$11,regle!$I$23,
IF(R97=regle!$J$11,regle!$J$23,
IF(R97=regle!$K$11,regle!$K$23,0))))))))))))</f>
        <v>0</v>
      </c>
      <c r="AC97" s="17">
        <f>IF($A97,$J97*(IF(S97=regle!$B$11,regle!$B$23*IF(AL97=-2,1+regle!$B$35,1),
IF(S97=regle!$C$11,regle!$C$23,
IF(S97=regle!$D$11,regle!$D$23,
IF(S97=regle!$E$11,regle!$E$23,
IF(S97=regle!$F$11,regle!$F$23,
IF(S97=regle!$G$11,regle!$G$23,
IF(S97=regle!$H$11,regle!$H$23,
IF(S97=regle!$I$11,regle!$I$23,
IF(S97=regle!$J$11,regle!$J$23,
IF(S97=regle!$K$11,regle!$K$23,0))))))))))))</f>
        <v>0</v>
      </c>
      <c r="AD97" s="17">
        <f>IF($A97,$J97*(IF(T97=regle!$B$11,regle!$B$23*IF(AM97=-2,1+regle!$B$35,1),
IF(T97=regle!$C$11,regle!$C$23,
IF(T97=regle!$D$11,regle!$D$23,
IF(T97=regle!$E$11,regle!$E$23,
IF(T97=regle!$F$11,regle!$F$23,
IF(T97=regle!$G$11,regle!$G$23,
IF(T97=regle!$H$11,regle!$H$23,
IF(T97=regle!$I$11,regle!$I$23,
IF(T97=regle!$J$11,regle!$J$23,
IF(T97=regle!$K$11,regle!$K$23,0))))))))))))</f>
        <v>-115.51500000000001</v>
      </c>
      <c r="AE97" s="17">
        <f>IF($A97,$J97*(IF(U97=regle!$B$11,regle!$B$23*IF(AN97=-2,1+regle!$B$35,1),
IF(U97=regle!$C$11,regle!$C$23,
IF(U97=regle!$D$11,regle!$D$23,
IF(U97=regle!$E$11,regle!$E$23,
IF(U97=regle!$F$11,regle!$F$23,
IF(U97=regle!$G$11,regle!$G$23,
IF(U97=regle!$H$11,regle!$H$23,
IF(U97=regle!$I$11,regle!$I$23,
IF(U97=regle!$J$11,regle!$J$23,
IF(U97=regle!$K$11,regle!$K$23,0))))))))))))</f>
        <v>0</v>
      </c>
      <c r="AF97" s="17">
        <f>IF($A97,$J97*(IF(V97=regle!$B$11,regle!$B$23*IF(AO97=-2,1+regle!$B$35,1),
IF(V97=regle!$C$11,regle!$C$23,
IF(V97=regle!$D$11,regle!$D$23,
IF(V97=regle!$E$11,regle!$E$23,
IF(V97=regle!$F$11,regle!$F$23,
IF(V97=regle!$G$11,regle!$G$23,
IF(V97=regle!$H$11,regle!$H$23,
IF(V97=regle!$I$11,regle!$I$23,
IF(V97=regle!$J$11,regle!$J$23,
IF(V97=regle!$K$11,regle!$K$23,0))))))))))))</f>
        <v>0</v>
      </c>
      <c r="AG97" s="17">
        <f>IF($A97,$J97*(IF(W97=regle!$B$11,regle!$B$23*IF(AP97=-2,1+regle!$B$35,1),
IF(W97=regle!$C$11,regle!$C$23,
IF(W97=regle!$D$11,regle!$D$23,
IF(W97=regle!$E$11,regle!$E$23,
IF(W97=regle!$F$11,regle!$F$23,
IF(W97=regle!$G$11,regle!$G$23,
IF(W97=regle!$H$11,regle!$H$23,
IF(W97=regle!$I$11,regle!$I$23,
IF(W97=regle!$J$11,regle!$J$23,
IF(W97=regle!$K$11,regle!$K$23,0))))))))))))</f>
        <v>0</v>
      </c>
      <c r="AH97" s="17">
        <f>IF($A97,$J97*(IF(X97=regle!$B$11,regle!$B$23*IF(AQ97=-2,1+regle!$B$35,1),
IF(X97=regle!$C$11,regle!$C$23,
IF(X97=regle!$D$11,regle!$D$23,
IF(X97=regle!$E$11,regle!$E$23,
IF(X97=regle!$F$11,regle!$F$23,
IF(X97=regle!$G$11,regle!$G$23,
IF(X97=regle!$H$11,regle!$H$23,
IF(X97=regle!$I$11,regle!$I$23,
IF(X97=regle!$J$11,regle!$J$23,
IF(X97=regle!$K$11,regle!$K$23,0))))))))))))</f>
        <v>0</v>
      </c>
      <c r="AI97" s="17">
        <f>IF($A97,$J97*(IF(Y97=regle!$B$11,regle!$B$23*IF(AR97=-2,1+regle!$B$35,1),
IF(Y97=regle!$C$11,regle!$C$23,
IF(Y97=regle!$D$11,regle!$D$23,
IF(Y97=regle!$E$11,regle!$E$23,
IF(Y97=regle!$F$11,regle!$F$23,
IF(Y97=regle!$G$11,regle!$G$23,
IF(Y97=regle!$H$11,regle!$H$23,
IF(Y97=regle!$I$11,regle!$I$23,
IF(Y97=regle!$J$11,regle!$J$23,
IF(Y97=regle!$K$11,regle!$K$23,0))))))))))))</f>
        <v>0</v>
      </c>
      <c r="AJ97" s="17">
        <f>IF($A97,$J97*(IF(Z97=regle!$B$11,regle!$B$23*IF(AS97=-2,1+regle!$B$35,1),
IF(Z97=regle!$C$11,regle!$C$23,
IF(Z97=regle!$D$11,regle!$D$23,
IF(Z97=regle!$E$11,regle!$E$23,
IF(Z97=regle!$F$11,regle!$F$23,
IF(Z97=regle!$G$11,regle!$G$23,
IF(Z97=regle!$H$11,regle!$H$23,
IF(Z97=regle!$I$11,regle!$I$23,
IF(Z97=regle!$J$11,regle!$J$23,
IF(Z97=regle!$K$11,regle!$K$23,0))))))))))))</f>
        <v>739.29600000000005</v>
      </c>
      <c r="AK97" s="16">
        <f>IF(OR(Q97=regle!$J$11,Q97=regle!$K$11),-2,IF(Q97=regle!$B$11,0,IF(AK$1=$AK$1,IF($O97,-1,regle!$B$2-$M97),IF(AJ97=-1,-1,AJ97+1))))</f>
        <v>4</v>
      </c>
      <c r="AL97" s="16">
        <f>IF(OR(R97=regle!$J$11,R97=regle!$K$11),-2,IF(R97=regle!$B$11,0,IF(AL$1=$AK$1,IF($O97,-1,regle!$B$2-$M97),IF(AK97=-1,-1,AK97+1))))</f>
        <v>5</v>
      </c>
      <c r="AM97" s="16">
        <f>IF(OR(S97=regle!$J$11,S97=regle!$K$11),-2,IF(S97=regle!$B$11,0,IF(AM$1=$AK$1,IF($O97,-1,regle!$B$2-$M97),IF(AL97=-1,-1,AL97+1))))</f>
        <v>6</v>
      </c>
      <c r="AN97" s="16">
        <f>IF(OR(T97=regle!$J$11,T97=regle!$K$11),-2,IF(T97=regle!$B$11,0,IF(AN$1=$AK$1,IF($O97,-1,regle!$B$2-$M97),IF(AM97=-1,-1,AM97+1))))</f>
        <v>7</v>
      </c>
      <c r="AO97" s="16">
        <f>IF(OR(U97=regle!$J$11,U97=regle!$K$11),-2,IF(U97=regle!$B$11,0,IF(AO$1=$AK$1,IF($O97,-1,regle!$B$2-$M97),IF(AN97=-1,-1,AN97+1))))</f>
        <v>8</v>
      </c>
      <c r="AP97" s="16">
        <f>IF(OR(V97=regle!$J$11,V97=regle!$K$11),-2,IF(V97=regle!$B$11,0,IF(AP$1=$AK$1,IF($O97,-1,regle!$B$2-$M97),IF(AO97=-1,-1,AO97+1))))</f>
        <v>9</v>
      </c>
      <c r="AQ97" s="16">
        <f>IF(OR(W97=regle!$J$11,W97=regle!$K$11),-2,IF(W97=regle!$B$11,0,IF(AQ$1=$AK$1,IF($O97,-1,regle!$B$2-$M97),IF(AP97=-1,-1,AP97+1))))</f>
        <v>10</v>
      </c>
      <c r="AR97" s="16">
        <f>IF(OR(X97=regle!$J$11,X97=regle!$K$11),-2,IF(X97=regle!$B$11,0,IF(AR$1=$AK$1,IF($O97,-1,regle!$B$2-$M97),IF(AQ97=-1,-1,AQ97+1))))</f>
        <v>11</v>
      </c>
      <c r="AS97" s="16">
        <f>IF(OR(Y97=regle!$J$11,Y97=regle!$K$11),-2,IF(Y97=regle!$B$11,0,IF(AS$1=$AK$1,IF($O97,-1,regle!$B$2-$M97),IF(AR97=-1,-1,AR97+1))))</f>
        <v>12</v>
      </c>
      <c r="AT97" s="16">
        <f>IF(OR(Z97=regle!$J$11,Z97=regle!$K$11),-2,IF(Z97=regle!$B$11,0,IF(AT$1=$AK$1,IF($O97,-1,regle!$B$2-$M97),IF(AS97=-1,-1,AS97+1))))</f>
        <v>13</v>
      </c>
    </row>
    <row r="98" spans="1:46" x14ac:dyDescent="0.25">
      <c r="A98" t="b">
        <f>modif1!A98</f>
        <v>1</v>
      </c>
      <c r="B98">
        <f>ROW(modif1!B98)</f>
        <v>98</v>
      </c>
      <c r="C98" t="str">
        <f>modif1!C101</f>
        <v>202</v>
      </c>
      <c r="D98" t="str">
        <f>modif1!D98</f>
        <v>HOSTENS</v>
      </c>
      <c r="E98">
        <f>modif1!E98</f>
        <v>8</v>
      </c>
      <c r="F98" t="str">
        <f>modif1!F98</f>
        <v>LES BECS</v>
      </c>
      <c r="G98" t="str">
        <f>modif1!G98</f>
        <v>0B</v>
      </c>
      <c r="H98">
        <f>modif1!H98</f>
        <v>1219</v>
      </c>
      <c r="I98" t="str">
        <f>modif1!I98</f>
        <v/>
      </c>
      <c r="J98" s="11">
        <f>modif1!J98</f>
        <v>0.7</v>
      </c>
      <c r="K98" t="str">
        <f>modif1!K98</f>
        <v>PLA</v>
      </c>
      <c r="L98" t="str">
        <f>modif1!L98</f>
        <v>PM</v>
      </c>
      <c r="M98">
        <f>modif1!M98</f>
        <v>2020</v>
      </c>
      <c r="N98" t="str">
        <f>modif1!N98</f>
        <v>PLA-PM_2020</v>
      </c>
      <c r="O98" t="b">
        <f>modif1!O98</f>
        <v>0</v>
      </c>
      <c r="P98">
        <v>40</v>
      </c>
      <c r="Q98" t="s">
        <v>1870</v>
      </c>
      <c r="T98" t="s">
        <v>1871</v>
      </c>
      <c r="Y98" s="22"/>
      <c r="Z98" t="s">
        <v>1803</v>
      </c>
      <c r="AA98" s="17">
        <f>IF($A98,$J98*(IF(Q98=regle!$B$11,regle!$B$23*IF(AJ98=-2,1+regle!$B$35,1),
IF(Q98=regle!$C$11,regle!$C$23,
IF(Q98=regle!$D$11,regle!$D$23,
IF(Q98=regle!$E$11,regle!$E$23,
IF(Q98=regle!$F$11,regle!$F$23,
IF(Q98=regle!$G$11,regle!$G$23,
IF(Q98=regle!$H$11,regle!$H$23,
IF(Q98=regle!$I$11,regle!$I$23,
IF(Q98=regle!$J$11,regle!$J$23,
IF(Q98=regle!$K$11,regle!$K$23,0))))))))))))</f>
        <v>-62.999999999999993</v>
      </c>
      <c r="AB98" s="17">
        <f>IF($A98,$J98*(IF(R98=regle!$B$11,regle!$B$23*IF(AK98=-2,1+regle!$B$35,1),
IF(R98=regle!$C$11,regle!$C$23,
IF(R98=regle!$D$11,regle!$D$23,
IF(R98=regle!$E$11,regle!$E$23,
IF(R98=regle!$F$11,regle!$F$23,
IF(R98=regle!$G$11,regle!$G$23,
IF(R98=regle!$H$11,regle!$H$23,
IF(R98=regle!$I$11,regle!$I$23,
IF(R98=regle!$J$11,regle!$J$23,
IF(R98=regle!$K$11,regle!$K$23,0))))))))))))</f>
        <v>0</v>
      </c>
      <c r="AC98" s="17">
        <f>IF($A98,$J98*(IF(S98=regle!$B$11,regle!$B$23*IF(AL98=-2,1+regle!$B$35,1),
IF(S98=regle!$C$11,regle!$C$23,
IF(S98=regle!$D$11,regle!$D$23,
IF(S98=regle!$E$11,regle!$E$23,
IF(S98=regle!$F$11,regle!$F$23,
IF(S98=regle!$G$11,regle!$G$23,
IF(S98=regle!$H$11,regle!$H$23,
IF(S98=regle!$I$11,regle!$I$23,
IF(S98=regle!$J$11,regle!$J$23,
IF(S98=regle!$K$11,regle!$K$23,0))))))))))))</f>
        <v>0</v>
      </c>
      <c r="AD98" s="17">
        <f>IF($A98,$J98*(IF(T98=regle!$B$11,regle!$B$23*IF(AM98=-2,1+regle!$B$35,1),
IF(T98=regle!$C$11,regle!$C$23,
IF(T98=regle!$D$11,regle!$D$23,
IF(T98=regle!$E$11,regle!$E$23,
IF(T98=regle!$F$11,regle!$F$23,
IF(T98=regle!$G$11,regle!$G$23,
IF(T98=regle!$H$11,regle!$H$23,
IF(T98=regle!$I$11,regle!$I$23,
IF(T98=regle!$J$11,regle!$J$23,
IF(T98=regle!$K$11,regle!$K$23,0))))))))))))</f>
        <v>-62.999999999999993</v>
      </c>
      <c r="AE98" s="17">
        <f>IF($A98,$J98*(IF(U98=regle!$B$11,regle!$B$23*IF(AN98=-2,1+regle!$B$35,1),
IF(U98=regle!$C$11,regle!$C$23,
IF(U98=regle!$D$11,regle!$D$23,
IF(U98=regle!$E$11,regle!$E$23,
IF(U98=regle!$F$11,regle!$F$23,
IF(U98=regle!$G$11,regle!$G$23,
IF(U98=regle!$H$11,regle!$H$23,
IF(U98=regle!$I$11,regle!$I$23,
IF(U98=regle!$J$11,regle!$J$23,
IF(U98=regle!$K$11,regle!$K$23,0))))))))))))</f>
        <v>0</v>
      </c>
      <c r="AF98" s="17">
        <f>IF($A98,$J98*(IF(V98=regle!$B$11,regle!$B$23*IF(AO98=-2,1+regle!$B$35,1),
IF(V98=regle!$C$11,regle!$C$23,
IF(V98=regle!$D$11,regle!$D$23,
IF(V98=regle!$E$11,regle!$E$23,
IF(V98=regle!$F$11,regle!$F$23,
IF(V98=regle!$G$11,regle!$G$23,
IF(V98=regle!$H$11,regle!$H$23,
IF(V98=regle!$I$11,regle!$I$23,
IF(V98=regle!$J$11,regle!$J$23,
IF(V98=regle!$K$11,regle!$K$23,0))))))))))))</f>
        <v>0</v>
      </c>
      <c r="AG98" s="17">
        <f>IF($A98,$J98*(IF(W98=regle!$B$11,regle!$B$23*IF(AP98=-2,1+regle!$B$35,1),
IF(W98=regle!$C$11,regle!$C$23,
IF(W98=regle!$D$11,regle!$D$23,
IF(W98=regle!$E$11,regle!$E$23,
IF(W98=regle!$F$11,regle!$F$23,
IF(W98=regle!$G$11,regle!$G$23,
IF(W98=regle!$H$11,regle!$H$23,
IF(W98=regle!$I$11,regle!$I$23,
IF(W98=regle!$J$11,regle!$J$23,
IF(W98=regle!$K$11,regle!$K$23,0))))))))))))</f>
        <v>0</v>
      </c>
      <c r="AH98" s="17">
        <f>IF($A98,$J98*(IF(X98=regle!$B$11,regle!$B$23*IF(AQ98=-2,1+regle!$B$35,1),
IF(X98=regle!$C$11,regle!$C$23,
IF(X98=regle!$D$11,regle!$D$23,
IF(X98=regle!$E$11,regle!$E$23,
IF(X98=regle!$F$11,regle!$F$23,
IF(X98=regle!$G$11,regle!$G$23,
IF(X98=regle!$H$11,regle!$H$23,
IF(X98=regle!$I$11,regle!$I$23,
IF(X98=regle!$J$11,regle!$J$23,
IF(X98=regle!$K$11,regle!$K$23,0))))))))))))</f>
        <v>0</v>
      </c>
      <c r="AI98" s="17">
        <f>IF($A98,$J98*(IF(Y98=regle!$B$11,regle!$B$23*IF(AR98=-2,1+regle!$B$35,1),
IF(Y98=regle!$C$11,regle!$C$23,
IF(Y98=regle!$D$11,regle!$D$23,
IF(Y98=regle!$E$11,regle!$E$23,
IF(Y98=regle!$F$11,regle!$F$23,
IF(Y98=regle!$G$11,regle!$G$23,
IF(Y98=regle!$H$11,regle!$H$23,
IF(Y98=regle!$I$11,regle!$I$23,
IF(Y98=regle!$J$11,regle!$J$23,
IF(Y98=regle!$K$11,regle!$K$23,0))))))))))))</f>
        <v>0</v>
      </c>
      <c r="AJ98" s="17">
        <f>IF($A98,$J98*(IF(Z98=regle!$B$11,regle!$B$23*IF(AS98=-2,1+regle!$B$35,1),
IF(Z98=regle!$C$11,regle!$C$23,
IF(Z98=regle!$D$11,regle!$D$23,
IF(Z98=regle!$E$11,regle!$E$23,
IF(Z98=regle!$F$11,regle!$F$23,
IF(Z98=regle!$G$11,regle!$G$23,
IF(Z98=regle!$H$11,regle!$H$23,
IF(Z98=regle!$I$11,regle!$I$23,
IF(Z98=regle!$J$11,regle!$J$23,
IF(Z98=regle!$K$11,regle!$K$23,0))))))))))))</f>
        <v>403.2</v>
      </c>
      <c r="AK98" s="16">
        <f>IF(OR(Q98=regle!$J$11,Q98=regle!$K$11),-2,IF(Q98=regle!$B$11,0,IF(AK$1=$AK$1,IF($O98,-1,regle!$B$2-$M98),IF(AJ98=-1,-1,AJ98+1))))</f>
        <v>4</v>
      </c>
      <c r="AL98" s="16">
        <f>IF(OR(R98=regle!$J$11,R98=regle!$K$11),-2,IF(R98=regle!$B$11,0,IF(AL$1=$AK$1,IF($O98,-1,regle!$B$2-$M98),IF(AK98=-1,-1,AK98+1))))</f>
        <v>5</v>
      </c>
      <c r="AM98" s="16">
        <f>IF(OR(S98=regle!$J$11,S98=regle!$K$11),-2,IF(S98=regle!$B$11,0,IF(AM$1=$AK$1,IF($O98,-1,regle!$B$2-$M98),IF(AL98=-1,-1,AL98+1))))</f>
        <v>6</v>
      </c>
      <c r="AN98" s="16">
        <f>IF(OR(T98=regle!$J$11,T98=regle!$K$11),-2,IF(T98=regle!$B$11,0,IF(AN$1=$AK$1,IF($O98,-1,regle!$B$2-$M98),IF(AM98=-1,-1,AM98+1))))</f>
        <v>7</v>
      </c>
      <c r="AO98" s="16">
        <f>IF(OR(U98=regle!$J$11,U98=regle!$K$11),-2,IF(U98=regle!$B$11,0,IF(AO$1=$AK$1,IF($O98,-1,regle!$B$2-$M98),IF(AN98=-1,-1,AN98+1))))</f>
        <v>8</v>
      </c>
      <c r="AP98" s="16">
        <f>IF(OR(V98=regle!$J$11,V98=regle!$K$11),-2,IF(V98=regle!$B$11,0,IF(AP$1=$AK$1,IF($O98,-1,regle!$B$2-$M98),IF(AO98=-1,-1,AO98+1))))</f>
        <v>9</v>
      </c>
      <c r="AQ98" s="16">
        <f>IF(OR(W98=regle!$J$11,W98=regle!$K$11),-2,IF(W98=regle!$B$11,0,IF(AQ$1=$AK$1,IF($O98,-1,regle!$B$2-$M98),IF(AP98=-1,-1,AP98+1))))</f>
        <v>10</v>
      </c>
      <c r="AR98" s="16">
        <f>IF(OR(X98=regle!$J$11,X98=regle!$K$11),-2,IF(X98=regle!$B$11,0,IF(AR$1=$AK$1,IF($O98,-1,regle!$B$2-$M98),IF(AQ98=-1,-1,AQ98+1))))</f>
        <v>11</v>
      </c>
      <c r="AS98" s="16">
        <f>IF(OR(Y98=regle!$J$11,Y98=regle!$K$11),-2,IF(Y98=regle!$B$11,0,IF(AS$1=$AK$1,IF($O98,-1,regle!$B$2-$M98),IF(AR98=-1,-1,AR98+1))))</f>
        <v>12</v>
      </c>
      <c r="AT98" s="16">
        <f>IF(OR(Z98=regle!$J$11,Z98=regle!$K$11),-2,IF(Z98=regle!$B$11,0,IF(AT$1=$AK$1,IF($O98,-1,regle!$B$2-$M98),IF(AS98=-1,-1,AS98+1))))</f>
        <v>13</v>
      </c>
    </row>
    <row r="99" spans="1:46" x14ac:dyDescent="0.25">
      <c r="A99" t="b">
        <f>modif1!A99</f>
        <v>1</v>
      </c>
      <c r="B99">
        <f>ROW(modif1!B99)</f>
        <v>99</v>
      </c>
      <c r="C99" t="str">
        <f>modif1!C102</f>
        <v>077</v>
      </c>
      <c r="D99" t="str">
        <f>modif1!D99</f>
        <v>HOSTENS</v>
      </c>
      <c r="E99">
        <f>modif1!E99</f>
        <v>8</v>
      </c>
      <c r="F99" t="str">
        <f>modif1!F99</f>
        <v>LES BECS</v>
      </c>
      <c r="G99" t="str">
        <f>modif1!G99</f>
        <v>0B</v>
      </c>
      <c r="H99">
        <f>modif1!H99</f>
        <v>1218</v>
      </c>
      <c r="I99" t="str">
        <f>modif1!I99</f>
        <v/>
      </c>
      <c r="J99" s="11">
        <f>modif1!J99</f>
        <v>0.53449999999999998</v>
      </c>
      <c r="K99" t="str">
        <f>modif1!K99</f>
        <v>PLA</v>
      </c>
      <c r="L99" t="str">
        <f>modif1!L99</f>
        <v>PM</v>
      </c>
      <c r="M99">
        <f>modif1!M99</f>
        <v>2020</v>
      </c>
      <c r="N99" t="str">
        <f>modif1!N99</f>
        <v>PLA-PM_2020</v>
      </c>
      <c r="O99" t="b">
        <f>modif1!O99</f>
        <v>0</v>
      </c>
      <c r="P99">
        <v>40</v>
      </c>
      <c r="Q99" t="s">
        <v>1870</v>
      </c>
      <c r="T99" t="s">
        <v>1871</v>
      </c>
      <c r="Y99" s="22"/>
      <c r="Z99" t="s">
        <v>1803</v>
      </c>
      <c r="AA99" s="17">
        <f>IF($A99,$J99*(IF(Q99=regle!$B$11,regle!$B$23*IF(AJ99=-2,1+regle!$B$35,1),
IF(Q99=regle!$C$11,regle!$C$23,
IF(Q99=regle!$D$11,regle!$D$23,
IF(Q99=regle!$E$11,regle!$E$23,
IF(Q99=regle!$F$11,regle!$F$23,
IF(Q99=regle!$G$11,regle!$G$23,
IF(Q99=regle!$H$11,regle!$H$23,
IF(Q99=regle!$I$11,regle!$I$23,
IF(Q99=regle!$J$11,regle!$J$23,
IF(Q99=regle!$K$11,regle!$K$23,0))))))))))))</f>
        <v>-48.104999999999997</v>
      </c>
      <c r="AB99" s="17">
        <f>IF($A99,$J99*(IF(R99=regle!$B$11,regle!$B$23*IF(AK99=-2,1+regle!$B$35,1),
IF(R99=regle!$C$11,regle!$C$23,
IF(R99=regle!$D$11,regle!$D$23,
IF(R99=regle!$E$11,regle!$E$23,
IF(R99=regle!$F$11,regle!$F$23,
IF(R99=regle!$G$11,regle!$G$23,
IF(R99=regle!$H$11,regle!$H$23,
IF(R99=regle!$I$11,regle!$I$23,
IF(R99=regle!$J$11,regle!$J$23,
IF(R99=regle!$K$11,regle!$K$23,0))))))))))))</f>
        <v>0</v>
      </c>
      <c r="AC99" s="17">
        <f>IF($A99,$J99*(IF(S99=regle!$B$11,regle!$B$23*IF(AL99=-2,1+regle!$B$35,1),
IF(S99=regle!$C$11,regle!$C$23,
IF(S99=regle!$D$11,regle!$D$23,
IF(S99=regle!$E$11,regle!$E$23,
IF(S99=regle!$F$11,regle!$F$23,
IF(S99=regle!$G$11,regle!$G$23,
IF(S99=regle!$H$11,regle!$H$23,
IF(S99=regle!$I$11,regle!$I$23,
IF(S99=regle!$J$11,regle!$J$23,
IF(S99=regle!$K$11,regle!$K$23,0))))))))))))</f>
        <v>0</v>
      </c>
      <c r="AD99" s="17">
        <f>IF($A99,$J99*(IF(T99=regle!$B$11,regle!$B$23*IF(AM99=-2,1+regle!$B$35,1),
IF(T99=regle!$C$11,regle!$C$23,
IF(T99=regle!$D$11,regle!$D$23,
IF(T99=regle!$E$11,regle!$E$23,
IF(T99=regle!$F$11,regle!$F$23,
IF(T99=regle!$G$11,regle!$G$23,
IF(T99=regle!$H$11,regle!$H$23,
IF(T99=regle!$I$11,regle!$I$23,
IF(T99=regle!$J$11,regle!$J$23,
IF(T99=regle!$K$11,regle!$K$23,0))))))))))))</f>
        <v>-48.104999999999997</v>
      </c>
      <c r="AE99" s="17">
        <f>IF($A99,$J99*(IF(U99=regle!$B$11,regle!$B$23*IF(AN99=-2,1+regle!$B$35,1),
IF(U99=regle!$C$11,regle!$C$23,
IF(U99=regle!$D$11,regle!$D$23,
IF(U99=regle!$E$11,regle!$E$23,
IF(U99=regle!$F$11,regle!$F$23,
IF(U99=regle!$G$11,regle!$G$23,
IF(U99=regle!$H$11,regle!$H$23,
IF(U99=regle!$I$11,regle!$I$23,
IF(U99=regle!$J$11,regle!$J$23,
IF(U99=regle!$K$11,regle!$K$23,0))))))))))))</f>
        <v>0</v>
      </c>
      <c r="AF99" s="17">
        <f>IF($A99,$J99*(IF(V99=regle!$B$11,regle!$B$23*IF(AO99=-2,1+regle!$B$35,1),
IF(V99=regle!$C$11,regle!$C$23,
IF(V99=regle!$D$11,regle!$D$23,
IF(V99=regle!$E$11,regle!$E$23,
IF(V99=regle!$F$11,regle!$F$23,
IF(V99=regle!$G$11,regle!$G$23,
IF(V99=regle!$H$11,regle!$H$23,
IF(V99=regle!$I$11,regle!$I$23,
IF(V99=regle!$J$11,regle!$J$23,
IF(V99=regle!$K$11,regle!$K$23,0))))))))))))</f>
        <v>0</v>
      </c>
      <c r="AG99" s="17">
        <f>IF($A99,$J99*(IF(W99=regle!$B$11,regle!$B$23*IF(AP99=-2,1+regle!$B$35,1),
IF(W99=regle!$C$11,regle!$C$23,
IF(W99=regle!$D$11,regle!$D$23,
IF(W99=regle!$E$11,regle!$E$23,
IF(W99=regle!$F$11,regle!$F$23,
IF(W99=regle!$G$11,regle!$G$23,
IF(W99=regle!$H$11,regle!$H$23,
IF(W99=regle!$I$11,regle!$I$23,
IF(W99=regle!$J$11,regle!$J$23,
IF(W99=regle!$K$11,regle!$K$23,0))))))))))))</f>
        <v>0</v>
      </c>
      <c r="AH99" s="17">
        <f>IF($A99,$J99*(IF(X99=regle!$B$11,regle!$B$23*IF(AQ99=-2,1+regle!$B$35,1),
IF(X99=regle!$C$11,regle!$C$23,
IF(X99=regle!$D$11,regle!$D$23,
IF(X99=regle!$E$11,regle!$E$23,
IF(X99=regle!$F$11,regle!$F$23,
IF(X99=regle!$G$11,regle!$G$23,
IF(X99=regle!$H$11,regle!$H$23,
IF(X99=regle!$I$11,regle!$I$23,
IF(X99=regle!$J$11,regle!$J$23,
IF(X99=regle!$K$11,regle!$K$23,0))))))))))))</f>
        <v>0</v>
      </c>
      <c r="AI99" s="17">
        <f>IF($A99,$J99*(IF(Y99=regle!$B$11,regle!$B$23*IF(AR99=-2,1+regle!$B$35,1),
IF(Y99=regle!$C$11,regle!$C$23,
IF(Y99=regle!$D$11,regle!$D$23,
IF(Y99=regle!$E$11,regle!$E$23,
IF(Y99=regle!$F$11,regle!$F$23,
IF(Y99=regle!$G$11,regle!$G$23,
IF(Y99=regle!$H$11,regle!$H$23,
IF(Y99=regle!$I$11,regle!$I$23,
IF(Y99=regle!$J$11,regle!$J$23,
IF(Y99=regle!$K$11,regle!$K$23,0))))))))))))</f>
        <v>0</v>
      </c>
      <c r="AJ99" s="17">
        <f>IF($A99,$J99*(IF(Z99=regle!$B$11,regle!$B$23*IF(AS99=-2,1+regle!$B$35,1),
IF(Z99=regle!$C$11,regle!$C$23,
IF(Z99=regle!$D$11,regle!$D$23,
IF(Z99=regle!$E$11,regle!$E$23,
IF(Z99=regle!$F$11,regle!$F$23,
IF(Z99=regle!$G$11,regle!$G$23,
IF(Z99=regle!$H$11,regle!$H$23,
IF(Z99=regle!$I$11,regle!$I$23,
IF(Z99=regle!$J$11,regle!$J$23,
IF(Z99=regle!$K$11,regle!$K$23,0))))))))))))</f>
        <v>307.87199999999996</v>
      </c>
      <c r="AK99" s="16">
        <f>IF(OR(Q99=regle!$J$11,Q99=regle!$K$11),-2,IF(Q99=regle!$B$11,0,IF(AK$1=$AK$1,IF($O99,-1,regle!$B$2-$M99),IF(AJ99=-1,-1,AJ99+1))))</f>
        <v>4</v>
      </c>
      <c r="AL99" s="16">
        <f>IF(OR(R99=regle!$J$11,R99=regle!$K$11),-2,IF(R99=regle!$B$11,0,IF(AL$1=$AK$1,IF($O99,-1,regle!$B$2-$M99),IF(AK99=-1,-1,AK99+1))))</f>
        <v>5</v>
      </c>
      <c r="AM99" s="16">
        <f>IF(OR(S99=regle!$J$11,S99=regle!$K$11),-2,IF(S99=regle!$B$11,0,IF(AM$1=$AK$1,IF($O99,-1,regle!$B$2-$M99),IF(AL99=-1,-1,AL99+1))))</f>
        <v>6</v>
      </c>
      <c r="AN99" s="16">
        <f>IF(OR(T99=regle!$J$11,T99=regle!$K$11),-2,IF(T99=regle!$B$11,0,IF(AN$1=$AK$1,IF($O99,-1,regle!$B$2-$M99),IF(AM99=-1,-1,AM99+1))))</f>
        <v>7</v>
      </c>
      <c r="AO99" s="16">
        <f>IF(OR(U99=regle!$J$11,U99=regle!$K$11),-2,IF(U99=regle!$B$11,0,IF(AO$1=$AK$1,IF($O99,-1,regle!$B$2-$M99),IF(AN99=-1,-1,AN99+1))))</f>
        <v>8</v>
      </c>
      <c r="AP99" s="16">
        <f>IF(OR(V99=regle!$J$11,V99=regle!$K$11),-2,IF(V99=regle!$B$11,0,IF(AP$1=$AK$1,IF($O99,-1,regle!$B$2-$M99),IF(AO99=-1,-1,AO99+1))))</f>
        <v>9</v>
      </c>
      <c r="AQ99" s="16">
        <f>IF(OR(W99=regle!$J$11,W99=regle!$K$11),-2,IF(W99=regle!$B$11,0,IF(AQ$1=$AK$1,IF($O99,-1,regle!$B$2-$M99),IF(AP99=-1,-1,AP99+1))))</f>
        <v>10</v>
      </c>
      <c r="AR99" s="16">
        <f>IF(OR(X99=regle!$J$11,X99=regle!$K$11),-2,IF(X99=regle!$B$11,0,IF(AR$1=$AK$1,IF($O99,-1,regle!$B$2-$M99),IF(AQ99=-1,-1,AQ99+1))))</f>
        <v>11</v>
      </c>
      <c r="AS99" s="16">
        <f>IF(OR(Y99=regle!$J$11,Y99=regle!$K$11),-2,IF(Y99=regle!$B$11,0,IF(AS$1=$AK$1,IF($O99,-1,regle!$B$2-$M99),IF(AR99=-1,-1,AR99+1))))</f>
        <v>12</v>
      </c>
      <c r="AT99" s="16">
        <f>IF(OR(Z99=regle!$J$11,Z99=regle!$K$11),-2,IF(Z99=regle!$B$11,0,IF(AT$1=$AK$1,IF($O99,-1,regle!$B$2-$M99),IF(AS99=-1,-1,AS99+1))))</f>
        <v>13</v>
      </c>
    </row>
    <row r="100" spans="1:46" x14ac:dyDescent="0.25">
      <c r="A100" t="b">
        <f>modif1!A100</f>
        <v>1</v>
      </c>
      <c r="B100">
        <f>ROW(modif1!B100)</f>
        <v>100</v>
      </c>
      <c r="C100" t="str">
        <f>modif1!C103</f>
        <v>202</v>
      </c>
      <c r="D100" t="str">
        <f>modif1!D100</f>
        <v>HOSTENS</v>
      </c>
      <c r="E100">
        <f>modif1!E100</f>
        <v>8</v>
      </c>
      <c r="F100" t="str">
        <f>modif1!F100</f>
        <v>LES BECS</v>
      </c>
      <c r="G100" t="str">
        <f>modif1!G100</f>
        <v>0B</v>
      </c>
      <c r="H100">
        <f>modif1!H100</f>
        <v>1202</v>
      </c>
      <c r="I100" t="str">
        <f>modif1!I100</f>
        <v>j</v>
      </c>
      <c r="J100" s="11">
        <f>modif1!J100</f>
        <v>0.38740000000000002</v>
      </c>
      <c r="K100" t="str">
        <f>modif1!K100</f>
        <v>PLA</v>
      </c>
      <c r="L100" t="str">
        <f>modif1!L100</f>
        <v>PM</v>
      </c>
      <c r="M100">
        <f>modif1!M100</f>
        <v>2020</v>
      </c>
      <c r="N100" t="str">
        <f>modif1!N100</f>
        <v>PLA-PM_2020</v>
      </c>
      <c r="O100" t="b">
        <f>modif1!O100</f>
        <v>0</v>
      </c>
      <c r="P100">
        <v>40</v>
      </c>
      <c r="Q100" t="s">
        <v>1870</v>
      </c>
      <c r="T100" t="s">
        <v>1871</v>
      </c>
      <c r="Y100" s="22"/>
      <c r="Z100" t="s">
        <v>1803</v>
      </c>
      <c r="AA100" s="17">
        <f>IF($A100,$J100*(IF(Q100=regle!$B$11,regle!$B$23*IF(AJ100=-2,1+regle!$B$35,1),
IF(Q100=regle!$C$11,regle!$C$23,
IF(Q100=regle!$D$11,regle!$D$23,
IF(Q100=regle!$E$11,regle!$E$23,
IF(Q100=regle!$F$11,regle!$F$23,
IF(Q100=regle!$G$11,regle!$G$23,
IF(Q100=regle!$H$11,regle!$H$23,
IF(Q100=regle!$I$11,regle!$I$23,
IF(Q100=regle!$J$11,regle!$J$23,
IF(Q100=regle!$K$11,regle!$K$23,0))))))))))))</f>
        <v>-34.866</v>
      </c>
      <c r="AB100" s="17">
        <f>IF($A100,$J100*(IF(R100=regle!$B$11,regle!$B$23*IF(AK100=-2,1+regle!$B$35,1),
IF(R100=regle!$C$11,regle!$C$23,
IF(R100=regle!$D$11,regle!$D$23,
IF(R100=regle!$E$11,regle!$E$23,
IF(R100=regle!$F$11,regle!$F$23,
IF(R100=regle!$G$11,regle!$G$23,
IF(R100=regle!$H$11,regle!$H$23,
IF(R100=regle!$I$11,regle!$I$23,
IF(R100=regle!$J$11,regle!$J$23,
IF(R100=regle!$K$11,regle!$K$23,0))))))))))))</f>
        <v>0</v>
      </c>
      <c r="AC100" s="17">
        <f>IF($A100,$J100*(IF(S100=regle!$B$11,regle!$B$23*IF(AL100=-2,1+regle!$B$35,1),
IF(S100=regle!$C$11,regle!$C$23,
IF(S100=regle!$D$11,regle!$D$23,
IF(S100=regle!$E$11,regle!$E$23,
IF(S100=regle!$F$11,regle!$F$23,
IF(S100=regle!$G$11,regle!$G$23,
IF(S100=regle!$H$11,regle!$H$23,
IF(S100=regle!$I$11,regle!$I$23,
IF(S100=regle!$J$11,regle!$J$23,
IF(S100=regle!$K$11,regle!$K$23,0))))))))))))</f>
        <v>0</v>
      </c>
      <c r="AD100" s="17">
        <f>IF($A100,$J100*(IF(T100=regle!$B$11,regle!$B$23*IF(AM100=-2,1+regle!$B$35,1),
IF(T100=regle!$C$11,regle!$C$23,
IF(T100=regle!$D$11,regle!$D$23,
IF(T100=regle!$E$11,regle!$E$23,
IF(T100=regle!$F$11,regle!$F$23,
IF(T100=regle!$G$11,regle!$G$23,
IF(T100=regle!$H$11,regle!$H$23,
IF(T100=regle!$I$11,regle!$I$23,
IF(T100=regle!$J$11,regle!$J$23,
IF(T100=regle!$K$11,regle!$K$23,0))))))))))))</f>
        <v>-34.866</v>
      </c>
      <c r="AE100" s="17">
        <f>IF($A100,$J100*(IF(U100=regle!$B$11,regle!$B$23*IF(AN100=-2,1+regle!$B$35,1),
IF(U100=regle!$C$11,regle!$C$23,
IF(U100=regle!$D$11,regle!$D$23,
IF(U100=regle!$E$11,regle!$E$23,
IF(U100=regle!$F$11,regle!$F$23,
IF(U100=regle!$G$11,regle!$G$23,
IF(U100=regle!$H$11,regle!$H$23,
IF(U100=regle!$I$11,regle!$I$23,
IF(U100=regle!$J$11,regle!$J$23,
IF(U100=regle!$K$11,regle!$K$23,0))))))))))))</f>
        <v>0</v>
      </c>
      <c r="AF100" s="17">
        <f>IF($A100,$J100*(IF(V100=regle!$B$11,regle!$B$23*IF(AO100=-2,1+regle!$B$35,1),
IF(V100=regle!$C$11,regle!$C$23,
IF(V100=regle!$D$11,regle!$D$23,
IF(V100=regle!$E$11,regle!$E$23,
IF(V100=regle!$F$11,regle!$F$23,
IF(V100=regle!$G$11,regle!$G$23,
IF(V100=regle!$H$11,regle!$H$23,
IF(V100=regle!$I$11,regle!$I$23,
IF(V100=regle!$J$11,regle!$J$23,
IF(V100=regle!$K$11,regle!$K$23,0))))))))))))</f>
        <v>0</v>
      </c>
      <c r="AG100" s="17">
        <f>IF($A100,$J100*(IF(W100=regle!$B$11,regle!$B$23*IF(AP100=-2,1+regle!$B$35,1),
IF(W100=regle!$C$11,regle!$C$23,
IF(W100=regle!$D$11,regle!$D$23,
IF(W100=regle!$E$11,regle!$E$23,
IF(W100=regle!$F$11,regle!$F$23,
IF(W100=regle!$G$11,regle!$G$23,
IF(W100=regle!$H$11,regle!$H$23,
IF(W100=regle!$I$11,regle!$I$23,
IF(W100=regle!$J$11,regle!$J$23,
IF(W100=regle!$K$11,regle!$K$23,0))))))))))))</f>
        <v>0</v>
      </c>
      <c r="AH100" s="17">
        <f>IF($A100,$J100*(IF(X100=regle!$B$11,regle!$B$23*IF(AQ100=-2,1+regle!$B$35,1),
IF(X100=regle!$C$11,regle!$C$23,
IF(X100=regle!$D$11,regle!$D$23,
IF(X100=regle!$E$11,regle!$E$23,
IF(X100=regle!$F$11,regle!$F$23,
IF(X100=regle!$G$11,regle!$G$23,
IF(X100=regle!$H$11,regle!$H$23,
IF(X100=regle!$I$11,regle!$I$23,
IF(X100=regle!$J$11,regle!$J$23,
IF(X100=regle!$K$11,regle!$K$23,0))))))))))))</f>
        <v>0</v>
      </c>
      <c r="AI100" s="17">
        <f>IF($A100,$J100*(IF(Y100=regle!$B$11,regle!$B$23*IF(AR100=-2,1+regle!$B$35,1),
IF(Y100=regle!$C$11,regle!$C$23,
IF(Y100=regle!$D$11,regle!$D$23,
IF(Y100=regle!$E$11,regle!$E$23,
IF(Y100=regle!$F$11,regle!$F$23,
IF(Y100=regle!$G$11,regle!$G$23,
IF(Y100=regle!$H$11,regle!$H$23,
IF(Y100=regle!$I$11,regle!$I$23,
IF(Y100=regle!$J$11,regle!$J$23,
IF(Y100=regle!$K$11,regle!$K$23,0))))))))))))</f>
        <v>0</v>
      </c>
      <c r="AJ100" s="17">
        <f>IF($A100,$J100*(IF(Z100=regle!$B$11,regle!$B$23*IF(AS100=-2,1+regle!$B$35,1),
IF(Z100=regle!$C$11,regle!$C$23,
IF(Z100=regle!$D$11,regle!$D$23,
IF(Z100=regle!$E$11,regle!$E$23,
IF(Z100=regle!$F$11,regle!$F$23,
IF(Z100=regle!$G$11,regle!$G$23,
IF(Z100=regle!$H$11,regle!$H$23,
IF(Z100=regle!$I$11,regle!$I$23,
IF(Z100=regle!$J$11,regle!$J$23,
IF(Z100=regle!$K$11,regle!$K$23,0))))))))))))</f>
        <v>223.14240000000001</v>
      </c>
      <c r="AK100" s="16">
        <f>IF(OR(Q100=regle!$J$11,Q100=regle!$K$11),-2,IF(Q100=regle!$B$11,0,IF(AK$1=$AK$1,IF($O100,-1,regle!$B$2-$M100),IF(AJ100=-1,-1,AJ100+1))))</f>
        <v>4</v>
      </c>
      <c r="AL100" s="16">
        <f>IF(OR(R100=regle!$J$11,R100=regle!$K$11),-2,IF(R100=regle!$B$11,0,IF(AL$1=$AK$1,IF($O100,-1,regle!$B$2-$M100),IF(AK100=-1,-1,AK100+1))))</f>
        <v>5</v>
      </c>
      <c r="AM100" s="16">
        <f>IF(OR(S100=regle!$J$11,S100=regle!$K$11),-2,IF(S100=regle!$B$11,0,IF(AM$1=$AK$1,IF($O100,-1,regle!$B$2-$M100),IF(AL100=-1,-1,AL100+1))))</f>
        <v>6</v>
      </c>
      <c r="AN100" s="16">
        <f>IF(OR(T100=regle!$J$11,T100=regle!$K$11),-2,IF(T100=regle!$B$11,0,IF(AN$1=$AK$1,IF($O100,-1,regle!$B$2-$M100),IF(AM100=-1,-1,AM100+1))))</f>
        <v>7</v>
      </c>
      <c r="AO100" s="16">
        <f>IF(OR(U100=regle!$J$11,U100=regle!$K$11),-2,IF(U100=regle!$B$11,0,IF(AO$1=$AK$1,IF($O100,-1,regle!$B$2-$M100),IF(AN100=-1,-1,AN100+1))))</f>
        <v>8</v>
      </c>
      <c r="AP100" s="16">
        <f>IF(OR(V100=regle!$J$11,V100=regle!$K$11),-2,IF(V100=regle!$B$11,0,IF(AP$1=$AK$1,IF($O100,-1,regle!$B$2-$M100),IF(AO100=-1,-1,AO100+1))))</f>
        <v>9</v>
      </c>
      <c r="AQ100" s="16">
        <f>IF(OR(W100=regle!$J$11,W100=regle!$K$11),-2,IF(W100=regle!$B$11,0,IF(AQ$1=$AK$1,IF($O100,-1,regle!$B$2-$M100),IF(AP100=-1,-1,AP100+1))))</f>
        <v>10</v>
      </c>
      <c r="AR100" s="16">
        <f>IF(OR(X100=regle!$J$11,X100=regle!$K$11),-2,IF(X100=regle!$B$11,0,IF(AR$1=$AK$1,IF($O100,-1,regle!$B$2-$M100),IF(AQ100=-1,-1,AQ100+1))))</f>
        <v>11</v>
      </c>
      <c r="AS100" s="16">
        <f>IF(OR(Y100=regle!$J$11,Y100=regle!$K$11),-2,IF(Y100=regle!$B$11,0,IF(AS$1=$AK$1,IF($O100,-1,regle!$B$2-$M100),IF(AR100=-1,-1,AR100+1))))</f>
        <v>12</v>
      </c>
      <c r="AT100" s="16">
        <f>IF(OR(Z100=regle!$J$11,Z100=regle!$K$11),-2,IF(Z100=regle!$B$11,0,IF(AT$1=$AK$1,IF($O100,-1,regle!$B$2-$M100),IF(AS100=-1,-1,AS100+1))))</f>
        <v>13</v>
      </c>
    </row>
    <row r="101" spans="1:46" x14ac:dyDescent="0.25">
      <c r="A101" t="b">
        <f>modif1!A101</f>
        <v>1</v>
      </c>
      <c r="B101">
        <f>ROW(modif1!B101)</f>
        <v>101</v>
      </c>
      <c r="C101" t="str">
        <f>modif1!C104</f>
        <v>077</v>
      </c>
      <c r="D101" t="str">
        <f>modif1!D101</f>
        <v>HOSTENS</v>
      </c>
      <c r="E101">
        <f>modif1!E101</f>
        <v>8</v>
      </c>
      <c r="F101" t="str">
        <f>modif1!F101</f>
        <v>LES BECS</v>
      </c>
      <c r="G101" t="str">
        <f>modif1!G101</f>
        <v>0B</v>
      </c>
      <c r="H101">
        <f>modif1!H101</f>
        <v>1203</v>
      </c>
      <c r="I101" t="str">
        <f>modif1!I101</f>
        <v/>
      </c>
      <c r="J101" s="11">
        <f>modif1!J101</f>
        <v>0.1055</v>
      </c>
      <c r="K101" t="str">
        <f>modif1!K101</f>
        <v>PLA</v>
      </c>
      <c r="L101" t="str">
        <f>modif1!L101</f>
        <v>PM</v>
      </c>
      <c r="M101">
        <f>modif1!M101</f>
        <v>2020</v>
      </c>
      <c r="N101" t="str">
        <f>modif1!N101</f>
        <v>PLA-PM_2020</v>
      </c>
      <c r="O101" t="b">
        <f>modif1!O101</f>
        <v>0</v>
      </c>
      <c r="P101">
        <v>40</v>
      </c>
      <c r="Q101" t="s">
        <v>1870</v>
      </c>
      <c r="T101" t="s">
        <v>1871</v>
      </c>
      <c r="Y101" s="22"/>
      <c r="Z101" t="s">
        <v>1803</v>
      </c>
      <c r="AA101" s="17">
        <f>IF($A101,$J101*(IF(Q101=regle!$B$11,regle!$B$23*IF(AJ101=-2,1+regle!$B$35,1),
IF(Q101=regle!$C$11,regle!$C$23,
IF(Q101=regle!$D$11,regle!$D$23,
IF(Q101=regle!$E$11,regle!$E$23,
IF(Q101=regle!$F$11,regle!$F$23,
IF(Q101=regle!$G$11,regle!$G$23,
IF(Q101=regle!$H$11,regle!$H$23,
IF(Q101=regle!$I$11,regle!$I$23,
IF(Q101=regle!$J$11,regle!$J$23,
IF(Q101=regle!$K$11,regle!$K$23,0))))))))))))</f>
        <v>-9.4949999999999992</v>
      </c>
      <c r="AB101" s="17">
        <f>IF($A101,$J101*(IF(R101=regle!$B$11,regle!$B$23*IF(AK101=-2,1+regle!$B$35,1),
IF(R101=regle!$C$11,regle!$C$23,
IF(R101=regle!$D$11,regle!$D$23,
IF(R101=regle!$E$11,regle!$E$23,
IF(R101=regle!$F$11,regle!$F$23,
IF(R101=regle!$G$11,regle!$G$23,
IF(R101=regle!$H$11,regle!$H$23,
IF(R101=regle!$I$11,regle!$I$23,
IF(R101=regle!$J$11,regle!$J$23,
IF(R101=regle!$K$11,regle!$K$23,0))))))))))))</f>
        <v>0</v>
      </c>
      <c r="AC101" s="17">
        <f>IF($A101,$J101*(IF(S101=regle!$B$11,regle!$B$23*IF(AL101=-2,1+regle!$B$35,1),
IF(S101=regle!$C$11,regle!$C$23,
IF(S101=regle!$D$11,regle!$D$23,
IF(S101=regle!$E$11,regle!$E$23,
IF(S101=regle!$F$11,regle!$F$23,
IF(S101=regle!$G$11,regle!$G$23,
IF(S101=regle!$H$11,regle!$H$23,
IF(S101=regle!$I$11,regle!$I$23,
IF(S101=regle!$J$11,regle!$J$23,
IF(S101=regle!$K$11,regle!$K$23,0))))))))))))</f>
        <v>0</v>
      </c>
      <c r="AD101" s="17">
        <f>IF($A101,$J101*(IF(T101=regle!$B$11,regle!$B$23*IF(AM101=-2,1+regle!$B$35,1),
IF(T101=regle!$C$11,regle!$C$23,
IF(T101=regle!$D$11,regle!$D$23,
IF(T101=regle!$E$11,regle!$E$23,
IF(T101=regle!$F$11,regle!$F$23,
IF(T101=regle!$G$11,regle!$G$23,
IF(T101=regle!$H$11,regle!$H$23,
IF(T101=regle!$I$11,regle!$I$23,
IF(T101=regle!$J$11,regle!$J$23,
IF(T101=regle!$K$11,regle!$K$23,0))))))))))))</f>
        <v>-9.4949999999999992</v>
      </c>
      <c r="AE101" s="17">
        <f>IF($A101,$J101*(IF(U101=regle!$B$11,regle!$B$23*IF(AN101=-2,1+regle!$B$35,1),
IF(U101=regle!$C$11,regle!$C$23,
IF(U101=regle!$D$11,regle!$D$23,
IF(U101=regle!$E$11,regle!$E$23,
IF(U101=regle!$F$11,regle!$F$23,
IF(U101=regle!$G$11,regle!$G$23,
IF(U101=regle!$H$11,regle!$H$23,
IF(U101=regle!$I$11,regle!$I$23,
IF(U101=regle!$J$11,regle!$J$23,
IF(U101=regle!$K$11,regle!$K$23,0))))))))))))</f>
        <v>0</v>
      </c>
      <c r="AF101" s="17">
        <f>IF($A101,$J101*(IF(V101=regle!$B$11,regle!$B$23*IF(AO101=-2,1+regle!$B$35,1),
IF(V101=regle!$C$11,regle!$C$23,
IF(V101=regle!$D$11,regle!$D$23,
IF(V101=regle!$E$11,regle!$E$23,
IF(V101=regle!$F$11,regle!$F$23,
IF(V101=regle!$G$11,regle!$G$23,
IF(V101=regle!$H$11,regle!$H$23,
IF(V101=regle!$I$11,regle!$I$23,
IF(V101=regle!$J$11,regle!$J$23,
IF(V101=regle!$K$11,regle!$K$23,0))))))))))))</f>
        <v>0</v>
      </c>
      <c r="AG101" s="17">
        <f>IF($A101,$J101*(IF(W101=regle!$B$11,regle!$B$23*IF(AP101=-2,1+regle!$B$35,1),
IF(W101=regle!$C$11,regle!$C$23,
IF(W101=regle!$D$11,regle!$D$23,
IF(W101=regle!$E$11,regle!$E$23,
IF(W101=regle!$F$11,regle!$F$23,
IF(W101=regle!$G$11,regle!$G$23,
IF(W101=regle!$H$11,regle!$H$23,
IF(W101=regle!$I$11,regle!$I$23,
IF(W101=regle!$J$11,regle!$J$23,
IF(W101=regle!$K$11,regle!$K$23,0))))))))))))</f>
        <v>0</v>
      </c>
      <c r="AH101" s="17">
        <f>IF($A101,$J101*(IF(X101=regle!$B$11,regle!$B$23*IF(AQ101=-2,1+regle!$B$35,1),
IF(X101=regle!$C$11,regle!$C$23,
IF(X101=regle!$D$11,regle!$D$23,
IF(X101=regle!$E$11,regle!$E$23,
IF(X101=regle!$F$11,regle!$F$23,
IF(X101=regle!$G$11,regle!$G$23,
IF(X101=regle!$H$11,regle!$H$23,
IF(X101=regle!$I$11,regle!$I$23,
IF(X101=regle!$J$11,regle!$J$23,
IF(X101=regle!$K$11,regle!$K$23,0))))))))))))</f>
        <v>0</v>
      </c>
      <c r="AI101" s="17">
        <f>IF($A101,$J101*(IF(Y101=regle!$B$11,regle!$B$23*IF(AR101=-2,1+regle!$B$35,1),
IF(Y101=regle!$C$11,regle!$C$23,
IF(Y101=regle!$D$11,regle!$D$23,
IF(Y101=regle!$E$11,regle!$E$23,
IF(Y101=regle!$F$11,regle!$F$23,
IF(Y101=regle!$G$11,regle!$G$23,
IF(Y101=regle!$H$11,regle!$H$23,
IF(Y101=regle!$I$11,regle!$I$23,
IF(Y101=regle!$J$11,regle!$J$23,
IF(Y101=regle!$K$11,regle!$K$23,0))))))))))))</f>
        <v>0</v>
      </c>
      <c r="AJ101" s="17">
        <f>IF($A101,$J101*(IF(Z101=regle!$B$11,regle!$B$23*IF(AS101=-2,1+regle!$B$35,1),
IF(Z101=regle!$C$11,regle!$C$23,
IF(Z101=regle!$D$11,regle!$D$23,
IF(Z101=regle!$E$11,regle!$E$23,
IF(Z101=regle!$F$11,regle!$F$23,
IF(Z101=regle!$G$11,regle!$G$23,
IF(Z101=regle!$H$11,regle!$H$23,
IF(Z101=regle!$I$11,regle!$I$23,
IF(Z101=regle!$J$11,regle!$J$23,
IF(Z101=regle!$K$11,regle!$K$23,0))))))))))))</f>
        <v>60.768000000000001</v>
      </c>
      <c r="AK101" s="16">
        <f>IF(OR(Q101=regle!$J$11,Q101=regle!$K$11),-2,IF(Q101=regle!$B$11,0,IF(AK$1=$AK$1,IF($O101,-1,regle!$B$2-$M101),IF(AJ101=-1,-1,AJ101+1))))</f>
        <v>4</v>
      </c>
      <c r="AL101" s="16">
        <f>IF(OR(R101=regle!$J$11,R101=regle!$K$11),-2,IF(R101=regle!$B$11,0,IF(AL$1=$AK$1,IF($O101,-1,regle!$B$2-$M101),IF(AK101=-1,-1,AK101+1))))</f>
        <v>5</v>
      </c>
      <c r="AM101" s="16">
        <f>IF(OR(S101=regle!$J$11,S101=regle!$K$11),-2,IF(S101=regle!$B$11,0,IF(AM$1=$AK$1,IF($O101,-1,regle!$B$2-$M101),IF(AL101=-1,-1,AL101+1))))</f>
        <v>6</v>
      </c>
      <c r="AN101" s="16">
        <f>IF(OR(T101=regle!$J$11,T101=regle!$K$11),-2,IF(T101=regle!$B$11,0,IF(AN$1=$AK$1,IF($O101,-1,regle!$B$2-$M101),IF(AM101=-1,-1,AM101+1))))</f>
        <v>7</v>
      </c>
      <c r="AO101" s="16">
        <f>IF(OR(U101=regle!$J$11,U101=regle!$K$11),-2,IF(U101=regle!$B$11,0,IF(AO$1=$AK$1,IF($O101,-1,regle!$B$2-$M101),IF(AN101=-1,-1,AN101+1))))</f>
        <v>8</v>
      </c>
      <c r="AP101" s="16">
        <f>IF(OR(V101=regle!$J$11,V101=regle!$K$11),-2,IF(V101=regle!$B$11,0,IF(AP$1=$AK$1,IF($O101,-1,regle!$B$2-$M101),IF(AO101=-1,-1,AO101+1))))</f>
        <v>9</v>
      </c>
      <c r="AQ101" s="16">
        <f>IF(OR(W101=regle!$J$11,W101=regle!$K$11),-2,IF(W101=regle!$B$11,0,IF(AQ$1=$AK$1,IF($O101,-1,regle!$B$2-$M101),IF(AP101=-1,-1,AP101+1))))</f>
        <v>10</v>
      </c>
      <c r="AR101" s="16">
        <f>IF(OR(X101=regle!$J$11,X101=regle!$K$11),-2,IF(X101=regle!$B$11,0,IF(AR$1=$AK$1,IF($O101,-1,regle!$B$2-$M101),IF(AQ101=-1,-1,AQ101+1))))</f>
        <v>11</v>
      </c>
      <c r="AS101" s="16">
        <f>IF(OR(Y101=regle!$J$11,Y101=regle!$K$11),-2,IF(Y101=regle!$B$11,0,IF(AS$1=$AK$1,IF($O101,-1,regle!$B$2-$M101),IF(AR101=-1,-1,AR101+1))))</f>
        <v>12</v>
      </c>
      <c r="AT101" s="16">
        <f>IF(OR(Z101=regle!$J$11,Z101=regle!$K$11),-2,IF(Z101=regle!$B$11,0,IF(AT$1=$AK$1,IF($O101,-1,regle!$B$2-$M101),IF(AS101=-1,-1,AS101+1))))</f>
        <v>13</v>
      </c>
    </row>
    <row r="102" spans="1:46" x14ac:dyDescent="0.25">
      <c r="A102" t="b">
        <f>modif1!A102</f>
        <v>1</v>
      </c>
      <c r="B102">
        <f>ROW(modif1!B102)</f>
        <v>102</v>
      </c>
      <c r="C102" t="str">
        <f>modif1!C105</f>
        <v>202</v>
      </c>
      <c r="D102" t="str">
        <f>modif1!D102</f>
        <v>CABANAC-ET-VILLAGRAINS</v>
      </c>
      <c r="E102">
        <f>modif1!E102</f>
        <v>13</v>
      </c>
      <c r="F102" t="str">
        <f>modif1!F102</f>
        <v>LAGUNE LONGUE</v>
      </c>
      <c r="G102" t="str">
        <f>modif1!G102</f>
        <v>0D</v>
      </c>
      <c r="H102">
        <f>modif1!H102</f>
        <v>1389</v>
      </c>
      <c r="I102" t="str">
        <f>modif1!I102</f>
        <v>j</v>
      </c>
      <c r="J102" s="11">
        <f>modif1!J102</f>
        <v>6.1001000000000003</v>
      </c>
      <c r="K102" t="str">
        <f>modif1!K102</f>
        <v>PLA</v>
      </c>
      <c r="L102" t="str">
        <f>modif1!L102</f>
        <v>PM</v>
      </c>
      <c r="M102">
        <f>modif1!M102</f>
        <v>2019</v>
      </c>
      <c r="N102" t="str">
        <f>modif1!N102</f>
        <v>PLA-PM_2019</v>
      </c>
      <c r="O102" t="b">
        <f>modif1!O102</f>
        <v>0</v>
      </c>
      <c r="P102">
        <v>40</v>
      </c>
      <c r="Q102" t="s">
        <v>1870</v>
      </c>
      <c r="S102" s="22"/>
      <c r="T102" t="s">
        <v>1871</v>
      </c>
      <c r="X102" s="22"/>
      <c r="Y102" s="22"/>
      <c r="Z102" t="s">
        <v>1803</v>
      </c>
      <c r="AA102" s="17">
        <f>IF($A102,$J102*(IF(Q102=regle!$B$11,regle!$B$23*IF(AJ102=-2,1+regle!$B$35,1),
IF(Q102=regle!$C$11,regle!$C$23,
IF(Q102=regle!$D$11,regle!$D$23,
IF(Q102=regle!$E$11,regle!$E$23,
IF(Q102=regle!$F$11,regle!$F$23,
IF(Q102=regle!$G$11,regle!$G$23,
IF(Q102=regle!$H$11,regle!$H$23,
IF(Q102=regle!$I$11,regle!$I$23,
IF(Q102=regle!$J$11,regle!$J$23,
IF(Q102=regle!$K$11,regle!$K$23,0))))))))))))</f>
        <v>-549.00900000000001</v>
      </c>
      <c r="AB102" s="17">
        <f>IF($A102,$J102*(IF(R102=regle!$B$11,regle!$B$23*IF(AK102=-2,1+regle!$B$35,1),
IF(R102=regle!$C$11,regle!$C$23,
IF(R102=regle!$D$11,regle!$D$23,
IF(R102=regle!$E$11,regle!$E$23,
IF(R102=regle!$F$11,regle!$F$23,
IF(R102=regle!$G$11,regle!$G$23,
IF(R102=regle!$H$11,regle!$H$23,
IF(R102=regle!$I$11,regle!$I$23,
IF(R102=regle!$J$11,regle!$J$23,
IF(R102=regle!$K$11,regle!$K$23,0))))))))))))</f>
        <v>0</v>
      </c>
      <c r="AC102" s="17">
        <f>IF($A102,$J102*(IF(S102=regle!$B$11,regle!$B$23*IF(AL102=-2,1+regle!$B$35,1),
IF(S102=regle!$C$11,regle!$C$23,
IF(S102=regle!$D$11,regle!$D$23,
IF(S102=regle!$E$11,regle!$E$23,
IF(S102=regle!$F$11,regle!$F$23,
IF(S102=regle!$G$11,regle!$G$23,
IF(S102=regle!$H$11,regle!$H$23,
IF(S102=regle!$I$11,regle!$I$23,
IF(S102=regle!$J$11,regle!$J$23,
IF(S102=regle!$K$11,regle!$K$23,0))))))))))))</f>
        <v>0</v>
      </c>
      <c r="AD102" s="17">
        <f>IF($A102,$J102*(IF(T102=regle!$B$11,regle!$B$23*IF(AM102=-2,1+regle!$B$35,1),
IF(T102=regle!$C$11,regle!$C$23,
IF(T102=regle!$D$11,regle!$D$23,
IF(T102=regle!$E$11,regle!$E$23,
IF(T102=regle!$F$11,regle!$F$23,
IF(T102=regle!$G$11,regle!$G$23,
IF(T102=regle!$H$11,regle!$H$23,
IF(T102=regle!$I$11,regle!$I$23,
IF(T102=regle!$J$11,regle!$J$23,
IF(T102=regle!$K$11,regle!$K$23,0))))))))))))</f>
        <v>-549.00900000000001</v>
      </c>
      <c r="AE102" s="17">
        <f>IF($A102,$J102*(IF(U102=regle!$B$11,regle!$B$23*IF(AN102=-2,1+regle!$B$35,1),
IF(U102=regle!$C$11,regle!$C$23,
IF(U102=regle!$D$11,regle!$D$23,
IF(U102=regle!$E$11,regle!$E$23,
IF(U102=regle!$F$11,regle!$F$23,
IF(U102=regle!$G$11,regle!$G$23,
IF(U102=regle!$H$11,regle!$H$23,
IF(U102=regle!$I$11,regle!$I$23,
IF(U102=regle!$J$11,regle!$J$23,
IF(U102=regle!$K$11,regle!$K$23,0))))))))))))</f>
        <v>0</v>
      </c>
      <c r="AF102" s="17">
        <f>IF($A102,$J102*(IF(V102=regle!$B$11,regle!$B$23*IF(AO102=-2,1+regle!$B$35,1),
IF(V102=regle!$C$11,regle!$C$23,
IF(V102=regle!$D$11,regle!$D$23,
IF(V102=regle!$E$11,regle!$E$23,
IF(V102=regle!$F$11,regle!$F$23,
IF(V102=regle!$G$11,regle!$G$23,
IF(V102=regle!$H$11,regle!$H$23,
IF(V102=regle!$I$11,regle!$I$23,
IF(V102=regle!$J$11,regle!$J$23,
IF(V102=regle!$K$11,regle!$K$23,0))))))))))))</f>
        <v>0</v>
      </c>
      <c r="AG102" s="17">
        <f>IF($A102,$J102*(IF(W102=regle!$B$11,regle!$B$23*IF(AP102=-2,1+regle!$B$35,1),
IF(W102=regle!$C$11,regle!$C$23,
IF(W102=regle!$D$11,regle!$D$23,
IF(W102=regle!$E$11,regle!$E$23,
IF(W102=regle!$F$11,regle!$F$23,
IF(W102=regle!$G$11,regle!$G$23,
IF(W102=regle!$H$11,regle!$H$23,
IF(W102=regle!$I$11,regle!$I$23,
IF(W102=regle!$J$11,regle!$J$23,
IF(W102=regle!$K$11,regle!$K$23,0))))))))))))</f>
        <v>0</v>
      </c>
      <c r="AH102" s="17">
        <f>IF($A102,$J102*(IF(X102=regle!$B$11,regle!$B$23*IF(AQ102=-2,1+regle!$B$35,1),
IF(X102=regle!$C$11,regle!$C$23,
IF(X102=regle!$D$11,regle!$D$23,
IF(X102=regle!$E$11,regle!$E$23,
IF(X102=regle!$F$11,regle!$F$23,
IF(X102=regle!$G$11,regle!$G$23,
IF(X102=regle!$H$11,regle!$H$23,
IF(X102=regle!$I$11,regle!$I$23,
IF(X102=regle!$J$11,regle!$J$23,
IF(X102=regle!$K$11,regle!$K$23,0))))))))))))</f>
        <v>0</v>
      </c>
      <c r="AI102" s="17">
        <f>IF($A102,$J102*(IF(Y102=regle!$B$11,regle!$B$23*IF(AR102=-2,1+regle!$B$35,1),
IF(Y102=regle!$C$11,regle!$C$23,
IF(Y102=regle!$D$11,regle!$D$23,
IF(Y102=regle!$E$11,regle!$E$23,
IF(Y102=regle!$F$11,regle!$F$23,
IF(Y102=regle!$G$11,regle!$G$23,
IF(Y102=regle!$H$11,regle!$H$23,
IF(Y102=regle!$I$11,regle!$I$23,
IF(Y102=regle!$J$11,regle!$J$23,
IF(Y102=regle!$K$11,regle!$K$23,0))))))))))))</f>
        <v>0</v>
      </c>
      <c r="AJ102" s="17">
        <f>IF($A102,$J102*(IF(Z102=regle!$B$11,regle!$B$23*IF(AS102=-2,1+regle!$B$35,1),
IF(Z102=regle!$C$11,regle!$C$23,
IF(Z102=regle!$D$11,regle!$D$23,
IF(Z102=regle!$E$11,regle!$E$23,
IF(Z102=regle!$F$11,regle!$F$23,
IF(Z102=regle!$G$11,regle!$G$23,
IF(Z102=regle!$H$11,regle!$H$23,
IF(Z102=regle!$I$11,regle!$I$23,
IF(Z102=regle!$J$11,regle!$J$23,
IF(Z102=regle!$K$11,regle!$K$23,0))))))))))))</f>
        <v>3513.6576</v>
      </c>
      <c r="AK102" s="16">
        <f>IF(OR(Q102=regle!$J$11,Q102=regle!$K$11),-2,IF(Q102=regle!$B$11,0,IF(AK$1=$AK$1,IF($O102,-1,regle!$B$2-$M102),IF(AJ102=-1,-1,AJ102+1))))</f>
        <v>5</v>
      </c>
      <c r="AL102" s="16">
        <f>IF(OR(R102=regle!$J$11,R102=regle!$K$11),-2,IF(R102=regle!$B$11,0,IF(AL$1=$AK$1,IF($O102,-1,regle!$B$2-$M102),IF(AK102=-1,-1,AK102+1))))</f>
        <v>6</v>
      </c>
      <c r="AM102" s="16">
        <f>IF(OR(S102=regle!$J$11,S102=regle!$K$11),-2,IF(S102=regle!$B$11,0,IF(AM$1=$AK$1,IF($O102,-1,regle!$B$2-$M102),IF(AL102=-1,-1,AL102+1))))</f>
        <v>7</v>
      </c>
      <c r="AN102" s="16">
        <f>IF(OR(T102=regle!$J$11,T102=regle!$K$11),-2,IF(T102=regle!$B$11,0,IF(AN$1=$AK$1,IF($O102,-1,regle!$B$2-$M102),IF(AM102=-1,-1,AM102+1))))</f>
        <v>8</v>
      </c>
      <c r="AO102" s="16">
        <f>IF(OR(U102=regle!$J$11,U102=regle!$K$11),-2,IF(U102=regle!$B$11,0,IF(AO$1=$AK$1,IF($O102,-1,regle!$B$2-$M102),IF(AN102=-1,-1,AN102+1))))</f>
        <v>9</v>
      </c>
      <c r="AP102" s="16">
        <f>IF(OR(V102=regle!$J$11,V102=regle!$K$11),-2,IF(V102=regle!$B$11,0,IF(AP$1=$AK$1,IF($O102,-1,regle!$B$2-$M102),IF(AO102=-1,-1,AO102+1))))</f>
        <v>10</v>
      </c>
      <c r="AQ102" s="16">
        <f>IF(OR(W102=regle!$J$11,W102=regle!$K$11),-2,IF(W102=regle!$B$11,0,IF(AQ$1=$AK$1,IF($O102,-1,regle!$B$2-$M102),IF(AP102=-1,-1,AP102+1))))</f>
        <v>11</v>
      </c>
      <c r="AR102" s="16">
        <f>IF(OR(X102=regle!$J$11,X102=regle!$K$11),-2,IF(X102=regle!$B$11,0,IF(AR$1=$AK$1,IF($O102,-1,regle!$B$2-$M102),IF(AQ102=-1,-1,AQ102+1))))</f>
        <v>12</v>
      </c>
      <c r="AS102" s="16">
        <f>IF(OR(Y102=regle!$J$11,Y102=regle!$K$11),-2,IF(Y102=regle!$B$11,0,IF(AS$1=$AK$1,IF($O102,-1,regle!$B$2-$M102),IF(AR102=-1,-1,AR102+1))))</f>
        <v>13</v>
      </c>
      <c r="AT102" s="16">
        <f>IF(OR(Z102=regle!$J$11,Z102=regle!$K$11),-2,IF(Z102=regle!$B$11,0,IF(AT$1=$AK$1,IF($O102,-1,regle!$B$2-$M102),IF(AS102=-1,-1,AS102+1))))</f>
        <v>14</v>
      </c>
    </row>
    <row r="103" spans="1:46" x14ac:dyDescent="0.25">
      <c r="A103" t="b">
        <f>modif1!A103</f>
        <v>1</v>
      </c>
      <c r="B103">
        <f>ROW(modif1!B103)</f>
        <v>103</v>
      </c>
      <c r="C103" t="str">
        <f>modif1!C106</f>
        <v>077</v>
      </c>
      <c r="D103" t="str">
        <f>modif1!D103</f>
        <v>HOSTENS</v>
      </c>
      <c r="E103">
        <f>modif1!E103</f>
        <v>11</v>
      </c>
      <c r="F103" t="str">
        <f>modif1!F103</f>
        <v>LES CAZALAS</v>
      </c>
      <c r="G103" t="str">
        <f>modif1!G103</f>
        <v>0B</v>
      </c>
      <c r="H103">
        <f>modif1!H103</f>
        <v>1138</v>
      </c>
      <c r="I103" t="str">
        <f>modif1!I103</f>
        <v>k</v>
      </c>
      <c r="J103" s="11">
        <f>modif1!J103</f>
        <v>4.72</v>
      </c>
      <c r="K103" t="str">
        <f>modif1!K103</f>
        <v>PLA</v>
      </c>
      <c r="L103" t="str">
        <f>modif1!L103</f>
        <v>PM</v>
      </c>
      <c r="M103">
        <f>modif1!M103</f>
        <v>2019</v>
      </c>
      <c r="N103" t="str">
        <f>modif1!N103</f>
        <v>PLA-PM_2019</v>
      </c>
      <c r="O103" t="b">
        <f>modif1!O103</f>
        <v>0</v>
      </c>
      <c r="P103">
        <v>40</v>
      </c>
      <c r="Q103" t="s">
        <v>1870</v>
      </c>
      <c r="S103" t="s">
        <v>1871</v>
      </c>
      <c r="X103" s="22"/>
      <c r="Y103" t="s">
        <v>1803</v>
      </c>
      <c r="Z103"/>
      <c r="AA103" s="17">
        <f>IF($A103,$J103*(IF(Q103=regle!$B$11,regle!$B$23*IF(AJ103=-2,1+regle!$B$35,1),
IF(Q103=regle!$C$11,regle!$C$23,
IF(Q103=regle!$D$11,regle!$D$23,
IF(Q103=regle!$E$11,regle!$E$23,
IF(Q103=regle!$F$11,regle!$F$23,
IF(Q103=regle!$G$11,regle!$G$23,
IF(Q103=regle!$H$11,regle!$H$23,
IF(Q103=regle!$I$11,regle!$I$23,
IF(Q103=regle!$J$11,regle!$J$23,
IF(Q103=regle!$K$11,regle!$K$23,0))))))))))))</f>
        <v>-424.79999999999995</v>
      </c>
      <c r="AB103" s="17">
        <f>IF($A103,$J103*(IF(R103=regle!$B$11,regle!$B$23*IF(AK103=-2,1+regle!$B$35,1),
IF(R103=regle!$C$11,regle!$C$23,
IF(R103=regle!$D$11,regle!$D$23,
IF(R103=regle!$E$11,regle!$E$23,
IF(R103=regle!$F$11,regle!$F$23,
IF(R103=regle!$G$11,regle!$G$23,
IF(R103=regle!$H$11,regle!$H$23,
IF(R103=regle!$I$11,regle!$I$23,
IF(R103=regle!$J$11,regle!$J$23,
IF(R103=regle!$K$11,regle!$K$23,0))))))))))))</f>
        <v>0</v>
      </c>
      <c r="AC103" s="17">
        <f>IF($A103,$J103*(IF(S103=regle!$B$11,regle!$B$23*IF(AL103=-2,1+regle!$B$35,1),
IF(S103=regle!$C$11,regle!$C$23,
IF(S103=regle!$D$11,regle!$D$23,
IF(S103=regle!$E$11,regle!$E$23,
IF(S103=regle!$F$11,regle!$F$23,
IF(S103=regle!$G$11,regle!$G$23,
IF(S103=regle!$H$11,regle!$H$23,
IF(S103=regle!$I$11,regle!$I$23,
IF(S103=regle!$J$11,regle!$J$23,
IF(S103=regle!$K$11,regle!$K$23,0))))))))))))</f>
        <v>-424.79999999999995</v>
      </c>
      <c r="AD103" s="17">
        <f>IF($A103,$J103*(IF(T103=regle!$B$11,regle!$B$23*IF(AM103=-2,1+regle!$B$35,1),
IF(T103=regle!$C$11,regle!$C$23,
IF(T103=regle!$D$11,regle!$D$23,
IF(T103=regle!$E$11,regle!$E$23,
IF(T103=regle!$F$11,regle!$F$23,
IF(T103=regle!$G$11,regle!$G$23,
IF(T103=regle!$H$11,regle!$H$23,
IF(T103=regle!$I$11,regle!$I$23,
IF(T103=regle!$J$11,regle!$J$23,
IF(T103=regle!$K$11,regle!$K$23,0))))))))))))</f>
        <v>0</v>
      </c>
      <c r="AE103" s="17">
        <f>IF($A103,$J103*(IF(U103=regle!$B$11,regle!$B$23*IF(AN103=-2,1+regle!$B$35,1),
IF(U103=regle!$C$11,regle!$C$23,
IF(U103=regle!$D$11,regle!$D$23,
IF(U103=regle!$E$11,regle!$E$23,
IF(U103=regle!$F$11,regle!$F$23,
IF(U103=regle!$G$11,regle!$G$23,
IF(U103=regle!$H$11,regle!$H$23,
IF(U103=regle!$I$11,regle!$I$23,
IF(U103=regle!$J$11,regle!$J$23,
IF(U103=regle!$K$11,regle!$K$23,0))))))))))))</f>
        <v>0</v>
      </c>
      <c r="AF103" s="17">
        <f>IF($A103,$J103*(IF(V103=regle!$B$11,regle!$B$23*IF(AO103=-2,1+regle!$B$35,1),
IF(V103=regle!$C$11,regle!$C$23,
IF(V103=regle!$D$11,regle!$D$23,
IF(V103=regle!$E$11,regle!$E$23,
IF(V103=regle!$F$11,regle!$F$23,
IF(V103=regle!$G$11,regle!$G$23,
IF(V103=regle!$H$11,regle!$H$23,
IF(V103=regle!$I$11,regle!$I$23,
IF(V103=regle!$J$11,regle!$J$23,
IF(V103=regle!$K$11,regle!$K$23,0))))))))))))</f>
        <v>0</v>
      </c>
      <c r="AG103" s="17">
        <f>IF($A103,$J103*(IF(W103=regle!$B$11,regle!$B$23*IF(AP103=-2,1+regle!$B$35,1),
IF(W103=regle!$C$11,regle!$C$23,
IF(W103=regle!$D$11,regle!$D$23,
IF(W103=regle!$E$11,regle!$E$23,
IF(W103=regle!$F$11,regle!$F$23,
IF(W103=regle!$G$11,regle!$G$23,
IF(W103=regle!$H$11,regle!$H$23,
IF(W103=regle!$I$11,regle!$I$23,
IF(W103=regle!$J$11,regle!$J$23,
IF(W103=regle!$K$11,regle!$K$23,0))))))))))))</f>
        <v>0</v>
      </c>
      <c r="AH103" s="17">
        <f>IF($A103,$J103*(IF(X103=regle!$B$11,regle!$B$23*IF(AQ103=-2,1+regle!$B$35,1),
IF(X103=regle!$C$11,regle!$C$23,
IF(X103=regle!$D$11,regle!$D$23,
IF(X103=regle!$E$11,regle!$E$23,
IF(X103=regle!$F$11,regle!$F$23,
IF(X103=regle!$G$11,regle!$G$23,
IF(X103=regle!$H$11,regle!$H$23,
IF(X103=regle!$I$11,regle!$I$23,
IF(X103=regle!$J$11,regle!$J$23,
IF(X103=regle!$K$11,regle!$K$23,0))))))))))))</f>
        <v>0</v>
      </c>
      <c r="AI103" s="17">
        <f>IF($A103,$J103*(IF(Y103=regle!$B$11,regle!$B$23*IF(AR103=-2,1+regle!$B$35,1),
IF(Y103=regle!$C$11,regle!$C$23,
IF(Y103=regle!$D$11,regle!$D$23,
IF(Y103=regle!$E$11,regle!$E$23,
IF(Y103=regle!$F$11,regle!$F$23,
IF(Y103=regle!$G$11,regle!$G$23,
IF(Y103=regle!$H$11,regle!$H$23,
IF(Y103=regle!$I$11,regle!$I$23,
IF(Y103=regle!$J$11,regle!$J$23,
IF(Y103=regle!$K$11,regle!$K$23,0))))))))))))</f>
        <v>2718.72</v>
      </c>
      <c r="AJ103" s="17">
        <f>IF($A103,$J103*(IF(Z103=regle!$B$11,regle!$B$23*IF(AS103=-2,1+regle!$B$35,1),
IF(Z103=regle!$C$11,regle!$C$23,
IF(Z103=regle!$D$11,regle!$D$23,
IF(Z103=regle!$E$11,regle!$E$23,
IF(Z103=regle!$F$11,regle!$F$23,
IF(Z103=regle!$G$11,regle!$G$23,
IF(Z103=regle!$H$11,regle!$H$23,
IF(Z103=regle!$I$11,regle!$I$23,
IF(Z103=regle!$J$11,regle!$J$23,
IF(Z103=regle!$K$11,regle!$K$23,0))))))))))))</f>
        <v>0</v>
      </c>
      <c r="AK103" s="16">
        <f>IF(OR(Q103=regle!$J$11,Q103=regle!$K$11),-2,IF(Q103=regle!$B$11,0,IF(AK$1=$AK$1,IF($O103,-1,regle!$B$2-$M103),IF(AJ103=-1,-1,AJ103+1))))</f>
        <v>5</v>
      </c>
      <c r="AL103" s="16">
        <f>IF(OR(R103=regle!$J$11,R103=regle!$K$11),-2,IF(R103=regle!$B$11,0,IF(AL$1=$AK$1,IF($O103,-1,regle!$B$2-$M103),IF(AK103=-1,-1,AK103+1))))</f>
        <v>6</v>
      </c>
      <c r="AM103" s="16">
        <f>IF(OR(S103=regle!$J$11,S103=regle!$K$11),-2,IF(S103=regle!$B$11,0,IF(AM$1=$AK$1,IF($O103,-1,regle!$B$2-$M103),IF(AL103=-1,-1,AL103+1))))</f>
        <v>7</v>
      </c>
      <c r="AN103" s="16">
        <f>IF(OR(T103=regle!$J$11,T103=regle!$K$11),-2,IF(T103=regle!$B$11,0,IF(AN$1=$AK$1,IF($O103,-1,regle!$B$2-$M103),IF(AM103=-1,-1,AM103+1))))</f>
        <v>8</v>
      </c>
      <c r="AO103" s="16">
        <f>IF(OR(U103=regle!$J$11,U103=regle!$K$11),-2,IF(U103=regle!$B$11,0,IF(AO$1=$AK$1,IF($O103,-1,regle!$B$2-$M103),IF(AN103=-1,-1,AN103+1))))</f>
        <v>9</v>
      </c>
      <c r="AP103" s="16">
        <f>IF(OR(V103=regle!$J$11,V103=regle!$K$11),-2,IF(V103=regle!$B$11,0,IF(AP$1=$AK$1,IF($O103,-1,regle!$B$2-$M103),IF(AO103=-1,-1,AO103+1))))</f>
        <v>10</v>
      </c>
      <c r="AQ103" s="16">
        <f>IF(OR(W103=regle!$J$11,W103=regle!$K$11),-2,IF(W103=regle!$B$11,0,IF(AQ$1=$AK$1,IF($O103,-1,regle!$B$2-$M103),IF(AP103=-1,-1,AP103+1))))</f>
        <v>11</v>
      </c>
      <c r="AR103" s="16">
        <f>IF(OR(X103=regle!$J$11,X103=regle!$K$11),-2,IF(X103=regle!$B$11,0,IF(AR$1=$AK$1,IF($O103,-1,regle!$B$2-$M103),IF(AQ103=-1,-1,AQ103+1))))</f>
        <v>12</v>
      </c>
      <c r="AS103" s="16">
        <f>IF(OR(Y103=regle!$J$11,Y103=regle!$K$11),-2,IF(Y103=regle!$B$11,0,IF(AS$1=$AK$1,IF($O103,-1,regle!$B$2-$M103),IF(AR103=-1,-1,AR103+1))))</f>
        <v>13</v>
      </c>
      <c r="AT103" s="16">
        <f>IF(OR(Z103=regle!$J$11,Z103=regle!$K$11),-2,IF(Z103=regle!$B$11,0,IF(AT$1=$AK$1,IF($O103,-1,regle!$B$2-$M103),IF(AS103=-1,-1,AS103+1))))</f>
        <v>14</v>
      </c>
    </row>
    <row r="104" spans="1:46" x14ac:dyDescent="0.25">
      <c r="A104" t="b">
        <f>modif1!A104</f>
        <v>1</v>
      </c>
      <c r="B104">
        <f>ROW(modif1!B104)</f>
        <v>104</v>
      </c>
      <c r="C104" t="str">
        <f>modif1!C107</f>
        <v>202</v>
      </c>
      <c r="D104" t="str">
        <f>modif1!D104</f>
        <v>CABANAC-ET-VILLAGRAINS</v>
      </c>
      <c r="E104">
        <f>modif1!E104</f>
        <v>12</v>
      </c>
      <c r="F104" t="str">
        <f>modif1!F104</f>
        <v>LES JEANNOTS</v>
      </c>
      <c r="G104" t="str">
        <f>modif1!G104</f>
        <v>0D</v>
      </c>
      <c r="H104">
        <f>modif1!H104</f>
        <v>2295</v>
      </c>
      <c r="I104" t="str">
        <f>modif1!I104</f>
        <v>k</v>
      </c>
      <c r="J104" s="11">
        <f>modif1!J104</f>
        <v>3.7189000000000001</v>
      </c>
      <c r="K104" t="str">
        <f>modif1!K104</f>
        <v>PLA</v>
      </c>
      <c r="L104" t="str">
        <f>modif1!L104</f>
        <v>PM</v>
      </c>
      <c r="M104">
        <f>modif1!M104</f>
        <v>2019</v>
      </c>
      <c r="N104" t="str">
        <f>modif1!N104</f>
        <v>PLA-PM_2019</v>
      </c>
      <c r="O104" t="b">
        <f>modif1!O104</f>
        <v>0</v>
      </c>
      <c r="P104">
        <v>40</v>
      </c>
      <c r="Q104" t="s">
        <v>1870</v>
      </c>
      <c r="S104" t="s">
        <v>1871</v>
      </c>
      <c r="X104" t="s">
        <v>1803</v>
      </c>
      <c r="Z104"/>
      <c r="AA104" s="17">
        <f>IF($A104,$J104*(IF(Q104=regle!$B$11,regle!$B$23*IF(AJ104=-2,1+regle!$B$35,1),
IF(Q104=regle!$C$11,regle!$C$23,
IF(Q104=regle!$D$11,regle!$D$23,
IF(Q104=regle!$E$11,regle!$E$23,
IF(Q104=regle!$F$11,regle!$F$23,
IF(Q104=regle!$G$11,regle!$G$23,
IF(Q104=regle!$H$11,regle!$H$23,
IF(Q104=regle!$I$11,regle!$I$23,
IF(Q104=regle!$J$11,regle!$J$23,
IF(Q104=regle!$K$11,regle!$K$23,0))))))))))))</f>
        <v>-334.70100000000002</v>
      </c>
      <c r="AB104" s="17">
        <f>IF($A104,$J104*(IF(R104=regle!$B$11,regle!$B$23*IF(AK104=-2,1+regle!$B$35,1),
IF(R104=regle!$C$11,regle!$C$23,
IF(R104=regle!$D$11,regle!$D$23,
IF(R104=regle!$E$11,regle!$E$23,
IF(R104=regle!$F$11,regle!$F$23,
IF(R104=regle!$G$11,regle!$G$23,
IF(R104=regle!$H$11,regle!$H$23,
IF(R104=regle!$I$11,regle!$I$23,
IF(R104=regle!$J$11,regle!$J$23,
IF(R104=regle!$K$11,regle!$K$23,0))))))))))))</f>
        <v>0</v>
      </c>
      <c r="AC104" s="17">
        <f>IF($A104,$J104*(IF(S104=regle!$B$11,regle!$B$23*IF(AL104=-2,1+regle!$B$35,1),
IF(S104=regle!$C$11,regle!$C$23,
IF(S104=regle!$D$11,regle!$D$23,
IF(S104=regle!$E$11,regle!$E$23,
IF(S104=regle!$F$11,regle!$F$23,
IF(S104=regle!$G$11,regle!$G$23,
IF(S104=regle!$H$11,regle!$H$23,
IF(S104=regle!$I$11,regle!$I$23,
IF(S104=regle!$J$11,regle!$J$23,
IF(S104=regle!$K$11,regle!$K$23,0))))))))))))</f>
        <v>-334.70100000000002</v>
      </c>
      <c r="AD104" s="17">
        <f>IF($A104,$J104*(IF(T104=regle!$B$11,regle!$B$23*IF(AM104=-2,1+regle!$B$35,1),
IF(T104=regle!$C$11,regle!$C$23,
IF(T104=regle!$D$11,regle!$D$23,
IF(T104=regle!$E$11,regle!$E$23,
IF(T104=regle!$F$11,regle!$F$23,
IF(T104=regle!$G$11,regle!$G$23,
IF(T104=regle!$H$11,regle!$H$23,
IF(T104=regle!$I$11,regle!$I$23,
IF(T104=regle!$J$11,regle!$J$23,
IF(T104=regle!$K$11,regle!$K$23,0))))))))))))</f>
        <v>0</v>
      </c>
      <c r="AE104" s="17">
        <f>IF($A104,$J104*(IF(U104=regle!$B$11,regle!$B$23*IF(AN104=-2,1+regle!$B$35,1),
IF(U104=regle!$C$11,regle!$C$23,
IF(U104=regle!$D$11,regle!$D$23,
IF(U104=regle!$E$11,regle!$E$23,
IF(U104=regle!$F$11,regle!$F$23,
IF(U104=regle!$G$11,regle!$G$23,
IF(U104=regle!$H$11,regle!$H$23,
IF(U104=regle!$I$11,regle!$I$23,
IF(U104=regle!$J$11,regle!$J$23,
IF(U104=regle!$K$11,regle!$K$23,0))))))))))))</f>
        <v>0</v>
      </c>
      <c r="AF104" s="17">
        <f>IF($A104,$J104*(IF(V104=regle!$B$11,regle!$B$23*IF(AO104=-2,1+regle!$B$35,1),
IF(V104=regle!$C$11,regle!$C$23,
IF(V104=regle!$D$11,regle!$D$23,
IF(V104=regle!$E$11,regle!$E$23,
IF(V104=regle!$F$11,regle!$F$23,
IF(V104=regle!$G$11,regle!$G$23,
IF(V104=regle!$H$11,regle!$H$23,
IF(V104=regle!$I$11,regle!$I$23,
IF(V104=regle!$J$11,regle!$J$23,
IF(V104=regle!$K$11,regle!$K$23,0))))))))))))</f>
        <v>0</v>
      </c>
      <c r="AG104" s="17">
        <f>IF($A104,$J104*(IF(W104=regle!$B$11,regle!$B$23*IF(AP104=-2,1+regle!$B$35,1),
IF(W104=regle!$C$11,regle!$C$23,
IF(W104=regle!$D$11,regle!$D$23,
IF(W104=regle!$E$11,regle!$E$23,
IF(W104=regle!$F$11,regle!$F$23,
IF(W104=regle!$G$11,regle!$G$23,
IF(W104=regle!$H$11,regle!$H$23,
IF(W104=regle!$I$11,regle!$I$23,
IF(W104=regle!$J$11,regle!$J$23,
IF(W104=regle!$K$11,regle!$K$23,0))))))))))))</f>
        <v>0</v>
      </c>
      <c r="AH104" s="17">
        <f>IF($A104,$J104*(IF(X104=regle!$B$11,regle!$B$23*IF(AQ104=-2,1+regle!$B$35,1),
IF(X104=regle!$C$11,regle!$C$23,
IF(X104=regle!$D$11,regle!$D$23,
IF(X104=regle!$E$11,regle!$E$23,
IF(X104=regle!$F$11,regle!$F$23,
IF(X104=regle!$G$11,regle!$G$23,
IF(X104=regle!$H$11,regle!$H$23,
IF(X104=regle!$I$11,regle!$I$23,
IF(X104=regle!$J$11,regle!$J$23,
IF(X104=regle!$K$11,regle!$K$23,0))))))))))))</f>
        <v>2142.0864000000001</v>
      </c>
      <c r="AI104" s="17">
        <f>IF($A104,$J104*(IF(Y104=regle!$B$11,regle!$B$23*IF(AR104=-2,1+regle!$B$35,1),
IF(Y104=regle!$C$11,regle!$C$23,
IF(Y104=regle!$D$11,regle!$D$23,
IF(Y104=regle!$E$11,regle!$E$23,
IF(Y104=regle!$F$11,regle!$F$23,
IF(Y104=regle!$G$11,regle!$G$23,
IF(Y104=regle!$H$11,regle!$H$23,
IF(Y104=regle!$I$11,regle!$I$23,
IF(Y104=regle!$J$11,regle!$J$23,
IF(Y104=regle!$K$11,regle!$K$23,0))))))))))))</f>
        <v>0</v>
      </c>
      <c r="AJ104" s="17">
        <f>IF($A104,$J104*(IF(Z104=regle!$B$11,regle!$B$23*IF(AS104=-2,1+regle!$B$35,1),
IF(Z104=regle!$C$11,regle!$C$23,
IF(Z104=regle!$D$11,regle!$D$23,
IF(Z104=regle!$E$11,regle!$E$23,
IF(Z104=regle!$F$11,regle!$F$23,
IF(Z104=regle!$G$11,regle!$G$23,
IF(Z104=regle!$H$11,regle!$H$23,
IF(Z104=regle!$I$11,regle!$I$23,
IF(Z104=regle!$J$11,regle!$J$23,
IF(Z104=regle!$K$11,regle!$K$23,0))))))))))))</f>
        <v>0</v>
      </c>
      <c r="AK104" s="16">
        <f>IF(OR(Q104=regle!$J$11,Q104=regle!$K$11),-2,IF(Q104=regle!$B$11,0,IF(AK$1=$AK$1,IF($O104,-1,regle!$B$2-$M104),IF(AJ104=-1,-1,AJ104+1))))</f>
        <v>5</v>
      </c>
      <c r="AL104" s="16">
        <f>IF(OR(R104=regle!$J$11,R104=regle!$K$11),-2,IF(R104=regle!$B$11,0,IF(AL$1=$AK$1,IF($O104,-1,regle!$B$2-$M104),IF(AK104=-1,-1,AK104+1))))</f>
        <v>6</v>
      </c>
      <c r="AM104" s="16">
        <f>IF(OR(S104=regle!$J$11,S104=regle!$K$11),-2,IF(S104=regle!$B$11,0,IF(AM$1=$AK$1,IF($O104,-1,regle!$B$2-$M104),IF(AL104=-1,-1,AL104+1))))</f>
        <v>7</v>
      </c>
      <c r="AN104" s="16">
        <f>IF(OR(T104=regle!$J$11,T104=regle!$K$11),-2,IF(T104=regle!$B$11,0,IF(AN$1=$AK$1,IF($O104,-1,regle!$B$2-$M104),IF(AM104=-1,-1,AM104+1))))</f>
        <v>8</v>
      </c>
      <c r="AO104" s="16">
        <f>IF(OR(U104=regle!$J$11,U104=regle!$K$11),-2,IF(U104=regle!$B$11,0,IF(AO$1=$AK$1,IF($O104,-1,regle!$B$2-$M104),IF(AN104=-1,-1,AN104+1))))</f>
        <v>9</v>
      </c>
      <c r="AP104" s="16">
        <f>IF(OR(V104=regle!$J$11,V104=regle!$K$11),-2,IF(V104=regle!$B$11,0,IF(AP$1=$AK$1,IF($O104,-1,regle!$B$2-$M104),IF(AO104=-1,-1,AO104+1))))</f>
        <v>10</v>
      </c>
      <c r="AQ104" s="16">
        <f>IF(OR(W104=regle!$J$11,W104=regle!$K$11),-2,IF(W104=regle!$B$11,0,IF(AQ$1=$AK$1,IF($O104,-1,regle!$B$2-$M104),IF(AP104=-1,-1,AP104+1))))</f>
        <v>11</v>
      </c>
      <c r="AR104" s="16">
        <f>IF(OR(X104=regle!$J$11,X104=regle!$K$11),-2,IF(X104=regle!$B$11,0,IF(AR$1=$AK$1,IF($O104,-1,regle!$B$2-$M104),IF(AQ104=-1,-1,AQ104+1))))</f>
        <v>12</v>
      </c>
      <c r="AS104" s="16">
        <f>IF(OR(Y104=regle!$J$11,Y104=regle!$K$11),-2,IF(Y104=regle!$B$11,0,IF(AS$1=$AK$1,IF($O104,-1,regle!$B$2-$M104),IF(AR104=-1,-1,AR104+1))))</f>
        <v>13</v>
      </c>
      <c r="AT104" s="16">
        <f>IF(OR(Z104=regle!$J$11,Z104=regle!$K$11),-2,IF(Z104=regle!$B$11,0,IF(AT$1=$AK$1,IF($O104,-1,regle!$B$2-$M104),IF(AS104=-1,-1,AS104+1))))</f>
        <v>14</v>
      </c>
    </row>
    <row r="105" spans="1:46" x14ac:dyDescent="0.25">
      <c r="A105" t="b">
        <f>modif1!A105</f>
        <v>1</v>
      </c>
      <c r="B105">
        <f>ROW(modif1!B105)</f>
        <v>105</v>
      </c>
      <c r="C105" t="str">
        <f>modif1!C108</f>
        <v>202</v>
      </c>
      <c r="D105" t="str">
        <f>modif1!D105</f>
        <v>HOSTENS</v>
      </c>
      <c r="E105">
        <f>modif1!E105</f>
        <v>11</v>
      </c>
      <c r="F105" t="str">
        <f>modif1!F105</f>
        <v>LES CAZALAS</v>
      </c>
      <c r="G105" t="str">
        <f>modif1!G105</f>
        <v>0B</v>
      </c>
      <c r="H105">
        <f>modif1!H105</f>
        <v>1151</v>
      </c>
      <c r="I105" t="str">
        <f>modif1!I105</f>
        <v/>
      </c>
      <c r="J105" s="11">
        <f>modif1!J105</f>
        <v>3.2465000000000002</v>
      </c>
      <c r="K105" t="str">
        <f>modif1!K105</f>
        <v>PLA</v>
      </c>
      <c r="L105" t="str">
        <f>modif1!L105</f>
        <v>PM</v>
      </c>
      <c r="M105">
        <f>modif1!M105</f>
        <v>2019</v>
      </c>
      <c r="N105" t="str">
        <f>modif1!N105</f>
        <v>PLA-PM_2019</v>
      </c>
      <c r="O105" t="b">
        <f>modif1!O105</f>
        <v>0</v>
      </c>
      <c r="P105">
        <v>40</v>
      </c>
      <c r="Q105" t="s">
        <v>1870</v>
      </c>
      <c r="S105" t="s">
        <v>1871</v>
      </c>
      <c r="X105" t="s">
        <v>1803</v>
      </c>
      <c r="Z105"/>
      <c r="AA105" s="17">
        <f>IF($A105,$J105*(IF(Q105=regle!$B$11,regle!$B$23*IF(AJ105=-2,1+regle!$B$35,1),
IF(Q105=regle!$C$11,regle!$C$23,
IF(Q105=regle!$D$11,regle!$D$23,
IF(Q105=regle!$E$11,regle!$E$23,
IF(Q105=regle!$F$11,regle!$F$23,
IF(Q105=regle!$G$11,regle!$G$23,
IF(Q105=regle!$H$11,regle!$H$23,
IF(Q105=regle!$I$11,regle!$I$23,
IF(Q105=regle!$J$11,regle!$J$23,
IF(Q105=regle!$K$11,regle!$K$23,0))))))))))))</f>
        <v>-292.185</v>
      </c>
      <c r="AB105" s="17">
        <f>IF($A105,$J105*(IF(R105=regle!$B$11,regle!$B$23*IF(AK105=-2,1+regle!$B$35,1),
IF(R105=regle!$C$11,regle!$C$23,
IF(R105=regle!$D$11,regle!$D$23,
IF(R105=regle!$E$11,regle!$E$23,
IF(R105=regle!$F$11,regle!$F$23,
IF(R105=regle!$G$11,regle!$G$23,
IF(R105=regle!$H$11,regle!$H$23,
IF(R105=regle!$I$11,regle!$I$23,
IF(R105=regle!$J$11,regle!$J$23,
IF(R105=regle!$K$11,regle!$K$23,0))))))))))))</f>
        <v>0</v>
      </c>
      <c r="AC105" s="17">
        <f>IF($A105,$J105*(IF(S105=regle!$B$11,regle!$B$23*IF(AL105=-2,1+regle!$B$35,1),
IF(S105=regle!$C$11,regle!$C$23,
IF(S105=regle!$D$11,regle!$D$23,
IF(S105=regle!$E$11,regle!$E$23,
IF(S105=regle!$F$11,regle!$F$23,
IF(S105=regle!$G$11,regle!$G$23,
IF(S105=regle!$H$11,regle!$H$23,
IF(S105=regle!$I$11,regle!$I$23,
IF(S105=regle!$J$11,regle!$J$23,
IF(S105=regle!$K$11,regle!$K$23,0))))))))))))</f>
        <v>-292.185</v>
      </c>
      <c r="AD105" s="17">
        <f>IF($A105,$J105*(IF(T105=regle!$B$11,regle!$B$23*IF(AM105=-2,1+regle!$B$35,1),
IF(T105=regle!$C$11,regle!$C$23,
IF(T105=regle!$D$11,regle!$D$23,
IF(T105=regle!$E$11,regle!$E$23,
IF(T105=regle!$F$11,regle!$F$23,
IF(T105=regle!$G$11,regle!$G$23,
IF(T105=regle!$H$11,regle!$H$23,
IF(T105=regle!$I$11,regle!$I$23,
IF(T105=regle!$J$11,regle!$J$23,
IF(T105=regle!$K$11,regle!$K$23,0))))))))))))</f>
        <v>0</v>
      </c>
      <c r="AE105" s="17">
        <f>IF($A105,$J105*(IF(U105=regle!$B$11,regle!$B$23*IF(AN105=-2,1+regle!$B$35,1),
IF(U105=regle!$C$11,regle!$C$23,
IF(U105=regle!$D$11,regle!$D$23,
IF(U105=regle!$E$11,regle!$E$23,
IF(U105=regle!$F$11,regle!$F$23,
IF(U105=regle!$G$11,regle!$G$23,
IF(U105=regle!$H$11,regle!$H$23,
IF(U105=regle!$I$11,regle!$I$23,
IF(U105=regle!$J$11,regle!$J$23,
IF(U105=regle!$K$11,regle!$K$23,0))))))))))))</f>
        <v>0</v>
      </c>
      <c r="AF105" s="17">
        <f>IF($A105,$J105*(IF(V105=regle!$B$11,regle!$B$23*IF(AO105=-2,1+regle!$B$35,1),
IF(V105=regle!$C$11,regle!$C$23,
IF(V105=regle!$D$11,regle!$D$23,
IF(V105=regle!$E$11,regle!$E$23,
IF(V105=regle!$F$11,regle!$F$23,
IF(V105=regle!$G$11,regle!$G$23,
IF(V105=regle!$H$11,regle!$H$23,
IF(V105=regle!$I$11,regle!$I$23,
IF(V105=regle!$J$11,regle!$J$23,
IF(V105=regle!$K$11,regle!$K$23,0))))))))))))</f>
        <v>0</v>
      </c>
      <c r="AG105" s="17">
        <f>IF($A105,$J105*(IF(W105=regle!$B$11,regle!$B$23*IF(AP105=-2,1+regle!$B$35,1),
IF(W105=regle!$C$11,regle!$C$23,
IF(W105=regle!$D$11,regle!$D$23,
IF(W105=regle!$E$11,regle!$E$23,
IF(W105=regle!$F$11,regle!$F$23,
IF(W105=regle!$G$11,regle!$G$23,
IF(W105=regle!$H$11,regle!$H$23,
IF(W105=regle!$I$11,regle!$I$23,
IF(W105=regle!$J$11,regle!$J$23,
IF(W105=regle!$K$11,regle!$K$23,0))))))))))))</f>
        <v>0</v>
      </c>
      <c r="AH105" s="17">
        <f>IF($A105,$J105*(IF(X105=regle!$B$11,regle!$B$23*IF(AQ105=-2,1+regle!$B$35,1),
IF(X105=regle!$C$11,regle!$C$23,
IF(X105=regle!$D$11,regle!$D$23,
IF(X105=regle!$E$11,regle!$E$23,
IF(X105=regle!$F$11,regle!$F$23,
IF(X105=regle!$G$11,regle!$G$23,
IF(X105=regle!$H$11,regle!$H$23,
IF(X105=regle!$I$11,regle!$I$23,
IF(X105=regle!$J$11,regle!$J$23,
IF(X105=regle!$K$11,regle!$K$23,0))))))))))))</f>
        <v>1869.9840000000002</v>
      </c>
      <c r="AI105" s="17">
        <f>IF($A105,$J105*(IF(Y105=regle!$B$11,regle!$B$23*IF(AR105=-2,1+regle!$B$35,1),
IF(Y105=regle!$C$11,regle!$C$23,
IF(Y105=regle!$D$11,regle!$D$23,
IF(Y105=regle!$E$11,regle!$E$23,
IF(Y105=regle!$F$11,regle!$F$23,
IF(Y105=regle!$G$11,regle!$G$23,
IF(Y105=regle!$H$11,regle!$H$23,
IF(Y105=regle!$I$11,regle!$I$23,
IF(Y105=regle!$J$11,regle!$J$23,
IF(Y105=regle!$K$11,regle!$K$23,0))))))))))))</f>
        <v>0</v>
      </c>
      <c r="AJ105" s="17">
        <f>IF($A105,$J105*(IF(Z105=regle!$B$11,regle!$B$23*IF(AS105=-2,1+regle!$B$35,1),
IF(Z105=regle!$C$11,regle!$C$23,
IF(Z105=regle!$D$11,regle!$D$23,
IF(Z105=regle!$E$11,regle!$E$23,
IF(Z105=regle!$F$11,regle!$F$23,
IF(Z105=regle!$G$11,regle!$G$23,
IF(Z105=regle!$H$11,regle!$H$23,
IF(Z105=regle!$I$11,regle!$I$23,
IF(Z105=regle!$J$11,regle!$J$23,
IF(Z105=regle!$K$11,regle!$K$23,0))))))))))))</f>
        <v>0</v>
      </c>
      <c r="AK105" s="16">
        <f>IF(OR(Q105=regle!$J$11,Q105=regle!$K$11),-2,IF(Q105=regle!$B$11,0,IF(AK$1=$AK$1,IF($O105,-1,regle!$B$2-$M105),IF(AJ105=-1,-1,AJ105+1))))</f>
        <v>5</v>
      </c>
      <c r="AL105" s="16">
        <f>IF(OR(R105=regle!$J$11,R105=regle!$K$11),-2,IF(R105=regle!$B$11,0,IF(AL$1=$AK$1,IF($O105,-1,regle!$B$2-$M105),IF(AK105=-1,-1,AK105+1))))</f>
        <v>6</v>
      </c>
      <c r="AM105" s="16">
        <f>IF(OR(S105=regle!$J$11,S105=regle!$K$11),-2,IF(S105=regle!$B$11,0,IF(AM$1=$AK$1,IF($O105,-1,regle!$B$2-$M105),IF(AL105=-1,-1,AL105+1))))</f>
        <v>7</v>
      </c>
      <c r="AN105" s="16">
        <f>IF(OR(T105=regle!$J$11,T105=regle!$K$11),-2,IF(T105=regle!$B$11,0,IF(AN$1=$AK$1,IF($O105,-1,regle!$B$2-$M105),IF(AM105=-1,-1,AM105+1))))</f>
        <v>8</v>
      </c>
      <c r="AO105" s="16">
        <f>IF(OR(U105=regle!$J$11,U105=regle!$K$11),-2,IF(U105=regle!$B$11,0,IF(AO$1=$AK$1,IF($O105,-1,regle!$B$2-$M105),IF(AN105=-1,-1,AN105+1))))</f>
        <v>9</v>
      </c>
      <c r="AP105" s="16">
        <f>IF(OR(V105=regle!$J$11,V105=regle!$K$11),-2,IF(V105=regle!$B$11,0,IF(AP$1=$AK$1,IF($O105,-1,regle!$B$2-$M105),IF(AO105=-1,-1,AO105+1))))</f>
        <v>10</v>
      </c>
      <c r="AQ105" s="16">
        <f>IF(OR(W105=regle!$J$11,W105=regle!$K$11),-2,IF(W105=regle!$B$11,0,IF(AQ$1=$AK$1,IF($O105,-1,regle!$B$2-$M105),IF(AP105=-1,-1,AP105+1))))</f>
        <v>11</v>
      </c>
      <c r="AR105" s="16">
        <f>IF(OR(X105=regle!$J$11,X105=regle!$K$11),-2,IF(X105=regle!$B$11,0,IF(AR$1=$AK$1,IF($O105,-1,regle!$B$2-$M105),IF(AQ105=-1,-1,AQ105+1))))</f>
        <v>12</v>
      </c>
      <c r="AS105" s="16">
        <f>IF(OR(Y105=regle!$J$11,Y105=regle!$K$11),-2,IF(Y105=regle!$B$11,0,IF(AS$1=$AK$1,IF($O105,-1,regle!$B$2-$M105),IF(AR105=-1,-1,AR105+1))))</f>
        <v>13</v>
      </c>
      <c r="AT105" s="16">
        <f>IF(OR(Z105=regle!$J$11,Z105=regle!$K$11),-2,IF(Z105=regle!$B$11,0,IF(AT$1=$AK$1,IF($O105,-1,regle!$B$2-$M105),IF(AS105=-1,-1,AS105+1))))</f>
        <v>14</v>
      </c>
    </row>
    <row r="106" spans="1:46" x14ac:dyDescent="0.25">
      <c r="A106" t="b">
        <f>modif1!A106</f>
        <v>1</v>
      </c>
      <c r="B106">
        <f>ROW(modif1!B106)</f>
        <v>106</v>
      </c>
      <c r="C106" t="str">
        <f>modif1!C109</f>
        <v>077</v>
      </c>
      <c r="D106" t="str">
        <f>modif1!D106</f>
        <v>CABANAC-ET-VILLAGRAINS</v>
      </c>
      <c r="E106">
        <f>modif1!E106</f>
        <v>12</v>
      </c>
      <c r="F106" t="str">
        <f>modif1!F106</f>
        <v>LES JEANNOTS</v>
      </c>
      <c r="G106" t="str">
        <f>modif1!G106</f>
        <v>0D</v>
      </c>
      <c r="H106">
        <f>modif1!H106</f>
        <v>2295</v>
      </c>
      <c r="I106" t="str">
        <f>modif1!I106</f>
        <v>j</v>
      </c>
      <c r="J106" s="11">
        <f>modif1!J106</f>
        <v>3.1981000000000002</v>
      </c>
      <c r="K106" t="str">
        <f>modif1!K106</f>
        <v>PLA</v>
      </c>
      <c r="L106" t="str">
        <f>modif1!L106</f>
        <v>PM</v>
      </c>
      <c r="M106">
        <f>modif1!M106</f>
        <v>2019</v>
      </c>
      <c r="N106" t="str">
        <f>modif1!N106</f>
        <v>PLA-PM_2019</v>
      </c>
      <c r="O106" t="b">
        <f>modif1!O106</f>
        <v>0</v>
      </c>
      <c r="P106">
        <v>40</v>
      </c>
      <c r="Q106" t="s">
        <v>1870</v>
      </c>
      <c r="S106" t="s">
        <v>1871</v>
      </c>
      <c r="X106" t="s">
        <v>1803</v>
      </c>
      <c r="Z106"/>
      <c r="AA106" s="17">
        <f>IF($A106,$J106*(IF(Q106=regle!$B$11,regle!$B$23*IF(AJ106=-2,1+regle!$B$35,1),
IF(Q106=regle!$C$11,regle!$C$23,
IF(Q106=regle!$D$11,regle!$D$23,
IF(Q106=regle!$E$11,regle!$E$23,
IF(Q106=regle!$F$11,regle!$F$23,
IF(Q106=regle!$G$11,regle!$G$23,
IF(Q106=regle!$H$11,regle!$H$23,
IF(Q106=regle!$I$11,regle!$I$23,
IF(Q106=regle!$J$11,regle!$J$23,
IF(Q106=regle!$K$11,regle!$K$23,0))))))))))))</f>
        <v>-287.82900000000001</v>
      </c>
      <c r="AB106" s="17">
        <f>IF($A106,$J106*(IF(R106=regle!$B$11,regle!$B$23*IF(AK106=-2,1+regle!$B$35,1),
IF(R106=regle!$C$11,regle!$C$23,
IF(R106=regle!$D$11,regle!$D$23,
IF(R106=regle!$E$11,regle!$E$23,
IF(R106=regle!$F$11,regle!$F$23,
IF(R106=regle!$G$11,regle!$G$23,
IF(R106=regle!$H$11,regle!$H$23,
IF(R106=regle!$I$11,regle!$I$23,
IF(R106=regle!$J$11,regle!$J$23,
IF(R106=regle!$K$11,regle!$K$23,0))))))))))))</f>
        <v>0</v>
      </c>
      <c r="AC106" s="17">
        <f>IF($A106,$J106*(IF(S106=regle!$B$11,regle!$B$23*IF(AL106=-2,1+regle!$B$35,1),
IF(S106=regle!$C$11,regle!$C$23,
IF(S106=regle!$D$11,regle!$D$23,
IF(S106=regle!$E$11,regle!$E$23,
IF(S106=regle!$F$11,regle!$F$23,
IF(S106=regle!$G$11,regle!$G$23,
IF(S106=regle!$H$11,regle!$H$23,
IF(S106=regle!$I$11,regle!$I$23,
IF(S106=regle!$J$11,regle!$J$23,
IF(S106=regle!$K$11,regle!$K$23,0))))))))))))</f>
        <v>-287.82900000000001</v>
      </c>
      <c r="AD106" s="17">
        <f>IF($A106,$J106*(IF(T106=regle!$B$11,regle!$B$23*IF(AM106=-2,1+regle!$B$35,1),
IF(T106=regle!$C$11,regle!$C$23,
IF(T106=regle!$D$11,regle!$D$23,
IF(T106=regle!$E$11,regle!$E$23,
IF(T106=regle!$F$11,regle!$F$23,
IF(T106=regle!$G$11,regle!$G$23,
IF(T106=regle!$H$11,regle!$H$23,
IF(T106=regle!$I$11,regle!$I$23,
IF(T106=regle!$J$11,regle!$J$23,
IF(T106=regle!$K$11,regle!$K$23,0))))))))))))</f>
        <v>0</v>
      </c>
      <c r="AE106" s="17">
        <f>IF($A106,$J106*(IF(U106=regle!$B$11,regle!$B$23*IF(AN106=-2,1+regle!$B$35,1),
IF(U106=regle!$C$11,regle!$C$23,
IF(U106=regle!$D$11,regle!$D$23,
IF(U106=regle!$E$11,regle!$E$23,
IF(U106=regle!$F$11,regle!$F$23,
IF(U106=regle!$G$11,regle!$G$23,
IF(U106=regle!$H$11,regle!$H$23,
IF(U106=regle!$I$11,regle!$I$23,
IF(U106=regle!$J$11,regle!$J$23,
IF(U106=regle!$K$11,regle!$K$23,0))))))))))))</f>
        <v>0</v>
      </c>
      <c r="AF106" s="17">
        <f>IF($A106,$J106*(IF(V106=regle!$B$11,regle!$B$23*IF(AO106=-2,1+regle!$B$35,1),
IF(V106=regle!$C$11,regle!$C$23,
IF(V106=regle!$D$11,regle!$D$23,
IF(V106=regle!$E$11,regle!$E$23,
IF(V106=regle!$F$11,regle!$F$23,
IF(V106=regle!$G$11,regle!$G$23,
IF(V106=regle!$H$11,regle!$H$23,
IF(V106=regle!$I$11,regle!$I$23,
IF(V106=regle!$J$11,regle!$J$23,
IF(V106=regle!$K$11,regle!$K$23,0))))))))))))</f>
        <v>0</v>
      </c>
      <c r="AG106" s="17">
        <f>IF($A106,$J106*(IF(W106=regle!$B$11,regle!$B$23*IF(AP106=-2,1+regle!$B$35,1),
IF(W106=regle!$C$11,regle!$C$23,
IF(W106=regle!$D$11,regle!$D$23,
IF(W106=regle!$E$11,regle!$E$23,
IF(W106=regle!$F$11,regle!$F$23,
IF(W106=regle!$G$11,regle!$G$23,
IF(W106=regle!$H$11,regle!$H$23,
IF(W106=regle!$I$11,regle!$I$23,
IF(W106=regle!$J$11,regle!$J$23,
IF(W106=regle!$K$11,regle!$K$23,0))))))))))))</f>
        <v>0</v>
      </c>
      <c r="AH106" s="17">
        <f>IF($A106,$J106*(IF(X106=regle!$B$11,regle!$B$23*IF(AQ106=-2,1+regle!$B$35,1),
IF(X106=regle!$C$11,regle!$C$23,
IF(X106=regle!$D$11,regle!$D$23,
IF(X106=regle!$E$11,regle!$E$23,
IF(X106=regle!$F$11,regle!$F$23,
IF(X106=regle!$G$11,regle!$G$23,
IF(X106=regle!$H$11,regle!$H$23,
IF(X106=regle!$I$11,regle!$I$23,
IF(X106=regle!$J$11,regle!$J$23,
IF(X106=regle!$K$11,regle!$K$23,0))))))))))))</f>
        <v>1842.1056000000001</v>
      </c>
      <c r="AI106" s="17">
        <f>IF($A106,$J106*(IF(Y106=regle!$B$11,regle!$B$23*IF(AR106=-2,1+regle!$B$35,1),
IF(Y106=regle!$C$11,regle!$C$23,
IF(Y106=regle!$D$11,regle!$D$23,
IF(Y106=regle!$E$11,regle!$E$23,
IF(Y106=regle!$F$11,regle!$F$23,
IF(Y106=regle!$G$11,regle!$G$23,
IF(Y106=regle!$H$11,regle!$H$23,
IF(Y106=regle!$I$11,regle!$I$23,
IF(Y106=regle!$J$11,regle!$J$23,
IF(Y106=regle!$K$11,regle!$K$23,0))))))))))))</f>
        <v>0</v>
      </c>
      <c r="AJ106" s="17">
        <f>IF($A106,$J106*(IF(Z106=regle!$B$11,regle!$B$23*IF(AS106=-2,1+regle!$B$35,1),
IF(Z106=regle!$C$11,regle!$C$23,
IF(Z106=regle!$D$11,regle!$D$23,
IF(Z106=regle!$E$11,regle!$E$23,
IF(Z106=regle!$F$11,regle!$F$23,
IF(Z106=regle!$G$11,regle!$G$23,
IF(Z106=regle!$H$11,regle!$H$23,
IF(Z106=regle!$I$11,regle!$I$23,
IF(Z106=regle!$J$11,regle!$J$23,
IF(Z106=regle!$K$11,regle!$K$23,0))))))))))))</f>
        <v>0</v>
      </c>
      <c r="AK106" s="16">
        <f>IF(OR(Q106=regle!$J$11,Q106=regle!$K$11),-2,IF(Q106=regle!$B$11,0,IF(AK$1=$AK$1,IF($O106,-1,regle!$B$2-$M106),IF(AJ106=-1,-1,AJ106+1))))</f>
        <v>5</v>
      </c>
      <c r="AL106" s="16">
        <f>IF(OR(R106=regle!$J$11,R106=regle!$K$11),-2,IF(R106=regle!$B$11,0,IF(AL$1=$AK$1,IF($O106,-1,regle!$B$2-$M106),IF(AK106=-1,-1,AK106+1))))</f>
        <v>6</v>
      </c>
      <c r="AM106" s="16">
        <f>IF(OR(S106=regle!$J$11,S106=regle!$K$11),-2,IF(S106=regle!$B$11,0,IF(AM$1=$AK$1,IF($O106,-1,regle!$B$2-$M106),IF(AL106=-1,-1,AL106+1))))</f>
        <v>7</v>
      </c>
      <c r="AN106" s="16">
        <f>IF(OR(T106=regle!$J$11,T106=regle!$K$11),-2,IF(T106=regle!$B$11,0,IF(AN$1=$AK$1,IF($O106,-1,regle!$B$2-$M106),IF(AM106=-1,-1,AM106+1))))</f>
        <v>8</v>
      </c>
      <c r="AO106" s="16">
        <f>IF(OR(U106=regle!$J$11,U106=regle!$K$11),-2,IF(U106=regle!$B$11,0,IF(AO$1=$AK$1,IF($O106,-1,regle!$B$2-$M106),IF(AN106=-1,-1,AN106+1))))</f>
        <v>9</v>
      </c>
      <c r="AP106" s="16">
        <f>IF(OR(V106=regle!$J$11,V106=regle!$K$11),-2,IF(V106=regle!$B$11,0,IF(AP$1=$AK$1,IF($O106,-1,regle!$B$2-$M106),IF(AO106=-1,-1,AO106+1))))</f>
        <v>10</v>
      </c>
      <c r="AQ106" s="16">
        <f>IF(OR(W106=regle!$J$11,W106=regle!$K$11),-2,IF(W106=regle!$B$11,0,IF(AQ$1=$AK$1,IF($O106,-1,regle!$B$2-$M106),IF(AP106=-1,-1,AP106+1))))</f>
        <v>11</v>
      </c>
      <c r="AR106" s="16">
        <f>IF(OR(X106=regle!$J$11,X106=regle!$K$11),-2,IF(X106=regle!$B$11,0,IF(AR$1=$AK$1,IF($O106,-1,regle!$B$2-$M106),IF(AQ106=-1,-1,AQ106+1))))</f>
        <v>12</v>
      </c>
      <c r="AS106" s="16">
        <f>IF(OR(Y106=regle!$J$11,Y106=regle!$K$11),-2,IF(Y106=regle!$B$11,0,IF(AS$1=$AK$1,IF($O106,-1,regle!$B$2-$M106),IF(AR106=-1,-1,AR106+1))))</f>
        <v>13</v>
      </c>
      <c r="AT106" s="16">
        <f>IF(OR(Z106=regle!$J$11,Z106=regle!$K$11),-2,IF(Z106=regle!$B$11,0,IF(AT$1=$AK$1,IF($O106,-1,regle!$B$2-$M106),IF(AS106=-1,-1,AS106+1))))</f>
        <v>14</v>
      </c>
    </row>
    <row r="107" spans="1:46" x14ac:dyDescent="0.25">
      <c r="A107" t="b">
        <f>modif1!A107</f>
        <v>1</v>
      </c>
      <c r="B107">
        <f>ROW(modif1!B107)</f>
        <v>107</v>
      </c>
      <c r="C107" t="str">
        <f>modif1!C110</f>
        <v>202</v>
      </c>
      <c r="D107" t="str">
        <f>modif1!D107</f>
        <v>HOSTENS</v>
      </c>
      <c r="E107">
        <f>modif1!E107</f>
        <v>11</v>
      </c>
      <c r="F107" t="str">
        <f>modif1!F107</f>
        <v>LES CAZALAS</v>
      </c>
      <c r="G107" t="str">
        <f>modif1!G107</f>
        <v>0B</v>
      </c>
      <c r="H107">
        <f>modif1!H107</f>
        <v>1137</v>
      </c>
      <c r="I107" t="str">
        <f>modif1!I107</f>
        <v/>
      </c>
      <c r="J107" s="11">
        <f>modif1!J107</f>
        <v>1.95</v>
      </c>
      <c r="K107" t="str">
        <f>modif1!K107</f>
        <v>PLA</v>
      </c>
      <c r="L107" t="str">
        <f>modif1!L107</f>
        <v>PM</v>
      </c>
      <c r="M107">
        <f>modif1!M107</f>
        <v>2019</v>
      </c>
      <c r="N107" t="str">
        <f>modif1!N107</f>
        <v>PLA-PM_2019</v>
      </c>
      <c r="O107" t="b">
        <f>modif1!O107</f>
        <v>0</v>
      </c>
      <c r="P107">
        <v>40</v>
      </c>
      <c r="Q107" t="s">
        <v>1870</v>
      </c>
      <c r="S107" t="s">
        <v>1871</v>
      </c>
      <c r="X107" t="s">
        <v>1803</v>
      </c>
      <c r="Z107"/>
      <c r="AA107" s="17">
        <f>IF($A107,$J107*(IF(Q107=regle!$B$11,regle!$B$23*IF(AJ107=-2,1+regle!$B$35,1),
IF(Q107=regle!$C$11,regle!$C$23,
IF(Q107=regle!$D$11,regle!$D$23,
IF(Q107=regle!$E$11,regle!$E$23,
IF(Q107=regle!$F$11,regle!$F$23,
IF(Q107=regle!$G$11,regle!$G$23,
IF(Q107=regle!$H$11,regle!$H$23,
IF(Q107=regle!$I$11,regle!$I$23,
IF(Q107=regle!$J$11,regle!$J$23,
IF(Q107=regle!$K$11,regle!$K$23,0))))))))))))</f>
        <v>-175.5</v>
      </c>
      <c r="AB107" s="17">
        <f>IF($A107,$J107*(IF(R107=regle!$B$11,regle!$B$23*IF(AK107=-2,1+regle!$B$35,1),
IF(R107=regle!$C$11,regle!$C$23,
IF(R107=regle!$D$11,regle!$D$23,
IF(R107=regle!$E$11,regle!$E$23,
IF(R107=regle!$F$11,regle!$F$23,
IF(R107=regle!$G$11,regle!$G$23,
IF(R107=regle!$H$11,regle!$H$23,
IF(R107=regle!$I$11,regle!$I$23,
IF(R107=regle!$J$11,regle!$J$23,
IF(R107=regle!$K$11,regle!$K$23,0))))))))))))</f>
        <v>0</v>
      </c>
      <c r="AC107" s="17">
        <f>IF($A107,$J107*(IF(S107=regle!$B$11,regle!$B$23*IF(AL107=-2,1+regle!$B$35,1),
IF(S107=regle!$C$11,regle!$C$23,
IF(S107=regle!$D$11,regle!$D$23,
IF(S107=regle!$E$11,regle!$E$23,
IF(S107=regle!$F$11,regle!$F$23,
IF(S107=regle!$G$11,regle!$G$23,
IF(S107=regle!$H$11,regle!$H$23,
IF(S107=regle!$I$11,regle!$I$23,
IF(S107=regle!$J$11,regle!$J$23,
IF(S107=regle!$K$11,regle!$K$23,0))))))))))))</f>
        <v>-175.5</v>
      </c>
      <c r="AD107" s="17">
        <f>IF($A107,$J107*(IF(T107=regle!$B$11,regle!$B$23*IF(AM107=-2,1+regle!$B$35,1),
IF(T107=regle!$C$11,regle!$C$23,
IF(T107=regle!$D$11,regle!$D$23,
IF(T107=regle!$E$11,regle!$E$23,
IF(T107=regle!$F$11,regle!$F$23,
IF(T107=regle!$G$11,regle!$G$23,
IF(T107=regle!$H$11,regle!$H$23,
IF(T107=regle!$I$11,regle!$I$23,
IF(T107=regle!$J$11,regle!$J$23,
IF(T107=regle!$K$11,regle!$K$23,0))))))))))))</f>
        <v>0</v>
      </c>
      <c r="AE107" s="17">
        <f>IF($A107,$J107*(IF(U107=regle!$B$11,regle!$B$23*IF(AN107=-2,1+regle!$B$35,1),
IF(U107=regle!$C$11,regle!$C$23,
IF(U107=regle!$D$11,regle!$D$23,
IF(U107=regle!$E$11,regle!$E$23,
IF(U107=regle!$F$11,regle!$F$23,
IF(U107=regle!$G$11,regle!$G$23,
IF(U107=regle!$H$11,regle!$H$23,
IF(U107=regle!$I$11,regle!$I$23,
IF(U107=regle!$J$11,regle!$J$23,
IF(U107=regle!$K$11,regle!$K$23,0))))))))))))</f>
        <v>0</v>
      </c>
      <c r="AF107" s="17">
        <f>IF($A107,$J107*(IF(V107=regle!$B$11,regle!$B$23*IF(AO107=-2,1+regle!$B$35,1),
IF(V107=regle!$C$11,regle!$C$23,
IF(V107=regle!$D$11,regle!$D$23,
IF(V107=regle!$E$11,regle!$E$23,
IF(V107=regle!$F$11,regle!$F$23,
IF(V107=regle!$G$11,regle!$G$23,
IF(V107=regle!$H$11,regle!$H$23,
IF(V107=regle!$I$11,regle!$I$23,
IF(V107=regle!$J$11,regle!$J$23,
IF(V107=regle!$K$11,regle!$K$23,0))))))))))))</f>
        <v>0</v>
      </c>
      <c r="AG107" s="17">
        <f>IF($A107,$J107*(IF(W107=regle!$B$11,regle!$B$23*IF(AP107=-2,1+regle!$B$35,1),
IF(W107=regle!$C$11,regle!$C$23,
IF(W107=regle!$D$11,regle!$D$23,
IF(W107=regle!$E$11,regle!$E$23,
IF(W107=regle!$F$11,regle!$F$23,
IF(W107=regle!$G$11,regle!$G$23,
IF(W107=regle!$H$11,regle!$H$23,
IF(W107=regle!$I$11,regle!$I$23,
IF(W107=regle!$J$11,regle!$J$23,
IF(W107=regle!$K$11,regle!$K$23,0))))))))))))</f>
        <v>0</v>
      </c>
      <c r="AH107" s="17">
        <f>IF($A107,$J107*(IF(X107=regle!$B$11,regle!$B$23*IF(AQ107=-2,1+regle!$B$35,1),
IF(X107=regle!$C$11,regle!$C$23,
IF(X107=regle!$D$11,regle!$D$23,
IF(X107=regle!$E$11,regle!$E$23,
IF(X107=regle!$F$11,regle!$F$23,
IF(X107=regle!$G$11,regle!$G$23,
IF(X107=regle!$H$11,regle!$H$23,
IF(X107=regle!$I$11,regle!$I$23,
IF(X107=regle!$J$11,regle!$J$23,
IF(X107=regle!$K$11,regle!$K$23,0))))))))))))</f>
        <v>1123.2</v>
      </c>
      <c r="AI107" s="17">
        <f>IF($A107,$J107*(IF(Y107=regle!$B$11,regle!$B$23*IF(AR107=-2,1+regle!$B$35,1),
IF(Y107=regle!$C$11,regle!$C$23,
IF(Y107=regle!$D$11,regle!$D$23,
IF(Y107=regle!$E$11,regle!$E$23,
IF(Y107=regle!$F$11,regle!$F$23,
IF(Y107=regle!$G$11,regle!$G$23,
IF(Y107=regle!$H$11,regle!$H$23,
IF(Y107=regle!$I$11,regle!$I$23,
IF(Y107=regle!$J$11,regle!$J$23,
IF(Y107=regle!$K$11,regle!$K$23,0))))))))))))</f>
        <v>0</v>
      </c>
      <c r="AJ107" s="17">
        <f>IF($A107,$J107*(IF(Z107=regle!$B$11,regle!$B$23*IF(AS107=-2,1+regle!$B$35,1),
IF(Z107=regle!$C$11,regle!$C$23,
IF(Z107=regle!$D$11,regle!$D$23,
IF(Z107=regle!$E$11,regle!$E$23,
IF(Z107=regle!$F$11,regle!$F$23,
IF(Z107=regle!$G$11,regle!$G$23,
IF(Z107=regle!$H$11,regle!$H$23,
IF(Z107=regle!$I$11,regle!$I$23,
IF(Z107=regle!$J$11,regle!$J$23,
IF(Z107=regle!$K$11,regle!$K$23,0))))))))))))</f>
        <v>0</v>
      </c>
      <c r="AK107" s="16">
        <f>IF(OR(Q107=regle!$J$11,Q107=regle!$K$11),-2,IF(Q107=regle!$B$11,0,IF(AK$1=$AK$1,IF($O107,-1,regle!$B$2-$M107),IF(AJ107=-1,-1,AJ107+1))))</f>
        <v>5</v>
      </c>
      <c r="AL107" s="16">
        <f>IF(OR(R107=regle!$J$11,R107=regle!$K$11),-2,IF(R107=regle!$B$11,0,IF(AL$1=$AK$1,IF($O107,-1,regle!$B$2-$M107),IF(AK107=-1,-1,AK107+1))))</f>
        <v>6</v>
      </c>
      <c r="AM107" s="16">
        <f>IF(OR(S107=regle!$J$11,S107=regle!$K$11),-2,IF(S107=regle!$B$11,0,IF(AM$1=$AK$1,IF($O107,-1,regle!$B$2-$M107),IF(AL107=-1,-1,AL107+1))))</f>
        <v>7</v>
      </c>
      <c r="AN107" s="16">
        <f>IF(OR(T107=regle!$J$11,T107=regle!$K$11),-2,IF(T107=regle!$B$11,0,IF(AN$1=$AK$1,IF($O107,-1,regle!$B$2-$M107),IF(AM107=-1,-1,AM107+1))))</f>
        <v>8</v>
      </c>
      <c r="AO107" s="16">
        <f>IF(OR(U107=regle!$J$11,U107=regle!$K$11),-2,IF(U107=regle!$B$11,0,IF(AO$1=$AK$1,IF($O107,-1,regle!$B$2-$M107),IF(AN107=-1,-1,AN107+1))))</f>
        <v>9</v>
      </c>
      <c r="AP107" s="16">
        <f>IF(OR(V107=regle!$J$11,V107=regle!$K$11),-2,IF(V107=regle!$B$11,0,IF(AP$1=$AK$1,IF($O107,-1,regle!$B$2-$M107),IF(AO107=-1,-1,AO107+1))))</f>
        <v>10</v>
      </c>
      <c r="AQ107" s="16">
        <f>IF(OR(W107=regle!$J$11,W107=regle!$K$11),-2,IF(W107=regle!$B$11,0,IF(AQ$1=$AK$1,IF($O107,-1,regle!$B$2-$M107),IF(AP107=-1,-1,AP107+1))))</f>
        <v>11</v>
      </c>
      <c r="AR107" s="16">
        <f>IF(OR(X107=regle!$J$11,X107=regle!$K$11),-2,IF(X107=regle!$B$11,0,IF(AR$1=$AK$1,IF($O107,-1,regle!$B$2-$M107),IF(AQ107=-1,-1,AQ107+1))))</f>
        <v>12</v>
      </c>
      <c r="AS107" s="16">
        <f>IF(OR(Y107=regle!$J$11,Y107=regle!$K$11),-2,IF(Y107=regle!$B$11,0,IF(AS$1=$AK$1,IF($O107,-1,regle!$B$2-$M107),IF(AR107=-1,-1,AR107+1))))</f>
        <v>13</v>
      </c>
      <c r="AT107" s="16">
        <f>IF(OR(Z107=regle!$J$11,Z107=regle!$K$11),-2,IF(Z107=regle!$B$11,0,IF(AT$1=$AK$1,IF($O107,-1,regle!$B$2-$M107),IF(AS107=-1,-1,AS107+1))))</f>
        <v>14</v>
      </c>
    </row>
    <row r="108" spans="1:46" x14ac:dyDescent="0.25">
      <c r="A108" t="b">
        <f>modif1!A108</f>
        <v>1</v>
      </c>
      <c r="B108">
        <f>ROW(modif1!B108)</f>
        <v>108</v>
      </c>
      <c r="C108" t="str">
        <f>modif1!C111</f>
        <v>077</v>
      </c>
      <c r="D108" t="str">
        <f>modif1!D108</f>
        <v>HOSTENS</v>
      </c>
      <c r="E108">
        <f>modif1!E108</f>
        <v>11</v>
      </c>
      <c r="F108" t="str">
        <f>modif1!F108</f>
        <v>LES CAZALAS</v>
      </c>
      <c r="G108" t="str">
        <f>modif1!G108</f>
        <v>0B</v>
      </c>
      <c r="H108">
        <f>modif1!H108</f>
        <v>1152</v>
      </c>
      <c r="I108" t="str">
        <f>modif1!I108</f>
        <v>k</v>
      </c>
      <c r="J108" s="11">
        <f>modif1!J108</f>
        <v>1.2943</v>
      </c>
      <c r="K108" t="str">
        <f>modif1!K108</f>
        <v>PLA</v>
      </c>
      <c r="L108" t="str">
        <f>modif1!L108</f>
        <v>PM</v>
      </c>
      <c r="M108">
        <f>modif1!M108</f>
        <v>2019</v>
      </c>
      <c r="N108" t="str">
        <f>modif1!N108</f>
        <v>PLA-PM_2019</v>
      </c>
      <c r="O108" t="b">
        <f>modif1!O108</f>
        <v>0</v>
      </c>
      <c r="P108">
        <v>40</v>
      </c>
      <c r="Q108" t="s">
        <v>1870</v>
      </c>
      <c r="S108" t="s">
        <v>1871</v>
      </c>
      <c r="X108" t="s">
        <v>1803</v>
      </c>
      <c r="Z108"/>
      <c r="AA108" s="17">
        <f>IF($A108,$J108*(IF(Q108=regle!$B$11,regle!$B$23*IF(AJ108=-2,1+regle!$B$35,1),
IF(Q108=regle!$C$11,regle!$C$23,
IF(Q108=regle!$D$11,regle!$D$23,
IF(Q108=regle!$E$11,regle!$E$23,
IF(Q108=regle!$F$11,regle!$F$23,
IF(Q108=regle!$G$11,regle!$G$23,
IF(Q108=regle!$H$11,regle!$H$23,
IF(Q108=regle!$I$11,regle!$I$23,
IF(Q108=regle!$J$11,regle!$J$23,
IF(Q108=regle!$K$11,regle!$K$23,0))))))))))))</f>
        <v>-116.48699999999999</v>
      </c>
      <c r="AB108" s="17">
        <f>IF($A108,$J108*(IF(R108=regle!$B$11,regle!$B$23*IF(AK108=-2,1+regle!$B$35,1),
IF(R108=regle!$C$11,regle!$C$23,
IF(R108=regle!$D$11,regle!$D$23,
IF(R108=regle!$E$11,regle!$E$23,
IF(R108=regle!$F$11,regle!$F$23,
IF(R108=regle!$G$11,regle!$G$23,
IF(R108=regle!$H$11,regle!$H$23,
IF(R108=regle!$I$11,regle!$I$23,
IF(R108=regle!$J$11,regle!$J$23,
IF(R108=regle!$K$11,regle!$K$23,0))))))))))))</f>
        <v>0</v>
      </c>
      <c r="AC108" s="17">
        <f>IF($A108,$J108*(IF(S108=regle!$B$11,regle!$B$23*IF(AL108=-2,1+regle!$B$35,1),
IF(S108=regle!$C$11,regle!$C$23,
IF(S108=regle!$D$11,regle!$D$23,
IF(S108=regle!$E$11,regle!$E$23,
IF(S108=regle!$F$11,regle!$F$23,
IF(S108=regle!$G$11,regle!$G$23,
IF(S108=regle!$H$11,regle!$H$23,
IF(S108=regle!$I$11,regle!$I$23,
IF(S108=regle!$J$11,regle!$J$23,
IF(S108=regle!$K$11,regle!$K$23,0))))))))))))</f>
        <v>-116.48699999999999</v>
      </c>
      <c r="AD108" s="17">
        <f>IF($A108,$J108*(IF(T108=regle!$B$11,regle!$B$23*IF(AM108=-2,1+regle!$B$35,1),
IF(T108=regle!$C$11,regle!$C$23,
IF(T108=regle!$D$11,regle!$D$23,
IF(T108=regle!$E$11,regle!$E$23,
IF(T108=regle!$F$11,regle!$F$23,
IF(T108=regle!$G$11,regle!$G$23,
IF(T108=regle!$H$11,regle!$H$23,
IF(T108=regle!$I$11,regle!$I$23,
IF(T108=regle!$J$11,regle!$J$23,
IF(T108=regle!$K$11,regle!$K$23,0))))))))))))</f>
        <v>0</v>
      </c>
      <c r="AE108" s="17">
        <f>IF($A108,$J108*(IF(U108=regle!$B$11,regle!$B$23*IF(AN108=-2,1+regle!$B$35,1),
IF(U108=regle!$C$11,regle!$C$23,
IF(U108=regle!$D$11,regle!$D$23,
IF(U108=regle!$E$11,regle!$E$23,
IF(U108=regle!$F$11,regle!$F$23,
IF(U108=regle!$G$11,regle!$G$23,
IF(U108=regle!$H$11,regle!$H$23,
IF(U108=regle!$I$11,regle!$I$23,
IF(U108=regle!$J$11,regle!$J$23,
IF(U108=regle!$K$11,regle!$K$23,0))))))))))))</f>
        <v>0</v>
      </c>
      <c r="AF108" s="17">
        <f>IF($A108,$J108*(IF(V108=regle!$B$11,regle!$B$23*IF(AO108=-2,1+regle!$B$35,1),
IF(V108=regle!$C$11,regle!$C$23,
IF(V108=regle!$D$11,regle!$D$23,
IF(V108=regle!$E$11,regle!$E$23,
IF(V108=regle!$F$11,regle!$F$23,
IF(V108=regle!$G$11,regle!$G$23,
IF(V108=regle!$H$11,regle!$H$23,
IF(V108=regle!$I$11,regle!$I$23,
IF(V108=regle!$J$11,regle!$J$23,
IF(V108=regle!$K$11,regle!$K$23,0))))))))))))</f>
        <v>0</v>
      </c>
      <c r="AG108" s="17">
        <f>IF($A108,$J108*(IF(W108=regle!$B$11,regle!$B$23*IF(AP108=-2,1+regle!$B$35,1),
IF(W108=regle!$C$11,regle!$C$23,
IF(W108=regle!$D$11,regle!$D$23,
IF(W108=regle!$E$11,regle!$E$23,
IF(W108=regle!$F$11,regle!$F$23,
IF(W108=regle!$G$11,regle!$G$23,
IF(W108=regle!$H$11,regle!$H$23,
IF(W108=regle!$I$11,regle!$I$23,
IF(W108=regle!$J$11,regle!$J$23,
IF(W108=regle!$K$11,regle!$K$23,0))))))))))))</f>
        <v>0</v>
      </c>
      <c r="AH108" s="17">
        <f>IF($A108,$J108*(IF(X108=regle!$B$11,regle!$B$23*IF(AQ108=-2,1+regle!$B$35,1),
IF(X108=regle!$C$11,regle!$C$23,
IF(X108=regle!$D$11,regle!$D$23,
IF(X108=regle!$E$11,regle!$E$23,
IF(X108=regle!$F$11,regle!$F$23,
IF(X108=regle!$G$11,regle!$G$23,
IF(X108=regle!$H$11,regle!$H$23,
IF(X108=regle!$I$11,regle!$I$23,
IF(X108=regle!$J$11,regle!$J$23,
IF(X108=regle!$K$11,regle!$K$23,0))))))))))))</f>
        <v>745.51679999999999</v>
      </c>
      <c r="AI108" s="17">
        <f>IF($A108,$J108*(IF(Y108=regle!$B$11,regle!$B$23*IF(AR108=-2,1+regle!$B$35,1),
IF(Y108=regle!$C$11,regle!$C$23,
IF(Y108=regle!$D$11,regle!$D$23,
IF(Y108=regle!$E$11,regle!$E$23,
IF(Y108=regle!$F$11,regle!$F$23,
IF(Y108=regle!$G$11,regle!$G$23,
IF(Y108=regle!$H$11,regle!$H$23,
IF(Y108=regle!$I$11,regle!$I$23,
IF(Y108=regle!$J$11,regle!$J$23,
IF(Y108=regle!$K$11,regle!$K$23,0))))))))))))</f>
        <v>0</v>
      </c>
      <c r="AJ108" s="17">
        <f>IF($A108,$J108*(IF(Z108=regle!$B$11,regle!$B$23*IF(AS108=-2,1+regle!$B$35,1),
IF(Z108=regle!$C$11,regle!$C$23,
IF(Z108=regle!$D$11,regle!$D$23,
IF(Z108=regle!$E$11,regle!$E$23,
IF(Z108=regle!$F$11,regle!$F$23,
IF(Z108=regle!$G$11,regle!$G$23,
IF(Z108=regle!$H$11,regle!$H$23,
IF(Z108=regle!$I$11,regle!$I$23,
IF(Z108=regle!$J$11,regle!$J$23,
IF(Z108=regle!$K$11,regle!$K$23,0))))))))))))</f>
        <v>0</v>
      </c>
      <c r="AK108" s="16">
        <f>IF(OR(Q108=regle!$J$11,Q108=regle!$K$11),-2,IF(Q108=regle!$B$11,0,IF(AK$1=$AK$1,IF($O108,-1,regle!$B$2-$M108),IF(AJ108=-1,-1,AJ108+1))))</f>
        <v>5</v>
      </c>
      <c r="AL108" s="16">
        <f>IF(OR(R108=regle!$J$11,R108=regle!$K$11),-2,IF(R108=regle!$B$11,0,IF(AL$1=$AK$1,IF($O108,-1,regle!$B$2-$M108),IF(AK108=-1,-1,AK108+1))))</f>
        <v>6</v>
      </c>
      <c r="AM108" s="16">
        <f>IF(OR(S108=regle!$J$11,S108=regle!$K$11),-2,IF(S108=regle!$B$11,0,IF(AM$1=$AK$1,IF($O108,-1,regle!$B$2-$M108),IF(AL108=-1,-1,AL108+1))))</f>
        <v>7</v>
      </c>
      <c r="AN108" s="16">
        <f>IF(OR(T108=regle!$J$11,T108=regle!$K$11),-2,IF(T108=regle!$B$11,0,IF(AN$1=$AK$1,IF($O108,-1,regle!$B$2-$M108),IF(AM108=-1,-1,AM108+1))))</f>
        <v>8</v>
      </c>
      <c r="AO108" s="16">
        <f>IF(OR(U108=regle!$J$11,U108=regle!$K$11),-2,IF(U108=regle!$B$11,0,IF(AO$1=$AK$1,IF($O108,-1,regle!$B$2-$M108),IF(AN108=-1,-1,AN108+1))))</f>
        <v>9</v>
      </c>
      <c r="AP108" s="16">
        <f>IF(OR(V108=regle!$J$11,V108=regle!$K$11),-2,IF(V108=regle!$B$11,0,IF(AP$1=$AK$1,IF($O108,-1,regle!$B$2-$M108),IF(AO108=-1,-1,AO108+1))))</f>
        <v>10</v>
      </c>
      <c r="AQ108" s="16">
        <f>IF(OR(W108=regle!$J$11,W108=regle!$K$11),-2,IF(W108=regle!$B$11,0,IF(AQ$1=$AK$1,IF($O108,-1,regle!$B$2-$M108),IF(AP108=-1,-1,AP108+1))))</f>
        <v>11</v>
      </c>
      <c r="AR108" s="16">
        <f>IF(OR(X108=regle!$J$11,X108=regle!$K$11),-2,IF(X108=regle!$B$11,0,IF(AR$1=$AK$1,IF($O108,-1,regle!$B$2-$M108),IF(AQ108=-1,-1,AQ108+1))))</f>
        <v>12</v>
      </c>
      <c r="AS108" s="16">
        <f>IF(OR(Y108=regle!$J$11,Y108=regle!$K$11),-2,IF(Y108=regle!$B$11,0,IF(AS$1=$AK$1,IF($O108,-1,regle!$B$2-$M108),IF(AR108=-1,-1,AR108+1))))</f>
        <v>13</v>
      </c>
      <c r="AT108" s="16">
        <f>IF(OR(Z108=regle!$J$11,Z108=regle!$K$11),-2,IF(Z108=regle!$B$11,0,IF(AT$1=$AK$1,IF($O108,-1,regle!$B$2-$M108),IF(AS108=-1,-1,AS108+1))))</f>
        <v>14</v>
      </c>
    </row>
    <row r="109" spans="1:46" x14ac:dyDescent="0.25">
      <c r="A109" t="b">
        <f>modif1!A109</f>
        <v>1</v>
      </c>
      <c r="B109">
        <f>ROW(modif1!B109)</f>
        <v>109</v>
      </c>
      <c r="C109" t="str">
        <f>modif1!C112</f>
        <v>077</v>
      </c>
      <c r="D109" t="str">
        <f>modif1!D109</f>
        <v>CABANAC-ET-VILLAGRAINS</v>
      </c>
      <c r="E109">
        <f>modif1!E109</f>
        <v>12</v>
      </c>
      <c r="F109" t="str">
        <f>modif1!F109</f>
        <v>LES JEANNOTS</v>
      </c>
      <c r="G109" t="str">
        <f>modif1!G109</f>
        <v>0D</v>
      </c>
      <c r="H109">
        <f>modif1!H109</f>
        <v>2305</v>
      </c>
      <c r="I109" t="str">
        <f>modif1!I109</f>
        <v>j</v>
      </c>
      <c r="J109" s="11">
        <f>modif1!J109</f>
        <v>1.2117</v>
      </c>
      <c r="K109" t="str">
        <f>modif1!K109</f>
        <v>PLA</v>
      </c>
      <c r="L109" t="str">
        <f>modif1!L109</f>
        <v>PM</v>
      </c>
      <c r="M109">
        <f>modif1!M109</f>
        <v>2019</v>
      </c>
      <c r="N109" t="str">
        <f>modif1!N109</f>
        <v>PLA-PM_2019</v>
      </c>
      <c r="O109" t="b">
        <f>modif1!O109</f>
        <v>0</v>
      </c>
      <c r="P109">
        <v>40</v>
      </c>
      <c r="Q109" t="s">
        <v>1870</v>
      </c>
      <c r="S109" t="s">
        <v>1871</v>
      </c>
      <c r="X109" t="s">
        <v>1803</v>
      </c>
      <c r="Z109"/>
      <c r="AA109" s="17">
        <f>IF($A109,$J109*(IF(Q109=regle!$B$11,regle!$B$23*IF(AJ109=-2,1+regle!$B$35,1),
IF(Q109=regle!$C$11,regle!$C$23,
IF(Q109=regle!$D$11,regle!$D$23,
IF(Q109=regle!$E$11,regle!$E$23,
IF(Q109=regle!$F$11,regle!$F$23,
IF(Q109=regle!$G$11,regle!$G$23,
IF(Q109=regle!$H$11,regle!$H$23,
IF(Q109=regle!$I$11,regle!$I$23,
IF(Q109=regle!$J$11,regle!$J$23,
IF(Q109=regle!$K$11,regle!$K$23,0))))))))))))</f>
        <v>-109.053</v>
      </c>
      <c r="AB109" s="17">
        <f>IF($A109,$J109*(IF(R109=regle!$B$11,regle!$B$23*IF(AK109=-2,1+regle!$B$35,1),
IF(R109=regle!$C$11,regle!$C$23,
IF(R109=regle!$D$11,regle!$D$23,
IF(R109=regle!$E$11,regle!$E$23,
IF(R109=regle!$F$11,regle!$F$23,
IF(R109=regle!$G$11,regle!$G$23,
IF(R109=regle!$H$11,regle!$H$23,
IF(R109=regle!$I$11,regle!$I$23,
IF(R109=regle!$J$11,regle!$J$23,
IF(R109=regle!$K$11,regle!$K$23,0))))))))))))</f>
        <v>0</v>
      </c>
      <c r="AC109" s="17">
        <f>IF($A109,$J109*(IF(S109=regle!$B$11,regle!$B$23*IF(AL109=-2,1+regle!$B$35,1),
IF(S109=regle!$C$11,regle!$C$23,
IF(S109=regle!$D$11,regle!$D$23,
IF(S109=regle!$E$11,regle!$E$23,
IF(S109=regle!$F$11,regle!$F$23,
IF(S109=regle!$G$11,regle!$G$23,
IF(S109=regle!$H$11,regle!$H$23,
IF(S109=regle!$I$11,regle!$I$23,
IF(S109=regle!$J$11,regle!$J$23,
IF(S109=regle!$K$11,regle!$K$23,0))))))))))))</f>
        <v>-109.053</v>
      </c>
      <c r="AD109" s="17">
        <f>IF($A109,$J109*(IF(T109=regle!$B$11,regle!$B$23*IF(AM109=-2,1+regle!$B$35,1),
IF(T109=regle!$C$11,regle!$C$23,
IF(T109=regle!$D$11,regle!$D$23,
IF(T109=regle!$E$11,regle!$E$23,
IF(T109=regle!$F$11,regle!$F$23,
IF(T109=regle!$G$11,regle!$G$23,
IF(T109=regle!$H$11,regle!$H$23,
IF(T109=regle!$I$11,regle!$I$23,
IF(T109=regle!$J$11,regle!$J$23,
IF(T109=regle!$K$11,regle!$K$23,0))))))))))))</f>
        <v>0</v>
      </c>
      <c r="AE109" s="17">
        <f>IF($A109,$J109*(IF(U109=regle!$B$11,regle!$B$23*IF(AN109=-2,1+regle!$B$35,1),
IF(U109=regle!$C$11,regle!$C$23,
IF(U109=regle!$D$11,regle!$D$23,
IF(U109=regle!$E$11,regle!$E$23,
IF(U109=regle!$F$11,regle!$F$23,
IF(U109=regle!$G$11,regle!$G$23,
IF(U109=regle!$H$11,regle!$H$23,
IF(U109=regle!$I$11,regle!$I$23,
IF(U109=regle!$J$11,regle!$J$23,
IF(U109=regle!$K$11,regle!$K$23,0))))))))))))</f>
        <v>0</v>
      </c>
      <c r="AF109" s="17">
        <f>IF($A109,$J109*(IF(V109=regle!$B$11,regle!$B$23*IF(AO109=-2,1+regle!$B$35,1),
IF(V109=regle!$C$11,regle!$C$23,
IF(V109=regle!$D$11,regle!$D$23,
IF(V109=regle!$E$11,regle!$E$23,
IF(V109=regle!$F$11,regle!$F$23,
IF(V109=regle!$G$11,regle!$G$23,
IF(V109=regle!$H$11,regle!$H$23,
IF(V109=regle!$I$11,regle!$I$23,
IF(V109=regle!$J$11,regle!$J$23,
IF(V109=regle!$K$11,regle!$K$23,0))))))))))))</f>
        <v>0</v>
      </c>
      <c r="AG109" s="17">
        <f>IF($A109,$J109*(IF(W109=regle!$B$11,regle!$B$23*IF(AP109=-2,1+regle!$B$35,1),
IF(W109=regle!$C$11,regle!$C$23,
IF(W109=regle!$D$11,regle!$D$23,
IF(W109=regle!$E$11,regle!$E$23,
IF(W109=regle!$F$11,regle!$F$23,
IF(W109=regle!$G$11,regle!$G$23,
IF(W109=regle!$H$11,regle!$H$23,
IF(W109=regle!$I$11,regle!$I$23,
IF(W109=regle!$J$11,regle!$J$23,
IF(W109=regle!$K$11,regle!$K$23,0))))))))))))</f>
        <v>0</v>
      </c>
      <c r="AH109" s="17">
        <f>IF($A109,$J109*(IF(X109=regle!$B$11,regle!$B$23*IF(AQ109=-2,1+regle!$B$35,1),
IF(X109=regle!$C$11,regle!$C$23,
IF(X109=regle!$D$11,regle!$D$23,
IF(X109=regle!$E$11,regle!$E$23,
IF(X109=regle!$F$11,regle!$F$23,
IF(X109=regle!$G$11,regle!$G$23,
IF(X109=regle!$H$11,regle!$H$23,
IF(X109=regle!$I$11,regle!$I$23,
IF(X109=regle!$J$11,regle!$J$23,
IF(X109=regle!$K$11,regle!$K$23,0))))))))))))</f>
        <v>697.93920000000003</v>
      </c>
      <c r="AI109" s="17">
        <f>IF($A109,$J109*(IF(Y109=regle!$B$11,regle!$B$23*IF(AR109=-2,1+regle!$B$35,1),
IF(Y109=regle!$C$11,regle!$C$23,
IF(Y109=regle!$D$11,regle!$D$23,
IF(Y109=regle!$E$11,regle!$E$23,
IF(Y109=regle!$F$11,regle!$F$23,
IF(Y109=regle!$G$11,regle!$G$23,
IF(Y109=regle!$H$11,regle!$H$23,
IF(Y109=regle!$I$11,regle!$I$23,
IF(Y109=regle!$J$11,regle!$J$23,
IF(Y109=regle!$K$11,regle!$K$23,0))))))))))))</f>
        <v>0</v>
      </c>
      <c r="AJ109" s="17">
        <f>IF($A109,$J109*(IF(Z109=regle!$B$11,regle!$B$23*IF(AS109=-2,1+regle!$B$35,1),
IF(Z109=regle!$C$11,regle!$C$23,
IF(Z109=regle!$D$11,regle!$D$23,
IF(Z109=regle!$E$11,regle!$E$23,
IF(Z109=regle!$F$11,regle!$F$23,
IF(Z109=regle!$G$11,regle!$G$23,
IF(Z109=regle!$H$11,regle!$H$23,
IF(Z109=regle!$I$11,regle!$I$23,
IF(Z109=regle!$J$11,regle!$J$23,
IF(Z109=regle!$K$11,regle!$K$23,0))))))))))))</f>
        <v>0</v>
      </c>
      <c r="AK109" s="16">
        <f>IF(OR(Q109=regle!$J$11,Q109=regle!$K$11),-2,IF(Q109=regle!$B$11,0,IF(AK$1=$AK$1,IF($O109,-1,regle!$B$2-$M109),IF(AJ109=-1,-1,AJ109+1))))</f>
        <v>5</v>
      </c>
      <c r="AL109" s="16">
        <f>IF(OR(R109=regle!$J$11,R109=regle!$K$11),-2,IF(R109=regle!$B$11,0,IF(AL$1=$AK$1,IF($O109,-1,regle!$B$2-$M109),IF(AK109=-1,-1,AK109+1))))</f>
        <v>6</v>
      </c>
      <c r="AM109" s="16">
        <f>IF(OR(S109=regle!$J$11,S109=regle!$K$11),-2,IF(S109=regle!$B$11,0,IF(AM$1=$AK$1,IF($O109,-1,regle!$B$2-$M109),IF(AL109=-1,-1,AL109+1))))</f>
        <v>7</v>
      </c>
      <c r="AN109" s="16">
        <f>IF(OR(T109=regle!$J$11,T109=regle!$K$11),-2,IF(T109=regle!$B$11,0,IF(AN$1=$AK$1,IF($O109,-1,regle!$B$2-$M109),IF(AM109=-1,-1,AM109+1))))</f>
        <v>8</v>
      </c>
      <c r="AO109" s="16">
        <f>IF(OR(U109=regle!$J$11,U109=regle!$K$11),-2,IF(U109=regle!$B$11,0,IF(AO$1=$AK$1,IF($O109,-1,regle!$B$2-$M109),IF(AN109=-1,-1,AN109+1))))</f>
        <v>9</v>
      </c>
      <c r="AP109" s="16">
        <f>IF(OR(V109=regle!$J$11,V109=regle!$K$11),-2,IF(V109=regle!$B$11,0,IF(AP$1=$AK$1,IF($O109,-1,regle!$B$2-$M109),IF(AO109=-1,-1,AO109+1))))</f>
        <v>10</v>
      </c>
      <c r="AQ109" s="16">
        <f>IF(OR(W109=regle!$J$11,W109=regle!$K$11),-2,IF(W109=regle!$B$11,0,IF(AQ$1=$AK$1,IF($O109,-1,regle!$B$2-$M109),IF(AP109=-1,-1,AP109+1))))</f>
        <v>11</v>
      </c>
      <c r="AR109" s="16">
        <f>IF(OR(X109=regle!$J$11,X109=regle!$K$11),-2,IF(X109=regle!$B$11,0,IF(AR$1=$AK$1,IF($O109,-1,regle!$B$2-$M109),IF(AQ109=-1,-1,AQ109+1))))</f>
        <v>12</v>
      </c>
      <c r="AS109" s="16">
        <f>IF(OR(Y109=regle!$J$11,Y109=regle!$K$11),-2,IF(Y109=regle!$B$11,0,IF(AS$1=$AK$1,IF($O109,-1,regle!$B$2-$M109),IF(AR109=-1,-1,AR109+1))))</f>
        <v>13</v>
      </c>
      <c r="AT109" s="16">
        <f>IF(OR(Z109=regle!$J$11,Z109=regle!$K$11),-2,IF(Z109=regle!$B$11,0,IF(AT$1=$AK$1,IF($O109,-1,regle!$B$2-$M109),IF(AS109=-1,-1,AS109+1))))</f>
        <v>14</v>
      </c>
    </row>
    <row r="110" spans="1:46" x14ac:dyDescent="0.25">
      <c r="A110" t="b">
        <f>modif1!A110</f>
        <v>1</v>
      </c>
      <c r="B110">
        <f>ROW(modif1!B110)</f>
        <v>110</v>
      </c>
      <c r="C110" t="str">
        <f>modif1!C113</f>
        <v>202</v>
      </c>
      <c r="D110" t="str">
        <f>modif1!D110</f>
        <v>HOSTENS</v>
      </c>
      <c r="E110">
        <f>modif1!E110</f>
        <v>11</v>
      </c>
      <c r="F110" t="str">
        <f>modif1!F110</f>
        <v>LES CAZALAS</v>
      </c>
      <c r="G110" t="str">
        <f>modif1!G110</f>
        <v>0B</v>
      </c>
      <c r="H110">
        <f>modif1!H110</f>
        <v>1141</v>
      </c>
      <c r="I110" t="str">
        <f>modif1!I110</f>
        <v>l</v>
      </c>
      <c r="J110" s="11">
        <f>modif1!J110</f>
        <v>0.81710000000000005</v>
      </c>
      <c r="K110" t="str">
        <f>modif1!K110</f>
        <v>PLA</v>
      </c>
      <c r="L110" t="str">
        <f>modif1!L110</f>
        <v>PM</v>
      </c>
      <c r="M110">
        <f>modif1!M110</f>
        <v>2019</v>
      </c>
      <c r="N110" t="str">
        <f>modif1!N110</f>
        <v>PLA-PM_2019</v>
      </c>
      <c r="O110" t="b">
        <f>modif1!O110</f>
        <v>0</v>
      </c>
      <c r="P110">
        <v>40</v>
      </c>
      <c r="Q110" t="s">
        <v>1870</v>
      </c>
      <c r="S110" t="s">
        <v>1871</v>
      </c>
      <c r="X110" t="s">
        <v>1803</v>
      </c>
      <c r="Z110"/>
      <c r="AA110" s="17">
        <f>IF($A110,$J110*(IF(Q110=regle!$B$11,regle!$B$23*IF(AJ110=-2,1+regle!$B$35,1),
IF(Q110=regle!$C$11,regle!$C$23,
IF(Q110=regle!$D$11,regle!$D$23,
IF(Q110=regle!$E$11,regle!$E$23,
IF(Q110=regle!$F$11,regle!$F$23,
IF(Q110=regle!$G$11,regle!$G$23,
IF(Q110=regle!$H$11,regle!$H$23,
IF(Q110=regle!$I$11,regle!$I$23,
IF(Q110=regle!$J$11,regle!$J$23,
IF(Q110=regle!$K$11,regle!$K$23,0))))))))))))</f>
        <v>-73.539000000000001</v>
      </c>
      <c r="AB110" s="17">
        <f>IF($A110,$J110*(IF(R110=regle!$B$11,regle!$B$23*IF(AK110=-2,1+regle!$B$35,1),
IF(R110=regle!$C$11,regle!$C$23,
IF(R110=regle!$D$11,regle!$D$23,
IF(R110=regle!$E$11,regle!$E$23,
IF(R110=regle!$F$11,regle!$F$23,
IF(R110=regle!$G$11,regle!$G$23,
IF(R110=regle!$H$11,regle!$H$23,
IF(R110=regle!$I$11,regle!$I$23,
IF(R110=regle!$J$11,regle!$J$23,
IF(R110=regle!$K$11,regle!$K$23,0))))))))))))</f>
        <v>0</v>
      </c>
      <c r="AC110" s="17">
        <f>IF($A110,$J110*(IF(S110=regle!$B$11,regle!$B$23*IF(AL110=-2,1+regle!$B$35,1),
IF(S110=regle!$C$11,regle!$C$23,
IF(S110=regle!$D$11,regle!$D$23,
IF(S110=regle!$E$11,regle!$E$23,
IF(S110=regle!$F$11,regle!$F$23,
IF(S110=regle!$G$11,regle!$G$23,
IF(S110=regle!$H$11,regle!$H$23,
IF(S110=regle!$I$11,regle!$I$23,
IF(S110=regle!$J$11,regle!$J$23,
IF(S110=regle!$K$11,regle!$K$23,0))))))))))))</f>
        <v>-73.539000000000001</v>
      </c>
      <c r="AD110" s="17">
        <f>IF($A110,$J110*(IF(T110=regle!$B$11,regle!$B$23*IF(AM110=-2,1+regle!$B$35,1),
IF(T110=regle!$C$11,regle!$C$23,
IF(T110=regle!$D$11,regle!$D$23,
IF(T110=regle!$E$11,regle!$E$23,
IF(T110=regle!$F$11,regle!$F$23,
IF(T110=regle!$G$11,regle!$G$23,
IF(T110=regle!$H$11,regle!$H$23,
IF(T110=regle!$I$11,regle!$I$23,
IF(T110=regle!$J$11,regle!$J$23,
IF(T110=regle!$K$11,regle!$K$23,0))))))))))))</f>
        <v>0</v>
      </c>
      <c r="AE110" s="17">
        <f>IF($A110,$J110*(IF(U110=regle!$B$11,regle!$B$23*IF(AN110=-2,1+regle!$B$35,1),
IF(U110=regle!$C$11,regle!$C$23,
IF(U110=regle!$D$11,regle!$D$23,
IF(U110=regle!$E$11,regle!$E$23,
IF(U110=regle!$F$11,regle!$F$23,
IF(U110=regle!$G$11,regle!$G$23,
IF(U110=regle!$H$11,regle!$H$23,
IF(U110=regle!$I$11,regle!$I$23,
IF(U110=regle!$J$11,regle!$J$23,
IF(U110=regle!$K$11,regle!$K$23,0))))))))))))</f>
        <v>0</v>
      </c>
      <c r="AF110" s="17">
        <f>IF($A110,$J110*(IF(V110=regle!$B$11,regle!$B$23*IF(AO110=-2,1+regle!$B$35,1),
IF(V110=regle!$C$11,regle!$C$23,
IF(V110=regle!$D$11,regle!$D$23,
IF(V110=regle!$E$11,regle!$E$23,
IF(V110=regle!$F$11,regle!$F$23,
IF(V110=regle!$G$11,regle!$G$23,
IF(V110=regle!$H$11,regle!$H$23,
IF(V110=regle!$I$11,regle!$I$23,
IF(V110=regle!$J$11,regle!$J$23,
IF(V110=regle!$K$11,regle!$K$23,0))))))))))))</f>
        <v>0</v>
      </c>
      <c r="AG110" s="17">
        <f>IF($A110,$J110*(IF(W110=regle!$B$11,regle!$B$23*IF(AP110=-2,1+regle!$B$35,1),
IF(W110=regle!$C$11,regle!$C$23,
IF(W110=regle!$D$11,regle!$D$23,
IF(W110=regle!$E$11,regle!$E$23,
IF(W110=regle!$F$11,regle!$F$23,
IF(W110=regle!$G$11,regle!$G$23,
IF(W110=regle!$H$11,regle!$H$23,
IF(W110=regle!$I$11,regle!$I$23,
IF(W110=regle!$J$11,regle!$J$23,
IF(W110=regle!$K$11,regle!$K$23,0))))))))))))</f>
        <v>0</v>
      </c>
      <c r="AH110" s="17">
        <f>IF($A110,$J110*(IF(X110=regle!$B$11,regle!$B$23*IF(AQ110=-2,1+regle!$B$35,1),
IF(X110=regle!$C$11,regle!$C$23,
IF(X110=regle!$D$11,regle!$D$23,
IF(X110=regle!$E$11,regle!$E$23,
IF(X110=regle!$F$11,regle!$F$23,
IF(X110=regle!$G$11,regle!$G$23,
IF(X110=regle!$H$11,regle!$H$23,
IF(X110=regle!$I$11,regle!$I$23,
IF(X110=regle!$J$11,regle!$J$23,
IF(X110=regle!$K$11,regle!$K$23,0))))))))))))</f>
        <v>470.64960000000002</v>
      </c>
      <c r="AI110" s="17">
        <f>IF($A110,$J110*(IF(Y110=regle!$B$11,regle!$B$23*IF(AR110=-2,1+regle!$B$35,1),
IF(Y110=regle!$C$11,regle!$C$23,
IF(Y110=regle!$D$11,regle!$D$23,
IF(Y110=regle!$E$11,regle!$E$23,
IF(Y110=regle!$F$11,regle!$F$23,
IF(Y110=regle!$G$11,regle!$G$23,
IF(Y110=regle!$H$11,regle!$H$23,
IF(Y110=regle!$I$11,regle!$I$23,
IF(Y110=regle!$J$11,regle!$J$23,
IF(Y110=regle!$K$11,regle!$K$23,0))))))))))))</f>
        <v>0</v>
      </c>
      <c r="AJ110" s="17">
        <f>IF($A110,$J110*(IF(Z110=regle!$B$11,regle!$B$23*IF(AS110=-2,1+regle!$B$35,1),
IF(Z110=regle!$C$11,regle!$C$23,
IF(Z110=regle!$D$11,regle!$D$23,
IF(Z110=regle!$E$11,regle!$E$23,
IF(Z110=regle!$F$11,regle!$F$23,
IF(Z110=regle!$G$11,regle!$G$23,
IF(Z110=regle!$H$11,regle!$H$23,
IF(Z110=regle!$I$11,regle!$I$23,
IF(Z110=regle!$J$11,regle!$J$23,
IF(Z110=regle!$K$11,regle!$K$23,0))))))))))))</f>
        <v>0</v>
      </c>
      <c r="AK110" s="16">
        <f>IF(OR(Q110=regle!$J$11,Q110=regle!$K$11),-2,IF(Q110=regle!$B$11,0,IF(AK$1=$AK$1,IF($O110,-1,regle!$B$2-$M110),IF(AJ110=-1,-1,AJ110+1))))</f>
        <v>5</v>
      </c>
      <c r="AL110" s="16">
        <f>IF(OR(R110=regle!$J$11,R110=regle!$K$11),-2,IF(R110=regle!$B$11,0,IF(AL$1=$AK$1,IF($O110,-1,regle!$B$2-$M110),IF(AK110=-1,-1,AK110+1))))</f>
        <v>6</v>
      </c>
      <c r="AM110" s="16">
        <f>IF(OR(S110=regle!$J$11,S110=regle!$K$11),-2,IF(S110=regle!$B$11,0,IF(AM$1=$AK$1,IF($O110,-1,regle!$B$2-$M110),IF(AL110=-1,-1,AL110+1))))</f>
        <v>7</v>
      </c>
      <c r="AN110" s="16">
        <f>IF(OR(T110=regle!$J$11,T110=regle!$K$11),-2,IF(T110=regle!$B$11,0,IF(AN$1=$AK$1,IF($O110,-1,regle!$B$2-$M110),IF(AM110=-1,-1,AM110+1))))</f>
        <v>8</v>
      </c>
      <c r="AO110" s="16">
        <f>IF(OR(U110=regle!$J$11,U110=regle!$K$11),-2,IF(U110=regle!$B$11,0,IF(AO$1=$AK$1,IF($O110,-1,regle!$B$2-$M110),IF(AN110=-1,-1,AN110+1))))</f>
        <v>9</v>
      </c>
      <c r="AP110" s="16">
        <f>IF(OR(V110=regle!$J$11,V110=regle!$K$11),-2,IF(V110=regle!$B$11,0,IF(AP$1=$AK$1,IF($O110,-1,regle!$B$2-$M110),IF(AO110=-1,-1,AO110+1))))</f>
        <v>10</v>
      </c>
      <c r="AQ110" s="16">
        <f>IF(OR(W110=regle!$J$11,W110=regle!$K$11),-2,IF(W110=regle!$B$11,0,IF(AQ$1=$AK$1,IF($O110,-1,regle!$B$2-$M110),IF(AP110=-1,-1,AP110+1))))</f>
        <v>11</v>
      </c>
      <c r="AR110" s="16">
        <f>IF(OR(X110=regle!$J$11,X110=regle!$K$11),-2,IF(X110=regle!$B$11,0,IF(AR$1=$AK$1,IF($O110,-1,regle!$B$2-$M110),IF(AQ110=-1,-1,AQ110+1))))</f>
        <v>12</v>
      </c>
      <c r="AS110" s="16">
        <f>IF(OR(Y110=regle!$J$11,Y110=regle!$K$11),-2,IF(Y110=regle!$B$11,0,IF(AS$1=$AK$1,IF($O110,-1,regle!$B$2-$M110),IF(AR110=-1,-1,AR110+1))))</f>
        <v>13</v>
      </c>
      <c r="AT110" s="16">
        <f>IF(OR(Z110=regle!$J$11,Z110=regle!$K$11),-2,IF(Z110=regle!$B$11,0,IF(AT$1=$AK$1,IF($O110,-1,regle!$B$2-$M110),IF(AS110=-1,-1,AS110+1))))</f>
        <v>14</v>
      </c>
    </row>
    <row r="111" spans="1:46" x14ac:dyDescent="0.25">
      <c r="A111" t="b">
        <f>modif1!A111</f>
        <v>1</v>
      </c>
      <c r="B111">
        <f>ROW(modif1!B111)</f>
        <v>111</v>
      </c>
      <c r="C111" t="str">
        <f>modif1!C114</f>
        <v>202</v>
      </c>
      <c r="D111" t="str">
        <f>modif1!D111</f>
        <v>CABANAC-ET-VILLAGRAINS</v>
      </c>
      <c r="E111">
        <f>modif1!E111</f>
        <v>12</v>
      </c>
      <c r="F111" t="str">
        <f>modif1!F111</f>
        <v>LES JEANNOTS</v>
      </c>
      <c r="G111" t="str">
        <f>modif1!G111</f>
        <v>0D</v>
      </c>
      <c r="H111">
        <f>modif1!H111</f>
        <v>2311</v>
      </c>
      <c r="I111" t="str">
        <f>modif1!I111</f>
        <v/>
      </c>
      <c r="J111" s="11">
        <f>modif1!J111</f>
        <v>0.63229999999999997</v>
      </c>
      <c r="K111" t="str">
        <f>modif1!K111</f>
        <v>PLA</v>
      </c>
      <c r="L111" t="str">
        <f>modif1!L111</f>
        <v>PM</v>
      </c>
      <c r="M111">
        <f>modif1!M111</f>
        <v>2019</v>
      </c>
      <c r="N111" t="str">
        <f>modif1!N111</f>
        <v>PLA-PM_2019</v>
      </c>
      <c r="O111" t="b">
        <f>modif1!O111</f>
        <v>0</v>
      </c>
      <c r="P111">
        <v>40</v>
      </c>
      <c r="Q111" t="s">
        <v>1870</v>
      </c>
      <c r="S111" t="s">
        <v>1871</v>
      </c>
      <c r="X111" t="s">
        <v>1803</v>
      </c>
      <c r="Z111"/>
      <c r="AA111" s="17">
        <f>IF($A111,$J111*(IF(Q111=regle!$B$11,regle!$B$23*IF(AJ111=-2,1+regle!$B$35,1),
IF(Q111=regle!$C$11,regle!$C$23,
IF(Q111=regle!$D$11,regle!$D$23,
IF(Q111=regle!$E$11,regle!$E$23,
IF(Q111=regle!$F$11,regle!$F$23,
IF(Q111=regle!$G$11,regle!$G$23,
IF(Q111=regle!$H$11,regle!$H$23,
IF(Q111=regle!$I$11,regle!$I$23,
IF(Q111=regle!$J$11,regle!$J$23,
IF(Q111=regle!$K$11,regle!$K$23,0))))))))))))</f>
        <v>-56.906999999999996</v>
      </c>
      <c r="AB111" s="17">
        <f>IF($A111,$J111*(IF(R111=regle!$B$11,regle!$B$23*IF(AK111=-2,1+regle!$B$35,1),
IF(R111=regle!$C$11,regle!$C$23,
IF(R111=regle!$D$11,regle!$D$23,
IF(R111=regle!$E$11,regle!$E$23,
IF(R111=regle!$F$11,regle!$F$23,
IF(R111=regle!$G$11,regle!$G$23,
IF(R111=regle!$H$11,regle!$H$23,
IF(R111=regle!$I$11,regle!$I$23,
IF(R111=regle!$J$11,regle!$J$23,
IF(R111=regle!$K$11,regle!$K$23,0))))))))))))</f>
        <v>0</v>
      </c>
      <c r="AC111" s="17">
        <f>IF($A111,$J111*(IF(S111=regle!$B$11,regle!$B$23*IF(AL111=-2,1+regle!$B$35,1),
IF(S111=regle!$C$11,regle!$C$23,
IF(S111=regle!$D$11,regle!$D$23,
IF(S111=regle!$E$11,regle!$E$23,
IF(S111=regle!$F$11,regle!$F$23,
IF(S111=regle!$G$11,regle!$G$23,
IF(S111=regle!$H$11,regle!$H$23,
IF(S111=regle!$I$11,regle!$I$23,
IF(S111=regle!$J$11,regle!$J$23,
IF(S111=regle!$K$11,regle!$K$23,0))))))))))))</f>
        <v>-56.906999999999996</v>
      </c>
      <c r="AD111" s="17">
        <f>IF($A111,$J111*(IF(T111=regle!$B$11,regle!$B$23*IF(AM111=-2,1+regle!$B$35,1),
IF(T111=regle!$C$11,regle!$C$23,
IF(T111=regle!$D$11,regle!$D$23,
IF(T111=regle!$E$11,regle!$E$23,
IF(T111=regle!$F$11,regle!$F$23,
IF(T111=regle!$G$11,regle!$G$23,
IF(T111=regle!$H$11,regle!$H$23,
IF(T111=regle!$I$11,regle!$I$23,
IF(T111=regle!$J$11,regle!$J$23,
IF(T111=regle!$K$11,regle!$K$23,0))))))))))))</f>
        <v>0</v>
      </c>
      <c r="AE111" s="17">
        <f>IF($A111,$J111*(IF(U111=regle!$B$11,regle!$B$23*IF(AN111=-2,1+regle!$B$35,1),
IF(U111=regle!$C$11,regle!$C$23,
IF(U111=regle!$D$11,regle!$D$23,
IF(U111=regle!$E$11,regle!$E$23,
IF(U111=regle!$F$11,regle!$F$23,
IF(U111=regle!$G$11,regle!$G$23,
IF(U111=regle!$H$11,regle!$H$23,
IF(U111=regle!$I$11,regle!$I$23,
IF(U111=regle!$J$11,regle!$J$23,
IF(U111=regle!$K$11,regle!$K$23,0))))))))))))</f>
        <v>0</v>
      </c>
      <c r="AF111" s="17">
        <f>IF($A111,$J111*(IF(V111=regle!$B$11,regle!$B$23*IF(AO111=-2,1+regle!$B$35,1),
IF(V111=regle!$C$11,regle!$C$23,
IF(V111=regle!$D$11,regle!$D$23,
IF(V111=regle!$E$11,regle!$E$23,
IF(V111=regle!$F$11,regle!$F$23,
IF(V111=regle!$G$11,regle!$G$23,
IF(V111=regle!$H$11,regle!$H$23,
IF(V111=regle!$I$11,regle!$I$23,
IF(V111=regle!$J$11,regle!$J$23,
IF(V111=regle!$K$11,regle!$K$23,0))))))))))))</f>
        <v>0</v>
      </c>
      <c r="AG111" s="17">
        <f>IF($A111,$J111*(IF(W111=regle!$B$11,regle!$B$23*IF(AP111=-2,1+regle!$B$35,1),
IF(W111=regle!$C$11,regle!$C$23,
IF(W111=regle!$D$11,regle!$D$23,
IF(W111=regle!$E$11,regle!$E$23,
IF(W111=regle!$F$11,regle!$F$23,
IF(W111=regle!$G$11,regle!$G$23,
IF(W111=regle!$H$11,regle!$H$23,
IF(W111=regle!$I$11,regle!$I$23,
IF(W111=regle!$J$11,regle!$J$23,
IF(W111=regle!$K$11,regle!$K$23,0))))))))))))</f>
        <v>0</v>
      </c>
      <c r="AH111" s="17">
        <f>IF($A111,$J111*(IF(X111=regle!$B$11,regle!$B$23*IF(AQ111=-2,1+regle!$B$35,1),
IF(X111=regle!$C$11,regle!$C$23,
IF(X111=regle!$D$11,regle!$D$23,
IF(X111=regle!$E$11,regle!$E$23,
IF(X111=regle!$F$11,regle!$F$23,
IF(X111=regle!$G$11,regle!$G$23,
IF(X111=regle!$H$11,regle!$H$23,
IF(X111=regle!$I$11,regle!$I$23,
IF(X111=regle!$J$11,regle!$J$23,
IF(X111=regle!$K$11,regle!$K$23,0))))))))))))</f>
        <v>364.20479999999998</v>
      </c>
      <c r="AI111" s="17">
        <f>IF($A111,$J111*(IF(Y111=regle!$B$11,regle!$B$23*IF(AR111=-2,1+regle!$B$35,1),
IF(Y111=regle!$C$11,regle!$C$23,
IF(Y111=regle!$D$11,regle!$D$23,
IF(Y111=regle!$E$11,regle!$E$23,
IF(Y111=regle!$F$11,regle!$F$23,
IF(Y111=regle!$G$11,regle!$G$23,
IF(Y111=regle!$H$11,regle!$H$23,
IF(Y111=regle!$I$11,regle!$I$23,
IF(Y111=regle!$J$11,regle!$J$23,
IF(Y111=regle!$K$11,regle!$K$23,0))))))))))))</f>
        <v>0</v>
      </c>
      <c r="AJ111" s="17">
        <f>IF($A111,$J111*(IF(Z111=regle!$B$11,regle!$B$23*IF(AS111=-2,1+regle!$B$35,1),
IF(Z111=regle!$C$11,regle!$C$23,
IF(Z111=regle!$D$11,regle!$D$23,
IF(Z111=regle!$E$11,regle!$E$23,
IF(Z111=regle!$F$11,regle!$F$23,
IF(Z111=regle!$G$11,regle!$G$23,
IF(Z111=regle!$H$11,regle!$H$23,
IF(Z111=regle!$I$11,regle!$I$23,
IF(Z111=regle!$J$11,regle!$J$23,
IF(Z111=regle!$K$11,regle!$K$23,0))))))))))))</f>
        <v>0</v>
      </c>
      <c r="AK111" s="16">
        <f>IF(OR(Q111=regle!$J$11,Q111=regle!$K$11),-2,IF(Q111=regle!$B$11,0,IF(AK$1=$AK$1,IF($O111,-1,regle!$B$2-$M111),IF(AJ111=-1,-1,AJ111+1))))</f>
        <v>5</v>
      </c>
      <c r="AL111" s="16">
        <f>IF(OR(R111=regle!$J$11,R111=regle!$K$11),-2,IF(R111=regle!$B$11,0,IF(AL$1=$AK$1,IF($O111,-1,regle!$B$2-$M111),IF(AK111=-1,-1,AK111+1))))</f>
        <v>6</v>
      </c>
      <c r="AM111" s="16">
        <f>IF(OR(S111=regle!$J$11,S111=regle!$K$11),-2,IF(S111=regle!$B$11,0,IF(AM$1=$AK$1,IF($O111,-1,regle!$B$2-$M111),IF(AL111=-1,-1,AL111+1))))</f>
        <v>7</v>
      </c>
      <c r="AN111" s="16">
        <f>IF(OR(T111=regle!$J$11,T111=regle!$K$11),-2,IF(T111=regle!$B$11,0,IF(AN$1=$AK$1,IF($O111,-1,regle!$B$2-$M111),IF(AM111=-1,-1,AM111+1))))</f>
        <v>8</v>
      </c>
      <c r="AO111" s="16">
        <f>IF(OR(U111=regle!$J$11,U111=regle!$K$11),-2,IF(U111=regle!$B$11,0,IF(AO$1=$AK$1,IF($O111,-1,regle!$B$2-$M111),IF(AN111=-1,-1,AN111+1))))</f>
        <v>9</v>
      </c>
      <c r="AP111" s="16">
        <f>IF(OR(V111=regle!$J$11,V111=regle!$K$11),-2,IF(V111=regle!$B$11,0,IF(AP$1=$AK$1,IF($O111,-1,regle!$B$2-$M111),IF(AO111=-1,-1,AO111+1))))</f>
        <v>10</v>
      </c>
      <c r="AQ111" s="16">
        <f>IF(OR(W111=regle!$J$11,W111=regle!$K$11),-2,IF(W111=regle!$B$11,0,IF(AQ$1=$AK$1,IF($O111,-1,regle!$B$2-$M111),IF(AP111=-1,-1,AP111+1))))</f>
        <v>11</v>
      </c>
      <c r="AR111" s="16">
        <f>IF(OR(X111=regle!$J$11,X111=regle!$K$11),-2,IF(X111=regle!$B$11,0,IF(AR$1=$AK$1,IF($O111,-1,regle!$B$2-$M111),IF(AQ111=-1,-1,AQ111+1))))</f>
        <v>12</v>
      </c>
      <c r="AS111" s="16">
        <f>IF(OR(Y111=regle!$J$11,Y111=regle!$K$11),-2,IF(Y111=regle!$B$11,0,IF(AS$1=$AK$1,IF($O111,-1,regle!$B$2-$M111),IF(AR111=-1,-1,AR111+1))))</f>
        <v>13</v>
      </c>
      <c r="AT111" s="16">
        <f>IF(OR(Z111=regle!$J$11,Z111=regle!$K$11),-2,IF(Z111=regle!$B$11,0,IF(AT$1=$AK$1,IF($O111,-1,regle!$B$2-$M111),IF(AS111=-1,-1,AS111+1))))</f>
        <v>14</v>
      </c>
    </row>
    <row r="112" spans="1:46" x14ac:dyDescent="0.25">
      <c r="A112" t="b">
        <f>modif1!A112</f>
        <v>1</v>
      </c>
      <c r="B112">
        <f>ROW(modif1!B112)</f>
        <v>112</v>
      </c>
      <c r="C112" t="str">
        <f>modif1!C115</f>
        <v>202</v>
      </c>
      <c r="D112" t="str">
        <f>modif1!D112</f>
        <v>CABANAC-ET-VILLAGRAINS</v>
      </c>
      <c r="E112">
        <f>modif1!E112</f>
        <v>12</v>
      </c>
      <c r="F112" t="str">
        <f>modif1!F112</f>
        <v>LES JEANNOTS</v>
      </c>
      <c r="G112" t="str">
        <f>modif1!G112</f>
        <v>0D</v>
      </c>
      <c r="H112">
        <f>modif1!H112</f>
        <v>1437</v>
      </c>
      <c r="I112" t="str">
        <f>modif1!I112</f>
        <v>j</v>
      </c>
      <c r="J112" s="11">
        <f>modif1!J112</f>
        <v>0.26919999999999999</v>
      </c>
      <c r="K112" t="str">
        <f>modif1!K112</f>
        <v>PLA</v>
      </c>
      <c r="L112" t="str">
        <f>modif1!L112</f>
        <v>PM</v>
      </c>
      <c r="M112">
        <f>modif1!M112</f>
        <v>2019</v>
      </c>
      <c r="N112" t="str">
        <f>modif1!N112</f>
        <v>PLA-PM_2019</v>
      </c>
      <c r="O112" t="b">
        <f>modif1!O112</f>
        <v>0</v>
      </c>
      <c r="P112">
        <v>40</v>
      </c>
      <c r="Q112" t="s">
        <v>1870</v>
      </c>
      <c r="S112" t="s">
        <v>1871</v>
      </c>
      <c r="X112" t="s">
        <v>1803</v>
      </c>
      <c r="Z112"/>
      <c r="AA112" s="17">
        <f>IF($A112,$J112*(IF(Q112=regle!$B$11,regle!$B$23*IF(AJ112=-2,1+regle!$B$35,1),
IF(Q112=regle!$C$11,regle!$C$23,
IF(Q112=regle!$D$11,regle!$D$23,
IF(Q112=regle!$E$11,regle!$E$23,
IF(Q112=regle!$F$11,regle!$F$23,
IF(Q112=regle!$G$11,regle!$G$23,
IF(Q112=regle!$H$11,regle!$H$23,
IF(Q112=regle!$I$11,regle!$I$23,
IF(Q112=regle!$J$11,regle!$J$23,
IF(Q112=regle!$K$11,regle!$K$23,0))))))))))))</f>
        <v>-24.227999999999998</v>
      </c>
      <c r="AB112" s="17">
        <f>IF($A112,$J112*(IF(R112=regle!$B$11,regle!$B$23*IF(AK112=-2,1+regle!$B$35,1),
IF(R112=regle!$C$11,regle!$C$23,
IF(R112=regle!$D$11,regle!$D$23,
IF(R112=regle!$E$11,regle!$E$23,
IF(R112=regle!$F$11,regle!$F$23,
IF(R112=regle!$G$11,regle!$G$23,
IF(R112=regle!$H$11,regle!$H$23,
IF(R112=regle!$I$11,regle!$I$23,
IF(R112=regle!$J$11,regle!$J$23,
IF(R112=regle!$K$11,regle!$K$23,0))))))))))))</f>
        <v>0</v>
      </c>
      <c r="AC112" s="17">
        <f>IF($A112,$J112*(IF(S112=regle!$B$11,regle!$B$23*IF(AL112=-2,1+regle!$B$35,1),
IF(S112=regle!$C$11,regle!$C$23,
IF(S112=regle!$D$11,regle!$D$23,
IF(S112=regle!$E$11,regle!$E$23,
IF(S112=regle!$F$11,regle!$F$23,
IF(S112=regle!$G$11,regle!$G$23,
IF(S112=regle!$H$11,regle!$H$23,
IF(S112=regle!$I$11,regle!$I$23,
IF(S112=regle!$J$11,regle!$J$23,
IF(S112=regle!$K$11,regle!$K$23,0))))))))))))</f>
        <v>-24.227999999999998</v>
      </c>
      <c r="AD112" s="17">
        <f>IF($A112,$J112*(IF(T112=regle!$B$11,regle!$B$23*IF(AM112=-2,1+regle!$B$35,1),
IF(T112=regle!$C$11,regle!$C$23,
IF(T112=regle!$D$11,regle!$D$23,
IF(T112=regle!$E$11,regle!$E$23,
IF(T112=regle!$F$11,regle!$F$23,
IF(T112=regle!$G$11,regle!$G$23,
IF(T112=regle!$H$11,regle!$H$23,
IF(T112=regle!$I$11,regle!$I$23,
IF(T112=regle!$J$11,regle!$J$23,
IF(T112=regle!$K$11,regle!$K$23,0))))))))))))</f>
        <v>0</v>
      </c>
      <c r="AE112" s="17">
        <f>IF($A112,$J112*(IF(U112=regle!$B$11,regle!$B$23*IF(AN112=-2,1+regle!$B$35,1),
IF(U112=regle!$C$11,regle!$C$23,
IF(U112=regle!$D$11,regle!$D$23,
IF(U112=regle!$E$11,regle!$E$23,
IF(U112=regle!$F$11,regle!$F$23,
IF(U112=regle!$G$11,regle!$G$23,
IF(U112=regle!$H$11,regle!$H$23,
IF(U112=regle!$I$11,regle!$I$23,
IF(U112=regle!$J$11,regle!$J$23,
IF(U112=regle!$K$11,regle!$K$23,0))))))))))))</f>
        <v>0</v>
      </c>
      <c r="AF112" s="17">
        <f>IF($A112,$J112*(IF(V112=regle!$B$11,regle!$B$23*IF(AO112=-2,1+regle!$B$35,1),
IF(V112=regle!$C$11,regle!$C$23,
IF(V112=regle!$D$11,regle!$D$23,
IF(V112=regle!$E$11,regle!$E$23,
IF(V112=regle!$F$11,regle!$F$23,
IF(V112=regle!$G$11,regle!$G$23,
IF(V112=regle!$H$11,regle!$H$23,
IF(V112=regle!$I$11,regle!$I$23,
IF(V112=regle!$J$11,regle!$J$23,
IF(V112=regle!$K$11,regle!$K$23,0))))))))))))</f>
        <v>0</v>
      </c>
      <c r="AG112" s="17">
        <f>IF($A112,$J112*(IF(W112=regle!$B$11,regle!$B$23*IF(AP112=-2,1+regle!$B$35,1),
IF(W112=regle!$C$11,regle!$C$23,
IF(W112=regle!$D$11,regle!$D$23,
IF(W112=regle!$E$11,regle!$E$23,
IF(W112=regle!$F$11,regle!$F$23,
IF(W112=regle!$G$11,regle!$G$23,
IF(W112=regle!$H$11,regle!$H$23,
IF(W112=regle!$I$11,regle!$I$23,
IF(W112=regle!$J$11,regle!$J$23,
IF(W112=regle!$K$11,regle!$K$23,0))))))))))))</f>
        <v>0</v>
      </c>
      <c r="AH112" s="17">
        <f>IF($A112,$J112*(IF(X112=regle!$B$11,regle!$B$23*IF(AQ112=-2,1+regle!$B$35,1),
IF(X112=regle!$C$11,regle!$C$23,
IF(X112=regle!$D$11,regle!$D$23,
IF(X112=regle!$E$11,regle!$E$23,
IF(X112=regle!$F$11,regle!$F$23,
IF(X112=regle!$G$11,regle!$G$23,
IF(X112=regle!$H$11,regle!$H$23,
IF(X112=regle!$I$11,regle!$I$23,
IF(X112=regle!$J$11,regle!$J$23,
IF(X112=regle!$K$11,regle!$K$23,0))))))))))))</f>
        <v>155.0592</v>
      </c>
      <c r="AI112" s="17">
        <f>IF($A112,$J112*(IF(Y112=regle!$B$11,regle!$B$23*IF(AR112=-2,1+regle!$B$35,1),
IF(Y112=regle!$C$11,regle!$C$23,
IF(Y112=regle!$D$11,regle!$D$23,
IF(Y112=regle!$E$11,regle!$E$23,
IF(Y112=regle!$F$11,regle!$F$23,
IF(Y112=regle!$G$11,regle!$G$23,
IF(Y112=regle!$H$11,regle!$H$23,
IF(Y112=regle!$I$11,regle!$I$23,
IF(Y112=regle!$J$11,regle!$J$23,
IF(Y112=regle!$K$11,regle!$K$23,0))))))))))))</f>
        <v>0</v>
      </c>
      <c r="AJ112" s="17">
        <f>IF($A112,$J112*(IF(Z112=regle!$B$11,regle!$B$23*IF(AS112=-2,1+regle!$B$35,1),
IF(Z112=regle!$C$11,regle!$C$23,
IF(Z112=regle!$D$11,regle!$D$23,
IF(Z112=regle!$E$11,regle!$E$23,
IF(Z112=regle!$F$11,regle!$F$23,
IF(Z112=regle!$G$11,regle!$G$23,
IF(Z112=regle!$H$11,regle!$H$23,
IF(Z112=regle!$I$11,regle!$I$23,
IF(Z112=regle!$J$11,regle!$J$23,
IF(Z112=regle!$K$11,regle!$K$23,0))))))))))))</f>
        <v>0</v>
      </c>
      <c r="AK112" s="16">
        <f>IF(OR(Q112=regle!$J$11,Q112=regle!$K$11),-2,IF(Q112=regle!$B$11,0,IF(AK$1=$AK$1,IF($O112,-1,regle!$B$2-$M112),IF(AJ112=-1,-1,AJ112+1))))</f>
        <v>5</v>
      </c>
      <c r="AL112" s="16">
        <f>IF(OR(R112=regle!$J$11,R112=regle!$K$11),-2,IF(R112=regle!$B$11,0,IF(AL$1=$AK$1,IF($O112,-1,regle!$B$2-$M112),IF(AK112=-1,-1,AK112+1))))</f>
        <v>6</v>
      </c>
      <c r="AM112" s="16">
        <f>IF(OR(S112=regle!$J$11,S112=regle!$K$11),-2,IF(S112=regle!$B$11,0,IF(AM$1=$AK$1,IF($O112,-1,regle!$B$2-$M112),IF(AL112=-1,-1,AL112+1))))</f>
        <v>7</v>
      </c>
      <c r="AN112" s="16">
        <f>IF(OR(T112=regle!$J$11,T112=regle!$K$11),-2,IF(T112=regle!$B$11,0,IF(AN$1=$AK$1,IF($O112,-1,regle!$B$2-$M112),IF(AM112=-1,-1,AM112+1))))</f>
        <v>8</v>
      </c>
      <c r="AO112" s="16">
        <f>IF(OR(U112=regle!$J$11,U112=regle!$K$11),-2,IF(U112=regle!$B$11,0,IF(AO$1=$AK$1,IF($O112,-1,regle!$B$2-$M112),IF(AN112=-1,-1,AN112+1))))</f>
        <v>9</v>
      </c>
      <c r="AP112" s="16">
        <f>IF(OR(V112=regle!$J$11,V112=regle!$K$11),-2,IF(V112=regle!$B$11,0,IF(AP$1=$AK$1,IF($O112,-1,regle!$B$2-$M112),IF(AO112=-1,-1,AO112+1))))</f>
        <v>10</v>
      </c>
      <c r="AQ112" s="16">
        <f>IF(OR(W112=regle!$J$11,W112=regle!$K$11),-2,IF(W112=regle!$B$11,0,IF(AQ$1=$AK$1,IF($O112,-1,regle!$B$2-$M112),IF(AP112=-1,-1,AP112+1))))</f>
        <v>11</v>
      </c>
      <c r="AR112" s="16">
        <f>IF(OR(X112=regle!$J$11,X112=regle!$K$11),-2,IF(X112=regle!$B$11,0,IF(AR$1=$AK$1,IF($O112,-1,regle!$B$2-$M112),IF(AQ112=-1,-1,AQ112+1))))</f>
        <v>12</v>
      </c>
      <c r="AS112" s="16">
        <f>IF(OR(Y112=regle!$J$11,Y112=regle!$K$11),-2,IF(Y112=regle!$B$11,0,IF(AS$1=$AK$1,IF($O112,-1,regle!$B$2-$M112),IF(AR112=-1,-1,AR112+1))))</f>
        <v>13</v>
      </c>
      <c r="AT112" s="16">
        <f>IF(OR(Z112=regle!$J$11,Z112=regle!$K$11),-2,IF(Z112=regle!$B$11,0,IF(AT$1=$AK$1,IF($O112,-1,regle!$B$2-$M112),IF(AS112=-1,-1,AS112+1))))</f>
        <v>14</v>
      </c>
    </row>
    <row r="113" spans="1:46" x14ac:dyDescent="0.25">
      <c r="A113" t="b">
        <f>modif1!A113</f>
        <v>1</v>
      </c>
      <c r="B113">
        <f>ROW(modif1!B113)</f>
        <v>113</v>
      </c>
      <c r="C113" t="str">
        <f>modif1!C116</f>
        <v>202</v>
      </c>
      <c r="D113" t="str">
        <f>modif1!D113</f>
        <v>HOSTENS</v>
      </c>
      <c r="E113">
        <f>modif1!E113</f>
        <v>11</v>
      </c>
      <c r="F113" t="str">
        <f>modif1!F113</f>
        <v>LES CAZALAS</v>
      </c>
      <c r="G113" t="str">
        <f>modif1!G113</f>
        <v>0B</v>
      </c>
      <c r="H113">
        <f>modif1!H113</f>
        <v>1179</v>
      </c>
      <c r="I113" t="str">
        <f>modif1!I113</f>
        <v>j</v>
      </c>
      <c r="J113" s="11">
        <f>modif1!J113</f>
        <v>0.2452</v>
      </c>
      <c r="K113" t="str">
        <f>modif1!K113</f>
        <v>PLA</v>
      </c>
      <c r="L113" t="str">
        <f>modif1!L113</f>
        <v>PM</v>
      </c>
      <c r="M113">
        <f>modif1!M113</f>
        <v>2019</v>
      </c>
      <c r="N113" t="str">
        <f>modif1!N113</f>
        <v>PLA-PM_2019</v>
      </c>
      <c r="O113" t="b">
        <f>modif1!O113</f>
        <v>0</v>
      </c>
      <c r="P113">
        <v>40</v>
      </c>
      <c r="Q113" t="s">
        <v>1870</v>
      </c>
      <c r="S113" t="s">
        <v>1871</v>
      </c>
      <c r="X113" t="s">
        <v>1803</v>
      </c>
      <c r="Z113"/>
      <c r="AA113" s="17">
        <f>IF($A113,$J113*(IF(Q113=regle!$B$11,regle!$B$23*IF(AJ113=-2,1+regle!$B$35,1),
IF(Q113=regle!$C$11,regle!$C$23,
IF(Q113=regle!$D$11,regle!$D$23,
IF(Q113=regle!$E$11,regle!$E$23,
IF(Q113=regle!$F$11,regle!$F$23,
IF(Q113=regle!$G$11,regle!$G$23,
IF(Q113=regle!$H$11,regle!$H$23,
IF(Q113=regle!$I$11,regle!$I$23,
IF(Q113=regle!$J$11,regle!$J$23,
IF(Q113=regle!$K$11,regle!$K$23,0))))))))))))</f>
        <v>-22.068000000000001</v>
      </c>
      <c r="AB113" s="17">
        <f>IF($A113,$J113*(IF(R113=regle!$B$11,regle!$B$23*IF(AK113=-2,1+regle!$B$35,1),
IF(R113=regle!$C$11,regle!$C$23,
IF(R113=regle!$D$11,regle!$D$23,
IF(R113=regle!$E$11,regle!$E$23,
IF(R113=regle!$F$11,regle!$F$23,
IF(R113=regle!$G$11,regle!$G$23,
IF(R113=regle!$H$11,regle!$H$23,
IF(R113=regle!$I$11,regle!$I$23,
IF(R113=regle!$J$11,regle!$J$23,
IF(R113=regle!$K$11,regle!$K$23,0))))))))))))</f>
        <v>0</v>
      </c>
      <c r="AC113" s="17">
        <f>IF($A113,$J113*(IF(S113=regle!$B$11,regle!$B$23*IF(AL113=-2,1+regle!$B$35,1),
IF(S113=regle!$C$11,regle!$C$23,
IF(S113=regle!$D$11,regle!$D$23,
IF(S113=regle!$E$11,regle!$E$23,
IF(S113=regle!$F$11,regle!$F$23,
IF(S113=regle!$G$11,regle!$G$23,
IF(S113=regle!$H$11,regle!$H$23,
IF(S113=regle!$I$11,regle!$I$23,
IF(S113=regle!$J$11,regle!$J$23,
IF(S113=regle!$K$11,regle!$K$23,0))))))))))))</f>
        <v>-22.068000000000001</v>
      </c>
      <c r="AD113" s="17">
        <f>IF($A113,$J113*(IF(T113=regle!$B$11,regle!$B$23*IF(AM113=-2,1+regle!$B$35,1),
IF(T113=regle!$C$11,regle!$C$23,
IF(T113=regle!$D$11,regle!$D$23,
IF(T113=regle!$E$11,regle!$E$23,
IF(T113=regle!$F$11,regle!$F$23,
IF(T113=regle!$G$11,regle!$G$23,
IF(T113=regle!$H$11,regle!$H$23,
IF(T113=regle!$I$11,regle!$I$23,
IF(T113=regle!$J$11,regle!$J$23,
IF(T113=regle!$K$11,regle!$K$23,0))))))))))))</f>
        <v>0</v>
      </c>
      <c r="AE113" s="17">
        <f>IF($A113,$J113*(IF(U113=regle!$B$11,regle!$B$23*IF(AN113=-2,1+regle!$B$35,1),
IF(U113=regle!$C$11,regle!$C$23,
IF(U113=regle!$D$11,regle!$D$23,
IF(U113=regle!$E$11,regle!$E$23,
IF(U113=regle!$F$11,regle!$F$23,
IF(U113=regle!$G$11,regle!$G$23,
IF(U113=regle!$H$11,regle!$H$23,
IF(U113=regle!$I$11,regle!$I$23,
IF(U113=regle!$J$11,regle!$J$23,
IF(U113=regle!$K$11,regle!$K$23,0))))))))))))</f>
        <v>0</v>
      </c>
      <c r="AF113" s="17">
        <f>IF($A113,$J113*(IF(V113=regle!$B$11,regle!$B$23*IF(AO113=-2,1+regle!$B$35,1),
IF(V113=regle!$C$11,regle!$C$23,
IF(V113=regle!$D$11,regle!$D$23,
IF(V113=regle!$E$11,regle!$E$23,
IF(V113=regle!$F$11,regle!$F$23,
IF(V113=regle!$G$11,regle!$G$23,
IF(V113=regle!$H$11,regle!$H$23,
IF(V113=regle!$I$11,regle!$I$23,
IF(V113=regle!$J$11,regle!$J$23,
IF(V113=regle!$K$11,regle!$K$23,0))))))))))))</f>
        <v>0</v>
      </c>
      <c r="AG113" s="17">
        <f>IF($A113,$J113*(IF(W113=regle!$B$11,regle!$B$23*IF(AP113=-2,1+regle!$B$35,1),
IF(W113=regle!$C$11,regle!$C$23,
IF(W113=regle!$D$11,regle!$D$23,
IF(W113=regle!$E$11,regle!$E$23,
IF(W113=regle!$F$11,regle!$F$23,
IF(W113=regle!$G$11,regle!$G$23,
IF(W113=regle!$H$11,regle!$H$23,
IF(W113=regle!$I$11,regle!$I$23,
IF(W113=regle!$J$11,regle!$J$23,
IF(W113=regle!$K$11,regle!$K$23,0))))))))))))</f>
        <v>0</v>
      </c>
      <c r="AH113" s="17">
        <f>IF($A113,$J113*(IF(X113=regle!$B$11,regle!$B$23*IF(AQ113=-2,1+regle!$B$35,1),
IF(X113=regle!$C$11,regle!$C$23,
IF(X113=regle!$D$11,regle!$D$23,
IF(X113=regle!$E$11,regle!$E$23,
IF(X113=regle!$F$11,regle!$F$23,
IF(X113=regle!$G$11,regle!$G$23,
IF(X113=regle!$H$11,regle!$H$23,
IF(X113=regle!$I$11,regle!$I$23,
IF(X113=regle!$J$11,regle!$J$23,
IF(X113=regle!$K$11,regle!$K$23,0))))))))))))</f>
        <v>141.23519999999999</v>
      </c>
      <c r="AI113" s="17">
        <f>IF($A113,$J113*(IF(Y113=regle!$B$11,regle!$B$23*IF(AR113=-2,1+regle!$B$35,1),
IF(Y113=regle!$C$11,regle!$C$23,
IF(Y113=regle!$D$11,regle!$D$23,
IF(Y113=regle!$E$11,regle!$E$23,
IF(Y113=regle!$F$11,regle!$F$23,
IF(Y113=regle!$G$11,regle!$G$23,
IF(Y113=regle!$H$11,regle!$H$23,
IF(Y113=regle!$I$11,regle!$I$23,
IF(Y113=regle!$J$11,regle!$J$23,
IF(Y113=regle!$K$11,regle!$K$23,0))))))))))))</f>
        <v>0</v>
      </c>
      <c r="AJ113" s="17">
        <f>IF($A113,$J113*(IF(Z113=regle!$B$11,regle!$B$23*IF(AS113=-2,1+regle!$B$35,1),
IF(Z113=regle!$C$11,regle!$C$23,
IF(Z113=regle!$D$11,regle!$D$23,
IF(Z113=regle!$E$11,regle!$E$23,
IF(Z113=regle!$F$11,regle!$F$23,
IF(Z113=regle!$G$11,regle!$G$23,
IF(Z113=regle!$H$11,regle!$H$23,
IF(Z113=regle!$I$11,regle!$I$23,
IF(Z113=regle!$J$11,regle!$J$23,
IF(Z113=regle!$K$11,regle!$K$23,0))))))))))))</f>
        <v>0</v>
      </c>
      <c r="AK113" s="16">
        <f>IF(OR(Q113=regle!$J$11,Q113=regle!$K$11),-2,IF(Q113=regle!$B$11,0,IF(AK$1=$AK$1,IF($O113,-1,regle!$B$2-$M113),IF(AJ113=-1,-1,AJ113+1))))</f>
        <v>5</v>
      </c>
      <c r="AL113" s="16">
        <f>IF(OR(R113=regle!$J$11,R113=regle!$K$11),-2,IF(R113=regle!$B$11,0,IF(AL$1=$AK$1,IF($O113,-1,regle!$B$2-$M113),IF(AK113=-1,-1,AK113+1))))</f>
        <v>6</v>
      </c>
      <c r="AM113" s="16">
        <f>IF(OR(S113=regle!$J$11,S113=regle!$K$11),-2,IF(S113=regle!$B$11,0,IF(AM$1=$AK$1,IF($O113,-1,regle!$B$2-$M113),IF(AL113=-1,-1,AL113+1))))</f>
        <v>7</v>
      </c>
      <c r="AN113" s="16">
        <f>IF(OR(T113=regle!$J$11,T113=regle!$K$11),-2,IF(T113=regle!$B$11,0,IF(AN$1=$AK$1,IF($O113,-1,regle!$B$2-$M113),IF(AM113=-1,-1,AM113+1))))</f>
        <v>8</v>
      </c>
      <c r="AO113" s="16">
        <f>IF(OR(U113=regle!$J$11,U113=regle!$K$11),-2,IF(U113=regle!$B$11,0,IF(AO$1=$AK$1,IF($O113,-1,regle!$B$2-$M113),IF(AN113=-1,-1,AN113+1))))</f>
        <v>9</v>
      </c>
      <c r="AP113" s="16">
        <f>IF(OR(V113=regle!$J$11,V113=regle!$K$11),-2,IF(V113=regle!$B$11,0,IF(AP$1=$AK$1,IF($O113,-1,regle!$B$2-$M113),IF(AO113=-1,-1,AO113+1))))</f>
        <v>10</v>
      </c>
      <c r="AQ113" s="16">
        <f>IF(OR(W113=regle!$J$11,W113=regle!$K$11),-2,IF(W113=regle!$B$11,0,IF(AQ$1=$AK$1,IF($O113,-1,regle!$B$2-$M113),IF(AP113=-1,-1,AP113+1))))</f>
        <v>11</v>
      </c>
      <c r="AR113" s="16">
        <f>IF(OR(X113=regle!$J$11,X113=regle!$K$11),-2,IF(X113=regle!$B$11,0,IF(AR$1=$AK$1,IF($O113,-1,regle!$B$2-$M113),IF(AQ113=-1,-1,AQ113+1))))</f>
        <v>12</v>
      </c>
      <c r="AS113" s="16">
        <f>IF(OR(Y113=regle!$J$11,Y113=regle!$K$11),-2,IF(Y113=regle!$B$11,0,IF(AS$1=$AK$1,IF($O113,-1,regle!$B$2-$M113),IF(AR113=-1,-1,AR113+1))))</f>
        <v>13</v>
      </c>
      <c r="AT113" s="16">
        <f>IF(OR(Z113=regle!$J$11,Z113=regle!$K$11),-2,IF(Z113=regle!$B$11,0,IF(AT$1=$AK$1,IF($O113,-1,regle!$B$2-$M113),IF(AS113=-1,-1,AS113+1))))</f>
        <v>14</v>
      </c>
    </row>
    <row r="114" spans="1:46" x14ac:dyDescent="0.25">
      <c r="A114" t="b">
        <f>modif1!A114</f>
        <v>1</v>
      </c>
      <c r="B114">
        <f>ROW(modif1!B114)</f>
        <v>114</v>
      </c>
      <c r="C114" t="str">
        <f>modif1!C117</f>
        <v>202</v>
      </c>
      <c r="D114" t="str">
        <f>modif1!D114</f>
        <v>HOSTENS</v>
      </c>
      <c r="E114">
        <f>modif1!E114</f>
        <v>11</v>
      </c>
      <c r="F114" t="str">
        <f>modif1!F114</f>
        <v>LES CAZALAS</v>
      </c>
      <c r="G114" t="str">
        <f>modif1!G114</f>
        <v>0B</v>
      </c>
      <c r="H114">
        <f>modif1!H114</f>
        <v>1153</v>
      </c>
      <c r="I114" t="str">
        <f>modif1!I114</f>
        <v/>
      </c>
      <c r="J114" s="11">
        <f>modif1!J114</f>
        <v>0.21199999999999999</v>
      </c>
      <c r="K114" t="str">
        <f>modif1!K114</f>
        <v>PLA</v>
      </c>
      <c r="L114" t="str">
        <f>modif1!L114</f>
        <v>PM</v>
      </c>
      <c r="M114">
        <f>modif1!M114</f>
        <v>2019</v>
      </c>
      <c r="N114" t="str">
        <f>modif1!N114</f>
        <v>PLA-PM_2019</v>
      </c>
      <c r="O114" t="b">
        <f>modif1!O114</f>
        <v>0</v>
      </c>
      <c r="P114">
        <v>40</v>
      </c>
      <c r="Q114" t="s">
        <v>1870</v>
      </c>
      <c r="S114" t="s">
        <v>1871</v>
      </c>
      <c r="X114" t="s">
        <v>1803</v>
      </c>
      <c r="Z114"/>
      <c r="AA114" s="17">
        <f>IF($A114,$J114*(IF(Q114=regle!$B$11,regle!$B$23*IF(AJ114=-2,1+regle!$B$35,1),
IF(Q114=regle!$C$11,regle!$C$23,
IF(Q114=regle!$D$11,regle!$D$23,
IF(Q114=regle!$E$11,regle!$E$23,
IF(Q114=regle!$F$11,regle!$F$23,
IF(Q114=regle!$G$11,regle!$G$23,
IF(Q114=regle!$H$11,regle!$H$23,
IF(Q114=regle!$I$11,regle!$I$23,
IF(Q114=regle!$J$11,regle!$J$23,
IF(Q114=regle!$K$11,regle!$K$23,0))))))))))))</f>
        <v>-19.079999999999998</v>
      </c>
      <c r="AB114" s="17">
        <f>IF($A114,$J114*(IF(R114=regle!$B$11,regle!$B$23*IF(AK114=-2,1+regle!$B$35,1),
IF(R114=regle!$C$11,regle!$C$23,
IF(R114=regle!$D$11,regle!$D$23,
IF(R114=regle!$E$11,regle!$E$23,
IF(R114=regle!$F$11,regle!$F$23,
IF(R114=regle!$G$11,regle!$G$23,
IF(R114=regle!$H$11,regle!$H$23,
IF(R114=regle!$I$11,regle!$I$23,
IF(R114=regle!$J$11,regle!$J$23,
IF(R114=regle!$K$11,regle!$K$23,0))))))))))))</f>
        <v>0</v>
      </c>
      <c r="AC114" s="17">
        <f>IF($A114,$J114*(IF(S114=regle!$B$11,regle!$B$23*IF(AL114=-2,1+regle!$B$35,1),
IF(S114=regle!$C$11,regle!$C$23,
IF(S114=regle!$D$11,regle!$D$23,
IF(S114=regle!$E$11,regle!$E$23,
IF(S114=regle!$F$11,regle!$F$23,
IF(S114=regle!$G$11,regle!$G$23,
IF(S114=regle!$H$11,regle!$H$23,
IF(S114=regle!$I$11,regle!$I$23,
IF(S114=regle!$J$11,regle!$J$23,
IF(S114=regle!$K$11,regle!$K$23,0))))))))))))</f>
        <v>-19.079999999999998</v>
      </c>
      <c r="AD114" s="17">
        <f>IF($A114,$J114*(IF(T114=regle!$B$11,regle!$B$23*IF(AM114=-2,1+regle!$B$35,1),
IF(T114=regle!$C$11,regle!$C$23,
IF(T114=regle!$D$11,regle!$D$23,
IF(T114=regle!$E$11,regle!$E$23,
IF(T114=regle!$F$11,regle!$F$23,
IF(T114=regle!$G$11,regle!$G$23,
IF(T114=regle!$H$11,regle!$H$23,
IF(T114=regle!$I$11,regle!$I$23,
IF(T114=regle!$J$11,regle!$J$23,
IF(T114=regle!$K$11,regle!$K$23,0))))))))))))</f>
        <v>0</v>
      </c>
      <c r="AE114" s="17">
        <f>IF($A114,$J114*(IF(U114=regle!$B$11,regle!$B$23*IF(AN114=-2,1+regle!$B$35,1),
IF(U114=regle!$C$11,regle!$C$23,
IF(U114=regle!$D$11,regle!$D$23,
IF(U114=regle!$E$11,regle!$E$23,
IF(U114=regle!$F$11,regle!$F$23,
IF(U114=regle!$G$11,regle!$G$23,
IF(U114=regle!$H$11,regle!$H$23,
IF(U114=regle!$I$11,regle!$I$23,
IF(U114=regle!$J$11,regle!$J$23,
IF(U114=regle!$K$11,regle!$K$23,0))))))))))))</f>
        <v>0</v>
      </c>
      <c r="AF114" s="17">
        <f>IF($A114,$J114*(IF(V114=regle!$B$11,regle!$B$23*IF(AO114=-2,1+regle!$B$35,1),
IF(V114=regle!$C$11,regle!$C$23,
IF(V114=regle!$D$11,regle!$D$23,
IF(V114=regle!$E$11,regle!$E$23,
IF(V114=regle!$F$11,regle!$F$23,
IF(V114=regle!$G$11,regle!$G$23,
IF(V114=regle!$H$11,regle!$H$23,
IF(V114=regle!$I$11,regle!$I$23,
IF(V114=regle!$J$11,regle!$J$23,
IF(V114=regle!$K$11,regle!$K$23,0))))))))))))</f>
        <v>0</v>
      </c>
      <c r="AG114" s="17">
        <f>IF($A114,$J114*(IF(W114=regle!$B$11,regle!$B$23*IF(AP114=-2,1+regle!$B$35,1),
IF(W114=regle!$C$11,regle!$C$23,
IF(W114=regle!$D$11,regle!$D$23,
IF(W114=regle!$E$11,regle!$E$23,
IF(W114=regle!$F$11,regle!$F$23,
IF(W114=regle!$G$11,regle!$G$23,
IF(W114=regle!$H$11,regle!$H$23,
IF(W114=regle!$I$11,regle!$I$23,
IF(W114=regle!$J$11,regle!$J$23,
IF(W114=regle!$K$11,regle!$K$23,0))))))))))))</f>
        <v>0</v>
      </c>
      <c r="AH114" s="17">
        <f>IF($A114,$J114*(IF(X114=regle!$B$11,regle!$B$23*IF(AQ114=-2,1+regle!$B$35,1),
IF(X114=regle!$C$11,regle!$C$23,
IF(X114=regle!$D$11,regle!$D$23,
IF(X114=regle!$E$11,regle!$E$23,
IF(X114=regle!$F$11,regle!$F$23,
IF(X114=regle!$G$11,regle!$G$23,
IF(X114=regle!$H$11,regle!$H$23,
IF(X114=regle!$I$11,regle!$I$23,
IF(X114=regle!$J$11,regle!$J$23,
IF(X114=regle!$K$11,regle!$K$23,0))))))))))))</f>
        <v>122.11199999999999</v>
      </c>
      <c r="AI114" s="17">
        <f>IF($A114,$J114*(IF(Y114=regle!$B$11,regle!$B$23*IF(AR114=-2,1+regle!$B$35,1),
IF(Y114=regle!$C$11,regle!$C$23,
IF(Y114=regle!$D$11,regle!$D$23,
IF(Y114=regle!$E$11,regle!$E$23,
IF(Y114=regle!$F$11,regle!$F$23,
IF(Y114=regle!$G$11,regle!$G$23,
IF(Y114=regle!$H$11,regle!$H$23,
IF(Y114=regle!$I$11,regle!$I$23,
IF(Y114=regle!$J$11,regle!$J$23,
IF(Y114=regle!$K$11,regle!$K$23,0))))))))))))</f>
        <v>0</v>
      </c>
      <c r="AJ114" s="17">
        <f>IF($A114,$J114*(IF(Z114=regle!$B$11,regle!$B$23*IF(AS114=-2,1+regle!$B$35,1),
IF(Z114=regle!$C$11,regle!$C$23,
IF(Z114=regle!$D$11,regle!$D$23,
IF(Z114=regle!$E$11,regle!$E$23,
IF(Z114=regle!$F$11,regle!$F$23,
IF(Z114=regle!$G$11,regle!$G$23,
IF(Z114=regle!$H$11,regle!$H$23,
IF(Z114=regle!$I$11,regle!$I$23,
IF(Z114=regle!$J$11,regle!$J$23,
IF(Z114=regle!$K$11,regle!$K$23,0))))))))))))</f>
        <v>0</v>
      </c>
      <c r="AK114" s="16">
        <f>IF(OR(Q114=regle!$J$11,Q114=regle!$K$11),-2,IF(Q114=regle!$B$11,0,IF(AK$1=$AK$1,IF($O114,-1,regle!$B$2-$M114),IF(AJ114=-1,-1,AJ114+1))))</f>
        <v>5</v>
      </c>
      <c r="AL114" s="16">
        <f>IF(OR(R114=regle!$J$11,R114=regle!$K$11),-2,IF(R114=regle!$B$11,0,IF(AL$1=$AK$1,IF($O114,-1,regle!$B$2-$M114),IF(AK114=-1,-1,AK114+1))))</f>
        <v>6</v>
      </c>
      <c r="AM114" s="16">
        <f>IF(OR(S114=regle!$J$11,S114=regle!$K$11),-2,IF(S114=regle!$B$11,0,IF(AM$1=$AK$1,IF($O114,-1,regle!$B$2-$M114),IF(AL114=-1,-1,AL114+1))))</f>
        <v>7</v>
      </c>
      <c r="AN114" s="16">
        <f>IF(OR(T114=regle!$J$11,T114=regle!$K$11),-2,IF(T114=regle!$B$11,0,IF(AN$1=$AK$1,IF($O114,-1,regle!$B$2-$M114),IF(AM114=-1,-1,AM114+1))))</f>
        <v>8</v>
      </c>
      <c r="AO114" s="16">
        <f>IF(OR(U114=regle!$J$11,U114=regle!$K$11),-2,IF(U114=regle!$B$11,0,IF(AO$1=$AK$1,IF($O114,-1,regle!$B$2-$M114),IF(AN114=-1,-1,AN114+1))))</f>
        <v>9</v>
      </c>
      <c r="AP114" s="16">
        <f>IF(OR(V114=regle!$J$11,V114=regle!$K$11),-2,IF(V114=regle!$B$11,0,IF(AP$1=$AK$1,IF($O114,-1,regle!$B$2-$M114),IF(AO114=-1,-1,AO114+1))))</f>
        <v>10</v>
      </c>
      <c r="AQ114" s="16">
        <f>IF(OR(W114=regle!$J$11,W114=regle!$K$11),-2,IF(W114=regle!$B$11,0,IF(AQ$1=$AK$1,IF($O114,-1,regle!$B$2-$M114),IF(AP114=-1,-1,AP114+1))))</f>
        <v>11</v>
      </c>
      <c r="AR114" s="16">
        <f>IF(OR(X114=regle!$J$11,X114=regle!$K$11),-2,IF(X114=regle!$B$11,0,IF(AR$1=$AK$1,IF($O114,-1,regle!$B$2-$M114),IF(AQ114=-1,-1,AQ114+1))))</f>
        <v>12</v>
      </c>
      <c r="AS114" s="16">
        <f>IF(OR(Y114=regle!$J$11,Y114=regle!$K$11),-2,IF(Y114=regle!$B$11,0,IF(AS$1=$AK$1,IF($O114,-1,regle!$B$2-$M114),IF(AR114=-1,-1,AR114+1))))</f>
        <v>13</v>
      </c>
      <c r="AT114" s="16">
        <f>IF(OR(Z114=regle!$J$11,Z114=regle!$K$11),-2,IF(Z114=regle!$B$11,0,IF(AT$1=$AK$1,IF($O114,-1,regle!$B$2-$M114),IF(AS114=-1,-1,AS114+1))))</f>
        <v>14</v>
      </c>
    </row>
    <row r="115" spans="1:46" x14ac:dyDescent="0.25">
      <c r="A115" t="b">
        <f>modif1!A115</f>
        <v>1</v>
      </c>
      <c r="B115">
        <f>ROW(modif1!B115)</f>
        <v>115</v>
      </c>
      <c r="C115" t="str">
        <f>modif1!C118</f>
        <v>077</v>
      </c>
      <c r="D115" t="str">
        <f>modif1!D115</f>
        <v>HOSTENS</v>
      </c>
      <c r="E115">
        <f>modif1!E115</f>
        <v>11</v>
      </c>
      <c r="F115" t="str">
        <f>modif1!F115</f>
        <v>LES CAZALAS</v>
      </c>
      <c r="G115" t="str">
        <f>modif1!G115</f>
        <v>0B</v>
      </c>
      <c r="H115">
        <f>modif1!H115</f>
        <v>1150</v>
      </c>
      <c r="I115" t="str">
        <f>modif1!I115</f>
        <v>k</v>
      </c>
      <c r="J115" s="11">
        <f>modif1!J115</f>
        <v>0.2041</v>
      </c>
      <c r="K115" t="str">
        <f>modif1!K115</f>
        <v>PLA</v>
      </c>
      <c r="L115" t="str">
        <f>modif1!L115</f>
        <v>PM</v>
      </c>
      <c r="M115">
        <f>modif1!M115</f>
        <v>2019</v>
      </c>
      <c r="N115" t="str">
        <f>modif1!N115</f>
        <v>PLA-PM_2019</v>
      </c>
      <c r="O115" t="b">
        <f>modif1!O115</f>
        <v>0</v>
      </c>
      <c r="P115">
        <v>40</v>
      </c>
      <c r="Q115" t="s">
        <v>1870</v>
      </c>
      <c r="S115" t="s">
        <v>1871</v>
      </c>
      <c r="X115" t="s">
        <v>1803</v>
      </c>
      <c r="Z115"/>
      <c r="AA115" s="17">
        <f>IF($A115,$J115*(IF(Q115=regle!$B$11,regle!$B$23*IF(AJ115=-2,1+regle!$B$35,1),
IF(Q115=regle!$C$11,regle!$C$23,
IF(Q115=regle!$D$11,regle!$D$23,
IF(Q115=regle!$E$11,regle!$E$23,
IF(Q115=regle!$F$11,regle!$F$23,
IF(Q115=regle!$G$11,regle!$G$23,
IF(Q115=regle!$H$11,regle!$H$23,
IF(Q115=regle!$I$11,regle!$I$23,
IF(Q115=regle!$J$11,regle!$J$23,
IF(Q115=regle!$K$11,regle!$K$23,0))))))))))))</f>
        <v>-18.369</v>
      </c>
      <c r="AB115" s="17">
        <f>IF($A115,$J115*(IF(R115=regle!$B$11,regle!$B$23*IF(AK115=-2,1+regle!$B$35,1),
IF(R115=regle!$C$11,regle!$C$23,
IF(R115=regle!$D$11,regle!$D$23,
IF(R115=regle!$E$11,regle!$E$23,
IF(R115=regle!$F$11,regle!$F$23,
IF(R115=regle!$G$11,regle!$G$23,
IF(R115=regle!$H$11,regle!$H$23,
IF(R115=regle!$I$11,regle!$I$23,
IF(R115=regle!$J$11,regle!$J$23,
IF(R115=regle!$K$11,regle!$K$23,0))))))))))))</f>
        <v>0</v>
      </c>
      <c r="AC115" s="17">
        <f>IF($A115,$J115*(IF(S115=regle!$B$11,regle!$B$23*IF(AL115=-2,1+regle!$B$35,1),
IF(S115=regle!$C$11,regle!$C$23,
IF(S115=regle!$D$11,regle!$D$23,
IF(S115=regle!$E$11,regle!$E$23,
IF(S115=regle!$F$11,regle!$F$23,
IF(S115=regle!$G$11,regle!$G$23,
IF(S115=regle!$H$11,regle!$H$23,
IF(S115=regle!$I$11,regle!$I$23,
IF(S115=regle!$J$11,regle!$J$23,
IF(S115=regle!$K$11,regle!$K$23,0))))))))))))</f>
        <v>-18.369</v>
      </c>
      <c r="AD115" s="17">
        <f>IF($A115,$J115*(IF(T115=regle!$B$11,regle!$B$23*IF(AM115=-2,1+regle!$B$35,1),
IF(T115=regle!$C$11,regle!$C$23,
IF(T115=regle!$D$11,regle!$D$23,
IF(T115=regle!$E$11,regle!$E$23,
IF(T115=regle!$F$11,regle!$F$23,
IF(T115=regle!$G$11,regle!$G$23,
IF(T115=regle!$H$11,regle!$H$23,
IF(T115=regle!$I$11,regle!$I$23,
IF(T115=regle!$J$11,regle!$J$23,
IF(T115=regle!$K$11,regle!$K$23,0))))))))))))</f>
        <v>0</v>
      </c>
      <c r="AE115" s="17">
        <f>IF($A115,$J115*(IF(U115=regle!$B$11,regle!$B$23*IF(AN115=-2,1+regle!$B$35,1),
IF(U115=regle!$C$11,regle!$C$23,
IF(U115=regle!$D$11,regle!$D$23,
IF(U115=regle!$E$11,regle!$E$23,
IF(U115=regle!$F$11,regle!$F$23,
IF(U115=regle!$G$11,regle!$G$23,
IF(U115=regle!$H$11,regle!$H$23,
IF(U115=regle!$I$11,regle!$I$23,
IF(U115=regle!$J$11,regle!$J$23,
IF(U115=regle!$K$11,regle!$K$23,0))))))))))))</f>
        <v>0</v>
      </c>
      <c r="AF115" s="17">
        <f>IF($A115,$J115*(IF(V115=regle!$B$11,regle!$B$23*IF(AO115=-2,1+regle!$B$35,1),
IF(V115=regle!$C$11,regle!$C$23,
IF(V115=regle!$D$11,regle!$D$23,
IF(V115=regle!$E$11,regle!$E$23,
IF(V115=regle!$F$11,regle!$F$23,
IF(V115=regle!$G$11,regle!$G$23,
IF(V115=regle!$H$11,regle!$H$23,
IF(V115=regle!$I$11,regle!$I$23,
IF(V115=regle!$J$11,regle!$J$23,
IF(V115=regle!$K$11,regle!$K$23,0))))))))))))</f>
        <v>0</v>
      </c>
      <c r="AG115" s="17">
        <f>IF($A115,$J115*(IF(W115=regle!$B$11,regle!$B$23*IF(AP115=-2,1+regle!$B$35,1),
IF(W115=regle!$C$11,regle!$C$23,
IF(W115=regle!$D$11,regle!$D$23,
IF(W115=regle!$E$11,regle!$E$23,
IF(W115=regle!$F$11,regle!$F$23,
IF(W115=regle!$G$11,regle!$G$23,
IF(W115=regle!$H$11,regle!$H$23,
IF(W115=regle!$I$11,regle!$I$23,
IF(W115=regle!$J$11,regle!$J$23,
IF(W115=regle!$K$11,regle!$K$23,0))))))))))))</f>
        <v>0</v>
      </c>
      <c r="AH115" s="17">
        <f>IF($A115,$J115*(IF(X115=regle!$B$11,regle!$B$23*IF(AQ115=-2,1+regle!$B$35,1),
IF(X115=regle!$C$11,regle!$C$23,
IF(X115=regle!$D$11,regle!$D$23,
IF(X115=regle!$E$11,regle!$E$23,
IF(X115=regle!$F$11,regle!$F$23,
IF(X115=regle!$G$11,regle!$G$23,
IF(X115=regle!$H$11,regle!$H$23,
IF(X115=regle!$I$11,regle!$I$23,
IF(X115=regle!$J$11,regle!$J$23,
IF(X115=regle!$K$11,regle!$K$23,0))))))))))))</f>
        <v>117.5616</v>
      </c>
      <c r="AI115" s="17">
        <f>IF($A115,$J115*(IF(Y115=regle!$B$11,regle!$B$23*IF(AR115=-2,1+regle!$B$35,1),
IF(Y115=regle!$C$11,regle!$C$23,
IF(Y115=regle!$D$11,regle!$D$23,
IF(Y115=regle!$E$11,regle!$E$23,
IF(Y115=regle!$F$11,regle!$F$23,
IF(Y115=regle!$G$11,regle!$G$23,
IF(Y115=regle!$H$11,regle!$H$23,
IF(Y115=regle!$I$11,regle!$I$23,
IF(Y115=regle!$J$11,regle!$J$23,
IF(Y115=regle!$K$11,regle!$K$23,0))))))))))))</f>
        <v>0</v>
      </c>
      <c r="AJ115" s="17">
        <f>IF($A115,$J115*(IF(Z115=regle!$B$11,regle!$B$23*IF(AS115=-2,1+regle!$B$35,1),
IF(Z115=regle!$C$11,regle!$C$23,
IF(Z115=regle!$D$11,regle!$D$23,
IF(Z115=regle!$E$11,regle!$E$23,
IF(Z115=regle!$F$11,regle!$F$23,
IF(Z115=regle!$G$11,regle!$G$23,
IF(Z115=regle!$H$11,regle!$H$23,
IF(Z115=regle!$I$11,regle!$I$23,
IF(Z115=regle!$J$11,regle!$J$23,
IF(Z115=regle!$K$11,regle!$K$23,0))))))))))))</f>
        <v>0</v>
      </c>
      <c r="AK115" s="16">
        <f>IF(OR(Q115=regle!$J$11,Q115=regle!$K$11),-2,IF(Q115=regle!$B$11,0,IF(AK$1=$AK$1,IF($O115,-1,regle!$B$2-$M115),IF(AJ115=-1,-1,AJ115+1))))</f>
        <v>5</v>
      </c>
      <c r="AL115" s="16">
        <f>IF(OR(R115=regle!$J$11,R115=regle!$K$11),-2,IF(R115=regle!$B$11,0,IF(AL$1=$AK$1,IF($O115,-1,regle!$B$2-$M115),IF(AK115=-1,-1,AK115+1))))</f>
        <v>6</v>
      </c>
      <c r="AM115" s="16">
        <f>IF(OR(S115=regle!$J$11,S115=regle!$K$11),-2,IF(S115=regle!$B$11,0,IF(AM$1=$AK$1,IF($O115,-1,regle!$B$2-$M115),IF(AL115=-1,-1,AL115+1))))</f>
        <v>7</v>
      </c>
      <c r="AN115" s="16">
        <f>IF(OR(T115=regle!$J$11,T115=regle!$K$11),-2,IF(T115=regle!$B$11,0,IF(AN$1=$AK$1,IF($O115,-1,regle!$B$2-$M115),IF(AM115=-1,-1,AM115+1))))</f>
        <v>8</v>
      </c>
      <c r="AO115" s="16">
        <f>IF(OR(U115=regle!$J$11,U115=regle!$K$11),-2,IF(U115=regle!$B$11,0,IF(AO$1=$AK$1,IF($O115,-1,regle!$B$2-$M115),IF(AN115=-1,-1,AN115+1))))</f>
        <v>9</v>
      </c>
      <c r="AP115" s="16">
        <f>IF(OR(V115=regle!$J$11,V115=regle!$K$11),-2,IF(V115=regle!$B$11,0,IF(AP$1=$AK$1,IF($O115,-1,regle!$B$2-$M115),IF(AO115=-1,-1,AO115+1))))</f>
        <v>10</v>
      </c>
      <c r="AQ115" s="16">
        <f>IF(OR(W115=regle!$J$11,W115=regle!$K$11),-2,IF(W115=regle!$B$11,0,IF(AQ$1=$AK$1,IF($O115,-1,regle!$B$2-$M115),IF(AP115=-1,-1,AP115+1))))</f>
        <v>11</v>
      </c>
      <c r="AR115" s="16">
        <f>IF(OR(X115=regle!$J$11,X115=regle!$K$11),-2,IF(X115=regle!$B$11,0,IF(AR$1=$AK$1,IF($O115,-1,regle!$B$2-$M115),IF(AQ115=-1,-1,AQ115+1))))</f>
        <v>12</v>
      </c>
      <c r="AS115" s="16">
        <f>IF(OR(Y115=regle!$J$11,Y115=regle!$K$11),-2,IF(Y115=regle!$B$11,0,IF(AS$1=$AK$1,IF($O115,-1,regle!$B$2-$M115),IF(AR115=-1,-1,AR115+1))))</f>
        <v>13</v>
      </c>
      <c r="AT115" s="16">
        <f>IF(OR(Z115=regle!$J$11,Z115=regle!$K$11),-2,IF(Z115=regle!$B$11,0,IF(AT$1=$AK$1,IF($O115,-1,regle!$B$2-$M115),IF(AS115=-1,-1,AS115+1))))</f>
        <v>14</v>
      </c>
    </row>
    <row r="116" spans="1:46" x14ac:dyDescent="0.25">
      <c r="A116" t="b">
        <f>modif1!A116</f>
        <v>1</v>
      </c>
      <c r="B116">
        <f>ROW(modif1!B116)</f>
        <v>116</v>
      </c>
      <c r="C116" t="str">
        <f>modif1!C119</f>
        <v>202</v>
      </c>
      <c r="D116" t="str">
        <f>modif1!D116</f>
        <v>HOSTENS</v>
      </c>
      <c r="E116">
        <f>modif1!E116</f>
        <v>11</v>
      </c>
      <c r="F116" t="str">
        <f>modif1!F116</f>
        <v>LES CAZALAS</v>
      </c>
      <c r="G116" t="str">
        <f>modif1!G116</f>
        <v>0B</v>
      </c>
      <c r="H116">
        <f>modif1!H116</f>
        <v>1578</v>
      </c>
      <c r="I116" t="str">
        <f>modif1!I116</f>
        <v>j</v>
      </c>
      <c r="J116" s="11">
        <f>modif1!J116</f>
        <v>0.1762</v>
      </c>
      <c r="K116" t="str">
        <f>modif1!K116</f>
        <v>PLA</v>
      </c>
      <c r="L116" t="str">
        <f>modif1!L116</f>
        <v>PM</v>
      </c>
      <c r="M116">
        <f>modif1!M116</f>
        <v>2019</v>
      </c>
      <c r="N116" t="str">
        <f>modif1!N116</f>
        <v>PLA-PM_2019</v>
      </c>
      <c r="O116" t="b">
        <f>modif1!O116</f>
        <v>0</v>
      </c>
      <c r="P116">
        <v>40</v>
      </c>
      <c r="Q116" t="s">
        <v>1870</v>
      </c>
      <c r="S116" t="s">
        <v>1871</v>
      </c>
      <c r="X116" t="s">
        <v>1803</v>
      </c>
      <c r="Z116"/>
      <c r="AA116" s="17">
        <f>IF($A116,$J116*(IF(Q116=regle!$B$11,regle!$B$23*IF(AJ116=-2,1+regle!$B$35,1),
IF(Q116=regle!$C$11,regle!$C$23,
IF(Q116=regle!$D$11,regle!$D$23,
IF(Q116=regle!$E$11,regle!$E$23,
IF(Q116=regle!$F$11,regle!$F$23,
IF(Q116=regle!$G$11,regle!$G$23,
IF(Q116=regle!$H$11,regle!$H$23,
IF(Q116=regle!$I$11,regle!$I$23,
IF(Q116=regle!$J$11,regle!$J$23,
IF(Q116=regle!$K$11,regle!$K$23,0))))))))))))</f>
        <v>-15.857999999999999</v>
      </c>
      <c r="AB116" s="17">
        <f>IF($A116,$J116*(IF(R116=regle!$B$11,regle!$B$23*IF(AK116=-2,1+regle!$B$35,1),
IF(R116=regle!$C$11,regle!$C$23,
IF(R116=regle!$D$11,regle!$D$23,
IF(R116=regle!$E$11,regle!$E$23,
IF(R116=regle!$F$11,regle!$F$23,
IF(R116=regle!$G$11,regle!$G$23,
IF(R116=regle!$H$11,regle!$H$23,
IF(R116=regle!$I$11,regle!$I$23,
IF(R116=regle!$J$11,regle!$J$23,
IF(R116=regle!$K$11,regle!$K$23,0))))))))))))</f>
        <v>0</v>
      </c>
      <c r="AC116" s="17">
        <f>IF($A116,$J116*(IF(S116=regle!$B$11,regle!$B$23*IF(AL116=-2,1+regle!$B$35,1),
IF(S116=regle!$C$11,regle!$C$23,
IF(S116=regle!$D$11,regle!$D$23,
IF(S116=regle!$E$11,regle!$E$23,
IF(S116=regle!$F$11,regle!$F$23,
IF(S116=regle!$G$11,regle!$G$23,
IF(S116=regle!$H$11,regle!$H$23,
IF(S116=regle!$I$11,regle!$I$23,
IF(S116=regle!$J$11,regle!$J$23,
IF(S116=regle!$K$11,regle!$K$23,0))))))))))))</f>
        <v>-15.857999999999999</v>
      </c>
      <c r="AD116" s="17">
        <f>IF($A116,$J116*(IF(T116=regle!$B$11,regle!$B$23*IF(AM116=-2,1+regle!$B$35,1),
IF(T116=regle!$C$11,regle!$C$23,
IF(T116=regle!$D$11,regle!$D$23,
IF(T116=regle!$E$11,regle!$E$23,
IF(T116=regle!$F$11,regle!$F$23,
IF(T116=regle!$G$11,regle!$G$23,
IF(T116=regle!$H$11,regle!$H$23,
IF(T116=regle!$I$11,regle!$I$23,
IF(T116=regle!$J$11,regle!$J$23,
IF(T116=regle!$K$11,regle!$K$23,0))))))))))))</f>
        <v>0</v>
      </c>
      <c r="AE116" s="17">
        <f>IF($A116,$J116*(IF(U116=regle!$B$11,regle!$B$23*IF(AN116=-2,1+regle!$B$35,1),
IF(U116=regle!$C$11,regle!$C$23,
IF(U116=regle!$D$11,regle!$D$23,
IF(U116=regle!$E$11,regle!$E$23,
IF(U116=regle!$F$11,regle!$F$23,
IF(U116=regle!$G$11,regle!$G$23,
IF(U116=regle!$H$11,regle!$H$23,
IF(U116=regle!$I$11,regle!$I$23,
IF(U116=regle!$J$11,regle!$J$23,
IF(U116=regle!$K$11,regle!$K$23,0))))))))))))</f>
        <v>0</v>
      </c>
      <c r="AF116" s="17">
        <f>IF($A116,$J116*(IF(V116=regle!$B$11,regle!$B$23*IF(AO116=-2,1+regle!$B$35,1),
IF(V116=regle!$C$11,regle!$C$23,
IF(V116=regle!$D$11,regle!$D$23,
IF(V116=regle!$E$11,regle!$E$23,
IF(V116=regle!$F$11,regle!$F$23,
IF(V116=regle!$G$11,regle!$G$23,
IF(V116=regle!$H$11,regle!$H$23,
IF(V116=regle!$I$11,regle!$I$23,
IF(V116=regle!$J$11,regle!$J$23,
IF(V116=regle!$K$11,regle!$K$23,0))))))))))))</f>
        <v>0</v>
      </c>
      <c r="AG116" s="17">
        <f>IF($A116,$J116*(IF(W116=regle!$B$11,regle!$B$23*IF(AP116=-2,1+regle!$B$35,1),
IF(W116=regle!$C$11,regle!$C$23,
IF(W116=regle!$D$11,regle!$D$23,
IF(W116=regle!$E$11,regle!$E$23,
IF(W116=regle!$F$11,regle!$F$23,
IF(W116=regle!$G$11,regle!$G$23,
IF(W116=regle!$H$11,regle!$H$23,
IF(W116=regle!$I$11,regle!$I$23,
IF(W116=regle!$J$11,regle!$J$23,
IF(W116=regle!$K$11,regle!$K$23,0))))))))))))</f>
        <v>0</v>
      </c>
      <c r="AH116" s="17">
        <f>IF($A116,$J116*(IF(X116=regle!$B$11,regle!$B$23*IF(AQ116=-2,1+regle!$B$35,1),
IF(X116=regle!$C$11,regle!$C$23,
IF(X116=regle!$D$11,regle!$D$23,
IF(X116=regle!$E$11,regle!$E$23,
IF(X116=regle!$F$11,regle!$F$23,
IF(X116=regle!$G$11,regle!$G$23,
IF(X116=regle!$H$11,regle!$H$23,
IF(X116=regle!$I$11,regle!$I$23,
IF(X116=regle!$J$11,regle!$J$23,
IF(X116=regle!$K$11,regle!$K$23,0))))))))))))</f>
        <v>101.49119999999999</v>
      </c>
      <c r="AI116" s="17">
        <f>IF($A116,$J116*(IF(Y116=regle!$B$11,regle!$B$23*IF(AR116=-2,1+regle!$B$35,1),
IF(Y116=regle!$C$11,regle!$C$23,
IF(Y116=regle!$D$11,regle!$D$23,
IF(Y116=regle!$E$11,regle!$E$23,
IF(Y116=regle!$F$11,regle!$F$23,
IF(Y116=regle!$G$11,regle!$G$23,
IF(Y116=regle!$H$11,regle!$H$23,
IF(Y116=regle!$I$11,regle!$I$23,
IF(Y116=regle!$J$11,regle!$J$23,
IF(Y116=regle!$K$11,regle!$K$23,0))))))))))))</f>
        <v>0</v>
      </c>
      <c r="AJ116" s="17">
        <f>IF($A116,$J116*(IF(Z116=regle!$B$11,regle!$B$23*IF(AS116=-2,1+regle!$B$35,1),
IF(Z116=regle!$C$11,regle!$C$23,
IF(Z116=regle!$D$11,regle!$D$23,
IF(Z116=regle!$E$11,regle!$E$23,
IF(Z116=regle!$F$11,regle!$F$23,
IF(Z116=regle!$G$11,regle!$G$23,
IF(Z116=regle!$H$11,regle!$H$23,
IF(Z116=regle!$I$11,regle!$I$23,
IF(Z116=regle!$J$11,regle!$J$23,
IF(Z116=regle!$K$11,regle!$K$23,0))))))))))))</f>
        <v>0</v>
      </c>
      <c r="AK116" s="16">
        <f>IF(OR(Q116=regle!$J$11,Q116=regle!$K$11),-2,IF(Q116=regle!$B$11,0,IF(AK$1=$AK$1,IF($O116,-1,regle!$B$2-$M116),IF(AJ116=-1,-1,AJ116+1))))</f>
        <v>5</v>
      </c>
      <c r="AL116" s="16">
        <f>IF(OR(R116=regle!$J$11,R116=regle!$K$11),-2,IF(R116=regle!$B$11,0,IF(AL$1=$AK$1,IF($O116,-1,regle!$B$2-$M116),IF(AK116=-1,-1,AK116+1))))</f>
        <v>6</v>
      </c>
      <c r="AM116" s="16">
        <f>IF(OR(S116=regle!$J$11,S116=regle!$K$11),-2,IF(S116=regle!$B$11,0,IF(AM$1=$AK$1,IF($O116,-1,regle!$B$2-$M116),IF(AL116=-1,-1,AL116+1))))</f>
        <v>7</v>
      </c>
      <c r="AN116" s="16">
        <f>IF(OR(T116=regle!$J$11,T116=regle!$K$11),-2,IF(T116=regle!$B$11,0,IF(AN$1=$AK$1,IF($O116,-1,regle!$B$2-$M116),IF(AM116=-1,-1,AM116+1))))</f>
        <v>8</v>
      </c>
      <c r="AO116" s="16">
        <f>IF(OR(U116=regle!$J$11,U116=regle!$K$11),-2,IF(U116=regle!$B$11,0,IF(AO$1=$AK$1,IF($O116,-1,regle!$B$2-$M116),IF(AN116=-1,-1,AN116+1))))</f>
        <v>9</v>
      </c>
      <c r="AP116" s="16">
        <f>IF(OR(V116=regle!$J$11,V116=regle!$K$11),-2,IF(V116=regle!$B$11,0,IF(AP$1=$AK$1,IF($O116,-1,regle!$B$2-$M116),IF(AO116=-1,-1,AO116+1))))</f>
        <v>10</v>
      </c>
      <c r="AQ116" s="16">
        <f>IF(OR(W116=regle!$J$11,W116=regle!$K$11),-2,IF(W116=regle!$B$11,0,IF(AQ$1=$AK$1,IF($O116,-1,regle!$B$2-$M116),IF(AP116=-1,-1,AP116+1))))</f>
        <v>11</v>
      </c>
      <c r="AR116" s="16">
        <f>IF(OR(X116=regle!$J$11,X116=regle!$K$11),-2,IF(X116=regle!$B$11,0,IF(AR$1=$AK$1,IF($O116,-1,regle!$B$2-$M116),IF(AQ116=-1,-1,AQ116+1))))</f>
        <v>12</v>
      </c>
      <c r="AS116" s="16">
        <f>IF(OR(Y116=regle!$J$11,Y116=regle!$K$11),-2,IF(Y116=regle!$B$11,0,IF(AS$1=$AK$1,IF($O116,-1,regle!$B$2-$M116),IF(AR116=-1,-1,AR116+1))))</f>
        <v>13</v>
      </c>
      <c r="AT116" s="16">
        <f>IF(OR(Z116=regle!$J$11,Z116=regle!$K$11),-2,IF(Z116=regle!$B$11,0,IF(AT$1=$AK$1,IF($O116,-1,regle!$B$2-$M116),IF(AS116=-1,-1,AS116+1))))</f>
        <v>14</v>
      </c>
    </row>
    <row r="117" spans="1:46" x14ac:dyDescent="0.25">
      <c r="A117" t="b">
        <f>modif1!A117</f>
        <v>1</v>
      </c>
      <c r="B117">
        <f>ROW(modif1!B117)</f>
        <v>117</v>
      </c>
      <c r="C117" t="str">
        <f>modif1!C120</f>
        <v>077</v>
      </c>
      <c r="D117" t="str">
        <f>modif1!D117</f>
        <v>HOSTENS</v>
      </c>
      <c r="E117">
        <f>modif1!E117</f>
        <v>11</v>
      </c>
      <c r="F117" t="str">
        <f>modif1!F117</f>
        <v>LES CAZALAS</v>
      </c>
      <c r="G117" t="str">
        <f>modif1!G117</f>
        <v>0B</v>
      </c>
      <c r="H117">
        <f>modif1!H117</f>
        <v>1154</v>
      </c>
      <c r="I117" t="str">
        <f>modif1!I117</f>
        <v/>
      </c>
      <c r="J117" s="11">
        <f>modif1!J117</f>
        <v>0.1542</v>
      </c>
      <c r="K117" t="str">
        <f>modif1!K117</f>
        <v>PLA</v>
      </c>
      <c r="L117" t="str">
        <f>modif1!L117</f>
        <v>PM</v>
      </c>
      <c r="M117">
        <f>modif1!M117</f>
        <v>2019</v>
      </c>
      <c r="N117" t="str">
        <f>modif1!N117</f>
        <v>PLA-PM_2019</v>
      </c>
      <c r="O117" t="b">
        <f>modif1!O117</f>
        <v>0</v>
      </c>
      <c r="P117">
        <v>40</v>
      </c>
      <c r="Q117" t="s">
        <v>1870</v>
      </c>
      <c r="S117" t="s">
        <v>1871</v>
      </c>
      <c r="X117" t="s">
        <v>1803</v>
      </c>
      <c r="Z117"/>
      <c r="AA117" s="17">
        <f>IF($A117,$J117*(IF(Q117=regle!$B$11,regle!$B$23*IF(AJ117=-2,1+regle!$B$35,1),
IF(Q117=regle!$C$11,regle!$C$23,
IF(Q117=regle!$D$11,regle!$D$23,
IF(Q117=regle!$E$11,regle!$E$23,
IF(Q117=regle!$F$11,regle!$F$23,
IF(Q117=regle!$G$11,regle!$G$23,
IF(Q117=regle!$H$11,regle!$H$23,
IF(Q117=regle!$I$11,regle!$I$23,
IF(Q117=regle!$J$11,regle!$J$23,
IF(Q117=regle!$K$11,regle!$K$23,0))))))))))))</f>
        <v>-13.878</v>
      </c>
      <c r="AB117" s="17">
        <f>IF($A117,$J117*(IF(R117=regle!$B$11,regle!$B$23*IF(AK117=-2,1+regle!$B$35,1),
IF(R117=regle!$C$11,regle!$C$23,
IF(R117=regle!$D$11,regle!$D$23,
IF(R117=regle!$E$11,regle!$E$23,
IF(R117=regle!$F$11,regle!$F$23,
IF(R117=regle!$G$11,regle!$G$23,
IF(R117=regle!$H$11,regle!$H$23,
IF(R117=regle!$I$11,regle!$I$23,
IF(R117=regle!$J$11,regle!$J$23,
IF(R117=regle!$K$11,regle!$K$23,0))))))))))))</f>
        <v>0</v>
      </c>
      <c r="AC117" s="17">
        <f>IF($A117,$J117*(IF(S117=regle!$B$11,regle!$B$23*IF(AL117=-2,1+regle!$B$35,1),
IF(S117=regle!$C$11,regle!$C$23,
IF(S117=regle!$D$11,regle!$D$23,
IF(S117=regle!$E$11,regle!$E$23,
IF(S117=regle!$F$11,regle!$F$23,
IF(S117=regle!$G$11,regle!$G$23,
IF(S117=regle!$H$11,regle!$H$23,
IF(S117=regle!$I$11,regle!$I$23,
IF(S117=regle!$J$11,regle!$J$23,
IF(S117=regle!$K$11,regle!$K$23,0))))))))))))</f>
        <v>-13.878</v>
      </c>
      <c r="AD117" s="17">
        <f>IF($A117,$J117*(IF(T117=regle!$B$11,regle!$B$23*IF(AM117=-2,1+regle!$B$35,1),
IF(T117=regle!$C$11,regle!$C$23,
IF(T117=regle!$D$11,regle!$D$23,
IF(T117=regle!$E$11,regle!$E$23,
IF(T117=regle!$F$11,regle!$F$23,
IF(T117=regle!$G$11,regle!$G$23,
IF(T117=regle!$H$11,regle!$H$23,
IF(T117=regle!$I$11,regle!$I$23,
IF(T117=regle!$J$11,regle!$J$23,
IF(T117=regle!$K$11,regle!$K$23,0))))))))))))</f>
        <v>0</v>
      </c>
      <c r="AE117" s="17">
        <f>IF($A117,$J117*(IF(U117=regle!$B$11,regle!$B$23*IF(AN117=-2,1+regle!$B$35,1),
IF(U117=regle!$C$11,regle!$C$23,
IF(U117=regle!$D$11,regle!$D$23,
IF(U117=regle!$E$11,regle!$E$23,
IF(U117=regle!$F$11,regle!$F$23,
IF(U117=regle!$G$11,regle!$G$23,
IF(U117=regle!$H$11,regle!$H$23,
IF(U117=regle!$I$11,regle!$I$23,
IF(U117=regle!$J$11,regle!$J$23,
IF(U117=regle!$K$11,regle!$K$23,0))))))))))))</f>
        <v>0</v>
      </c>
      <c r="AF117" s="17">
        <f>IF($A117,$J117*(IF(V117=regle!$B$11,regle!$B$23*IF(AO117=-2,1+regle!$B$35,1),
IF(V117=regle!$C$11,regle!$C$23,
IF(V117=regle!$D$11,regle!$D$23,
IF(V117=regle!$E$11,regle!$E$23,
IF(V117=regle!$F$11,regle!$F$23,
IF(V117=regle!$G$11,regle!$G$23,
IF(V117=regle!$H$11,regle!$H$23,
IF(V117=regle!$I$11,regle!$I$23,
IF(V117=regle!$J$11,regle!$J$23,
IF(V117=regle!$K$11,regle!$K$23,0))))))))))))</f>
        <v>0</v>
      </c>
      <c r="AG117" s="17">
        <f>IF($A117,$J117*(IF(W117=regle!$B$11,regle!$B$23*IF(AP117=-2,1+regle!$B$35,1),
IF(W117=regle!$C$11,regle!$C$23,
IF(W117=regle!$D$11,regle!$D$23,
IF(W117=regle!$E$11,regle!$E$23,
IF(W117=regle!$F$11,regle!$F$23,
IF(W117=regle!$G$11,regle!$G$23,
IF(W117=regle!$H$11,regle!$H$23,
IF(W117=regle!$I$11,regle!$I$23,
IF(W117=regle!$J$11,regle!$J$23,
IF(W117=regle!$K$11,regle!$K$23,0))))))))))))</f>
        <v>0</v>
      </c>
      <c r="AH117" s="17">
        <f>IF($A117,$J117*(IF(X117=regle!$B$11,regle!$B$23*IF(AQ117=-2,1+regle!$B$35,1),
IF(X117=regle!$C$11,regle!$C$23,
IF(X117=regle!$D$11,regle!$D$23,
IF(X117=regle!$E$11,regle!$E$23,
IF(X117=regle!$F$11,regle!$F$23,
IF(X117=regle!$G$11,regle!$G$23,
IF(X117=regle!$H$11,regle!$H$23,
IF(X117=regle!$I$11,regle!$I$23,
IF(X117=regle!$J$11,regle!$J$23,
IF(X117=regle!$K$11,regle!$K$23,0))))))))))))</f>
        <v>88.819199999999995</v>
      </c>
      <c r="AI117" s="17">
        <f>IF($A117,$J117*(IF(Y117=regle!$B$11,regle!$B$23*IF(AR117=-2,1+regle!$B$35,1),
IF(Y117=regle!$C$11,regle!$C$23,
IF(Y117=regle!$D$11,regle!$D$23,
IF(Y117=regle!$E$11,regle!$E$23,
IF(Y117=regle!$F$11,regle!$F$23,
IF(Y117=regle!$G$11,regle!$G$23,
IF(Y117=regle!$H$11,regle!$H$23,
IF(Y117=regle!$I$11,regle!$I$23,
IF(Y117=regle!$J$11,regle!$J$23,
IF(Y117=regle!$K$11,regle!$K$23,0))))))))))))</f>
        <v>0</v>
      </c>
      <c r="AJ117" s="17">
        <f>IF($A117,$J117*(IF(Z117=regle!$B$11,regle!$B$23*IF(AS117=-2,1+regle!$B$35,1),
IF(Z117=regle!$C$11,regle!$C$23,
IF(Z117=regle!$D$11,regle!$D$23,
IF(Z117=regle!$E$11,regle!$E$23,
IF(Z117=regle!$F$11,regle!$F$23,
IF(Z117=regle!$G$11,regle!$G$23,
IF(Z117=regle!$H$11,regle!$H$23,
IF(Z117=regle!$I$11,regle!$I$23,
IF(Z117=regle!$J$11,regle!$J$23,
IF(Z117=regle!$K$11,regle!$K$23,0))))))))))))</f>
        <v>0</v>
      </c>
      <c r="AK117" s="16">
        <f>IF(OR(Q117=regle!$J$11,Q117=regle!$K$11),-2,IF(Q117=regle!$B$11,0,IF(AK$1=$AK$1,IF($O117,-1,regle!$B$2-$M117),IF(AJ117=-1,-1,AJ117+1))))</f>
        <v>5</v>
      </c>
      <c r="AL117" s="16">
        <f>IF(OR(R117=regle!$J$11,R117=regle!$K$11),-2,IF(R117=regle!$B$11,0,IF(AL$1=$AK$1,IF($O117,-1,regle!$B$2-$M117),IF(AK117=-1,-1,AK117+1))))</f>
        <v>6</v>
      </c>
      <c r="AM117" s="16">
        <f>IF(OR(S117=regle!$J$11,S117=regle!$K$11),-2,IF(S117=regle!$B$11,0,IF(AM$1=$AK$1,IF($O117,-1,regle!$B$2-$M117),IF(AL117=-1,-1,AL117+1))))</f>
        <v>7</v>
      </c>
      <c r="AN117" s="16">
        <f>IF(OR(T117=regle!$J$11,T117=regle!$K$11),-2,IF(T117=regle!$B$11,0,IF(AN$1=$AK$1,IF($O117,-1,regle!$B$2-$M117),IF(AM117=-1,-1,AM117+1))))</f>
        <v>8</v>
      </c>
      <c r="AO117" s="16">
        <f>IF(OR(U117=regle!$J$11,U117=regle!$K$11),-2,IF(U117=regle!$B$11,0,IF(AO$1=$AK$1,IF($O117,-1,regle!$B$2-$M117),IF(AN117=-1,-1,AN117+1))))</f>
        <v>9</v>
      </c>
      <c r="AP117" s="16">
        <f>IF(OR(V117=regle!$J$11,V117=regle!$K$11),-2,IF(V117=regle!$B$11,0,IF(AP$1=$AK$1,IF($O117,-1,regle!$B$2-$M117),IF(AO117=-1,-1,AO117+1))))</f>
        <v>10</v>
      </c>
      <c r="AQ117" s="16">
        <f>IF(OR(W117=regle!$J$11,W117=regle!$K$11),-2,IF(W117=regle!$B$11,0,IF(AQ$1=$AK$1,IF($O117,-1,regle!$B$2-$M117),IF(AP117=-1,-1,AP117+1))))</f>
        <v>11</v>
      </c>
      <c r="AR117" s="16">
        <f>IF(OR(X117=regle!$J$11,X117=regle!$K$11),-2,IF(X117=regle!$B$11,0,IF(AR$1=$AK$1,IF($O117,-1,regle!$B$2-$M117),IF(AQ117=-1,-1,AQ117+1))))</f>
        <v>12</v>
      </c>
      <c r="AS117" s="16">
        <f>IF(OR(Y117=regle!$J$11,Y117=regle!$K$11),-2,IF(Y117=regle!$B$11,0,IF(AS$1=$AK$1,IF($O117,-1,regle!$B$2-$M117),IF(AR117=-1,-1,AR117+1))))</f>
        <v>13</v>
      </c>
      <c r="AT117" s="16">
        <f>IF(OR(Z117=regle!$J$11,Z117=regle!$K$11),-2,IF(Z117=regle!$B$11,0,IF(AT$1=$AK$1,IF($O117,-1,regle!$B$2-$M117),IF(AS117=-1,-1,AS117+1))))</f>
        <v>14</v>
      </c>
    </row>
    <row r="118" spans="1:46" x14ac:dyDescent="0.25">
      <c r="A118" t="b">
        <f>modif1!A118</f>
        <v>1</v>
      </c>
      <c r="B118">
        <f>ROW(modif1!B118)</f>
        <v>118</v>
      </c>
      <c r="C118" t="str">
        <f>modif1!C121</f>
        <v>202</v>
      </c>
      <c r="D118" t="str">
        <f>modif1!D118</f>
        <v>CABANAC-ET-VILLAGRAINS</v>
      </c>
      <c r="E118">
        <f>modif1!E118</f>
        <v>12</v>
      </c>
      <c r="F118" t="str">
        <f>modif1!F118</f>
        <v>LES JEANNOTS</v>
      </c>
      <c r="G118" t="str">
        <f>modif1!G118</f>
        <v>0D</v>
      </c>
      <c r="H118">
        <f>modif1!H118</f>
        <v>2307</v>
      </c>
      <c r="I118" t="str">
        <f>modif1!I118</f>
        <v/>
      </c>
      <c r="J118" s="11">
        <f>modif1!J118</f>
        <v>0.1449</v>
      </c>
      <c r="K118" t="str">
        <f>modif1!K118</f>
        <v>PLA</v>
      </c>
      <c r="L118" t="str">
        <f>modif1!L118</f>
        <v>PM</v>
      </c>
      <c r="M118">
        <f>modif1!M118</f>
        <v>2019</v>
      </c>
      <c r="N118" t="str">
        <f>modif1!N118</f>
        <v>PLA-PM_2019</v>
      </c>
      <c r="O118" t="b">
        <f>modif1!O118</f>
        <v>0</v>
      </c>
      <c r="P118">
        <v>40</v>
      </c>
      <c r="Q118" t="s">
        <v>1870</v>
      </c>
      <c r="S118" t="s">
        <v>1871</v>
      </c>
      <c r="X118" t="s">
        <v>1803</v>
      </c>
      <c r="Z118"/>
      <c r="AA118" s="17">
        <f>IF($A118,$J118*(IF(Q118=regle!$B$11,regle!$B$23*IF(AJ118=-2,1+regle!$B$35,1),
IF(Q118=regle!$C$11,regle!$C$23,
IF(Q118=regle!$D$11,regle!$D$23,
IF(Q118=regle!$E$11,regle!$E$23,
IF(Q118=regle!$F$11,regle!$F$23,
IF(Q118=regle!$G$11,regle!$G$23,
IF(Q118=regle!$H$11,regle!$H$23,
IF(Q118=regle!$I$11,regle!$I$23,
IF(Q118=regle!$J$11,regle!$J$23,
IF(Q118=regle!$K$11,regle!$K$23,0))))))))))))</f>
        <v>-13.041</v>
      </c>
      <c r="AB118" s="17">
        <f>IF($A118,$J118*(IF(R118=regle!$B$11,regle!$B$23*IF(AK118=-2,1+regle!$B$35,1),
IF(R118=regle!$C$11,regle!$C$23,
IF(R118=regle!$D$11,regle!$D$23,
IF(R118=regle!$E$11,regle!$E$23,
IF(R118=regle!$F$11,regle!$F$23,
IF(R118=regle!$G$11,regle!$G$23,
IF(R118=regle!$H$11,regle!$H$23,
IF(R118=regle!$I$11,regle!$I$23,
IF(R118=regle!$J$11,regle!$J$23,
IF(R118=regle!$K$11,regle!$K$23,0))))))))))))</f>
        <v>0</v>
      </c>
      <c r="AC118" s="17">
        <f>IF($A118,$J118*(IF(S118=regle!$B$11,regle!$B$23*IF(AL118=-2,1+regle!$B$35,1),
IF(S118=regle!$C$11,regle!$C$23,
IF(S118=regle!$D$11,regle!$D$23,
IF(S118=regle!$E$11,regle!$E$23,
IF(S118=regle!$F$11,regle!$F$23,
IF(S118=regle!$G$11,regle!$G$23,
IF(S118=regle!$H$11,regle!$H$23,
IF(S118=regle!$I$11,regle!$I$23,
IF(S118=regle!$J$11,regle!$J$23,
IF(S118=regle!$K$11,regle!$K$23,0))))))))))))</f>
        <v>-13.041</v>
      </c>
      <c r="AD118" s="17">
        <f>IF($A118,$J118*(IF(T118=regle!$B$11,regle!$B$23*IF(AM118=-2,1+regle!$B$35,1),
IF(T118=regle!$C$11,regle!$C$23,
IF(T118=regle!$D$11,regle!$D$23,
IF(T118=regle!$E$11,regle!$E$23,
IF(T118=regle!$F$11,regle!$F$23,
IF(T118=regle!$G$11,regle!$G$23,
IF(T118=regle!$H$11,regle!$H$23,
IF(T118=regle!$I$11,regle!$I$23,
IF(T118=regle!$J$11,regle!$J$23,
IF(T118=regle!$K$11,regle!$K$23,0))))))))))))</f>
        <v>0</v>
      </c>
      <c r="AE118" s="17">
        <f>IF($A118,$J118*(IF(U118=regle!$B$11,regle!$B$23*IF(AN118=-2,1+regle!$B$35,1),
IF(U118=regle!$C$11,regle!$C$23,
IF(U118=regle!$D$11,regle!$D$23,
IF(U118=regle!$E$11,regle!$E$23,
IF(U118=regle!$F$11,regle!$F$23,
IF(U118=regle!$G$11,regle!$G$23,
IF(U118=regle!$H$11,regle!$H$23,
IF(U118=regle!$I$11,regle!$I$23,
IF(U118=regle!$J$11,regle!$J$23,
IF(U118=regle!$K$11,regle!$K$23,0))))))))))))</f>
        <v>0</v>
      </c>
      <c r="AF118" s="17">
        <f>IF($A118,$J118*(IF(V118=regle!$B$11,regle!$B$23*IF(AO118=-2,1+regle!$B$35,1),
IF(V118=regle!$C$11,regle!$C$23,
IF(V118=regle!$D$11,regle!$D$23,
IF(V118=regle!$E$11,regle!$E$23,
IF(V118=regle!$F$11,regle!$F$23,
IF(V118=regle!$G$11,regle!$G$23,
IF(V118=regle!$H$11,regle!$H$23,
IF(V118=regle!$I$11,regle!$I$23,
IF(V118=regle!$J$11,regle!$J$23,
IF(V118=regle!$K$11,regle!$K$23,0))))))))))))</f>
        <v>0</v>
      </c>
      <c r="AG118" s="17">
        <f>IF($A118,$J118*(IF(W118=regle!$B$11,regle!$B$23*IF(AP118=-2,1+regle!$B$35,1),
IF(W118=regle!$C$11,regle!$C$23,
IF(W118=regle!$D$11,regle!$D$23,
IF(W118=regle!$E$11,regle!$E$23,
IF(W118=regle!$F$11,regle!$F$23,
IF(W118=regle!$G$11,regle!$G$23,
IF(W118=regle!$H$11,regle!$H$23,
IF(W118=regle!$I$11,regle!$I$23,
IF(W118=regle!$J$11,regle!$J$23,
IF(W118=regle!$K$11,regle!$K$23,0))))))))))))</f>
        <v>0</v>
      </c>
      <c r="AH118" s="17">
        <f>IF($A118,$J118*(IF(X118=regle!$B$11,regle!$B$23*IF(AQ118=-2,1+regle!$B$35,1),
IF(X118=regle!$C$11,regle!$C$23,
IF(X118=regle!$D$11,regle!$D$23,
IF(X118=regle!$E$11,regle!$E$23,
IF(X118=regle!$F$11,regle!$F$23,
IF(X118=regle!$G$11,regle!$G$23,
IF(X118=regle!$H$11,regle!$H$23,
IF(X118=regle!$I$11,regle!$I$23,
IF(X118=regle!$J$11,regle!$J$23,
IF(X118=regle!$K$11,regle!$K$23,0))))))))))))</f>
        <v>83.462400000000002</v>
      </c>
      <c r="AI118" s="17">
        <f>IF($A118,$J118*(IF(Y118=regle!$B$11,regle!$B$23*IF(AR118=-2,1+regle!$B$35,1),
IF(Y118=regle!$C$11,regle!$C$23,
IF(Y118=regle!$D$11,regle!$D$23,
IF(Y118=regle!$E$11,regle!$E$23,
IF(Y118=regle!$F$11,regle!$F$23,
IF(Y118=regle!$G$11,regle!$G$23,
IF(Y118=regle!$H$11,regle!$H$23,
IF(Y118=regle!$I$11,regle!$I$23,
IF(Y118=regle!$J$11,regle!$J$23,
IF(Y118=regle!$K$11,regle!$K$23,0))))))))))))</f>
        <v>0</v>
      </c>
      <c r="AJ118" s="17">
        <f>IF($A118,$J118*(IF(Z118=regle!$B$11,regle!$B$23*IF(AS118=-2,1+regle!$B$35,1),
IF(Z118=regle!$C$11,regle!$C$23,
IF(Z118=regle!$D$11,regle!$D$23,
IF(Z118=regle!$E$11,regle!$E$23,
IF(Z118=regle!$F$11,regle!$F$23,
IF(Z118=regle!$G$11,regle!$G$23,
IF(Z118=regle!$H$11,regle!$H$23,
IF(Z118=regle!$I$11,regle!$I$23,
IF(Z118=regle!$J$11,regle!$J$23,
IF(Z118=regle!$K$11,regle!$K$23,0))))))))))))</f>
        <v>0</v>
      </c>
      <c r="AK118" s="16">
        <f>IF(OR(Q118=regle!$J$11,Q118=regle!$K$11),-2,IF(Q118=regle!$B$11,0,IF(AK$1=$AK$1,IF($O118,-1,regle!$B$2-$M118),IF(AJ118=-1,-1,AJ118+1))))</f>
        <v>5</v>
      </c>
      <c r="AL118" s="16">
        <f>IF(OR(R118=regle!$J$11,R118=regle!$K$11),-2,IF(R118=regle!$B$11,0,IF(AL$1=$AK$1,IF($O118,-1,regle!$B$2-$M118),IF(AK118=-1,-1,AK118+1))))</f>
        <v>6</v>
      </c>
      <c r="AM118" s="16">
        <f>IF(OR(S118=regle!$J$11,S118=regle!$K$11),-2,IF(S118=regle!$B$11,0,IF(AM$1=$AK$1,IF($O118,-1,regle!$B$2-$M118),IF(AL118=-1,-1,AL118+1))))</f>
        <v>7</v>
      </c>
      <c r="AN118" s="16">
        <f>IF(OR(T118=regle!$J$11,T118=regle!$K$11),-2,IF(T118=regle!$B$11,0,IF(AN$1=$AK$1,IF($O118,-1,regle!$B$2-$M118),IF(AM118=-1,-1,AM118+1))))</f>
        <v>8</v>
      </c>
      <c r="AO118" s="16">
        <f>IF(OR(U118=regle!$J$11,U118=regle!$K$11),-2,IF(U118=regle!$B$11,0,IF(AO$1=$AK$1,IF($O118,-1,regle!$B$2-$M118),IF(AN118=-1,-1,AN118+1))))</f>
        <v>9</v>
      </c>
      <c r="AP118" s="16">
        <f>IF(OR(V118=regle!$J$11,V118=regle!$K$11),-2,IF(V118=regle!$B$11,0,IF(AP$1=$AK$1,IF($O118,-1,regle!$B$2-$M118),IF(AO118=-1,-1,AO118+1))))</f>
        <v>10</v>
      </c>
      <c r="AQ118" s="16">
        <f>IF(OR(W118=regle!$J$11,W118=regle!$K$11),-2,IF(W118=regle!$B$11,0,IF(AQ$1=$AK$1,IF($O118,-1,regle!$B$2-$M118),IF(AP118=-1,-1,AP118+1))))</f>
        <v>11</v>
      </c>
      <c r="AR118" s="16">
        <f>IF(OR(X118=regle!$J$11,X118=regle!$K$11),-2,IF(X118=regle!$B$11,0,IF(AR$1=$AK$1,IF($O118,-1,regle!$B$2-$M118),IF(AQ118=-1,-1,AQ118+1))))</f>
        <v>12</v>
      </c>
      <c r="AS118" s="16">
        <f>IF(OR(Y118=regle!$J$11,Y118=regle!$K$11),-2,IF(Y118=regle!$B$11,0,IF(AS$1=$AK$1,IF($O118,-1,regle!$B$2-$M118),IF(AR118=-1,-1,AR118+1))))</f>
        <v>13</v>
      </c>
      <c r="AT118" s="16">
        <f>IF(OR(Z118=regle!$J$11,Z118=regle!$K$11),-2,IF(Z118=regle!$B$11,0,IF(AT$1=$AK$1,IF($O118,-1,regle!$B$2-$M118),IF(AS118=-1,-1,AS118+1))))</f>
        <v>14</v>
      </c>
    </row>
    <row r="119" spans="1:46" x14ac:dyDescent="0.25">
      <c r="A119" t="b">
        <f>modif1!A119</f>
        <v>1</v>
      </c>
      <c r="B119">
        <f>ROW(modif1!B119)</f>
        <v>119</v>
      </c>
      <c r="C119" t="str">
        <f>modif1!C122</f>
        <v>202</v>
      </c>
      <c r="D119" t="str">
        <f>modif1!D119</f>
        <v>HOSTENS</v>
      </c>
      <c r="E119">
        <f>modif1!E119</f>
        <v>11</v>
      </c>
      <c r="F119" t="str">
        <f>modif1!F119</f>
        <v>LES CAZALAS</v>
      </c>
      <c r="G119" t="str">
        <f>modif1!G119</f>
        <v>0B</v>
      </c>
      <c r="H119">
        <f>modif1!H119</f>
        <v>1179</v>
      </c>
      <c r="I119" t="str">
        <f>modif1!I119</f>
        <v>k</v>
      </c>
      <c r="J119" s="11">
        <f>modif1!J119</f>
        <v>0.14330000000000001</v>
      </c>
      <c r="K119" t="str">
        <f>modif1!K119</f>
        <v>PLA</v>
      </c>
      <c r="L119" t="str">
        <f>modif1!L119</f>
        <v>PM</v>
      </c>
      <c r="M119">
        <f>modif1!M119</f>
        <v>2019</v>
      </c>
      <c r="N119" t="str">
        <f>modif1!N119</f>
        <v>PLA-PM_2019</v>
      </c>
      <c r="O119" t="b">
        <f>modif1!O119</f>
        <v>0</v>
      </c>
      <c r="P119">
        <v>40</v>
      </c>
      <c r="Q119" t="s">
        <v>1870</v>
      </c>
      <c r="S119" t="s">
        <v>1871</v>
      </c>
      <c r="X119" t="s">
        <v>1803</v>
      </c>
      <c r="Z119"/>
      <c r="AA119" s="17">
        <f>IF($A119,$J119*(IF(Q119=regle!$B$11,regle!$B$23*IF(AJ119=-2,1+regle!$B$35,1),
IF(Q119=regle!$C$11,regle!$C$23,
IF(Q119=regle!$D$11,regle!$D$23,
IF(Q119=regle!$E$11,regle!$E$23,
IF(Q119=regle!$F$11,regle!$F$23,
IF(Q119=regle!$G$11,regle!$G$23,
IF(Q119=regle!$H$11,regle!$H$23,
IF(Q119=regle!$I$11,regle!$I$23,
IF(Q119=regle!$J$11,regle!$J$23,
IF(Q119=regle!$K$11,regle!$K$23,0))))))))))))</f>
        <v>-12.897</v>
      </c>
      <c r="AB119" s="17">
        <f>IF($A119,$J119*(IF(R119=regle!$B$11,regle!$B$23*IF(AK119=-2,1+regle!$B$35,1),
IF(R119=regle!$C$11,regle!$C$23,
IF(R119=regle!$D$11,regle!$D$23,
IF(R119=regle!$E$11,regle!$E$23,
IF(R119=regle!$F$11,regle!$F$23,
IF(R119=regle!$G$11,regle!$G$23,
IF(R119=regle!$H$11,regle!$H$23,
IF(R119=regle!$I$11,regle!$I$23,
IF(R119=regle!$J$11,regle!$J$23,
IF(R119=regle!$K$11,regle!$K$23,0))))))))))))</f>
        <v>0</v>
      </c>
      <c r="AC119" s="17">
        <f>IF($A119,$J119*(IF(S119=regle!$B$11,regle!$B$23*IF(AL119=-2,1+regle!$B$35,1),
IF(S119=regle!$C$11,regle!$C$23,
IF(S119=regle!$D$11,regle!$D$23,
IF(S119=regle!$E$11,regle!$E$23,
IF(S119=regle!$F$11,regle!$F$23,
IF(S119=regle!$G$11,regle!$G$23,
IF(S119=regle!$H$11,regle!$H$23,
IF(S119=regle!$I$11,regle!$I$23,
IF(S119=regle!$J$11,regle!$J$23,
IF(S119=regle!$K$11,regle!$K$23,0))))))))))))</f>
        <v>-12.897</v>
      </c>
      <c r="AD119" s="17">
        <f>IF($A119,$J119*(IF(T119=regle!$B$11,regle!$B$23*IF(AM119=-2,1+regle!$B$35,1),
IF(T119=regle!$C$11,regle!$C$23,
IF(T119=regle!$D$11,regle!$D$23,
IF(T119=regle!$E$11,regle!$E$23,
IF(T119=regle!$F$11,regle!$F$23,
IF(T119=regle!$G$11,regle!$G$23,
IF(T119=regle!$H$11,regle!$H$23,
IF(T119=regle!$I$11,regle!$I$23,
IF(T119=regle!$J$11,regle!$J$23,
IF(T119=regle!$K$11,regle!$K$23,0))))))))))))</f>
        <v>0</v>
      </c>
      <c r="AE119" s="17">
        <f>IF($A119,$J119*(IF(U119=regle!$B$11,regle!$B$23*IF(AN119=-2,1+regle!$B$35,1),
IF(U119=regle!$C$11,regle!$C$23,
IF(U119=regle!$D$11,regle!$D$23,
IF(U119=regle!$E$11,regle!$E$23,
IF(U119=regle!$F$11,regle!$F$23,
IF(U119=regle!$G$11,regle!$G$23,
IF(U119=regle!$H$11,regle!$H$23,
IF(U119=regle!$I$11,regle!$I$23,
IF(U119=regle!$J$11,regle!$J$23,
IF(U119=regle!$K$11,regle!$K$23,0))))))))))))</f>
        <v>0</v>
      </c>
      <c r="AF119" s="17">
        <f>IF($A119,$J119*(IF(V119=regle!$B$11,regle!$B$23*IF(AO119=-2,1+regle!$B$35,1),
IF(V119=regle!$C$11,regle!$C$23,
IF(V119=regle!$D$11,regle!$D$23,
IF(V119=regle!$E$11,regle!$E$23,
IF(V119=regle!$F$11,regle!$F$23,
IF(V119=regle!$G$11,regle!$G$23,
IF(V119=regle!$H$11,regle!$H$23,
IF(V119=regle!$I$11,regle!$I$23,
IF(V119=regle!$J$11,regle!$J$23,
IF(V119=regle!$K$11,regle!$K$23,0))))))))))))</f>
        <v>0</v>
      </c>
      <c r="AG119" s="17">
        <f>IF($A119,$J119*(IF(W119=regle!$B$11,regle!$B$23*IF(AP119=-2,1+regle!$B$35,1),
IF(W119=regle!$C$11,regle!$C$23,
IF(W119=regle!$D$11,regle!$D$23,
IF(W119=regle!$E$11,regle!$E$23,
IF(W119=regle!$F$11,regle!$F$23,
IF(W119=regle!$G$11,regle!$G$23,
IF(W119=regle!$H$11,regle!$H$23,
IF(W119=regle!$I$11,regle!$I$23,
IF(W119=regle!$J$11,regle!$J$23,
IF(W119=regle!$K$11,regle!$K$23,0))))))))))))</f>
        <v>0</v>
      </c>
      <c r="AH119" s="17">
        <f>IF($A119,$J119*(IF(X119=regle!$B$11,regle!$B$23*IF(AQ119=-2,1+regle!$B$35,1),
IF(X119=regle!$C$11,regle!$C$23,
IF(X119=regle!$D$11,regle!$D$23,
IF(X119=regle!$E$11,regle!$E$23,
IF(X119=regle!$F$11,regle!$F$23,
IF(X119=regle!$G$11,regle!$G$23,
IF(X119=regle!$H$11,regle!$H$23,
IF(X119=regle!$I$11,regle!$I$23,
IF(X119=regle!$J$11,regle!$J$23,
IF(X119=regle!$K$11,regle!$K$23,0))))))))))))</f>
        <v>82.540800000000004</v>
      </c>
      <c r="AI119" s="17">
        <f>IF($A119,$J119*(IF(Y119=regle!$B$11,regle!$B$23*IF(AR119=-2,1+regle!$B$35,1),
IF(Y119=regle!$C$11,regle!$C$23,
IF(Y119=regle!$D$11,regle!$D$23,
IF(Y119=regle!$E$11,regle!$E$23,
IF(Y119=regle!$F$11,regle!$F$23,
IF(Y119=regle!$G$11,regle!$G$23,
IF(Y119=regle!$H$11,regle!$H$23,
IF(Y119=regle!$I$11,regle!$I$23,
IF(Y119=regle!$J$11,regle!$J$23,
IF(Y119=regle!$K$11,regle!$K$23,0))))))))))))</f>
        <v>0</v>
      </c>
      <c r="AJ119" s="17">
        <f>IF($A119,$J119*(IF(Z119=regle!$B$11,regle!$B$23*IF(AS119=-2,1+regle!$B$35,1),
IF(Z119=regle!$C$11,regle!$C$23,
IF(Z119=regle!$D$11,regle!$D$23,
IF(Z119=regle!$E$11,regle!$E$23,
IF(Z119=regle!$F$11,regle!$F$23,
IF(Z119=regle!$G$11,regle!$G$23,
IF(Z119=regle!$H$11,regle!$H$23,
IF(Z119=regle!$I$11,regle!$I$23,
IF(Z119=regle!$J$11,regle!$J$23,
IF(Z119=regle!$K$11,regle!$K$23,0))))))))))))</f>
        <v>0</v>
      </c>
      <c r="AK119" s="16">
        <f>IF(OR(Q119=regle!$J$11,Q119=regle!$K$11),-2,IF(Q119=regle!$B$11,0,IF(AK$1=$AK$1,IF($O119,-1,regle!$B$2-$M119),IF(AJ119=-1,-1,AJ119+1))))</f>
        <v>5</v>
      </c>
      <c r="AL119" s="16">
        <f>IF(OR(R119=regle!$J$11,R119=regle!$K$11),-2,IF(R119=regle!$B$11,0,IF(AL$1=$AK$1,IF($O119,-1,regle!$B$2-$M119),IF(AK119=-1,-1,AK119+1))))</f>
        <v>6</v>
      </c>
      <c r="AM119" s="16">
        <f>IF(OR(S119=regle!$J$11,S119=regle!$K$11),-2,IF(S119=regle!$B$11,0,IF(AM$1=$AK$1,IF($O119,-1,regle!$B$2-$M119),IF(AL119=-1,-1,AL119+1))))</f>
        <v>7</v>
      </c>
      <c r="AN119" s="16">
        <f>IF(OR(T119=regle!$J$11,T119=regle!$K$11),-2,IF(T119=regle!$B$11,0,IF(AN$1=$AK$1,IF($O119,-1,regle!$B$2-$M119),IF(AM119=-1,-1,AM119+1))))</f>
        <v>8</v>
      </c>
      <c r="AO119" s="16">
        <f>IF(OR(U119=regle!$J$11,U119=regle!$K$11),-2,IF(U119=regle!$B$11,0,IF(AO$1=$AK$1,IF($O119,-1,regle!$B$2-$M119),IF(AN119=-1,-1,AN119+1))))</f>
        <v>9</v>
      </c>
      <c r="AP119" s="16">
        <f>IF(OR(V119=regle!$J$11,V119=regle!$K$11),-2,IF(V119=regle!$B$11,0,IF(AP$1=$AK$1,IF($O119,-1,regle!$B$2-$M119),IF(AO119=-1,-1,AO119+1))))</f>
        <v>10</v>
      </c>
      <c r="AQ119" s="16">
        <f>IF(OR(W119=regle!$J$11,W119=regle!$K$11),-2,IF(W119=regle!$B$11,0,IF(AQ$1=$AK$1,IF($O119,-1,regle!$B$2-$M119),IF(AP119=-1,-1,AP119+1))))</f>
        <v>11</v>
      </c>
      <c r="AR119" s="16">
        <f>IF(OR(X119=regle!$J$11,X119=regle!$K$11),-2,IF(X119=regle!$B$11,0,IF(AR$1=$AK$1,IF($O119,-1,regle!$B$2-$M119),IF(AQ119=-1,-1,AQ119+1))))</f>
        <v>12</v>
      </c>
      <c r="AS119" s="16">
        <f>IF(OR(Y119=regle!$J$11,Y119=regle!$K$11),-2,IF(Y119=regle!$B$11,0,IF(AS$1=$AK$1,IF($O119,-1,regle!$B$2-$M119),IF(AR119=-1,-1,AR119+1))))</f>
        <v>13</v>
      </c>
      <c r="AT119" s="16">
        <f>IF(OR(Z119=regle!$J$11,Z119=regle!$K$11),-2,IF(Z119=regle!$B$11,0,IF(AT$1=$AK$1,IF($O119,-1,regle!$B$2-$M119),IF(AS119=-1,-1,AS119+1))))</f>
        <v>14</v>
      </c>
    </row>
    <row r="120" spans="1:46" x14ac:dyDescent="0.25">
      <c r="A120" t="b">
        <f>modif1!A120</f>
        <v>1</v>
      </c>
      <c r="B120">
        <f>ROW(modif1!B120)</f>
        <v>120</v>
      </c>
      <c r="C120" t="str">
        <f>modif1!C123</f>
        <v>202</v>
      </c>
      <c r="D120" t="str">
        <f>modif1!D120</f>
        <v>CABANAC-ET-VILLAGRAINS</v>
      </c>
      <c r="E120">
        <f>modif1!E120</f>
        <v>12</v>
      </c>
      <c r="F120" t="str">
        <f>modif1!F120</f>
        <v>LES JEANNOTS</v>
      </c>
      <c r="G120" t="str">
        <f>modif1!G120</f>
        <v>0D</v>
      </c>
      <c r="H120">
        <f>modif1!H120</f>
        <v>1436</v>
      </c>
      <c r="I120" t="str">
        <f>modif1!I120</f>
        <v/>
      </c>
      <c r="J120" s="11">
        <f>modif1!J120</f>
        <v>0.1336</v>
      </c>
      <c r="K120" t="str">
        <f>modif1!K120</f>
        <v>PLA</v>
      </c>
      <c r="L120" t="str">
        <f>modif1!L120</f>
        <v>PM</v>
      </c>
      <c r="M120">
        <f>modif1!M120</f>
        <v>2019</v>
      </c>
      <c r="N120" t="str">
        <f>modif1!N120</f>
        <v>PLA-PM_2019</v>
      </c>
      <c r="O120" t="b">
        <f>modif1!O120</f>
        <v>0</v>
      </c>
      <c r="P120">
        <v>40</v>
      </c>
      <c r="Q120" t="s">
        <v>1870</v>
      </c>
      <c r="S120" t="s">
        <v>1871</v>
      </c>
      <c r="X120" t="s">
        <v>1803</v>
      </c>
      <c r="Z120"/>
      <c r="AA120" s="17">
        <f>IF($A120,$J120*(IF(Q120=regle!$B$11,regle!$B$23*IF(AJ120=-2,1+regle!$B$35,1),
IF(Q120=regle!$C$11,regle!$C$23,
IF(Q120=regle!$D$11,regle!$D$23,
IF(Q120=regle!$E$11,regle!$E$23,
IF(Q120=regle!$F$11,regle!$F$23,
IF(Q120=regle!$G$11,regle!$G$23,
IF(Q120=regle!$H$11,regle!$H$23,
IF(Q120=regle!$I$11,regle!$I$23,
IF(Q120=regle!$J$11,regle!$J$23,
IF(Q120=regle!$K$11,regle!$K$23,0))))))))))))</f>
        <v>-12.023999999999999</v>
      </c>
      <c r="AB120" s="17">
        <f>IF($A120,$J120*(IF(R120=regle!$B$11,regle!$B$23*IF(AK120=-2,1+regle!$B$35,1),
IF(R120=regle!$C$11,regle!$C$23,
IF(R120=regle!$D$11,regle!$D$23,
IF(R120=regle!$E$11,regle!$E$23,
IF(R120=regle!$F$11,regle!$F$23,
IF(R120=regle!$G$11,regle!$G$23,
IF(R120=regle!$H$11,regle!$H$23,
IF(R120=regle!$I$11,regle!$I$23,
IF(R120=regle!$J$11,regle!$J$23,
IF(R120=regle!$K$11,regle!$K$23,0))))))))))))</f>
        <v>0</v>
      </c>
      <c r="AC120" s="17">
        <f>IF($A120,$J120*(IF(S120=regle!$B$11,regle!$B$23*IF(AL120=-2,1+regle!$B$35,1),
IF(S120=regle!$C$11,regle!$C$23,
IF(S120=regle!$D$11,regle!$D$23,
IF(S120=regle!$E$11,regle!$E$23,
IF(S120=regle!$F$11,regle!$F$23,
IF(S120=regle!$G$11,regle!$G$23,
IF(S120=regle!$H$11,regle!$H$23,
IF(S120=regle!$I$11,regle!$I$23,
IF(S120=regle!$J$11,regle!$J$23,
IF(S120=regle!$K$11,regle!$K$23,0))))))))))))</f>
        <v>-12.023999999999999</v>
      </c>
      <c r="AD120" s="17">
        <f>IF($A120,$J120*(IF(T120=regle!$B$11,regle!$B$23*IF(AM120=-2,1+regle!$B$35,1),
IF(T120=regle!$C$11,regle!$C$23,
IF(T120=regle!$D$11,regle!$D$23,
IF(T120=regle!$E$11,regle!$E$23,
IF(T120=regle!$F$11,regle!$F$23,
IF(T120=regle!$G$11,regle!$G$23,
IF(T120=regle!$H$11,regle!$H$23,
IF(T120=regle!$I$11,regle!$I$23,
IF(T120=regle!$J$11,regle!$J$23,
IF(T120=regle!$K$11,regle!$K$23,0))))))))))))</f>
        <v>0</v>
      </c>
      <c r="AE120" s="17">
        <f>IF($A120,$J120*(IF(U120=regle!$B$11,regle!$B$23*IF(AN120=-2,1+regle!$B$35,1),
IF(U120=regle!$C$11,regle!$C$23,
IF(U120=regle!$D$11,regle!$D$23,
IF(U120=regle!$E$11,regle!$E$23,
IF(U120=regle!$F$11,regle!$F$23,
IF(U120=regle!$G$11,regle!$G$23,
IF(U120=regle!$H$11,regle!$H$23,
IF(U120=regle!$I$11,regle!$I$23,
IF(U120=regle!$J$11,regle!$J$23,
IF(U120=regle!$K$11,regle!$K$23,0))))))))))))</f>
        <v>0</v>
      </c>
      <c r="AF120" s="17">
        <f>IF($A120,$J120*(IF(V120=regle!$B$11,regle!$B$23*IF(AO120=-2,1+regle!$B$35,1),
IF(V120=regle!$C$11,regle!$C$23,
IF(V120=regle!$D$11,regle!$D$23,
IF(V120=regle!$E$11,regle!$E$23,
IF(V120=regle!$F$11,regle!$F$23,
IF(V120=regle!$G$11,regle!$G$23,
IF(V120=regle!$H$11,regle!$H$23,
IF(V120=regle!$I$11,regle!$I$23,
IF(V120=regle!$J$11,regle!$J$23,
IF(V120=regle!$K$11,regle!$K$23,0))))))))))))</f>
        <v>0</v>
      </c>
      <c r="AG120" s="17">
        <f>IF($A120,$J120*(IF(W120=regle!$B$11,regle!$B$23*IF(AP120=-2,1+regle!$B$35,1),
IF(W120=regle!$C$11,regle!$C$23,
IF(W120=regle!$D$11,regle!$D$23,
IF(W120=regle!$E$11,regle!$E$23,
IF(W120=regle!$F$11,regle!$F$23,
IF(W120=regle!$G$11,regle!$G$23,
IF(W120=regle!$H$11,regle!$H$23,
IF(W120=regle!$I$11,regle!$I$23,
IF(W120=regle!$J$11,regle!$J$23,
IF(W120=regle!$K$11,regle!$K$23,0))))))))))))</f>
        <v>0</v>
      </c>
      <c r="AH120" s="17">
        <f>IF($A120,$J120*(IF(X120=regle!$B$11,regle!$B$23*IF(AQ120=-2,1+regle!$B$35,1),
IF(X120=regle!$C$11,regle!$C$23,
IF(X120=regle!$D$11,regle!$D$23,
IF(X120=regle!$E$11,regle!$E$23,
IF(X120=regle!$F$11,regle!$F$23,
IF(X120=regle!$G$11,regle!$G$23,
IF(X120=regle!$H$11,regle!$H$23,
IF(X120=regle!$I$11,regle!$I$23,
IF(X120=regle!$J$11,regle!$J$23,
IF(X120=regle!$K$11,regle!$K$23,0))))))))))))</f>
        <v>76.953599999999994</v>
      </c>
      <c r="AI120" s="17">
        <f>IF($A120,$J120*(IF(Y120=regle!$B$11,regle!$B$23*IF(AR120=-2,1+regle!$B$35,1),
IF(Y120=regle!$C$11,regle!$C$23,
IF(Y120=regle!$D$11,regle!$D$23,
IF(Y120=regle!$E$11,regle!$E$23,
IF(Y120=regle!$F$11,regle!$F$23,
IF(Y120=regle!$G$11,regle!$G$23,
IF(Y120=regle!$H$11,regle!$H$23,
IF(Y120=regle!$I$11,regle!$I$23,
IF(Y120=regle!$J$11,regle!$J$23,
IF(Y120=regle!$K$11,regle!$K$23,0))))))))))))</f>
        <v>0</v>
      </c>
      <c r="AJ120" s="17">
        <f>IF($A120,$J120*(IF(Z120=regle!$B$11,regle!$B$23*IF(AS120=-2,1+regle!$B$35,1),
IF(Z120=regle!$C$11,regle!$C$23,
IF(Z120=regle!$D$11,regle!$D$23,
IF(Z120=regle!$E$11,regle!$E$23,
IF(Z120=regle!$F$11,regle!$F$23,
IF(Z120=regle!$G$11,regle!$G$23,
IF(Z120=regle!$H$11,regle!$H$23,
IF(Z120=regle!$I$11,regle!$I$23,
IF(Z120=regle!$J$11,regle!$J$23,
IF(Z120=regle!$K$11,regle!$K$23,0))))))))))))</f>
        <v>0</v>
      </c>
      <c r="AK120" s="16">
        <f>IF(OR(Q120=regle!$J$11,Q120=regle!$K$11),-2,IF(Q120=regle!$B$11,0,IF(AK$1=$AK$1,IF($O120,-1,regle!$B$2-$M120),IF(AJ120=-1,-1,AJ120+1))))</f>
        <v>5</v>
      </c>
      <c r="AL120" s="16">
        <f>IF(OR(R120=regle!$J$11,R120=regle!$K$11),-2,IF(R120=regle!$B$11,0,IF(AL$1=$AK$1,IF($O120,-1,regle!$B$2-$M120),IF(AK120=-1,-1,AK120+1))))</f>
        <v>6</v>
      </c>
      <c r="AM120" s="16">
        <f>IF(OR(S120=regle!$J$11,S120=regle!$K$11),-2,IF(S120=regle!$B$11,0,IF(AM$1=$AK$1,IF($O120,-1,regle!$B$2-$M120),IF(AL120=-1,-1,AL120+1))))</f>
        <v>7</v>
      </c>
      <c r="AN120" s="16">
        <f>IF(OR(T120=regle!$J$11,T120=regle!$K$11),-2,IF(T120=regle!$B$11,0,IF(AN$1=$AK$1,IF($O120,-1,regle!$B$2-$M120),IF(AM120=-1,-1,AM120+1))))</f>
        <v>8</v>
      </c>
      <c r="AO120" s="16">
        <f>IF(OR(U120=regle!$J$11,U120=regle!$K$11),-2,IF(U120=regle!$B$11,0,IF(AO$1=$AK$1,IF($O120,-1,regle!$B$2-$M120),IF(AN120=-1,-1,AN120+1))))</f>
        <v>9</v>
      </c>
      <c r="AP120" s="16">
        <f>IF(OR(V120=regle!$J$11,V120=regle!$K$11),-2,IF(V120=regle!$B$11,0,IF(AP$1=$AK$1,IF($O120,-1,regle!$B$2-$M120),IF(AO120=-1,-1,AO120+1))))</f>
        <v>10</v>
      </c>
      <c r="AQ120" s="16">
        <f>IF(OR(W120=regle!$J$11,W120=regle!$K$11),-2,IF(W120=regle!$B$11,0,IF(AQ$1=$AK$1,IF($O120,-1,regle!$B$2-$M120),IF(AP120=-1,-1,AP120+1))))</f>
        <v>11</v>
      </c>
      <c r="AR120" s="16">
        <f>IF(OR(X120=regle!$J$11,X120=regle!$K$11),-2,IF(X120=regle!$B$11,0,IF(AR$1=$AK$1,IF($O120,-1,regle!$B$2-$M120),IF(AQ120=-1,-1,AQ120+1))))</f>
        <v>12</v>
      </c>
      <c r="AS120" s="16">
        <f>IF(OR(Y120=regle!$J$11,Y120=regle!$K$11),-2,IF(Y120=regle!$B$11,0,IF(AS$1=$AK$1,IF($O120,-1,regle!$B$2-$M120),IF(AR120=-1,-1,AR120+1))))</f>
        <v>13</v>
      </c>
      <c r="AT120" s="16">
        <f>IF(OR(Z120=regle!$J$11,Z120=regle!$K$11),-2,IF(Z120=regle!$B$11,0,IF(AT$1=$AK$1,IF($O120,-1,regle!$B$2-$M120),IF(AS120=-1,-1,AS120+1))))</f>
        <v>14</v>
      </c>
    </row>
    <row r="121" spans="1:46" x14ac:dyDescent="0.25">
      <c r="A121" t="b">
        <f>modif1!A121</f>
        <v>1</v>
      </c>
      <c r="B121">
        <f>ROW(modif1!B121)</f>
        <v>121</v>
      </c>
      <c r="C121" t="str">
        <f>modif1!C124</f>
        <v>202</v>
      </c>
      <c r="D121" t="str">
        <f>modif1!D121</f>
        <v>HOSTENS</v>
      </c>
      <c r="E121">
        <f>modif1!E121</f>
        <v>11</v>
      </c>
      <c r="F121" t="str">
        <f>modif1!F121</f>
        <v>LES CAZALAS</v>
      </c>
      <c r="G121" t="str">
        <f>modif1!G121</f>
        <v>0B</v>
      </c>
      <c r="H121">
        <f>modif1!H121</f>
        <v>1152</v>
      </c>
      <c r="I121" t="str">
        <f>modif1!I121</f>
        <v>l</v>
      </c>
      <c r="J121" s="11">
        <f>modif1!J121</f>
        <v>5.8299999999999998E-2</v>
      </c>
      <c r="K121" t="str">
        <f>modif1!K121</f>
        <v>PLA</v>
      </c>
      <c r="L121" t="str">
        <f>modif1!L121</f>
        <v>PM</v>
      </c>
      <c r="M121">
        <f>modif1!M121</f>
        <v>2019</v>
      </c>
      <c r="N121" t="str">
        <f>modif1!N121</f>
        <v>PLA-PM_2019</v>
      </c>
      <c r="O121" t="b">
        <f>modif1!O121</f>
        <v>0</v>
      </c>
      <c r="P121">
        <v>40</v>
      </c>
      <c r="Q121" t="s">
        <v>1870</v>
      </c>
      <c r="S121" t="s">
        <v>1871</v>
      </c>
      <c r="X121" t="s">
        <v>1803</v>
      </c>
      <c r="Z121"/>
      <c r="AA121" s="17">
        <f>IF($A121,$J121*(IF(Q121=regle!$B$11,regle!$B$23*IF(AJ121=-2,1+regle!$B$35,1),
IF(Q121=regle!$C$11,regle!$C$23,
IF(Q121=regle!$D$11,regle!$D$23,
IF(Q121=regle!$E$11,regle!$E$23,
IF(Q121=regle!$F$11,regle!$F$23,
IF(Q121=regle!$G$11,regle!$G$23,
IF(Q121=regle!$H$11,regle!$H$23,
IF(Q121=regle!$I$11,regle!$I$23,
IF(Q121=regle!$J$11,regle!$J$23,
IF(Q121=regle!$K$11,regle!$K$23,0))))))))))))</f>
        <v>-5.2469999999999999</v>
      </c>
      <c r="AB121" s="17">
        <f>IF($A121,$J121*(IF(R121=regle!$B$11,regle!$B$23*IF(AK121=-2,1+regle!$B$35,1),
IF(R121=regle!$C$11,regle!$C$23,
IF(R121=regle!$D$11,regle!$D$23,
IF(R121=regle!$E$11,regle!$E$23,
IF(R121=regle!$F$11,regle!$F$23,
IF(R121=regle!$G$11,regle!$G$23,
IF(R121=regle!$H$11,regle!$H$23,
IF(R121=regle!$I$11,regle!$I$23,
IF(R121=regle!$J$11,regle!$J$23,
IF(R121=regle!$K$11,regle!$K$23,0))))))))))))</f>
        <v>0</v>
      </c>
      <c r="AC121" s="17">
        <f>IF($A121,$J121*(IF(S121=regle!$B$11,regle!$B$23*IF(AL121=-2,1+regle!$B$35,1),
IF(S121=regle!$C$11,regle!$C$23,
IF(S121=regle!$D$11,regle!$D$23,
IF(S121=regle!$E$11,regle!$E$23,
IF(S121=regle!$F$11,regle!$F$23,
IF(S121=regle!$G$11,regle!$G$23,
IF(S121=regle!$H$11,regle!$H$23,
IF(S121=regle!$I$11,regle!$I$23,
IF(S121=regle!$J$11,regle!$J$23,
IF(S121=regle!$K$11,regle!$K$23,0))))))))))))</f>
        <v>-5.2469999999999999</v>
      </c>
      <c r="AD121" s="17">
        <f>IF($A121,$J121*(IF(T121=regle!$B$11,regle!$B$23*IF(AM121=-2,1+regle!$B$35,1),
IF(T121=regle!$C$11,regle!$C$23,
IF(T121=regle!$D$11,regle!$D$23,
IF(T121=regle!$E$11,regle!$E$23,
IF(T121=regle!$F$11,regle!$F$23,
IF(T121=regle!$G$11,regle!$G$23,
IF(T121=regle!$H$11,regle!$H$23,
IF(T121=regle!$I$11,regle!$I$23,
IF(T121=regle!$J$11,regle!$J$23,
IF(T121=regle!$K$11,regle!$K$23,0))))))))))))</f>
        <v>0</v>
      </c>
      <c r="AE121" s="17">
        <f>IF($A121,$J121*(IF(U121=regle!$B$11,regle!$B$23*IF(AN121=-2,1+regle!$B$35,1),
IF(U121=regle!$C$11,regle!$C$23,
IF(U121=regle!$D$11,regle!$D$23,
IF(U121=regle!$E$11,regle!$E$23,
IF(U121=regle!$F$11,regle!$F$23,
IF(U121=regle!$G$11,regle!$G$23,
IF(U121=regle!$H$11,regle!$H$23,
IF(U121=regle!$I$11,regle!$I$23,
IF(U121=regle!$J$11,regle!$J$23,
IF(U121=regle!$K$11,regle!$K$23,0))))))))))))</f>
        <v>0</v>
      </c>
      <c r="AF121" s="17">
        <f>IF($A121,$J121*(IF(V121=regle!$B$11,regle!$B$23*IF(AO121=-2,1+regle!$B$35,1),
IF(V121=regle!$C$11,regle!$C$23,
IF(V121=regle!$D$11,regle!$D$23,
IF(V121=regle!$E$11,regle!$E$23,
IF(V121=regle!$F$11,regle!$F$23,
IF(V121=regle!$G$11,regle!$G$23,
IF(V121=regle!$H$11,regle!$H$23,
IF(V121=regle!$I$11,regle!$I$23,
IF(V121=regle!$J$11,regle!$J$23,
IF(V121=regle!$K$11,regle!$K$23,0))))))))))))</f>
        <v>0</v>
      </c>
      <c r="AG121" s="17">
        <f>IF($A121,$J121*(IF(W121=regle!$B$11,regle!$B$23*IF(AP121=-2,1+regle!$B$35,1),
IF(W121=regle!$C$11,regle!$C$23,
IF(W121=regle!$D$11,regle!$D$23,
IF(W121=regle!$E$11,regle!$E$23,
IF(W121=regle!$F$11,regle!$F$23,
IF(W121=regle!$G$11,regle!$G$23,
IF(W121=regle!$H$11,regle!$H$23,
IF(W121=regle!$I$11,regle!$I$23,
IF(W121=regle!$J$11,regle!$J$23,
IF(W121=regle!$K$11,regle!$K$23,0))))))))))))</f>
        <v>0</v>
      </c>
      <c r="AH121" s="17">
        <f>IF($A121,$J121*(IF(X121=regle!$B$11,regle!$B$23*IF(AQ121=-2,1+regle!$B$35,1),
IF(X121=regle!$C$11,regle!$C$23,
IF(X121=regle!$D$11,regle!$D$23,
IF(X121=regle!$E$11,regle!$E$23,
IF(X121=regle!$F$11,regle!$F$23,
IF(X121=regle!$G$11,regle!$G$23,
IF(X121=regle!$H$11,regle!$H$23,
IF(X121=regle!$I$11,regle!$I$23,
IF(X121=regle!$J$11,regle!$J$23,
IF(X121=regle!$K$11,regle!$K$23,0))))))))))))</f>
        <v>33.580799999999996</v>
      </c>
      <c r="AI121" s="17">
        <f>IF($A121,$J121*(IF(Y121=regle!$B$11,regle!$B$23*IF(AR121=-2,1+regle!$B$35,1),
IF(Y121=regle!$C$11,regle!$C$23,
IF(Y121=regle!$D$11,regle!$D$23,
IF(Y121=regle!$E$11,regle!$E$23,
IF(Y121=regle!$F$11,regle!$F$23,
IF(Y121=regle!$G$11,regle!$G$23,
IF(Y121=regle!$H$11,regle!$H$23,
IF(Y121=regle!$I$11,regle!$I$23,
IF(Y121=regle!$J$11,regle!$J$23,
IF(Y121=regle!$K$11,regle!$K$23,0))))))))))))</f>
        <v>0</v>
      </c>
      <c r="AJ121" s="17">
        <f>IF($A121,$J121*(IF(Z121=regle!$B$11,regle!$B$23*IF(AS121=-2,1+regle!$B$35,1),
IF(Z121=regle!$C$11,regle!$C$23,
IF(Z121=regle!$D$11,regle!$D$23,
IF(Z121=regle!$E$11,regle!$E$23,
IF(Z121=regle!$F$11,regle!$F$23,
IF(Z121=regle!$G$11,regle!$G$23,
IF(Z121=regle!$H$11,regle!$H$23,
IF(Z121=regle!$I$11,regle!$I$23,
IF(Z121=regle!$J$11,regle!$J$23,
IF(Z121=regle!$K$11,regle!$K$23,0))))))))))))</f>
        <v>0</v>
      </c>
      <c r="AK121" s="16">
        <f>IF(OR(Q121=regle!$J$11,Q121=regle!$K$11),-2,IF(Q121=regle!$B$11,0,IF(AK$1=$AK$1,IF($O121,-1,regle!$B$2-$M121),IF(AJ121=-1,-1,AJ121+1))))</f>
        <v>5</v>
      </c>
      <c r="AL121" s="16">
        <f>IF(OR(R121=regle!$J$11,R121=regle!$K$11),-2,IF(R121=regle!$B$11,0,IF(AL$1=$AK$1,IF($O121,-1,regle!$B$2-$M121),IF(AK121=-1,-1,AK121+1))))</f>
        <v>6</v>
      </c>
      <c r="AM121" s="16">
        <f>IF(OR(S121=regle!$J$11,S121=regle!$K$11),-2,IF(S121=regle!$B$11,0,IF(AM$1=$AK$1,IF($O121,-1,regle!$B$2-$M121),IF(AL121=-1,-1,AL121+1))))</f>
        <v>7</v>
      </c>
      <c r="AN121" s="16">
        <f>IF(OR(T121=regle!$J$11,T121=regle!$K$11),-2,IF(T121=regle!$B$11,0,IF(AN$1=$AK$1,IF($O121,-1,regle!$B$2-$M121),IF(AM121=-1,-1,AM121+1))))</f>
        <v>8</v>
      </c>
      <c r="AO121" s="16">
        <f>IF(OR(U121=regle!$J$11,U121=regle!$K$11),-2,IF(U121=regle!$B$11,0,IF(AO$1=$AK$1,IF($O121,-1,regle!$B$2-$M121),IF(AN121=-1,-1,AN121+1))))</f>
        <v>9</v>
      </c>
      <c r="AP121" s="16">
        <f>IF(OR(V121=regle!$J$11,V121=regle!$K$11),-2,IF(V121=regle!$B$11,0,IF(AP$1=$AK$1,IF($O121,-1,regle!$B$2-$M121),IF(AO121=-1,-1,AO121+1))))</f>
        <v>10</v>
      </c>
      <c r="AQ121" s="16">
        <f>IF(OR(W121=regle!$J$11,W121=regle!$K$11),-2,IF(W121=regle!$B$11,0,IF(AQ$1=$AK$1,IF($O121,-1,regle!$B$2-$M121),IF(AP121=-1,-1,AP121+1))))</f>
        <v>11</v>
      </c>
      <c r="AR121" s="16">
        <f>IF(OR(X121=regle!$J$11,X121=regle!$K$11),-2,IF(X121=regle!$B$11,0,IF(AR$1=$AK$1,IF($O121,-1,regle!$B$2-$M121),IF(AQ121=-1,-1,AQ121+1))))</f>
        <v>12</v>
      </c>
      <c r="AS121" s="16">
        <f>IF(OR(Y121=regle!$J$11,Y121=regle!$K$11),-2,IF(Y121=regle!$B$11,0,IF(AS$1=$AK$1,IF($O121,-1,regle!$B$2-$M121),IF(AR121=-1,-1,AR121+1))))</f>
        <v>13</v>
      </c>
      <c r="AT121" s="16">
        <f>IF(OR(Z121=regle!$J$11,Z121=regle!$K$11),-2,IF(Z121=regle!$B$11,0,IF(AT$1=$AK$1,IF($O121,-1,regle!$B$2-$M121),IF(AS121=-1,-1,AS121+1))))</f>
        <v>14</v>
      </c>
    </row>
    <row r="122" spans="1:46" x14ac:dyDescent="0.25">
      <c r="A122" t="b">
        <f>modif1!A122</f>
        <v>1</v>
      </c>
      <c r="B122">
        <f>ROW(modif1!B122)</f>
        <v>122</v>
      </c>
      <c r="C122" t="str">
        <f>modif1!C125</f>
        <v>202</v>
      </c>
      <c r="D122" t="str">
        <f>modif1!D122</f>
        <v>HOSTENS</v>
      </c>
      <c r="E122">
        <f>modif1!E122</f>
        <v>11</v>
      </c>
      <c r="F122" t="str">
        <f>modif1!F122</f>
        <v>LES CAZALAS</v>
      </c>
      <c r="G122" t="str">
        <f>modif1!G122</f>
        <v>0B</v>
      </c>
      <c r="H122">
        <f>modif1!H122</f>
        <v>1139</v>
      </c>
      <c r="I122" t="str">
        <f>modif1!I122</f>
        <v/>
      </c>
      <c r="J122" s="11">
        <f>modif1!J122</f>
        <v>7.6909000000000001</v>
      </c>
      <c r="K122" t="str">
        <f>modif1!K122</f>
        <v>PLA</v>
      </c>
      <c r="L122" t="str">
        <f>modif1!L122</f>
        <v>PM</v>
      </c>
      <c r="M122">
        <f>modif1!M122</f>
        <v>2018</v>
      </c>
      <c r="N122" t="str">
        <f>modif1!N122</f>
        <v>PLA-PM_2018</v>
      </c>
      <c r="O122" t="b">
        <f>modif1!O122</f>
        <v>0</v>
      </c>
      <c r="P122">
        <v>40</v>
      </c>
      <c r="R122" s="22"/>
      <c r="S122" t="s">
        <v>1871</v>
      </c>
      <c r="W122" s="22"/>
      <c r="X122" t="s">
        <v>1803</v>
      </c>
      <c r="Z122"/>
      <c r="AA122" s="17">
        <f>IF($A122,$J122*(IF(Q122=regle!$B$11,regle!$B$23*IF(AJ122=-2,1+regle!$B$35,1),
IF(Q122=regle!$C$11,regle!$C$23,
IF(Q122=regle!$D$11,regle!$D$23,
IF(Q122=regle!$E$11,regle!$E$23,
IF(Q122=regle!$F$11,regle!$F$23,
IF(Q122=regle!$G$11,regle!$G$23,
IF(Q122=regle!$H$11,regle!$H$23,
IF(Q122=regle!$I$11,regle!$I$23,
IF(Q122=regle!$J$11,regle!$J$23,
IF(Q122=regle!$K$11,regle!$K$23,0))))))))))))</f>
        <v>0</v>
      </c>
      <c r="AB122" s="17">
        <f>IF($A122,$J122*(IF(R122=regle!$B$11,regle!$B$23*IF(AK122=-2,1+regle!$B$35,1),
IF(R122=regle!$C$11,regle!$C$23,
IF(R122=regle!$D$11,regle!$D$23,
IF(R122=regle!$E$11,regle!$E$23,
IF(R122=regle!$F$11,regle!$F$23,
IF(R122=regle!$G$11,regle!$G$23,
IF(R122=regle!$H$11,regle!$H$23,
IF(R122=regle!$I$11,regle!$I$23,
IF(R122=regle!$J$11,regle!$J$23,
IF(R122=regle!$K$11,regle!$K$23,0))))))))))))</f>
        <v>0</v>
      </c>
      <c r="AC122" s="17">
        <f>IF($A122,$J122*(IF(S122=regle!$B$11,regle!$B$23*IF(AL122=-2,1+regle!$B$35,1),
IF(S122=regle!$C$11,regle!$C$23,
IF(S122=regle!$D$11,regle!$D$23,
IF(S122=regle!$E$11,regle!$E$23,
IF(S122=regle!$F$11,regle!$F$23,
IF(S122=regle!$G$11,regle!$G$23,
IF(S122=regle!$H$11,regle!$H$23,
IF(S122=regle!$I$11,regle!$I$23,
IF(S122=regle!$J$11,regle!$J$23,
IF(S122=regle!$K$11,regle!$K$23,0))))))))))))</f>
        <v>-692.18100000000004</v>
      </c>
      <c r="AD122" s="17">
        <f>IF($A122,$J122*(IF(T122=regle!$B$11,regle!$B$23*IF(AM122=-2,1+regle!$B$35,1),
IF(T122=regle!$C$11,regle!$C$23,
IF(T122=regle!$D$11,regle!$D$23,
IF(T122=regle!$E$11,regle!$E$23,
IF(T122=regle!$F$11,regle!$F$23,
IF(T122=regle!$G$11,regle!$G$23,
IF(T122=regle!$H$11,regle!$H$23,
IF(T122=regle!$I$11,regle!$I$23,
IF(T122=regle!$J$11,regle!$J$23,
IF(T122=regle!$K$11,regle!$K$23,0))))))))))))</f>
        <v>0</v>
      </c>
      <c r="AE122" s="17">
        <f>IF($A122,$J122*(IF(U122=regle!$B$11,regle!$B$23*IF(AN122=-2,1+regle!$B$35,1),
IF(U122=regle!$C$11,regle!$C$23,
IF(U122=regle!$D$11,regle!$D$23,
IF(U122=regle!$E$11,regle!$E$23,
IF(U122=regle!$F$11,regle!$F$23,
IF(U122=regle!$G$11,regle!$G$23,
IF(U122=regle!$H$11,regle!$H$23,
IF(U122=regle!$I$11,regle!$I$23,
IF(U122=regle!$J$11,regle!$J$23,
IF(U122=regle!$K$11,regle!$K$23,0))))))))))))</f>
        <v>0</v>
      </c>
      <c r="AF122" s="17">
        <f>IF($A122,$J122*(IF(V122=regle!$B$11,regle!$B$23*IF(AO122=-2,1+regle!$B$35,1),
IF(V122=regle!$C$11,regle!$C$23,
IF(V122=regle!$D$11,regle!$D$23,
IF(V122=regle!$E$11,regle!$E$23,
IF(V122=regle!$F$11,regle!$F$23,
IF(V122=regle!$G$11,regle!$G$23,
IF(V122=regle!$H$11,regle!$H$23,
IF(V122=regle!$I$11,regle!$I$23,
IF(V122=regle!$J$11,regle!$J$23,
IF(V122=regle!$K$11,regle!$K$23,0))))))))))))</f>
        <v>0</v>
      </c>
      <c r="AG122" s="17">
        <f>IF($A122,$J122*(IF(W122=regle!$B$11,regle!$B$23*IF(AP122=-2,1+regle!$B$35,1),
IF(W122=regle!$C$11,regle!$C$23,
IF(W122=regle!$D$11,regle!$D$23,
IF(W122=regle!$E$11,regle!$E$23,
IF(W122=regle!$F$11,regle!$F$23,
IF(W122=regle!$G$11,regle!$G$23,
IF(W122=regle!$H$11,regle!$H$23,
IF(W122=regle!$I$11,regle!$I$23,
IF(W122=regle!$J$11,regle!$J$23,
IF(W122=regle!$K$11,regle!$K$23,0))))))))))))</f>
        <v>0</v>
      </c>
      <c r="AH122" s="17">
        <f>IF($A122,$J122*(IF(X122=regle!$B$11,regle!$B$23*IF(AQ122=-2,1+regle!$B$35,1),
IF(X122=regle!$C$11,regle!$C$23,
IF(X122=regle!$D$11,regle!$D$23,
IF(X122=regle!$E$11,regle!$E$23,
IF(X122=regle!$F$11,regle!$F$23,
IF(X122=regle!$G$11,regle!$G$23,
IF(X122=regle!$H$11,regle!$H$23,
IF(X122=regle!$I$11,regle!$I$23,
IF(X122=regle!$J$11,regle!$J$23,
IF(X122=regle!$K$11,regle!$K$23,0))))))))))))</f>
        <v>4429.9584000000004</v>
      </c>
      <c r="AI122" s="17">
        <f>IF($A122,$J122*(IF(Y122=regle!$B$11,regle!$B$23*IF(AR122=-2,1+regle!$B$35,1),
IF(Y122=regle!$C$11,regle!$C$23,
IF(Y122=regle!$D$11,regle!$D$23,
IF(Y122=regle!$E$11,regle!$E$23,
IF(Y122=regle!$F$11,regle!$F$23,
IF(Y122=regle!$G$11,regle!$G$23,
IF(Y122=regle!$H$11,regle!$H$23,
IF(Y122=regle!$I$11,regle!$I$23,
IF(Y122=regle!$J$11,regle!$J$23,
IF(Y122=regle!$K$11,regle!$K$23,0))))))))))))</f>
        <v>0</v>
      </c>
      <c r="AJ122" s="17">
        <f>IF($A122,$J122*(IF(Z122=regle!$B$11,regle!$B$23*IF(AS122=-2,1+regle!$B$35,1),
IF(Z122=regle!$C$11,regle!$C$23,
IF(Z122=regle!$D$11,regle!$D$23,
IF(Z122=regle!$E$11,regle!$E$23,
IF(Z122=regle!$F$11,regle!$F$23,
IF(Z122=regle!$G$11,regle!$G$23,
IF(Z122=regle!$H$11,regle!$H$23,
IF(Z122=regle!$I$11,regle!$I$23,
IF(Z122=regle!$J$11,regle!$J$23,
IF(Z122=regle!$K$11,regle!$K$23,0))))))))))))</f>
        <v>0</v>
      </c>
      <c r="AK122" s="16">
        <f>IF(OR(Q122=regle!$J$11,Q122=regle!$K$11),-2,IF(Q122=regle!$B$11,0,IF(AK$1=$AK$1,IF($O122,-1,regle!$B$2-$M122),IF(AJ122=-1,-1,AJ122+1))))</f>
        <v>6</v>
      </c>
      <c r="AL122" s="16">
        <f>IF(OR(R122=regle!$J$11,R122=regle!$K$11),-2,IF(R122=regle!$B$11,0,IF(AL$1=$AK$1,IF($O122,-1,regle!$B$2-$M122),IF(AK122=-1,-1,AK122+1))))</f>
        <v>7</v>
      </c>
      <c r="AM122" s="16">
        <f>IF(OR(S122=regle!$J$11,S122=regle!$K$11),-2,IF(S122=regle!$B$11,0,IF(AM$1=$AK$1,IF($O122,-1,regle!$B$2-$M122),IF(AL122=-1,-1,AL122+1))))</f>
        <v>8</v>
      </c>
      <c r="AN122" s="16">
        <f>IF(OR(T122=regle!$J$11,T122=regle!$K$11),-2,IF(T122=regle!$B$11,0,IF(AN$1=$AK$1,IF($O122,-1,regle!$B$2-$M122),IF(AM122=-1,-1,AM122+1))))</f>
        <v>9</v>
      </c>
      <c r="AO122" s="16">
        <f>IF(OR(U122=regle!$J$11,U122=regle!$K$11),-2,IF(U122=regle!$B$11,0,IF(AO$1=$AK$1,IF($O122,-1,regle!$B$2-$M122),IF(AN122=-1,-1,AN122+1))))</f>
        <v>10</v>
      </c>
      <c r="AP122" s="16">
        <f>IF(OR(V122=regle!$J$11,V122=regle!$K$11),-2,IF(V122=regle!$B$11,0,IF(AP$1=$AK$1,IF($O122,-1,regle!$B$2-$M122),IF(AO122=-1,-1,AO122+1))))</f>
        <v>11</v>
      </c>
      <c r="AQ122" s="16">
        <f>IF(OR(W122=regle!$J$11,W122=regle!$K$11),-2,IF(W122=regle!$B$11,0,IF(AQ$1=$AK$1,IF($O122,-1,regle!$B$2-$M122),IF(AP122=-1,-1,AP122+1))))</f>
        <v>12</v>
      </c>
      <c r="AR122" s="16">
        <f>IF(OR(X122=regle!$J$11,X122=regle!$K$11),-2,IF(X122=regle!$B$11,0,IF(AR$1=$AK$1,IF($O122,-1,regle!$B$2-$M122),IF(AQ122=-1,-1,AQ122+1))))</f>
        <v>13</v>
      </c>
      <c r="AS122" s="16">
        <f>IF(OR(Y122=regle!$J$11,Y122=regle!$K$11),-2,IF(Y122=regle!$B$11,0,IF(AS$1=$AK$1,IF($O122,-1,regle!$B$2-$M122),IF(AR122=-1,-1,AR122+1))))</f>
        <v>14</v>
      </c>
      <c r="AT122" s="16">
        <f>IF(OR(Z122=regle!$J$11,Z122=regle!$K$11),-2,IF(Z122=regle!$B$11,0,IF(AT$1=$AK$1,IF($O122,-1,regle!$B$2-$M122),IF(AS122=-1,-1,AS122+1))))</f>
        <v>15</v>
      </c>
    </row>
    <row r="123" spans="1:46" x14ac:dyDescent="0.25">
      <c r="A123" t="b">
        <f>modif1!A123</f>
        <v>1</v>
      </c>
      <c r="B123">
        <f>ROW(modif1!B123)</f>
        <v>123</v>
      </c>
      <c r="C123" t="str">
        <f>modif1!C126</f>
        <v>202</v>
      </c>
      <c r="D123" t="str">
        <f>modif1!D123</f>
        <v>HOSTENS</v>
      </c>
      <c r="E123">
        <f>modif1!E123</f>
        <v>13</v>
      </c>
      <c r="F123" t="str">
        <f>modif1!F123</f>
        <v>LA BROUSTETTE</v>
      </c>
      <c r="G123" t="str">
        <f>modif1!G123</f>
        <v>0B</v>
      </c>
      <c r="H123">
        <f>modif1!H123</f>
        <v>1249</v>
      </c>
      <c r="I123" t="str">
        <f>modif1!I123</f>
        <v>k</v>
      </c>
      <c r="J123" s="11">
        <f>modif1!J123</f>
        <v>5.6863000000000001</v>
      </c>
      <c r="K123" t="str">
        <f>modif1!K123</f>
        <v>PLA</v>
      </c>
      <c r="L123" t="str">
        <f>modif1!L123</f>
        <v>PM</v>
      </c>
      <c r="M123">
        <f>modif1!M123</f>
        <v>2018</v>
      </c>
      <c r="N123" t="str">
        <f>modif1!N123</f>
        <v>PLA-PM_2018</v>
      </c>
      <c r="O123" t="b">
        <f>modif1!O123</f>
        <v>0</v>
      </c>
      <c r="P123">
        <v>40</v>
      </c>
      <c r="R123" s="22"/>
      <c r="S123" t="s">
        <v>1871</v>
      </c>
      <c r="W123" s="22"/>
      <c r="X123" t="s">
        <v>1803</v>
      </c>
      <c r="Z123"/>
      <c r="AA123" s="17">
        <f>IF($A123,$J123*(IF(Q123=regle!$B$11,regle!$B$23*IF(AJ123=-2,1+regle!$B$35,1),
IF(Q123=regle!$C$11,regle!$C$23,
IF(Q123=regle!$D$11,regle!$D$23,
IF(Q123=regle!$E$11,regle!$E$23,
IF(Q123=regle!$F$11,regle!$F$23,
IF(Q123=regle!$G$11,regle!$G$23,
IF(Q123=regle!$H$11,regle!$H$23,
IF(Q123=regle!$I$11,regle!$I$23,
IF(Q123=regle!$J$11,regle!$J$23,
IF(Q123=regle!$K$11,regle!$K$23,0))))))))))))</f>
        <v>0</v>
      </c>
      <c r="AB123" s="17">
        <f>IF($A123,$J123*(IF(R123=regle!$B$11,regle!$B$23*IF(AK123=-2,1+regle!$B$35,1),
IF(R123=regle!$C$11,regle!$C$23,
IF(R123=regle!$D$11,regle!$D$23,
IF(R123=regle!$E$11,regle!$E$23,
IF(R123=regle!$F$11,regle!$F$23,
IF(R123=regle!$G$11,regle!$G$23,
IF(R123=regle!$H$11,regle!$H$23,
IF(R123=regle!$I$11,regle!$I$23,
IF(R123=regle!$J$11,regle!$J$23,
IF(R123=regle!$K$11,regle!$K$23,0))))))))))))</f>
        <v>0</v>
      </c>
      <c r="AC123" s="17">
        <f>IF($A123,$J123*(IF(S123=regle!$B$11,regle!$B$23*IF(AL123=-2,1+regle!$B$35,1),
IF(S123=regle!$C$11,regle!$C$23,
IF(S123=regle!$D$11,regle!$D$23,
IF(S123=regle!$E$11,regle!$E$23,
IF(S123=regle!$F$11,regle!$F$23,
IF(S123=regle!$G$11,regle!$G$23,
IF(S123=regle!$H$11,regle!$H$23,
IF(S123=regle!$I$11,regle!$I$23,
IF(S123=regle!$J$11,regle!$J$23,
IF(S123=regle!$K$11,regle!$K$23,0))))))))))))</f>
        <v>-511.767</v>
      </c>
      <c r="AD123" s="17">
        <f>IF($A123,$J123*(IF(T123=regle!$B$11,regle!$B$23*IF(AM123=-2,1+regle!$B$35,1),
IF(T123=regle!$C$11,regle!$C$23,
IF(T123=regle!$D$11,regle!$D$23,
IF(T123=regle!$E$11,regle!$E$23,
IF(T123=regle!$F$11,regle!$F$23,
IF(T123=regle!$G$11,regle!$G$23,
IF(T123=regle!$H$11,regle!$H$23,
IF(T123=regle!$I$11,regle!$I$23,
IF(T123=regle!$J$11,regle!$J$23,
IF(T123=regle!$K$11,regle!$K$23,0))))))))))))</f>
        <v>0</v>
      </c>
      <c r="AE123" s="17">
        <f>IF($A123,$J123*(IF(U123=regle!$B$11,regle!$B$23*IF(AN123=-2,1+regle!$B$35,1),
IF(U123=regle!$C$11,regle!$C$23,
IF(U123=regle!$D$11,regle!$D$23,
IF(U123=regle!$E$11,regle!$E$23,
IF(U123=regle!$F$11,regle!$F$23,
IF(U123=regle!$G$11,regle!$G$23,
IF(U123=regle!$H$11,regle!$H$23,
IF(U123=regle!$I$11,regle!$I$23,
IF(U123=regle!$J$11,regle!$J$23,
IF(U123=regle!$K$11,regle!$K$23,0))))))))))))</f>
        <v>0</v>
      </c>
      <c r="AF123" s="17">
        <f>IF($A123,$J123*(IF(V123=regle!$B$11,regle!$B$23*IF(AO123=-2,1+regle!$B$35,1),
IF(V123=regle!$C$11,regle!$C$23,
IF(V123=regle!$D$11,regle!$D$23,
IF(V123=regle!$E$11,regle!$E$23,
IF(V123=regle!$F$11,regle!$F$23,
IF(V123=regle!$G$11,regle!$G$23,
IF(V123=regle!$H$11,regle!$H$23,
IF(V123=regle!$I$11,regle!$I$23,
IF(V123=regle!$J$11,regle!$J$23,
IF(V123=regle!$K$11,regle!$K$23,0))))))))))))</f>
        <v>0</v>
      </c>
      <c r="AG123" s="17">
        <f>IF($A123,$J123*(IF(W123=regle!$B$11,regle!$B$23*IF(AP123=-2,1+regle!$B$35,1),
IF(W123=regle!$C$11,regle!$C$23,
IF(W123=regle!$D$11,regle!$D$23,
IF(W123=regle!$E$11,regle!$E$23,
IF(W123=regle!$F$11,regle!$F$23,
IF(W123=regle!$G$11,regle!$G$23,
IF(W123=regle!$H$11,regle!$H$23,
IF(W123=regle!$I$11,regle!$I$23,
IF(W123=regle!$J$11,regle!$J$23,
IF(W123=regle!$K$11,regle!$K$23,0))))))))))))</f>
        <v>0</v>
      </c>
      <c r="AH123" s="17">
        <f>IF($A123,$J123*(IF(X123=regle!$B$11,regle!$B$23*IF(AQ123=-2,1+regle!$B$35,1),
IF(X123=regle!$C$11,regle!$C$23,
IF(X123=regle!$D$11,regle!$D$23,
IF(X123=regle!$E$11,regle!$E$23,
IF(X123=regle!$F$11,regle!$F$23,
IF(X123=regle!$G$11,regle!$G$23,
IF(X123=regle!$H$11,regle!$H$23,
IF(X123=regle!$I$11,regle!$I$23,
IF(X123=regle!$J$11,regle!$J$23,
IF(X123=regle!$K$11,regle!$K$23,0))))))))))))</f>
        <v>3275.3088000000002</v>
      </c>
      <c r="AI123" s="17">
        <f>IF($A123,$J123*(IF(Y123=regle!$B$11,regle!$B$23*IF(AR123=-2,1+regle!$B$35,1),
IF(Y123=regle!$C$11,regle!$C$23,
IF(Y123=regle!$D$11,regle!$D$23,
IF(Y123=regle!$E$11,regle!$E$23,
IF(Y123=regle!$F$11,regle!$F$23,
IF(Y123=regle!$G$11,regle!$G$23,
IF(Y123=regle!$H$11,regle!$H$23,
IF(Y123=regle!$I$11,regle!$I$23,
IF(Y123=regle!$J$11,regle!$J$23,
IF(Y123=regle!$K$11,regle!$K$23,0))))))))))))</f>
        <v>0</v>
      </c>
      <c r="AJ123" s="17">
        <f>IF($A123,$J123*(IF(Z123=regle!$B$11,regle!$B$23*IF(AS123=-2,1+regle!$B$35,1),
IF(Z123=regle!$C$11,regle!$C$23,
IF(Z123=regle!$D$11,regle!$D$23,
IF(Z123=regle!$E$11,regle!$E$23,
IF(Z123=regle!$F$11,regle!$F$23,
IF(Z123=regle!$G$11,regle!$G$23,
IF(Z123=regle!$H$11,regle!$H$23,
IF(Z123=regle!$I$11,regle!$I$23,
IF(Z123=regle!$J$11,regle!$J$23,
IF(Z123=regle!$K$11,regle!$K$23,0))))))))))))</f>
        <v>0</v>
      </c>
      <c r="AK123" s="16">
        <f>IF(OR(Q123=regle!$J$11,Q123=regle!$K$11),-2,IF(Q123=regle!$B$11,0,IF(AK$1=$AK$1,IF($O123,-1,regle!$B$2-$M123),IF(AJ123=-1,-1,AJ123+1))))</f>
        <v>6</v>
      </c>
      <c r="AL123" s="16">
        <f>IF(OR(R123=regle!$J$11,R123=regle!$K$11),-2,IF(R123=regle!$B$11,0,IF(AL$1=$AK$1,IF($O123,-1,regle!$B$2-$M123),IF(AK123=-1,-1,AK123+1))))</f>
        <v>7</v>
      </c>
      <c r="AM123" s="16">
        <f>IF(OR(S123=regle!$J$11,S123=regle!$K$11),-2,IF(S123=regle!$B$11,0,IF(AM$1=$AK$1,IF($O123,-1,regle!$B$2-$M123),IF(AL123=-1,-1,AL123+1))))</f>
        <v>8</v>
      </c>
      <c r="AN123" s="16">
        <f>IF(OR(T123=regle!$J$11,T123=regle!$K$11),-2,IF(T123=regle!$B$11,0,IF(AN$1=$AK$1,IF($O123,-1,regle!$B$2-$M123),IF(AM123=-1,-1,AM123+1))))</f>
        <v>9</v>
      </c>
      <c r="AO123" s="16">
        <f>IF(OR(U123=regle!$J$11,U123=regle!$K$11),-2,IF(U123=regle!$B$11,0,IF(AO$1=$AK$1,IF($O123,-1,regle!$B$2-$M123),IF(AN123=-1,-1,AN123+1))))</f>
        <v>10</v>
      </c>
      <c r="AP123" s="16">
        <f>IF(OR(V123=regle!$J$11,V123=regle!$K$11),-2,IF(V123=regle!$B$11,0,IF(AP$1=$AK$1,IF($O123,-1,regle!$B$2-$M123),IF(AO123=-1,-1,AO123+1))))</f>
        <v>11</v>
      </c>
      <c r="AQ123" s="16">
        <f>IF(OR(W123=regle!$J$11,W123=regle!$K$11),-2,IF(W123=regle!$B$11,0,IF(AQ$1=$AK$1,IF($O123,-1,regle!$B$2-$M123),IF(AP123=-1,-1,AP123+1))))</f>
        <v>12</v>
      </c>
      <c r="AR123" s="16">
        <f>IF(OR(X123=regle!$J$11,X123=regle!$K$11),-2,IF(X123=regle!$B$11,0,IF(AR$1=$AK$1,IF($O123,-1,regle!$B$2-$M123),IF(AQ123=-1,-1,AQ123+1))))</f>
        <v>13</v>
      </c>
      <c r="AS123" s="16">
        <f>IF(OR(Y123=regle!$J$11,Y123=regle!$K$11),-2,IF(Y123=regle!$B$11,0,IF(AS$1=$AK$1,IF($O123,-1,regle!$B$2-$M123),IF(AR123=-1,-1,AR123+1))))</f>
        <v>14</v>
      </c>
      <c r="AT123" s="16">
        <f>IF(OR(Z123=regle!$J$11,Z123=regle!$K$11),-2,IF(Z123=regle!$B$11,0,IF(AT$1=$AK$1,IF($O123,-1,regle!$B$2-$M123),IF(AS123=-1,-1,AS123+1))))</f>
        <v>15</v>
      </c>
    </row>
    <row r="124" spans="1:46" x14ac:dyDescent="0.25">
      <c r="A124" t="b">
        <f>modif1!A124</f>
        <v>1</v>
      </c>
      <c r="B124">
        <f>ROW(modif1!B124)</f>
        <v>124</v>
      </c>
      <c r="C124" t="str">
        <f>modif1!C127</f>
        <v>202</v>
      </c>
      <c r="D124" t="str">
        <f>modif1!D124</f>
        <v>HOSTENS</v>
      </c>
      <c r="E124">
        <f>modif1!E124</f>
        <v>13</v>
      </c>
      <c r="F124" t="str">
        <f>modif1!F124</f>
        <v>LA BROUSTETTE</v>
      </c>
      <c r="G124" t="str">
        <f>modif1!G124</f>
        <v>0B</v>
      </c>
      <c r="H124">
        <f>modif1!H124</f>
        <v>1227</v>
      </c>
      <c r="I124" t="str">
        <f>modif1!I124</f>
        <v/>
      </c>
      <c r="J124" s="11">
        <f>modif1!J124</f>
        <v>2.8620000000000001</v>
      </c>
      <c r="K124" t="str">
        <f>modif1!K124</f>
        <v>PLA</v>
      </c>
      <c r="L124" t="str">
        <f>modif1!L124</f>
        <v>PM</v>
      </c>
      <c r="M124">
        <f>modif1!M124</f>
        <v>2018</v>
      </c>
      <c r="N124" t="str">
        <f>modif1!N124</f>
        <v>PLA-PM_2018</v>
      </c>
      <c r="O124" t="b">
        <f>modif1!O124</f>
        <v>0</v>
      </c>
      <c r="P124">
        <v>40</v>
      </c>
      <c r="R124" s="22"/>
      <c r="S124" t="s">
        <v>1871</v>
      </c>
      <c r="W124" t="s">
        <v>1803</v>
      </c>
      <c r="Z124"/>
      <c r="AA124" s="17">
        <f>IF($A124,$J124*(IF(Q124=regle!$B$11,regle!$B$23*IF(AJ124=-2,1+regle!$B$35,1),
IF(Q124=regle!$C$11,regle!$C$23,
IF(Q124=regle!$D$11,regle!$D$23,
IF(Q124=regle!$E$11,regle!$E$23,
IF(Q124=regle!$F$11,regle!$F$23,
IF(Q124=regle!$G$11,regle!$G$23,
IF(Q124=regle!$H$11,regle!$H$23,
IF(Q124=regle!$I$11,regle!$I$23,
IF(Q124=regle!$J$11,regle!$J$23,
IF(Q124=regle!$K$11,regle!$K$23,0))))))))))))</f>
        <v>0</v>
      </c>
      <c r="AB124" s="17">
        <f>IF($A124,$J124*(IF(R124=regle!$B$11,regle!$B$23*IF(AK124=-2,1+regle!$B$35,1),
IF(R124=regle!$C$11,regle!$C$23,
IF(R124=regle!$D$11,regle!$D$23,
IF(R124=regle!$E$11,regle!$E$23,
IF(R124=regle!$F$11,regle!$F$23,
IF(R124=regle!$G$11,regle!$G$23,
IF(R124=regle!$H$11,regle!$H$23,
IF(R124=regle!$I$11,regle!$I$23,
IF(R124=regle!$J$11,regle!$J$23,
IF(R124=regle!$K$11,regle!$K$23,0))))))))))))</f>
        <v>0</v>
      </c>
      <c r="AC124" s="17">
        <f>IF($A124,$J124*(IF(S124=regle!$B$11,regle!$B$23*IF(AL124=-2,1+regle!$B$35,1),
IF(S124=regle!$C$11,regle!$C$23,
IF(S124=regle!$D$11,regle!$D$23,
IF(S124=regle!$E$11,regle!$E$23,
IF(S124=regle!$F$11,regle!$F$23,
IF(S124=regle!$G$11,regle!$G$23,
IF(S124=regle!$H$11,regle!$H$23,
IF(S124=regle!$I$11,regle!$I$23,
IF(S124=regle!$J$11,regle!$J$23,
IF(S124=regle!$K$11,regle!$K$23,0))))))))))))</f>
        <v>-257.58</v>
      </c>
      <c r="AD124" s="17">
        <f>IF($A124,$J124*(IF(T124=regle!$B$11,regle!$B$23*IF(AM124=-2,1+regle!$B$35,1),
IF(T124=regle!$C$11,regle!$C$23,
IF(T124=regle!$D$11,regle!$D$23,
IF(T124=regle!$E$11,regle!$E$23,
IF(T124=regle!$F$11,regle!$F$23,
IF(T124=regle!$G$11,regle!$G$23,
IF(T124=regle!$H$11,regle!$H$23,
IF(T124=regle!$I$11,regle!$I$23,
IF(T124=regle!$J$11,regle!$J$23,
IF(T124=regle!$K$11,regle!$K$23,0))))))))))))</f>
        <v>0</v>
      </c>
      <c r="AE124" s="17">
        <f>IF($A124,$J124*(IF(U124=regle!$B$11,regle!$B$23*IF(AN124=-2,1+regle!$B$35,1),
IF(U124=regle!$C$11,regle!$C$23,
IF(U124=regle!$D$11,regle!$D$23,
IF(U124=regle!$E$11,regle!$E$23,
IF(U124=regle!$F$11,regle!$F$23,
IF(U124=regle!$G$11,regle!$G$23,
IF(U124=regle!$H$11,regle!$H$23,
IF(U124=regle!$I$11,regle!$I$23,
IF(U124=regle!$J$11,regle!$J$23,
IF(U124=regle!$K$11,regle!$K$23,0))))))))))))</f>
        <v>0</v>
      </c>
      <c r="AF124" s="17">
        <f>IF($A124,$J124*(IF(V124=regle!$B$11,regle!$B$23*IF(AO124=-2,1+regle!$B$35,1),
IF(V124=regle!$C$11,regle!$C$23,
IF(V124=regle!$D$11,regle!$D$23,
IF(V124=regle!$E$11,regle!$E$23,
IF(V124=regle!$F$11,regle!$F$23,
IF(V124=regle!$G$11,regle!$G$23,
IF(V124=regle!$H$11,regle!$H$23,
IF(V124=regle!$I$11,regle!$I$23,
IF(V124=regle!$J$11,regle!$J$23,
IF(V124=regle!$K$11,regle!$K$23,0))))))))))))</f>
        <v>0</v>
      </c>
      <c r="AG124" s="17">
        <f>IF($A124,$J124*(IF(W124=regle!$B$11,regle!$B$23*IF(AP124=-2,1+regle!$B$35,1),
IF(W124=regle!$C$11,regle!$C$23,
IF(W124=regle!$D$11,regle!$D$23,
IF(W124=regle!$E$11,regle!$E$23,
IF(W124=regle!$F$11,regle!$F$23,
IF(W124=regle!$G$11,regle!$G$23,
IF(W124=regle!$H$11,regle!$H$23,
IF(W124=regle!$I$11,regle!$I$23,
IF(W124=regle!$J$11,regle!$J$23,
IF(W124=regle!$K$11,regle!$K$23,0))))))))))))</f>
        <v>1648.5120000000002</v>
      </c>
      <c r="AH124" s="17">
        <f>IF($A124,$J124*(IF(X124=regle!$B$11,regle!$B$23*IF(AQ124=-2,1+regle!$B$35,1),
IF(X124=regle!$C$11,regle!$C$23,
IF(X124=regle!$D$11,regle!$D$23,
IF(X124=regle!$E$11,regle!$E$23,
IF(X124=regle!$F$11,regle!$F$23,
IF(X124=regle!$G$11,regle!$G$23,
IF(X124=regle!$H$11,regle!$H$23,
IF(X124=regle!$I$11,regle!$I$23,
IF(X124=regle!$J$11,regle!$J$23,
IF(X124=regle!$K$11,regle!$K$23,0))))))))))))</f>
        <v>0</v>
      </c>
      <c r="AI124" s="17">
        <f>IF($A124,$J124*(IF(Y124=regle!$B$11,regle!$B$23*IF(AR124=-2,1+regle!$B$35,1),
IF(Y124=regle!$C$11,regle!$C$23,
IF(Y124=regle!$D$11,regle!$D$23,
IF(Y124=regle!$E$11,regle!$E$23,
IF(Y124=regle!$F$11,regle!$F$23,
IF(Y124=regle!$G$11,regle!$G$23,
IF(Y124=regle!$H$11,regle!$H$23,
IF(Y124=regle!$I$11,regle!$I$23,
IF(Y124=regle!$J$11,regle!$J$23,
IF(Y124=regle!$K$11,regle!$K$23,0))))))))))))</f>
        <v>0</v>
      </c>
      <c r="AJ124" s="17">
        <f>IF($A124,$J124*(IF(Z124=regle!$B$11,regle!$B$23*IF(AS124=-2,1+regle!$B$35,1),
IF(Z124=regle!$C$11,regle!$C$23,
IF(Z124=regle!$D$11,regle!$D$23,
IF(Z124=regle!$E$11,regle!$E$23,
IF(Z124=regle!$F$11,regle!$F$23,
IF(Z124=regle!$G$11,regle!$G$23,
IF(Z124=regle!$H$11,regle!$H$23,
IF(Z124=regle!$I$11,regle!$I$23,
IF(Z124=regle!$J$11,regle!$J$23,
IF(Z124=regle!$K$11,regle!$K$23,0))))))))))))</f>
        <v>0</v>
      </c>
      <c r="AK124" s="16">
        <f>IF(OR(Q124=regle!$J$11,Q124=regle!$K$11),-2,IF(Q124=regle!$B$11,0,IF(AK$1=$AK$1,IF($O124,-1,regle!$B$2-$M124),IF(AJ124=-1,-1,AJ124+1))))</f>
        <v>6</v>
      </c>
      <c r="AL124" s="16">
        <f>IF(OR(R124=regle!$J$11,R124=regle!$K$11),-2,IF(R124=regle!$B$11,0,IF(AL$1=$AK$1,IF($O124,-1,regle!$B$2-$M124),IF(AK124=-1,-1,AK124+1))))</f>
        <v>7</v>
      </c>
      <c r="AM124" s="16">
        <f>IF(OR(S124=regle!$J$11,S124=regle!$K$11),-2,IF(S124=regle!$B$11,0,IF(AM$1=$AK$1,IF($O124,-1,regle!$B$2-$M124),IF(AL124=-1,-1,AL124+1))))</f>
        <v>8</v>
      </c>
      <c r="AN124" s="16">
        <f>IF(OR(T124=regle!$J$11,T124=regle!$K$11),-2,IF(T124=regle!$B$11,0,IF(AN$1=$AK$1,IF($O124,-1,regle!$B$2-$M124),IF(AM124=-1,-1,AM124+1))))</f>
        <v>9</v>
      </c>
      <c r="AO124" s="16">
        <f>IF(OR(U124=regle!$J$11,U124=regle!$K$11),-2,IF(U124=regle!$B$11,0,IF(AO$1=$AK$1,IF($O124,-1,regle!$B$2-$M124),IF(AN124=-1,-1,AN124+1))))</f>
        <v>10</v>
      </c>
      <c r="AP124" s="16">
        <f>IF(OR(V124=regle!$J$11,V124=regle!$K$11),-2,IF(V124=regle!$B$11,0,IF(AP$1=$AK$1,IF($O124,-1,regle!$B$2-$M124),IF(AO124=-1,-1,AO124+1))))</f>
        <v>11</v>
      </c>
      <c r="AQ124" s="16">
        <f>IF(OR(W124=regle!$J$11,W124=regle!$K$11),-2,IF(W124=regle!$B$11,0,IF(AQ$1=$AK$1,IF($O124,-1,regle!$B$2-$M124),IF(AP124=-1,-1,AP124+1))))</f>
        <v>12</v>
      </c>
      <c r="AR124" s="16">
        <f>IF(OR(X124=regle!$J$11,X124=regle!$K$11),-2,IF(X124=regle!$B$11,0,IF(AR$1=$AK$1,IF($O124,-1,regle!$B$2-$M124),IF(AQ124=-1,-1,AQ124+1))))</f>
        <v>13</v>
      </c>
      <c r="AS124" s="16">
        <f>IF(OR(Y124=regle!$J$11,Y124=regle!$K$11),-2,IF(Y124=regle!$B$11,0,IF(AS$1=$AK$1,IF($O124,-1,regle!$B$2-$M124),IF(AR124=-1,-1,AR124+1))))</f>
        <v>14</v>
      </c>
      <c r="AT124" s="16">
        <f>IF(OR(Z124=regle!$J$11,Z124=regle!$K$11),-2,IF(Z124=regle!$B$11,0,IF(AT$1=$AK$1,IF($O124,-1,regle!$B$2-$M124),IF(AS124=-1,-1,AS124+1))))</f>
        <v>15</v>
      </c>
    </row>
    <row r="125" spans="1:46" x14ac:dyDescent="0.25">
      <c r="A125" t="b">
        <f>modif1!A125</f>
        <v>1</v>
      </c>
      <c r="B125">
        <f>ROW(modif1!B125)</f>
        <v>125</v>
      </c>
      <c r="C125" t="str">
        <f>modif1!C128</f>
        <v>202</v>
      </c>
      <c r="D125" t="str">
        <f>modif1!D125</f>
        <v>HOSTENS</v>
      </c>
      <c r="E125">
        <f>modif1!E125</f>
        <v>13</v>
      </c>
      <c r="F125" t="str">
        <f>modif1!F125</f>
        <v>LA BROUSTETTE</v>
      </c>
      <c r="G125" t="str">
        <f>modif1!G125</f>
        <v>0B</v>
      </c>
      <c r="H125">
        <f>modif1!H125</f>
        <v>1249</v>
      </c>
      <c r="I125" t="str">
        <f>modif1!I125</f>
        <v>p</v>
      </c>
      <c r="J125" s="11">
        <f>modif1!J125</f>
        <v>1.8421000000000001</v>
      </c>
      <c r="K125" t="str">
        <f>modif1!K125</f>
        <v>PLA</v>
      </c>
      <c r="L125" t="str">
        <f>modif1!L125</f>
        <v>PM</v>
      </c>
      <c r="M125">
        <f>modif1!M125</f>
        <v>2018</v>
      </c>
      <c r="N125" t="str">
        <f>modif1!N125</f>
        <v>PLA-PM_2018</v>
      </c>
      <c r="O125" t="b">
        <f>modif1!O125</f>
        <v>0</v>
      </c>
      <c r="P125">
        <v>40</v>
      </c>
      <c r="R125" s="22"/>
      <c r="S125" t="s">
        <v>1871</v>
      </c>
      <c r="W125" t="s">
        <v>1803</v>
      </c>
      <c r="Z125"/>
      <c r="AA125" s="17">
        <f>IF($A125,$J125*(IF(Q125=regle!$B$11,regle!$B$23*IF(AJ125=-2,1+regle!$B$35,1),
IF(Q125=regle!$C$11,regle!$C$23,
IF(Q125=regle!$D$11,regle!$D$23,
IF(Q125=regle!$E$11,regle!$E$23,
IF(Q125=regle!$F$11,regle!$F$23,
IF(Q125=regle!$G$11,regle!$G$23,
IF(Q125=regle!$H$11,regle!$H$23,
IF(Q125=regle!$I$11,regle!$I$23,
IF(Q125=regle!$J$11,regle!$J$23,
IF(Q125=regle!$K$11,regle!$K$23,0))))))))))))</f>
        <v>0</v>
      </c>
      <c r="AB125" s="17">
        <f>IF($A125,$J125*(IF(R125=regle!$B$11,regle!$B$23*IF(AK125=-2,1+regle!$B$35,1),
IF(R125=regle!$C$11,regle!$C$23,
IF(R125=regle!$D$11,regle!$D$23,
IF(R125=regle!$E$11,regle!$E$23,
IF(R125=regle!$F$11,regle!$F$23,
IF(R125=regle!$G$11,regle!$G$23,
IF(R125=regle!$H$11,regle!$H$23,
IF(R125=regle!$I$11,regle!$I$23,
IF(R125=regle!$J$11,regle!$J$23,
IF(R125=regle!$K$11,regle!$K$23,0))))))))))))</f>
        <v>0</v>
      </c>
      <c r="AC125" s="17">
        <f>IF($A125,$J125*(IF(S125=regle!$B$11,regle!$B$23*IF(AL125=-2,1+regle!$B$35,1),
IF(S125=regle!$C$11,regle!$C$23,
IF(S125=regle!$D$11,regle!$D$23,
IF(S125=regle!$E$11,regle!$E$23,
IF(S125=regle!$F$11,regle!$F$23,
IF(S125=regle!$G$11,regle!$G$23,
IF(S125=regle!$H$11,regle!$H$23,
IF(S125=regle!$I$11,regle!$I$23,
IF(S125=regle!$J$11,regle!$J$23,
IF(S125=regle!$K$11,regle!$K$23,0))))))))))))</f>
        <v>-165.78900000000002</v>
      </c>
      <c r="AD125" s="17">
        <f>IF($A125,$J125*(IF(T125=regle!$B$11,regle!$B$23*IF(AM125=-2,1+regle!$B$35,1),
IF(T125=regle!$C$11,regle!$C$23,
IF(T125=regle!$D$11,regle!$D$23,
IF(T125=regle!$E$11,regle!$E$23,
IF(T125=regle!$F$11,regle!$F$23,
IF(T125=regle!$G$11,regle!$G$23,
IF(T125=regle!$H$11,regle!$H$23,
IF(T125=regle!$I$11,regle!$I$23,
IF(T125=regle!$J$11,regle!$J$23,
IF(T125=regle!$K$11,regle!$K$23,0))))))))))))</f>
        <v>0</v>
      </c>
      <c r="AE125" s="17">
        <f>IF($A125,$J125*(IF(U125=regle!$B$11,regle!$B$23*IF(AN125=-2,1+regle!$B$35,1),
IF(U125=regle!$C$11,regle!$C$23,
IF(U125=regle!$D$11,regle!$D$23,
IF(U125=regle!$E$11,regle!$E$23,
IF(U125=regle!$F$11,regle!$F$23,
IF(U125=regle!$G$11,regle!$G$23,
IF(U125=regle!$H$11,regle!$H$23,
IF(U125=regle!$I$11,regle!$I$23,
IF(U125=regle!$J$11,regle!$J$23,
IF(U125=regle!$K$11,regle!$K$23,0))))))))))))</f>
        <v>0</v>
      </c>
      <c r="AF125" s="17">
        <f>IF($A125,$J125*(IF(V125=regle!$B$11,regle!$B$23*IF(AO125=-2,1+regle!$B$35,1),
IF(V125=regle!$C$11,regle!$C$23,
IF(V125=regle!$D$11,regle!$D$23,
IF(V125=regle!$E$11,regle!$E$23,
IF(V125=regle!$F$11,regle!$F$23,
IF(V125=regle!$G$11,regle!$G$23,
IF(V125=regle!$H$11,regle!$H$23,
IF(V125=regle!$I$11,regle!$I$23,
IF(V125=regle!$J$11,regle!$J$23,
IF(V125=regle!$K$11,regle!$K$23,0))))))))))))</f>
        <v>0</v>
      </c>
      <c r="AG125" s="17">
        <f>IF($A125,$J125*(IF(W125=regle!$B$11,regle!$B$23*IF(AP125=-2,1+regle!$B$35,1),
IF(W125=regle!$C$11,regle!$C$23,
IF(W125=regle!$D$11,regle!$D$23,
IF(W125=regle!$E$11,regle!$E$23,
IF(W125=regle!$F$11,regle!$F$23,
IF(W125=regle!$G$11,regle!$G$23,
IF(W125=regle!$H$11,regle!$H$23,
IF(W125=regle!$I$11,regle!$I$23,
IF(W125=regle!$J$11,regle!$J$23,
IF(W125=regle!$K$11,regle!$K$23,0))))))))))))</f>
        <v>1061.0496000000001</v>
      </c>
      <c r="AH125" s="17">
        <f>IF($A125,$J125*(IF(X125=regle!$B$11,regle!$B$23*IF(AQ125=-2,1+regle!$B$35,1),
IF(X125=regle!$C$11,regle!$C$23,
IF(X125=regle!$D$11,regle!$D$23,
IF(X125=regle!$E$11,regle!$E$23,
IF(X125=regle!$F$11,regle!$F$23,
IF(X125=regle!$G$11,regle!$G$23,
IF(X125=regle!$H$11,regle!$H$23,
IF(X125=regle!$I$11,regle!$I$23,
IF(X125=regle!$J$11,regle!$J$23,
IF(X125=regle!$K$11,regle!$K$23,0))))))))))))</f>
        <v>0</v>
      </c>
      <c r="AI125" s="17">
        <f>IF($A125,$J125*(IF(Y125=regle!$B$11,regle!$B$23*IF(AR125=-2,1+regle!$B$35,1),
IF(Y125=regle!$C$11,regle!$C$23,
IF(Y125=regle!$D$11,regle!$D$23,
IF(Y125=regle!$E$11,regle!$E$23,
IF(Y125=regle!$F$11,regle!$F$23,
IF(Y125=regle!$G$11,regle!$G$23,
IF(Y125=regle!$H$11,regle!$H$23,
IF(Y125=regle!$I$11,regle!$I$23,
IF(Y125=regle!$J$11,regle!$J$23,
IF(Y125=regle!$K$11,regle!$K$23,0))))))))))))</f>
        <v>0</v>
      </c>
      <c r="AJ125" s="17">
        <f>IF($A125,$J125*(IF(Z125=regle!$B$11,regle!$B$23*IF(AS125=-2,1+regle!$B$35,1),
IF(Z125=regle!$C$11,regle!$C$23,
IF(Z125=regle!$D$11,regle!$D$23,
IF(Z125=regle!$E$11,regle!$E$23,
IF(Z125=regle!$F$11,regle!$F$23,
IF(Z125=regle!$G$11,regle!$G$23,
IF(Z125=regle!$H$11,regle!$H$23,
IF(Z125=regle!$I$11,regle!$I$23,
IF(Z125=regle!$J$11,regle!$J$23,
IF(Z125=regle!$K$11,regle!$K$23,0))))))))))))</f>
        <v>0</v>
      </c>
      <c r="AK125" s="16">
        <f>IF(OR(Q125=regle!$J$11,Q125=regle!$K$11),-2,IF(Q125=regle!$B$11,0,IF(AK$1=$AK$1,IF($O125,-1,regle!$B$2-$M125),IF(AJ125=-1,-1,AJ125+1))))</f>
        <v>6</v>
      </c>
      <c r="AL125" s="16">
        <f>IF(OR(R125=regle!$J$11,R125=regle!$K$11),-2,IF(R125=regle!$B$11,0,IF(AL$1=$AK$1,IF($O125,-1,regle!$B$2-$M125),IF(AK125=-1,-1,AK125+1))))</f>
        <v>7</v>
      </c>
      <c r="AM125" s="16">
        <f>IF(OR(S125=regle!$J$11,S125=regle!$K$11),-2,IF(S125=regle!$B$11,0,IF(AM$1=$AK$1,IF($O125,-1,regle!$B$2-$M125),IF(AL125=-1,-1,AL125+1))))</f>
        <v>8</v>
      </c>
      <c r="AN125" s="16">
        <f>IF(OR(T125=regle!$J$11,T125=regle!$K$11),-2,IF(T125=regle!$B$11,0,IF(AN$1=$AK$1,IF($O125,-1,regle!$B$2-$M125),IF(AM125=-1,-1,AM125+1))))</f>
        <v>9</v>
      </c>
      <c r="AO125" s="16">
        <f>IF(OR(U125=regle!$J$11,U125=regle!$K$11),-2,IF(U125=regle!$B$11,0,IF(AO$1=$AK$1,IF($O125,-1,regle!$B$2-$M125),IF(AN125=-1,-1,AN125+1))))</f>
        <v>10</v>
      </c>
      <c r="AP125" s="16">
        <f>IF(OR(V125=regle!$J$11,V125=regle!$K$11),-2,IF(V125=regle!$B$11,0,IF(AP$1=$AK$1,IF($O125,-1,regle!$B$2-$M125),IF(AO125=-1,-1,AO125+1))))</f>
        <v>11</v>
      </c>
      <c r="AQ125" s="16">
        <f>IF(OR(W125=regle!$J$11,W125=regle!$K$11),-2,IF(W125=regle!$B$11,0,IF(AQ$1=$AK$1,IF($O125,-1,regle!$B$2-$M125),IF(AP125=-1,-1,AP125+1))))</f>
        <v>12</v>
      </c>
      <c r="AR125" s="16">
        <f>IF(OR(X125=regle!$J$11,X125=regle!$K$11),-2,IF(X125=regle!$B$11,0,IF(AR$1=$AK$1,IF($O125,-1,regle!$B$2-$M125),IF(AQ125=-1,-1,AQ125+1))))</f>
        <v>13</v>
      </c>
      <c r="AS125" s="16">
        <f>IF(OR(Y125=regle!$J$11,Y125=regle!$K$11),-2,IF(Y125=regle!$B$11,0,IF(AS$1=$AK$1,IF($O125,-1,regle!$B$2-$M125),IF(AR125=-1,-1,AR125+1))))</f>
        <v>14</v>
      </c>
      <c r="AT125" s="16">
        <f>IF(OR(Z125=regle!$J$11,Z125=regle!$K$11),-2,IF(Z125=regle!$B$11,0,IF(AT$1=$AK$1,IF($O125,-1,regle!$B$2-$M125),IF(AS125=-1,-1,AS125+1))))</f>
        <v>15</v>
      </c>
    </row>
    <row r="126" spans="1:46" x14ac:dyDescent="0.25">
      <c r="A126" t="b">
        <f>modif1!A126</f>
        <v>1</v>
      </c>
      <c r="B126">
        <f>ROW(modif1!B126)</f>
        <v>126</v>
      </c>
      <c r="C126" t="str">
        <f>modif1!C129</f>
        <v>202</v>
      </c>
      <c r="D126" t="str">
        <f>modif1!D126</f>
        <v>HOSTENS</v>
      </c>
      <c r="E126">
        <f>modif1!E126</f>
        <v>11</v>
      </c>
      <c r="F126" t="str">
        <f>modif1!F126</f>
        <v>LES CAZALAS</v>
      </c>
      <c r="G126" t="str">
        <f>modif1!G126</f>
        <v>0B</v>
      </c>
      <c r="H126">
        <f>modif1!H126</f>
        <v>1141</v>
      </c>
      <c r="I126" t="str">
        <f>modif1!I126</f>
        <v>k</v>
      </c>
      <c r="J126" s="11">
        <f>modif1!J126</f>
        <v>1.5398000000000001</v>
      </c>
      <c r="K126" t="str">
        <f>modif1!K126</f>
        <v>PLA</v>
      </c>
      <c r="L126" t="str">
        <f>modif1!L126</f>
        <v>PM</v>
      </c>
      <c r="M126">
        <f>modif1!M126</f>
        <v>2018</v>
      </c>
      <c r="N126" t="str">
        <f>modif1!N126</f>
        <v>PLA-PM_2018</v>
      </c>
      <c r="O126" t="b">
        <f>modif1!O126</f>
        <v>0</v>
      </c>
      <c r="P126">
        <v>40</v>
      </c>
      <c r="R126" s="22"/>
      <c r="S126" t="s">
        <v>1871</v>
      </c>
      <c r="W126" t="s">
        <v>1803</v>
      </c>
      <c r="Z126"/>
      <c r="AA126" s="17">
        <f>IF($A126,$J126*(IF(Q126=regle!$B$11,regle!$B$23*IF(AJ126=-2,1+regle!$B$35,1),
IF(Q126=regle!$C$11,regle!$C$23,
IF(Q126=regle!$D$11,regle!$D$23,
IF(Q126=regle!$E$11,regle!$E$23,
IF(Q126=regle!$F$11,regle!$F$23,
IF(Q126=regle!$G$11,regle!$G$23,
IF(Q126=regle!$H$11,regle!$H$23,
IF(Q126=regle!$I$11,regle!$I$23,
IF(Q126=regle!$J$11,regle!$J$23,
IF(Q126=regle!$K$11,regle!$K$23,0))))))))))))</f>
        <v>0</v>
      </c>
      <c r="AB126" s="17">
        <f>IF($A126,$J126*(IF(R126=regle!$B$11,regle!$B$23*IF(AK126=-2,1+regle!$B$35,1),
IF(R126=regle!$C$11,regle!$C$23,
IF(R126=regle!$D$11,regle!$D$23,
IF(R126=regle!$E$11,regle!$E$23,
IF(R126=regle!$F$11,regle!$F$23,
IF(R126=regle!$G$11,regle!$G$23,
IF(R126=regle!$H$11,regle!$H$23,
IF(R126=regle!$I$11,regle!$I$23,
IF(R126=regle!$J$11,regle!$J$23,
IF(R126=regle!$K$11,regle!$K$23,0))))))))))))</f>
        <v>0</v>
      </c>
      <c r="AC126" s="17">
        <f>IF($A126,$J126*(IF(S126=regle!$B$11,regle!$B$23*IF(AL126=-2,1+regle!$B$35,1),
IF(S126=regle!$C$11,regle!$C$23,
IF(S126=regle!$D$11,regle!$D$23,
IF(S126=regle!$E$11,regle!$E$23,
IF(S126=regle!$F$11,regle!$F$23,
IF(S126=regle!$G$11,regle!$G$23,
IF(S126=regle!$H$11,regle!$H$23,
IF(S126=regle!$I$11,regle!$I$23,
IF(S126=regle!$J$11,regle!$J$23,
IF(S126=regle!$K$11,regle!$K$23,0))))))))))))</f>
        <v>-138.58199999999999</v>
      </c>
      <c r="AD126" s="17">
        <f>IF($A126,$J126*(IF(T126=regle!$B$11,regle!$B$23*IF(AM126=-2,1+regle!$B$35,1),
IF(T126=regle!$C$11,regle!$C$23,
IF(T126=regle!$D$11,regle!$D$23,
IF(T126=regle!$E$11,regle!$E$23,
IF(T126=regle!$F$11,regle!$F$23,
IF(T126=regle!$G$11,regle!$G$23,
IF(T126=regle!$H$11,regle!$H$23,
IF(T126=regle!$I$11,regle!$I$23,
IF(T126=regle!$J$11,regle!$J$23,
IF(T126=regle!$K$11,regle!$K$23,0))))))))))))</f>
        <v>0</v>
      </c>
      <c r="AE126" s="17">
        <f>IF($A126,$J126*(IF(U126=regle!$B$11,regle!$B$23*IF(AN126=-2,1+regle!$B$35,1),
IF(U126=regle!$C$11,regle!$C$23,
IF(U126=regle!$D$11,regle!$D$23,
IF(U126=regle!$E$11,regle!$E$23,
IF(U126=regle!$F$11,regle!$F$23,
IF(U126=regle!$G$11,regle!$G$23,
IF(U126=regle!$H$11,regle!$H$23,
IF(U126=regle!$I$11,regle!$I$23,
IF(U126=regle!$J$11,regle!$J$23,
IF(U126=regle!$K$11,regle!$K$23,0))))))))))))</f>
        <v>0</v>
      </c>
      <c r="AF126" s="17">
        <f>IF($A126,$J126*(IF(V126=regle!$B$11,regle!$B$23*IF(AO126=-2,1+regle!$B$35,1),
IF(V126=regle!$C$11,regle!$C$23,
IF(V126=regle!$D$11,regle!$D$23,
IF(V126=regle!$E$11,regle!$E$23,
IF(V126=regle!$F$11,regle!$F$23,
IF(V126=regle!$G$11,regle!$G$23,
IF(V126=regle!$H$11,regle!$H$23,
IF(V126=regle!$I$11,regle!$I$23,
IF(V126=regle!$J$11,regle!$J$23,
IF(V126=regle!$K$11,regle!$K$23,0))))))))))))</f>
        <v>0</v>
      </c>
      <c r="AG126" s="17">
        <f>IF($A126,$J126*(IF(W126=regle!$B$11,regle!$B$23*IF(AP126=-2,1+regle!$B$35,1),
IF(W126=regle!$C$11,regle!$C$23,
IF(W126=regle!$D$11,regle!$D$23,
IF(W126=regle!$E$11,regle!$E$23,
IF(W126=regle!$F$11,regle!$F$23,
IF(W126=regle!$G$11,regle!$G$23,
IF(W126=regle!$H$11,regle!$H$23,
IF(W126=regle!$I$11,regle!$I$23,
IF(W126=regle!$J$11,regle!$J$23,
IF(W126=regle!$K$11,regle!$K$23,0))))))))))))</f>
        <v>886.9248</v>
      </c>
      <c r="AH126" s="17">
        <f>IF($A126,$J126*(IF(X126=regle!$B$11,regle!$B$23*IF(AQ126=-2,1+regle!$B$35,1),
IF(X126=regle!$C$11,regle!$C$23,
IF(X126=regle!$D$11,regle!$D$23,
IF(X126=regle!$E$11,regle!$E$23,
IF(X126=regle!$F$11,regle!$F$23,
IF(X126=regle!$G$11,regle!$G$23,
IF(X126=regle!$H$11,regle!$H$23,
IF(X126=regle!$I$11,regle!$I$23,
IF(X126=regle!$J$11,regle!$J$23,
IF(X126=regle!$K$11,regle!$K$23,0))))))))))))</f>
        <v>0</v>
      </c>
      <c r="AI126" s="17">
        <f>IF($A126,$J126*(IF(Y126=regle!$B$11,regle!$B$23*IF(AR126=-2,1+regle!$B$35,1),
IF(Y126=regle!$C$11,regle!$C$23,
IF(Y126=regle!$D$11,regle!$D$23,
IF(Y126=regle!$E$11,regle!$E$23,
IF(Y126=regle!$F$11,regle!$F$23,
IF(Y126=regle!$G$11,regle!$G$23,
IF(Y126=regle!$H$11,regle!$H$23,
IF(Y126=regle!$I$11,regle!$I$23,
IF(Y126=regle!$J$11,regle!$J$23,
IF(Y126=regle!$K$11,regle!$K$23,0))))))))))))</f>
        <v>0</v>
      </c>
      <c r="AJ126" s="17">
        <f>IF($A126,$J126*(IF(Z126=regle!$B$11,regle!$B$23*IF(AS126=-2,1+regle!$B$35,1),
IF(Z126=regle!$C$11,regle!$C$23,
IF(Z126=regle!$D$11,regle!$D$23,
IF(Z126=regle!$E$11,regle!$E$23,
IF(Z126=regle!$F$11,regle!$F$23,
IF(Z126=regle!$G$11,regle!$G$23,
IF(Z126=regle!$H$11,regle!$H$23,
IF(Z126=regle!$I$11,regle!$I$23,
IF(Z126=regle!$J$11,regle!$J$23,
IF(Z126=regle!$K$11,regle!$K$23,0))))))))))))</f>
        <v>0</v>
      </c>
      <c r="AK126" s="16">
        <f>IF(OR(Q126=regle!$J$11,Q126=regle!$K$11),-2,IF(Q126=regle!$B$11,0,IF(AK$1=$AK$1,IF($O126,-1,regle!$B$2-$M126),IF(AJ126=-1,-1,AJ126+1))))</f>
        <v>6</v>
      </c>
      <c r="AL126" s="16">
        <f>IF(OR(R126=regle!$J$11,R126=regle!$K$11),-2,IF(R126=regle!$B$11,0,IF(AL$1=$AK$1,IF($O126,-1,regle!$B$2-$M126),IF(AK126=-1,-1,AK126+1))))</f>
        <v>7</v>
      </c>
      <c r="AM126" s="16">
        <f>IF(OR(S126=regle!$J$11,S126=regle!$K$11),-2,IF(S126=regle!$B$11,0,IF(AM$1=$AK$1,IF($O126,-1,regle!$B$2-$M126),IF(AL126=-1,-1,AL126+1))))</f>
        <v>8</v>
      </c>
      <c r="AN126" s="16">
        <f>IF(OR(T126=regle!$J$11,T126=regle!$K$11),-2,IF(T126=regle!$B$11,0,IF(AN$1=$AK$1,IF($O126,-1,regle!$B$2-$M126),IF(AM126=-1,-1,AM126+1))))</f>
        <v>9</v>
      </c>
      <c r="AO126" s="16">
        <f>IF(OR(U126=regle!$J$11,U126=regle!$K$11),-2,IF(U126=regle!$B$11,0,IF(AO$1=$AK$1,IF($O126,-1,regle!$B$2-$M126),IF(AN126=-1,-1,AN126+1))))</f>
        <v>10</v>
      </c>
      <c r="AP126" s="16">
        <f>IF(OR(V126=regle!$J$11,V126=regle!$K$11),-2,IF(V126=regle!$B$11,0,IF(AP$1=$AK$1,IF($O126,-1,regle!$B$2-$M126),IF(AO126=-1,-1,AO126+1))))</f>
        <v>11</v>
      </c>
      <c r="AQ126" s="16">
        <f>IF(OR(W126=regle!$J$11,W126=regle!$K$11),-2,IF(W126=regle!$B$11,0,IF(AQ$1=$AK$1,IF($O126,-1,regle!$B$2-$M126),IF(AP126=-1,-1,AP126+1))))</f>
        <v>12</v>
      </c>
      <c r="AR126" s="16">
        <f>IF(OR(X126=regle!$J$11,X126=regle!$K$11),-2,IF(X126=regle!$B$11,0,IF(AR$1=$AK$1,IF($O126,-1,regle!$B$2-$M126),IF(AQ126=-1,-1,AQ126+1))))</f>
        <v>13</v>
      </c>
      <c r="AS126" s="16">
        <f>IF(OR(Y126=regle!$J$11,Y126=regle!$K$11),-2,IF(Y126=regle!$B$11,0,IF(AS$1=$AK$1,IF($O126,-1,regle!$B$2-$M126),IF(AR126=-1,-1,AR126+1))))</f>
        <v>14</v>
      </c>
      <c r="AT126" s="16">
        <f>IF(OR(Z126=regle!$J$11,Z126=regle!$K$11),-2,IF(Z126=regle!$B$11,0,IF(AT$1=$AK$1,IF($O126,-1,regle!$B$2-$M126),IF(AS126=-1,-1,AS126+1))))</f>
        <v>15</v>
      </c>
    </row>
    <row r="127" spans="1:46" x14ac:dyDescent="0.25">
      <c r="A127" t="b">
        <f>modif1!A127</f>
        <v>1</v>
      </c>
      <c r="B127">
        <f>ROW(modif1!B127)</f>
        <v>127</v>
      </c>
      <c r="C127" t="str">
        <f>modif1!C130</f>
        <v>202</v>
      </c>
      <c r="D127" t="str">
        <f>modif1!D127</f>
        <v>HOSTENS</v>
      </c>
      <c r="E127">
        <f>modif1!E127</f>
        <v>11</v>
      </c>
      <c r="F127" t="str">
        <f>modif1!F127</f>
        <v>LES CAZALAS</v>
      </c>
      <c r="G127" t="str">
        <f>modif1!G127</f>
        <v>0B</v>
      </c>
      <c r="H127">
        <f>modif1!H127</f>
        <v>1135</v>
      </c>
      <c r="I127" t="str">
        <f>modif1!I127</f>
        <v/>
      </c>
      <c r="J127" s="11">
        <f>modif1!J127</f>
        <v>1.429</v>
      </c>
      <c r="K127" t="str">
        <f>modif1!K127</f>
        <v>PLA</v>
      </c>
      <c r="L127" t="str">
        <f>modif1!L127</f>
        <v>PM</v>
      </c>
      <c r="M127">
        <f>modif1!M127</f>
        <v>2018</v>
      </c>
      <c r="N127" t="str">
        <f>modif1!N127</f>
        <v>PLA-PM_2018</v>
      </c>
      <c r="O127" t="b">
        <f>modif1!O127</f>
        <v>0</v>
      </c>
      <c r="P127">
        <v>40</v>
      </c>
      <c r="R127" s="22"/>
      <c r="S127" t="s">
        <v>1871</v>
      </c>
      <c r="W127" t="s">
        <v>1803</v>
      </c>
      <c r="Z127"/>
      <c r="AA127" s="17">
        <f>IF($A127,$J127*(IF(Q127=regle!$B$11,regle!$B$23*IF(AJ127=-2,1+regle!$B$35,1),
IF(Q127=regle!$C$11,regle!$C$23,
IF(Q127=regle!$D$11,regle!$D$23,
IF(Q127=regle!$E$11,regle!$E$23,
IF(Q127=regle!$F$11,regle!$F$23,
IF(Q127=regle!$G$11,regle!$G$23,
IF(Q127=regle!$H$11,regle!$H$23,
IF(Q127=regle!$I$11,regle!$I$23,
IF(Q127=regle!$J$11,regle!$J$23,
IF(Q127=regle!$K$11,regle!$K$23,0))))))))))))</f>
        <v>0</v>
      </c>
      <c r="AB127" s="17">
        <f>IF($A127,$J127*(IF(R127=regle!$B$11,regle!$B$23*IF(AK127=-2,1+regle!$B$35,1),
IF(R127=regle!$C$11,regle!$C$23,
IF(R127=regle!$D$11,regle!$D$23,
IF(R127=regle!$E$11,regle!$E$23,
IF(R127=regle!$F$11,regle!$F$23,
IF(R127=regle!$G$11,regle!$G$23,
IF(R127=regle!$H$11,regle!$H$23,
IF(R127=regle!$I$11,regle!$I$23,
IF(R127=regle!$J$11,regle!$J$23,
IF(R127=regle!$K$11,regle!$K$23,0))))))))))))</f>
        <v>0</v>
      </c>
      <c r="AC127" s="17">
        <f>IF($A127,$J127*(IF(S127=regle!$B$11,regle!$B$23*IF(AL127=-2,1+regle!$B$35,1),
IF(S127=regle!$C$11,regle!$C$23,
IF(S127=regle!$D$11,regle!$D$23,
IF(S127=regle!$E$11,regle!$E$23,
IF(S127=regle!$F$11,regle!$F$23,
IF(S127=regle!$G$11,regle!$G$23,
IF(S127=regle!$H$11,regle!$H$23,
IF(S127=regle!$I$11,regle!$I$23,
IF(S127=regle!$J$11,regle!$J$23,
IF(S127=regle!$K$11,regle!$K$23,0))))))))))))</f>
        <v>-128.61000000000001</v>
      </c>
      <c r="AD127" s="17">
        <f>IF($A127,$J127*(IF(T127=regle!$B$11,regle!$B$23*IF(AM127=-2,1+regle!$B$35,1),
IF(T127=regle!$C$11,regle!$C$23,
IF(T127=regle!$D$11,regle!$D$23,
IF(T127=regle!$E$11,regle!$E$23,
IF(T127=regle!$F$11,regle!$F$23,
IF(T127=regle!$G$11,regle!$G$23,
IF(T127=regle!$H$11,regle!$H$23,
IF(T127=regle!$I$11,regle!$I$23,
IF(T127=regle!$J$11,regle!$J$23,
IF(T127=regle!$K$11,regle!$K$23,0))))))))))))</f>
        <v>0</v>
      </c>
      <c r="AE127" s="17">
        <f>IF($A127,$J127*(IF(U127=regle!$B$11,regle!$B$23*IF(AN127=-2,1+regle!$B$35,1),
IF(U127=regle!$C$11,regle!$C$23,
IF(U127=regle!$D$11,regle!$D$23,
IF(U127=regle!$E$11,regle!$E$23,
IF(U127=regle!$F$11,regle!$F$23,
IF(U127=regle!$G$11,regle!$G$23,
IF(U127=regle!$H$11,regle!$H$23,
IF(U127=regle!$I$11,regle!$I$23,
IF(U127=regle!$J$11,regle!$J$23,
IF(U127=regle!$K$11,regle!$K$23,0))))))))))))</f>
        <v>0</v>
      </c>
      <c r="AF127" s="17">
        <f>IF($A127,$J127*(IF(V127=regle!$B$11,regle!$B$23*IF(AO127=-2,1+regle!$B$35,1),
IF(V127=regle!$C$11,regle!$C$23,
IF(V127=regle!$D$11,regle!$D$23,
IF(V127=regle!$E$11,regle!$E$23,
IF(V127=regle!$F$11,regle!$F$23,
IF(V127=regle!$G$11,regle!$G$23,
IF(V127=regle!$H$11,regle!$H$23,
IF(V127=regle!$I$11,regle!$I$23,
IF(V127=regle!$J$11,regle!$J$23,
IF(V127=regle!$K$11,regle!$K$23,0))))))))))))</f>
        <v>0</v>
      </c>
      <c r="AG127" s="17">
        <f>IF($A127,$J127*(IF(W127=regle!$B$11,regle!$B$23*IF(AP127=-2,1+regle!$B$35,1),
IF(W127=regle!$C$11,regle!$C$23,
IF(W127=regle!$D$11,regle!$D$23,
IF(W127=regle!$E$11,regle!$E$23,
IF(W127=regle!$F$11,regle!$F$23,
IF(W127=regle!$G$11,regle!$G$23,
IF(W127=regle!$H$11,regle!$H$23,
IF(W127=regle!$I$11,regle!$I$23,
IF(W127=regle!$J$11,regle!$J$23,
IF(W127=regle!$K$11,regle!$K$23,0))))))))))))</f>
        <v>823.10400000000004</v>
      </c>
      <c r="AH127" s="17">
        <f>IF($A127,$J127*(IF(X127=regle!$B$11,regle!$B$23*IF(AQ127=-2,1+regle!$B$35,1),
IF(X127=regle!$C$11,regle!$C$23,
IF(X127=regle!$D$11,regle!$D$23,
IF(X127=regle!$E$11,regle!$E$23,
IF(X127=regle!$F$11,regle!$F$23,
IF(X127=regle!$G$11,regle!$G$23,
IF(X127=regle!$H$11,regle!$H$23,
IF(X127=regle!$I$11,regle!$I$23,
IF(X127=regle!$J$11,regle!$J$23,
IF(X127=regle!$K$11,regle!$K$23,0))))))))))))</f>
        <v>0</v>
      </c>
      <c r="AI127" s="17">
        <f>IF($A127,$J127*(IF(Y127=regle!$B$11,regle!$B$23*IF(AR127=-2,1+regle!$B$35,1),
IF(Y127=regle!$C$11,regle!$C$23,
IF(Y127=regle!$D$11,regle!$D$23,
IF(Y127=regle!$E$11,regle!$E$23,
IF(Y127=regle!$F$11,regle!$F$23,
IF(Y127=regle!$G$11,regle!$G$23,
IF(Y127=regle!$H$11,regle!$H$23,
IF(Y127=regle!$I$11,regle!$I$23,
IF(Y127=regle!$J$11,regle!$J$23,
IF(Y127=regle!$K$11,regle!$K$23,0))))))))))))</f>
        <v>0</v>
      </c>
      <c r="AJ127" s="17">
        <f>IF($A127,$J127*(IF(Z127=regle!$B$11,regle!$B$23*IF(AS127=-2,1+regle!$B$35,1),
IF(Z127=regle!$C$11,regle!$C$23,
IF(Z127=regle!$D$11,regle!$D$23,
IF(Z127=regle!$E$11,regle!$E$23,
IF(Z127=regle!$F$11,regle!$F$23,
IF(Z127=regle!$G$11,regle!$G$23,
IF(Z127=regle!$H$11,regle!$H$23,
IF(Z127=regle!$I$11,regle!$I$23,
IF(Z127=regle!$J$11,regle!$J$23,
IF(Z127=regle!$K$11,regle!$K$23,0))))))))))))</f>
        <v>0</v>
      </c>
      <c r="AK127" s="16">
        <f>IF(OR(Q127=regle!$J$11,Q127=regle!$K$11),-2,IF(Q127=regle!$B$11,0,IF(AK$1=$AK$1,IF($O127,-1,regle!$B$2-$M127),IF(AJ127=-1,-1,AJ127+1))))</f>
        <v>6</v>
      </c>
      <c r="AL127" s="16">
        <f>IF(OR(R127=regle!$J$11,R127=regle!$K$11),-2,IF(R127=regle!$B$11,0,IF(AL$1=$AK$1,IF($O127,-1,regle!$B$2-$M127),IF(AK127=-1,-1,AK127+1))))</f>
        <v>7</v>
      </c>
      <c r="AM127" s="16">
        <f>IF(OR(S127=regle!$J$11,S127=regle!$K$11),-2,IF(S127=regle!$B$11,0,IF(AM$1=$AK$1,IF($O127,-1,regle!$B$2-$M127),IF(AL127=-1,-1,AL127+1))))</f>
        <v>8</v>
      </c>
      <c r="AN127" s="16">
        <f>IF(OR(T127=regle!$J$11,T127=regle!$K$11),-2,IF(T127=regle!$B$11,0,IF(AN$1=$AK$1,IF($O127,-1,regle!$B$2-$M127),IF(AM127=-1,-1,AM127+1))))</f>
        <v>9</v>
      </c>
      <c r="AO127" s="16">
        <f>IF(OR(U127=regle!$J$11,U127=regle!$K$11),-2,IF(U127=regle!$B$11,0,IF(AO$1=$AK$1,IF($O127,-1,regle!$B$2-$M127),IF(AN127=-1,-1,AN127+1))))</f>
        <v>10</v>
      </c>
      <c r="AP127" s="16">
        <f>IF(OR(V127=regle!$J$11,V127=regle!$K$11),-2,IF(V127=regle!$B$11,0,IF(AP$1=$AK$1,IF($O127,-1,regle!$B$2-$M127),IF(AO127=-1,-1,AO127+1))))</f>
        <v>11</v>
      </c>
      <c r="AQ127" s="16">
        <f>IF(OR(W127=regle!$J$11,W127=regle!$K$11),-2,IF(W127=regle!$B$11,0,IF(AQ$1=$AK$1,IF($O127,-1,regle!$B$2-$M127),IF(AP127=-1,-1,AP127+1))))</f>
        <v>12</v>
      </c>
      <c r="AR127" s="16">
        <f>IF(OR(X127=regle!$J$11,X127=regle!$K$11),-2,IF(X127=regle!$B$11,0,IF(AR$1=$AK$1,IF($O127,-1,regle!$B$2-$M127),IF(AQ127=-1,-1,AQ127+1))))</f>
        <v>13</v>
      </c>
      <c r="AS127" s="16">
        <f>IF(OR(Y127=regle!$J$11,Y127=regle!$K$11),-2,IF(Y127=regle!$B$11,0,IF(AS$1=$AK$1,IF($O127,-1,regle!$B$2-$M127),IF(AR127=-1,-1,AR127+1))))</f>
        <v>14</v>
      </c>
      <c r="AT127" s="16">
        <f>IF(OR(Z127=regle!$J$11,Z127=regle!$K$11),-2,IF(Z127=regle!$B$11,0,IF(AT$1=$AK$1,IF($O127,-1,regle!$B$2-$M127),IF(AS127=-1,-1,AS127+1))))</f>
        <v>15</v>
      </c>
    </row>
    <row r="128" spans="1:46" x14ac:dyDescent="0.25">
      <c r="A128" t="b">
        <f>modif1!A128</f>
        <v>1</v>
      </c>
      <c r="B128">
        <f>ROW(modif1!B128)</f>
        <v>128</v>
      </c>
      <c r="C128" t="str">
        <f>modif1!C131</f>
        <v>202</v>
      </c>
      <c r="D128" t="str">
        <f>modif1!D128</f>
        <v>HOSTENS</v>
      </c>
      <c r="E128">
        <f>modif1!E128</f>
        <v>13</v>
      </c>
      <c r="F128" t="str">
        <f>modif1!F128</f>
        <v>LA BROUSTETTE</v>
      </c>
      <c r="G128" t="str">
        <f>modif1!G128</f>
        <v>0B</v>
      </c>
      <c r="H128">
        <f>modif1!H128</f>
        <v>1235</v>
      </c>
      <c r="I128" t="str">
        <f>modif1!I128</f>
        <v/>
      </c>
      <c r="J128" s="11">
        <f>modif1!J128</f>
        <v>1.325</v>
      </c>
      <c r="K128" t="str">
        <f>modif1!K128</f>
        <v>PLA</v>
      </c>
      <c r="L128" t="str">
        <f>modif1!L128</f>
        <v>PM</v>
      </c>
      <c r="M128">
        <f>modif1!M128</f>
        <v>2018</v>
      </c>
      <c r="N128" t="str">
        <f>modif1!N128</f>
        <v>PLA-PM_2018</v>
      </c>
      <c r="O128" t="b">
        <f>modif1!O128</f>
        <v>0</v>
      </c>
      <c r="P128">
        <v>40</v>
      </c>
      <c r="R128" s="22"/>
      <c r="S128" t="s">
        <v>1871</v>
      </c>
      <c r="W128" t="s">
        <v>1803</v>
      </c>
      <c r="Z128"/>
      <c r="AA128" s="17">
        <f>IF($A128,$J128*(IF(Q128=regle!$B$11,regle!$B$23*IF(AJ128=-2,1+regle!$B$35,1),
IF(Q128=regle!$C$11,regle!$C$23,
IF(Q128=regle!$D$11,regle!$D$23,
IF(Q128=regle!$E$11,regle!$E$23,
IF(Q128=regle!$F$11,regle!$F$23,
IF(Q128=regle!$G$11,regle!$G$23,
IF(Q128=regle!$H$11,regle!$H$23,
IF(Q128=regle!$I$11,regle!$I$23,
IF(Q128=regle!$J$11,regle!$J$23,
IF(Q128=regle!$K$11,regle!$K$23,0))))))))))))</f>
        <v>0</v>
      </c>
      <c r="AB128" s="17">
        <f>IF($A128,$J128*(IF(R128=regle!$B$11,regle!$B$23*IF(AK128=-2,1+regle!$B$35,1),
IF(R128=regle!$C$11,regle!$C$23,
IF(R128=regle!$D$11,regle!$D$23,
IF(R128=regle!$E$11,regle!$E$23,
IF(R128=regle!$F$11,regle!$F$23,
IF(R128=regle!$G$11,regle!$G$23,
IF(R128=regle!$H$11,regle!$H$23,
IF(R128=regle!$I$11,regle!$I$23,
IF(R128=regle!$J$11,regle!$J$23,
IF(R128=regle!$K$11,regle!$K$23,0))))))))))))</f>
        <v>0</v>
      </c>
      <c r="AC128" s="17">
        <f>IF($A128,$J128*(IF(S128=regle!$B$11,regle!$B$23*IF(AL128=-2,1+regle!$B$35,1),
IF(S128=regle!$C$11,regle!$C$23,
IF(S128=regle!$D$11,regle!$D$23,
IF(S128=regle!$E$11,regle!$E$23,
IF(S128=regle!$F$11,regle!$F$23,
IF(S128=regle!$G$11,regle!$G$23,
IF(S128=regle!$H$11,regle!$H$23,
IF(S128=regle!$I$11,regle!$I$23,
IF(S128=regle!$J$11,regle!$J$23,
IF(S128=regle!$K$11,regle!$K$23,0))))))))))))</f>
        <v>-119.25</v>
      </c>
      <c r="AD128" s="17">
        <f>IF($A128,$J128*(IF(T128=regle!$B$11,regle!$B$23*IF(AM128=-2,1+regle!$B$35,1),
IF(T128=regle!$C$11,regle!$C$23,
IF(T128=regle!$D$11,regle!$D$23,
IF(T128=regle!$E$11,regle!$E$23,
IF(T128=regle!$F$11,regle!$F$23,
IF(T128=regle!$G$11,regle!$G$23,
IF(T128=regle!$H$11,regle!$H$23,
IF(T128=regle!$I$11,regle!$I$23,
IF(T128=regle!$J$11,regle!$J$23,
IF(T128=regle!$K$11,regle!$K$23,0))))))))))))</f>
        <v>0</v>
      </c>
      <c r="AE128" s="17">
        <f>IF($A128,$J128*(IF(U128=regle!$B$11,regle!$B$23*IF(AN128=-2,1+regle!$B$35,1),
IF(U128=regle!$C$11,regle!$C$23,
IF(U128=regle!$D$11,regle!$D$23,
IF(U128=regle!$E$11,regle!$E$23,
IF(U128=regle!$F$11,regle!$F$23,
IF(U128=regle!$G$11,regle!$G$23,
IF(U128=regle!$H$11,regle!$H$23,
IF(U128=regle!$I$11,regle!$I$23,
IF(U128=regle!$J$11,regle!$J$23,
IF(U128=regle!$K$11,regle!$K$23,0))))))))))))</f>
        <v>0</v>
      </c>
      <c r="AF128" s="17">
        <f>IF($A128,$J128*(IF(V128=regle!$B$11,regle!$B$23*IF(AO128=-2,1+regle!$B$35,1),
IF(V128=regle!$C$11,regle!$C$23,
IF(V128=regle!$D$11,regle!$D$23,
IF(V128=regle!$E$11,regle!$E$23,
IF(V128=regle!$F$11,regle!$F$23,
IF(V128=regle!$G$11,regle!$G$23,
IF(V128=regle!$H$11,regle!$H$23,
IF(V128=regle!$I$11,regle!$I$23,
IF(V128=regle!$J$11,regle!$J$23,
IF(V128=regle!$K$11,regle!$K$23,0))))))))))))</f>
        <v>0</v>
      </c>
      <c r="AG128" s="17">
        <f>IF($A128,$J128*(IF(W128=regle!$B$11,regle!$B$23*IF(AP128=-2,1+regle!$B$35,1),
IF(W128=regle!$C$11,regle!$C$23,
IF(W128=regle!$D$11,regle!$D$23,
IF(W128=regle!$E$11,regle!$E$23,
IF(W128=regle!$F$11,regle!$F$23,
IF(W128=regle!$G$11,regle!$G$23,
IF(W128=regle!$H$11,regle!$H$23,
IF(W128=regle!$I$11,regle!$I$23,
IF(W128=regle!$J$11,regle!$J$23,
IF(W128=regle!$K$11,regle!$K$23,0))))))))))))</f>
        <v>763.19999999999993</v>
      </c>
      <c r="AH128" s="17">
        <f>IF($A128,$J128*(IF(X128=regle!$B$11,regle!$B$23*IF(AQ128=-2,1+regle!$B$35,1),
IF(X128=regle!$C$11,regle!$C$23,
IF(X128=regle!$D$11,regle!$D$23,
IF(X128=regle!$E$11,regle!$E$23,
IF(X128=regle!$F$11,regle!$F$23,
IF(X128=regle!$G$11,regle!$G$23,
IF(X128=regle!$H$11,regle!$H$23,
IF(X128=regle!$I$11,regle!$I$23,
IF(X128=regle!$J$11,regle!$J$23,
IF(X128=regle!$K$11,regle!$K$23,0))))))))))))</f>
        <v>0</v>
      </c>
      <c r="AI128" s="17">
        <f>IF($A128,$J128*(IF(Y128=regle!$B$11,regle!$B$23*IF(AR128=-2,1+regle!$B$35,1),
IF(Y128=regle!$C$11,regle!$C$23,
IF(Y128=regle!$D$11,regle!$D$23,
IF(Y128=regle!$E$11,regle!$E$23,
IF(Y128=regle!$F$11,regle!$F$23,
IF(Y128=regle!$G$11,regle!$G$23,
IF(Y128=regle!$H$11,regle!$H$23,
IF(Y128=regle!$I$11,regle!$I$23,
IF(Y128=regle!$J$11,regle!$J$23,
IF(Y128=regle!$K$11,regle!$K$23,0))))))))))))</f>
        <v>0</v>
      </c>
      <c r="AJ128" s="17">
        <f>IF($A128,$J128*(IF(Z128=regle!$B$11,regle!$B$23*IF(AS128=-2,1+regle!$B$35,1),
IF(Z128=regle!$C$11,regle!$C$23,
IF(Z128=regle!$D$11,regle!$D$23,
IF(Z128=regle!$E$11,regle!$E$23,
IF(Z128=regle!$F$11,regle!$F$23,
IF(Z128=regle!$G$11,regle!$G$23,
IF(Z128=regle!$H$11,regle!$H$23,
IF(Z128=regle!$I$11,regle!$I$23,
IF(Z128=regle!$J$11,regle!$J$23,
IF(Z128=regle!$K$11,regle!$K$23,0))))))))))))</f>
        <v>0</v>
      </c>
      <c r="AK128" s="16">
        <f>IF(OR(Q128=regle!$J$11,Q128=regle!$K$11),-2,IF(Q128=regle!$B$11,0,IF(AK$1=$AK$1,IF($O128,-1,regle!$B$2-$M128),IF(AJ128=-1,-1,AJ128+1))))</f>
        <v>6</v>
      </c>
      <c r="AL128" s="16">
        <f>IF(OR(R128=regle!$J$11,R128=regle!$K$11),-2,IF(R128=regle!$B$11,0,IF(AL$1=$AK$1,IF($O128,-1,regle!$B$2-$M128),IF(AK128=-1,-1,AK128+1))))</f>
        <v>7</v>
      </c>
      <c r="AM128" s="16">
        <f>IF(OR(S128=regle!$J$11,S128=regle!$K$11),-2,IF(S128=regle!$B$11,0,IF(AM$1=$AK$1,IF($O128,-1,regle!$B$2-$M128),IF(AL128=-1,-1,AL128+1))))</f>
        <v>8</v>
      </c>
      <c r="AN128" s="16">
        <f>IF(OR(T128=regle!$J$11,T128=regle!$K$11),-2,IF(T128=regle!$B$11,0,IF(AN$1=$AK$1,IF($O128,-1,regle!$B$2-$M128),IF(AM128=-1,-1,AM128+1))))</f>
        <v>9</v>
      </c>
      <c r="AO128" s="16">
        <f>IF(OR(U128=regle!$J$11,U128=regle!$K$11),-2,IF(U128=regle!$B$11,0,IF(AO$1=$AK$1,IF($O128,-1,regle!$B$2-$M128),IF(AN128=-1,-1,AN128+1))))</f>
        <v>10</v>
      </c>
      <c r="AP128" s="16">
        <f>IF(OR(V128=regle!$J$11,V128=regle!$K$11),-2,IF(V128=regle!$B$11,0,IF(AP$1=$AK$1,IF($O128,-1,regle!$B$2-$M128),IF(AO128=-1,-1,AO128+1))))</f>
        <v>11</v>
      </c>
      <c r="AQ128" s="16">
        <f>IF(OR(W128=regle!$J$11,W128=regle!$K$11),-2,IF(W128=regle!$B$11,0,IF(AQ$1=$AK$1,IF($O128,-1,regle!$B$2-$M128),IF(AP128=-1,-1,AP128+1))))</f>
        <v>12</v>
      </c>
      <c r="AR128" s="16">
        <f>IF(OR(X128=regle!$J$11,X128=regle!$K$11),-2,IF(X128=regle!$B$11,0,IF(AR$1=$AK$1,IF($O128,-1,regle!$B$2-$M128),IF(AQ128=-1,-1,AQ128+1))))</f>
        <v>13</v>
      </c>
      <c r="AS128" s="16">
        <f>IF(OR(Y128=regle!$J$11,Y128=regle!$K$11),-2,IF(Y128=regle!$B$11,0,IF(AS$1=$AK$1,IF($O128,-1,regle!$B$2-$M128),IF(AR128=-1,-1,AR128+1))))</f>
        <v>14</v>
      </c>
      <c r="AT128" s="16">
        <f>IF(OR(Z128=regle!$J$11,Z128=regle!$K$11),-2,IF(Z128=regle!$B$11,0,IF(AT$1=$AK$1,IF($O128,-1,regle!$B$2-$M128),IF(AS128=-1,-1,AS128+1))))</f>
        <v>15</v>
      </c>
    </row>
    <row r="129" spans="1:46" x14ac:dyDescent="0.25">
      <c r="A129" t="b">
        <f>modif1!A129</f>
        <v>1</v>
      </c>
      <c r="B129">
        <f>ROW(modif1!B129)</f>
        <v>129</v>
      </c>
      <c r="C129" t="str">
        <f>modif1!C132</f>
        <v>202</v>
      </c>
      <c r="D129" t="str">
        <f>modif1!D129</f>
        <v>HOSTENS</v>
      </c>
      <c r="E129">
        <f>modif1!E129</f>
        <v>11</v>
      </c>
      <c r="F129" t="str">
        <f>modif1!F129</f>
        <v>LES CAZALAS</v>
      </c>
      <c r="G129" t="str">
        <f>modif1!G129</f>
        <v>0B</v>
      </c>
      <c r="H129">
        <f>modif1!H129</f>
        <v>1136</v>
      </c>
      <c r="I129" t="str">
        <f>modif1!I129</f>
        <v/>
      </c>
      <c r="J129" s="11">
        <f>modif1!J129</f>
        <v>1.2035</v>
      </c>
      <c r="K129" t="str">
        <f>modif1!K129</f>
        <v>PLA</v>
      </c>
      <c r="L129" t="str">
        <f>modif1!L129</f>
        <v>PM</v>
      </c>
      <c r="M129">
        <f>modif1!M129</f>
        <v>2018</v>
      </c>
      <c r="N129" t="str">
        <f>modif1!N129</f>
        <v>PLA-PM_2018</v>
      </c>
      <c r="O129" t="b">
        <f>modif1!O129</f>
        <v>0</v>
      </c>
      <c r="P129">
        <v>40</v>
      </c>
      <c r="R129" s="22"/>
      <c r="S129" t="s">
        <v>1871</v>
      </c>
      <c r="W129" t="s">
        <v>1803</v>
      </c>
      <c r="Z129"/>
      <c r="AA129" s="17">
        <f>IF($A129,$J129*(IF(Q129=regle!$B$11,regle!$B$23*IF(AJ129=-2,1+regle!$B$35,1),
IF(Q129=regle!$C$11,regle!$C$23,
IF(Q129=regle!$D$11,regle!$D$23,
IF(Q129=regle!$E$11,regle!$E$23,
IF(Q129=regle!$F$11,regle!$F$23,
IF(Q129=regle!$G$11,regle!$G$23,
IF(Q129=regle!$H$11,regle!$H$23,
IF(Q129=regle!$I$11,regle!$I$23,
IF(Q129=regle!$J$11,regle!$J$23,
IF(Q129=regle!$K$11,regle!$K$23,0))))))))))))</f>
        <v>0</v>
      </c>
      <c r="AB129" s="17">
        <f>IF($A129,$J129*(IF(R129=regle!$B$11,regle!$B$23*IF(AK129=-2,1+regle!$B$35,1),
IF(R129=regle!$C$11,regle!$C$23,
IF(R129=regle!$D$11,regle!$D$23,
IF(R129=regle!$E$11,regle!$E$23,
IF(R129=regle!$F$11,regle!$F$23,
IF(R129=regle!$G$11,regle!$G$23,
IF(R129=regle!$H$11,regle!$H$23,
IF(R129=regle!$I$11,regle!$I$23,
IF(R129=regle!$J$11,regle!$J$23,
IF(R129=regle!$K$11,regle!$K$23,0))))))))))))</f>
        <v>0</v>
      </c>
      <c r="AC129" s="17">
        <f>IF($A129,$J129*(IF(S129=regle!$B$11,regle!$B$23*IF(AL129=-2,1+regle!$B$35,1),
IF(S129=regle!$C$11,regle!$C$23,
IF(S129=regle!$D$11,regle!$D$23,
IF(S129=regle!$E$11,regle!$E$23,
IF(S129=regle!$F$11,regle!$F$23,
IF(S129=regle!$G$11,regle!$G$23,
IF(S129=regle!$H$11,regle!$H$23,
IF(S129=regle!$I$11,regle!$I$23,
IF(S129=regle!$J$11,regle!$J$23,
IF(S129=regle!$K$11,regle!$K$23,0))))))))))))</f>
        <v>-108.315</v>
      </c>
      <c r="AD129" s="17">
        <f>IF($A129,$J129*(IF(T129=regle!$B$11,regle!$B$23*IF(AM129=-2,1+regle!$B$35,1),
IF(T129=regle!$C$11,regle!$C$23,
IF(T129=regle!$D$11,regle!$D$23,
IF(T129=regle!$E$11,regle!$E$23,
IF(T129=regle!$F$11,regle!$F$23,
IF(T129=regle!$G$11,regle!$G$23,
IF(T129=regle!$H$11,regle!$H$23,
IF(T129=regle!$I$11,regle!$I$23,
IF(T129=regle!$J$11,regle!$J$23,
IF(T129=regle!$K$11,regle!$K$23,0))))))))))))</f>
        <v>0</v>
      </c>
      <c r="AE129" s="17">
        <f>IF($A129,$J129*(IF(U129=regle!$B$11,regle!$B$23*IF(AN129=-2,1+regle!$B$35,1),
IF(U129=regle!$C$11,regle!$C$23,
IF(U129=regle!$D$11,regle!$D$23,
IF(U129=regle!$E$11,regle!$E$23,
IF(U129=regle!$F$11,regle!$F$23,
IF(U129=regle!$G$11,regle!$G$23,
IF(U129=regle!$H$11,regle!$H$23,
IF(U129=regle!$I$11,regle!$I$23,
IF(U129=regle!$J$11,regle!$J$23,
IF(U129=regle!$K$11,regle!$K$23,0))))))))))))</f>
        <v>0</v>
      </c>
      <c r="AF129" s="17">
        <f>IF($A129,$J129*(IF(V129=regle!$B$11,regle!$B$23*IF(AO129=-2,1+regle!$B$35,1),
IF(V129=regle!$C$11,regle!$C$23,
IF(V129=regle!$D$11,regle!$D$23,
IF(V129=regle!$E$11,regle!$E$23,
IF(V129=regle!$F$11,regle!$F$23,
IF(V129=regle!$G$11,regle!$G$23,
IF(V129=regle!$H$11,regle!$H$23,
IF(V129=regle!$I$11,regle!$I$23,
IF(V129=regle!$J$11,regle!$J$23,
IF(V129=regle!$K$11,regle!$K$23,0))))))))))))</f>
        <v>0</v>
      </c>
      <c r="AG129" s="17">
        <f>IF($A129,$J129*(IF(W129=regle!$B$11,regle!$B$23*IF(AP129=-2,1+regle!$B$35,1),
IF(W129=regle!$C$11,regle!$C$23,
IF(W129=regle!$D$11,regle!$D$23,
IF(W129=regle!$E$11,regle!$E$23,
IF(W129=regle!$F$11,regle!$F$23,
IF(W129=regle!$G$11,regle!$G$23,
IF(W129=regle!$H$11,regle!$H$23,
IF(W129=regle!$I$11,regle!$I$23,
IF(W129=regle!$J$11,regle!$J$23,
IF(W129=regle!$K$11,regle!$K$23,0))))))))))))</f>
        <v>693.21600000000001</v>
      </c>
      <c r="AH129" s="17">
        <f>IF($A129,$J129*(IF(X129=regle!$B$11,regle!$B$23*IF(AQ129=-2,1+regle!$B$35,1),
IF(X129=regle!$C$11,regle!$C$23,
IF(X129=regle!$D$11,regle!$D$23,
IF(X129=regle!$E$11,regle!$E$23,
IF(X129=regle!$F$11,regle!$F$23,
IF(X129=regle!$G$11,regle!$G$23,
IF(X129=regle!$H$11,regle!$H$23,
IF(X129=regle!$I$11,regle!$I$23,
IF(X129=regle!$J$11,regle!$J$23,
IF(X129=regle!$K$11,regle!$K$23,0))))))))))))</f>
        <v>0</v>
      </c>
      <c r="AI129" s="17">
        <f>IF($A129,$J129*(IF(Y129=regle!$B$11,regle!$B$23*IF(AR129=-2,1+regle!$B$35,1),
IF(Y129=regle!$C$11,regle!$C$23,
IF(Y129=regle!$D$11,regle!$D$23,
IF(Y129=regle!$E$11,regle!$E$23,
IF(Y129=regle!$F$11,regle!$F$23,
IF(Y129=regle!$G$11,regle!$G$23,
IF(Y129=regle!$H$11,regle!$H$23,
IF(Y129=regle!$I$11,regle!$I$23,
IF(Y129=regle!$J$11,regle!$J$23,
IF(Y129=regle!$K$11,regle!$K$23,0))))))))))))</f>
        <v>0</v>
      </c>
      <c r="AJ129" s="17">
        <f>IF($A129,$J129*(IF(Z129=regle!$B$11,regle!$B$23*IF(AS129=-2,1+regle!$B$35,1),
IF(Z129=regle!$C$11,regle!$C$23,
IF(Z129=regle!$D$11,regle!$D$23,
IF(Z129=regle!$E$11,regle!$E$23,
IF(Z129=regle!$F$11,regle!$F$23,
IF(Z129=regle!$G$11,regle!$G$23,
IF(Z129=regle!$H$11,regle!$H$23,
IF(Z129=regle!$I$11,regle!$I$23,
IF(Z129=regle!$J$11,regle!$J$23,
IF(Z129=regle!$K$11,regle!$K$23,0))))))))))))</f>
        <v>0</v>
      </c>
      <c r="AK129" s="16">
        <f>IF(OR(Q129=regle!$J$11,Q129=regle!$K$11),-2,IF(Q129=regle!$B$11,0,IF(AK$1=$AK$1,IF($O129,-1,regle!$B$2-$M129),IF(AJ129=-1,-1,AJ129+1))))</f>
        <v>6</v>
      </c>
      <c r="AL129" s="16">
        <f>IF(OR(R129=regle!$J$11,R129=regle!$K$11),-2,IF(R129=regle!$B$11,0,IF(AL$1=$AK$1,IF($O129,-1,regle!$B$2-$M129),IF(AK129=-1,-1,AK129+1))))</f>
        <v>7</v>
      </c>
      <c r="AM129" s="16">
        <f>IF(OR(S129=regle!$J$11,S129=regle!$K$11),-2,IF(S129=regle!$B$11,0,IF(AM$1=$AK$1,IF($O129,-1,regle!$B$2-$M129),IF(AL129=-1,-1,AL129+1))))</f>
        <v>8</v>
      </c>
      <c r="AN129" s="16">
        <f>IF(OR(T129=regle!$J$11,T129=regle!$K$11),-2,IF(T129=regle!$B$11,0,IF(AN$1=$AK$1,IF($O129,-1,regle!$B$2-$M129),IF(AM129=-1,-1,AM129+1))))</f>
        <v>9</v>
      </c>
      <c r="AO129" s="16">
        <f>IF(OR(U129=regle!$J$11,U129=regle!$K$11),-2,IF(U129=regle!$B$11,0,IF(AO$1=$AK$1,IF($O129,-1,regle!$B$2-$M129),IF(AN129=-1,-1,AN129+1))))</f>
        <v>10</v>
      </c>
      <c r="AP129" s="16">
        <f>IF(OR(V129=regle!$J$11,V129=regle!$K$11),-2,IF(V129=regle!$B$11,0,IF(AP$1=$AK$1,IF($O129,-1,regle!$B$2-$M129),IF(AO129=-1,-1,AO129+1))))</f>
        <v>11</v>
      </c>
      <c r="AQ129" s="16">
        <f>IF(OR(W129=regle!$J$11,W129=regle!$K$11),-2,IF(W129=regle!$B$11,0,IF(AQ$1=$AK$1,IF($O129,-1,regle!$B$2-$M129),IF(AP129=-1,-1,AP129+1))))</f>
        <v>12</v>
      </c>
      <c r="AR129" s="16">
        <f>IF(OR(X129=regle!$J$11,X129=regle!$K$11),-2,IF(X129=regle!$B$11,0,IF(AR$1=$AK$1,IF($O129,-1,regle!$B$2-$M129),IF(AQ129=-1,-1,AQ129+1))))</f>
        <v>13</v>
      </c>
      <c r="AS129" s="16">
        <f>IF(OR(Y129=regle!$J$11,Y129=regle!$K$11),-2,IF(Y129=regle!$B$11,0,IF(AS$1=$AK$1,IF($O129,-1,regle!$B$2-$M129),IF(AR129=-1,-1,AR129+1))))</f>
        <v>14</v>
      </c>
      <c r="AT129" s="16">
        <f>IF(OR(Z129=regle!$J$11,Z129=regle!$K$11),-2,IF(Z129=regle!$B$11,0,IF(AT$1=$AK$1,IF($O129,-1,regle!$B$2-$M129),IF(AS129=-1,-1,AS129+1))))</f>
        <v>15</v>
      </c>
    </row>
    <row r="130" spans="1:46" x14ac:dyDescent="0.25">
      <c r="A130" t="b">
        <f>modif1!A130</f>
        <v>1</v>
      </c>
      <c r="B130">
        <f>ROW(modif1!B130)</f>
        <v>130</v>
      </c>
      <c r="C130" t="str">
        <f>modif1!C133</f>
        <v>202</v>
      </c>
      <c r="D130" t="str">
        <f>modif1!D130</f>
        <v>HOSTENS</v>
      </c>
      <c r="E130">
        <f>modif1!E130</f>
        <v>13</v>
      </c>
      <c r="F130" t="str">
        <f>modif1!F130</f>
        <v>LA BROUSTETTE</v>
      </c>
      <c r="G130" t="str">
        <f>modif1!G130</f>
        <v>0B</v>
      </c>
      <c r="H130">
        <f>modif1!H130</f>
        <v>1228</v>
      </c>
      <c r="I130" t="str">
        <f>modif1!I130</f>
        <v/>
      </c>
      <c r="J130" s="11">
        <f>modif1!J130</f>
        <v>0.53200000000000003</v>
      </c>
      <c r="K130" t="str">
        <f>modif1!K130</f>
        <v>PLA</v>
      </c>
      <c r="L130" t="str">
        <f>modif1!L130</f>
        <v>PM</v>
      </c>
      <c r="M130">
        <f>modif1!M130</f>
        <v>2018</v>
      </c>
      <c r="N130" t="str">
        <f>modif1!N130</f>
        <v>PLA-PM_2018</v>
      </c>
      <c r="O130" t="b">
        <f>modif1!O130</f>
        <v>0</v>
      </c>
      <c r="P130">
        <v>40</v>
      </c>
      <c r="R130" s="22"/>
      <c r="S130" t="s">
        <v>1871</v>
      </c>
      <c r="W130" t="s">
        <v>1803</v>
      </c>
      <c r="Z130"/>
      <c r="AA130" s="17">
        <f>IF($A130,$J130*(IF(Q130=regle!$B$11,regle!$B$23*IF(AJ130=-2,1+regle!$B$35,1),
IF(Q130=regle!$C$11,regle!$C$23,
IF(Q130=regle!$D$11,regle!$D$23,
IF(Q130=regle!$E$11,regle!$E$23,
IF(Q130=regle!$F$11,regle!$F$23,
IF(Q130=regle!$G$11,regle!$G$23,
IF(Q130=regle!$H$11,regle!$H$23,
IF(Q130=regle!$I$11,regle!$I$23,
IF(Q130=regle!$J$11,regle!$J$23,
IF(Q130=regle!$K$11,regle!$K$23,0))))))))))))</f>
        <v>0</v>
      </c>
      <c r="AB130" s="17">
        <f>IF($A130,$J130*(IF(R130=regle!$B$11,regle!$B$23*IF(AK130=-2,1+regle!$B$35,1),
IF(R130=regle!$C$11,regle!$C$23,
IF(R130=regle!$D$11,regle!$D$23,
IF(R130=regle!$E$11,regle!$E$23,
IF(R130=regle!$F$11,regle!$F$23,
IF(R130=regle!$G$11,regle!$G$23,
IF(R130=regle!$H$11,regle!$H$23,
IF(R130=regle!$I$11,regle!$I$23,
IF(R130=regle!$J$11,regle!$J$23,
IF(R130=regle!$K$11,regle!$K$23,0))))))))))))</f>
        <v>0</v>
      </c>
      <c r="AC130" s="17">
        <f>IF($A130,$J130*(IF(S130=regle!$B$11,regle!$B$23*IF(AL130=-2,1+regle!$B$35,1),
IF(S130=regle!$C$11,regle!$C$23,
IF(S130=regle!$D$11,regle!$D$23,
IF(S130=regle!$E$11,regle!$E$23,
IF(S130=regle!$F$11,regle!$F$23,
IF(S130=regle!$G$11,regle!$G$23,
IF(S130=regle!$H$11,regle!$H$23,
IF(S130=regle!$I$11,regle!$I$23,
IF(S130=regle!$J$11,regle!$J$23,
IF(S130=regle!$K$11,regle!$K$23,0))))))))))))</f>
        <v>-47.88</v>
      </c>
      <c r="AD130" s="17">
        <f>IF($A130,$J130*(IF(T130=regle!$B$11,regle!$B$23*IF(AM130=-2,1+regle!$B$35,1),
IF(T130=regle!$C$11,regle!$C$23,
IF(T130=regle!$D$11,regle!$D$23,
IF(T130=regle!$E$11,regle!$E$23,
IF(T130=regle!$F$11,regle!$F$23,
IF(T130=regle!$G$11,regle!$G$23,
IF(T130=regle!$H$11,regle!$H$23,
IF(T130=regle!$I$11,regle!$I$23,
IF(T130=regle!$J$11,regle!$J$23,
IF(T130=regle!$K$11,regle!$K$23,0))))))))))))</f>
        <v>0</v>
      </c>
      <c r="AE130" s="17">
        <f>IF($A130,$J130*(IF(U130=regle!$B$11,regle!$B$23*IF(AN130=-2,1+regle!$B$35,1),
IF(U130=regle!$C$11,regle!$C$23,
IF(U130=regle!$D$11,regle!$D$23,
IF(U130=regle!$E$11,regle!$E$23,
IF(U130=regle!$F$11,regle!$F$23,
IF(U130=regle!$G$11,regle!$G$23,
IF(U130=regle!$H$11,regle!$H$23,
IF(U130=regle!$I$11,regle!$I$23,
IF(U130=regle!$J$11,regle!$J$23,
IF(U130=regle!$K$11,regle!$K$23,0))))))))))))</f>
        <v>0</v>
      </c>
      <c r="AF130" s="17">
        <f>IF($A130,$J130*(IF(V130=regle!$B$11,regle!$B$23*IF(AO130=-2,1+regle!$B$35,1),
IF(V130=regle!$C$11,regle!$C$23,
IF(V130=regle!$D$11,regle!$D$23,
IF(V130=regle!$E$11,regle!$E$23,
IF(V130=regle!$F$11,regle!$F$23,
IF(V130=regle!$G$11,regle!$G$23,
IF(V130=regle!$H$11,regle!$H$23,
IF(V130=regle!$I$11,regle!$I$23,
IF(V130=regle!$J$11,regle!$J$23,
IF(V130=regle!$K$11,regle!$K$23,0))))))))))))</f>
        <v>0</v>
      </c>
      <c r="AG130" s="17">
        <f>IF($A130,$J130*(IF(W130=regle!$B$11,regle!$B$23*IF(AP130=-2,1+regle!$B$35,1),
IF(W130=regle!$C$11,regle!$C$23,
IF(W130=regle!$D$11,regle!$D$23,
IF(W130=regle!$E$11,regle!$E$23,
IF(W130=regle!$F$11,regle!$F$23,
IF(W130=regle!$G$11,regle!$G$23,
IF(W130=regle!$H$11,regle!$H$23,
IF(W130=regle!$I$11,regle!$I$23,
IF(W130=regle!$J$11,regle!$J$23,
IF(W130=regle!$K$11,regle!$K$23,0))))))))))))</f>
        <v>306.43200000000002</v>
      </c>
      <c r="AH130" s="17">
        <f>IF($A130,$J130*(IF(X130=regle!$B$11,regle!$B$23*IF(AQ130=-2,1+regle!$B$35,1),
IF(X130=regle!$C$11,regle!$C$23,
IF(X130=regle!$D$11,regle!$D$23,
IF(X130=regle!$E$11,regle!$E$23,
IF(X130=regle!$F$11,regle!$F$23,
IF(X130=regle!$G$11,regle!$G$23,
IF(X130=regle!$H$11,regle!$H$23,
IF(X130=regle!$I$11,regle!$I$23,
IF(X130=regle!$J$11,regle!$J$23,
IF(X130=regle!$K$11,regle!$K$23,0))))))))))))</f>
        <v>0</v>
      </c>
      <c r="AI130" s="17">
        <f>IF($A130,$J130*(IF(Y130=regle!$B$11,regle!$B$23*IF(AR130=-2,1+regle!$B$35,1),
IF(Y130=regle!$C$11,regle!$C$23,
IF(Y130=regle!$D$11,regle!$D$23,
IF(Y130=regle!$E$11,regle!$E$23,
IF(Y130=regle!$F$11,regle!$F$23,
IF(Y130=regle!$G$11,regle!$G$23,
IF(Y130=regle!$H$11,regle!$H$23,
IF(Y130=regle!$I$11,regle!$I$23,
IF(Y130=regle!$J$11,regle!$J$23,
IF(Y130=regle!$K$11,regle!$K$23,0))))))))))))</f>
        <v>0</v>
      </c>
      <c r="AJ130" s="17">
        <f>IF($A130,$J130*(IF(Z130=regle!$B$11,regle!$B$23*IF(AS130=-2,1+regle!$B$35,1),
IF(Z130=regle!$C$11,regle!$C$23,
IF(Z130=regle!$D$11,regle!$D$23,
IF(Z130=regle!$E$11,regle!$E$23,
IF(Z130=regle!$F$11,regle!$F$23,
IF(Z130=regle!$G$11,regle!$G$23,
IF(Z130=regle!$H$11,regle!$H$23,
IF(Z130=regle!$I$11,regle!$I$23,
IF(Z130=regle!$J$11,regle!$J$23,
IF(Z130=regle!$K$11,regle!$K$23,0))))))))))))</f>
        <v>0</v>
      </c>
      <c r="AK130" s="16">
        <f>IF(OR(Q130=regle!$J$11,Q130=regle!$K$11),-2,IF(Q130=regle!$B$11,0,IF(AK$1=$AK$1,IF($O130,-1,regle!$B$2-$M130),IF(AJ130=-1,-1,AJ130+1))))</f>
        <v>6</v>
      </c>
      <c r="AL130" s="16">
        <f>IF(OR(R130=regle!$J$11,R130=regle!$K$11),-2,IF(R130=regle!$B$11,0,IF(AL$1=$AK$1,IF($O130,-1,regle!$B$2-$M130),IF(AK130=-1,-1,AK130+1))))</f>
        <v>7</v>
      </c>
      <c r="AM130" s="16">
        <f>IF(OR(S130=regle!$J$11,S130=regle!$K$11),-2,IF(S130=regle!$B$11,0,IF(AM$1=$AK$1,IF($O130,-1,regle!$B$2-$M130),IF(AL130=-1,-1,AL130+1))))</f>
        <v>8</v>
      </c>
      <c r="AN130" s="16">
        <f>IF(OR(T130=regle!$J$11,T130=regle!$K$11),-2,IF(T130=regle!$B$11,0,IF(AN$1=$AK$1,IF($O130,-1,regle!$B$2-$M130),IF(AM130=-1,-1,AM130+1))))</f>
        <v>9</v>
      </c>
      <c r="AO130" s="16">
        <f>IF(OR(U130=regle!$J$11,U130=regle!$K$11),-2,IF(U130=regle!$B$11,0,IF(AO$1=$AK$1,IF($O130,-1,regle!$B$2-$M130),IF(AN130=-1,-1,AN130+1))))</f>
        <v>10</v>
      </c>
      <c r="AP130" s="16">
        <f>IF(OR(V130=regle!$J$11,V130=regle!$K$11),-2,IF(V130=regle!$B$11,0,IF(AP$1=$AK$1,IF($O130,-1,regle!$B$2-$M130),IF(AO130=-1,-1,AO130+1))))</f>
        <v>11</v>
      </c>
      <c r="AQ130" s="16">
        <f>IF(OR(W130=regle!$J$11,W130=regle!$K$11),-2,IF(W130=regle!$B$11,0,IF(AQ$1=$AK$1,IF($O130,-1,regle!$B$2-$M130),IF(AP130=-1,-1,AP130+1))))</f>
        <v>12</v>
      </c>
      <c r="AR130" s="16">
        <f>IF(OR(X130=regle!$J$11,X130=regle!$K$11),-2,IF(X130=regle!$B$11,0,IF(AR$1=$AK$1,IF($O130,-1,regle!$B$2-$M130),IF(AQ130=-1,-1,AQ130+1))))</f>
        <v>13</v>
      </c>
      <c r="AS130" s="16">
        <f>IF(OR(Y130=regle!$J$11,Y130=regle!$K$11),-2,IF(Y130=regle!$B$11,0,IF(AS$1=$AK$1,IF($O130,-1,regle!$B$2-$M130),IF(AR130=-1,-1,AR130+1))))</f>
        <v>14</v>
      </c>
      <c r="AT130" s="16">
        <f>IF(OR(Z130=regle!$J$11,Z130=regle!$K$11),-2,IF(Z130=regle!$B$11,0,IF(AT$1=$AK$1,IF($O130,-1,regle!$B$2-$M130),IF(AS130=-1,-1,AS130+1))))</f>
        <v>15</v>
      </c>
    </row>
    <row r="131" spans="1:46" x14ac:dyDescent="0.25">
      <c r="A131" t="b">
        <f>modif1!A131</f>
        <v>1</v>
      </c>
      <c r="B131">
        <f>ROW(modif1!B131)</f>
        <v>131</v>
      </c>
      <c r="C131" t="str">
        <f>modif1!C134</f>
        <v>202</v>
      </c>
      <c r="D131" t="str">
        <f>modif1!D131</f>
        <v>HOSTENS</v>
      </c>
      <c r="E131">
        <f>modif1!E131</f>
        <v>11</v>
      </c>
      <c r="F131" t="str">
        <f>modif1!F131</f>
        <v>LES CAZALAS</v>
      </c>
      <c r="G131" t="str">
        <f>modif1!G131</f>
        <v>0B</v>
      </c>
      <c r="H131">
        <f>modif1!H131</f>
        <v>1142</v>
      </c>
      <c r="I131" t="str">
        <f>modif1!I131</f>
        <v>k</v>
      </c>
      <c r="J131" s="11">
        <f>modif1!J131</f>
        <v>0.50990000000000002</v>
      </c>
      <c r="K131" t="str">
        <f>modif1!K131</f>
        <v>PLA</v>
      </c>
      <c r="L131" t="str">
        <f>modif1!L131</f>
        <v>PM</v>
      </c>
      <c r="M131">
        <f>modif1!M131</f>
        <v>2018</v>
      </c>
      <c r="N131" t="str">
        <f>modif1!N131</f>
        <v>PLA-PM_2018</v>
      </c>
      <c r="O131" t="b">
        <f>modif1!O131</f>
        <v>0</v>
      </c>
      <c r="P131">
        <v>40</v>
      </c>
      <c r="R131" s="22"/>
      <c r="S131" t="s">
        <v>1871</v>
      </c>
      <c r="W131" t="s">
        <v>1803</v>
      </c>
      <c r="Z131"/>
      <c r="AA131" s="17">
        <f>IF($A131,$J131*(IF(Q131=regle!$B$11,regle!$B$23*IF(AJ131=-2,1+regle!$B$35,1),
IF(Q131=regle!$C$11,regle!$C$23,
IF(Q131=regle!$D$11,regle!$D$23,
IF(Q131=regle!$E$11,regle!$E$23,
IF(Q131=regle!$F$11,regle!$F$23,
IF(Q131=regle!$G$11,regle!$G$23,
IF(Q131=regle!$H$11,regle!$H$23,
IF(Q131=regle!$I$11,regle!$I$23,
IF(Q131=regle!$J$11,regle!$J$23,
IF(Q131=regle!$K$11,regle!$K$23,0))))))))))))</f>
        <v>0</v>
      </c>
      <c r="AB131" s="17">
        <f>IF($A131,$J131*(IF(R131=regle!$B$11,regle!$B$23*IF(AK131=-2,1+regle!$B$35,1),
IF(R131=regle!$C$11,regle!$C$23,
IF(R131=regle!$D$11,regle!$D$23,
IF(R131=regle!$E$11,regle!$E$23,
IF(R131=regle!$F$11,regle!$F$23,
IF(R131=regle!$G$11,regle!$G$23,
IF(R131=regle!$H$11,regle!$H$23,
IF(R131=regle!$I$11,regle!$I$23,
IF(R131=regle!$J$11,regle!$J$23,
IF(R131=regle!$K$11,regle!$K$23,0))))))))))))</f>
        <v>0</v>
      </c>
      <c r="AC131" s="17">
        <f>IF($A131,$J131*(IF(S131=regle!$B$11,regle!$B$23*IF(AL131=-2,1+regle!$B$35,1),
IF(S131=regle!$C$11,regle!$C$23,
IF(S131=regle!$D$11,regle!$D$23,
IF(S131=regle!$E$11,regle!$E$23,
IF(S131=regle!$F$11,regle!$F$23,
IF(S131=regle!$G$11,regle!$G$23,
IF(S131=regle!$H$11,regle!$H$23,
IF(S131=regle!$I$11,regle!$I$23,
IF(S131=regle!$J$11,regle!$J$23,
IF(S131=regle!$K$11,regle!$K$23,0))))))))))))</f>
        <v>-45.891000000000005</v>
      </c>
      <c r="AD131" s="17">
        <f>IF($A131,$J131*(IF(T131=regle!$B$11,regle!$B$23*IF(AM131=-2,1+regle!$B$35,1),
IF(T131=regle!$C$11,regle!$C$23,
IF(T131=regle!$D$11,regle!$D$23,
IF(T131=regle!$E$11,regle!$E$23,
IF(T131=regle!$F$11,regle!$F$23,
IF(T131=regle!$G$11,regle!$G$23,
IF(T131=regle!$H$11,regle!$H$23,
IF(T131=regle!$I$11,regle!$I$23,
IF(T131=regle!$J$11,regle!$J$23,
IF(T131=regle!$K$11,regle!$K$23,0))))))))))))</f>
        <v>0</v>
      </c>
      <c r="AE131" s="17">
        <f>IF($A131,$J131*(IF(U131=regle!$B$11,regle!$B$23*IF(AN131=-2,1+regle!$B$35,1),
IF(U131=regle!$C$11,regle!$C$23,
IF(U131=regle!$D$11,regle!$D$23,
IF(U131=regle!$E$11,regle!$E$23,
IF(U131=regle!$F$11,regle!$F$23,
IF(U131=regle!$G$11,regle!$G$23,
IF(U131=regle!$H$11,regle!$H$23,
IF(U131=regle!$I$11,regle!$I$23,
IF(U131=regle!$J$11,regle!$J$23,
IF(U131=regle!$K$11,regle!$K$23,0))))))))))))</f>
        <v>0</v>
      </c>
      <c r="AF131" s="17">
        <f>IF($A131,$J131*(IF(V131=regle!$B$11,regle!$B$23*IF(AO131=-2,1+regle!$B$35,1),
IF(V131=regle!$C$11,regle!$C$23,
IF(V131=regle!$D$11,regle!$D$23,
IF(V131=regle!$E$11,regle!$E$23,
IF(V131=regle!$F$11,regle!$F$23,
IF(V131=regle!$G$11,regle!$G$23,
IF(V131=regle!$H$11,regle!$H$23,
IF(V131=regle!$I$11,regle!$I$23,
IF(V131=regle!$J$11,regle!$J$23,
IF(V131=regle!$K$11,regle!$K$23,0))))))))))))</f>
        <v>0</v>
      </c>
      <c r="AG131" s="17">
        <f>IF($A131,$J131*(IF(W131=regle!$B$11,regle!$B$23*IF(AP131=-2,1+regle!$B$35,1),
IF(W131=regle!$C$11,regle!$C$23,
IF(W131=regle!$D$11,regle!$D$23,
IF(W131=regle!$E$11,regle!$E$23,
IF(W131=regle!$F$11,regle!$F$23,
IF(W131=regle!$G$11,regle!$G$23,
IF(W131=regle!$H$11,regle!$H$23,
IF(W131=regle!$I$11,regle!$I$23,
IF(W131=regle!$J$11,regle!$J$23,
IF(W131=regle!$K$11,regle!$K$23,0))))))))))))</f>
        <v>293.70240000000001</v>
      </c>
      <c r="AH131" s="17">
        <f>IF($A131,$J131*(IF(X131=regle!$B$11,regle!$B$23*IF(AQ131=-2,1+regle!$B$35,1),
IF(X131=regle!$C$11,regle!$C$23,
IF(X131=regle!$D$11,regle!$D$23,
IF(X131=regle!$E$11,regle!$E$23,
IF(X131=regle!$F$11,regle!$F$23,
IF(X131=regle!$G$11,regle!$G$23,
IF(X131=regle!$H$11,regle!$H$23,
IF(X131=regle!$I$11,regle!$I$23,
IF(X131=regle!$J$11,regle!$J$23,
IF(X131=regle!$K$11,regle!$K$23,0))))))))))))</f>
        <v>0</v>
      </c>
      <c r="AI131" s="17">
        <f>IF($A131,$J131*(IF(Y131=regle!$B$11,regle!$B$23*IF(AR131=-2,1+regle!$B$35,1),
IF(Y131=regle!$C$11,regle!$C$23,
IF(Y131=regle!$D$11,regle!$D$23,
IF(Y131=regle!$E$11,regle!$E$23,
IF(Y131=regle!$F$11,regle!$F$23,
IF(Y131=regle!$G$11,regle!$G$23,
IF(Y131=regle!$H$11,regle!$H$23,
IF(Y131=regle!$I$11,regle!$I$23,
IF(Y131=regle!$J$11,regle!$J$23,
IF(Y131=regle!$K$11,regle!$K$23,0))))))))))))</f>
        <v>0</v>
      </c>
      <c r="AJ131" s="17">
        <f>IF($A131,$J131*(IF(Z131=regle!$B$11,regle!$B$23*IF(AS131=-2,1+regle!$B$35,1),
IF(Z131=regle!$C$11,regle!$C$23,
IF(Z131=regle!$D$11,regle!$D$23,
IF(Z131=regle!$E$11,regle!$E$23,
IF(Z131=regle!$F$11,regle!$F$23,
IF(Z131=regle!$G$11,regle!$G$23,
IF(Z131=regle!$H$11,regle!$H$23,
IF(Z131=regle!$I$11,regle!$I$23,
IF(Z131=regle!$J$11,regle!$J$23,
IF(Z131=regle!$K$11,regle!$K$23,0))))))))))))</f>
        <v>0</v>
      </c>
      <c r="AK131" s="16">
        <f>IF(OR(Q131=regle!$J$11,Q131=regle!$K$11),-2,IF(Q131=regle!$B$11,0,IF(AK$1=$AK$1,IF($O131,-1,regle!$B$2-$M131),IF(AJ131=-1,-1,AJ131+1))))</f>
        <v>6</v>
      </c>
      <c r="AL131" s="16">
        <f>IF(OR(R131=regle!$J$11,R131=regle!$K$11),-2,IF(R131=regle!$B$11,0,IF(AL$1=$AK$1,IF($O131,-1,regle!$B$2-$M131),IF(AK131=-1,-1,AK131+1))))</f>
        <v>7</v>
      </c>
      <c r="AM131" s="16">
        <f>IF(OR(S131=regle!$J$11,S131=regle!$K$11),-2,IF(S131=regle!$B$11,0,IF(AM$1=$AK$1,IF($O131,-1,regle!$B$2-$M131),IF(AL131=-1,-1,AL131+1))))</f>
        <v>8</v>
      </c>
      <c r="AN131" s="16">
        <f>IF(OR(T131=regle!$J$11,T131=regle!$K$11),-2,IF(T131=regle!$B$11,0,IF(AN$1=$AK$1,IF($O131,-1,regle!$B$2-$M131),IF(AM131=-1,-1,AM131+1))))</f>
        <v>9</v>
      </c>
      <c r="AO131" s="16">
        <f>IF(OR(U131=regle!$J$11,U131=regle!$K$11),-2,IF(U131=regle!$B$11,0,IF(AO$1=$AK$1,IF($O131,-1,regle!$B$2-$M131),IF(AN131=-1,-1,AN131+1))))</f>
        <v>10</v>
      </c>
      <c r="AP131" s="16">
        <f>IF(OR(V131=regle!$J$11,V131=regle!$K$11),-2,IF(V131=regle!$B$11,0,IF(AP$1=$AK$1,IF($O131,-1,regle!$B$2-$M131),IF(AO131=-1,-1,AO131+1))))</f>
        <v>11</v>
      </c>
      <c r="AQ131" s="16">
        <f>IF(OR(W131=regle!$J$11,W131=regle!$K$11),-2,IF(W131=regle!$B$11,0,IF(AQ$1=$AK$1,IF($O131,-1,regle!$B$2-$M131),IF(AP131=-1,-1,AP131+1))))</f>
        <v>12</v>
      </c>
      <c r="AR131" s="16">
        <f>IF(OR(X131=regle!$J$11,X131=regle!$K$11),-2,IF(X131=regle!$B$11,0,IF(AR$1=$AK$1,IF($O131,-1,regle!$B$2-$M131),IF(AQ131=-1,-1,AQ131+1))))</f>
        <v>13</v>
      </c>
      <c r="AS131" s="16">
        <f>IF(OR(Y131=regle!$J$11,Y131=regle!$K$11),-2,IF(Y131=regle!$B$11,0,IF(AS$1=$AK$1,IF($O131,-1,regle!$B$2-$M131),IF(AR131=-1,-1,AR131+1))))</f>
        <v>14</v>
      </c>
      <c r="AT131" s="16">
        <f>IF(OR(Z131=regle!$J$11,Z131=regle!$K$11),-2,IF(Z131=regle!$B$11,0,IF(AT$1=$AK$1,IF($O131,-1,regle!$B$2-$M131),IF(AS131=-1,-1,AS131+1))))</f>
        <v>15</v>
      </c>
    </row>
    <row r="132" spans="1:46" x14ac:dyDescent="0.25">
      <c r="A132" t="b">
        <f>modif1!A132</f>
        <v>1</v>
      </c>
      <c r="B132">
        <f>ROW(modif1!B132)</f>
        <v>132</v>
      </c>
      <c r="C132" t="str">
        <f>modif1!C135</f>
        <v>202</v>
      </c>
      <c r="D132" t="str">
        <f>modif1!D132</f>
        <v>HOSTENS</v>
      </c>
      <c r="E132">
        <f>modif1!E132</f>
        <v>13</v>
      </c>
      <c r="F132" t="str">
        <f>modif1!F132</f>
        <v>LA BROUSTETTE</v>
      </c>
      <c r="G132" t="str">
        <f>modif1!G132</f>
        <v>0B</v>
      </c>
      <c r="H132">
        <f>modif1!H132</f>
        <v>1244</v>
      </c>
      <c r="I132" t="str">
        <f>modif1!I132</f>
        <v>k</v>
      </c>
      <c r="J132" s="11">
        <f>modif1!J132</f>
        <v>0.44269999999999998</v>
      </c>
      <c r="K132" t="str">
        <f>modif1!K132</f>
        <v>PLA</v>
      </c>
      <c r="L132" t="str">
        <f>modif1!L132</f>
        <v>PM</v>
      </c>
      <c r="M132">
        <f>modif1!M132</f>
        <v>2018</v>
      </c>
      <c r="N132" t="str">
        <f>modif1!N132</f>
        <v>PLA-PM_2018</v>
      </c>
      <c r="O132" t="b">
        <f>modif1!O132</f>
        <v>0</v>
      </c>
      <c r="P132">
        <v>40</v>
      </c>
      <c r="R132" s="22"/>
      <c r="S132" t="s">
        <v>1871</v>
      </c>
      <c r="W132" t="s">
        <v>1803</v>
      </c>
      <c r="Z132"/>
      <c r="AA132" s="17">
        <f>IF($A132,$J132*(IF(Q132=regle!$B$11,regle!$B$23*IF(AJ132=-2,1+regle!$B$35,1),
IF(Q132=regle!$C$11,regle!$C$23,
IF(Q132=regle!$D$11,regle!$D$23,
IF(Q132=regle!$E$11,regle!$E$23,
IF(Q132=regle!$F$11,regle!$F$23,
IF(Q132=regle!$G$11,regle!$G$23,
IF(Q132=regle!$H$11,regle!$H$23,
IF(Q132=regle!$I$11,regle!$I$23,
IF(Q132=regle!$J$11,regle!$J$23,
IF(Q132=regle!$K$11,regle!$K$23,0))))))))))))</f>
        <v>0</v>
      </c>
      <c r="AB132" s="17">
        <f>IF($A132,$J132*(IF(R132=regle!$B$11,regle!$B$23*IF(AK132=-2,1+regle!$B$35,1),
IF(R132=regle!$C$11,regle!$C$23,
IF(R132=regle!$D$11,regle!$D$23,
IF(R132=regle!$E$11,regle!$E$23,
IF(R132=regle!$F$11,regle!$F$23,
IF(R132=regle!$G$11,regle!$G$23,
IF(R132=regle!$H$11,regle!$H$23,
IF(R132=regle!$I$11,regle!$I$23,
IF(R132=regle!$J$11,regle!$J$23,
IF(R132=regle!$K$11,regle!$K$23,0))))))))))))</f>
        <v>0</v>
      </c>
      <c r="AC132" s="17">
        <f>IF($A132,$J132*(IF(S132=regle!$B$11,regle!$B$23*IF(AL132=-2,1+regle!$B$35,1),
IF(S132=regle!$C$11,regle!$C$23,
IF(S132=regle!$D$11,regle!$D$23,
IF(S132=regle!$E$11,regle!$E$23,
IF(S132=regle!$F$11,regle!$F$23,
IF(S132=regle!$G$11,regle!$G$23,
IF(S132=regle!$H$11,regle!$H$23,
IF(S132=regle!$I$11,regle!$I$23,
IF(S132=regle!$J$11,regle!$J$23,
IF(S132=regle!$K$11,regle!$K$23,0))))))))))))</f>
        <v>-39.842999999999996</v>
      </c>
      <c r="AD132" s="17">
        <f>IF($A132,$J132*(IF(T132=regle!$B$11,regle!$B$23*IF(AM132=-2,1+regle!$B$35,1),
IF(T132=regle!$C$11,regle!$C$23,
IF(T132=regle!$D$11,regle!$D$23,
IF(T132=regle!$E$11,regle!$E$23,
IF(T132=regle!$F$11,regle!$F$23,
IF(T132=regle!$G$11,regle!$G$23,
IF(T132=regle!$H$11,regle!$H$23,
IF(T132=regle!$I$11,regle!$I$23,
IF(T132=regle!$J$11,regle!$J$23,
IF(T132=regle!$K$11,regle!$K$23,0))))))))))))</f>
        <v>0</v>
      </c>
      <c r="AE132" s="17">
        <f>IF($A132,$J132*(IF(U132=regle!$B$11,regle!$B$23*IF(AN132=-2,1+regle!$B$35,1),
IF(U132=regle!$C$11,regle!$C$23,
IF(U132=regle!$D$11,regle!$D$23,
IF(U132=regle!$E$11,regle!$E$23,
IF(U132=regle!$F$11,regle!$F$23,
IF(U132=regle!$G$11,regle!$G$23,
IF(U132=regle!$H$11,regle!$H$23,
IF(U132=regle!$I$11,regle!$I$23,
IF(U132=regle!$J$11,regle!$J$23,
IF(U132=regle!$K$11,regle!$K$23,0))))))))))))</f>
        <v>0</v>
      </c>
      <c r="AF132" s="17">
        <f>IF($A132,$J132*(IF(V132=regle!$B$11,regle!$B$23*IF(AO132=-2,1+regle!$B$35,1),
IF(V132=regle!$C$11,regle!$C$23,
IF(V132=regle!$D$11,regle!$D$23,
IF(V132=regle!$E$11,regle!$E$23,
IF(V132=regle!$F$11,regle!$F$23,
IF(V132=regle!$G$11,regle!$G$23,
IF(V132=regle!$H$11,regle!$H$23,
IF(V132=regle!$I$11,regle!$I$23,
IF(V132=regle!$J$11,regle!$J$23,
IF(V132=regle!$K$11,regle!$K$23,0))))))))))))</f>
        <v>0</v>
      </c>
      <c r="AG132" s="17">
        <f>IF($A132,$J132*(IF(W132=regle!$B$11,regle!$B$23*IF(AP132=-2,1+regle!$B$35,1),
IF(W132=regle!$C$11,regle!$C$23,
IF(W132=regle!$D$11,regle!$D$23,
IF(W132=regle!$E$11,regle!$E$23,
IF(W132=regle!$F$11,regle!$F$23,
IF(W132=regle!$G$11,regle!$G$23,
IF(W132=regle!$H$11,regle!$H$23,
IF(W132=regle!$I$11,regle!$I$23,
IF(W132=regle!$J$11,regle!$J$23,
IF(W132=regle!$K$11,regle!$K$23,0))))))))))))</f>
        <v>254.99519999999998</v>
      </c>
      <c r="AH132" s="17">
        <f>IF($A132,$J132*(IF(X132=regle!$B$11,regle!$B$23*IF(AQ132=-2,1+regle!$B$35,1),
IF(X132=regle!$C$11,regle!$C$23,
IF(X132=regle!$D$11,regle!$D$23,
IF(X132=regle!$E$11,regle!$E$23,
IF(X132=regle!$F$11,regle!$F$23,
IF(X132=regle!$G$11,regle!$G$23,
IF(X132=regle!$H$11,regle!$H$23,
IF(X132=regle!$I$11,regle!$I$23,
IF(X132=regle!$J$11,regle!$J$23,
IF(X132=regle!$K$11,regle!$K$23,0))))))))))))</f>
        <v>0</v>
      </c>
      <c r="AI132" s="17">
        <f>IF($A132,$J132*(IF(Y132=regle!$B$11,regle!$B$23*IF(AR132=-2,1+regle!$B$35,1),
IF(Y132=regle!$C$11,regle!$C$23,
IF(Y132=regle!$D$11,regle!$D$23,
IF(Y132=regle!$E$11,regle!$E$23,
IF(Y132=regle!$F$11,regle!$F$23,
IF(Y132=regle!$G$11,regle!$G$23,
IF(Y132=regle!$H$11,regle!$H$23,
IF(Y132=regle!$I$11,regle!$I$23,
IF(Y132=regle!$J$11,regle!$J$23,
IF(Y132=regle!$K$11,regle!$K$23,0))))))))))))</f>
        <v>0</v>
      </c>
      <c r="AJ132" s="17">
        <f>IF($A132,$J132*(IF(Z132=regle!$B$11,regle!$B$23*IF(AS132=-2,1+regle!$B$35,1),
IF(Z132=regle!$C$11,regle!$C$23,
IF(Z132=regle!$D$11,regle!$D$23,
IF(Z132=regle!$E$11,regle!$E$23,
IF(Z132=regle!$F$11,regle!$F$23,
IF(Z132=regle!$G$11,regle!$G$23,
IF(Z132=regle!$H$11,regle!$H$23,
IF(Z132=regle!$I$11,regle!$I$23,
IF(Z132=regle!$J$11,regle!$J$23,
IF(Z132=regle!$K$11,regle!$K$23,0))))))))))))</f>
        <v>0</v>
      </c>
      <c r="AK132" s="16">
        <f>IF(OR(Q132=regle!$J$11,Q132=regle!$K$11),-2,IF(Q132=regle!$B$11,0,IF(AK$1=$AK$1,IF($O132,-1,regle!$B$2-$M132),IF(AJ132=-1,-1,AJ132+1))))</f>
        <v>6</v>
      </c>
      <c r="AL132" s="16">
        <f>IF(OR(R132=regle!$J$11,R132=regle!$K$11),-2,IF(R132=regle!$B$11,0,IF(AL$1=$AK$1,IF($O132,-1,regle!$B$2-$M132),IF(AK132=-1,-1,AK132+1))))</f>
        <v>7</v>
      </c>
      <c r="AM132" s="16">
        <f>IF(OR(S132=regle!$J$11,S132=regle!$K$11),-2,IF(S132=regle!$B$11,0,IF(AM$1=$AK$1,IF($O132,-1,regle!$B$2-$M132),IF(AL132=-1,-1,AL132+1))))</f>
        <v>8</v>
      </c>
      <c r="AN132" s="16">
        <f>IF(OR(T132=regle!$J$11,T132=regle!$K$11),-2,IF(T132=regle!$B$11,0,IF(AN$1=$AK$1,IF($O132,-1,regle!$B$2-$M132),IF(AM132=-1,-1,AM132+1))))</f>
        <v>9</v>
      </c>
      <c r="AO132" s="16">
        <f>IF(OR(U132=regle!$J$11,U132=regle!$K$11),-2,IF(U132=regle!$B$11,0,IF(AO$1=$AK$1,IF($O132,-1,regle!$B$2-$M132),IF(AN132=-1,-1,AN132+1))))</f>
        <v>10</v>
      </c>
      <c r="AP132" s="16">
        <f>IF(OR(V132=regle!$J$11,V132=regle!$K$11),-2,IF(V132=regle!$B$11,0,IF(AP$1=$AK$1,IF($O132,-1,regle!$B$2-$M132),IF(AO132=-1,-1,AO132+1))))</f>
        <v>11</v>
      </c>
      <c r="AQ132" s="16">
        <f>IF(OR(W132=regle!$J$11,W132=regle!$K$11),-2,IF(W132=regle!$B$11,0,IF(AQ$1=$AK$1,IF($O132,-1,regle!$B$2-$M132),IF(AP132=-1,-1,AP132+1))))</f>
        <v>12</v>
      </c>
      <c r="AR132" s="16">
        <f>IF(OR(X132=regle!$J$11,X132=regle!$K$11),-2,IF(X132=regle!$B$11,0,IF(AR$1=$AK$1,IF($O132,-1,regle!$B$2-$M132),IF(AQ132=-1,-1,AQ132+1))))</f>
        <v>13</v>
      </c>
      <c r="AS132" s="16">
        <f>IF(OR(Y132=regle!$J$11,Y132=regle!$K$11),-2,IF(Y132=regle!$B$11,0,IF(AS$1=$AK$1,IF($O132,-1,regle!$B$2-$M132),IF(AR132=-1,-1,AR132+1))))</f>
        <v>14</v>
      </c>
      <c r="AT132" s="16">
        <f>IF(OR(Z132=regle!$J$11,Z132=regle!$K$11),-2,IF(Z132=regle!$B$11,0,IF(AT$1=$AK$1,IF($O132,-1,regle!$B$2-$M132),IF(AS132=-1,-1,AS132+1))))</f>
        <v>15</v>
      </c>
    </row>
    <row r="133" spans="1:46" x14ac:dyDescent="0.25">
      <c r="A133" t="b">
        <f>modif1!A133</f>
        <v>1</v>
      </c>
      <c r="B133">
        <f>ROW(modif1!B133)</f>
        <v>133</v>
      </c>
      <c r="C133" t="str">
        <f>modif1!C136</f>
        <v>202</v>
      </c>
      <c r="D133" t="str">
        <f>modif1!D133</f>
        <v>HOSTENS</v>
      </c>
      <c r="E133">
        <f>modif1!E133</f>
        <v>13</v>
      </c>
      <c r="F133" t="str">
        <f>modif1!F133</f>
        <v>LA BROUSTETTE</v>
      </c>
      <c r="G133" t="str">
        <f>modif1!G133</f>
        <v>0B</v>
      </c>
      <c r="H133">
        <f>modif1!H133</f>
        <v>1225</v>
      </c>
      <c r="I133" t="str">
        <f>modif1!I133</f>
        <v/>
      </c>
      <c r="J133" s="11">
        <f>modif1!J133</f>
        <v>0.37</v>
      </c>
      <c r="K133" t="str">
        <f>modif1!K133</f>
        <v>PLA</v>
      </c>
      <c r="L133" t="str">
        <f>modif1!L133</f>
        <v>PM</v>
      </c>
      <c r="M133">
        <f>modif1!M133</f>
        <v>2018</v>
      </c>
      <c r="N133" t="str">
        <f>modif1!N133</f>
        <v>PLA-PM_2018</v>
      </c>
      <c r="O133" t="b">
        <f>modif1!O133</f>
        <v>0</v>
      </c>
      <c r="P133">
        <v>40</v>
      </c>
      <c r="R133" s="22"/>
      <c r="S133" t="s">
        <v>1871</v>
      </c>
      <c r="W133" t="s">
        <v>1803</v>
      </c>
      <c r="Z133"/>
      <c r="AA133" s="17">
        <f>IF($A133,$J133*(IF(Q133=regle!$B$11,regle!$B$23*IF(AJ133=-2,1+regle!$B$35,1),
IF(Q133=regle!$C$11,regle!$C$23,
IF(Q133=regle!$D$11,regle!$D$23,
IF(Q133=regle!$E$11,regle!$E$23,
IF(Q133=regle!$F$11,regle!$F$23,
IF(Q133=regle!$G$11,regle!$G$23,
IF(Q133=regle!$H$11,regle!$H$23,
IF(Q133=regle!$I$11,regle!$I$23,
IF(Q133=regle!$J$11,regle!$J$23,
IF(Q133=regle!$K$11,regle!$K$23,0))))))))))))</f>
        <v>0</v>
      </c>
      <c r="AB133" s="17">
        <f>IF($A133,$J133*(IF(R133=regle!$B$11,regle!$B$23*IF(AK133=-2,1+regle!$B$35,1),
IF(R133=regle!$C$11,regle!$C$23,
IF(R133=regle!$D$11,regle!$D$23,
IF(R133=regle!$E$11,regle!$E$23,
IF(R133=regle!$F$11,regle!$F$23,
IF(R133=regle!$G$11,regle!$G$23,
IF(R133=regle!$H$11,regle!$H$23,
IF(R133=regle!$I$11,regle!$I$23,
IF(R133=regle!$J$11,regle!$J$23,
IF(R133=regle!$K$11,regle!$K$23,0))))))))))))</f>
        <v>0</v>
      </c>
      <c r="AC133" s="17">
        <f>IF($A133,$J133*(IF(S133=regle!$B$11,regle!$B$23*IF(AL133=-2,1+regle!$B$35,1),
IF(S133=regle!$C$11,regle!$C$23,
IF(S133=regle!$D$11,regle!$D$23,
IF(S133=regle!$E$11,regle!$E$23,
IF(S133=regle!$F$11,regle!$F$23,
IF(S133=regle!$G$11,regle!$G$23,
IF(S133=regle!$H$11,regle!$H$23,
IF(S133=regle!$I$11,regle!$I$23,
IF(S133=regle!$J$11,regle!$J$23,
IF(S133=regle!$K$11,regle!$K$23,0))))))))))))</f>
        <v>-33.299999999999997</v>
      </c>
      <c r="AD133" s="17">
        <f>IF($A133,$J133*(IF(T133=regle!$B$11,regle!$B$23*IF(AM133=-2,1+regle!$B$35,1),
IF(T133=regle!$C$11,regle!$C$23,
IF(T133=regle!$D$11,regle!$D$23,
IF(T133=regle!$E$11,regle!$E$23,
IF(T133=regle!$F$11,regle!$F$23,
IF(T133=regle!$G$11,regle!$G$23,
IF(T133=regle!$H$11,regle!$H$23,
IF(T133=regle!$I$11,regle!$I$23,
IF(T133=regle!$J$11,regle!$J$23,
IF(T133=regle!$K$11,regle!$K$23,0))))))))))))</f>
        <v>0</v>
      </c>
      <c r="AE133" s="17">
        <f>IF($A133,$J133*(IF(U133=regle!$B$11,regle!$B$23*IF(AN133=-2,1+regle!$B$35,1),
IF(U133=regle!$C$11,regle!$C$23,
IF(U133=regle!$D$11,regle!$D$23,
IF(U133=regle!$E$11,regle!$E$23,
IF(U133=regle!$F$11,regle!$F$23,
IF(U133=regle!$G$11,regle!$G$23,
IF(U133=regle!$H$11,regle!$H$23,
IF(U133=regle!$I$11,regle!$I$23,
IF(U133=regle!$J$11,regle!$J$23,
IF(U133=regle!$K$11,regle!$K$23,0))))))))))))</f>
        <v>0</v>
      </c>
      <c r="AF133" s="17">
        <f>IF($A133,$J133*(IF(V133=regle!$B$11,regle!$B$23*IF(AO133=-2,1+regle!$B$35,1),
IF(V133=regle!$C$11,regle!$C$23,
IF(V133=regle!$D$11,regle!$D$23,
IF(V133=regle!$E$11,regle!$E$23,
IF(V133=regle!$F$11,regle!$F$23,
IF(V133=regle!$G$11,regle!$G$23,
IF(V133=regle!$H$11,regle!$H$23,
IF(V133=regle!$I$11,regle!$I$23,
IF(V133=regle!$J$11,regle!$J$23,
IF(V133=regle!$K$11,regle!$K$23,0))))))))))))</f>
        <v>0</v>
      </c>
      <c r="AG133" s="17">
        <f>IF($A133,$J133*(IF(W133=regle!$B$11,regle!$B$23*IF(AP133=-2,1+regle!$B$35,1),
IF(W133=regle!$C$11,regle!$C$23,
IF(W133=regle!$D$11,regle!$D$23,
IF(W133=regle!$E$11,regle!$E$23,
IF(W133=regle!$F$11,regle!$F$23,
IF(W133=regle!$G$11,regle!$G$23,
IF(W133=regle!$H$11,regle!$H$23,
IF(W133=regle!$I$11,regle!$I$23,
IF(W133=regle!$J$11,regle!$J$23,
IF(W133=regle!$K$11,regle!$K$23,0))))))))))))</f>
        <v>213.12</v>
      </c>
      <c r="AH133" s="17">
        <f>IF($A133,$J133*(IF(X133=regle!$B$11,regle!$B$23*IF(AQ133=-2,1+regle!$B$35,1),
IF(X133=regle!$C$11,regle!$C$23,
IF(X133=regle!$D$11,regle!$D$23,
IF(X133=regle!$E$11,regle!$E$23,
IF(X133=regle!$F$11,regle!$F$23,
IF(X133=regle!$G$11,regle!$G$23,
IF(X133=regle!$H$11,regle!$H$23,
IF(X133=regle!$I$11,regle!$I$23,
IF(X133=regle!$J$11,regle!$J$23,
IF(X133=regle!$K$11,regle!$K$23,0))))))))))))</f>
        <v>0</v>
      </c>
      <c r="AI133" s="17">
        <f>IF($A133,$J133*(IF(Y133=regle!$B$11,regle!$B$23*IF(AR133=-2,1+regle!$B$35,1),
IF(Y133=regle!$C$11,regle!$C$23,
IF(Y133=regle!$D$11,regle!$D$23,
IF(Y133=regle!$E$11,regle!$E$23,
IF(Y133=regle!$F$11,regle!$F$23,
IF(Y133=regle!$G$11,regle!$G$23,
IF(Y133=regle!$H$11,regle!$H$23,
IF(Y133=regle!$I$11,regle!$I$23,
IF(Y133=regle!$J$11,regle!$J$23,
IF(Y133=regle!$K$11,regle!$K$23,0))))))))))))</f>
        <v>0</v>
      </c>
      <c r="AJ133" s="17">
        <f>IF($A133,$J133*(IF(Z133=regle!$B$11,regle!$B$23*IF(AS133=-2,1+regle!$B$35,1),
IF(Z133=regle!$C$11,regle!$C$23,
IF(Z133=regle!$D$11,regle!$D$23,
IF(Z133=regle!$E$11,regle!$E$23,
IF(Z133=regle!$F$11,regle!$F$23,
IF(Z133=regle!$G$11,regle!$G$23,
IF(Z133=regle!$H$11,regle!$H$23,
IF(Z133=regle!$I$11,regle!$I$23,
IF(Z133=regle!$J$11,regle!$J$23,
IF(Z133=regle!$K$11,regle!$K$23,0))))))))))))</f>
        <v>0</v>
      </c>
      <c r="AK133" s="16">
        <f>IF(OR(Q133=regle!$J$11,Q133=regle!$K$11),-2,IF(Q133=regle!$B$11,0,IF(AK$1=$AK$1,IF($O133,-1,regle!$B$2-$M133),IF(AJ133=-1,-1,AJ133+1))))</f>
        <v>6</v>
      </c>
      <c r="AL133" s="16">
        <f>IF(OR(R133=regle!$J$11,R133=regle!$K$11),-2,IF(R133=regle!$B$11,0,IF(AL$1=$AK$1,IF($O133,-1,regle!$B$2-$M133),IF(AK133=-1,-1,AK133+1))))</f>
        <v>7</v>
      </c>
      <c r="AM133" s="16">
        <f>IF(OR(S133=regle!$J$11,S133=regle!$K$11),-2,IF(S133=regle!$B$11,0,IF(AM$1=$AK$1,IF($O133,-1,regle!$B$2-$M133),IF(AL133=-1,-1,AL133+1))))</f>
        <v>8</v>
      </c>
      <c r="AN133" s="16">
        <f>IF(OR(T133=regle!$J$11,T133=regle!$K$11),-2,IF(T133=regle!$B$11,0,IF(AN$1=$AK$1,IF($O133,-1,regle!$B$2-$M133),IF(AM133=-1,-1,AM133+1))))</f>
        <v>9</v>
      </c>
      <c r="AO133" s="16">
        <f>IF(OR(U133=regle!$J$11,U133=regle!$K$11),-2,IF(U133=regle!$B$11,0,IF(AO$1=$AK$1,IF($O133,-1,regle!$B$2-$M133),IF(AN133=-1,-1,AN133+1))))</f>
        <v>10</v>
      </c>
      <c r="AP133" s="16">
        <f>IF(OR(V133=regle!$J$11,V133=regle!$K$11),-2,IF(V133=regle!$B$11,0,IF(AP$1=$AK$1,IF($O133,-1,regle!$B$2-$M133),IF(AO133=-1,-1,AO133+1))))</f>
        <v>11</v>
      </c>
      <c r="AQ133" s="16">
        <f>IF(OR(W133=regle!$J$11,W133=regle!$K$11),-2,IF(W133=regle!$B$11,0,IF(AQ$1=$AK$1,IF($O133,-1,regle!$B$2-$M133),IF(AP133=-1,-1,AP133+1))))</f>
        <v>12</v>
      </c>
      <c r="AR133" s="16">
        <f>IF(OR(X133=regle!$J$11,X133=regle!$K$11),-2,IF(X133=regle!$B$11,0,IF(AR$1=$AK$1,IF($O133,-1,regle!$B$2-$M133),IF(AQ133=-1,-1,AQ133+1))))</f>
        <v>13</v>
      </c>
      <c r="AS133" s="16">
        <f>IF(OR(Y133=regle!$J$11,Y133=regle!$K$11),-2,IF(Y133=regle!$B$11,0,IF(AS$1=$AK$1,IF($O133,-1,regle!$B$2-$M133),IF(AR133=-1,-1,AR133+1))))</f>
        <v>14</v>
      </c>
      <c r="AT133" s="16">
        <f>IF(OR(Z133=regle!$J$11,Z133=regle!$K$11),-2,IF(Z133=regle!$B$11,0,IF(AT$1=$AK$1,IF($O133,-1,regle!$B$2-$M133),IF(AS133=-1,-1,AS133+1))))</f>
        <v>15</v>
      </c>
    </row>
    <row r="134" spans="1:46" x14ac:dyDescent="0.25">
      <c r="A134" t="b">
        <f>modif1!A134</f>
        <v>1</v>
      </c>
      <c r="B134">
        <f>ROW(modif1!B134)</f>
        <v>134</v>
      </c>
      <c r="C134" t="str">
        <f>modif1!C137</f>
        <v>202</v>
      </c>
      <c r="D134" t="str">
        <f>modif1!D134</f>
        <v>HOSTENS</v>
      </c>
      <c r="E134">
        <f>modif1!E134</f>
        <v>13</v>
      </c>
      <c r="F134" t="str">
        <f>modif1!F134</f>
        <v>LA BROUSTETTE</v>
      </c>
      <c r="G134" t="str">
        <f>modif1!G134</f>
        <v>0B</v>
      </c>
      <c r="H134">
        <f>modif1!H134</f>
        <v>1236</v>
      </c>
      <c r="I134" t="str">
        <f>modif1!I134</f>
        <v/>
      </c>
      <c r="J134" s="11">
        <f>modif1!J134</f>
        <v>0.29299999999999998</v>
      </c>
      <c r="K134" t="str">
        <f>modif1!K134</f>
        <v>PLA</v>
      </c>
      <c r="L134" t="str">
        <f>modif1!L134</f>
        <v>PM</v>
      </c>
      <c r="M134">
        <f>modif1!M134</f>
        <v>2018</v>
      </c>
      <c r="N134" t="str">
        <f>modif1!N134</f>
        <v>PLA-PM_2018</v>
      </c>
      <c r="O134" t="b">
        <f>modif1!O134</f>
        <v>0</v>
      </c>
      <c r="P134">
        <v>40</v>
      </c>
      <c r="R134" s="22"/>
      <c r="S134" t="s">
        <v>1871</v>
      </c>
      <c r="W134" t="s">
        <v>1803</v>
      </c>
      <c r="Z134"/>
      <c r="AA134" s="17">
        <f>IF($A134,$J134*(IF(Q134=regle!$B$11,regle!$B$23*IF(AJ134=-2,1+regle!$B$35,1),
IF(Q134=regle!$C$11,regle!$C$23,
IF(Q134=regle!$D$11,regle!$D$23,
IF(Q134=regle!$E$11,regle!$E$23,
IF(Q134=regle!$F$11,regle!$F$23,
IF(Q134=regle!$G$11,regle!$G$23,
IF(Q134=regle!$H$11,regle!$H$23,
IF(Q134=regle!$I$11,regle!$I$23,
IF(Q134=regle!$J$11,regle!$J$23,
IF(Q134=regle!$K$11,regle!$K$23,0))))))))))))</f>
        <v>0</v>
      </c>
      <c r="AB134" s="17">
        <f>IF($A134,$J134*(IF(R134=regle!$B$11,regle!$B$23*IF(AK134=-2,1+regle!$B$35,1),
IF(R134=regle!$C$11,regle!$C$23,
IF(R134=regle!$D$11,regle!$D$23,
IF(R134=regle!$E$11,regle!$E$23,
IF(R134=regle!$F$11,regle!$F$23,
IF(R134=regle!$G$11,regle!$G$23,
IF(R134=regle!$H$11,regle!$H$23,
IF(R134=regle!$I$11,regle!$I$23,
IF(R134=regle!$J$11,regle!$J$23,
IF(R134=regle!$K$11,regle!$K$23,0))))))))))))</f>
        <v>0</v>
      </c>
      <c r="AC134" s="17">
        <f>IF($A134,$J134*(IF(S134=regle!$B$11,regle!$B$23*IF(AL134=-2,1+regle!$B$35,1),
IF(S134=regle!$C$11,regle!$C$23,
IF(S134=regle!$D$11,regle!$D$23,
IF(S134=regle!$E$11,regle!$E$23,
IF(S134=regle!$F$11,regle!$F$23,
IF(S134=regle!$G$11,regle!$G$23,
IF(S134=regle!$H$11,regle!$H$23,
IF(S134=regle!$I$11,regle!$I$23,
IF(S134=regle!$J$11,regle!$J$23,
IF(S134=regle!$K$11,regle!$K$23,0))))))))))))</f>
        <v>-26.369999999999997</v>
      </c>
      <c r="AD134" s="17">
        <f>IF($A134,$J134*(IF(T134=regle!$B$11,regle!$B$23*IF(AM134=-2,1+regle!$B$35,1),
IF(T134=regle!$C$11,regle!$C$23,
IF(T134=regle!$D$11,regle!$D$23,
IF(T134=regle!$E$11,regle!$E$23,
IF(T134=regle!$F$11,regle!$F$23,
IF(T134=regle!$G$11,regle!$G$23,
IF(T134=regle!$H$11,regle!$H$23,
IF(T134=regle!$I$11,regle!$I$23,
IF(T134=regle!$J$11,regle!$J$23,
IF(T134=regle!$K$11,regle!$K$23,0))))))))))))</f>
        <v>0</v>
      </c>
      <c r="AE134" s="17">
        <f>IF($A134,$J134*(IF(U134=regle!$B$11,regle!$B$23*IF(AN134=-2,1+regle!$B$35,1),
IF(U134=regle!$C$11,regle!$C$23,
IF(U134=regle!$D$11,regle!$D$23,
IF(U134=regle!$E$11,regle!$E$23,
IF(U134=regle!$F$11,regle!$F$23,
IF(U134=regle!$G$11,regle!$G$23,
IF(U134=regle!$H$11,regle!$H$23,
IF(U134=regle!$I$11,regle!$I$23,
IF(U134=regle!$J$11,regle!$J$23,
IF(U134=regle!$K$11,regle!$K$23,0))))))))))))</f>
        <v>0</v>
      </c>
      <c r="AF134" s="17">
        <f>IF($A134,$J134*(IF(V134=regle!$B$11,regle!$B$23*IF(AO134=-2,1+regle!$B$35,1),
IF(V134=regle!$C$11,regle!$C$23,
IF(V134=regle!$D$11,regle!$D$23,
IF(V134=regle!$E$11,regle!$E$23,
IF(V134=regle!$F$11,regle!$F$23,
IF(V134=regle!$G$11,regle!$G$23,
IF(V134=regle!$H$11,regle!$H$23,
IF(V134=regle!$I$11,regle!$I$23,
IF(V134=regle!$J$11,regle!$J$23,
IF(V134=regle!$K$11,regle!$K$23,0))))))))))))</f>
        <v>0</v>
      </c>
      <c r="AG134" s="17">
        <f>IF($A134,$J134*(IF(W134=regle!$B$11,regle!$B$23*IF(AP134=-2,1+regle!$B$35,1),
IF(W134=regle!$C$11,regle!$C$23,
IF(W134=regle!$D$11,regle!$D$23,
IF(W134=regle!$E$11,regle!$E$23,
IF(W134=regle!$F$11,regle!$F$23,
IF(W134=regle!$G$11,regle!$G$23,
IF(W134=regle!$H$11,regle!$H$23,
IF(W134=regle!$I$11,regle!$I$23,
IF(W134=regle!$J$11,regle!$J$23,
IF(W134=regle!$K$11,regle!$K$23,0))))))))))))</f>
        <v>168.768</v>
      </c>
      <c r="AH134" s="17">
        <f>IF($A134,$J134*(IF(X134=regle!$B$11,regle!$B$23*IF(AQ134=-2,1+regle!$B$35,1),
IF(X134=regle!$C$11,regle!$C$23,
IF(X134=regle!$D$11,regle!$D$23,
IF(X134=regle!$E$11,regle!$E$23,
IF(X134=regle!$F$11,regle!$F$23,
IF(X134=regle!$G$11,regle!$G$23,
IF(X134=regle!$H$11,regle!$H$23,
IF(X134=regle!$I$11,regle!$I$23,
IF(X134=regle!$J$11,regle!$J$23,
IF(X134=regle!$K$11,regle!$K$23,0))))))))))))</f>
        <v>0</v>
      </c>
      <c r="AI134" s="17">
        <f>IF($A134,$J134*(IF(Y134=regle!$B$11,regle!$B$23*IF(AR134=-2,1+regle!$B$35,1),
IF(Y134=regle!$C$11,regle!$C$23,
IF(Y134=regle!$D$11,regle!$D$23,
IF(Y134=regle!$E$11,regle!$E$23,
IF(Y134=regle!$F$11,regle!$F$23,
IF(Y134=regle!$G$11,regle!$G$23,
IF(Y134=regle!$H$11,regle!$H$23,
IF(Y134=regle!$I$11,regle!$I$23,
IF(Y134=regle!$J$11,regle!$J$23,
IF(Y134=regle!$K$11,regle!$K$23,0))))))))))))</f>
        <v>0</v>
      </c>
      <c r="AJ134" s="17">
        <f>IF($A134,$J134*(IF(Z134=regle!$B$11,regle!$B$23*IF(AS134=-2,1+regle!$B$35,1),
IF(Z134=regle!$C$11,regle!$C$23,
IF(Z134=regle!$D$11,regle!$D$23,
IF(Z134=regle!$E$11,regle!$E$23,
IF(Z134=regle!$F$11,regle!$F$23,
IF(Z134=regle!$G$11,regle!$G$23,
IF(Z134=regle!$H$11,regle!$H$23,
IF(Z134=regle!$I$11,regle!$I$23,
IF(Z134=regle!$J$11,regle!$J$23,
IF(Z134=regle!$K$11,regle!$K$23,0))))))))))))</f>
        <v>0</v>
      </c>
      <c r="AK134" s="16">
        <f>IF(OR(Q134=regle!$J$11,Q134=regle!$K$11),-2,IF(Q134=regle!$B$11,0,IF(AK$1=$AK$1,IF($O134,-1,regle!$B$2-$M134),IF(AJ134=-1,-1,AJ134+1))))</f>
        <v>6</v>
      </c>
      <c r="AL134" s="16">
        <f>IF(OR(R134=regle!$J$11,R134=regle!$K$11),-2,IF(R134=regle!$B$11,0,IF(AL$1=$AK$1,IF($O134,-1,regle!$B$2-$M134),IF(AK134=-1,-1,AK134+1))))</f>
        <v>7</v>
      </c>
      <c r="AM134" s="16">
        <f>IF(OR(S134=regle!$J$11,S134=regle!$K$11),-2,IF(S134=regle!$B$11,0,IF(AM$1=$AK$1,IF($O134,-1,regle!$B$2-$M134),IF(AL134=-1,-1,AL134+1))))</f>
        <v>8</v>
      </c>
      <c r="AN134" s="16">
        <f>IF(OR(T134=regle!$J$11,T134=regle!$K$11),-2,IF(T134=regle!$B$11,0,IF(AN$1=$AK$1,IF($O134,-1,regle!$B$2-$M134),IF(AM134=-1,-1,AM134+1))))</f>
        <v>9</v>
      </c>
      <c r="AO134" s="16">
        <f>IF(OR(U134=regle!$J$11,U134=regle!$K$11),-2,IF(U134=regle!$B$11,0,IF(AO$1=$AK$1,IF($O134,-1,regle!$B$2-$M134),IF(AN134=-1,-1,AN134+1))))</f>
        <v>10</v>
      </c>
      <c r="AP134" s="16">
        <f>IF(OR(V134=regle!$J$11,V134=regle!$K$11),-2,IF(V134=regle!$B$11,0,IF(AP$1=$AK$1,IF($O134,-1,regle!$B$2-$M134),IF(AO134=-1,-1,AO134+1))))</f>
        <v>11</v>
      </c>
      <c r="AQ134" s="16">
        <f>IF(OR(W134=regle!$J$11,W134=regle!$K$11),-2,IF(W134=regle!$B$11,0,IF(AQ$1=$AK$1,IF($O134,-1,regle!$B$2-$M134),IF(AP134=-1,-1,AP134+1))))</f>
        <v>12</v>
      </c>
      <c r="AR134" s="16">
        <f>IF(OR(X134=regle!$J$11,X134=regle!$K$11),-2,IF(X134=regle!$B$11,0,IF(AR$1=$AK$1,IF($O134,-1,regle!$B$2-$M134),IF(AQ134=-1,-1,AQ134+1))))</f>
        <v>13</v>
      </c>
      <c r="AS134" s="16">
        <f>IF(OR(Y134=regle!$J$11,Y134=regle!$K$11),-2,IF(Y134=regle!$B$11,0,IF(AS$1=$AK$1,IF($O134,-1,regle!$B$2-$M134),IF(AR134=-1,-1,AR134+1))))</f>
        <v>14</v>
      </c>
      <c r="AT134" s="16">
        <f>IF(OR(Z134=regle!$J$11,Z134=regle!$K$11),-2,IF(Z134=regle!$B$11,0,IF(AT$1=$AK$1,IF($O134,-1,regle!$B$2-$M134),IF(AS134=-1,-1,AS134+1))))</f>
        <v>15</v>
      </c>
    </row>
    <row r="135" spans="1:46" x14ac:dyDescent="0.25">
      <c r="A135" t="b">
        <f>modif1!A135</f>
        <v>1</v>
      </c>
      <c r="B135">
        <f>ROW(modif1!B135)</f>
        <v>135</v>
      </c>
      <c r="C135" t="str">
        <f>modif1!C138</f>
        <v>200</v>
      </c>
      <c r="D135" t="str">
        <f>modif1!D135</f>
        <v>HOSTENS</v>
      </c>
      <c r="E135">
        <f>modif1!E135</f>
        <v>13</v>
      </c>
      <c r="F135" t="str">
        <f>modif1!F135</f>
        <v>LA BROUSTETTE</v>
      </c>
      <c r="G135" t="str">
        <f>modif1!G135</f>
        <v>0B</v>
      </c>
      <c r="H135">
        <f>modif1!H135</f>
        <v>1246</v>
      </c>
      <c r="I135" t="str">
        <f>modif1!I135</f>
        <v>k</v>
      </c>
      <c r="J135" s="11">
        <f>modif1!J135</f>
        <v>0.2233</v>
      </c>
      <c r="K135" t="str">
        <f>modif1!K135</f>
        <v>PLA</v>
      </c>
      <c r="L135" t="str">
        <f>modif1!L135</f>
        <v>PM</v>
      </c>
      <c r="M135">
        <f>modif1!M135</f>
        <v>2018</v>
      </c>
      <c r="N135" t="str">
        <f>modif1!N135</f>
        <v>PLA-PM_2018</v>
      </c>
      <c r="O135" t="b">
        <f>modif1!O135</f>
        <v>0</v>
      </c>
      <c r="P135">
        <v>40</v>
      </c>
      <c r="R135" s="22"/>
      <c r="S135" t="s">
        <v>1871</v>
      </c>
      <c r="W135" t="s">
        <v>1803</v>
      </c>
      <c r="Z135"/>
      <c r="AA135" s="17">
        <f>IF($A135,$J135*(IF(Q135=regle!$B$11,regle!$B$23*IF(AJ135=-2,1+regle!$B$35,1),
IF(Q135=regle!$C$11,regle!$C$23,
IF(Q135=regle!$D$11,regle!$D$23,
IF(Q135=regle!$E$11,regle!$E$23,
IF(Q135=regle!$F$11,regle!$F$23,
IF(Q135=regle!$G$11,regle!$G$23,
IF(Q135=regle!$H$11,regle!$H$23,
IF(Q135=regle!$I$11,regle!$I$23,
IF(Q135=regle!$J$11,regle!$J$23,
IF(Q135=regle!$K$11,regle!$K$23,0))))))))))))</f>
        <v>0</v>
      </c>
      <c r="AB135" s="17">
        <f>IF($A135,$J135*(IF(R135=regle!$B$11,regle!$B$23*IF(AK135=-2,1+regle!$B$35,1),
IF(R135=regle!$C$11,regle!$C$23,
IF(R135=regle!$D$11,regle!$D$23,
IF(R135=regle!$E$11,regle!$E$23,
IF(R135=regle!$F$11,regle!$F$23,
IF(R135=regle!$G$11,regle!$G$23,
IF(R135=regle!$H$11,regle!$H$23,
IF(R135=regle!$I$11,regle!$I$23,
IF(R135=regle!$J$11,regle!$J$23,
IF(R135=regle!$K$11,regle!$K$23,0))))))))))))</f>
        <v>0</v>
      </c>
      <c r="AC135" s="17">
        <f>IF($A135,$J135*(IF(S135=regle!$B$11,regle!$B$23*IF(AL135=-2,1+regle!$B$35,1),
IF(S135=regle!$C$11,regle!$C$23,
IF(S135=regle!$D$11,regle!$D$23,
IF(S135=regle!$E$11,regle!$E$23,
IF(S135=regle!$F$11,regle!$F$23,
IF(S135=regle!$G$11,regle!$G$23,
IF(S135=regle!$H$11,regle!$H$23,
IF(S135=regle!$I$11,regle!$I$23,
IF(S135=regle!$J$11,regle!$J$23,
IF(S135=regle!$K$11,regle!$K$23,0))))))))))))</f>
        <v>-20.097000000000001</v>
      </c>
      <c r="AD135" s="17">
        <f>IF($A135,$J135*(IF(T135=regle!$B$11,regle!$B$23*IF(AM135=-2,1+regle!$B$35,1),
IF(T135=regle!$C$11,regle!$C$23,
IF(T135=regle!$D$11,regle!$D$23,
IF(T135=regle!$E$11,regle!$E$23,
IF(T135=regle!$F$11,regle!$F$23,
IF(T135=regle!$G$11,regle!$G$23,
IF(T135=regle!$H$11,regle!$H$23,
IF(T135=regle!$I$11,regle!$I$23,
IF(T135=regle!$J$11,regle!$J$23,
IF(T135=regle!$K$11,regle!$K$23,0))))))))))))</f>
        <v>0</v>
      </c>
      <c r="AE135" s="17">
        <f>IF($A135,$J135*(IF(U135=regle!$B$11,regle!$B$23*IF(AN135=-2,1+regle!$B$35,1),
IF(U135=regle!$C$11,regle!$C$23,
IF(U135=regle!$D$11,regle!$D$23,
IF(U135=regle!$E$11,regle!$E$23,
IF(U135=regle!$F$11,regle!$F$23,
IF(U135=regle!$G$11,regle!$G$23,
IF(U135=regle!$H$11,regle!$H$23,
IF(U135=regle!$I$11,regle!$I$23,
IF(U135=regle!$J$11,regle!$J$23,
IF(U135=regle!$K$11,regle!$K$23,0))))))))))))</f>
        <v>0</v>
      </c>
      <c r="AF135" s="17">
        <f>IF($A135,$J135*(IF(V135=regle!$B$11,regle!$B$23*IF(AO135=-2,1+regle!$B$35,1),
IF(V135=regle!$C$11,regle!$C$23,
IF(V135=regle!$D$11,regle!$D$23,
IF(V135=regle!$E$11,regle!$E$23,
IF(V135=regle!$F$11,regle!$F$23,
IF(V135=regle!$G$11,regle!$G$23,
IF(V135=regle!$H$11,regle!$H$23,
IF(V135=regle!$I$11,regle!$I$23,
IF(V135=regle!$J$11,regle!$J$23,
IF(V135=regle!$K$11,regle!$K$23,0))))))))))))</f>
        <v>0</v>
      </c>
      <c r="AG135" s="17">
        <f>IF($A135,$J135*(IF(W135=regle!$B$11,regle!$B$23*IF(AP135=-2,1+regle!$B$35,1),
IF(W135=regle!$C$11,regle!$C$23,
IF(W135=regle!$D$11,regle!$D$23,
IF(W135=regle!$E$11,regle!$E$23,
IF(W135=regle!$F$11,regle!$F$23,
IF(W135=regle!$G$11,regle!$G$23,
IF(W135=regle!$H$11,regle!$H$23,
IF(W135=regle!$I$11,regle!$I$23,
IF(W135=regle!$J$11,regle!$J$23,
IF(W135=regle!$K$11,regle!$K$23,0))))))))))))</f>
        <v>128.6208</v>
      </c>
      <c r="AH135" s="17">
        <f>IF($A135,$J135*(IF(X135=regle!$B$11,regle!$B$23*IF(AQ135=-2,1+regle!$B$35,1),
IF(X135=regle!$C$11,regle!$C$23,
IF(X135=regle!$D$11,regle!$D$23,
IF(X135=regle!$E$11,regle!$E$23,
IF(X135=regle!$F$11,regle!$F$23,
IF(X135=regle!$G$11,regle!$G$23,
IF(X135=regle!$H$11,regle!$H$23,
IF(X135=regle!$I$11,regle!$I$23,
IF(X135=regle!$J$11,regle!$J$23,
IF(X135=regle!$K$11,regle!$K$23,0))))))))))))</f>
        <v>0</v>
      </c>
      <c r="AI135" s="17">
        <f>IF($A135,$J135*(IF(Y135=regle!$B$11,regle!$B$23*IF(AR135=-2,1+regle!$B$35,1),
IF(Y135=regle!$C$11,regle!$C$23,
IF(Y135=regle!$D$11,regle!$D$23,
IF(Y135=regle!$E$11,regle!$E$23,
IF(Y135=regle!$F$11,regle!$F$23,
IF(Y135=regle!$G$11,regle!$G$23,
IF(Y135=regle!$H$11,regle!$H$23,
IF(Y135=regle!$I$11,regle!$I$23,
IF(Y135=regle!$J$11,regle!$J$23,
IF(Y135=regle!$K$11,regle!$K$23,0))))))))))))</f>
        <v>0</v>
      </c>
      <c r="AJ135" s="17">
        <f>IF($A135,$J135*(IF(Z135=regle!$B$11,regle!$B$23*IF(AS135=-2,1+regle!$B$35,1),
IF(Z135=regle!$C$11,regle!$C$23,
IF(Z135=regle!$D$11,regle!$D$23,
IF(Z135=regle!$E$11,regle!$E$23,
IF(Z135=regle!$F$11,regle!$F$23,
IF(Z135=regle!$G$11,regle!$G$23,
IF(Z135=regle!$H$11,regle!$H$23,
IF(Z135=regle!$I$11,regle!$I$23,
IF(Z135=regle!$J$11,regle!$J$23,
IF(Z135=regle!$K$11,regle!$K$23,0))))))))))))</f>
        <v>0</v>
      </c>
      <c r="AK135" s="16">
        <f>IF(OR(Q135=regle!$J$11,Q135=regle!$K$11),-2,IF(Q135=regle!$B$11,0,IF(AK$1=$AK$1,IF($O135,-1,regle!$B$2-$M135),IF(AJ135=-1,-1,AJ135+1))))</f>
        <v>6</v>
      </c>
      <c r="AL135" s="16">
        <f>IF(OR(R135=regle!$J$11,R135=regle!$K$11),-2,IF(R135=regle!$B$11,0,IF(AL$1=$AK$1,IF($O135,-1,regle!$B$2-$M135),IF(AK135=-1,-1,AK135+1))))</f>
        <v>7</v>
      </c>
      <c r="AM135" s="16">
        <f>IF(OR(S135=regle!$J$11,S135=regle!$K$11),-2,IF(S135=regle!$B$11,0,IF(AM$1=$AK$1,IF($O135,-1,regle!$B$2-$M135),IF(AL135=-1,-1,AL135+1))))</f>
        <v>8</v>
      </c>
      <c r="AN135" s="16">
        <f>IF(OR(T135=regle!$J$11,T135=regle!$K$11),-2,IF(T135=regle!$B$11,0,IF(AN$1=$AK$1,IF($O135,-1,regle!$B$2-$M135),IF(AM135=-1,-1,AM135+1))))</f>
        <v>9</v>
      </c>
      <c r="AO135" s="16">
        <f>IF(OR(U135=regle!$J$11,U135=regle!$K$11),-2,IF(U135=regle!$B$11,0,IF(AO$1=$AK$1,IF($O135,-1,regle!$B$2-$M135),IF(AN135=-1,-1,AN135+1))))</f>
        <v>10</v>
      </c>
      <c r="AP135" s="16">
        <f>IF(OR(V135=regle!$J$11,V135=regle!$K$11),-2,IF(V135=regle!$B$11,0,IF(AP$1=$AK$1,IF($O135,-1,regle!$B$2-$M135),IF(AO135=-1,-1,AO135+1))))</f>
        <v>11</v>
      </c>
      <c r="AQ135" s="16">
        <f>IF(OR(W135=regle!$J$11,W135=regle!$K$11),-2,IF(W135=regle!$B$11,0,IF(AQ$1=$AK$1,IF($O135,-1,regle!$B$2-$M135),IF(AP135=-1,-1,AP135+1))))</f>
        <v>12</v>
      </c>
      <c r="AR135" s="16">
        <f>IF(OR(X135=regle!$J$11,X135=regle!$K$11),-2,IF(X135=regle!$B$11,0,IF(AR$1=$AK$1,IF($O135,-1,regle!$B$2-$M135),IF(AQ135=-1,-1,AQ135+1))))</f>
        <v>13</v>
      </c>
      <c r="AS135" s="16">
        <f>IF(OR(Y135=regle!$J$11,Y135=regle!$K$11),-2,IF(Y135=regle!$B$11,0,IF(AS$1=$AK$1,IF($O135,-1,regle!$B$2-$M135),IF(AR135=-1,-1,AR135+1))))</f>
        <v>14</v>
      </c>
      <c r="AT135" s="16">
        <f>IF(OR(Z135=regle!$J$11,Z135=regle!$K$11),-2,IF(Z135=regle!$B$11,0,IF(AT$1=$AK$1,IF($O135,-1,regle!$B$2-$M135),IF(AS135=-1,-1,AS135+1))))</f>
        <v>15</v>
      </c>
    </row>
    <row r="136" spans="1:46" x14ac:dyDescent="0.25">
      <c r="A136" t="b">
        <f>modif1!A136</f>
        <v>1</v>
      </c>
      <c r="B136">
        <f>ROW(modif1!B136)</f>
        <v>136</v>
      </c>
      <c r="C136" t="str">
        <f>modif1!C139</f>
        <v>200</v>
      </c>
      <c r="D136" t="str">
        <f>modif1!D136</f>
        <v>HOSTENS</v>
      </c>
      <c r="E136">
        <f>modif1!E136</f>
        <v>11</v>
      </c>
      <c r="F136" t="str">
        <f>modif1!F136</f>
        <v>LES CAZALAS</v>
      </c>
      <c r="G136" t="str">
        <f>modif1!G136</f>
        <v>0B</v>
      </c>
      <c r="H136">
        <f>modif1!H136</f>
        <v>1138</v>
      </c>
      <c r="I136" t="str">
        <f>modif1!I136</f>
        <v>j</v>
      </c>
      <c r="J136" s="11">
        <f>modif1!J136</f>
        <v>0.13109999999999999</v>
      </c>
      <c r="K136" t="str">
        <f>modif1!K136</f>
        <v>PLA</v>
      </c>
      <c r="L136" t="str">
        <f>modif1!L136</f>
        <v>PM</v>
      </c>
      <c r="M136">
        <f>modif1!M136</f>
        <v>2018</v>
      </c>
      <c r="N136" t="str">
        <f>modif1!N136</f>
        <v>PLA-PM_2018</v>
      </c>
      <c r="O136" t="b">
        <f>modif1!O136</f>
        <v>0</v>
      </c>
      <c r="P136">
        <v>40</v>
      </c>
      <c r="R136" s="22"/>
      <c r="S136" t="s">
        <v>1871</v>
      </c>
      <c r="W136" t="s">
        <v>1803</v>
      </c>
      <c r="Z136"/>
      <c r="AA136" s="17">
        <f>IF($A136,$J136*(IF(Q136=regle!$B$11,regle!$B$23*IF(AJ136=-2,1+regle!$B$35,1),
IF(Q136=regle!$C$11,regle!$C$23,
IF(Q136=regle!$D$11,regle!$D$23,
IF(Q136=regle!$E$11,regle!$E$23,
IF(Q136=regle!$F$11,regle!$F$23,
IF(Q136=regle!$G$11,regle!$G$23,
IF(Q136=regle!$H$11,regle!$H$23,
IF(Q136=regle!$I$11,regle!$I$23,
IF(Q136=regle!$J$11,regle!$J$23,
IF(Q136=regle!$K$11,regle!$K$23,0))))))))))))</f>
        <v>0</v>
      </c>
      <c r="AB136" s="17">
        <f>IF($A136,$J136*(IF(R136=regle!$B$11,regle!$B$23*IF(AK136=-2,1+regle!$B$35,1),
IF(R136=regle!$C$11,regle!$C$23,
IF(R136=regle!$D$11,regle!$D$23,
IF(R136=regle!$E$11,regle!$E$23,
IF(R136=regle!$F$11,regle!$F$23,
IF(R136=regle!$G$11,regle!$G$23,
IF(R136=regle!$H$11,regle!$H$23,
IF(R136=regle!$I$11,regle!$I$23,
IF(R136=regle!$J$11,regle!$J$23,
IF(R136=regle!$K$11,regle!$K$23,0))))))))))))</f>
        <v>0</v>
      </c>
      <c r="AC136" s="17">
        <f>IF($A136,$J136*(IF(S136=regle!$B$11,regle!$B$23*IF(AL136=-2,1+regle!$B$35,1),
IF(S136=regle!$C$11,regle!$C$23,
IF(S136=regle!$D$11,regle!$D$23,
IF(S136=regle!$E$11,regle!$E$23,
IF(S136=regle!$F$11,regle!$F$23,
IF(S136=regle!$G$11,regle!$G$23,
IF(S136=regle!$H$11,regle!$H$23,
IF(S136=regle!$I$11,regle!$I$23,
IF(S136=regle!$J$11,regle!$J$23,
IF(S136=regle!$K$11,regle!$K$23,0))))))))))))</f>
        <v>-11.798999999999999</v>
      </c>
      <c r="AD136" s="17">
        <f>IF($A136,$J136*(IF(T136=regle!$B$11,regle!$B$23*IF(AM136=-2,1+regle!$B$35,1),
IF(T136=regle!$C$11,regle!$C$23,
IF(T136=regle!$D$11,regle!$D$23,
IF(T136=regle!$E$11,regle!$E$23,
IF(T136=regle!$F$11,regle!$F$23,
IF(T136=regle!$G$11,regle!$G$23,
IF(T136=regle!$H$11,regle!$H$23,
IF(T136=regle!$I$11,regle!$I$23,
IF(T136=regle!$J$11,regle!$J$23,
IF(T136=regle!$K$11,regle!$K$23,0))))))))))))</f>
        <v>0</v>
      </c>
      <c r="AE136" s="17">
        <f>IF($A136,$J136*(IF(U136=regle!$B$11,regle!$B$23*IF(AN136=-2,1+regle!$B$35,1),
IF(U136=regle!$C$11,regle!$C$23,
IF(U136=regle!$D$11,regle!$D$23,
IF(U136=regle!$E$11,regle!$E$23,
IF(U136=regle!$F$11,regle!$F$23,
IF(U136=regle!$G$11,regle!$G$23,
IF(U136=regle!$H$11,regle!$H$23,
IF(U136=regle!$I$11,regle!$I$23,
IF(U136=regle!$J$11,regle!$J$23,
IF(U136=regle!$K$11,regle!$K$23,0))))))))))))</f>
        <v>0</v>
      </c>
      <c r="AF136" s="17">
        <f>IF($A136,$J136*(IF(V136=regle!$B$11,regle!$B$23*IF(AO136=-2,1+regle!$B$35,1),
IF(V136=regle!$C$11,regle!$C$23,
IF(V136=regle!$D$11,regle!$D$23,
IF(V136=regle!$E$11,regle!$E$23,
IF(V136=regle!$F$11,regle!$F$23,
IF(V136=regle!$G$11,regle!$G$23,
IF(V136=regle!$H$11,regle!$H$23,
IF(V136=regle!$I$11,regle!$I$23,
IF(V136=regle!$J$11,regle!$J$23,
IF(V136=regle!$K$11,regle!$K$23,0))))))))))))</f>
        <v>0</v>
      </c>
      <c r="AG136" s="17">
        <f>IF($A136,$J136*(IF(W136=regle!$B$11,regle!$B$23*IF(AP136=-2,1+regle!$B$35,1),
IF(W136=regle!$C$11,regle!$C$23,
IF(W136=regle!$D$11,regle!$D$23,
IF(W136=regle!$E$11,regle!$E$23,
IF(W136=regle!$F$11,regle!$F$23,
IF(W136=regle!$G$11,regle!$G$23,
IF(W136=regle!$H$11,regle!$H$23,
IF(W136=regle!$I$11,regle!$I$23,
IF(W136=regle!$J$11,regle!$J$23,
IF(W136=regle!$K$11,regle!$K$23,0))))))))))))</f>
        <v>75.513599999999997</v>
      </c>
      <c r="AH136" s="17">
        <f>IF($A136,$J136*(IF(X136=regle!$B$11,regle!$B$23*IF(AQ136=-2,1+regle!$B$35,1),
IF(X136=regle!$C$11,regle!$C$23,
IF(X136=regle!$D$11,regle!$D$23,
IF(X136=regle!$E$11,regle!$E$23,
IF(X136=regle!$F$11,regle!$F$23,
IF(X136=regle!$G$11,regle!$G$23,
IF(X136=regle!$H$11,regle!$H$23,
IF(X136=regle!$I$11,regle!$I$23,
IF(X136=regle!$J$11,regle!$J$23,
IF(X136=regle!$K$11,regle!$K$23,0))))))))))))</f>
        <v>0</v>
      </c>
      <c r="AI136" s="17">
        <f>IF($A136,$J136*(IF(Y136=regle!$B$11,regle!$B$23*IF(AR136=-2,1+regle!$B$35,1),
IF(Y136=regle!$C$11,regle!$C$23,
IF(Y136=regle!$D$11,regle!$D$23,
IF(Y136=regle!$E$11,regle!$E$23,
IF(Y136=regle!$F$11,regle!$F$23,
IF(Y136=regle!$G$11,regle!$G$23,
IF(Y136=regle!$H$11,regle!$H$23,
IF(Y136=regle!$I$11,regle!$I$23,
IF(Y136=regle!$J$11,regle!$J$23,
IF(Y136=regle!$K$11,regle!$K$23,0))))))))))))</f>
        <v>0</v>
      </c>
      <c r="AJ136" s="17">
        <f>IF($A136,$J136*(IF(Z136=regle!$B$11,regle!$B$23*IF(AS136=-2,1+regle!$B$35,1),
IF(Z136=regle!$C$11,regle!$C$23,
IF(Z136=regle!$D$11,regle!$D$23,
IF(Z136=regle!$E$11,regle!$E$23,
IF(Z136=regle!$F$11,regle!$F$23,
IF(Z136=regle!$G$11,regle!$G$23,
IF(Z136=regle!$H$11,regle!$H$23,
IF(Z136=regle!$I$11,regle!$I$23,
IF(Z136=regle!$J$11,regle!$J$23,
IF(Z136=regle!$K$11,regle!$K$23,0))))))))))))</f>
        <v>0</v>
      </c>
      <c r="AK136" s="16">
        <f>IF(OR(Q136=regle!$J$11,Q136=regle!$K$11),-2,IF(Q136=regle!$B$11,0,IF(AK$1=$AK$1,IF($O136,-1,regle!$B$2-$M136),IF(AJ136=-1,-1,AJ136+1))))</f>
        <v>6</v>
      </c>
      <c r="AL136" s="16">
        <f>IF(OR(R136=regle!$J$11,R136=regle!$K$11),-2,IF(R136=regle!$B$11,0,IF(AL$1=$AK$1,IF($O136,-1,regle!$B$2-$M136),IF(AK136=-1,-1,AK136+1))))</f>
        <v>7</v>
      </c>
      <c r="AM136" s="16">
        <f>IF(OR(S136=regle!$J$11,S136=regle!$K$11),-2,IF(S136=regle!$B$11,0,IF(AM$1=$AK$1,IF($O136,-1,regle!$B$2-$M136),IF(AL136=-1,-1,AL136+1))))</f>
        <v>8</v>
      </c>
      <c r="AN136" s="16">
        <f>IF(OR(T136=regle!$J$11,T136=regle!$K$11),-2,IF(T136=regle!$B$11,0,IF(AN$1=$AK$1,IF($O136,-1,regle!$B$2-$M136),IF(AM136=-1,-1,AM136+1))))</f>
        <v>9</v>
      </c>
      <c r="AO136" s="16">
        <f>IF(OR(U136=regle!$J$11,U136=regle!$K$11),-2,IF(U136=regle!$B$11,0,IF(AO$1=$AK$1,IF($O136,-1,regle!$B$2-$M136),IF(AN136=-1,-1,AN136+1))))</f>
        <v>10</v>
      </c>
      <c r="AP136" s="16">
        <f>IF(OR(V136=regle!$J$11,V136=regle!$K$11),-2,IF(V136=regle!$B$11,0,IF(AP$1=$AK$1,IF($O136,-1,regle!$B$2-$M136),IF(AO136=-1,-1,AO136+1))))</f>
        <v>11</v>
      </c>
      <c r="AQ136" s="16">
        <f>IF(OR(W136=regle!$J$11,W136=regle!$K$11),-2,IF(W136=regle!$B$11,0,IF(AQ$1=$AK$1,IF($O136,-1,regle!$B$2-$M136),IF(AP136=-1,-1,AP136+1))))</f>
        <v>12</v>
      </c>
      <c r="AR136" s="16">
        <f>IF(OR(X136=regle!$J$11,X136=regle!$K$11),-2,IF(X136=regle!$B$11,0,IF(AR$1=$AK$1,IF($O136,-1,regle!$B$2-$M136),IF(AQ136=-1,-1,AQ136+1))))</f>
        <v>13</v>
      </c>
      <c r="AS136" s="16">
        <f>IF(OR(Y136=regle!$J$11,Y136=regle!$K$11),-2,IF(Y136=regle!$B$11,0,IF(AS$1=$AK$1,IF($O136,-1,regle!$B$2-$M136),IF(AR136=-1,-1,AR136+1))))</f>
        <v>14</v>
      </c>
      <c r="AT136" s="16">
        <f>IF(OR(Z136=regle!$J$11,Z136=regle!$K$11),-2,IF(Z136=regle!$B$11,0,IF(AT$1=$AK$1,IF($O136,-1,regle!$B$2-$M136),IF(AS136=-1,-1,AS136+1))))</f>
        <v>15</v>
      </c>
    </row>
    <row r="137" spans="1:46" x14ac:dyDescent="0.25">
      <c r="A137" t="b">
        <f>modif1!A137</f>
        <v>1</v>
      </c>
      <c r="B137">
        <f>ROW(modif1!B137)</f>
        <v>137</v>
      </c>
      <c r="C137" t="str">
        <f>modif1!C140</f>
        <v>536</v>
      </c>
      <c r="D137" t="str">
        <f>modif1!D137</f>
        <v>HOSTENS</v>
      </c>
      <c r="E137">
        <f>modif1!E137</f>
        <v>11</v>
      </c>
      <c r="F137" t="str">
        <f>modif1!F137</f>
        <v>LES CAZALAS</v>
      </c>
      <c r="G137" t="str">
        <f>modif1!G137</f>
        <v>0B</v>
      </c>
      <c r="H137">
        <f>modif1!H137</f>
        <v>1138</v>
      </c>
      <c r="I137" t="str">
        <f>modif1!I137</f>
        <v>l</v>
      </c>
      <c r="J137" s="11">
        <f>modif1!J137</f>
        <v>6.1499999999999999E-2</v>
      </c>
      <c r="K137" t="str">
        <f>modif1!K137</f>
        <v>PLA</v>
      </c>
      <c r="L137" t="str">
        <f>modif1!L137</f>
        <v>PM</v>
      </c>
      <c r="M137">
        <f>modif1!M137</f>
        <v>2018</v>
      </c>
      <c r="N137" t="str">
        <f>modif1!N137</f>
        <v>PLA-PM_2018</v>
      </c>
      <c r="O137" t="b">
        <f>modif1!O137</f>
        <v>0</v>
      </c>
      <c r="P137">
        <v>40</v>
      </c>
      <c r="R137" s="22"/>
      <c r="S137" t="s">
        <v>1871</v>
      </c>
      <c r="W137" t="s">
        <v>1803</v>
      </c>
      <c r="Z137"/>
      <c r="AA137" s="17">
        <f>IF($A137,$J137*(IF(Q137=regle!$B$11,regle!$B$23*IF(AJ137=-2,1+regle!$B$35,1),
IF(Q137=regle!$C$11,regle!$C$23,
IF(Q137=regle!$D$11,regle!$D$23,
IF(Q137=regle!$E$11,regle!$E$23,
IF(Q137=regle!$F$11,regle!$F$23,
IF(Q137=regle!$G$11,regle!$G$23,
IF(Q137=regle!$H$11,regle!$H$23,
IF(Q137=regle!$I$11,regle!$I$23,
IF(Q137=regle!$J$11,regle!$J$23,
IF(Q137=regle!$K$11,regle!$K$23,0))))))))))))</f>
        <v>0</v>
      </c>
      <c r="AB137" s="17">
        <f>IF($A137,$J137*(IF(R137=regle!$B$11,regle!$B$23*IF(AK137=-2,1+regle!$B$35,1),
IF(R137=regle!$C$11,regle!$C$23,
IF(R137=regle!$D$11,regle!$D$23,
IF(R137=regle!$E$11,regle!$E$23,
IF(R137=regle!$F$11,regle!$F$23,
IF(R137=regle!$G$11,regle!$G$23,
IF(R137=regle!$H$11,regle!$H$23,
IF(R137=regle!$I$11,regle!$I$23,
IF(R137=regle!$J$11,regle!$J$23,
IF(R137=regle!$K$11,regle!$K$23,0))))))))))))</f>
        <v>0</v>
      </c>
      <c r="AC137" s="17">
        <f>IF($A137,$J137*(IF(S137=regle!$B$11,regle!$B$23*IF(AL137=-2,1+regle!$B$35,1),
IF(S137=regle!$C$11,regle!$C$23,
IF(S137=regle!$D$11,regle!$D$23,
IF(S137=regle!$E$11,regle!$E$23,
IF(S137=regle!$F$11,regle!$F$23,
IF(S137=regle!$G$11,regle!$G$23,
IF(S137=regle!$H$11,regle!$H$23,
IF(S137=regle!$I$11,regle!$I$23,
IF(S137=regle!$J$11,regle!$J$23,
IF(S137=regle!$K$11,regle!$K$23,0))))))))))))</f>
        <v>-5.5350000000000001</v>
      </c>
      <c r="AD137" s="17">
        <f>IF($A137,$J137*(IF(T137=regle!$B$11,regle!$B$23*IF(AM137=-2,1+regle!$B$35,1),
IF(T137=regle!$C$11,regle!$C$23,
IF(T137=regle!$D$11,regle!$D$23,
IF(T137=regle!$E$11,regle!$E$23,
IF(T137=regle!$F$11,regle!$F$23,
IF(T137=regle!$G$11,regle!$G$23,
IF(T137=regle!$H$11,regle!$H$23,
IF(T137=regle!$I$11,regle!$I$23,
IF(T137=regle!$J$11,regle!$J$23,
IF(T137=regle!$K$11,regle!$K$23,0))))))))))))</f>
        <v>0</v>
      </c>
      <c r="AE137" s="17">
        <f>IF($A137,$J137*(IF(U137=regle!$B$11,regle!$B$23*IF(AN137=-2,1+regle!$B$35,1),
IF(U137=regle!$C$11,regle!$C$23,
IF(U137=regle!$D$11,regle!$D$23,
IF(U137=regle!$E$11,regle!$E$23,
IF(U137=regle!$F$11,regle!$F$23,
IF(U137=regle!$G$11,regle!$G$23,
IF(U137=regle!$H$11,regle!$H$23,
IF(U137=regle!$I$11,regle!$I$23,
IF(U137=regle!$J$11,regle!$J$23,
IF(U137=regle!$K$11,regle!$K$23,0))))))))))))</f>
        <v>0</v>
      </c>
      <c r="AF137" s="17">
        <f>IF($A137,$J137*(IF(V137=regle!$B$11,regle!$B$23*IF(AO137=-2,1+regle!$B$35,1),
IF(V137=regle!$C$11,regle!$C$23,
IF(V137=regle!$D$11,regle!$D$23,
IF(V137=regle!$E$11,regle!$E$23,
IF(V137=regle!$F$11,regle!$F$23,
IF(V137=regle!$G$11,regle!$G$23,
IF(V137=regle!$H$11,regle!$H$23,
IF(V137=regle!$I$11,regle!$I$23,
IF(V137=regle!$J$11,regle!$J$23,
IF(V137=regle!$K$11,regle!$K$23,0))))))))))))</f>
        <v>0</v>
      </c>
      <c r="AG137" s="17">
        <f>IF($A137,$J137*(IF(W137=regle!$B$11,regle!$B$23*IF(AP137=-2,1+regle!$B$35,1),
IF(W137=regle!$C$11,regle!$C$23,
IF(W137=regle!$D$11,regle!$D$23,
IF(W137=regle!$E$11,regle!$E$23,
IF(W137=regle!$F$11,regle!$F$23,
IF(W137=regle!$G$11,regle!$G$23,
IF(W137=regle!$H$11,regle!$H$23,
IF(W137=regle!$I$11,regle!$I$23,
IF(W137=regle!$J$11,regle!$J$23,
IF(W137=regle!$K$11,regle!$K$23,0))))))))))))</f>
        <v>35.423999999999999</v>
      </c>
      <c r="AH137" s="17">
        <f>IF($A137,$J137*(IF(X137=regle!$B$11,regle!$B$23*IF(AQ137=-2,1+regle!$B$35,1),
IF(X137=regle!$C$11,regle!$C$23,
IF(X137=regle!$D$11,regle!$D$23,
IF(X137=regle!$E$11,regle!$E$23,
IF(X137=regle!$F$11,regle!$F$23,
IF(X137=regle!$G$11,regle!$G$23,
IF(X137=regle!$H$11,regle!$H$23,
IF(X137=regle!$I$11,regle!$I$23,
IF(X137=regle!$J$11,regle!$J$23,
IF(X137=regle!$K$11,regle!$K$23,0))))))))))))</f>
        <v>0</v>
      </c>
      <c r="AI137" s="17">
        <f>IF($A137,$J137*(IF(Y137=regle!$B$11,regle!$B$23*IF(AR137=-2,1+regle!$B$35,1),
IF(Y137=regle!$C$11,regle!$C$23,
IF(Y137=regle!$D$11,regle!$D$23,
IF(Y137=regle!$E$11,regle!$E$23,
IF(Y137=regle!$F$11,regle!$F$23,
IF(Y137=regle!$G$11,regle!$G$23,
IF(Y137=regle!$H$11,regle!$H$23,
IF(Y137=regle!$I$11,regle!$I$23,
IF(Y137=regle!$J$11,regle!$J$23,
IF(Y137=regle!$K$11,regle!$K$23,0))))))))))))</f>
        <v>0</v>
      </c>
      <c r="AJ137" s="17">
        <f>IF($A137,$J137*(IF(Z137=regle!$B$11,regle!$B$23*IF(AS137=-2,1+regle!$B$35,1),
IF(Z137=regle!$C$11,regle!$C$23,
IF(Z137=regle!$D$11,regle!$D$23,
IF(Z137=regle!$E$11,regle!$E$23,
IF(Z137=regle!$F$11,regle!$F$23,
IF(Z137=regle!$G$11,regle!$G$23,
IF(Z137=regle!$H$11,regle!$H$23,
IF(Z137=regle!$I$11,regle!$I$23,
IF(Z137=regle!$J$11,regle!$J$23,
IF(Z137=regle!$K$11,regle!$K$23,0))))))))))))</f>
        <v>0</v>
      </c>
      <c r="AK137" s="16">
        <f>IF(OR(Q137=regle!$J$11,Q137=regle!$K$11),-2,IF(Q137=regle!$B$11,0,IF(AK$1=$AK$1,IF($O137,-1,regle!$B$2-$M137),IF(AJ137=-1,-1,AJ137+1))))</f>
        <v>6</v>
      </c>
      <c r="AL137" s="16">
        <f>IF(OR(R137=regle!$J$11,R137=regle!$K$11),-2,IF(R137=regle!$B$11,0,IF(AL$1=$AK$1,IF($O137,-1,regle!$B$2-$M137),IF(AK137=-1,-1,AK137+1))))</f>
        <v>7</v>
      </c>
      <c r="AM137" s="16">
        <f>IF(OR(S137=regle!$J$11,S137=regle!$K$11),-2,IF(S137=regle!$B$11,0,IF(AM$1=$AK$1,IF($O137,-1,regle!$B$2-$M137),IF(AL137=-1,-1,AL137+1))))</f>
        <v>8</v>
      </c>
      <c r="AN137" s="16">
        <f>IF(OR(T137=regle!$J$11,T137=regle!$K$11),-2,IF(T137=regle!$B$11,0,IF(AN$1=$AK$1,IF($O137,-1,regle!$B$2-$M137),IF(AM137=-1,-1,AM137+1))))</f>
        <v>9</v>
      </c>
      <c r="AO137" s="16">
        <f>IF(OR(U137=regle!$J$11,U137=regle!$K$11),-2,IF(U137=regle!$B$11,0,IF(AO$1=$AK$1,IF($O137,-1,regle!$B$2-$M137),IF(AN137=-1,-1,AN137+1))))</f>
        <v>10</v>
      </c>
      <c r="AP137" s="16">
        <f>IF(OR(V137=regle!$J$11,V137=regle!$K$11),-2,IF(V137=regle!$B$11,0,IF(AP$1=$AK$1,IF($O137,-1,regle!$B$2-$M137),IF(AO137=-1,-1,AO137+1))))</f>
        <v>11</v>
      </c>
      <c r="AQ137" s="16">
        <f>IF(OR(W137=regle!$J$11,W137=regle!$K$11),-2,IF(W137=regle!$B$11,0,IF(AQ$1=$AK$1,IF($O137,-1,regle!$B$2-$M137),IF(AP137=-1,-1,AP137+1))))</f>
        <v>12</v>
      </c>
      <c r="AR137" s="16">
        <f>IF(OR(X137=regle!$J$11,X137=regle!$K$11),-2,IF(X137=regle!$B$11,0,IF(AR$1=$AK$1,IF($O137,-1,regle!$B$2-$M137),IF(AQ137=-1,-1,AQ137+1))))</f>
        <v>13</v>
      </c>
      <c r="AS137" s="16">
        <f>IF(OR(Y137=regle!$J$11,Y137=regle!$K$11),-2,IF(Y137=regle!$B$11,0,IF(AS$1=$AK$1,IF($O137,-1,regle!$B$2-$M137),IF(AR137=-1,-1,AR137+1))))</f>
        <v>14</v>
      </c>
      <c r="AT137" s="16">
        <f>IF(OR(Z137=regle!$J$11,Z137=regle!$K$11),-2,IF(Z137=regle!$B$11,0,IF(AT$1=$AK$1,IF($O137,-1,regle!$B$2-$M137),IF(AS137=-1,-1,AS137+1))))</f>
        <v>15</v>
      </c>
    </row>
    <row r="138" spans="1:46" x14ac:dyDescent="0.25">
      <c r="A138" t="b">
        <f>modif1!A138</f>
        <v>1</v>
      </c>
      <c r="B138">
        <f>ROW(modif1!B138)</f>
        <v>138</v>
      </c>
      <c r="C138" t="str">
        <f>modif1!C141</f>
        <v>200</v>
      </c>
      <c r="D138" t="str">
        <f>modif1!D138</f>
        <v>MOUSTEY</v>
      </c>
      <c r="E138">
        <f>modif1!E138</f>
        <v>4</v>
      </c>
      <c r="F138" t="str">
        <f>modif1!F138</f>
        <v>Kycs</v>
      </c>
      <c r="G138" t="str">
        <f>modif1!G138</f>
        <v>0M</v>
      </c>
      <c r="H138">
        <f>modif1!H138</f>
        <v>33</v>
      </c>
      <c r="I138" t="str">
        <f>modif1!I138</f>
        <v>l</v>
      </c>
      <c r="J138" s="11">
        <f>modif1!J138</f>
        <v>9.9833999999999996</v>
      </c>
      <c r="K138" t="str">
        <f>modif1!K138</f>
        <v>PLA</v>
      </c>
      <c r="L138" t="str">
        <f>modif1!L138</f>
        <v>PM</v>
      </c>
      <c r="M138">
        <f>modif1!M138</f>
        <v>2017</v>
      </c>
      <c r="N138" t="str">
        <f>modif1!N138</f>
        <v>PLA-PM_2017</v>
      </c>
      <c r="O138" t="b">
        <f>modif1!O138</f>
        <v>0</v>
      </c>
      <c r="P138">
        <v>40</v>
      </c>
      <c r="Q138" t="s">
        <v>1871</v>
      </c>
      <c r="V138" s="22"/>
      <c r="W138" t="s">
        <v>1803</v>
      </c>
      <c r="Z138"/>
      <c r="AA138" s="17">
        <f>IF($A138,$J138*(IF(Q138=regle!$B$11,regle!$B$23*IF(AJ138=-2,1+regle!$B$35,1),
IF(Q138=regle!$C$11,regle!$C$23,
IF(Q138=regle!$D$11,regle!$D$23,
IF(Q138=regle!$E$11,regle!$E$23,
IF(Q138=regle!$F$11,regle!$F$23,
IF(Q138=regle!$G$11,regle!$G$23,
IF(Q138=regle!$H$11,regle!$H$23,
IF(Q138=regle!$I$11,regle!$I$23,
IF(Q138=regle!$J$11,regle!$J$23,
IF(Q138=regle!$K$11,regle!$K$23,0))))))))))))</f>
        <v>-898.50599999999997</v>
      </c>
      <c r="AB138" s="17">
        <f>IF($A138,$J138*(IF(R138=regle!$B$11,regle!$B$23*IF(AK138=-2,1+regle!$B$35,1),
IF(R138=regle!$C$11,regle!$C$23,
IF(R138=regle!$D$11,regle!$D$23,
IF(R138=regle!$E$11,regle!$E$23,
IF(R138=regle!$F$11,regle!$F$23,
IF(R138=regle!$G$11,regle!$G$23,
IF(R138=regle!$H$11,regle!$H$23,
IF(R138=regle!$I$11,regle!$I$23,
IF(R138=regle!$J$11,regle!$J$23,
IF(R138=regle!$K$11,regle!$K$23,0))))))))))))</f>
        <v>0</v>
      </c>
      <c r="AC138" s="17">
        <f>IF($A138,$J138*(IF(S138=regle!$B$11,regle!$B$23*IF(AL138=-2,1+regle!$B$35,1),
IF(S138=regle!$C$11,regle!$C$23,
IF(S138=regle!$D$11,regle!$D$23,
IF(S138=regle!$E$11,regle!$E$23,
IF(S138=regle!$F$11,regle!$F$23,
IF(S138=regle!$G$11,regle!$G$23,
IF(S138=regle!$H$11,regle!$H$23,
IF(S138=regle!$I$11,regle!$I$23,
IF(S138=regle!$J$11,regle!$J$23,
IF(S138=regle!$K$11,regle!$K$23,0))))))))))))</f>
        <v>0</v>
      </c>
      <c r="AD138" s="17">
        <f>IF($A138,$J138*(IF(T138=regle!$B$11,regle!$B$23*IF(AM138=-2,1+regle!$B$35,1),
IF(T138=regle!$C$11,regle!$C$23,
IF(T138=regle!$D$11,regle!$D$23,
IF(T138=regle!$E$11,regle!$E$23,
IF(T138=regle!$F$11,regle!$F$23,
IF(T138=regle!$G$11,regle!$G$23,
IF(T138=regle!$H$11,regle!$H$23,
IF(T138=regle!$I$11,regle!$I$23,
IF(T138=regle!$J$11,regle!$J$23,
IF(T138=regle!$K$11,regle!$K$23,0))))))))))))</f>
        <v>0</v>
      </c>
      <c r="AE138" s="17">
        <f>IF($A138,$J138*(IF(U138=regle!$B$11,regle!$B$23*IF(AN138=-2,1+regle!$B$35,1),
IF(U138=regle!$C$11,regle!$C$23,
IF(U138=regle!$D$11,regle!$D$23,
IF(U138=regle!$E$11,regle!$E$23,
IF(U138=regle!$F$11,regle!$F$23,
IF(U138=regle!$G$11,regle!$G$23,
IF(U138=regle!$H$11,regle!$H$23,
IF(U138=regle!$I$11,regle!$I$23,
IF(U138=regle!$J$11,regle!$J$23,
IF(U138=regle!$K$11,regle!$K$23,0))))))))))))</f>
        <v>0</v>
      </c>
      <c r="AF138" s="17">
        <f>IF($A138,$J138*(IF(V138=regle!$B$11,regle!$B$23*IF(AO138=-2,1+regle!$B$35,1),
IF(V138=regle!$C$11,regle!$C$23,
IF(V138=regle!$D$11,regle!$D$23,
IF(V138=regle!$E$11,regle!$E$23,
IF(V138=regle!$F$11,regle!$F$23,
IF(V138=regle!$G$11,regle!$G$23,
IF(V138=regle!$H$11,regle!$H$23,
IF(V138=regle!$I$11,regle!$I$23,
IF(V138=regle!$J$11,regle!$J$23,
IF(V138=regle!$K$11,regle!$K$23,0))))))))))))</f>
        <v>0</v>
      </c>
      <c r="AG138" s="17">
        <f>IF($A138,$J138*(IF(W138=regle!$B$11,regle!$B$23*IF(AP138=-2,1+regle!$B$35,1),
IF(W138=regle!$C$11,regle!$C$23,
IF(W138=regle!$D$11,regle!$D$23,
IF(W138=regle!$E$11,regle!$E$23,
IF(W138=regle!$F$11,regle!$F$23,
IF(W138=regle!$G$11,regle!$G$23,
IF(W138=regle!$H$11,regle!$H$23,
IF(W138=regle!$I$11,regle!$I$23,
IF(W138=regle!$J$11,regle!$J$23,
IF(W138=regle!$K$11,regle!$K$23,0))))))))))))</f>
        <v>5750.4384</v>
      </c>
      <c r="AH138" s="17">
        <f>IF($A138,$J138*(IF(X138=regle!$B$11,regle!$B$23*IF(AQ138=-2,1+regle!$B$35,1),
IF(X138=regle!$C$11,regle!$C$23,
IF(X138=regle!$D$11,regle!$D$23,
IF(X138=regle!$E$11,regle!$E$23,
IF(X138=regle!$F$11,regle!$F$23,
IF(X138=regle!$G$11,regle!$G$23,
IF(X138=regle!$H$11,regle!$H$23,
IF(X138=regle!$I$11,regle!$I$23,
IF(X138=regle!$J$11,regle!$J$23,
IF(X138=regle!$K$11,regle!$K$23,0))))))))))))</f>
        <v>0</v>
      </c>
      <c r="AI138" s="17">
        <f>IF($A138,$J138*(IF(Y138=regle!$B$11,regle!$B$23*IF(AR138=-2,1+regle!$B$35,1),
IF(Y138=regle!$C$11,regle!$C$23,
IF(Y138=regle!$D$11,regle!$D$23,
IF(Y138=regle!$E$11,regle!$E$23,
IF(Y138=regle!$F$11,regle!$F$23,
IF(Y138=regle!$G$11,regle!$G$23,
IF(Y138=regle!$H$11,regle!$H$23,
IF(Y138=regle!$I$11,regle!$I$23,
IF(Y138=regle!$J$11,regle!$J$23,
IF(Y138=regle!$K$11,regle!$K$23,0))))))))))))</f>
        <v>0</v>
      </c>
      <c r="AJ138" s="17">
        <f>IF($A138,$J138*(IF(Z138=regle!$B$11,regle!$B$23*IF(AS138=-2,1+regle!$B$35,1),
IF(Z138=regle!$C$11,regle!$C$23,
IF(Z138=regle!$D$11,regle!$D$23,
IF(Z138=regle!$E$11,regle!$E$23,
IF(Z138=regle!$F$11,regle!$F$23,
IF(Z138=regle!$G$11,regle!$G$23,
IF(Z138=regle!$H$11,regle!$H$23,
IF(Z138=regle!$I$11,regle!$I$23,
IF(Z138=regle!$J$11,regle!$J$23,
IF(Z138=regle!$K$11,regle!$K$23,0))))))))))))</f>
        <v>0</v>
      </c>
      <c r="AK138" s="16">
        <f>IF(OR(Q138=regle!$J$11,Q138=regle!$K$11),-2,IF(Q138=regle!$B$11,0,IF(AK$1=$AK$1,IF($O138,-1,regle!$B$2-$M138),IF(AJ138=-1,-1,AJ138+1))))</f>
        <v>7</v>
      </c>
      <c r="AL138" s="16">
        <f>IF(OR(R138=regle!$J$11,R138=regle!$K$11),-2,IF(R138=regle!$B$11,0,IF(AL$1=$AK$1,IF($O138,-1,regle!$B$2-$M138),IF(AK138=-1,-1,AK138+1))))</f>
        <v>8</v>
      </c>
      <c r="AM138" s="16">
        <f>IF(OR(S138=regle!$J$11,S138=regle!$K$11),-2,IF(S138=regle!$B$11,0,IF(AM$1=$AK$1,IF($O138,-1,regle!$B$2-$M138),IF(AL138=-1,-1,AL138+1))))</f>
        <v>9</v>
      </c>
      <c r="AN138" s="16">
        <f>IF(OR(T138=regle!$J$11,T138=regle!$K$11),-2,IF(T138=regle!$B$11,0,IF(AN$1=$AK$1,IF($O138,-1,regle!$B$2-$M138),IF(AM138=-1,-1,AM138+1))))</f>
        <v>10</v>
      </c>
      <c r="AO138" s="16">
        <f>IF(OR(U138=regle!$J$11,U138=regle!$K$11),-2,IF(U138=regle!$B$11,0,IF(AO$1=$AK$1,IF($O138,-1,regle!$B$2-$M138),IF(AN138=-1,-1,AN138+1))))</f>
        <v>11</v>
      </c>
      <c r="AP138" s="16">
        <f>IF(OR(V138=regle!$J$11,V138=regle!$K$11),-2,IF(V138=regle!$B$11,0,IF(AP$1=$AK$1,IF($O138,-1,regle!$B$2-$M138),IF(AO138=-1,-1,AO138+1))))</f>
        <v>12</v>
      </c>
      <c r="AQ138" s="16">
        <f>IF(OR(W138=regle!$J$11,W138=regle!$K$11),-2,IF(W138=regle!$B$11,0,IF(AQ$1=$AK$1,IF($O138,-1,regle!$B$2-$M138),IF(AP138=-1,-1,AP138+1))))</f>
        <v>13</v>
      </c>
      <c r="AR138" s="16">
        <f>IF(OR(X138=regle!$J$11,X138=regle!$K$11),-2,IF(X138=regle!$B$11,0,IF(AR$1=$AK$1,IF($O138,-1,regle!$B$2-$M138),IF(AQ138=-1,-1,AQ138+1))))</f>
        <v>14</v>
      </c>
      <c r="AS138" s="16">
        <f>IF(OR(Y138=regle!$J$11,Y138=regle!$K$11),-2,IF(Y138=regle!$B$11,0,IF(AS$1=$AK$1,IF($O138,-1,regle!$B$2-$M138),IF(AR138=-1,-1,AR138+1))))</f>
        <v>15</v>
      </c>
      <c r="AT138" s="16">
        <f>IF(OR(Z138=regle!$J$11,Z138=regle!$K$11),-2,IF(Z138=regle!$B$11,0,IF(AT$1=$AK$1,IF($O138,-1,regle!$B$2-$M138),IF(AS138=-1,-1,AS138+1))))</f>
        <v>16</v>
      </c>
    </row>
    <row r="139" spans="1:46" x14ac:dyDescent="0.25">
      <c r="A139" t="b">
        <f>modif1!A139</f>
        <v>1</v>
      </c>
      <c r="B139">
        <f>ROW(modif1!B139)</f>
        <v>139</v>
      </c>
      <c r="C139" t="str">
        <f>modif1!C142</f>
        <v>536</v>
      </c>
      <c r="D139" t="str">
        <f>modif1!D139</f>
        <v>MOUSTEY</v>
      </c>
      <c r="E139">
        <f>modif1!E139</f>
        <v>4</v>
      </c>
      <c r="F139" t="str">
        <f>modif1!F139</f>
        <v>Kycs</v>
      </c>
      <c r="G139" t="str">
        <f>modif1!G139</f>
        <v>0M</v>
      </c>
      <c r="H139">
        <f>modif1!H139</f>
        <v>80</v>
      </c>
      <c r="I139" t="str">
        <f>modif1!I139</f>
        <v>o</v>
      </c>
      <c r="J139" s="11">
        <f>modif1!J139</f>
        <v>9.4913000000000007</v>
      </c>
      <c r="K139" t="str">
        <f>modif1!K139</f>
        <v>PLA</v>
      </c>
      <c r="L139" t="str">
        <f>modif1!L139</f>
        <v>PM</v>
      </c>
      <c r="M139">
        <f>modif1!M139</f>
        <v>2017</v>
      </c>
      <c r="N139" t="str">
        <f>modif1!N139</f>
        <v>PLA-PM_2017</v>
      </c>
      <c r="O139" t="b">
        <f>modif1!O139</f>
        <v>0</v>
      </c>
      <c r="P139">
        <v>40</v>
      </c>
      <c r="Q139" t="s">
        <v>1871</v>
      </c>
      <c r="V139" s="22"/>
      <c r="W139" t="s">
        <v>1803</v>
      </c>
      <c r="Z139"/>
      <c r="AA139" s="17">
        <f>IF($A139,$J139*(IF(Q139=regle!$B$11,regle!$B$23*IF(AJ139=-2,1+regle!$B$35,1),
IF(Q139=regle!$C$11,regle!$C$23,
IF(Q139=regle!$D$11,regle!$D$23,
IF(Q139=regle!$E$11,regle!$E$23,
IF(Q139=regle!$F$11,regle!$F$23,
IF(Q139=regle!$G$11,regle!$G$23,
IF(Q139=regle!$H$11,regle!$H$23,
IF(Q139=regle!$I$11,regle!$I$23,
IF(Q139=regle!$J$11,regle!$J$23,
IF(Q139=regle!$K$11,regle!$K$23,0))))))))))))</f>
        <v>-854.2170000000001</v>
      </c>
      <c r="AB139" s="17">
        <f>IF($A139,$J139*(IF(R139=regle!$B$11,regle!$B$23*IF(AK139=-2,1+regle!$B$35,1),
IF(R139=regle!$C$11,regle!$C$23,
IF(R139=regle!$D$11,regle!$D$23,
IF(R139=regle!$E$11,regle!$E$23,
IF(R139=regle!$F$11,regle!$F$23,
IF(R139=regle!$G$11,regle!$G$23,
IF(R139=regle!$H$11,regle!$H$23,
IF(R139=regle!$I$11,regle!$I$23,
IF(R139=regle!$J$11,regle!$J$23,
IF(R139=regle!$K$11,regle!$K$23,0))))))))))))</f>
        <v>0</v>
      </c>
      <c r="AC139" s="17">
        <f>IF($A139,$J139*(IF(S139=regle!$B$11,regle!$B$23*IF(AL139=-2,1+regle!$B$35,1),
IF(S139=regle!$C$11,regle!$C$23,
IF(S139=regle!$D$11,regle!$D$23,
IF(S139=regle!$E$11,regle!$E$23,
IF(S139=regle!$F$11,regle!$F$23,
IF(S139=regle!$G$11,regle!$G$23,
IF(S139=regle!$H$11,regle!$H$23,
IF(S139=regle!$I$11,regle!$I$23,
IF(S139=regle!$J$11,regle!$J$23,
IF(S139=regle!$K$11,regle!$K$23,0))))))))))))</f>
        <v>0</v>
      </c>
      <c r="AD139" s="17">
        <f>IF($A139,$J139*(IF(T139=regle!$B$11,regle!$B$23*IF(AM139=-2,1+regle!$B$35,1),
IF(T139=regle!$C$11,regle!$C$23,
IF(T139=regle!$D$11,regle!$D$23,
IF(T139=regle!$E$11,regle!$E$23,
IF(T139=regle!$F$11,regle!$F$23,
IF(T139=regle!$G$11,regle!$G$23,
IF(T139=regle!$H$11,regle!$H$23,
IF(T139=regle!$I$11,regle!$I$23,
IF(T139=regle!$J$11,regle!$J$23,
IF(T139=regle!$K$11,regle!$K$23,0))))))))))))</f>
        <v>0</v>
      </c>
      <c r="AE139" s="17">
        <f>IF($A139,$J139*(IF(U139=regle!$B$11,regle!$B$23*IF(AN139=-2,1+regle!$B$35,1),
IF(U139=regle!$C$11,regle!$C$23,
IF(U139=regle!$D$11,regle!$D$23,
IF(U139=regle!$E$11,regle!$E$23,
IF(U139=regle!$F$11,regle!$F$23,
IF(U139=regle!$G$11,regle!$G$23,
IF(U139=regle!$H$11,regle!$H$23,
IF(U139=regle!$I$11,regle!$I$23,
IF(U139=regle!$J$11,regle!$J$23,
IF(U139=regle!$K$11,regle!$K$23,0))))))))))))</f>
        <v>0</v>
      </c>
      <c r="AF139" s="17">
        <f>IF($A139,$J139*(IF(V139=regle!$B$11,regle!$B$23*IF(AO139=-2,1+regle!$B$35,1),
IF(V139=regle!$C$11,regle!$C$23,
IF(V139=regle!$D$11,regle!$D$23,
IF(V139=regle!$E$11,regle!$E$23,
IF(V139=regle!$F$11,regle!$F$23,
IF(V139=regle!$G$11,regle!$G$23,
IF(V139=regle!$H$11,regle!$H$23,
IF(V139=regle!$I$11,regle!$I$23,
IF(V139=regle!$J$11,regle!$J$23,
IF(V139=regle!$K$11,regle!$K$23,0))))))))))))</f>
        <v>0</v>
      </c>
      <c r="AG139" s="17">
        <f>IF($A139,$J139*(IF(W139=regle!$B$11,regle!$B$23*IF(AP139=-2,1+regle!$B$35,1),
IF(W139=regle!$C$11,regle!$C$23,
IF(W139=regle!$D$11,regle!$D$23,
IF(W139=regle!$E$11,regle!$E$23,
IF(W139=regle!$F$11,regle!$F$23,
IF(W139=regle!$G$11,regle!$G$23,
IF(W139=regle!$H$11,regle!$H$23,
IF(W139=regle!$I$11,regle!$I$23,
IF(W139=regle!$J$11,regle!$J$23,
IF(W139=regle!$K$11,regle!$K$23,0))))))))))))</f>
        <v>5466.9888000000001</v>
      </c>
      <c r="AH139" s="17">
        <f>IF($A139,$J139*(IF(X139=regle!$B$11,regle!$B$23*IF(AQ139=-2,1+regle!$B$35,1),
IF(X139=regle!$C$11,regle!$C$23,
IF(X139=regle!$D$11,regle!$D$23,
IF(X139=regle!$E$11,regle!$E$23,
IF(X139=regle!$F$11,regle!$F$23,
IF(X139=regle!$G$11,regle!$G$23,
IF(X139=regle!$H$11,regle!$H$23,
IF(X139=regle!$I$11,regle!$I$23,
IF(X139=regle!$J$11,regle!$J$23,
IF(X139=regle!$K$11,regle!$K$23,0))))))))))))</f>
        <v>0</v>
      </c>
      <c r="AI139" s="17">
        <f>IF($A139,$J139*(IF(Y139=regle!$B$11,regle!$B$23*IF(AR139=-2,1+regle!$B$35,1),
IF(Y139=regle!$C$11,regle!$C$23,
IF(Y139=regle!$D$11,regle!$D$23,
IF(Y139=regle!$E$11,regle!$E$23,
IF(Y139=regle!$F$11,regle!$F$23,
IF(Y139=regle!$G$11,regle!$G$23,
IF(Y139=regle!$H$11,regle!$H$23,
IF(Y139=regle!$I$11,regle!$I$23,
IF(Y139=regle!$J$11,regle!$J$23,
IF(Y139=regle!$K$11,regle!$K$23,0))))))))))))</f>
        <v>0</v>
      </c>
      <c r="AJ139" s="17">
        <f>IF($A139,$J139*(IF(Z139=regle!$B$11,regle!$B$23*IF(AS139=-2,1+regle!$B$35,1),
IF(Z139=regle!$C$11,regle!$C$23,
IF(Z139=regle!$D$11,regle!$D$23,
IF(Z139=regle!$E$11,regle!$E$23,
IF(Z139=regle!$F$11,regle!$F$23,
IF(Z139=regle!$G$11,regle!$G$23,
IF(Z139=regle!$H$11,regle!$H$23,
IF(Z139=regle!$I$11,regle!$I$23,
IF(Z139=regle!$J$11,regle!$J$23,
IF(Z139=regle!$K$11,regle!$K$23,0))))))))))))</f>
        <v>0</v>
      </c>
      <c r="AK139" s="16">
        <f>IF(OR(Q139=regle!$J$11,Q139=regle!$K$11),-2,IF(Q139=regle!$B$11,0,IF(AK$1=$AK$1,IF($O139,-1,regle!$B$2-$M139),IF(AJ139=-1,-1,AJ139+1))))</f>
        <v>7</v>
      </c>
      <c r="AL139" s="16">
        <f>IF(OR(R139=regle!$J$11,R139=regle!$K$11),-2,IF(R139=regle!$B$11,0,IF(AL$1=$AK$1,IF($O139,-1,regle!$B$2-$M139),IF(AK139=-1,-1,AK139+1))))</f>
        <v>8</v>
      </c>
      <c r="AM139" s="16">
        <f>IF(OR(S139=regle!$J$11,S139=regle!$K$11),-2,IF(S139=regle!$B$11,0,IF(AM$1=$AK$1,IF($O139,-1,regle!$B$2-$M139),IF(AL139=-1,-1,AL139+1))))</f>
        <v>9</v>
      </c>
      <c r="AN139" s="16">
        <f>IF(OR(T139=regle!$J$11,T139=regle!$K$11),-2,IF(T139=regle!$B$11,0,IF(AN$1=$AK$1,IF($O139,-1,regle!$B$2-$M139),IF(AM139=-1,-1,AM139+1))))</f>
        <v>10</v>
      </c>
      <c r="AO139" s="16">
        <f>IF(OR(U139=regle!$J$11,U139=regle!$K$11),-2,IF(U139=regle!$B$11,0,IF(AO$1=$AK$1,IF($O139,-1,regle!$B$2-$M139),IF(AN139=-1,-1,AN139+1))))</f>
        <v>11</v>
      </c>
      <c r="AP139" s="16">
        <f>IF(OR(V139=regle!$J$11,V139=regle!$K$11),-2,IF(V139=regle!$B$11,0,IF(AP$1=$AK$1,IF($O139,-1,regle!$B$2-$M139),IF(AO139=-1,-1,AO139+1))))</f>
        <v>12</v>
      </c>
      <c r="AQ139" s="16">
        <f>IF(OR(W139=regle!$J$11,W139=regle!$K$11),-2,IF(W139=regle!$B$11,0,IF(AQ$1=$AK$1,IF($O139,-1,regle!$B$2-$M139),IF(AP139=-1,-1,AP139+1))))</f>
        <v>13</v>
      </c>
      <c r="AR139" s="16">
        <f>IF(OR(X139=regle!$J$11,X139=regle!$K$11),-2,IF(X139=regle!$B$11,0,IF(AR$1=$AK$1,IF($O139,-1,regle!$B$2-$M139),IF(AQ139=-1,-1,AQ139+1))))</f>
        <v>14</v>
      </c>
      <c r="AS139" s="16">
        <f>IF(OR(Y139=regle!$J$11,Y139=regle!$K$11),-2,IF(Y139=regle!$B$11,0,IF(AS$1=$AK$1,IF($O139,-1,regle!$B$2-$M139),IF(AR139=-1,-1,AR139+1))))</f>
        <v>15</v>
      </c>
      <c r="AT139" s="16">
        <f>IF(OR(Z139=regle!$J$11,Z139=regle!$K$11),-2,IF(Z139=regle!$B$11,0,IF(AT$1=$AK$1,IF($O139,-1,regle!$B$2-$M139),IF(AS139=-1,-1,AS139+1))))</f>
        <v>16</v>
      </c>
    </row>
    <row r="140" spans="1:46" x14ac:dyDescent="0.25">
      <c r="A140" t="b">
        <f>modif1!A140</f>
        <v>1</v>
      </c>
      <c r="B140">
        <f>ROW(modif1!B140)</f>
        <v>140</v>
      </c>
      <c r="C140" t="str">
        <f>modif1!C143</f>
        <v>536</v>
      </c>
      <c r="D140" t="str">
        <f>modif1!D140</f>
        <v>LE TUZAN</v>
      </c>
      <c r="E140">
        <f>modif1!E140</f>
        <v>21</v>
      </c>
      <c r="F140" t="str">
        <f>modif1!F140</f>
        <v>METAIRIES DE TABARTON</v>
      </c>
      <c r="G140" t="str">
        <f>modif1!G140</f>
        <v>0A</v>
      </c>
      <c r="H140">
        <f>modif1!H140</f>
        <v>416</v>
      </c>
      <c r="I140" t="str">
        <f>modif1!I140</f>
        <v>a</v>
      </c>
      <c r="J140" s="11">
        <f>modif1!J140</f>
        <v>5.5125000000000002</v>
      </c>
      <c r="K140" t="str">
        <f>modif1!K140</f>
        <v>PLA</v>
      </c>
      <c r="L140" t="str">
        <f>modif1!L140</f>
        <v>PM</v>
      </c>
      <c r="M140">
        <f>modif1!M140</f>
        <v>2017</v>
      </c>
      <c r="N140" t="str">
        <f>modif1!N140</f>
        <v>PLA-PM_2017</v>
      </c>
      <c r="O140" t="b">
        <f>modif1!O140</f>
        <v>0</v>
      </c>
      <c r="P140">
        <v>40</v>
      </c>
      <c r="Q140" t="s">
        <v>1871</v>
      </c>
      <c r="V140" t="s">
        <v>1803</v>
      </c>
      <c r="Z140"/>
      <c r="AA140" s="17">
        <f>IF($A140,$J140*(IF(Q140=regle!$B$11,regle!$B$23*IF(AJ140=-2,1+regle!$B$35,1),
IF(Q140=regle!$C$11,regle!$C$23,
IF(Q140=regle!$D$11,regle!$D$23,
IF(Q140=regle!$E$11,regle!$E$23,
IF(Q140=regle!$F$11,regle!$F$23,
IF(Q140=regle!$G$11,regle!$G$23,
IF(Q140=regle!$H$11,regle!$H$23,
IF(Q140=regle!$I$11,regle!$I$23,
IF(Q140=regle!$J$11,regle!$J$23,
IF(Q140=regle!$K$11,regle!$K$23,0))))))))))))</f>
        <v>-496.125</v>
      </c>
      <c r="AB140" s="17">
        <f>IF($A140,$J140*(IF(R140=regle!$B$11,regle!$B$23*IF(AK140=-2,1+regle!$B$35,1),
IF(R140=regle!$C$11,regle!$C$23,
IF(R140=regle!$D$11,regle!$D$23,
IF(R140=regle!$E$11,regle!$E$23,
IF(R140=regle!$F$11,regle!$F$23,
IF(R140=regle!$G$11,regle!$G$23,
IF(R140=regle!$H$11,regle!$H$23,
IF(R140=regle!$I$11,regle!$I$23,
IF(R140=regle!$J$11,regle!$J$23,
IF(R140=regle!$K$11,regle!$K$23,0))))))))))))</f>
        <v>0</v>
      </c>
      <c r="AC140" s="17">
        <f>IF($A140,$J140*(IF(S140=regle!$B$11,regle!$B$23*IF(AL140=-2,1+regle!$B$35,1),
IF(S140=regle!$C$11,regle!$C$23,
IF(S140=regle!$D$11,regle!$D$23,
IF(S140=regle!$E$11,regle!$E$23,
IF(S140=regle!$F$11,regle!$F$23,
IF(S140=regle!$G$11,regle!$G$23,
IF(S140=regle!$H$11,regle!$H$23,
IF(S140=regle!$I$11,regle!$I$23,
IF(S140=regle!$J$11,regle!$J$23,
IF(S140=regle!$K$11,regle!$K$23,0))))))))))))</f>
        <v>0</v>
      </c>
      <c r="AD140" s="17">
        <f>IF($A140,$J140*(IF(T140=regle!$B$11,regle!$B$23*IF(AM140=-2,1+regle!$B$35,1),
IF(T140=regle!$C$11,regle!$C$23,
IF(T140=regle!$D$11,regle!$D$23,
IF(T140=regle!$E$11,regle!$E$23,
IF(T140=regle!$F$11,regle!$F$23,
IF(T140=regle!$G$11,regle!$G$23,
IF(T140=regle!$H$11,regle!$H$23,
IF(T140=regle!$I$11,regle!$I$23,
IF(T140=regle!$J$11,regle!$J$23,
IF(T140=regle!$K$11,regle!$K$23,0))))))))))))</f>
        <v>0</v>
      </c>
      <c r="AE140" s="17">
        <f>IF($A140,$J140*(IF(U140=regle!$B$11,regle!$B$23*IF(AN140=-2,1+regle!$B$35,1),
IF(U140=regle!$C$11,regle!$C$23,
IF(U140=regle!$D$11,regle!$D$23,
IF(U140=regle!$E$11,regle!$E$23,
IF(U140=regle!$F$11,regle!$F$23,
IF(U140=regle!$G$11,regle!$G$23,
IF(U140=regle!$H$11,regle!$H$23,
IF(U140=regle!$I$11,regle!$I$23,
IF(U140=regle!$J$11,regle!$J$23,
IF(U140=regle!$K$11,regle!$K$23,0))))))))))))</f>
        <v>0</v>
      </c>
      <c r="AF140" s="17">
        <f>IF($A140,$J140*(IF(V140=regle!$B$11,regle!$B$23*IF(AO140=-2,1+regle!$B$35,1),
IF(V140=regle!$C$11,regle!$C$23,
IF(V140=regle!$D$11,regle!$D$23,
IF(V140=regle!$E$11,regle!$E$23,
IF(V140=regle!$F$11,regle!$F$23,
IF(V140=regle!$G$11,regle!$G$23,
IF(V140=regle!$H$11,regle!$H$23,
IF(V140=regle!$I$11,regle!$I$23,
IF(V140=regle!$J$11,regle!$J$23,
IF(V140=regle!$K$11,regle!$K$23,0))))))))))))</f>
        <v>3175.2000000000003</v>
      </c>
      <c r="AG140" s="17">
        <f>IF($A140,$J140*(IF(W140=regle!$B$11,regle!$B$23*IF(AP140=-2,1+regle!$B$35,1),
IF(W140=regle!$C$11,regle!$C$23,
IF(W140=regle!$D$11,regle!$D$23,
IF(W140=regle!$E$11,regle!$E$23,
IF(W140=regle!$F$11,regle!$F$23,
IF(W140=regle!$G$11,regle!$G$23,
IF(W140=regle!$H$11,regle!$H$23,
IF(W140=regle!$I$11,regle!$I$23,
IF(W140=regle!$J$11,regle!$J$23,
IF(W140=regle!$K$11,regle!$K$23,0))))))))))))</f>
        <v>0</v>
      </c>
      <c r="AH140" s="17">
        <f>IF($A140,$J140*(IF(X140=regle!$B$11,regle!$B$23*IF(AQ140=-2,1+regle!$B$35,1),
IF(X140=regle!$C$11,regle!$C$23,
IF(X140=regle!$D$11,regle!$D$23,
IF(X140=regle!$E$11,regle!$E$23,
IF(X140=regle!$F$11,regle!$F$23,
IF(X140=regle!$G$11,regle!$G$23,
IF(X140=regle!$H$11,regle!$H$23,
IF(X140=regle!$I$11,regle!$I$23,
IF(X140=regle!$J$11,regle!$J$23,
IF(X140=regle!$K$11,regle!$K$23,0))))))))))))</f>
        <v>0</v>
      </c>
      <c r="AI140" s="17">
        <f>IF($A140,$J140*(IF(Y140=regle!$B$11,regle!$B$23*IF(AR140=-2,1+regle!$B$35,1),
IF(Y140=regle!$C$11,regle!$C$23,
IF(Y140=regle!$D$11,regle!$D$23,
IF(Y140=regle!$E$11,regle!$E$23,
IF(Y140=regle!$F$11,regle!$F$23,
IF(Y140=regle!$G$11,regle!$G$23,
IF(Y140=regle!$H$11,regle!$H$23,
IF(Y140=regle!$I$11,regle!$I$23,
IF(Y140=regle!$J$11,regle!$J$23,
IF(Y140=regle!$K$11,regle!$K$23,0))))))))))))</f>
        <v>0</v>
      </c>
      <c r="AJ140" s="17">
        <f>IF($A140,$J140*(IF(Z140=regle!$B$11,regle!$B$23*IF(AS140=-2,1+regle!$B$35,1),
IF(Z140=regle!$C$11,regle!$C$23,
IF(Z140=regle!$D$11,regle!$D$23,
IF(Z140=regle!$E$11,regle!$E$23,
IF(Z140=regle!$F$11,regle!$F$23,
IF(Z140=regle!$G$11,regle!$G$23,
IF(Z140=regle!$H$11,regle!$H$23,
IF(Z140=regle!$I$11,regle!$I$23,
IF(Z140=regle!$J$11,regle!$J$23,
IF(Z140=regle!$K$11,regle!$K$23,0))))))))))))</f>
        <v>0</v>
      </c>
      <c r="AK140" s="16">
        <f>IF(OR(Q140=regle!$J$11,Q140=regle!$K$11),-2,IF(Q140=regle!$B$11,0,IF(AK$1=$AK$1,IF($O140,-1,regle!$B$2-$M140),IF(AJ140=-1,-1,AJ140+1))))</f>
        <v>7</v>
      </c>
      <c r="AL140" s="16">
        <f>IF(OR(R140=regle!$J$11,R140=regle!$K$11),-2,IF(R140=regle!$B$11,0,IF(AL$1=$AK$1,IF($O140,-1,regle!$B$2-$M140),IF(AK140=-1,-1,AK140+1))))</f>
        <v>8</v>
      </c>
      <c r="AM140" s="16">
        <f>IF(OR(S140=regle!$J$11,S140=regle!$K$11),-2,IF(S140=regle!$B$11,0,IF(AM$1=$AK$1,IF($O140,-1,regle!$B$2-$M140),IF(AL140=-1,-1,AL140+1))))</f>
        <v>9</v>
      </c>
      <c r="AN140" s="16">
        <f>IF(OR(T140=regle!$J$11,T140=regle!$K$11),-2,IF(T140=regle!$B$11,0,IF(AN$1=$AK$1,IF($O140,-1,regle!$B$2-$M140),IF(AM140=-1,-1,AM140+1))))</f>
        <v>10</v>
      </c>
      <c r="AO140" s="16">
        <f>IF(OR(U140=regle!$J$11,U140=regle!$K$11),-2,IF(U140=regle!$B$11,0,IF(AO$1=$AK$1,IF($O140,-1,regle!$B$2-$M140),IF(AN140=-1,-1,AN140+1))))</f>
        <v>11</v>
      </c>
      <c r="AP140" s="16">
        <f>IF(OR(V140=regle!$J$11,V140=regle!$K$11),-2,IF(V140=regle!$B$11,0,IF(AP$1=$AK$1,IF($O140,-1,regle!$B$2-$M140),IF(AO140=-1,-1,AO140+1))))</f>
        <v>12</v>
      </c>
      <c r="AQ140" s="16">
        <f>IF(OR(W140=regle!$J$11,W140=regle!$K$11),-2,IF(W140=regle!$B$11,0,IF(AQ$1=$AK$1,IF($O140,-1,regle!$B$2-$M140),IF(AP140=-1,-1,AP140+1))))</f>
        <v>13</v>
      </c>
      <c r="AR140" s="16">
        <f>IF(OR(X140=regle!$J$11,X140=regle!$K$11),-2,IF(X140=regle!$B$11,0,IF(AR$1=$AK$1,IF($O140,-1,regle!$B$2-$M140),IF(AQ140=-1,-1,AQ140+1))))</f>
        <v>14</v>
      </c>
      <c r="AS140" s="16">
        <f>IF(OR(Y140=regle!$J$11,Y140=regle!$K$11),-2,IF(Y140=regle!$B$11,0,IF(AS$1=$AK$1,IF($O140,-1,regle!$B$2-$M140),IF(AR140=-1,-1,AR140+1))))</f>
        <v>15</v>
      </c>
      <c r="AT140" s="16">
        <f>IF(OR(Z140=regle!$J$11,Z140=regle!$K$11),-2,IF(Z140=regle!$B$11,0,IF(AT$1=$AK$1,IF($O140,-1,regle!$B$2-$M140),IF(AS140=-1,-1,AS140+1))))</f>
        <v>16</v>
      </c>
    </row>
    <row r="141" spans="1:46" x14ac:dyDescent="0.25">
      <c r="A141" t="b">
        <f>modif1!A141</f>
        <v>1</v>
      </c>
      <c r="B141">
        <f>ROW(modif1!B141)</f>
        <v>141</v>
      </c>
      <c r="C141" t="str">
        <f>modif1!C144</f>
        <v>200</v>
      </c>
      <c r="D141" t="str">
        <f>modif1!D141</f>
        <v>MOUSTEY</v>
      </c>
      <c r="E141">
        <f>modif1!E141</f>
        <v>18</v>
      </c>
      <c r="F141" t="str">
        <f>modif1!F141</f>
        <v>Quartier de Capsus</v>
      </c>
      <c r="G141" t="str">
        <f>modif1!G141</f>
        <v>0N</v>
      </c>
      <c r="H141">
        <f>modif1!H141</f>
        <v>762</v>
      </c>
      <c r="I141" t="str">
        <f>modif1!I141</f>
        <v/>
      </c>
      <c r="J141" s="11">
        <f>modif1!J141</f>
        <v>4.9961000000000002</v>
      </c>
      <c r="K141" t="str">
        <f>modif1!K141</f>
        <v>PLA</v>
      </c>
      <c r="L141" t="str">
        <f>modif1!L141</f>
        <v>PM</v>
      </c>
      <c r="M141">
        <f>modif1!M141</f>
        <v>2017</v>
      </c>
      <c r="N141" t="str">
        <f>modif1!N141</f>
        <v>PLA-PM_2017</v>
      </c>
      <c r="O141" t="b">
        <f>modif1!O141</f>
        <v>0</v>
      </c>
      <c r="P141">
        <v>40</v>
      </c>
      <c r="Q141" t="s">
        <v>1871</v>
      </c>
      <c r="V141" t="s">
        <v>1803</v>
      </c>
      <c r="Z141"/>
      <c r="AA141" s="17">
        <f>IF($A141,$J141*(IF(Q141=regle!$B$11,regle!$B$23*IF(AJ141=-2,1+regle!$B$35,1),
IF(Q141=regle!$C$11,regle!$C$23,
IF(Q141=regle!$D$11,regle!$D$23,
IF(Q141=regle!$E$11,regle!$E$23,
IF(Q141=regle!$F$11,regle!$F$23,
IF(Q141=regle!$G$11,regle!$G$23,
IF(Q141=regle!$H$11,regle!$H$23,
IF(Q141=regle!$I$11,regle!$I$23,
IF(Q141=regle!$J$11,regle!$J$23,
IF(Q141=regle!$K$11,regle!$K$23,0))))))))))))</f>
        <v>-449.649</v>
      </c>
      <c r="AB141" s="17">
        <f>IF($A141,$J141*(IF(R141=regle!$B$11,regle!$B$23*IF(AK141=-2,1+regle!$B$35,1),
IF(R141=regle!$C$11,regle!$C$23,
IF(R141=regle!$D$11,regle!$D$23,
IF(R141=regle!$E$11,regle!$E$23,
IF(R141=regle!$F$11,regle!$F$23,
IF(R141=regle!$G$11,regle!$G$23,
IF(R141=regle!$H$11,regle!$H$23,
IF(R141=regle!$I$11,regle!$I$23,
IF(R141=regle!$J$11,regle!$J$23,
IF(R141=regle!$K$11,regle!$K$23,0))))))))))))</f>
        <v>0</v>
      </c>
      <c r="AC141" s="17">
        <f>IF($A141,$J141*(IF(S141=regle!$B$11,regle!$B$23*IF(AL141=-2,1+regle!$B$35,1),
IF(S141=regle!$C$11,regle!$C$23,
IF(S141=regle!$D$11,regle!$D$23,
IF(S141=regle!$E$11,regle!$E$23,
IF(S141=regle!$F$11,regle!$F$23,
IF(S141=regle!$G$11,regle!$G$23,
IF(S141=regle!$H$11,regle!$H$23,
IF(S141=regle!$I$11,regle!$I$23,
IF(S141=regle!$J$11,regle!$J$23,
IF(S141=regle!$K$11,regle!$K$23,0))))))))))))</f>
        <v>0</v>
      </c>
      <c r="AD141" s="17">
        <f>IF($A141,$J141*(IF(T141=regle!$B$11,regle!$B$23*IF(AM141=-2,1+regle!$B$35,1),
IF(T141=regle!$C$11,regle!$C$23,
IF(T141=regle!$D$11,regle!$D$23,
IF(T141=regle!$E$11,regle!$E$23,
IF(T141=regle!$F$11,regle!$F$23,
IF(T141=regle!$G$11,regle!$G$23,
IF(T141=regle!$H$11,regle!$H$23,
IF(T141=regle!$I$11,regle!$I$23,
IF(T141=regle!$J$11,regle!$J$23,
IF(T141=regle!$K$11,regle!$K$23,0))))))))))))</f>
        <v>0</v>
      </c>
      <c r="AE141" s="17">
        <f>IF($A141,$J141*(IF(U141=regle!$B$11,regle!$B$23*IF(AN141=-2,1+regle!$B$35,1),
IF(U141=regle!$C$11,regle!$C$23,
IF(U141=regle!$D$11,regle!$D$23,
IF(U141=regle!$E$11,regle!$E$23,
IF(U141=regle!$F$11,regle!$F$23,
IF(U141=regle!$G$11,regle!$G$23,
IF(U141=regle!$H$11,regle!$H$23,
IF(U141=regle!$I$11,regle!$I$23,
IF(U141=regle!$J$11,regle!$J$23,
IF(U141=regle!$K$11,regle!$K$23,0))))))))))))</f>
        <v>0</v>
      </c>
      <c r="AF141" s="17">
        <f>IF($A141,$J141*(IF(V141=regle!$B$11,regle!$B$23*IF(AO141=-2,1+regle!$B$35,1),
IF(V141=regle!$C$11,regle!$C$23,
IF(V141=regle!$D$11,regle!$D$23,
IF(V141=regle!$E$11,regle!$E$23,
IF(V141=regle!$F$11,regle!$F$23,
IF(V141=regle!$G$11,regle!$G$23,
IF(V141=regle!$H$11,regle!$H$23,
IF(V141=regle!$I$11,regle!$I$23,
IF(V141=regle!$J$11,regle!$J$23,
IF(V141=regle!$K$11,regle!$K$23,0))))))))))))</f>
        <v>2877.7536</v>
      </c>
      <c r="AG141" s="17">
        <f>IF($A141,$J141*(IF(W141=regle!$B$11,regle!$B$23*IF(AP141=-2,1+regle!$B$35,1),
IF(W141=regle!$C$11,regle!$C$23,
IF(W141=regle!$D$11,regle!$D$23,
IF(W141=regle!$E$11,regle!$E$23,
IF(W141=regle!$F$11,regle!$F$23,
IF(W141=regle!$G$11,regle!$G$23,
IF(W141=regle!$H$11,regle!$H$23,
IF(W141=regle!$I$11,regle!$I$23,
IF(W141=regle!$J$11,regle!$J$23,
IF(W141=regle!$K$11,regle!$K$23,0))))))))))))</f>
        <v>0</v>
      </c>
      <c r="AH141" s="17">
        <f>IF($A141,$J141*(IF(X141=regle!$B$11,regle!$B$23*IF(AQ141=-2,1+regle!$B$35,1),
IF(X141=regle!$C$11,regle!$C$23,
IF(X141=regle!$D$11,regle!$D$23,
IF(X141=regle!$E$11,regle!$E$23,
IF(X141=regle!$F$11,regle!$F$23,
IF(X141=regle!$G$11,regle!$G$23,
IF(X141=regle!$H$11,regle!$H$23,
IF(X141=regle!$I$11,regle!$I$23,
IF(X141=regle!$J$11,regle!$J$23,
IF(X141=regle!$K$11,regle!$K$23,0))))))))))))</f>
        <v>0</v>
      </c>
      <c r="AI141" s="17">
        <f>IF($A141,$J141*(IF(Y141=regle!$B$11,regle!$B$23*IF(AR141=-2,1+regle!$B$35,1),
IF(Y141=regle!$C$11,regle!$C$23,
IF(Y141=regle!$D$11,regle!$D$23,
IF(Y141=regle!$E$11,regle!$E$23,
IF(Y141=regle!$F$11,regle!$F$23,
IF(Y141=regle!$G$11,regle!$G$23,
IF(Y141=regle!$H$11,regle!$H$23,
IF(Y141=regle!$I$11,regle!$I$23,
IF(Y141=regle!$J$11,regle!$J$23,
IF(Y141=regle!$K$11,regle!$K$23,0))))))))))))</f>
        <v>0</v>
      </c>
      <c r="AJ141" s="17">
        <f>IF($A141,$J141*(IF(Z141=regle!$B$11,regle!$B$23*IF(AS141=-2,1+regle!$B$35,1),
IF(Z141=regle!$C$11,regle!$C$23,
IF(Z141=regle!$D$11,regle!$D$23,
IF(Z141=regle!$E$11,regle!$E$23,
IF(Z141=regle!$F$11,regle!$F$23,
IF(Z141=regle!$G$11,regle!$G$23,
IF(Z141=regle!$H$11,regle!$H$23,
IF(Z141=regle!$I$11,regle!$I$23,
IF(Z141=regle!$J$11,regle!$J$23,
IF(Z141=regle!$K$11,regle!$K$23,0))))))))))))</f>
        <v>0</v>
      </c>
      <c r="AK141" s="16">
        <f>IF(OR(Q141=regle!$J$11,Q141=regle!$K$11),-2,IF(Q141=regle!$B$11,0,IF(AK$1=$AK$1,IF($O141,-1,regle!$B$2-$M141),IF(AJ141=-1,-1,AJ141+1))))</f>
        <v>7</v>
      </c>
      <c r="AL141" s="16">
        <f>IF(OR(R141=regle!$J$11,R141=regle!$K$11),-2,IF(R141=regle!$B$11,0,IF(AL$1=$AK$1,IF($O141,-1,regle!$B$2-$M141),IF(AK141=-1,-1,AK141+1))))</f>
        <v>8</v>
      </c>
      <c r="AM141" s="16">
        <f>IF(OR(S141=regle!$J$11,S141=regle!$K$11),-2,IF(S141=regle!$B$11,0,IF(AM$1=$AK$1,IF($O141,-1,regle!$B$2-$M141),IF(AL141=-1,-1,AL141+1))))</f>
        <v>9</v>
      </c>
      <c r="AN141" s="16">
        <f>IF(OR(T141=regle!$J$11,T141=regle!$K$11),-2,IF(T141=regle!$B$11,0,IF(AN$1=$AK$1,IF($O141,-1,regle!$B$2-$M141),IF(AM141=-1,-1,AM141+1))))</f>
        <v>10</v>
      </c>
      <c r="AO141" s="16">
        <f>IF(OR(U141=regle!$J$11,U141=regle!$K$11),-2,IF(U141=regle!$B$11,0,IF(AO$1=$AK$1,IF($O141,-1,regle!$B$2-$M141),IF(AN141=-1,-1,AN141+1))))</f>
        <v>11</v>
      </c>
      <c r="AP141" s="16">
        <f>IF(OR(V141=regle!$J$11,V141=regle!$K$11),-2,IF(V141=regle!$B$11,0,IF(AP$1=$AK$1,IF($O141,-1,regle!$B$2-$M141),IF(AO141=-1,-1,AO141+1))))</f>
        <v>12</v>
      </c>
      <c r="AQ141" s="16">
        <f>IF(OR(W141=regle!$J$11,W141=regle!$K$11),-2,IF(W141=regle!$B$11,0,IF(AQ$1=$AK$1,IF($O141,-1,regle!$B$2-$M141),IF(AP141=-1,-1,AP141+1))))</f>
        <v>13</v>
      </c>
      <c r="AR141" s="16">
        <f>IF(OR(X141=regle!$J$11,X141=regle!$K$11),-2,IF(X141=regle!$B$11,0,IF(AR$1=$AK$1,IF($O141,-1,regle!$B$2-$M141),IF(AQ141=-1,-1,AQ141+1))))</f>
        <v>14</v>
      </c>
      <c r="AS141" s="16">
        <f>IF(OR(Y141=regle!$J$11,Y141=regle!$K$11),-2,IF(Y141=regle!$B$11,0,IF(AS$1=$AK$1,IF($O141,-1,regle!$B$2-$M141),IF(AR141=-1,-1,AR141+1))))</f>
        <v>15</v>
      </c>
      <c r="AT141" s="16">
        <f>IF(OR(Z141=regle!$J$11,Z141=regle!$K$11),-2,IF(Z141=regle!$B$11,0,IF(AT$1=$AK$1,IF($O141,-1,regle!$B$2-$M141),IF(AS141=-1,-1,AS141+1))))</f>
        <v>16</v>
      </c>
    </row>
    <row r="142" spans="1:46" x14ac:dyDescent="0.25">
      <c r="A142" t="b">
        <f>modif1!A142</f>
        <v>1</v>
      </c>
      <c r="B142">
        <f>ROW(modif1!B142)</f>
        <v>142</v>
      </c>
      <c r="C142" t="str">
        <f>modif1!C145</f>
        <v>200</v>
      </c>
      <c r="D142" t="str">
        <f>modif1!D142</f>
        <v>LE TUZAN</v>
      </c>
      <c r="E142">
        <f>modif1!E142</f>
        <v>11</v>
      </c>
      <c r="F142" t="str">
        <f>modif1!F142</f>
        <v>LA HONTEYRE</v>
      </c>
      <c r="G142" t="str">
        <f>modif1!G142</f>
        <v>0A</v>
      </c>
      <c r="H142">
        <f>modif1!H142</f>
        <v>256</v>
      </c>
      <c r="I142" t="str">
        <f>modif1!I142</f>
        <v>k</v>
      </c>
      <c r="J142" s="11">
        <f>modif1!J142</f>
        <v>4.0731000000000002</v>
      </c>
      <c r="K142" t="str">
        <f>modif1!K142</f>
        <v>PLA</v>
      </c>
      <c r="L142" t="str">
        <f>modif1!L142</f>
        <v>PM</v>
      </c>
      <c r="M142">
        <f>modif1!M142</f>
        <v>2017</v>
      </c>
      <c r="N142" t="str">
        <f>modif1!N142</f>
        <v>PLA-PM_2017</v>
      </c>
      <c r="O142" t="b">
        <f>modif1!O142</f>
        <v>0</v>
      </c>
      <c r="P142">
        <v>40</v>
      </c>
      <c r="Q142" t="s">
        <v>1871</v>
      </c>
      <c r="V142" t="s">
        <v>1803</v>
      </c>
      <c r="Z142"/>
      <c r="AA142" s="17">
        <f>IF($A142,$J142*(IF(Q142=regle!$B$11,regle!$B$23*IF(AJ142=-2,1+regle!$B$35,1),
IF(Q142=regle!$C$11,regle!$C$23,
IF(Q142=regle!$D$11,regle!$D$23,
IF(Q142=regle!$E$11,regle!$E$23,
IF(Q142=regle!$F$11,regle!$F$23,
IF(Q142=regle!$G$11,regle!$G$23,
IF(Q142=regle!$H$11,regle!$H$23,
IF(Q142=regle!$I$11,regle!$I$23,
IF(Q142=regle!$J$11,regle!$J$23,
IF(Q142=regle!$K$11,regle!$K$23,0))))))))))))</f>
        <v>-366.57900000000001</v>
      </c>
      <c r="AB142" s="17">
        <f>IF($A142,$J142*(IF(R142=regle!$B$11,regle!$B$23*IF(AK142=-2,1+regle!$B$35,1),
IF(R142=regle!$C$11,regle!$C$23,
IF(R142=regle!$D$11,regle!$D$23,
IF(R142=regle!$E$11,regle!$E$23,
IF(R142=regle!$F$11,regle!$F$23,
IF(R142=regle!$G$11,regle!$G$23,
IF(R142=regle!$H$11,regle!$H$23,
IF(R142=regle!$I$11,regle!$I$23,
IF(R142=regle!$J$11,regle!$J$23,
IF(R142=regle!$K$11,regle!$K$23,0))))))))))))</f>
        <v>0</v>
      </c>
      <c r="AC142" s="17">
        <f>IF($A142,$J142*(IF(S142=regle!$B$11,regle!$B$23*IF(AL142=-2,1+regle!$B$35,1),
IF(S142=regle!$C$11,regle!$C$23,
IF(S142=regle!$D$11,regle!$D$23,
IF(S142=regle!$E$11,regle!$E$23,
IF(S142=regle!$F$11,regle!$F$23,
IF(S142=regle!$G$11,regle!$G$23,
IF(S142=regle!$H$11,regle!$H$23,
IF(S142=regle!$I$11,regle!$I$23,
IF(S142=regle!$J$11,regle!$J$23,
IF(S142=regle!$K$11,regle!$K$23,0))))))))))))</f>
        <v>0</v>
      </c>
      <c r="AD142" s="17">
        <f>IF($A142,$J142*(IF(T142=regle!$B$11,regle!$B$23*IF(AM142=-2,1+regle!$B$35,1),
IF(T142=regle!$C$11,regle!$C$23,
IF(T142=regle!$D$11,regle!$D$23,
IF(T142=regle!$E$11,regle!$E$23,
IF(T142=regle!$F$11,regle!$F$23,
IF(T142=regle!$G$11,regle!$G$23,
IF(T142=regle!$H$11,regle!$H$23,
IF(T142=regle!$I$11,regle!$I$23,
IF(T142=regle!$J$11,regle!$J$23,
IF(T142=regle!$K$11,regle!$K$23,0))))))))))))</f>
        <v>0</v>
      </c>
      <c r="AE142" s="17">
        <f>IF($A142,$J142*(IF(U142=regle!$B$11,regle!$B$23*IF(AN142=-2,1+regle!$B$35,1),
IF(U142=regle!$C$11,regle!$C$23,
IF(U142=regle!$D$11,regle!$D$23,
IF(U142=regle!$E$11,regle!$E$23,
IF(U142=regle!$F$11,regle!$F$23,
IF(U142=regle!$G$11,regle!$G$23,
IF(U142=regle!$H$11,regle!$H$23,
IF(U142=regle!$I$11,regle!$I$23,
IF(U142=regle!$J$11,regle!$J$23,
IF(U142=regle!$K$11,regle!$K$23,0))))))))))))</f>
        <v>0</v>
      </c>
      <c r="AF142" s="17">
        <f>IF($A142,$J142*(IF(V142=regle!$B$11,regle!$B$23*IF(AO142=-2,1+regle!$B$35,1),
IF(V142=regle!$C$11,regle!$C$23,
IF(V142=regle!$D$11,regle!$D$23,
IF(V142=regle!$E$11,regle!$E$23,
IF(V142=regle!$F$11,regle!$F$23,
IF(V142=regle!$G$11,regle!$G$23,
IF(V142=regle!$H$11,regle!$H$23,
IF(V142=regle!$I$11,regle!$I$23,
IF(V142=regle!$J$11,regle!$J$23,
IF(V142=regle!$K$11,regle!$K$23,0))))))))))))</f>
        <v>2346.1055999999999</v>
      </c>
      <c r="AG142" s="17">
        <f>IF($A142,$J142*(IF(W142=regle!$B$11,regle!$B$23*IF(AP142=-2,1+regle!$B$35,1),
IF(W142=regle!$C$11,regle!$C$23,
IF(W142=regle!$D$11,regle!$D$23,
IF(W142=regle!$E$11,regle!$E$23,
IF(W142=regle!$F$11,regle!$F$23,
IF(W142=regle!$G$11,regle!$G$23,
IF(W142=regle!$H$11,regle!$H$23,
IF(W142=regle!$I$11,regle!$I$23,
IF(W142=regle!$J$11,regle!$J$23,
IF(W142=regle!$K$11,regle!$K$23,0))))))))))))</f>
        <v>0</v>
      </c>
      <c r="AH142" s="17">
        <f>IF($A142,$J142*(IF(X142=regle!$B$11,regle!$B$23*IF(AQ142=-2,1+regle!$B$35,1),
IF(X142=regle!$C$11,regle!$C$23,
IF(X142=regle!$D$11,regle!$D$23,
IF(X142=regle!$E$11,regle!$E$23,
IF(X142=regle!$F$11,regle!$F$23,
IF(X142=regle!$G$11,regle!$G$23,
IF(X142=regle!$H$11,regle!$H$23,
IF(X142=regle!$I$11,regle!$I$23,
IF(X142=regle!$J$11,regle!$J$23,
IF(X142=regle!$K$11,regle!$K$23,0))))))))))))</f>
        <v>0</v>
      </c>
      <c r="AI142" s="17">
        <f>IF($A142,$J142*(IF(Y142=regle!$B$11,regle!$B$23*IF(AR142=-2,1+regle!$B$35,1),
IF(Y142=regle!$C$11,regle!$C$23,
IF(Y142=regle!$D$11,regle!$D$23,
IF(Y142=regle!$E$11,regle!$E$23,
IF(Y142=regle!$F$11,regle!$F$23,
IF(Y142=regle!$G$11,regle!$G$23,
IF(Y142=regle!$H$11,regle!$H$23,
IF(Y142=regle!$I$11,regle!$I$23,
IF(Y142=regle!$J$11,regle!$J$23,
IF(Y142=regle!$K$11,regle!$K$23,0))))))))))))</f>
        <v>0</v>
      </c>
      <c r="AJ142" s="17">
        <f>IF($A142,$J142*(IF(Z142=regle!$B$11,regle!$B$23*IF(AS142=-2,1+regle!$B$35,1),
IF(Z142=regle!$C$11,regle!$C$23,
IF(Z142=regle!$D$11,regle!$D$23,
IF(Z142=regle!$E$11,regle!$E$23,
IF(Z142=regle!$F$11,regle!$F$23,
IF(Z142=regle!$G$11,regle!$G$23,
IF(Z142=regle!$H$11,regle!$H$23,
IF(Z142=regle!$I$11,regle!$I$23,
IF(Z142=regle!$J$11,regle!$J$23,
IF(Z142=regle!$K$11,regle!$K$23,0))))))))))))</f>
        <v>0</v>
      </c>
      <c r="AK142" s="16">
        <f>IF(OR(Q142=regle!$J$11,Q142=regle!$K$11),-2,IF(Q142=regle!$B$11,0,IF(AK$1=$AK$1,IF($O142,-1,regle!$B$2-$M142),IF(AJ142=-1,-1,AJ142+1))))</f>
        <v>7</v>
      </c>
      <c r="AL142" s="16">
        <f>IF(OR(R142=regle!$J$11,R142=regle!$K$11),-2,IF(R142=regle!$B$11,0,IF(AL$1=$AK$1,IF($O142,-1,regle!$B$2-$M142),IF(AK142=-1,-1,AK142+1))))</f>
        <v>8</v>
      </c>
      <c r="AM142" s="16">
        <f>IF(OR(S142=regle!$J$11,S142=regle!$K$11),-2,IF(S142=regle!$B$11,0,IF(AM$1=$AK$1,IF($O142,-1,regle!$B$2-$M142),IF(AL142=-1,-1,AL142+1))))</f>
        <v>9</v>
      </c>
      <c r="AN142" s="16">
        <f>IF(OR(T142=regle!$J$11,T142=regle!$K$11),-2,IF(T142=regle!$B$11,0,IF(AN$1=$AK$1,IF($O142,-1,regle!$B$2-$M142),IF(AM142=-1,-1,AM142+1))))</f>
        <v>10</v>
      </c>
      <c r="AO142" s="16">
        <f>IF(OR(U142=regle!$J$11,U142=regle!$K$11),-2,IF(U142=regle!$B$11,0,IF(AO$1=$AK$1,IF($O142,-1,regle!$B$2-$M142),IF(AN142=-1,-1,AN142+1))))</f>
        <v>11</v>
      </c>
      <c r="AP142" s="16">
        <f>IF(OR(V142=regle!$J$11,V142=regle!$K$11),-2,IF(V142=regle!$B$11,0,IF(AP$1=$AK$1,IF($O142,-1,regle!$B$2-$M142),IF(AO142=-1,-1,AO142+1))))</f>
        <v>12</v>
      </c>
      <c r="AQ142" s="16">
        <f>IF(OR(W142=regle!$J$11,W142=regle!$K$11),-2,IF(W142=regle!$B$11,0,IF(AQ$1=$AK$1,IF($O142,-1,regle!$B$2-$M142),IF(AP142=-1,-1,AP142+1))))</f>
        <v>13</v>
      </c>
      <c r="AR142" s="16">
        <f>IF(OR(X142=regle!$J$11,X142=regle!$K$11),-2,IF(X142=regle!$B$11,0,IF(AR$1=$AK$1,IF($O142,-1,regle!$B$2-$M142),IF(AQ142=-1,-1,AQ142+1))))</f>
        <v>14</v>
      </c>
      <c r="AS142" s="16">
        <f>IF(OR(Y142=regle!$J$11,Y142=regle!$K$11),-2,IF(Y142=regle!$B$11,0,IF(AS$1=$AK$1,IF($O142,-1,regle!$B$2-$M142),IF(AR142=-1,-1,AR142+1))))</f>
        <v>15</v>
      </c>
      <c r="AT142" s="16">
        <f>IF(OR(Z142=regle!$J$11,Z142=regle!$K$11),-2,IF(Z142=regle!$B$11,0,IF(AT$1=$AK$1,IF($O142,-1,regle!$B$2-$M142),IF(AS142=-1,-1,AS142+1))))</f>
        <v>16</v>
      </c>
    </row>
    <row r="143" spans="1:46" x14ac:dyDescent="0.25">
      <c r="A143" t="b">
        <f>modif1!A143</f>
        <v>1</v>
      </c>
      <c r="B143">
        <f>ROW(modif1!B143)</f>
        <v>143</v>
      </c>
      <c r="C143" t="str">
        <f>modif1!C146</f>
        <v>200</v>
      </c>
      <c r="D143" t="str">
        <f>modif1!D143</f>
        <v>LE TUZAN</v>
      </c>
      <c r="E143">
        <f>modif1!E143</f>
        <v>21</v>
      </c>
      <c r="F143" t="str">
        <f>modif1!F143</f>
        <v>METAIRIES DE TABARTON</v>
      </c>
      <c r="G143" t="str">
        <f>modif1!G143</f>
        <v>0A</v>
      </c>
      <c r="H143">
        <f>modif1!H143</f>
        <v>407</v>
      </c>
      <c r="I143" t="str">
        <f>modif1!I143</f>
        <v>j</v>
      </c>
      <c r="J143" s="11">
        <f>modif1!J143</f>
        <v>3.6694</v>
      </c>
      <c r="K143" t="str">
        <f>modif1!K143</f>
        <v>PLA</v>
      </c>
      <c r="L143" t="str">
        <f>modif1!L143</f>
        <v>PM</v>
      </c>
      <c r="M143">
        <f>modif1!M143</f>
        <v>2017</v>
      </c>
      <c r="N143" t="str">
        <f>modif1!N143</f>
        <v>PLA-PM_2017</v>
      </c>
      <c r="O143" t="b">
        <f>modif1!O143</f>
        <v>0</v>
      </c>
      <c r="P143">
        <v>40</v>
      </c>
      <c r="Q143" t="s">
        <v>1871</v>
      </c>
      <c r="V143" t="s">
        <v>1803</v>
      </c>
      <c r="Z143"/>
      <c r="AA143" s="17">
        <f>IF($A143,$J143*(IF(Q143=regle!$B$11,regle!$B$23*IF(AJ143=-2,1+regle!$B$35,1),
IF(Q143=regle!$C$11,regle!$C$23,
IF(Q143=regle!$D$11,regle!$D$23,
IF(Q143=regle!$E$11,regle!$E$23,
IF(Q143=regle!$F$11,regle!$F$23,
IF(Q143=regle!$G$11,regle!$G$23,
IF(Q143=regle!$H$11,regle!$H$23,
IF(Q143=regle!$I$11,regle!$I$23,
IF(Q143=regle!$J$11,regle!$J$23,
IF(Q143=regle!$K$11,regle!$K$23,0))))))))))))</f>
        <v>-330.24599999999998</v>
      </c>
      <c r="AB143" s="17">
        <f>IF($A143,$J143*(IF(R143=regle!$B$11,regle!$B$23*IF(AK143=-2,1+regle!$B$35,1),
IF(R143=regle!$C$11,regle!$C$23,
IF(R143=regle!$D$11,regle!$D$23,
IF(R143=regle!$E$11,regle!$E$23,
IF(R143=regle!$F$11,regle!$F$23,
IF(R143=regle!$G$11,regle!$G$23,
IF(R143=regle!$H$11,regle!$H$23,
IF(R143=regle!$I$11,regle!$I$23,
IF(R143=regle!$J$11,regle!$J$23,
IF(R143=regle!$K$11,regle!$K$23,0))))))))))))</f>
        <v>0</v>
      </c>
      <c r="AC143" s="17">
        <f>IF($A143,$J143*(IF(S143=regle!$B$11,regle!$B$23*IF(AL143=-2,1+regle!$B$35,1),
IF(S143=regle!$C$11,regle!$C$23,
IF(S143=regle!$D$11,regle!$D$23,
IF(S143=regle!$E$11,regle!$E$23,
IF(S143=regle!$F$11,regle!$F$23,
IF(S143=regle!$G$11,regle!$G$23,
IF(S143=regle!$H$11,regle!$H$23,
IF(S143=regle!$I$11,regle!$I$23,
IF(S143=regle!$J$11,regle!$J$23,
IF(S143=regle!$K$11,regle!$K$23,0))))))))))))</f>
        <v>0</v>
      </c>
      <c r="AD143" s="17">
        <f>IF($A143,$J143*(IF(T143=regle!$B$11,regle!$B$23*IF(AM143=-2,1+regle!$B$35,1),
IF(T143=regle!$C$11,regle!$C$23,
IF(T143=regle!$D$11,regle!$D$23,
IF(T143=regle!$E$11,regle!$E$23,
IF(T143=regle!$F$11,regle!$F$23,
IF(T143=regle!$G$11,regle!$G$23,
IF(T143=regle!$H$11,regle!$H$23,
IF(T143=regle!$I$11,regle!$I$23,
IF(T143=regle!$J$11,regle!$J$23,
IF(T143=regle!$K$11,regle!$K$23,0))))))))))))</f>
        <v>0</v>
      </c>
      <c r="AE143" s="17">
        <f>IF($A143,$J143*(IF(U143=regle!$B$11,regle!$B$23*IF(AN143=-2,1+regle!$B$35,1),
IF(U143=regle!$C$11,regle!$C$23,
IF(U143=regle!$D$11,regle!$D$23,
IF(U143=regle!$E$11,regle!$E$23,
IF(U143=regle!$F$11,regle!$F$23,
IF(U143=regle!$G$11,regle!$G$23,
IF(U143=regle!$H$11,regle!$H$23,
IF(U143=regle!$I$11,regle!$I$23,
IF(U143=regle!$J$11,regle!$J$23,
IF(U143=regle!$K$11,regle!$K$23,0))))))))))))</f>
        <v>0</v>
      </c>
      <c r="AF143" s="17">
        <f>IF($A143,$J143*(IF(V143=regle!$B$11,regle!$B$23*IF(AO143=-2,1+regle!$B$35,1),
IF(V143=regle!$C$11,regle!$C$23,
IF(V143=regle!$D$11,regle!$D$23,
IF(V143=regle!$E$11,regle!$E$23,
IF(V143=regle!$F$11,regle!$F$23,
IF(V143=regle!$G$11,regle!$G$23,
IF(V143=regle!$H$11,regle!$H$23,
IF(V143=regle!$I$11,regle!$I$23,
IF(V143=regle!$J$11,regle!$J$23,
IF(V143=regle!$K$11,regle!$K$23,0))))))))))))</f>
        <v>2113.5744</v>
      </c>
      <c r="AG143" s="17">
        <f>IF($A143,$J143*(IF(W143=regle!$B$11,regle!$B$23*IF(AP143=-2,1+regle!$B$35,1),
IF(W143=regle!$C$11,regle!$C$23,
IF(W143=regle!$D$11,regle!$D$23,
IF(W143=regle!$E$11,regle!$E$23,
IF(W143=regle!$F$11,regle!$F$23,
IF(W143=regle!$G$11,regle!$G$23,
IF(W143=regle!$H$11,regle!$H$23,
IF(W143=regle!$I$11,regle!$I$23,
IF(W143=regle!$J$11,regle!$J$23,
IF(W143=regle!$K$11,regle!$K$23,0))))))))))))</f>
        <v>0</v>
      </c>
      <c r="AH143" s="17">
        <f>IF($A143,$J143*(IF(X143=regle!$B$11,regle!$B$23*IF(AQ143=-2,1+regle!$B$35,1),
IF(X143=regle!$C$11,regle!$C$23,
IF(X143=regle!$D$11,regle!$D$23,
IF(X143=regle!$E$11,regle!$E$23,
IF(X143=regle!$F$11,regle!$F$23,
IF(X143=regle!$G$11,regle!$G$23,
IF(X143=regle!$H$11,regle!$H$23,
IF(X143=regle!$I$11,regle!$I$23,
IF(X143=regle!$J$11,regle!$J$23,
IF(X143=regle!$K$11,regle!$K$23,0))))))))))))</f>
        <v>0</v>
      </c>
      <c r="AI143" s="17">
        <f>IF($A143,$J143*(IF(Y143=regle!$B$11,regle!$B$23*IF(AR143=-2,1+regle!$B$35,1),
IF(Y143=regle!$C$11,regle!$C$23,
IF(Y143=regle!$D$11,regle!$D$23,
IF(Y143=regle!$E$11,regle!$E$23,
IF(Y143=regle!$F$11,regle!$F$23,
IF(Y143=regle!$G$11,regle!$G$23,
IF(Y143=regle!$H$11,regle!$H$23,
IF(Y143=regle!$I$11,regle!$I$23,
IF(Y143=regle!$J$11,regle!$J$23,
IF(Y143=regle!$K$11,regle!$K$23,0))))))))))))</f>
        <v>0</v>
      </c>
      <c r="AJ143" s="17">
        <f>IF($A143,$J143*(IF(Z143=regle!$B$11,regle!$B$23*IF(AS143=-2,1+regle!$B$35,1),
IF(Z143=regle!$C$11,regle!$C$23,
IF(Z143=regle!$D$11,regle!$D$23,
IF(Z143=regle!$E$11,regle!$E$23,
IF(Z143=regle!$F$11,regle!$F$23,
IF(Z143=regle!$G$11,regle!$G$23,
IF(Z143=regle!$H$11,regle!$H$23,
IF(Z143=regle!$I$11,regle!$I$23,
IF(Z143=regle!$J$11,regle!$J$23,
IF(Z143=regle!$K$11,regle!$K$23,0))))))))))))</f>
        <v>0</v>
      </c>
      <c r="AK143" s="16">
        <f>IF(OR(Q143=regle!$J$11,Q143=regle!$K$11),-2,IF(Q143=regle!$B$11,0,IF(AK$1=$AK$1,IF($O143,-1,regle!$B$2-$M143),IF(AJ143=-1,-1,AJ143+1))))</f>
        <v>7</v>
      </c>
      <c r="AL143" s="16">
        <f>IF(OR(R143=regle!$J$11,R143=regle!$K$11),-2,IF(R143=regle!$B$11,0,IF(AL$1=$AK$1,IF($O143,-1,regle!$B$2-$M143),IF(AK143=-1,-1,AK143+1))))</f>
        <v>8</v>
      </c>
      <c r="AM143" s="16">
        <f>IF(OR(S143=regle!$J$11,S143=regle!$K$11),-2,IF(S143=regle!$B$11,0,IF(AM$1=$AK$1,IF($O143,-1,regle!$B$2-$M143),IF(AL143=-1,-1,AL143+1))))</f>
        <v>9</v>
      </c>
      <c r="AN143" s="16">
        <f>IF(OR(T143=regle!$J$11,T143=regle!$K$11),-2,IF(T143=regle!$B$11,0,IF(AN$1=$AK$1,IF($O143,-1,regle!$B$2-$M143),IF(AM143=-1,-1,AM143+1))))</f>
        <v>10</v>
      </c>
      <c r="AO143" s="16">
        <f>IF(OR(U143=regle!$J$11,U143=regle!$K$11),-2,IF(U143=regle!$B$11,0,IF(AO$1=$AK$1,IF($O143,-1,regle!$B$2-$M143),IF(AN143=-1,-1,AN143+1))))</f>
        <v>11</v>
      </c>
      <c r="AP143" s="16">
        <f>IF(OR(V143=regle!$J$11,V143=regle!$K$11),-2,IF(V143=regle!$B$11,0,IF(AP$1=$AK$1,IF($O143,-1,regle!$B$2-$M143),IF(AO143=-1,-1,AO143+1))))</f>
        <v>12</v>
      </c>
      <c r="AQ143" s="16">
        <f>IF(OR(W143=regle!$J$11,W143=regle!$K$11),-2,IF(W143=regle!$B$11,0,IF(AQ$1=$AK$1,IF($O143,-1,regle!$B$2-$M143),IF(AP143=-1,-1,AP143+1))))</f>
        <v>13</v>
      </c>
      <c r="AR143" s="16">
        <f>IF(OR(X143=regle!$J$11,X143=regle!$K$11),-2,IF(X143=regle!$B$11,0,IF(AR$1=$AK$1,IF($O143,-1,regle!$B$2-$M143),IF(AQ143=-1,-1,AQ143+1))))</f>
        <v>14</v>
      </c>
      <c r="AS143" s="16">
        <f>IF(OR(Y143=regle!$J$11,Y143=regle!$K$11),-2,IF(Y143=regle!$B$11,0,IF(AS$1=$AK$1,IF($O143,-1,regle!$B$2-$M143),IF(AR143=-1,-1,AR143+1))))</f>
        <v>15</v>
      </c>
      <c r="AT143" s="16">
        <f>IF(OR(Z143=regle!$J$11,Z143=regle!$K$11),-2,IF(Z143=regle!$B$11,0,IF(AT$1=$AK$1,IF($O143,-1,regle!$B$2-$M143),IF(AS143=-1,-1,AS143+1))))</f>
        <v>16</v>
      </c>
    </row>
    <row r="144" spans="1:46" x14ac:dyDescent="0.25">
      <c r="A144" t="b">
        <f>modif1!A144</f>
        <v>1</v>
      </c>
      <c r="B144">
        <f>ROW(modif1!B144)</f>
        <v>144</v>
      </c>
      <c r="C144" t="str">
        <f>modif1!C147</f>
        <v>536</v>
      </c>
      <c r="D144" t="str">
        <f>modif1!D144</f>
        <v>MOUSTEY</v>
      </c>
      <c r="E144">
        <f>modif1!E144</f>
        <v>4</v>
      </c>
      <c r="F144" t="str">
        <f>modif1!F144</f>
        <v>Kycs</v>
      </c>
      <c r="G144" t="str">
        <f>modif1!G144</f>
        <v>0M</v>
      </c>
      <c r="H144">
        <f>modif1!H144</f>
        <v>71</v>
      </c>
      <c r="I144" t="str">
        <f>modif1!I144</f>
        <v>jk</v>
      </c>
      <c r="J144" s="11">
        <f>modif1!J144</f>
        <v>1.9625999999999999</v>
      </c>
      <c r="K144" t="str">
        <f>modif1!K144</f>
        <v>PLA</v>
      </c>
      <c r="L144" t="str">
        <f>modif1!L144</f>
        <v>PM</v>
      </c>
      <c r="M144">
        <f>modif1!M144</f>
        <v>2017</v>
      </c>
      <c r="N144" t="str">
        <f>modif1!N144</f>
        <v>PLA-PM_2017</v>
      </c>
      <c r="O144" t="b">
        <f>modif1!O144</f>
        <v>0</v>
      </c>
      <c r="P144">
        <v>40</v>
      </c>
      <c r="Q144" t="s">
        <v>1871</v>
      </c>
      <c r="V144" t="s">
        <v>1803</v>
      </c>
      <c r="Z144"/>
      <c r="AA144" s="17">
        <f>IF($A144,$J144*(IF(Q144=regle!$B$11,regle!$B$23*IF(AJ144=-2,1+regle!$B$35,1),
IF(Q144=regle!$C$11,regle!$C$23,
IF(Q144=regle!$D$11,regle!$D$23,
IF(Q144=regle!$E$11,regle!$E$23,
IF(Q144=regle!$F$11,regle!$F$23,
IF(Q144=regle!$G$11,regle!$G$23,
IF(Q144=regle!$H$11,regle!$H$23,
IF(Q144=regle!$I$11,regle!$I$23,
IF(Q144=regle!$J$11,regle!$J$23,
IF(Q144=regle!$K$11,regle!$K$23,0))))))))))))</f>
        <v>-176.63399999999999</v>
      </c>
      <c r="AB144" s="17">
        <f>IF($A144,$J144*(IF(R144=regle!$B$11,regle!$B$23*IF(AK144=-2,1+regle!$B$35,1),
IF(R144=regle!$C$11,regle!$C$23,
IF(R144=regle!$D$11,regle!$D$23,
IF(R144=regle!$E$11,regle!$E$23,
IF(R144=regle!$F$11,regle!$F$23,
IF(R144=regle!$G$11,regle!$G$23,
IF(R144=regle!$H$11,regle!$H$23,
IF(R144=regle!$I$11,regle!$I$23,
IF(R144=regle!$J$11,regle!$J$23,
IF(R144=regle!$K$11,regle!$K$23,0))))))))))))</f>
        <v>0</v>
      </c>
      <c r="AC144" s="17">
        <f>IF($A144,$J144*(IF(S144=regle!$B$11,regle!$B$23*IF(AL144=-2,1+regle!$B$35,1),
IF(S144=regle!$C$11,regle!$C$23,
IF(S144=regle!$D$11,regle!$D$23,
IF(S144=regle!$E$11,regle!$E$23,
IF(S144=regle!$F$11,regle!$F$23,
IF(S144=regle!$G$11,regle!$G$23,
IF(S144=regle!$H$11,regle!$H$23,
IF(S144=regle!$I$11,regle!$I$23,
IF(S144=regle!$J$11,regle!$J$23,
IF(S144=regle!$K$11,regle!$K$23,0))))))))))))</f>
        <v>0</v>
      </c>
      <c r="AD144" s="17">
        <f>IF($A144,$J144*(IF(T144=regle!$B$11,regle!$B$23*IF(AM144=-2,1+regle!$B$35,1),
IF(T144=regle!$C$11,regle!$C$23,
IF(T144=regle!$D$11,regle!$D$23,
IF(T144=regle!$E$11,regle!$E$23,
IF(T144=regle!$F$11,regle!$F$23,
IF(T144=regle!$G$11,regle!$G$23,
IF(T144=regle!$H$11,regle!$H$23,
IF(T144=regle!$I$11,regle!$I$23,
IF(T144=regle!$J$11,regle!$J$23,
IF(T144=regle!$K$11,regle!$K$23,0))))))))))))</f>
        <v>0</v>
      </c>
      <c r="AE144" s="17">
        <f>IF($A144,$J144*(IF(U144=regle!$B$11,regle!$B$23*IF(AN144=-2,1+regle!$B$35,1),
IF(U144=regle!$C$11,regle!$C$23,
IF(U144=regle!$D$11,regle!$D$23,
IF(U144=regle!$E$11,regle!$E$23,
IF(U144=regle!$F$11,regle!$F$23,
IF(U144=regle!$G$11,regle!$G$23,
IF(U144=regle!$H$11,regle!$H$23,
IF(U144=regle!$I$11,regle!$I$23,
IF(U144=regle!$J$11,regle!$J$23,
IF(U144=regle!$K$11,regle!$K$23,0))))))))))))</f>
        <v>0</v>
      </c>
      <c r="AF144" s="17">
        <f>IF($A144,$J144*(IF(V144=regle!$B$11,regle!$B$23*IF(AO144=-2,1+regle!$B$35,1),
IF(V144=regle!$C$11,regle!$C$23,
IF(V144=regle!$D$11,regle!$D$23,
IF(V144=regle!$E$11,regle!$E$23,
IF(V144=regle!$F$11,regle!$F$23,
IF(V144=regle!$G$11,regle!$G$23,
IF(V144=regle!$H$11,regle!$H$23,
IF(V144=regle!$I$11,regle!$I$23,
IF(V144=regle!$J$11,regle!$J$23,
IF(V144=regle!$K$11,regle!$K$23,0))))))))))))</f>
        <v>1130.4576</v>
      </c>
      <c r="AG144" s="17">
        <f>IF($A144,$J144*(IF(W144=regle!$B$11,regle!$B$23*IF(AP144=-2,1+regle!$B$35,1),
IF(W144=regle!$C$11,regle!$C$23,
IF(W144=regle!$D$11,regle!$D$23,
IF(W144=regle!$E$11,regle!$E$23,
IF(W144=regle!$F$11,regle!$F$23,
IF(W144=regle!$G$11,regle!$G$23,
IF(W144=regle!$H$11,regle!$H$23,
IF(W144=regle!$I$11,regle!$I$23,
IF(W144=regle!$J$11,regle!$J$23,
IF(W144=regle!$K$11,regle!$K$23,0))))))))))))</f>
        <v>0</v>
      </c>
      <c r="AH144" s="17">
        <f>IF($A144,$J144*(IF(X144=regle!$B$11,regle!$B$23*IF(AQ144=-2,1+regle!$B$35,1),
IF(X144=regle!$C$11,regle!$C$23,
IF(X144=regle!$D$11,regle!$D$23,
IF(X144=regle!$E$11,regle!$E$23,
IF(X144=regle!$F$11,regle!$F$23,
IF(X144=regle!$G$11,regle!$G$23,
IF(X144=regle!$H$11,regle!$H$23,
IF(X144=regle!$I$11,regle!$I$23,
IF(X144=regle!$J$11,regle!$J$23,
IF(X144=regle!$K$11,regle!$K$23,0))))))))))))</f>
        <v>0</v>
      </c>
      <c r="AI144" s="17">
        <f>IF($A144,$J144*(IF(Y144=regle!$B$11,regle!$B$23*IF(AR144=-2,1+regle!$B$35,1),
IF(Y144=regle!$C$11,regle!$C$23,
IF(Y144=regle!$D$11,regle!$D$23,
IF(Y144=regle!$E$11,regle!$E$23,
IF(Y144=regle!$F$11,regle!$F$23,
IF(Y144=regle!$G$11,regle!$G$23,
IF(Y144=regle!$H$11,regle!$H$23,
IF(Y144=regle!$I$11,regle!$I$23,
IF(Y144=regle!$J$11,regle!$J$23,
IF(Y144=regle!$K$11,regle!$K$23,0))))))))))))</f>
        <v>0</v>
      </c>
      <c r="AJ144" s="17">
        <f>IF($A144,$J144*(IF(Z144=regle!$B$11,regle!$B$23*IF(AS144=-2,1+regle!$B$35,1),
IF(Z144=regle!$C$11,regle!$C$23,
IF(Z144=regle!$D$11,regle!$D$23,
IF(Z144=regle!$E$11,regle!$E$23,
IF(Z144=regle!$F$11,regle!$F$23,
IF(Z144=regle!$G$11,regle!$G$23,
IF(Z144=regle!$H$11,regle!$H$23,
IF(Z144=regle!$I$11,regle!$I$23,
IF(Z144=regle!$J$11,regle!$J$23,
IF(Z144=regle!$K$11,regle!$K$23,0))))))))))))</f>
        <v>0</v>
      </c>
      <c r="AK144" s="16">
        <f>IF(OR(Q144=regle!$J$11,Q144=regle!$K$11),-2,IF(Q144=regle!$B$11,0,IF(AK$1=$AK$1,IF($O144,-1,regle!$B$2-$M144),IF(AJ144=-1,-1,AJ144+1))))</f>
        <v>7</v>
      </c>
      <c r="AL144" s="16">
        <f>IF(OR(R144=regle!$J$11,R144=regle!$K$11),-2,IF(R144=regle!$B$11,0,IF(AL$1=$AK$1,IF($O144,-1,regle!$B$2-$M144),IF(AK144=-1,-1,AK144+1))))</f>
        <v>8</v>
      </c>
      <c r="AM144" s="16">
        <f>IF(OR(S144=regle!$J$11,S144=regle!$K$11),-2,IF(S144=regle!$B$11,0,IF(AM$1=$AK$1,IF($O144,-1,regle!$B$2-$M144),IF(AL144=-1,-1,AL144+1))))</f>
        <v>9</v>
      </c>
      <c r="AN144" s="16">
        <f>IF(OR(T144=regle!$J$11,T144=regle!$K$11),-2,IF(T144=regle!$B$11,0,IF(AN$1=$AK$1,IF($O144,-1,regle!$B$2-$M144),IF(AM144=-1,-1,AM144+1))))</f>
        <v>10</v>
      </c>
      <c r="AO144" s="16">
        <f>IF(OR(U144=regle!$J$11,U144=regle!$K$11),-2,IF(U144=regle!$B$11,0,IF(AO$1=$AK$1,IF($O144,-1,regle!$B$2-$M144),IF(AN144=-1,-1,AN144+1))))</f>
        <v>11</v>
      </c>
      <c r="AP144" s="16">
        <f>IF(OR(V144=regle!$J$11,V144=regle!$K$11),-2,IF(V144=regle!$B$11,0,IF(AP$1=$AK$1,IF($O144,-1,regle!$B$2-$M144),IF(AO144=-1,-1,AO144+1))))</f>
        <v>12</v>
      </c>
      <c r="AQ144" s="16">
        <f>IF(OR(W144=regle!$J$11,W144=regle!$K$11),-2,IF(W144=regle!$B$11,0,IF(AQ$1=$AK$1,IF($O144,-1,regle!$B$2-$M144),IF(AP144=-1,-1,AP144+1))))</f>
        <v>13</v>
      </c>
      <c r="AR144" s="16">
        <f>IF(OR(X144=regle!$J$11,X144=regle!$K$11),-2,IF(X144=regle!$B$11,0,IF(AR$1=$AK$1,IF($O144,-1,regle!$B$2-$M144),IF(AQ144=-1,-1,AQ144+1))))</f>
        <v>14</v>
      </c>
      <c r="AS144" s="16">
        <f>IF(OR(Y144=regle!$J$11,Y144=regle!$K$11),-2,IF(Y144=regle!$B$11,0,IF(AS$1=$AK$1,IF($O144,-1,regle!$B$2-$M144),IF(AR144=-1,-1,AR144+1))))</f>
        <v>15</v>
      </c>
      <c r="AT144" s="16">
        <f>IF(OR(Z144=regle!$J$11,Z144=regle!$K$11),-2,IF(Z144=regle!$B$11,0,IF(AT$1=$AK$1,IF($O144,-1,regle!$B$2-$M144),IF(AS144=-1,-1,AS144+1))))</f>
        <v>16</v>
      </c>
    </row>
    <row r="145" spans="1:46" x14ac:dyDescent="0.25">
      <c r="A145" t="b">
        <f>modif1!A145</f>
        <v>1</v>
      </c>
      <c r="B145">
        <f>ROW(modif1!B145)</f>
        <v>145</v>
      </c>
      <c r="C145" t="str">
        <f>modif1!C148</f>
        <v>536</v>
      </c>
      <c r="D145" t="str">
        <f>modif1!D145</f>
        <v>MOUSTEY</v>
      </c>
      <c r="E145">
        <f>modif1!E145</f>
        <v>4</v>
      </c>
      <c r="F145" t="str">
        <f>modif1!F145</f>
        <v>Kycs</v>
      </c>
      <c r="G145" t="str">
        <f>modif1!G145</f>
        <v>0M</v>
      </c>
      <c r="H145">
        <f>modif1!H145</f>
        <v>71</v>
      </c>
      <c r="I145" t="str">
        <f>modif1!I145</f>
        <v>jl</v>
      </c>
      <c r="J145" s="11">
        <f>modif1!J145</f>
        <v>1.5359</v>
      </c>
      <c r="K145" t="str">
        <f>modif1!K145</f>
        <v>PLA</v>
      </c>
      <c r="L145" t="str">
        <f>modif1!L145</f>
        <v>PM</v>
      </c>
      <c r="M145">
        <f>modif1!M145</f>
        <v>2017</v>
      </c>
      <c r="N145" t="str">
        <f>modif1!N145</f>
        <v>PLA-PM_2017</v>
      </c>
      <c r="O145" t="b">
        <f>modif1!O145</f>
        <v>0</v>
      </c>
      <c r="P145">
        <v>40</v>
      </c>
      <c r="Q145" t="s">
        <v>1871</v>
      </c>
      <c r="V145" t="s">
        <v>1803</v>
      </c>
      <c r="Z145"/>
      <c r="AA145" s="17">
        <f>IF($A145,$J145*(IF(Q145=regle!$B$11,regle!$B$23*IF(AJ145=-2,1+regle!$B$35,1),
IF(Q145=regle!$C$11,regle!$C$23,
IF(Q145=regle!$D$11,regle!$D$23,
IF(Q145=regle!$E$11,regle!$E$23,
IF(Q145=regle!$F$11,regle!$F$23,
IF(Q145=regle!$G$11,regle!$G$23,
IF(Q145=regle!$H$11,regle!$H$23,
IF(Q145=regle!$I$11,regle!$I$23,
IF(Q145=regle!$J$11,regle!$J$23,
IF(Q145=regle!$K$11,regle!$K$23,0))))))))))))</f>
        <v>-138.23099999999999</v>
      </c>
      <c r="AB145" s="17">
        <f>IF($A145,$J145*(IF(R145=regle!$B$11,regle!$B$23*IF(AK145=-2,1+regle!$B$35,1),
IF(R145=regle!$C$11,regle!$C$23,
IF(R145=regle!$D$11,regle!$D$23,
IF(R145=regle!$E$11,regle!$E$23,
IF(R145=regle!$F$11,regle!$F$23,
IF(R145=regle!$G$11,regle!$G$23,
IF(R145=regle!$H$11,regle!$H$23,
IF(R145=regle!$I$11,regle!$I$23,
IF(R145=regle!$J$11,regle!$J$23,
IF(R145=regle!$K$11,regle!$K$23,0))))))))))))</f>
        <v>0</v>
      </c>
      <c r="AC145" s="17">
        <f>IF($A145,$J145*(IF(S145=regle!$B$11,regle!$B$23*IF(AL145=-2,1+regle!$B$35,1),
IF(S145=regle!$C$11,regle!$C$23,
IF(S145=regle!$D$11,regle!$D$23,
IF(S145=regle!$E$11,regle!$E$23,
IF(S145=regle!$F$11,regle!$F$23,
IF(S145=regle!$G$11,regle!$G$23,
IF(S145=regle!$H$11,regle!$H$23,
IF(S145=regle!$I$11,regle!$I$23,
IF(S145=regle!$J$11,regle!$J$23,
IF(S145=regle!$K$11,regle!$K$23,0))))))))))))</f>
        <v>0</v>
      </c>
      <c r="AD145" s="17">
        <f>IF($A145,$J145*(IF(T145=regle!$B$11,regle!$B$23*IF(AM145=-2,1+regle!$B$35,1),
IF(T145=regle!$C$11,regle!$C$23,
IF(T145=regle!$D$11,regle!$D$23,
IF(T145=regle!$E$11,regle!$E$23,
IF(T145=regle!$F$11,regle!$F$23,
IF(T145=regle!$G$11,regle!$G$23,
IF(T145=regle!$H$11,regle!$H$23,
IF(T145=regle!$I$11,regle!$I$23,
IF(T145=regle!$J$11,regle!$J$23,
IF(T145=regle!$K$11,regle!$K$23,0))))))))))))</f>
        <v>0</v>
      </c>
      <c r="AE145" s="17">
        <f>IF($A145,$J145*(IF(U145=regle!$B$11,regle!$B$23*IF(AN145=-2,1+regle!$B$35,1),
IF(U145=regle!$C$11,regle!$C$23,
IF(U145=regle!$D$11,regle!$D$23,
IF(U145=regle!$E$11,regle!$E$23,
IF(U145=regle!$F$11,regle!$F$23,
IF(U145=regle!$G$11,regle!$G$23,
IF(U145=regle!$H$11,regle!$H$23,
IF(U145=regle!$I$11,regle!$I$23,
IF(U145=regle!$J$11,regle!$J$23,
IF(U145=regle!$K$11,regle!$K$23,0))))))))))))</f>
        <v>0</v>
      </c>
      <c r="AF145" s="17">
        <f>IF($A145,$J145*(IF(V145=regle!$B$11,regle!$B$23*IF(AO145=-2,1+regle!$B$35,1),
IF(V145=regle!$C$11,regle!$C$23,
IF(V145=regle!$D$11,regle!$D$23,
IF(V145=regle!$E$11,regle!$E$23,
IF(V145=regle!$F$11,regle!$F$23,
IF(V145=regle!$G$11,regle!$G$23,
IF(V145=regle!$H$11,regle!$H$23,
IF(V145=regle!$I$11,regle!$I$23,
IF(V145=regle!$J$11,regle!$J$23,
IF(V145=regle!$K$11,regle!$K$23,0))))))))))))</f>
        <v>884.67840000000001</v>
      </c>
      <c r="AG145" s="17">
        <f>IF($A145,$J145*(IF(W145=regle!$B$11,regle!$B$23*IF(AP145=-2,1+regle!$B$35,1),
IF(W145=regle!$C$11,regle!$C$23,
IF(W145=regle!$D$11,regle!$D$23,
IF(W145=regle!$E$11,regle!$E$23,
IF(W145=regle!$F$11,regle!$F$23,
IF(W145=regle!$G$11,regle!$G$23,
IF(W145=regle!$H$11,regle!$H$23,
IF(W145=regle!$I$11,regle!$I$23,
IF(W145=regle!$J$11,regle!$J$23,
IF(W145=regle!$K$11,regle!$K$23,0))))))))))))</f>
        <v>0</v>
      </c>
      <c r="AH145" s="17">
        <f>IF($A145,$J145*(IF(X145=regle!$B$11,regle!$B$23*IF(AQ145=-2,1+regle!$B$35,1),
IF(X145=regle!$C$11,regle!$C$23,
IF(X145=regle!$D$11,regle!$D$23,
IF(X145=regle!$E$11,regle!$E$23,
IF(X145=regle!$F$11,regle!$F$23,
IF(X145=regle!$G$11,regle!$G$23,
IF(X145=regle!$H$11,regle!$H$23,
IF(X145=regle!$I$11,regle!$I$23,
IF(X145=regle!$J$11,regle!$J$23,
IF(X145=regle!$K$11,regle!$K$23,0))))))))))))</f>
        <v>0</v>
      </c>
      <c r="AI145" s="17">
        <f>IF($A145,$J145*(IF(Y145=regle!$B$11,regle!$B$23*IF(AR145=-2,1+regle!$B$35,1),
IF(Y145=regle!$C$11,regle!$C$23,
IF(Y145=regle!$D$11,regle!$D$23,
IF(Y145=regle!$E$11,regle!$E$23,
IF(Y145=regle!$F$11,regle!$F$23,
IF(Y145=regle!$G$11,regle!$G$23,
IF(Y145=regle!$H$11,regle!$H$23,
IF(Y145=regle!$I$11,regle!$I$23,
IF(Y145=regle!$J$11,regle!$J$23,
IF(Y145=regle!$K$11,regle!$K$23,0))))))))))))</f>
        <v>0</v>
      </c>
      <c r="AJ145" s="17">
        <f>IF($A145,$J145*(IF(Z145=regle!$B$11,regle!$B$23*IF(AS145=-2,1+regle!$B$35,1),
IF(Z145=regle!$C$11,regle!$C$23,
IF(Z145=regle!$D$11,regle!$D$23,
IF(Z145=regle!$E$11,regle!$E$23,
IF(Z145=regle!$F$11,regle!$F$23,
IF(Z145=regle!$G$11,regle!$G$23,
IF(Z145=regle!$H$11,regle!$H$23,
IF(Z145=regle!$I$11,regle!$I$23,
IF(Z145=regle!$J$11,regle!$J$23,
IF(Z145=regle!$K$11,regle!$K$23,0))))))))))))</f>
        <v>0</v>
      </c>
      <c r="AK145" s="16">
        <f>IF(OR(Q145=regle!$J$11,Q145=regle!$K$11),-2,IF(Q145=regle!$B$11,0,IF(AK$1=$AK$1,IF($O145,-1,regle!$B$2-$M145),IF(AJ145=-1,-1,AJ145+1))))</f>
        <v>7</v>
      </c>
      <c r="AL145" s="16">
        <f>IF(OR(R145=regle!$J$11,R145=regle!$K$11),-2,IF(R145=regle!$B$11,0,IF(AL$1=$AK$1,IF($O145,-1,regle!$B$2-$M145),IF(AK145=-1,-1,AK145+1))))</f>
        <v>8</v>
      </c>
      <c r="AM145" s="16">
        <f>IF(OR(S145=regle!$J$11,S145=regle!$K$11),-2,IF(S145=regle!$B$11,0,IF(AM$1=$AK$1,IF($O145,-1,regle!$B$2-$M145),IF(AL145=-1,-1,AL145+1))))</f>
        <v>9</v>
      </c>
      <c r="AN145" s="16">
        <f>IF(OR(T145=regle!$J$11,T145=regle!$K$11),-2,IF(T145=regle!$B$11,0,IF(AN$1=$AK$1,IF($O145,-1,regle!$B$2-$M145),IF(AM145=-1,-1,AM145+1))))</f>
        <v>10</v>
      </c>
      <c r="AO145" s="16">
        <f>IF(OR(U145=regle!$J$11,U145=regle!$K$11),-2,IF(U145=regle!$B$11,0,IF(AO$1=$AK$1,IF($O145,-1,regle!$B$2-$M145),IF(AN145=-1,-1,AN145+1))))</f>
        <v>11</v>
      </c>
      <c r="AP145" s="16">
        <f>IF(OR(V145=regle!$J$11,V145=regle!$K$11),-2,IF(V145=regle!$B$11,0,IF(AP$1=$AK$1,IF($O145,-1,regle!$B$2-$M145),IF(AO145=-1,-1,AO145+1))))</f>
        <v>12</v>
      </c>
      <c r="AQ145" s="16">
        <f>IF(OR(W145=regle!$J$11,W145=regle!$K$11),-2,IF(W145=regle!$B$11,0,IF(AQ$1=$AK$1,IF($O145,-1,regle!$B$2-$M145),IF(AP145=-1,-1,AP145+1))))</f>
        <v>13</v>
      </c>
      <c r="AR145" s="16">
        <f>IF(OR(X145=regle!$J$11,X145=regle!$K$11),-2,IF(X145=regle!$B$11,0,IF(AR$1=$AK$1,IF($O145,-1,regle!$B$2-$M145),IF(AQ145=-1,-1,AQ145+1))))</f>
        <v>14</v>
      </c>
      <c r="AS145" s="16">
        <f>IF(OR(Y145=regle!$J$11,Y145=regle!$K$11),-2,IF(Y145=regle!$B$11,0,IF(AS$1=$AK$1,IF($O145,-1,regle!$B$2-$M145),IF(AR145=-1,-1,AR145+1))))</f>
        <v>15</v>
      </c>
      <c r="AT145" s="16">
        <f>IF(OR(Z145=regle!$J$11,Z145=regle!$K$11),-2,IF(Z145=regle!$B$11,0,IF(AT$1=$AK$1,IF($O145,-1,regle!$B$2-$M145),IF(AS145=-1,-1,AS145+1))))</f>
        <v>16</v>
      </c>
    </row>
    <row r="146" spans="1:46" x14ac:dyDescent="0.25">
      <c r="A146" t="b">
        <f>modif1!A146</f>
        <v>1</v>
      </c>
      <c r="B146">
        <f>ROW(modif1!B146)</f>
        <v>146</v>
      </c>
      <c r="C146" t="str">
        <f>modif1!C149</f>
        <v>536</v>
      </c>
      <c r="D146" t="str">
        <f>modif1!D146</f>
        <v>MOUSTEY</v>
      </c>
      <c r="E146">
        <f>modif1!E146</f>
        <v>4</v>
      </c>
      <c r="F146" t="str">
        <f>modif1!F146</f>
        <v>Kycs</v>
      </c>
      <c r="G146" t="str">
        <f>modif1!G146</f>
        <v>0M</v>
      </c>
      <c r="H146">
        <f>modif1!H146</f>
        <v>80</v>
      </c>
      <c r="I146" t="str">
        <f>modif1!I146</f>
        <v>p</v>
      </c>
      <c r="J146" s="11">
        <f>modif1!J146</f>
        <v>1.2216</v>
      </c>
      <c r="K146" t="str">
        <f>modif1!K146</f>
        <v>PLA</v>
      </c>
      <c r="L146" t="str">
        <f>modif1!L146</f>
        <v>PM</v>
      </c>
      <c r="M146">
        <f>modif1!M146</f>
        <v>2017</v>
      </c>
      <c r="N146" t="str">
        <f>modif1!N146</f>
        <v>PLA-PM_2017</v>
      </c>
      <c r="O146" t="b">
        <f>modif1!O146</f>
        <v>0</v>
      </c>
      <c r="P146">
        <v>40</v>
      </c>
      <c r="Q146" t="s">
        <v>1871</v>
      </c>
      <c r="V146" t="s">
        <v>1803</v>
      </c>
      <c r="Z146"/>
      <c r="AA146" s="17">
        <f>IF($A146,$J146*(IF(Q146=regle!$B$11,regle!$B$23*IF(AJ146=-2,1+regle!$B$35,1),
IF(Q146=regle!$C$11,regle!$C$23,
IF(Q146=regle!$D$11,regle!$D$23,
IF(Q146=regle!$E$11,regle!$E$23,
IF(Q146=regle!$F$11,regle!$F$23,
IF(Q146=regle!$G$11,regle!$G$23,
IF(Q146=regle!$H$11,regle!$H$23,
IF(Q146=regle!$I$11,regle!$I$23,
IF(Q146=regle!$J$11,regle!$J$23,
IF(Q146=regle!$K$11,regle!$K$23,0))))))))))))</f>
        <v>-109.944</v>
      </c>
      <c r="AB146" s="17">
        <f>IF($A146,$J146*(IF(R146=regle!$B$11,regle!$B$23*IF(AK146=-2,1+regle!$B$35,1),
IF(R146=regle!$C$11,regle!$C$23,
IF(R146=regle!$D$11,regle!$D$23,
IF(R146=regle!$E$11,regle!$E$23,
IF(R146=regle!$F$11,regle!$F$23,
IF(R146=regle!$G$11,regle!$G$23,
IF(R146=regle!$H$11,regle!$H$23,
IF(R146=regle!$I$11,regle!$I$23,
IF(R146=regle!$J$11,regle!$J$23,
IF(R146=regle!$K$11,regle!$K$23,0))))))))))))</f>
        <v>0</v>
      </c>
      <c r="AC146" s="17">
        <f>IF($A146,$J146*(IF(S146=regle!$B$11,regle!$B$23*IF(AL146=-2,1+regle!$B$35,1),
IF(S146=regle!$C$11,regle!$C$23,
IF(S146=regle!$D$11,regle!$D$23,
IF(S146=regle!$E$11,regle!$E$23,
IF(S146=regle!$F$11,regle!$F$23,
IF(S146=regle!$G$11,regle!$G$23,
IF(S146=regle!$H$11,regle!$H$23,
IF(S146=regle!$I$11,regle!$I$23,
IF(S146=regle!$J$11,regle!$J$23,
IF(S146=regle!$K$11,regle!$K$23,0))))))))))))</f>
        <v>0</v>
      </c>
      <c r="AD146" s="17">
        <f>IF($A146,$J146*(IF(T146=regle!$B$11,regle!$B$23*IF(AM146=-2,1+regle!$B$35,1),
IF(T146=regle!$C$11,regle!$C$23,
IF(T146=regle!$D$11,regle!$D$23,
IF(T146=regle!$E$11,regle!$E$23,
IF(T146=regle!$F$11,regle!$F$23,
IF(T146=regle!$G$11,regle!$G$23,
IF(T146=regle!$H$11,regle!$H$23,
IF(T146=regle!$I$11,regle!$I$23,
IF(T146=regle!$J$11,regle!$J$23,
IF(T146=regle!$K$11,regle!$K$23,0))))))))))))</f>
        <v>0</v>
      </c>
      <c r="AE146" s="17">
        <f>IF($A146,$J146*(IF(U146=regle!$B$11,regle!$B$23*IF(AN146=-2,1+regle!$B$35,1),
IF(U146=regle!$C$11,regle!$C$23,
IF(U146=regle!$D$11,regle!$D$23,
IF(U146=regle!$E$11,regle!$E$23,
IF(U146=regle!$F$11,regle!$F$23,
IF(U146=regle!$G$11,regle!$G$23,
IF(U146=regle!$H$11,regle!$H$23,
IF(U146=regle!$I$11,regle!$I$23,
IF(U146=regle!$J$11,regle!$J$23,
IF(U146=regle!$K$11,regle!$K$23,0))))))))))))</f>
        <v>0</v>
      </c>
      <c r="AF146" s="17">
        <f>IF($A146,$J146*(IF(V146=regle!$B$11,regle!$B$23*IF(AO146=-2,1+regle!$B$35,1),
IF(V146=regle!$C$11,regle!$C$23,
IF(V146=regle!$D$11,regle!$D$23,
IF(V146=regle!$E$11,regle!$E$23,
IF(V146=regle!$F$11,regle!$F$23,
IF(V146=regle!$G$11,regle!$G$23,
IF(V146=regle!$H$11,regle!$H$23,
IF(V146=regle!$I$11,regle!$I$23,
IF(V146=regle!$J$11,regle!$J$23,
IF(V146=regle!$K$11,regle!$K$23,0))))))))))))</f>
        <v>703.64160000000004</v>
      </c>
      <c r="AG146" s="17">
        <f>IF($A146,$J146*(IF(W146=regle!$B$11,regle!$B$23*IF(AP146=-2,1+regle!$B$35,1),
IF(W146=regle!$C$11,regle!$C$23,
IF(W146=regle!$D$11,regle!$D$23,
IF(W146=regle!$E$11,regle!$E$23,
IF(W146=regle!$F$11,regle!$F$23,
IF(W146=regle!$G$11,regle!$G$23,
IF(W146=regle!$H$11,regle!$H$23,
IF(W146=regle!$I$11,regle!$I$23,
IF(W146=regle!$J$11,regle!$J$23,
IF(W146=regle!$K$11,regle!$K$23,0))))))))))))</f>
        <v>0</v>
      </c>
      <c r="AH146" s="17">
        <f>IF($A146,$J146*(IF(X146=regle!$B$11,regle!$B$23*IF(AQ146=-2,1+regle!$B$35,1),
IF(X146=regle!$C$11,regle!$C$23,
IF(X146=regle!$D$11,regle!$D$23,
IF(X146=regle!$E$11,regle!$E$23,
IF(X146=regle!$F$11,regle!$F$23,
IF(X146=regle!$G$11,regle!$G$23,
IF(X146=regle!$H$11,regle!$H$23,
IF(X146=regle!$I$11,regle!$I$23,
IF(X146=regle!$J$11,regle!$J$23,
IF(X146=regle!$K$11,regle!$K$23,0))))))))))))</f>
        <v>0</v>
      </c>
      <c r="AI146" s="17">
        <f>IF($A146,$J146*(IF(Y146=regle!$B$11,regle!$B$23*IF(AR146=-2,1+regle!$B$35,1),
IF(Y146=regle!$C$11,regle!$C$23,
IF(Y146=regle!$D$11,regle!$D$23,
IF(Y146=regle!$E$11,regle!$E$23,
IF(Y146=regle!$F$11,regle!$F$23,
IF(Y146=regle!$G$11,regle!$G$23,
IF(Y146=regle!$H$11,regle!$H$23,
IF(Y146=regle!$I$11,regle!$I$23,
IF(Y146=regle!$J$11,regle!$J$23,
IF(Y146=regle!$K$11,regle!$K$23,0))))))))))))</f>
        <v>0</v>
      </c>
      <c r="AJ146" s="17">
        <f>IF($A146,$J146*(IF(Z146=regle!$B$11,regle!$B$23*IF(AS146=-2,1+regle!$B$35,1),
IF(Z146=regle!$C$11,regle!$C$23,
IF(Z146=regle!$D$11,regle!$D$23,
IF(Z146=regle!$E$11,regle!$E$23,
IF(Z146=regle!$F$11,regle!$F$23,
IF(Z146=regle!$G$11,regle!$G$23,
IF(Z146=regle!$H$11,regle!$H$23,
IF(Z146=regle!$I$11,regle!$I$23,
IF(Z146=regle!$J$11,regle!$J$23,
IF(Z146=regle!$K$11,regle!$K$23,0))))))))))))</f>
        <v>0</v>
      </c>
      <c r="AK146" s="16">
        <f>IF(OR(Q146=regle!$J$11,Q146=regle!$K$11),-2,IF(Q146=regle!$B$11,0,IF(AK$1=$AK$1,IF($O146,-1,regle!$B$2-$M146),IF(AJ146=-1,-1,AJ146+1))))</f>
        <v>7</v>
      </c>
      <c r="AL146" s="16">
        <f>IF(OR(R146=regle!$J$11,R146=regle!$K$11),-2,IF(R146=regle!$B$11,0,IF(AL$1=$AK$1,IF($O146,-1,regle!$B$2-$M146),IF(AK146=-1,-1,AK146+1))))</f>
        <v>8</v>
      </c>
      <c r="AM146" s="16">
        <f>IF(OR(S146=regle!$J$11,S146=regle!$K$11),-2,IF(S146=regle!$B$11,0,IF(AM$1=$AK$1,IF($O146,-1,regle!$B$2-$M146),IF(AL146=-1,-1,AL146+1))))</f>
        <v>9</v>
      </c>
      <c r="AN146" s="16">
        <f>IF(OR(T146=regle!$J$11,T146=regle!$K$11),-2,IF(T146=regle!$B$11,0,IF(AN$1=$AK$1,IF($O146,-1,regle!$B$2-$M146),IF(AM146=-1,-1,AM146+1))))</f>
        <v>10</v>
      </c>
      <c r="AO146" s="16">
        <f>IF(OR(U146=regle!$J$11,U146=regle!$K$11),-2,IF(U146=regle!$B$11,0,IF(AO$1=$AK$1,IF($O146,-1,regle!$B$2-$M146),IF(AN146=-1,-1,AN146+1))))</f>
        <v>11</v>
      </c>
      <c r="AP146" s="16">
        <f>IF(OR(V146=regle!$J$11,V146=regle!$K$11),-2,IF(V146=regle!$B$11,0,IF(AP$1=$AK$1,IF($O146,-1,regle!$B$2-$M146),IF(AO146=-1,-1,AO146+1))))</f>
        <v>12</v>
      </c>
      <c r="AQ146" s="16">
        <f>IF(OR(W146=regle!$J$11,W146=regle!$K$11),-2,IF(W146=regle!$B$11,0,IF(AQ$1=$AK$1,IF($O146,-1,regle!$B$2-$M146),IF(AP146=-1,-1,AP146+1))))</f>
        <v>13</v>
      </c>
      <c r="AR146" s="16">
        <f>IF(OR(X146=regle!$J$11,X146=regle!$K$11),-2,IF(X146=regle!$B$11,0,IF(AR$1=$AK$1,IF($O146,-1,regle!$B$2-$M146),IF(AQ146=-1,-1,AQ146+1))))</f>
        <v>14</v>
      </c>
      <c r="AS146" s="16">
        <f>IF(OR(Y146=regle!$J$11,Y146=regle!$K$11),-2,IF(Y146=regle!$B$11,0,IF(AS$1=$AK$1,IF($O146,-1,regle!$B$2-$M146),IF(AR146=-1,-1,AR146+1))))</f>
        <v>15</v>
      </c>
      <c r="AT146" s="16">
        <f>IF(OR(Z146=regle!$J$11,Z146=regle!$K$11),-2,IF(Z146=regle!$B$11,0,IF(AT$1=$AK$1,IF($O146,-1,regle!$B$2-$M146),IF(AS146=-1,-1,AS146+1))))</f>
        <v>16</v>
      </c>
    </row>
    <row r="147" spans="1:46" x14ac:dyDescent="0.25">
      <c r="A147" t="b">
        <f>modif1!A147</f>
        <v>1</v>
      </c>
      <c r="B147">
        <f>ROW(modif1!B147)</f>
        <v>147</v>
      </c>
      <c r="C147" t="str">
        <f>modif1!C150</f>
        <v>536</v>
      </c>
      <c r="D147" t="str">
        <f>modif1!D147</f>
        <v>LE TUZAN</v>
      </c>
      <c r="E147">
        <f>modif1!E147</f>
        <v>21</v>
      </c>
      <c r="F147" t="str">
        <f>modif1!F147</f>
        <v>METAIRIES DE TABARTON</v>
      </c>
      <c r="G147" t="str">
        <f>modif1!G147</f>
        <v>0A</v>
      </c>
      <c r="H147">
        <f>modif1!H147</f>
        <v>422</v>
      </c>
      <c r="I147" t="str">
        <f>modif1!I147</f>
        <v>c</v>
      </c>
      <c r="J147" s="11">
        <f>modif1!J147</f>
        <v>0.65100000000000002</v>
      </c>
      <c r="K147" t="str">
        <f>modif1!K147</f>
        <v>PLA</v>
      </c>
      <c r="L147" t="str">
        <f>modif1!L147</f>
        <v>PM</v>
      </c>
      <c r="M147">
        <f>modif1!M147</f>
        <v>2017</v>
      </c>
      <c r="N147" t="str">
        <f>modif1!N147</f>
        <v>PLA-PM_2017</v>
      </c>
      <c r="O147" t="b">
        <f>modif1!O147</f>
        <v>0</v>
      </c>
      <c r="P147">
        <v>40</v>
      </c>
      <c r="Q147" t="s">
        <v>1871</v>
      </c>
      <c r="V147" t="s">
        <v>1803</v>
      </c>
      <c r="Z147"/>
      <c r="AA147" s="17">
        <f>IF($A147,$J147*(IF(Q147=regle!$B$11,regle!$B$23*IF(AJ147=-2,1+regle!$B$35,1),
IF(Q147=regle!$C$11,regle!$C$23,
IF(Q147=regle!$D$11,regle!$D$23,
IF(Q147=regle!$E$11,regle!$E$23,
IF(Q147=regle!$F$11,regle!$F$23,
IF(Q147=regle!$G$11,regle!$G$23,
IF(Q147=regle!$H$11,regle!$H$23,
IF(Q147=regle!$I$11,regle!$I$23,
IF(Q147=regle!$J$11,regle!$J$23,
IF(Q147=regle!$K$11,regle!$K$23,0))))))))))))</f>
        <v>-58.59</v>
      </c>
      <c r="AB147" s="17">
        <f>IF($A147,$J147*(IF(R147=regle!$B$11,regle!$B$23*IF(AK147=-2,1+regle!$B$35,1),
IF(R147=regle!$C$11,regle!$C$23,
IF(R147=regle!$D$11,regle!$D$23,
IF(R147=regle!$E$11,regle!$E$23,
IF(R147=regle!$F$11,regle!$F$23,
IF(R147=regle!$G$11,regle!$G$23,
IF(R147=regle!$H$11,regle!$H$23,
IF(R147=regle!$I$11,regle!$I$23,
IF(R147=regle!$J$11,regle!$J$23,
IF(R147=regle!$K$11,regle!$K$23,0))))))))))))</f>
        <v>0</v>
      </c>
      <c r="AC147" s="17">
        <f>IF($A147,$J147*(IF(S147=regle!$B$11,regle!$B$23*IF(AL147=-2,1+regle!$B$35,1),
IF(S147=regle!$C$11,regle!$C$23,
IF(S147=regle!$D$11,regle!$D$23,
IF(S147=regle!$E$11,regle!$E$23,
IF(S147=regle!$F$11,regle!$F$23,
IF(S147=regle!$G$11,regle!$G$23,
IF(S147=regle!$H$11,regle!$H$23,
IF(S147=regle!$I$11,regle!$I$23,
IF(S147=regle!$J$11,regle!$J$23,
IF(S147=regle!$K$11,regle!$K$23,0))))))))))))</f>
        <v>0</v>
      </c>
      <c r="AD147" s="17">
        <f>IF($A147,$J147*(IF(T147=regle!$B$11,regle!$B$23*IF(AM147=-2,1+regle!$B$35,1),
IF(T147=regle!$C$11,regle!$C$23,
IF(T147=regle!$D$11,regle!$D$23,
IF(T147=regle!$E$11,regle!$E$23,
IF(T147=regle!$F$11,regle!$F$23,
IF(T147=regle!$G$11,regle!$G$23,
IF(T147=regle!$H$11,regle!$H$23,
IF(T147=regle!$I$11,regle!$I$23,
IF(T147=regle!$J$11,regle!$J$23,
IF(T147=regle!$K$11,regle!$K$23,0))))))))))))</f>
        <v>0</v>
      </c>
      <c r="AE147" s="17">
        <f>IF($A147,$J147*(IF(U147=regle!$B$11,regle!$B$23*IF(AN147=-2,1+regle!$B$35,1),
IF(U147=regle!$C$11,regle!$C$23,
IF(U147=regle!$D$11,regle!$D$23,
IF(U147=regle!$E$11,regle!$E$23,
IF(U147=regle!$F$11,regle!$F$23,
IF(U147=regle!$G$11,regle!$G$23,
IF(U147=regle!$H$11,regle!$H$23,
IF(U147=regle!$I$11,regle!$I$23,
IF(U147=regle!$J$11,regle!$J$23,
IF(U147=regle!$K$11,regle!$K$23,0))))))))))))</f>
        <v>0</v>
      </c>
      <c r="AF147" s="17">
        <f>IF($A147,$J147*(IF(V147=regle!$B$11,regle!$B$23*IF(AO147=-2,1+regle!$B$35,1),
IF(V147=regle!$C$11,regle!$C$23,
IF(V147=regle!$D$11,regle!$D$23,
IF(V147=regle!$E$11,regle!$E$23,
IF(V147=regle!$F$11,regle!$F$23,
IF(V147=regle!$G$11,regle!$G$23,
IF(V147=regle!$H$11,regle!$H$23,
IF(V147=regle!$I$11,regle!$I$23,
IF(V147=regle!$J$11,regle!$J$23,
IF(V147=regle!$K$11,regle!$K$23,0))))))))))))</f>
        <v>374.976</v>
      </c>
      <c r="AG147" s="17">
        <f>IF($A147,$J147*(IF(W147=regle!$B$11,regle!$B$23*IF(AP147=-2,1+regle!$B$35,1),
IF(W147=regle!$C$11,regle!$C$23,
IF(W147=regle!$D$11,regle!$D$23,
IF(W147=regle!$E$11,regle!$E$23,
IF(W147=regle!$F$11,regle!$F$23,
IF(W147=regle!$G$11,regle!$G$23,
IF(W147=regle!$H$11,regle!$H$23,
IF(W147=regle!$I$11,regle!$I$23,
IF(W147=regle!$J$11,regle!$J$23,
IF(W147=regle!$K$11,regle!$K$23,0))))))))))))</f>
        <v>0</v>
      </c>
      <c r="AH147" s="17">
        <f>IF($A147,$J147*(IF(X147=regle!$B$11,regle!$B$23*IF(AQ147=-2,1+regle!$B$35,1),
IF(X147=regle!$C$11,regle!$C$23,
IF(X147=regle!$D$11,regle!$D$23,
IF(X147=regle!$E$11,regle!$E$23,
IF(X147=regle!$F$11,regle!$F$23,
IF(X147=regle!$G$11,regle!$G$23,
IF(X147=regle!$H$11,regle!$H$23,
IF(X147=regle!$I$11,regle!$I$23,
IF(X147=regle!$J$11,regle!$J$23,
IF(X147=regle!$K$11,regle!$K$23,0))))))))))))</f>
        <v>0</v>
      </c>
      <c r="AI147" s="17">
        <f>IF($A147,$J147*(IF(Y147=regle!$B$11,regle!$B$23*IF(AR147=-2,1+regle!$B$35,1),
IF(Y147=regle!$C$11,regle!$C$23,
IF(Y147=regle!$D$11,regle!$D$23,
IF(Y147=regle!$E$11,regle!$E$23,
IF(Y147=regle!$F$11,regle!$F$23,
IF(Y147=regle!$G$11,regle!$G$23,
IF(Y147=regle!$H$11,regle!$H$23,
IF(Y147=regle!$I$11,regle!$I$23,
IF(Y147=regle!$J$11,regle!$J$23,
IF(Y147=regle!$K$11,regle!$K$23,0))))))))))))</f>
        <v>0</v>
      </c>
      <c r="AJ147" s="17">
        <f>IF($A147,$J147*(IF(Z147=regle!$B$11,regle!$B$23*IF(AS147=-2,1+regle!$B$35,1),
IF(Z147=regle!$C$11,regle!$C$23,
IF(Z147=regle!$D$11,regle!$D$23,
IF(Z147=regle!$E$11,regle!$E$23,
IF(Z147=regle!$F$11,regle!$F$23,
IF(Z147=regle!$G$11,regle!$G$23,
IF(Z147=regle!$H$11,regle!$H$23,
IF(Z147=regle!$I$11,regle!$I$23,
IF(Z147=regle!$J$11,regle!$J$23,
IF(Z147=regle!$K$11,regle!$K$23,0))))))))))))</f>
        <v>0</v>
      </c>
      <c r="AK147" s="16">
        <f>IF(OR(Q147=regle!$J$11,Q147=regle!$K$11),-2,IF(Q147=regle!$B$11,0,IF(AK$1=$AK$1,IF($O147,-1,regle!$B$2-$M147),IF(AJ147=-1,-1,AJ147+1))))</f>
        <v>7</v>
      </c>
      <c r="AL147" s="16">
        <f>IF(OR(R147=regle!$J$11,R147=regle!$K$11),-2,IF(R147=regle!$B$11,0,IF(AL$1=$AK$1,IF($O147,-1,regle!$B$2-$M147),IF(AK147=-1,-1,AK147+1))))</f>
        <v>8</v>
      </c>
      <c r="AM147" s="16">
        <f>IF(OR(S147=regle!$J$11,S147=regle!$K$11),-2,IF(S147=regle!$B$11,0,IF(AM$1=$AK$1,IF($O147,-1,regle!$B$2-$M147),IF(AL147=-1,-1,AL147+1))))</f>
        <v>9</v>
      </c>
      <c r="AN147" s="16">
        <f>IF(OR(T147=regle!$J$11,T147=regle!$K$11),-2,IF(T147=regle!$B$11,0,IF(AN$1=$AK$1,IF($O147,-1,regle!$B$2-$M147),IF(AM147=-1,-1,AM147+1))))</f>
        <v>10</v>
      </c>
      <c r="AO147" s="16">
        <f>IF(OR(U147=regle!$J$11,U147=regle!$K$11),-2,IF(U147=regle!$B$11,0,IF(AO$1=$AK$1,IF($O147,-1,regle!$B$2-$M147),IF(AN147=-1,-1,AN147+1))))</f>
        <v>11</v>
      </c>
      <c r="AP147" s="16">
        <f>IF(OR(V147=regle!$J$11,V147=regle!$K$11),-2,IF(V147=regle!$B$11,0,IF(AP$1=$AK$1,IF($O147,-1,regle!$B$2-$M147),IF(AO147=-1,-1,AO147+1))))</f>
        <v>12</v>
      </c>
      <c r="AQ147" s="16">
        <f>IF(OR(W147=regle!$J$11,W147=regle!$K$11),-2,IF(W147=regle!$B$11,0,IF(AQ$1=$AK$1,IF($O147,-1,regle!$B$2-$M147),IF(AP147=-1,-1,AP147+1))))</f>
        <v>13</v>
      </c>
      <c r="AR147" s="16">
        <f>IF(OR(X147=regle!$J$11,X147=regle!$K$11),-2,IF(X147=regle!$B$11,0,IF(AR$1=$AK$1,IF($O147,-1,regle!$B$2-$M147),IF(AQ147=-1,-1,AQ147+1))))</f>
        <v>14</v>
      </c>
      <c r="AS147" s="16">
        <f>IF(OR(Y147=regle!$J$11,Y147=regle!$K$11),-2,IF(Y147=regle!$B$11,0,IF(AS$1=$AK$1,IF($O147,-1,regle!$B$2-$M147),IF(AR147=-1,-1,AR147+1))))</f>
        <v>15</v>
      </c>
      <c r="AT147" s="16">
        <f>IF(OR(Z147=regle!$J$11,Z147=regle!$K$11),-2,IF(Z147=regle!$B$11,0,IF(AT$1=$AK$1,IF($O147,-1,regle!$B$2-$M147),IF(AS147=-1,-1,AS147+1))))</f>
        <v>16</v>
      </c>
    </row>
    <row r="148" spans="1:46" x14ac:dyDescent="0.25">
      <c r="A148" t="b">
        <f>modif1!A148</f>
        <v>1</v>
      </c>
      <c r="B148">
        <f>ROW(modif1!B148)</f>
        <v>148</v>
      </c>
      <c r="C148" t="str">
        <f>modif1!C151</f>
        <v>200</v>
      </c>
      <c r="D148" t="str">
        <f>modif1!D148</f>
        <v>LE TUZAN</v>
      </c>
      <c r="E148">
        <f>modif1!E148</f>
        <v>11</v>
      </c>
      <c r="F148" t="str">
        <f>modif1!F148</f>
        <v>LA HONTEYRE</v>
      </c>
      <c r="G148" t="str">
        <f>modif1!G148</f>
        <v>0A</v>
      </c>
      <c r="H148">
        <f>modif1!H148</f>
        <v>254</v>
      </c>
      <c r="I148" t="str">
        <f>modif1!I148</f>
        <v>m</v>
      </c>
      <c r="J148" s="11">
        <f>modif1!J148</f>
        <v>0.63570000000000004</v>
      </c>
      <c r="K148" t="str">
        <f>modif1!K148</f>
        <v>PLA</v>
      </c>
      <c r="L148" t="str">
        <f>modif1!L148</f>
        <v>PM</v>
      </c>
      <c r="M148">
        <f>modif1!M148</f>
        <v>2017</v>
      </c>
      <c r="N148" t="str">
        <f>modif1!N148</f>
        <v>PLA-PM_2017</v>
      </c>
      <c r="O148" t="b">
        <f>modif1!O148</f>
        <v>0</v>
      </c>
      <c r="P148">
        <v>40</v>
      </c>
      <c r="Q148" t="s">
        <v>1871</v>
      </c>
      <c r="V148" t="s">
        <v>1803</v>
      </c>
      <c r="Z148"/>
      <c r="AA148" s="17">
        <f>IF($A148,$J148*(IF(Q148=regle!$B$11,regle!$B$23*IF(AJ148=-2,1+regle!$B$35,1),
IF(Q148=regle!$C$11,regle!$C$23,
IF(Q148=regle!$D$11,regle!$D$23,
IF(Q148=regle!$E$11,regle!$E$23,
IF(Q148=regle!$F$11,regle!$F$23,
IF(Q148=regle!$G$11,regle!$G$23,
IF(Q148=regle!$H$11,regle!$H$23,
IF(Q148=regle!$I$11,regle!$I$23,
IF(Q148=regle!$J$11,regle!$J$23,
IF(Q148=regle!$K$11,regle!$K$23,0))))))))))))</f>
        <v>-57.213000000000001</v>
      </c>
      <c r="AB148" s="17">
        <f>IF($A148,$J148*(IF(R148=regle!$B$11,regle!$B$23*IF(AK148=-2,1+regle!$B$35,1),
IF(R148=regle!$C$11,regle!$C$23,
IF(R148=regle!$D$11,regle!$D$23,
IF(R148=regle!$E$11,regle!$E$23,
IF(R148=regle!$F$11,regle!$F$23,
IF(R148=regle!$G$11,regle!$G$23,
IF(R148=regle!$H$11,regle!$H$23,
IF(R148=regle!$I$11,regle!$I$23,
IF(R148=regle!$J$11,regle!$J$23,
IF(R148=regle!$K$11,regle!$K$23,0))))))))))))</f>
        <v>0</v>
      </c>
      <c r="AC148" s="17">
        <f>IF($A148,$J148*(IF(S148=regle!$B$11,regle!$B$23*IF(AL148=-2,1+regle!$B$35,1),
IF(S148=regle!$C$11,regle!$C$23,
IF(S148=regle!$D$11,regle!$D$23,
IF(S148=regle!$E$11,regle!$E$23,
IF(S148=regle!$F$11,regle!$F$23,
IF(S148=regle!$G$11,regle!$G$23,
IF(S148=regle!$H$11,regle!$H$23,
IF(S148=regle!$I$11,regle!$I$23,
IF(S148=regle!$J$11,regle!$J$23,
IF(S148=regle!$K$11,regle!$K$23,0))))))))))))</f>
        <v>0</v>
      </c>
      <c r="AD148" s="17">
        <f>IF($A148,$J148*(IF(T148=regle!$B$11,regle!$B$23*IF(AM148=-2,1+regle!$B$35,1),
IF(T148=regle!$C$11,regle!$C$23,
IF(T148=regle!$D$11,regle!$D$23,
IF(T148=regle!$E$11,regle!$E$23,
IF(T148=regle!$F$11,regle!$F$23,
IF(T148=regle!$G$11,regle!$G$23,
IF(T148=regle!$H$11,regle!$H$23,
IF(T148=regle!$I$11,regle!$I$23,
IF(T148=regle!$J$11,regle!$J$23,
IF(T148=regle!$K$11,regle!$K$23,0))))))))))))</f>
        <v>0</v>
      </c>
      <c r="AE148" s="17">
        <f>IF($A148,$J148*(IF(U148=regle!$B$11,regle!$B$23*IF(AN148=-2,1+regle!$B$35,1),
IF(U148=regle!$C$11,regle!$C$23,
IF(U148=regle!$D$11,regle!$D$23,
IF(U148=regle!$E$11,regle!$E$23,
IF(U148=regle!$F$11,regle!$F$23,
IF(U148=regle!$G$11,regle!$G$23,
IF(U148=regle!$H$11,regle!$H$23,
IF(U148=regle!$I$11,regle!$I$23,
IF(U148=regle!$J$11,regle!$J$23,
IF(U148=regle!$K$11,regle!$K$23,0))))))))))))</f>
        <v>0</v>
      </c>
      <c r="AF148" s="17">
        <f>IF($A148,$J148*(IF(V148=regle!$B$11,regle!$B$23*IF(AO148=-2,1+regle!$B$35,1),
IF(V148=regle!$C$11,regle!$C$23,
IF(V148=regle!$D$11,regle!$D$23,
IF(V148=regle!$E$11,regle!$E$23,
IF(V148=regle!$F$11,regle!$F$23,
IF(V148=regle!$G$11,regle!$G$23,
IF(V148=regle!$H$11,regle!$H$23,
IF(V148=regle!$I$11,regle!$I$23,
IF(V148=regle!$J$11,regle!$J$23,
IF(V148=regle!$K$11,regle!$K$23,0))))))))))))</f>
        <v>366.16320000000002</v>
      </c>
      <c r="AG148" s="17">
        <f>IF($A148,$J148*(IF(W148=regle!$B$11,regle!$B$23*IF(AP148=-2,1+regle!$B$35,1),
IF(W148=regle!$C$11,regle!$C$23,
IF(W148=regle!$D$11,regle!$D$23,
IF(W148=regle!$E$11,regle!$E$23,
IF(W148=regle!$F$11,regle!$F$23,
IF(W148=regle!$G$11,regle!$G$23,
IF(W148=regle!$H$11,regle!$H$23,
IF(W148=regle!$I$11,regle!$I$23,
IF(W148=regle!$J$11,regle!$J$23,
IF(W148=regle!$K$11,regle!$K$23,0))))))))))))</f>
        <v>0</v>
      </c>
      <c r="AH148" s="17">
        <f>IF($A148,$J148*(IF(X148=regle!$B$11,regle!$B$23*IF(AQ148=-2,1+regle!$B$35,1),
IF(X148=regle!$C$11,regle!$C$23,
IF(X148=regle!$D$11,regle!$D$23,
IF(X148=regle!$E$11,regle!$E$23,
IF(X148=regle!$F$11,regle!$F$23,
IF(X148=regle!$G$11,regle!$G$23,
IF(X148=regle!$H$11,regle!$H$23,
IF(X148=regle!$I$11,regle!$I$23,
IF(X148=regle!$J$11,regle!$J$23,
IF(X148=regle!$K$11,regle!$K$23,0))))))))))))</f>
        <v>0</v>
      </c>
      <c r="AI148" s="17">
        <f>IF($A148,$J148*(IF(Y148=regle!$B$11,regle!$B$23*IF(AR148=-2,1+regle!$B$35,1),
IF(Y148=regle!$C$11,regle!$C$23,
IF(Y148=regle!$D$11,regle!$D$23,
IF(Y148=regle!$E$11,regle!$E$23,
IF(Y148=regle!$F$11,regle!$F$23,
IF(Y148=regle!$G$11,regle!$G$23,
IF(Y148=regle!$H$11,regle!$H$23,
IF(Y148=regle!$I$11,regle!$I$23,
IF(Y148=regle!$J$11,regle!$J$23,
IF(Y148=regle!$K$11,regle!$K$23,0))))))))))))</f>
        <v>0</v>
      </c>
      <c r="AJ148" s="17">
        <f>IF($A148,$J148*(IF(Z148=regle!$B$11,regle!$B$23*IF(AS148=-2,1+regle!$B$35,1),
IF(Z148=regle!$C$11,regle!$C$23,
IF(Z148=regle!$D$11,regle!$D$23,
IF(Z148=regle!$E$11,regle!$E$23,
IF(Z148=regle!$F$11,regle!$F$23,
IF(Z148=regle!$G$11,regle!$G$23,
IF(Z148=regle!$H$11,regle!$H$23,
IF(Z148=regle!$I$11,regle!$I$23,
IF(Z148=regle!$J$11,regle!$J$23,
IF(Z148=regle!$K$11,regle!$K$23,0))))))))))))</f>
        <v>0</v>
      </c>
      <c r="AK148" s="16">
        <f>IF(OR(Q148=regle!$J$11,Q148=regle!$K$11),-2,IF(Q148=regle!$B$11,0,IF(AK$1=$AK$1,IF($O148,-1,regle!$B$2-$M148),IF(AJ148=-1,-1,AJ148+1))))</f>
        <v>7</v>
      </c>
      <c r="AL148" s="16">
        <f>IF(OR(R148=regle!$J$11,R148=regle!$K$11),-2,IF(R148=regle!$B$11,0,IF(AL$1=$AK$1,IF($O148,-1,regle!$B$2-$M148),IF(AK148=-1,-1,AK148+1))))</f>
        <v>8</v>
      </c>
      <c r="AM148" s="16">
        <f>IF(OR(S148=regle!$J$11,S148=regle!$K$11),-2,IF(S148=regle!$B$11,0,IF(AM$1=$AK$1,IF($O148,-1,regle!$B$2-$M148),IF(AL148=-1,-1,AL148+1))))</f>
        <v>9</v>
      </c>
      <c r="AN148" s="16">
        <f>IF(OR(T148=regle!$J$11,T148=regle!$K$11),-2,IF(T148=regle!$B$11,0,IF(AN$1=$AK$1,IF($O148,-1,regle!$B$2-$M148),IF(AM148=-1,-1,AM148+1))))</f>
        <v>10</v>
      </c>
      <c r="AO148" s="16">
        <f>IF(OR(U148=regle!$J$11,U148=regle!$K$11),-2,IF(U148=regle!$B$11,0,IF(AO$1=$AK$1,IF($O148,-1,regle!$B$2-$M148),IF(AN148=-1,-1,AN148+1))))</f>
        <v>11</v>
      </c>
      <c r="AP148" s="16">
        <f>IF(OR(V148=regle!$J$11,V148=regle!$K$11),-2,IF(V148=regle!$B$11,0,IF(AP$1=$AK$1,IF($O148,-1,regle!$B$2-$M148),IF(AO148=-1,-1,AO148+1))))</f>
        <v>12</v>
      </c>
      <c r="AQ148" s="16">
        <f>IF(OR(W148=regle!$J$11,W148=regle!$K$11),-2,IF(W148=regle!$B$11,0,IF(AQ$1=$AK$1,IF($O148,-1,regle!$B$2-$M148),IF(AP148=-1,-1,AP148+1))))</f>
        <v>13</v>
      </c>
      <c r="AR148" s="16">
        <f>IF(OR(X148=regle!$J$11,X148=regle!$K$11),-2,IF(X148=regle!$B$11,0,IF(AR$1=$AK$1,IF($O148,-1,regle!$B$2-$M148),IF(AQ148=-1,-1,AQ148+1))))</f>
        <v>14</v>
      </c>
      <c r="AS148" s="16">
        <f>IF(OR(Y148=regle!$J$11,Y148=regle!$K$11),-2,IF(Y148=regle!$B$11,0,IF(AS$1=$AK$1,IF($O148,-1,regle!$B$2-$M148),IF(AR148=-1,-1,AR148+1))))</f>
        <v>15</v>
      </c>
      <c r="AT148" s="16">
        <f>IF(OR(Z148=regle!$J$11,Z148=regle!$K$11),-2,IF(Z148=regle!$B$11,0,IF(AT$1=$AK$1,IF($O148,-1,regle!$B$2-$M148),IF(AS148=-1,-1,AS148+1))))</f>
        <v>16</v>
      </c>
    </row>
    <row r="149" spans="1:46" x14ac:dyDescent="0.25">
      <c r="A149" t="b">
        <f>modif1!A149</f>
        <v>1</v>
      </c>
      <c r="B149">
        <f>ROW(modif1!B149)</f>
        <v>149</v>
      </c>
      <c r="C149" t="str">
        <f>modif1!C152</f>
        <v>536</v>
      </c>
      <c r="D149" t="str">
        <f>modif1!D149</f>
        <v>LE TUZAN</v>
      </c>
      <c r="E149">
        <f>modif1!E149</f>
        <v>21</v>
      </c>
      <c r="F149" t="str">
        <f>modif1!F149</f>
        <v>METAIRIES DE TABARTON</v>
      </c>
      <c r="G149" t="str">
        <f>modif1!G149</f>
        <v>0A</v>
      </c>
      <c r="H149">
        <f>modif1!H149</f>
        <v>416</v>
      </c>
      <c r="I149" t="str">
        <f>modif1!I149</f>
        <v>e</v>
      </c>
      <c r="J149" s="11">
        <f>modif1!J149</f>
        <v>0.62</v>
      </c>
      <c r="K149" t="str">
        <f>modif1!K149</f>
        <v>PLA</v>
      </c>
      <c r="L149" t="str">
        <f>modif1!L149</f>
        <v>PM</v>
      </c>
      <c r="M149">
        <f>modif1!M149</f>
        <v>2017</v>
      </c>
      <c r="N149" t="str">
        <f>modif1!N149</f>
        <v>PLA-PM_2017</v>
      </c>
      <c r="O149" t="b">
        <f>modif1!O149</f>
        <v>0</v>
      </c>
      <c r="P149">
        <v>40</v>
      </c>
      <c r="Q149" t="s">
        <v>1871</v>
      </c>
      <c r="V149" t="s">
        <v>1803</v>
      </c>
      <c r="Z149"/>
      <c r="AA149" s="17">
        <f>IF($A149,$J149*(IF(Q149=regle!$B$11,regle!$B$23*IF(AJ149=-2,1+regle!$B$35,1),
IF(Q149=regle!$C$11,regle!$C$23,
IF(Q149=regle!$D$11,regle!$D$23,
IF(Q149=regle!$E$11,regle!$E$23,
IF(Q149=regle!$F$11,regle!$F$23,
IF(Q149=regle!$G$11,regle!$G$23,
IF(Q149=regle!$H$11,regle!$H$23,
IF(Q149=regle!$I$11,regle!$I$23,
IF(Q149=regle!$J$11,regle!$J$23,
IF(Q149=regle!$K$11,regle!$K$23,0))))))))))))</f>
        <v>-55.8</v>
      </c>
      <c r="AB149" s="17">
        <f>IF($A149,$J149*(IF(R149=regle!$B$11,regle!$B$23*IF(AK149=-2,1+regle!$B$35,1),
IF(R149=regle!$C$11,regle!$C$23,
IF(R149=regle!$D$11,regle!$D$23,
IF(R149=regle!$E$11,regle!$E$23,
IF(R149=regle!$F$11,regle!$F$23,
IF(R149=regle!$G$11,regle!$G$23,
IF(R149=regle!$H$11,regle!$H$23,
IF(R149=regle!$I$11,regle!$I$23,
IF(R149=regle!$J$11,regle!$J$23,
IF(R149=regle!$K$11,regle!$K$23,0))))))))))))</f>
        <v>0</v>
      </c>
      <c r="AC149" s="17">
        <f>IF($A149,$J149*(IF(S149=regle!$B$11,regle!$B$23*IF(AL149=-2,1+regle!$B$35,1),
IF(S149=regle!$C$11,regle!$C$23,
IF(S149=regle!$D$11,regle!$D$23,
IF(S149=regle!$E$11,regle!$E$23,
IF(S149=regle!$F$11,regle!$F$23,
IF(S149=regle!$G$11,regle!$G$23,
IF(S149=regle!$H$11,regle!$H$23,
IF(S149=regle!$I$11,regle!$I$23,
IF(S149=regle!$J$11,regle!$J$23,
IF(S149=regle!$K$11,regle!$K$23,0))))))))))))</f>
        <v>0</v>
      </c>
      <c r="AD149" s="17">
        <f>IF($A149,$J149*(IF(T149=regle!$B$11,regle!$B$23*IF(AM149=-2,1+regle!$B$35,1),
IF(T149=regle!$C$11,regle!$C$23,
IF(T149=regle!$D$11,regle!$D$23,
IF(T149=regle!$E$11,regle!$E$23,
IF(T149=regle!$F$11,regle!$F$23,
IF(T149=regle!$G$11,regle!$G$23,
IF(T149=regle!$H$11,regle!$H$23,
IF(T149=regle!$I$11,regle!$I$23,
IF(T149=regle!$J$11,regle!$J$23,
IF(T149=regle!$K$11,regle!$K$23,0))))))))))))</f>
        <v>0</v>
      </c>
      <c r="AE149" s="17">
        <f>IF($A149,$J149*(IF(U149=regle!$B$11,regle!$B$23*IF(AN149=-2,1+regle!$B$35,1),
IF(U149=regle!$C$11,regle!$C$23,
IF(U149=regle!$D$11,regle!$D$23,
IF(U149=regle!$E$11,regle!$E$23,
IF(U149=regle!$F$11,regle!$F$23,
IF(U149=regle!$G$11,regle!$G$23,
IF(U149=regle!$H$11,regle!$H$23,
IF(U149=regle!$I$11,regle!$I$23,
IF(U149=regle!$J$11,regle!$J$23,
IF(U149=regle!$K$11,regle!$K$23,0))))))))))))</f>
        <v>0</v>
      </c>
      <c r="AF149" s="17">
        <f>IF($A149,$J149*(IF(V149=regle!$B$11,regle!$B$23*IF(AO149=-2,1+regle!$B$35,1),
IF(V149=regle!$C$11,regle!$C$23,
IF(V149=regle!$D$11,regle!$D$23,
IF(V149=regle!$E$11,regle!$E$23,
IF(V149=regle!$F$11,regle!$F$23,
IF(V149=regle!$G$11,regle!$G$23,
IF(V149=regle!$H$11,regle!$H$23,
IF(V149=regle!$I$11,regle!$I$23,
IF(V149=regle!$J$11,regle!$J$23,
IF(V149=regle!$K$11,regle!$K$23,0))))))))))))</f>
        <v>357.12</v>
      </c>
      <c r="AG149" s="17">
        <f>IF($A149,$J149*(IF(W149=regle!$B$11,regle!$B$23*IF(AP149=-2,1+regle!$B$35,1),
IF(W149=regle!$C$11,regle!$C$23,
IF(W149=regle!$D$11,regle!$D$23,
IF(W149=regle!$E$11,regle!$E$23,
IF(W149=regle!$F$11,regle!$F$23,
IF(W149=regle!$G$11,regle!$G$23,
IF(W149=regle!$H$11,regle!$H$23,
IF(W149=regle!$I$11,regle!$I$23,
IF(W149=regle!$J$11,regle!$J$23,
IF(W149=regle!$K$11,regle!$K$23,0))))))))))))</f>
        <v>0</v>
      </c>
      <c r="AH149" s="17">
        <f>IF($A149,$J149*(IF(X149=regle!$B$11,regle!$B$23*IF(AQ149=-2,1+regle!$B$35,1),
IF(X149=regle!$C$11,regle!$C$23,
IF(X149=regle!$D$11,regle!$D$23,
IF(X149=regle!$E$11,regle!$E$23,
IF(X149=regle!$F$11,regle!$F$23,
IF(X149=regle!$G$11,regle!$G$23,
IF(X149=regle!$H$11,regle!$H$23,
IF(X149=regle!$I$11,regle!$I$23,
IF(X149=regle!$J$11,regle!$J$23,
IF(X149=regle!$K$11,regle!$K$23,0))))))))))))</f>
        <v>0</v>
      </c>
      <c r="AI149" s="17">
        <f>IF($A149,$J149*(IF(Y149=regle!$B$11,regle!$B$23*IF(AR149=-2,1+regle!$B$35,1),
IF(Y149=regle!$C$11,regle!$C$23,
IF(Y149=regle!$D$11,regle!$D$23,
IF(Y149=regle!$E$11,regle!$E$23,
IF(Y149=regle!$F$11,regle!$F$23,
IF(Y149=regle!$G$11,regle!$G$23,
IF(Y149=regle!$H$11,regle!$H$23,
IF(Y149=regle!$I$11,regle!$I$23,
IF(Y149=regle!$J$11,regle!$J$23,
IF(Y149=regle!$K$11,regle!$K$23,0))))))))))))</f>
        <v>0</v>
      </c>
      <c r="AJ149" s="17">
        <f>IF($A149,$J149*(IF(Z149=regle!$B$11,regle!$B$23*IF(AS149=-2,1+regle!$B$35,1),
IF(Z149=regle!$C$11,regle!$C$23,
IF(Z149=regle!$D$11,regle!$D$23,
IF(Z149=regle!$E$11,regle!$E$23,
IF(Z149=regle!$F$11,regle!$F$23,
IF(Z149=regle!$G$11,regle!$G$23,
IF(Z149=regle!$H$11,regle!$H$23,
IF(Z149=regle!$I$11,regle!$I$23,
IF(Z149=regle!$J$11,regle!$J$23,
IF(Z149=regle!$K$11,regle!$K$23,0))))))))))))</f>
        <v>0</v>
      </c>
      <c r="AK149" s="16">
        <f>IF(OR(Q149=regle!$J$11,Q149=regle!$K$11),-2,IF(Q149=regle!$B$11,0,IF(AK$1=$AK$1,IF($O149,-1,regle!$B$2-$M149),IF(AJ149=-1,-1,AJ149+1))))</f>
        <v>7</v>
      </c>
      <c r="AL149" s="16">
        <f>IF(OR(R149=regle!$J$11,R149=regle!$K$11),-2,IF(R149=regle!$B$11,0,IF(AL$1=$AK$1,IF($O149,-1,regle!$B$2-$M149),IF(AK149=-1,-1,AK149+1))))</f>
        <v>8</v>
      </c>
      <c r="AM149" s="16">
        <f>IF(OR(S149=regle!$J$11,S149=regle!$K$11),-2,IF(S149=regle!$B$11,0,IF(AM$1=$AK$1,IF($O149,-1,regle!$B$2-$M149),IF(AL149=-1,-1,AL149+1))))</f>
        <v>9</v>
      </c>
      <c r="AN149" s="16">
        <f>IF(OR(T149=regle!$J$11,T149=regle!$K$11),-2,IF(T149=regle!$B$11,0,IF(AN$1=$AK$1,IF($O149,-1,regle!$B$2-$M149),IF(AM149=-1,-1,AM149+1))))</f>
        <v>10</v>
      </c>
      <c r="AO149" s="16">
        <f>IF(OR(U149=regle!$J$11,U149=regle!$K$11),-2,IF(U149=regle!$B$11,0,IF(AO$1=$AK$1,IF($O149,-1,regle!$B$2-$M149),IF(AN149=-1,-1,AN149+1))))</f>
        <v>11</v>
      </c>
      <c r="AP149" s="16">
        <f>IF(OR(V149=regle!$J$11,V149=regle!$K$11),-2,IF(V149=regle!$B$11,0,IF(AP$1=$AK$1,IF($O149,-1,regle!$B$2-$M149),IF(AO149=-1,-1,AO149+1))))</f>
        <v>12</v>
      </c>
      <c r="AQ149" s="16">
        <f>IF(OR(W149=regle!$J$11,W149=regle!$K$11),-2,IF(W149=regle!$B$11,0,IF(AQ$1=$AK$1,IF($O149,-1,regle!$B$2-$M149),IF(AP149=-1,-1,AP149+1))))</f>
        <v>13</v>
      </c>
      <c r="AR149" s="16">
        <f>IF(OR(X149=regle!$J$11,X149=regle!$K$11),-2,IF(X149=regle!$B$11,0,IF(AR$1=$AK$1,IF($O149,-1,regle!$B$2-$M149),IF(AQ149=-1,-1,AQ149+1))))</f>
        <v>14</v>
      </c>
      <c r="AS149" s="16">
        <f>IF(OR(Y149=regle!$J$11,Y149=regle!$K$11),-2,IF(Y149=regle!$B$11,0,IF(AS$1=$AK$1,IF($O149,-1,regle!$B$2-$M149),IF(AR149=-1,-1,AR149+1))))</f>
        <v>15</v>
      </c>
      <c r="AT149" s="16">
        <f>IF(OR(Z149=regle!$J$11,Z149=regle!$K$11),-2,IF(Z149=regle!$B$11,0,IF(AT$1=$AK$1,IF($O149,-1,regle!$B$2-$M149),IF(AS149=-1,-1,AS149+1))))</f>
        <v>16</v>
      </c>
    </row>
    <row r="150" spans="1:46" x14ac:dyDescent="0.25">
      <c r="A150" t="b">
        <f>modif1!A150</f>
        <v>1</v>
      </c>
      <c r="B150">
        <f>ROW(modif1!B150)</f>
        <v>150</v>
      </c>
      <c r="C150" t="str">
        <f>modif1!C153</f>
        <v>536</v>
      </c>
      <c r="D150" t="str">
        <f>modif1!D150</f>
        <v>LE TUZAN</v>
      </c>
      <c r="E150">
        <f>modif1!E150</f>
        <v>21</v>
      </c>
      <c r="F150" t="str">
        <f>modif1!F150</f>
        <v>METAIRIES DE TABARTON</v>
      </c>
      <c r="G150" t="str">
        <f>modif1!G150</f>
        <v>0A</v>
      </c>
      <c r="H150">
        <f>modif1!H150</f>
        <v>421</v>
      </c>
      <c r="I150" t="str">
        <f>modif1!I150</f>
        <v>a</v>
      </c>
      <c r="J150" s="11">
        <f>modif1!J150</f>
        <v>0.38109999999999999</v>
      </c>
      <c r="K150" t="str">
        <f>modif1!K150</f>
        <v>PLA</v>
      </c>
      <c r="L150" t="str">
        <f>modif1!L150</f>
        <v>PM</v>
      </c>
      <c r="M150">
        <f>modif1!M150</f>
        <v>2017</v>
      </c>
      <c r="N150" t="str">
        <f>modif1!N150</f>
        <v>PLA-PM_2017</v>
      </c>
      <c r="O150" t="b">
        <f>modif1!O150</f>
        <v>0</v>
      </c>
      <c r="P150">
        <v>40</v>
      </c>
      <c r="Q150" t="s">
        <v>1871</v>
      </c>
      <c r="V150" t="s">
        <v>1803</v>
      </c>
      <c r="Z150"/>
      <c r="AA150" s="17">
        <f>IF($A150,$J150*(IF(Q150=regle!$B$11,regle!$B$23*IF(AJ150=-2,1+regle!$B$35,1),
IF(Q150=regle!$C$11,regle!$C$23,
IF(Q150=regle!$D$11,regle!$D$23,
IF(Q150=regle!$E$11,regle!$E$23,
IF(Q150=regle!$F$11,regle!$F$23,
IF(Q150=regle!$G$11,regle!$G$23,
IF(Q150=regle!$H$11,regle!$H$23,
IF(Q150=regle!$I$11,regle!$I$23,
IF(Q150=regle!$J$11,regle!$J$23,
IF(Q150=regle!$K$11,regle!$K$23,0))))))))))))</f>
        <v>-34.298999999999999</v>
      </c>
      <c r="AB150" s="17">
        <f>IF($A150,$J150*(IF(R150=regle!$B$11,regle!$B$23*IF(AK150=-2,1+regle!$B$35,1),
IF(R150=regle!$C$11,regle!$C$23,
IF(R150=regle!$D$11,regle!$D$23,
IF(R150=regle!$E$11,regle!$E$23,
IF(R150=regle!$F$11,regle!$F$23,
IF(R150=regle!$G$11,regle!$G$23,
IF(R150=regle!$H$11,regle!$H$23,
IF(R150=regle!$I$11,regle!$I$23,
IF(R150=regle!$J$11,regle!$J$23,
IF(R150=regle!$K$11,regle!$K$23,0))))))))))))</f>
        <v>0</v>
      </c>
      <c r="AC150" s="17">
        <f>IF($A150,$J150*(IF(S150=regle!$B$11,regle!$B$23*IF(AL150=-2,1+regle!$B$35,1),
IF(S150=regle!$C$11,regle!$C$23,
IF(S150=regle!$D$11,regle!$D$23,
IF(S150=regle!$E$11,regle!$E$23,
IF(S150=regle!$F$11,regle!$F$23,
IF(S150=regle!$G$11,regle!$G$23,
IF(S150=regle!$H$11,regle!$H$23,
IF(S150=regle!$I$11,regle!$I$23,
IF(S150=regle!$J$11,regle!$J$23,
IF(S150=regle!$K$11,regle!$K$23,0))))))))))))</f>
        <v>0</v>
      </c>
      <c r="AD150" s="17">
        <f>IF($A150,$J150*(IF(T150=regle!$B$11,regle!$B$23*IF(AM150=-2,1+regle!$B$35,1),
IF(T150=regle!$C$11,regle!$C$23,
IF(T150=regle!$D$11,regle!$D$23,
IF(T150=regle!$E$11,regle!$E$23,
IF(T150=regle!$F$11,regle!$F$23,
IF(T150=regle!$G$11,regle!$G$23,
IF(T150=regle!$H$11,regle!$H$23,
IF(T150=regle!$I$11,regle!$I$23,
IF(T150=regle!$J$11,regle!$J$23,
IF(T150=regle!$K$11,regle!$K$23,0))))))))))))</f>
        <v>0</v>
      </c>
      <c r="AE150" s="17">
        <f>IF($A150,$J150*(IF(U150=regle!$B$11,regle!$B$23*IF(AN150=-2,1+regle!$B$35,1),
IF(U150=regle!$C$11,regle!$C$23,
IF(U150=regle!$D$11,regle!$D$23,
IF(U150=regle!$E$11,regle!$E$23,
IF(U150=regle!$F$11,regle!$F$23,
IF(U150=regle!$G$11,regle!$G$23,
IF(U150=regle!$H$11,regle!$H$23,
IF(U150=regle!$I$11,regle!$I$23,
IF(U150=regle!$J$11,regle!$J$23,
IF(U150=regle!$K$11,regle!$K$23,0))))))))))))</f>
        <v>0</v>
      </c>
      <c r="AF150" s="17">
        <f>IF($A150,$J150*(IF(V150=regle!$B$11,regle!$B$23*IF(AO150=-2,1+regle!$B$35,1),
IF(V150=regle!$C$11,regle!$C$23,
IF(V150=regle!$D$11,regle!$D$23,
IF(V150=regle!$E$11,regle!$E$23,
IF(V150=regle!$F$11,regle!$F$23,
IF(V150=regle!$G$11,regle!$G$23,
IF(V150=regle!$H$11,regle!$H$23,
IF(V150=regle!$I$11,regle!$I$23,
IF(V150=regle!$J$11,regle!$J$23,
IF(V150=regle!$K$11,regle!$K$23,0))))))))))))</f>
        <v>219.5136</v>
      </c>
      <c r="AG150" s="17">
        <f>IF($A150,$J150*(IF(W150=regle!$B$11,regle!$B$23*IF(AP150=-2,1+regle!$B$35,1),
IF(W150=regle!$C$11,regle!$C$23,
IF(W150=regle!$D$11,regle!$D$23,
IF(W150=regle!$E$11,regle!$E$23,
IF(W150=regle!$F$11,regle!$F$23,
IF(W150=regle!$G$11,regle!$G$23,
IF(W150=regle!$H$11,regle!$H$23,
IF(W150=regle!$I$11,regle!$I$23,
IF(W150=regle!$J$11,regle!$J$23,
IF(W150=regle!$K$11,regle!$K$23,0))))))))))))</f>
        <v>0</v>
      </c>
      <c r="AH150" s="17">
        <f>IF($A150,$J150*(IF(X150=regle!$B$11,regle!$B$23*IF(AQ150=-2,1+regle!$B$35,1),
IF(X150=regle!$C$11,regle!$C$23,
IF(X150=regle!$D$11,regle!$D$23,
IF(X150=regle!$E$11,regle!$E$23,
IF(X150=regle!$F$11,regle!$F$23,
IF(X150=regle!$G$11,regle!$G$23,
IF(X150=regle!$H$11,regle!$H$23,
IF(X150=regle!$I$11,regle!$I$23,
IF(X150=regle!$J$11,regle!$J$23,
IF(X150=regle!$K$11,regle!$K$23,0))))))))))))</f>
        <v>0</v>
      </c>
      <c r="AI150" s="17">
        <f>IF($A150,$J150*(IF(Y150=regle!$B$11,regle!$B$23*IF(AR150=-2,1+regle!$B$35,1),
IF(Y150=regle!$C$11,regle!$C$23,
IF(Y150=regle!$D$11,regle!$D$23,
IF(Y150=regle!$E$11,regle!$E$23,
IF(Y150=regle!$F$11,regle!$F$23,
IF(Y150=regle!$G$11,regle!$G$23,
IF(Y150=regle!$H$11,regle!$H$23,
IF(Y150=regle!$I$11,regle!$I$23,
IF(Y150=regle!$J$11,regle!$J$23,
IF(Y150=regle!$K$11,regle!$K$23,0))))))))))))</f>
        <v>0</v>
      </c>
      <c r="AJ150" s="17">
        <f>IF($A150,$J150*(IF(Z150=regle!$B$11,regle!$B$23*IF(AS150=-2,1+regle!$B$35,1),
IF(Z150=regle!$C$11,regle!$C$23,
IF(Z150=regle!$D$11,regle!$D$23,
IF(Z150=regle!$E$11,regle!$E$23,
IF(Z150=regle!$F$11,regle!$F$23,
IF(Z150=regle!$G$11,regle!$G$23,
IF(Z150=regle!$H$11,regle!$H$23,
IF(Z150=regle!$I$11,regle!$I$23,
IF(Z150=regle!$J$11,regle!$J$23,
IF(Z150=regle!$K$11,regle!$K$23,0))))))))))))</f>
        <v>0</v>
      </c>
      <c r="AK150" s="16">
        <f>IF(OR(Q150=regle!$J$11,Q150=regle!$K$11),-2,IF(Q150=regle!$B$11,0,IF(AK$1=$AK$1,IF($O150,-1,regle!$B$2-$M150),IF(AJ150=-1,-1,AJ150+1))))</f>
        <v>7</v>
      </c>
      <c r="AL150" s="16">
        <f>IF(OR(R150=regle!$J$11,R150=regle!$K$11),-2,IF(R150=regle!$B$11,0,IF(AL$1=$AK$1,IF($O150,-1,regle!$B$2-$M150),IF(AK150=-1,-1,AK150+1))))</f>
        <v>8</v>
      </c>
      <c r="AM150" s="16">
        <f>IF(OR(S150=regle!$J$11,S150=regle!$K$11),-2,IF(S150=regle!$B$11,0,IF(AM$1=$AK$1,IF($O150,-1,regle!$B$2-$M150),IF(AL150=-1,-1,AL150+1))))</f>
        <v>9</v>
      </c>
      <c r="AN150" s="16">
        <f>IF(OR(T150=regle!$J$11,T150=regle!$K$11),-2,IF(T150=regle!$B$11,0,IF(AN$1=$AK$1,IF($O150,-1,regle!$B$2-$M150),IF(AM150=-1,-1,AM150+1))))</f>
        <v>10</v>
      </c>
      <c r="AO150" s="16">
        <f>IF(OR(U150=regle!$J$11,U150=regle!$K$11),-2,IF(U150=regle!$B$11,0,IF(AO$1=$AK$1,IF($O150,-1,regle!$B$2-$M150),IF(AN150=-1,-1,AN150+1))))</f>
        <v>11</v>
      </c>
      <c r="AP150" s="16">
        <f>IF(OR(V150=regle!$J$11,V150=regle!$K$11),-2,IF(V150=regle!$B$11,0,IF(AP$1=$AK$1,IF($O150,-1,regle!$B$2-$M150),IF(AO150=-1,-1,AO150+1))))</f>
        <v>12</v>
      </c>
      <c r="AQ150" s="16">
        <f>IF(OR(W150=regle!$J$11,W150=regle!$K$11),-2,IF(W150=regle!$B$11,0,IF(AQ$1=$AK$1,IF($O150,-1,regle!$B$2-$M150),IF(AP150=-1,-1,AP150+1))))</f>
        <v>13</v>
      </c>
      <c r="AR150" s="16">
        <f>IF(OR(X150=regle!$J$11,X150=regle!$K$11),-2,IF(X150=regle!$B$11,0,IF(AR$1=$AK$1,IF($O150,-1,regle!$B$2-$M150),IF(AQ150=-1,-1,AQ150+1))))</f>
        <v>14</v>
      </c>
      <c r="AS150" s="16">
        <f>IF(OR(Y150=regle!$J$11,Y150=regle!$K$11),-2,IF(Y150=regle!$B$11,0,IF(AS$1=$AK$1,IF($O150,-1,regle!$B$2-$M150),IF(AR150=-1,-1,AR150+1))))</f>
        <v>15</v>
      </c>
      <c r="AT150" s="16">
        <f>IF(OR(Z150=regle!$J$11,Z150=regle!$K$11),-2,IF(Z150=regle!$B$11,0,IF(AT$1=$AK$1,IF($O150,-1,regle!$B$2-$M150),IF(AS150=-1,-1,AS150+1))))</f>
        <v>16</v>
      </c>
    </row>
    <row r="151" spans="1:46" x14ac:dyDescent="0.25">
      <c r="A151" t="b">
        <f>modif1!A151</f>
        <v>1</v>
      </c>
      <c r="B151">
        <f>ROW(modif1!B151)</f>
        <v>151</v>
      </c>
      <c r="C151" t="str">
        <f>modif1!C154</f>
        <v>536</v>
      </c>
      <c r="D151" t="str">
        <f>modif1!D151</f>
        <v>MOUSTEY</v>
      </c>
      <c r="E151">
        <f>modif1!E151</f>
        <v>18</v>
      </c>
      <c r="F151" t="str">
        <f>modif1!F151</f>
        <v>Quartier de Capsus</v>
      </c>
      <c r="G151" t="str">
        <f>modif1!G151</f>
        <v>0N</v>
      </c>
      <c r="H151">
        <f>modif1!H151</f>
        <v>5</v>
      </c>
      <c r="I151" t="str">
        <f>modif1!I151</f>
        <v/>
      </c>
      <c r="J151" s="11">
        <f>modif1!J151</f>
        <v>0.312</v>
      </c>
      <c r="K151" t="str">
        <f>modif1!K151</f>
        <v>PLA</v>
      </c>
      <c r="L151" t="str">
        <f>modif1!L151</f>
        <v>PM</v>
      </c>
      <c r="M151">
        <f>modif1!M151</f>
        <v>2017</v>
      </c>
      <c r="N151" t="str">
        <f>modif1!N151</f>
        <v>PLA-PM_2017</v>
      </c>
      <c r="O151" t="b">
        <f>modif1!O151</f>
        <v>0</v>
      </c>
      <c r="P151">
        <v>40</v>
      </c>
      <c r="Q151" t="s">
        <v>1871</v>
      </c>
      <c r="V151" t="s">
        <v>1803</v>
      </c>
      <c r="Z151"/>
      <c r="AA151" s="17">
        <f>IF($A151,$J151*(IF(Q151=regle!$B$11,regle!$B$23*IF(AJ151=-2,1+regle!$B$35,1),
IF(Q151=regle!$C$11,regle!$C$23,
IF(Q151=regle!$D$11,regle!$D$23,
IF(Q151=regle!$E$11,regle!$E$23,
IF(Q151=regle!$F$11,regle!$F$23,
IF(Q151=regle!$G$11,regle!$G$23,
IF(Q151=regle!$H$11,regle!$H$23,
IF(Q151=regle!$I$11,regle!$I$23,
IF(Q151=regle!$J$11,regle!$J$23,
IF(Q151=regle!$K$11,regle!$K$23,0))))))))))))</f>
        <v>-28.08</v>
      </c>
      <c r="AB151" s="17">
        <f>IF($A151,$J151*(IF(R151=regle!$B$11,regle!$B$23*IF(AK151=-2,1+regle!$B$35,1),
IF(R151=regle!$C$11,regle!$C$23,
IF(R151=regle!$D$11,regle!$D$23,
IF(R151=regle!$E$11,regle!$E$23,
IF(R151=regle!$F$11,regle!$F$23,
IF(R151=regle!$G$11,regle!$G$23,
IF(R151=regle!$H$11,regle!$H$23,
IF(R151=regle!$I$11,regle!$I$23,
IF(R151=regle!$J$11,regle!$J$23,
IF(R151=regle!$K$11,regle!$K$23,0))))))))))))</f>
        <v>0</v>
      </c>
      <c r="AC151" s="17">
        <f>IF($A151,$J151*(IF(S151=regle!$B$11,regle!$B$23*IF(AL151=-2,1+regle!$B$35,1),
IF(S151=regle!$C$11,regle!$C$23,
IF(S151=regle!$D$11,regle!$D$23,
IF(S151=regle!$E$11,regle!$E$23,
IF(S151=regle!$F$11,regle!$F$23,
IF(S151=regle!$G$11,regle!$G$23,
IF(S151=regle!$H$11,regle!$H$23,
IF(S151=regle!$I$11,regle!$I$23,
IF(S151=regle!$J$11,regle!$J$23,
IF(S151=regle!$K$11,regle!$K$23,0))))))))))))</f>
        <v>0</v>
      </c>
      <c r="AD151" s="17">
        <f>IF($A151,$J151*(IF(T151=regle!$B$11,regle!$B$23*IF(AM151=-2,1+regle!$B$35,1),
IF(T151=regle!$C$11,regle!$C$23,
IF(T151=regle!$D$11,regle!$D$23,
IF(T151=regle!$E$11,regle!$E$23,
IF(T151=regle!$F$11,regle!$F$23,
IF(T151=regle!$G$11,regle!$G$23,
IF(T151=regle!$H$11,regle!$H$23,
IF(T151=regle!$I$11,regle!$I$23,
IF(T151=regle!$J$11,regle!$J$23,
IF(T151=regle!$K$11,regle!$K$23,0))))))))))))</f>
        <v>0</v>
      </c>
      <c r="AE151" s="17">
        <f>IF($A151,$J151*(IF(U151=regle!$B$11,regle!$B$23*IF(AN151=-2,1+regle!$B$35,1),
IF(U151=regle!$C$11,regle!$C$23,
IF(U151=regle!$D$11,regle!$D$23,
IF(U151=regle!$E$11,regle!$E$23,
IF(U151=regle!$F$11,regle!$F$23,
IF(U151=regle!$G$11,regle!$G$23,
IF(U151=regle!$H$11,regle!$H$23,
IF(U151=regle!$I$11,regle!$I$23,
IF(U151=regle!$J$11,regle!$J$23,
IF(U151=regle!$K$11,regle!$K$23,0))))))))))))</f>
        <v>0</v>
      </c>
      <c r="AF151" s="17">
        <f>IF($A151,$J151*(IF(V151=regle!$B$11,regle!$B$23*IF(AO151=-2,1+regle!$B$35,1),
IF(V151=regle!$C$11,regle!$C$23,
IF(V151=regle!$D$11,regle!$D$23,
IF(V151=regle!$E$11,regle!$E$23,
IF(V151=regle!$F$11,regle!$F$23,
IF(V151=regle!$G$11,regle!$G$23,
IF(V151=regle!$H$11,regle!$H$23,
IF(V151=regle!$I$11,regle!$I$23,
IF(V151=regle!$J$11,regle!$J$23,
IF(V151=regle!$K$11,regle!$K$23,0))))))))))))</f>
        <v>179.71199999999999</v>
      </c>
      <c r="AG151" s="17">
        <f>IF($A151,$J151*(IF(W151=regle!$B$11,regle!$B$23*IF(AP151=-2,1+regle!$B$35,1),
IF(W151=regle!$C$11,regle!$C$23,
IF(W151=regle!$D$11,regle!$D$23,
IF(W151=regle!$E$11,regle!$E$23,
IF(W151=regle!$F$11,regle!$F$23,
IF(W151=regle!$G$11,regle!$G$23,
IF(W151=regle!$H$11,regle!$H$23,
IF(W151=regle!$I$11,regle!$I$23,
IF(W151=regle!$J$11,regle!$J$23,
IF(W151=regle!$K$11,regle!$K$23,0))))))))))))</f>
        <v>0</v>
      </c>
      <c r="AH151" s="17">
        <f>IF($A151,$J151*(IF(X151=regle!$B$11,regle!$B$23*IF(AQ151=-2,1+regle!$B$35,1),
IF(X151=regle!$C$11,regle!$C$23,
IF(X151=regle!$D$11,regle!$D$23,
IF(X151=regle!$E$11,regle!$E$23,
IF(X151=regle!$F$11,regle!$F$23,
IF(X151=regle!$G$11,regle!$G$23,
IF(X151=regle!$H$11,regle!$H$23,
IF(X151=regle!$I$11,regle!$I$23,
IF(X151=regle!$J$11,regle!$J$23,
IF(X151=regle!$K$11,regle!$K$23,0))))))))))))</f>
        <v>0</v>
      </c>
      <c r="AI151" s="17">
        <f>IF($A151,$J151*(IF(Y151=regle!$B$11,regle!$B$23*IF(AR151=-2,1+regle!$B$35,1),
IF(Y151=regle!$C$11,regle!$C$23,
IF(Y151=regle!$D$11,regle!$D$23,
IF(Y151=regle!$E$11,regle!$E$23,
IF(Y151=regle!$F$11,regle!$F$23,
IF(Y151=regle!$G$11,regle!$G$23,
IF(Y151=regle!$H$11,regle!$H$23,
IF(Y151=regle!$I$11,regle!$I$23,
IF(Y151=regle!$J$11,regle!$J$23,
IF(Y151=regle!$K$11,regle!$K$23,0))))))))))))</f>
        <v>0</v>
      </c>
      <c r="AJ151" s="17">
        <f>IF($A151,$J151*(IF(Z151=regle!$B$11,regle!$B$23*IF(AS151=-2,1+regle!$B$35,1),
IF(Z151=regle!$C$11,regle!$C$23,
IF(Z151=regle!$D$11,regle!$D$23,
IF(Z151=regle!$E$11,regle!$E$23,
IF(Z151=regle!$F$11,regle!$F$23,
IF(Z151=regle!$G$11,regle!$G$23,
IF(Z151=regle!$H$11,regle!$H$23,
IF(Z151=regle!$I$11,regle!$I$23,
IF(Z151=regle!$J$11,regle!$J$23,
IF(Z151=regle!$K$11,regle!$K$23,0))))))))))))</f>
        <v>0</v>
      </c>
      <c r="AK151" s="16">
        <f>IF(OR(Q151=regle!$J$11,Q151=regle!$K$11),-2,IF(Q151=regle!$B$11,0,IF(AK$1=$AK$1,IF($O151,-1,regle!$B$2-$M151),IF(AJ151=-1,-1,AJ151+1))))</f>
        <v>7</v>
      </c>
      <c r="AL151" s="16">
        <f>IF(OR(R151=regle!$J$11,R151=regle!$K$11),-2,IF(R151=regle!$B$11,0,IF(AL$1=$AK$1,IF($O151,-1,regle!$B$2-$M151),IF(AK151=-1,-1,AK151+1))))</f>
        <v>8</v>
      </c>
      <c r="AM151" s="16">
        <f>IF(OR(S151=regle!$J$11,S151=regle!$K$11),-2,IF(S151=regle!$B$11,0,IF(AM$1=$AK$1,IF($O151,-1,regle!$B$2-$M151),IF(AL151=-1,-1,AL151+1))))</f>
        <v>9</v>
      </c>
      <c r="AN151" s="16">
        <f>IF(OR(T151=regle!$J$11,T151=regle!$K$11),-2,IF(T151=regle!$B$11,0,IF(AN$1=$AK$1,IF($O151,-1,regle!$B$2-$M151),IF(AM151=-1,-1,AM151+1))))</f>
        <v>10</v>
      </c>
      <c r="AO151" s="16">
        <f>IF(OR(U151=regle!$J$11,U151=regle!$K$11),-2,IF(U151=regle!$B$11,0,IF(AO$1=$AK$1,IF($O151,-1,regle!$B$2-$M151),IF(AN151=-1,-1,AN151+1))))</f>
        <v>11</v>
      </c>
      <c r="AP151" s="16">
        <f>IF(OR(V151=regle!$J$11,V151=regle!$K$11),-2,IF(V151=regle!$B$11,0,IF(AP$1=$AK$1,IF($O151,-1,regle!$B$2-$M151),IF(AO151=-1,-1,AO151+1))))</f>
        <v>12</v>
      </c>
      <c r="AQ151" s="16">
        <f>IF(OR(W151=regle!$J$11,W151=regle!$K$11),-2,IF(W151=regle!$B$11,0,IF(AQ$1=$AK$1,IF($O151,-1,regle!$B$2-$M151),IF(AP151=-1,-1,AP151+1))))</f>
        <v>13</v>
      </c>
      <c r="AR151" s="16">
        <f>IF(OR(X151=regle!$J$11,X151=regle!$K$11),-2,IF(X151=regle!$B$11,0,IF(AR$1=$AK$1,IF($O151,-1,regle!$B$2-$M151),IF(AQ151=-1,-1,AQ151+1))))</f>
        <v>14</v>
      </c>
      <c r="AS151" s="16">
        <f>IF(OR(Y151=regle!$J$11,Y151=regle!$K$11),-2,IF(Y151=regle!$B$11,0,IF(AS$1=$AK$1,IF($O151,-1,regle!$B$2-$M151),IF(AR151=-1,-1,AR151+1))))</f>
        <v>15</v>
      </c>
      <c r="AT151" s="16">
        <f>IF(OR(Z151=regle!$J$11,Z151=regle!$K$11),-2,IF(Z151=regle!$B$11,0,IF(AT$1=$AK$1,IF($O151,-1,regle!$B$2-$M151),IF(AS151=-1,-1,AS151+1))))</f>
        <v>16</v>
      </c>
    </row>
    <row r="152" spans="1:46" x14ac:dyDescent="0.25">
      <c r="A152" t="b">
        <f>modif1!A152</f>
        <v>1</v>
      </c>
      <c r="B152">
        <f>ROW(modif1!B152)</f>
        <v>152</v>
      </c>
      <c r="C152" t="str">
        <f>modif1!C155</f>
        <v>536</v>
      </c>
      <c r="D152" t="str">
        <f>modif1!D152</f>
        <v>LE TUZAN</v>
      </c>
      <c r="E152">
        <f>modif1!E152</f>
        <v>21</v>
      </c>
      <c r="F152" t="str">
        <f>modif1!F152</f>
        <v>METAIRIES DE TABARTON</v>
      </c>
      <c r="G152" t="str">
        <f>modif1!G152</f>
        <v>0A</v>
      </c>
      <c r="H152">
        <f>modif1!H152</f>
        <v>408</v>
      </c>
      <c r="I152" t="str">
        <f>modif1!I152</f>
        <v>k</v>
      </c>
      <c r="J152" s="11">
        <f>modif1!J152</f>
        <v>0.31</v>
      </c>
      <c r="K152" t="str">
        <f>modif1!K152</f>
        <v>PLA</v>
      </c>
      <c r="L152" t="str">
        <f>modif1!L152</f>
        <v>PM</v>
      </c>
      <c r="M152">
        <f>modif1!M152</f>
        <v>2017</v>
      </c>
      <c r="N152" t="str">
        <f>modif1!N152</f>
        <v>PLA-PM_2017</v>
      </c>
      <c r="O152" t="b">
        <f>modif1!O152</f>
        <v>0</v>
      </c>
      <c r="P152">
        <v>40</v>
      </c>
      <c r="Q152" t="s">
        <v>1871</v>
      </c>
      <c r="V152" t="s">
        <v>1803</v>
      </c>
      <c r="Z152"/>
      <c r="AA152" s="17">
        <f>IF($A152,$J152*(IF(Q152=regle!$B$11,regle!$B$23*IF(AJ152=-2,1+regle!$B$35,1),
IF(Q152=regle!$C$11,regle!$C$23,
IF(Q152=regle!$D$11,regle!$D$23,
IF(Q152=regle!$E$11,regle!$E$23,
IF(Q152=regle!$F$11,regle!$F$23,
IF(Q152=regle!$G$11,regle!$G$23,
IF(Q152=regle!$H$11,regle!$H$23,
IF(Q152=regle!$I$11,regle!$I$23,
IF(Q152=regle!$J$11,regle!$J$23,
IF(Q152=regle!$K$11,regle!$K$23,0))))))))))))</f>
        <v>-27.9</v>
      </c>
      <c r="AB152" s="17">
        <f>IF($A152,$J152*(IF(R152=regle!$B$11,regle!$B$23*IF(AK152=-2,1+regle!$B$35,1),
IF(R152=regle!$C$11,regle!$C$23,
IF(R152=regle!$D$11,regle!$D$23,
IF(R152=regle!$E$11,regle!$E$23,
IF(R152=regle!$F$11,regle!$F$23,
IF(R152=regle!$G$11,regle!$G$23,
IF(R152=regle!$H$11,regle!$H$23,
IF(R152=regle!$I$11,regle!$I$23,
IF(R152=regle!$J$11,regle!$J$23,
IF(R152=regle!$K$11,regle!$K$23,0))))))))))))</f>
        <v>0</v>
      </c>
      <c r="AC152" s="17">
        <f>IF($A152,$J152*(IF(S152=regle!$B$11,regle!$B$23*IF(AL152=-2,1+regle!$B$35,1),
IF(S152=regle!$C$11,regle!$C$23,
IF(S152=regle!$D$11,regle!$D$23,
IF(S152=regle!$E$11,regle!$E$23,
IF(S152=regle!$F$11,regle!$F$23,
IF(S152=regle!$G$11,regle!$G$23,
IF(S152=regle!$H$11,regle!$H$23,
IF(S152=regle!$I$11,regle!$I$23,
IF(S152=regle!$J$11,regle!$J$23,
IF(S152=regle!$K$11,regle!$K$23,0))))))))))))</f>
        <v>0</v>
      </c>
      <c r="AD152" s="17">
        <f>IF($A152,$J152*(IF(T152=regle!$B$11,regle!$B$23*IF(AM152=-2,1+regle!$B$35,1),
IF(T152=regle!$C$11,regle!$C$23,
IF(T152=regle!$D$11,regle!$D$23,
IF(T152=regle!$E$11,regle!$E$23,
IF(T152=regle!$F$11,regle!$F$23,
IF(T152=regle!$G$11,regle!$G$23,
IF(T152=regle!$H$11,regle!$H$23,
IF(T152=regle!$I$11,regle!$I$23,
IF(T152=regle!$J$11,regle!$J$23,
IF(T152=regle!$K$11,regle!$K$23,0))))))))))))</f>
        <v>0</v>
      </c>
      <c r="AE152" s="17">
        <f>IF($A152,$J152*(IF(U152=regle!$B$11,regle!$B$23*IF(AN152=-2,1+regle!$B$35,1),
IF(U152=regle!$C$11,regle!$C$23,
IF(U152=regle!$D$11,regle!$D$23,
IF(U152=regle!$E$11,regle!$E$23,
IF(U152=regle!$F$11,regle!$F$23,
IF(U152=regle!$G$11,regle!$G$23,
IF(U152=regle!$H$11,regle!$H$23,
IF(U152=regle!$I$11,regle!$I$23,
IF(U152=regle!$J$11,regle!$J$23,
IF(U152=regle!$K$11,regle!$K$23,0))))))))))))</f>
        <v>0</v>
      </c>
      <c r="AF152" s="17">
        <f>IF($A152,$J152*(IF(V152=regle!$B$11,regle!$B$23*IF(AO152=-2,1+regle!$B$35,1),
IF(V152=regle!$C$11,regle!$C$23,
IF(V152=regle!$D$11,regle!$D$23,
IF(V152=regle!$E$11,regle!$E$23,
IF(V152=regle!$F$11,regle!$F$23,
IF(V152=regle!$G$11,regle!$G$23,
IF(V152=regle!$H$11,regle!$H$23,
IF(V152=regle!$I$11,regle!$I$23,
IF(V152=regle!$J$11,regle!$J$23,
IF(V152=regle!$K$11,regle!$K$23,0))))))))))))</f>
        <v>178.56</v>
      </c>
      <c r="AG152" s="17">
        <f>IF($A152,$J152*(IF(W152=regle!$B$11,regle!$B$23*IF(AP152=-2,1+regle!$B$35,1),
IF(W152=regle!$C$11,regle!$C$23,
IF(W152=regle!$D$11,regle!$D$23,
IF(W152=regle!$E$11,regle!$E$23,
IF(W152=regle!$F$11,regle!$F$23,
IF(W152=regle!$G$11,regle!$G$23,
IF(W152=regle!$H$11,regle!$H$23,
IF(W152=regle!$I$11,regle!$I$23,
IF(W152=regle!$J$11,regle!$J$23,
IF(W152=regle!$K$11,regle!$K$23,0))))))))))))</f>
        <v>0</v>
      </c>
      <c r="AH152" s="17">
        <f>IF($A152,$J152*(IF(X152=regle!$B$11,regle!$B$23*IF(AQ152=-2,1+regle!$B$35,1),
IF(X152=regle!$C$11,regle!$C$23,
IF(X152=regle!$D$11,regle!$D$23,
IF(X152=regle!$E$11,regle!$E$23,
IF(X152=regle!$F$11,regle!$F$23,
IF(X152=regle!$G$11,regle!$G$23,
IF(X152=regle!$H$11,regle!$H$23,
IF(X152=regle!$I$11,regle!$I$23,
IF(X152=regle!$J$11,regle!$J$23,
IF(X152=regle!$K$11,regle!$K$23,0))))))))))))</f>
        <v>0</v>
      </c>
      <c r="AI152" s="17">
        <f>IF($A152,$J152*(IF(Y152=regle!$B$11,regle!$B$23*IF(AR152=-2,1+regle!$B$35,1),
IF(Y152=regle!$C$11,regle!$C$23,
IF(Y152=regle!$D$11,regle!$D$23,
IF(Y152=regle!$E$11,regle!$E$23,
IF(Y152=regle!$F$11,regle!$F$23,
IF(Y152=regle!$G$11,regle!$G$23,
IF(Y152=regle!$H$11,regle!$H$23,
IF(Y152=regle!$I$11,regle!$I$23,
IF(Y152=regle!$J$11,regle!$J$23,
IF(Y152=regle!$K$11,regle!$K$23,0))))))))))))</f>
        <v>0</v>
      </c>
      <c r="AJ152" s="17">
        <f>IF($A152,$J152*(IF(Z152=regle!$B$11,regle!$B$23*IF(AS152=-2,1+regle!$B$35,1),
IF(Z152=regle!$C$11,regle!$C$23,
IF(Z152=regle!$D$11,regle!$D$23,
IF(Z152=regle!$E$11,regle!$E$23,
IF(Z152=regle!$F$11,regle!$F$23,
IF(Z152=regle!$G$11,regle!$G$23,
IF(Z152=regle!$H$11,regle!$H$23,
IF(Z152=regle!$I$11,regle!$I$23,
IF(Z152=regle!$J$11,regle!$J$23,
IF(Z152=regle!$K$11,regle!$K$23,0))))))))))))</f>
        <v>0</v>
      </c>
      <c r="AK152" s="16">
        <f>IF(OR(Q152=regle!$J$11,Q152=regle!$K$11),-2,IF(Q152=regle!$B$11,0,IF(AK$1=$AK$1,IF($O152,-1,regle!$B$2-$M152),IF(AJ152=-1,-1,AJ152+1))))</f>
        <v>7</v>
      </c>
      <c r="AL152" s="16">
        <f>IF(OR(R152=regle!$J$11,R152=regle!$K$11),-2,IF(R152=regle!$B$11,0,IF(AL$1=$AK$1,IF($O152,-1,regle!$B$2-$M152),IF(AK152=-1,-1,AK152+1))))</f>
        <v>8</v>
      </c>
      <c r="AM152" s="16">
        <f>IF(OR(S152=regle!$J$11,S152=regle!$K$11),-2,IF(S152=regle!$B$11,0,IF(AM$1=$AK$1,IF($O152,-1,regle!$B$2-$M152),IF(AL152=-1,-1,AL152+1))))</f>
        <v>9</v>
      </c>
      <c r="AN152" s="16">
        <f>IF(OR(T152=regle!$J$11,T152=regle!$K$11),-2,IF(T152=regle!$B$11,0,IF(AN$1=$AK$1,IF($O152,-1,regle!$B$2-$M152),IF(AM152=-1,-1,AM152+1))))</f>
        <v>10</v>
      </c>
      <c r="AO152" s="16">
        <f>IF(OR(U152=regle!$J$11,U152=regle!$K$11),-2,IF(U152=regle!$B$11,0,IF(AO$1=$AK$1,IF($O152,-1,regle!$B$2-$M152),IF(AN152=-1,-1,AN152+1))))</f>
        <v>11</v>
      </c>
      <c r="AP152" s="16">
        <f>IF(OR(V152=regle!$J$11,V152=regle!$K$11),-2,IF(V152=regle!$B$11,0,IF(AP$1=$AK$1,IF($O152,-1,regle!$B$2-$M152),IF(AO152=-1,-1,AO152+1))))</f>
        <v>12</v>
      </c>
      <c r="AQ152" s="16">
        <f>IF(OR(W152=regle!$J$11,W152=regle!$K$11),-2,IF(W152=regle!$B$11,0,IF(AQ$1=$AK$1,IF($O152,-1,regle!$B$2-$M152),IF(AP152=-1,-1,AP152+1))))</f>
        <v>13</v>
      </c>
      <c r="AR152" s="16">
        <f>IF(OR(X152=regle!$J$11,X152=regle!$K$11),-2,IF(X152=regle!$B$11,0,IF(AR$1=$AK$1,IF($O152,-1,regle!$B$2-$M152),IF(AQ152=-1,-1,AQ152+1))))</f>
        <v>14</v>
      </c>
      <c r="AS152" s="16">
        <f>IF(OR(Y152=regle!$J$11,Y152=regle!$K$11),-2,IF(Y152=regle!$B$11,0,IF(AS$1=$AK$1,IF($O152,-1,regle!$B$2-$M152),IF(AR152=-1,-1,AR152+1))))</f>
        <v>15</v>
      </c>
      <c r="AT152" s="16">
        <f>IF(OR(Z152=regle!$J$11,Z152=regle!$K$11),-2,IF(Z152=regle!$B$11,0,IF(AT$1=$AK$1,IF($O152,-1,regle!$B$2-$M152),IF(AS152=-1,-1,AS152+1))))</f>
        <v>16</v>
      </c>
    </row>
    <row r="153" spans="1:46" x14ac:dyDescent="0.25">
      <c r="A153" t="b">
        <f>modif1!A153</f>
        <v>1</v>
      </c>
      <c r="B153">
        <f>ROW(modif1!B153)</f>
        <v>153</v>
      </c>
      <c r="C153" t="str">
        <f>modif1!C156</f>
        <v>202</v>
      </c>
      <c r="D153" t="str">
        <f>modif1!D153</f>
        <v>LE TUZAN</v>
      </c>
      <c r="E153">
        <f>modif1!E153</f>
        <v>21</v>
      </c>
      <c r="F153" t="str">
        <f>modif1!F153</f>
        <v>METAIRIES DE TABARTON</v>
      </c>
      <c r="G153" t="str">
        <f>modif1!G153</f>
        <v>0A</v>
      </c>
      <c r="H153">
        <f>modif1!H153</f>
        <v>847</v>
      </c>
      <c r="I153" t="str">
        <f>modif1!I153</f>
        <v>d</v>
      </c>
      <c r="J153" s="11">
        <f>modif1!J153</f>
        <v>0.21329999999999999</v>
      </c>
      <c r="K153" t="str">
        <f>modif1!K153</f>
        <v>PLA</v>
      </c>
      <c r="L153" t="str">
        <f>modif1!L153</f>
        <v>PM</v>
      </c>
      <c r="M153">
        <f>modif1!M153</f>
        <v>2017</v>
      </c>
      <c r="N153" t="str">
        <f>modif1!N153</f>
        <v>PLA-PM_2017</v>
      </c>
      <c r="O153" t="b">
        <f>modif1!O153</f>
        <v>0</v>
      </c>
      <c r="P153">
        <v>40</v>
      </c>
      <c r="Q153" t="s">
        <v>1871</v>
      </c>
      <c r="V153" t="s">
        <v>1803</v>
      </c>
      <c r="Z153"/>
      <c r="AA153" s="17">
        <f>IF($A153,$J153*(IF(Q153=regle!$B$11,regle!$B$23*IF(AJ153=-2,1+regle!$B$35,1),
IF(Q153=regle!$C$11,regle!$C$23,
IF(Q153=regle!$D$11,regle!$D$23,
IF(Q153=regle!$E$11,regle!$E$23,
IF(Q153=regle!$F$11,regle!$F$23,
IF(Q153=regle!$G$11,regle!$G$23,
IF(Q153=regle!$H$11,regle!$H$23,
IF(Q153=regle!$I$11,regle!$I$23,
IF(Q153=regle!$J$11,regle!$J$23,
IF(Q153=regle!$K$11,regle!$K$23,0))))))))))))</f>
        <v>-19.196999999999999</v>
      </c>
      <c r="AB153" s="17">
        <f>IF($A153,$J153*(IF(R153=regle!$B$11,regle!$B$23*IF(AK153=-2,1+regle!$B$35,1),
IF(R153=regle!$C$11,regle!$C$23,
IF(R153=regle!$D$11,regle!$D$23,
IF(R153=regle!$E$11,regle!$E$23,
IF(R153=regle!$F$11,regle!$F$23,
IF(R153=regle!$G$11,regle!$G$23,
IF(R153=regle!$H$11,regle!$H$23,
IF(R153=regle!$I$11,regle!$I$23,
IF(R153=regle!$J$11,regle!$J$23,
IF(R153=regle!$K$11,regle!$K$23,0))))))))))))</f>
        <v>0</v>
      </c>
      <c r="AC153" s="17">
        <f>IF($A153,$J153*(IF(S153=regle!$B$11,regle!$B$23*IF(AL153=-2,1+regle!$B$35,1),
IF(S153=regle!$C$11,regle!$C$23,
IF(S153=regle!$D$11,regle!$D$23,
IF(S153=regle!$E$11,regle!$E$23,
IF(S153=regle!$F$11,regle!$F$23,
IF(S153=regle!$G$11,regle!$G$23,
IF(S153=regle!$H$11,regle!$H$23,
IF(S153=regle!$I$11,regle!$I$23,
IF(S153=regle!$J$11,regle!$J$23,
IF(S153=regle!$K$11,regle!$K$23,0))))))))))))</f>
        <v>0</v>
      </c>
      <c r="AD153" s="17">
        <f>IF($A153,$J153*(IF(T153=regle!$B$11,regle!$B$23*IF(AM153=-2,1+regle!$B$35,1),
IF(T153=regle!$C$11,regle!$C$23,
IF(T153=regle!$D$11,regle!$D$23,
IF(T153=regle!$E$11,regle!$E$23,
IF(T153=regle!$F$11,regle!$F$23,
IF(T153=regle!$G$11,regle!$G$23,
IF(T153=regle!$H$11,regle!$H$23,
IF(T153=regle!$I$11,regle!$I$23,
IF(T153=regle!$J$11,regle!$J$23,
IF(T153=regle!$K$11,regle!$K$23,0))))))))))))</f>
        <v>0</v>
      </c>
      <c r="AE153" s="17">
        <f>IF($A153,$J153*(IF(U153=regle!$B$11,regle!$B$23*IF(AN153=-2,1+regle!$B$35,1),
IF(U153=regle!$C$11,regle!$C$23,
IF(U153=regle!$D$11,regle!$D$23,
IF(U153=regle!$E$11,regle!$E$23,
IF(U153=regle!$F$11,regle!$F$23,
IF(U153=regle!$G$11,regle!$G$23,
IF(U153=regle!$H$11,regle!$H$23,
IF(U153=regle!$I$11,regle!$I$23,
IF(U153=regle!$J$11,regle!$J$23,
IF(U153=regle!$K$11,regle!$K$23,0))))))))))))</f>
        <v>0</v>
      </c>
      <c r="AF153" s="17">
        <f>IF($A153,$J153*(IF(V153=regle!$B$11,regle!$B$23*IF(AO153=-2,1+regle!$B$35,1),
IF(V153=regle!$C$11,regle!$C$23,
IF(V153=regle!$D$11,regle!$D$23,
IF(V153=regle!$E$11,regle!$E$23,
IF(V153=regle!$F$11,regle!$F$23,
IF(V153=regle!$G$11,regle!$G$23,
IF(V153=regle!$H$11,regle!$H$23,
IF(V153=regle!$I$11,regle!$I$23,
IF(V153=regle!$J$11,regle!$J$23,
IF(V153=regle!$K$11,regle!$K$23,0))))))))))))</f>
        <v>122.8608</v>
      </c>
      <c r="AG153" s="17">
        <f>IF($A153,$J153*(IF(W153=regle!$B$11,regle!$B$23*IF(AP153=-2,1+regle!$B$35,1),
IF(W153=regle!$C$11,regle!$C$23,
IF(W153=regle!$D$11,regle!$D$23,
IF(W153=regle!$E$11,regle!$E$23,
IF(W153=regle!$F$11,regle!$F$23,
IF(W153=regle!$G$11,regle!$G$23,
IF(W153=regle!$H$11,regle!$H$23,
IF(W153=regle!$I$11,regle!$I$23,
IF(W153=regle!$J$11,regle!$J$23,
IF(W153=regle!$K$11,regle!$K$23,0))))))))))))</f>
        <v>0</v>
      </c>
      <c r="AH153" s="17">
        <f>IF($A153,$J153*(IF(X153=regle!$B$11,regle!$B$23*IF(AQ153=-2,1+regle!$B$35,1),
IF(X153=regle!$C$11,regle!$C$23,
IF(X153=regle!$D$11,regle!$D$23,
IF(X153=regle!$E$11,regle!$E$23,
IF(X153=regle!$F$11,regle!$F$23,
IF(X153=regle!$G$11,regle!$G$23,
IF(X153=regle!$H$11,regle!$H$23,
IF(X153=regle!$I$11,regle!$I$23,
IF(X153=regle!$J$11,regle!$J$23,
IF(X153=regle!$K$11,regle!$K$23,0))))))))))))</f>
        <v>0</v>
      </c>
      <c r="AI153" s="17">
        <f>IF($A153,$J153*(IF(Y153=regle!$B$11,regle!$B$23*IF(AR153=-2,1+regle!$B$35,1),
IF(Y153=regle!$C$11,regle!$C$23,
IF(Y153=regle!$D$11,regle!$D$23,
IF(Y153=regle!$E$11,regle!$E$23,
IF(Y153=regle!$F$11,regle!$F$23,
IF(Y153=regle!$G$11,regle!$G$23,
IF(Y153=regle!$H$11,regle!$H$23,
IF(Y153=regle!$I$11,regle!$I$23,
IF(Y153=regle!$J$11,regle!$J$23,
IF(Y153=regle!$K$11,regle!$K$23,0))))))))))))</f>
        <v>0</v>
      </c>
      <c r="AJ153" s="17">
        <f>IF($A153,$J153*(IF(Z153=regle!$B$11,regle!$B$23*IF(AS153=-2,1+regle!$B$35,1),
IF(Z153=regle!$C$11,regle!$C$23,
IF(Z153=regle!$D$11,regle!$D$23,
IF(Z153=regle!$E$11,regle!$E$23,
IF(Z153=regle!$F$11,regle!$F$23,
IF(Z153=regle!$G$11,regle!$G$23,
IF(Z153=regle!$H$11,regle!$H$23,
IF(Z153=regle!$I$11,regle!$I$23,
IF(Z153=regle!$J$11,regle!$J$23,
IF(Z153=regle!$K$11,regle!$K$23,0))))))))))))</f>
        <v>0</v>
      </c>
      <c r="AK153" s="16">
        <f>IF(OR(Q153=regle!$J$11,Q153=regle!$K$11),-2,IF(Q153=regle!$B$11,0,IF(AK$1=$AK$1,IF($O153,-1,regle!$B$2-$M153),IF(AJ153=-1,-1,AJ153+1))))</f>
        <v>7</v>
      </c>
      <c r="AL153" s="16">
        <f>IF(OR(R153=regle!$J$11,R153=regle!$K$11),-2,IF(R153=regle!$B$11,0,IF(AL$1=$AK$1,IF($O153,-1,regle!$B$2-$M153),IF(AK153=-1,-1,AK153+1))))</f>
        <v>8</v>
      </c>
      <c r="AM153" s="16">
        <f>IF(OR(S153=regle!$J$11,S153=regle!$K$11),-2,IF(S153=regle!$B$11,0,IF(AM$1=$AK$1,IF($O153,-1,regle!$B$2-$M153),IF(AL153=-1,-1,AL153+1))))</f>
        <v>9</v>
      </c>
      <c r="AN153" s="16">
        <f>IF(OR(T153=regle!$J$11,T153=regle!$K$11),-2,IF(T153=regle!$B$11,0,IF(AN$1=$AK$1,IF($O153,-1,regle!$B$2-$M153),IF(AM153=-1,-1,AM153+1))))</f>
        <v>10</v>
      </c>
      <c r="AO153" s="16">
        <f>IF(OR(U153=regle!$J$11,U153=regle!$K$11),-2,IF(U153=regle!$B$11,0,IF(AO$1=$AK$1,IF($O153,-1,regle!$B$2-$M153),IF(AN153=-1,-1,AN153+1))))</f>
        <v>11</v>
      </c>
      <c r="AP153" s="16">
        <f>IF(OR(V153=regle!$J$11,V153=regle!$K$11),-2,IF(V153=regle!$B$11,0,IF(AP$1=$AK$1,IF($O153,-1,regle!$B$2-$M153),IF(AO153=-1,-1,AO153+1))))</f>
        <v>12</v>
      </c>
      <c r="AQ153" s="16">
        <f>IF(OR(W153=regle!$J$11,W153=regle!$K$11),-2,IF(W153=regle!$B$11,0,IF(AQ$1=$AK$1,IF($O153,-1,regle!$B$2-$M153),IF(AP153=-1,-1,AP153+1))))</f>
        <v>13</v>
      </c>
      <c r="AR153" s="16">
        <f>IF(OR(X153=regle!$J$11,X153=regle!$K$11),-2,IF(X153=regle!$B$11,0,IF(AR$1=$AK$1,IF($O153,-1,regle!$B$2-$M153),IF(AQ153=-1,-1,AQ153+1))))</f>
        <v>14</v>
      </c>
      <c r="AS153" s="16">
        <f>IF(OR(Y153=regle!$J$11,Y153=regle!$K$11),-2,IF(Y153=regle!$B$11,0,IF(AS$1=$AK$1,IF($O153,-1,regle!$B$2-$M153),IF(AR153=-1,-1,AR153+1))))</f>
        <v>15</v>
      </c>
      <c r="AT153" s="16">
        <f>IF(OR(Z153=regle!$J$11,Z153=regle!$K$11),-2,IF(Z153=regle!$B$11,0,IF(AT$1=$AK$1,IF($O153,-1,regle!$B$2-$M153),IF(AS153=-1,-1,AS153+1))))</f>
        <v>16</v>
      </c>
    </row>
    <row r="154" spans="1:46" x14ac:dyDescent="0.25">
      <c r="A154" t="b">
        <f>modif1!A154</f>
        <v>1</v>
      </c>
      <c r="B154">
        <f>ROW(modif1!B154)</f>
        <v>154</v>
      </c>
      <c r="C154" t="str">
        <f>modif1!C157</f>
        <v>202</v>
      </c>
      <c r="D154" t="str">
        <f>modif1!D154</f>
        <v>LE TUZAN</v>
      </c>
      <c r="E154">
        <f>modif1!E154</f>
        <v>21</v>
      </c>
      <c r="F154" t="str">
        <f>modif1!F154</f>
        <v>METAIRIES DE TABARTON</v>
      </c>
      <c r="G154" t="str">
        <f>modif1!G154</f>
        <v>0A</v>
      </c>
      <c r="H154">
        <f>modif1!H154</f>
        <v>462</v>
      </c>
      <c r="I154" t="str">
        <f>modif1!I154</f>
        <v>aj</v>
      </c>
      <c r="J154" s="11">
        <f>modif1!J154</f>
        <v>0.1409</v>
      </c>
      <c r="K154" t="str">
        <f>modif1!K154</f>
        <v>PLA</v>
      </c>
      <c r="L154" t="str">
        <f>modif1!L154</f>
        <v>PM</v>
      </c>
      <c r="M154">
        <f>modif1!M154</f>
        <v>2017</v>
      </c>
      <c r="N154" t="str">
        <f>modif1!N154</f>
        <v>PLA-PM_2017</v>
      </c>
      <c r="O154" t="b">
        <f>modif1!O154</f>
        <v>0</v>
      </c>
      <c r="P154">
        <v>40</v>
      </c>
      <c r="Q154" t="s">
        <v>1871</v>
      </c>
      <c r="V154" t="s">
        <v>1803</v>
      </c>
      <c r="Z154"/>
      <c r="AA154" s="17">
        <f>IF($A154,$J154*(IF(Q154=regle!$B$11,regle!$B$23*IF(AJ154=-2,1+regle!$B$35,1),
IF(Q154=regle!$C$11,regle!$C$23,
IF(Q154=regle!$D$11,regle!$D$23,
IF(Q154=regle!$E$11,regle!$E$23,
IF(Q154=regle!$F$11,regle!$F$23,
IF(Q154=regle!$G$11,regle!$G$23,
IF(Q154=regle!$H$11,regle!$H$23,
IF(Q154=regle!$I$11,regle!$I$23,
IF(Q154=regle!$J$11,regle!$J$23,
IF(Q154=regle!$K$11,regle!$K$23,0))))))))))))</f>
        <v>-12.680999999999999</v>
      </c>
      <c r="AB154" s="17">
        <f>IF($A154,$J154*(IF(R154=regle!$B$11,regle!$B$23*IF(AK154=-2,1+regle!$B$35,1),
IF(R154=regle!$C$11,regle!$C$23,
IF(R154=regle!$D$11,regle!$D$23,
IF(R154=regle!$E$11,regle!$E$23,
IF(R154=regle!$F$11,regle!$F$23,
IF(R154=regle!$G$11,regle!$G$23,
IF(R154=regle!$H$11,regle!$H$23,
IF(R154=regle!$I$11,regle!$I$23,
IF(R154=regle!$J$11,regle!$J$23,
IF(R154=regle!$K$11,regle!$K$23,0))))))))))))</f>
        <v>0</v>
      </c>
      <c r="AC154" s="17">
        <f>IF($A154,$J154*(IF(S154=regle!$B$11,regle!$B$23*IF(AL154=-2,1+regle!$B$35,1),
IF(S154=regle!$C$11,regle!$C$23,
IF(S154=regle!$D$11,regle!$D$23,
IF(S154=regle!$E$11,regle!$E$23,
IF(S154=regle!$F$11,regle!$F$23,
IF(S154=regle!$G$11,regle!$G$23,
IF(S154=regle!$H$11,regle!$H$23,
IF(S154=regle!$I$11,regle!$I$23,
IF(S154=regle!$J$11,regle!$J$23,
IF(S154=regle!$K$11,regle!$K$23,0))))))))))))</f>
        <v>0</v>
      </c>
      <c r="AD154" s="17">
        <f>IF($A154,$J154*(IF(T154=regle!$B$11,regle!$B$23*IF(AM154=-2,1+regle!$B$35,1),
IF(T154=regle!$C$11,regle!$C$23,
IF(T154=regle!$D$11,regle!$D$23,
IF(T154=regle!$E$11,regle!$E$23,
IF(T154=regle!$F$11,regle!$F$23,
IF(T154=regle!$G$11,regle!$G$23,
IF(T154=regle!$H$11,regle!$H$23,
IF(T154=regle!$I$11,regle!$I$23,
IF(T154=regle!$J$11,regle!$J$23,
IF(T154=regle!$K$11,regle!$K$23,0))))))))))))</f>
        <v>0</v>
      </c>
      <c r="AE154" s="17">
        <f>IF($A154,$J154*(IF(U154=regle!$B$11,regle!$B$23*IF(AN154=-2,1+regle!$B$35,1),
IF(U154=regle!$C$11,regle!$C$23,
IF(U154=regle!$D$11,regle!$D$23,
IF(U154=regle!$E$11,regle!$E$23,
IF(U154=regle!$F$11,regle!$F$23,
IF(U154=regle!$G$11,regle!$G$23,
IF(U154=regle!$H$11,regle!$H$23,
IF(U154=regle!$I$11,regle!$I$23,
IF(U154=regle!$J$11,regle!$J$23,
IF(U154=regle!$K$11,regle!$K$23,0))))))))))))</f>
        <v>0</v>
      </c>
      <c r="AF154" s="17">
        <f>IF($A154,$J154*(IF(V154=regle!$B$11,regle!$B$23*IF(AO154=-2,1+regle!$B$35,1),
IF(V154=regle!$C$11,regle!$C$23,
IF(V154=regle!$D$11,regle!$D$23,
IF(V154=regle!$E$11,regle!$E$23,
IF(V154=regle!$F$11,regle!$F$23,
IF(V154=regle!$G$11,regle!$G$23,
IF(V154=regle!$H$11,regle!$H$23,
IF(V154=regle!$I$11,regle!$I$23,
IF(V154=regle!$J$11,regle!$J$23,
IF(V154=regle!$K$11,regle!$K$23,0))))))))))))</f>
        <v>81.1584</v>
      </c>
      <c r="AG154" s="17">
        <f>IF($A154,$J154*(IF(W154=regle!$B$11,regle!$B$23*IF(AP154=-2,1+regle!$B$35,1),
IF(W154=regle!$C$11,regle!$C$23,
IF(W154=regle!$D$11,regle!$D$23,
IF(W154=regle!$E$11,regle!$E$23,
IF(W154=regle!$F$11,regle!$F$23,
IF(W154=regle!$G$11,regle!$G$23,
IF(W154=regle!$H$11,regle!$H$23,
IF(W154=regle!$I$11,regle!$I$23,
IF(W154=regle!$J$11,regle!$J$23,
IF(W154=regle!$K$11,regle!$K$23,0))))))))))))</f>
        <v>0</v>
      </c>
      <c r="AH154" s="17">
        <f>IF($A154,$J154*(IF(X154=regle!$B$11,regle!$B$23*IF(AQ154=-2,1+regle!$B$35,1),
IF(X154=regle!$C$11,regle!$C$23,
IF(X154=regle!$D$11,regle!$D$23,
IF(X154=regle!$E$11,regle!$E$23,
IF(X154=regle!$F$11,regle!$F$23,
IF(X154=regle!$G$11,regle!$G$23,
IF(X154=regle!$H$11,regle!$H$23,
IF(X154=regle!$I$11,regle!$I$23,
IF(X154=regle!$J$11,regle!$J$23,
IF(X154=regle!$K$11,regle!$K$23,0))))))))))))</f>
        <v>0</v>
      </c>
      <c r="AI154" s="17">
        <f>IF($A154,$J154*(IF(Y154=regle!$B$11,regle!$B$23*IF(AR154=-2,1+regle!$B$35,1),
IF(Y154=regle!$C$11,regle!$C$23,
IF(Y154=regle!$D$11,regle!$D$23,
IF(Y154=regle!$E$11,regle!$E$23,
IF(Y154=regle!$F$11,regle!$F$23,
IF(Y154=regle!$G$11,regle!$G$23,
IF(Y154=regle!$H$11,regle!$H$23,
IF(Y154=regle!$I$11,regle!$I$23,
IF(Y154=regle!$J$11,regle!$J$23,
IF(Y154=regle!$K$11,regle!$K$23,0))))))))))))</f>
        <v>0</v>
      </c>
      <c r="AJ154" s="17">
        <f>IF($A154,$J154*(IF(Z154=regle!$B$11,regle!$B$23*IF(AS154=-2,1+regle!$B$35,1),
IF(Z154=regle!$C$11,regle!$C$23,
IF(Z154=regle!$D$11,regle!$D$23,
IF(Z154=regle!$E$11,regle!$E$23,
IF(Z154=regle!$F$11,regle!$F$23,
IF(Z154=regle!$G$11,regle!$G$23,
IF(Z154=regle!$H$11,regle!$H$23,
IF(Z154=regle!$I$11,regle!$I$23,
IF(Z154=regle!$J$11,regle!$J$23,
IF(Z154=regle!$K$11,regle!$K$23,0))))))))))))</f>
        <v>0</v>
      </c>
      <c r="AK154" s="16">
        <f>IF(OR(Q154=regle!$J$11,Q154=regle!$K$11),-2,IF(Q154=regle!$B$11,0,IF(AK$1=$AK$1,IF($O154,-1,regle!$B$2-$M154),IF(AJ154=-1,-1,AJ154+1))))</f>
        <v>7</v>
      </c>
      <c r="AL154" s="16">
        <f>IF(OR(R154=regle!$J$11,R154=regle!$K$11),-2,IF(R154=regle!$B$11,0,IF(AL$1=$AK$1,IF($O154,-1,regle!$B$2-$M154),IF(AK154=-1,-1,AK154+1))))</f>
        <v>8</v>
      </c>
      <c r="AM154" s="16">
        <f>IF(OR(S154=regle!$J$11,S154=regle!$K$11),-2,IF(S154=regle!$B$11,0,IF(AM$1=$AK$1,IF($O154,-1,regle!$B$2-$M154),IF(AL154=-1,-1,AL154+1))))</f>
        <v>9</v>
      </c>
      <c r="AN154" s="16">
        <f>IF(OR(T154=regle!$J$11,T154=regle!$K$11),-2,IF(T154=regle!$B$11,0,IF(AN$1=$AK$1,IF($O154,-1,regle!$B$2-$M154),IF(AM154=-1,-1,AM154+1))))</f>
        <v>10</v>
      </c>
      <c r="AO154" s="16">
        <f>IF(OR(U154=regle!$J$11,U154=regle!$K$11),-2,IF(U154=regle!$B$11,0,IF(AO$1=$AK$1,IF($O154,-1,regle!$B$2-$M154),IF(AN154=-1,-1,AN154+1))))</f>
        <v>11</v>
      </c>
      <c r="AP154" s="16">
        <f>IF(OR(V154=regle!$J$11,V154=regle!$K$11),-2,IF(V154=regle!$B$11,0,IF(AP$1=$AK$1,IF($O154,-1,regle!$B$2-$M154),IF(AO154=-1,-1,AO154+1))))</f>
        <v>12</v>
      </c>
      <c r="AQ154" s="16">
        <f>IF(OR(W154=regle!$J$11,W154=regle!$K$11),-2,IF(W154=regle!$B$11,0,IF(AQ$1=$AK$1,IF($O154,-1,regle!$B$2-$M154),IF(AP154=-1,-1,AP154+1))))</f>
        <v>13</v>
      </c>
      <c r="AR154" s="16">
        <f>IF(OR(X154=regle!$J$11,X154=regle!$K$11),-2,IF(X154=regle!$B$11,0,IF(AR$1=$AK$1,IF($O154,-1,regle!$B$2-$M154),IF(AQ154=-1,-1,AQ154+1))))</f>
        <v>14</v>
      </c>
      <c r="AS154" s="16">
        <f>IF(OR(Y154=regle!$J$11,Y154=regle!$K$11),-2,IF(Y154=regle!$B$11,0,IF(AS$1=$AK$1,IF($O154,-1,regle!$B$2-$M154),IF(AR154=-1,-1,AR154+1))))</f>
        <v>15</v>
      </c>
      <c r="AT154" s="16">
        <f>IF(OR(Z154=regle!$J$11,Z154=regle!$K$11),-2,IF(Z154=regle!$B$11,0,IF(AT$1=$AK$1,IF($O154,-1,regle!$B$2-$M154),IF(AS154=-1,-1,AS154+1))))</f>
        <v>16</v>
      </c>
    </row>
    <row r="155" spans="1:46" x14ac:dyDescent="0.25">
      <c r="A155" t="b">
        <f>modif1!A155</f>
        <v>1</v>
      </c>
      <c r="B155">
        <f>ROW(modif1!B155)</f>
        <v>155</v>
      </c>
      <c r="C155" t="str">
        <f>modif1!C158</f>
        <v>536</v>
      </c>
      <c r="D155" t="str">
        <f>modif1!D155</f>
        <v>LE TUZAN</v>
      </c>
      <c r="E155">
        <f>modif1!E155</f>
        <v>21</v>
      </c>
      <c r="F155" t="str">
        <f>modif1!F155</f>
        <v>METAIRIES DE TABARTON</v>
      </c>
      <c r="G155" t="str">
        <f>modif1!G155</f>
        <v>0A</v>
      </c>
      <c r="H155">
        <f>modif1!H155</f>
        <v>523</v>
      </c>
      <c r="I155" t="str">
        <f>modif1!I155</f>
        <v>j</v>
      </c>
      <c r="J155" s="11">
        <f>modif1!J155</f>
        <v>18.638999999999999</v>
      </c>
      <c r="K155" t="str">
        <f>modif1!K155</f>
        <v>PLA</v>
      </c>
      <c r="L155" t="str">
        <f>modif1!L155</f>
        <v>PM</v>
      </c>
      <c r="M155">
        <f>modif1!M155</f>
        <v>2015</v>
      </c>
      <c r="N155" t="str">
        <f>modif1!N155</f>
        <v>PLA-PM_2015</v>
      </c>
      <c r="O155" t="b">
        <f>modif1!O155</f>
        <v>0</v>
      </c>
      <c r="P155">
        <v>40</v>
      </c>
      <c r="T155" s="22"/>
      <c r="U155" t="s">
        <v>1803</v>
      </c>
      <c r="Y155" s="22"/>
      <c r="Z155" t="s">
        <v>1804</v>
      </c>
      <c r="AA155" s="17">
        <f>IF($A155,$J155*(IF(Q155=regle!$B$11,regle!$B$23*IF(AJ155=-2,1+regle!$B$35,1),
IF(Q155=regle!$C$11,regle!$C$23,
IF(Q155=regle!$D$11,regle!$D$23,
IF(Q155=regle!$E$11,regle!$E$23,
IF(Q155=regle!$F$11,regle!$F$23,
IF(Q155=regle!$G$11,regle!$G$23,
IF(Q155=regle!$H$11,regle!$H$23,
IF(Q155=regle!$I$11,regle!$I$23,
IF(Q155=regle!$J$11,regle!$J$23,
IF(Q155=regle!$K$11,regle!$K$23,0))))))))))))</f>
        <v>0</v>
      </c>
      <c r="AB155" s="17">
        <f>IF($A155,$J155*(IF(R155=regle!$B$11,regle!$B$23*IF(AK155=-2,1+regle!$B$35,1),
IF(R155=regle!$C$11,regle!$C$23,
IF(R155=regle!$D$11,regle!$D$23,
IF(R155=regle!$E$11,regle!$E$23,
IF(R155=regle!$F$11,regle!$F$23,
IF(R155=regle!$G$11,regle!$G$23,
IF(R155=regle!$H$11,regle!$H$23,
IF(R155=regle!$I$11,regle!$I$23,
IF(R155=regle!$J$11,regle!$J$23,
IF(R155=regle!$K$11,regle!$K$23,0))))))))))))</f>
        <v>0</v>
      </c>
      <c r="AC155" s="17">
        <f>IF($A155,$J155*(IF(S155=regle!$B$11,regle!$B$23*IF(AL155=-2,1+regle!$B$35,1),
IF(S155=regle!$C$11,regle!$C$23,
IF(S155=regle!$D$11,regle!$D$23,
IF(S155=regle!$E$11,regle!$E$23,
IF(S155=regle!$F$11,regle!$F$23,
IF(S155=regle!$G$11,regle!$G$23,
IF(S155=regle!$H$11,regle!$H$23,
IF(S155=regle!$I$11,regle!$I$23,
IF(S155=regle!$J$11,regle!$J$23,
IF(S155=regle!$K$11,regle!$K$23,0))))))))))))</f>
        <v>0</v>
      </c>
      <c r="AD155" s="17">
        <f>IF($A155,$J155*(IF(T155=regle!$B$11,regle!$B$23*IF(AM155=-2,1+regle!$B$35,1),
IF(T155=regle!$C$11,regle!$C$23,
IF(T155=regle!$D$11,regle!$D$23,
IF(T155=regle!$E$11,regle!$E$23,
IF(T155=regle!$F$11,regle!$F$23,
IF(T155=regle!$G$11,regle!$G$23,
IF(T155=regle!$H$11,regle!$H$23,
IF(T155=regle!$I$11,regle!$I$23,
IF(T155=regle!$J$11,regle!$J$23,
IF(T155=regle!$K$11,regle!$K$23,0))))))))))))</f>
        <v>0</v>
      </c>
      <c r="AE155" s="17">
        <f>IF($A155,$J155*(IF(U155=regle!$B$11,regle!$B$23*IF(AN155=-2,1+regle!$B$35,1),
IF(U155=regle!$C$11,regle!$C$23,
IF(U155=regle!$D$11,regle!$D$23,
IF(U155=regle!$E$11,regle!$E$23,
IF(U155=regle!$F$11,regle!$F$23,
IF(U155=regle!$G$11,regle!$G$23,
IF(U155=regle!$H$11,regle!$H$23,
IF(U155=regle!$I$11,regle!$I$23,
IF(U155=regle!$J$11,regle!$J$23,
IF(U155=regle!$K$11,regle!$K$23,0))))))))))))</f>
        <v>10736.064</v>
      </c>
      <c r="AF155" s="17">
        <f>IF($A155,$J155*(IF(V155=regle!$B$11,regle!$B$23*IF(AO155=-2,1+regle!$B$35,1),
IF(V155=regle!$C$11,regle!$C$23,
IF(V155=regle!$D$11,regle!$D$23,
IF(V155=regle!$E$11,regle!$E$23,
IF(V155=regle!$F$11,regle!$F$23,
IF(V155=regle!$G$11,regle!$G$23,
IF(V155=regle!$H$11,regle!$H$23,
IF(V155=regle!$I$11,regle!$I$23,
IF(V155=regle!$J$11,regle!$J$23,
IF(V155=regle!$K$11,regle!$K$23,0))))))))))))</f>
        <v>0</v>
      </c>
      <c r="AG155" s="17">
        <f>IF($A155,$J155*(IF(W155=regle!$B$11,regle!$B$23*IF(AP155=-2,1+regle!$B$35,1),
IF(W155=regle!$C$11,regle!$C$23,
IF(W155=regle!$D$11,regle!$D$23,
IF(W155=regle!$E$11,regle!$E$23,
IF(W155=regle!$F$11,regle!$F$23,
IF(W155=regle!$G$11,regle!$G$23,
IF(W155=regle!$H$11,regle!$H$23,
IF(W155=regle!$I$11,regle!$I$23,
IF(W155=regle!$J$11,regle!$J$23,
IF(W155=regle!$K$11,regle!$K$23,0))))))))))))</f>
        <v>0</v>
      </c>
      <c r="AH155" s="17">
        <f>IF($A155,$J155*(IF(X155=regle!$B$11,regle!$B$23*IF(AQ155=-2,1+regle!$B$35,1),
IF(X155=regle!$C$11,regle!$C$23,
IF(X155=regle!$D$11,regle!$D$23,
IF(X155=regle!$E$11,regle!$E$23,
IF(X155=regle!$F$11,regle!$F$23,
IF(X155=regle!$G$11,regle!$G$23,
IF(X155=regle!$H$11,regle!$H$23,
IF(X155=regle!$I$11,regle!$I$23,
IF(X155=regle!$J$11,regle!$J$23,
IF(X155=regle!$K$11,regle!$K$23,0))))))))))))</f>
        <v>0</v>
      </c>
      <c r="AI155" s="17">
        <f>IF($A155,$J155*(IF(Y155=regle!$B$11,regle!$B$23*IF(AR155=-2,1+regle!$B$35,1),
IF(Y155=regle!$C$11,regle!$C$23,
IF(Y155=regle!$D$11,regle!$D$23,
IF(Y155=regle!$E$11,regle!$E$23,
IF(Y155=regle!$F$11,regle!$F$23,
IF(Y155=regle!$G$11,regle!$G$23,
IF(Y155=regle!$H$11,regle!$H$23,
IF(Y155=regle!$I$11,regle!$I$23,
IF(Y155=regle!$J$11,regle!$J$23,
IF(Y155=regle!$K$11,regle!$K$23,0))))))))))))</f>
        <v>0</v>
      </c>
      <c r="AJ155" s="17">
        <f>IF($A155,$J155*(IF(Z155=regle!$B$11,regle!$B$23*IF(AS155=-2,1+regle!$B$35,1),
IF(Z155=regle!$C$11,regle!$C$23,
IF(Z155=regle!$D$11,regle!$D$23,
IF(Z155=regle!$E$11,regle!$E$23,
IF(Z155=regle!$F$11,regle!$F$23,
IF(Z155=regle!$G$11,regle!$G$23,
IF(Z155=regle!$H$11,regle!$H$23,
IF(Z155=regle!$I$11,regle!$I$23,
IF(Z155=regle!$J$11,regle!$J$23,
IF(Z155=regle!$K$11,regle!$K$23,0))))))))))))</f>
        <v>15656.76</v>
      </c>
      <c r="AK155" s="16">
        <f>IF(OR(Q155=regle!$J$11,Q155=regle!$K$11),-2,IF(Q155=regle!$B$11,0,IF(AK$1=$AK$1,IF($O155,-1,regle!$B$2-$M155),IF(AJ155=-1,-1,AJ155+1))))</f>
        <v>9</v>
      </c>
      <c r="AL155" s="16">
        <f>IF(OR(R155=regle!$J$11,R155=regle!$K$11),-2,IF(R155=regle!$B$11,0,IF(AL$1=$AK$1,IF($O155,-1,regle!$B$2-$M155),IF(AK155=-1,-1,AK155+1))))</f>
        <v>10</v>
      </c>
      <c r="AM155" s="16">
        <f>IF(OR(S155=regle!$J$11,S155=regle!$K$11),-2,IF(S155=regle!$B$11,0,IF(AM$1=$AK$1,IF($O155,-1,regle!$B$2-$M155),IF(AL155=-1,-1,AL155+1))))</f>
        <v>11</v>
      </c>
      <c r="AN155" s="16">
        <f>IF(OR(T155=regle!$J$11,T155=regle!$K$11),-2,IF(T155=regle!$B$11,0,IF(AN$1=$AK$1,IF($O155,-1,regle!$B$2-$M155),IF(AM155=-1,-1,AM155+1))))</f>
        <v>12</v>
      </c>
      <c r="AO155" s="16">
        <f>IF(OR(U155=regle!$J$11,U155=regle!$K$11),-2,IF(U155=regle!$B$11,0,IF(AO$1=$AK$1,IF($O155,-1,regle!$B$2-$M155),IF(AN155=-1,-1,AN155+1))))</f>
        <v>13</v>
      </c>
      <c r="AP155" s="16">
        <f>IF(OR(V155=regle!$J$11,V155=regle!$K$11),-2,IF(V155=regle!$B$11,0,IF(AP$1=$AK$1,IF($O155,-1,regle!$B$2-$M155),IF(AO155=-1,-1,AO155+1))))</f>
        <v>14</v>
      </c>
      <c r="AQ155" s="16">
        <f>IF(OR(W155=regle!$J$11,W155=regle!$K$11),-2,IF(W155=regle!$B$11,0,IF(AQ$1=$AK$1,IF($O155,-1,regle!$B$2-$M155),IF(AP155=-1,-1,AP155+1))))</f>
        <v>15</v>
      </c>
      <c r="AR155" s="16">
        <f>IF(OR(X155=regle!$J$11,X155=regle!$K$11),-2,IF(X155=regle!$B$11,0,IF(AR$1=$AK$1,IF($O155,-1,regle!$B$2-$M155),IF(AQ155=-1,-1,AQ155+1))))</f>
        <v>16</v>
      </c>
      <c r="AS155" s="16">
        <f>IF(OR(Y155=regle!$J$11,Y155=regle!$K$11),-2,IF(Y155=regle!$B$11,0,IF(AS$1=$AK$1,IF($O155,-1,regle!$B$2-$M155),IF(AR155=-1,-1,AR155+1))))</f>
        <v>17</v>
      </c>
      <c r="AT155" s="16">
        <f>IF(OR(Z155=regle!$J$11,Z155=regle!$K$11),-2,IF(Z155=regle!$B$11,0,IF(AT$1=$AK$1,IF($O155,-1,regle!$B$2-$M155),IF(AS155=-1,-1,AS155+1))))</f>
        <v>18</v>
      </c>
    </row>
    <row r="156" spans="1:46" x14ac:dyDescent="0.25">
      <c r="A156" t="b">
        <f>modif1!A156</f>
        <v>1</v>
      </c>
      <c r="B156">
        <f>ROW(modif1!B156)</f>
        <v>156</v>
      </c>
      <c r="C156" t="str">
        <f>modif1!C159</f>
        <v>077</v>
      </c>
      <c r="D156" t="str">
        <f>modif1!D156</f>
        <v>HOSTENS</v>
      </c>
      <c r="E156">
        <f>modif1!E156</f>
        <v>11</v>
      </c>
      <c r="F156" t="str">
        <f>modif1!F156</f>
        <v>LES CAZALAS</v>
      </c>
      <c r="G156" t="str">
        <f>modif1!G156</f>
        <v>0B</v>
      </c>
      <c r="H156">
        <f>modif1!H156</f>
        <v>1195</v>
      </c>
      <c r="I156" t="str">
        <f>modif1!I156</f>
        <v>j</v>
      </c>
      <c r="J156" s="11">
        <f>modif1!J156</f>
        <v>14.778</v>
      </c>
      <c r="K156" t="str">
        <f>modif1!K156</f>
        <v>PLA</v>
      </c>
      <c r="L156" t="str">
        <f>modif1!L156</f>
        <v>PM</v>
      </c>
      <c r="M156">
        <f>modif1!M156</f>
        <v>2015</v>
      </c>
      <c r="N156" t="str">
        <f>modif1!N156</f>
        <v>PLA-PM_2015</v>
      </c>
      <c r="O156" t="b">
        <f>modif1!O156</f>
        <v>0</v>
      </c>
      <c r="P156">
        <v>40</v>
      </c>
      <c r="T156" s="22"/>
      <c r="U156" t="s">
        <v>1803</v>
      </c>
      <c r="Y156" s="22"/>
      <c r="Z156" t="s">
        <v>1804</v>
      </c>
      <c r="AA156" s="17">
        <f>IF($A156,$J156*(IF(Q156=regle!$B$11,regle!$B$23*IF(AJ156=-2,1+regle!$B$35,1),
IF(Q156=regle!$C$11,regle!$C$23,
IF(Q156=regle!$D$11,regle!$D$23,
IF(Q156=regle!$E$11,regle!$E$23,
IF(Q156=regle!$F$11,regle!$F$23,
IF(Q156=regle!$G$11,regle!$G$23,
IF(Q156=regle!$H$11,regle!$H$23,
IF(Q156=regle!$I$11,regle!$I$23,
IF(Q156=regle!$J$11,regle!$J$23,
IF(Q156=regle!$K$11,regle!$K$23,0))))))))))))</f>
        <v>0</v>
      </c>
      <c r="AB156" s="17">
        <f>IF($A156,$J156*(IF(R156=regle!$B$11,regle!$B$23*IF(AK156=-2,1+regle!$B$35,1),
IF(R156=regle!$C$11,regle!$C$23,
IF(R156=regle!$D$11,regle!$D$23,
IF(R156=regle!$E$11,regle!$E$23,
IF(R156=regle!$F$11,regle!$F$23,
IF(R156=regle!$G$11,regle!$G$23,
IF(R156=regle!$H$11,regle!$H$23,
IF(R156=regle!$I$11,regle!$I$23,
IF(R156=regle!$J$11,regle!$J$23,
IF(R156=regle!$K$11,regle!$K$23,0))))))))))))</f>
        <v>0</v>
      </c>
      <c r="AC156" s="17">
        <f>IF($A156,$J156*(IF(S156=regle!$B$11,regle!$B$23*IF(AL156=-2,1+regle!$B$35,1),
IF(S156=regle!$C$11,regle!$C$23,
IF(S156=regle!$D$11,regle!$D$23,
IF(S156=regle!$E$11,regle!$E$23,
IF(S156=regle!$F$11,regle!$F$23,
IF(S156=regle!$G$11,regle!$G$23,
IF(S156=regle!$H$11,regle!$H$23,
IF(S156=regle!$I$11,regle!$I$23,
IF(S156=regle!$J$11,regle!$J$23,
IF(S156=regle!$K$11,regle!$K$23,0))))))))))))</f>
        <v>0</v>
      </c>
      <c r="AD156" s="17">
        <f>IF($A156,$J156*(IF(T156=regle!$B$11,regle!$B$23*IF(AM156=-2,1+regle!$B$35,1),
IF(T156=regle!$C$11,regle!$C$23,
IF(T156=regle!$D$11,regle!$D$23,
IF(T156=regle!$E$11,regle!$E$23,
IF(T156=regle!$F$11,regle!$F$23,
IF(T156=regle!$G$11,regle!$G$23,
IF(T156=regle!$H$11,regle!$H$23,
IF(T156=regle!$I$11,regle!$I$23,
IF(T156=regle!$J$11,regle!$J$23,
IF(T156=regle!$K$11,regle!$K$23,0))))))))))))</f>
        <v>0</v>
      </c>
      <c r="AE156" s="17">
        <f>IF($A156,$J156*(IF(U156=regle!$B$11,regle!$B$23*IF(AN156=-2,1+regle!$B$35,1),
IF(U156=regle!$C$11,regle!$C$23,
IF(U156=regle!$D$11,regle!$D$23,
IF(U156=regle!$E$11,regle!$E$23,
IF(U156=regle!$F$11,regle!$F$23,
IF(U156=regle!$G$11,regle!$G$23,
IF(U156=regle!$H$11,regle!$H$23,
IF(U156=regle!$I$11,regle!$I$23,
IF(U156=regle!$J$11,regle!$J$23,
IF(U156=regle!$K$11,regle!$K$23,0))))))))))))</f>
        <v>8512.1280000000006</v>
      </c>
      <c r="AF156" s="17">
        <f>IF($A156,$J156*(IF(V156=regle!$B$11,regle!$B$23*IF(AO156=-2,1+regle!$B$35,1),
IF(V156=regle!$C$11,regle!$C$23,
IF(V156=regle!$D$11,regle!$D$23,
IF(V156=regle!$E$11,regle!$E$23,
IF(V156=regle!$F$11,regle!$F$23,
IF(V156=regle!$G$11,regle!$G$23,
IF(V156=regle!$H$11,regle!$H$23,
IF(V156=regle!$I$11,regle!$I$23,
IF(V156=regle!$J$11,regle!$J$23,
IF(V156=regle!$K$11,regle!$K$23,0))))))))))))</f>
        <v>0</v>
      </c>
      <c r="AG156" s="17">
        <f>IF($A156,$J156*(IF(W156=regle!$B$11,regle!$B$23*IF(AP156=-2,1+regle!$B$35,1),
IF(W156=regle!$C$11,regle!$C$23,
IF(W156=regle!$D$11,regle!$D$23,
IF(W156=regle!$E$11,regle!$E$23,
IF(W156=regle!$F$11,regle!$F$23,
IF(W156=regle!$G$11,regle!$G$23,
IF(W156=regle!$H$11,regle!$H$23,
IF(W156=regle!$I$11,regle!$I$23,
IF(W156=regle!$J$11,regle!$J$23,
IF(W156=regle!$K$11,regle!$K$23,0))))))))))))</f>
        <v>0</v>
      </c>
      <c r="AH156" s="17">
        <f>IF($A156,$J156*(IF(X156=regle!$B$11,regle!$B$23*IF(AQ156=-2,1+regle!$B$35,1),
IF(X156=regle!$C$11,regle!$C$23,
IF(X156=regle!$D$11,regle!$D$23,
IF(X156=regle!$E$11,regle!$E$23,
IF(X156=regle!$F$11,regle!$F$23,
IF(X156=regle!$G$11,regle!$G$23,
IF(X156=regle!$H$11,regle!$H$23,
IF(X156=regle!$I$11,regle!$I$23,
IF(X156=regle!$J$11,regle!$J$23,
IF(X156=regle!$K$11,regle!$K$23,0))))))))))))</f>
        <v>0</v>
      </c>
      <c r="AI156" s="17">
        <f>IF($A156,$J156*(IF(Y156=regle!$B$11,regle!$B$23*IF(AR156=-2,1+regle!$B$35,1),
IF(Y156=regle!$C$11,regle!$C$23,
IF(Y156=regle!$D$11,regle!$D$23,
IF(Y156=regle!$E$11,regle!$E$23,
IF(Y156=regle!$F$11,regle!$F$23,
IF(Y156=regle!$G$11,regle!$G$23,
IF(Y156=regle!$H$11,regle!$H$23,
IF(Y156=regle!$I$11,regle!$I$23,
IF(Y156=regle!$J$11,regle!$J$23,
IF(Y156=regle!$K$11,regle!$K$23,0))))))))))))</f>
        <v>0</v>
      </c>
      <c r="AJ156" s="17">
        <f>IF($A156,$J156*(IF(Z156=regle!$B$11,regle!$B$23*IF(AS156=-2,1+regle!$B$35,1),
IF(Z156=regle!$C$11,regle!$C$23,
IF(Z156=regle!$D$11,regle!$D$23,
IF(Z156=regle!$E$11,regle!$E$23,
IF(Z156=regle!$F$11,regle!$F$23,
IF(Z156=regle!$G$11,regle!$G$23,
IF(Z156=regle!$H$11,regle!$H$23,
IF(Z156=regle!$I$11,regle!$I$23,
IF(Z156=regle!$J$11,regle!$J$23,
IF(Z156=regle!$K$11,regle!$K$23,0))))))))))))</f>
        <v>12413.52</v>
      </c>
      <c r="AK156" s="16">
        <f>IF(OR(Q156=regle!$J$11,Q156=regle!$K$11),-2,IF(Q156=regle!$B$11,0,IF(AK$1=$AK$1,IF($O156,-1,regle!$B$2-$M156),IF(AJ156=-1,-1,AJ156+1))))</f>
        <v>9</v>
      </c>
      <c r="AL156" s="16">
        <f>IF(OR(R156=regle!$J$11,R156=regle!$K$11),-2,IF(R156=regle!$B$11,0,IF(AL$1=$AK$1,IF($O156,-1,regle!$B$2-$M156),IF(AK156=-1,-1,AK156+1))))</f>
        <v>10</v>
      </c>
      <c r="AM156" s="16">
        <f>IF(OR(S156=regle!$J$11,S156=regle!$K$11),-2,IF(S156=regle!$B$11,0,IF(AM$1=$AK$1,IF($O156,-1,regle!$B$2-$M156),IF(AL156=-1,-1,AL156+1))))</f>
        <v>11</v>
      </c>
      <c r="AN156" s="16">
        <f>IF(OR(T156=regle!$J$11,T156=regle!$K$11),-2,IF(T156=regle!$B$11,0,IF(AN$1=$AK$1,IF($O156,-1,regle!$B$2-$M156),IF(AM156=-1,-1,AM156+1))))</f>
        <v>12</v>
      </c>
      <c r="AO156" s="16">
        <f>IF(OR(U156=regle!$J$11,U156=regle!$K$11),-2,IF(U156=regle!$B$11,0,IF(AO$1=$AK$1,IF($O156,-1,regle!$B$2-$M156),IF(AN156=-1,-1,AN156+1))))</f>
        <v>13</v>
      </c>
      <c r="AP156" s="16">
        <f>IF(OR(V156=regle!$J$11,V156=regle!$K$11),-2,IF(V156=regle!$B$11,0,IF(AP$1=$AK$1,IF($O156,-1,regle!$B$2-$M156),IF(AO156=-1,-1,AO156+1))))</f>
        <v>14</v>
      </c>
      <c r="AQ156" s="16">
        <f>IF(OR(W156=regle!$J$11,W156=regle!$K$11),-2,IF(W156=regle!$B$11,0,IF(AQ$1=$AK$1,IF($O156,-1,regle!$B$2-$M156),IF(AP156=-1,-1,AP156+1))))</f>
        <v>15</v>
      </c>
      <c r="AR156" s="16">
        <f>IF(OR(X156=regle!$J$11,X156=regle!$K$11),-2,IF(X156=regle!$B$11,0,IF(AR$1=$AK$1,IF($O156,-1,regle!$B$2-$M156),IF(AQ156=-1,-1,AQ156+1))))</f>
        <v>16</v>
      </c>
      <c r="AS156" s="16">
        <f>IF(OR(Y156=regle!$J$11,Y156=regle!$K$11),-2,IF(Y156=regle!$B$11,0,IF(AS$1=$AK$1,IF($O156,-1,regle!$B$2-$M156),IF(AR156=-1,-1,AR156+1))))</f>
        <v>17</v>
      </c>
      <c r="AT156" s="16">
        <f>IF(OR(Z156=regle!$J$11,Z156=regle!$K$11),-2,IF(Z156=regle!$B$11,0,IF(AT$1=$AK$1,IF($O156,-1,regle!$B$2-$M156),IF(AS156=-1,-1,AS156+1))))</f>
        <v>18</v>
      </c>
    </row>
    <row r="157" spans="1:46" x14ac:dyDescent="0.25">
      <c r="A157" t="b">
        <f>modif1!A157</f>
        <v>1</v>
      </c>
      <c r="B157">
        <f>ROW(modif1!B157)</f>
        <v>157</v>
      </c>
      <c r="C157" t="str">
        <f>modif1!C160</f>
        <v>077</v>
      </c>
      <c r="D157" t="str">
        <f>modif1!D157</f>
        <v>HOSTENS</v>
      </c>
      <c r="E157">
        <f>modif1!E157</f>
        <v>11</v>
      </c>
      <c r="F157" t="str">
        <f>modif1!F157</f>
        <v>LES CAZALAS</v>
      </c>
      <c r="G157" t="str">
        <f>modif1!G157</f>
        <v>0B</v>
      </c>
      <c r="H157">
        <f>modif1!H157</f>
        <v>1184</v>
      </c>
      <c r="I157" t="str">
        <f>modif1!I157</f>
        <v>k</v>
      </c>
      <c r="J157" s="11">
        <f>modif1!J157</f>
        <v>11.5527</v>
      </c>
      <c r="K157" t="str">
        <f>modif1!K157</f>
        <v>PLA</v>
      </c>
      <c r="L157" t="str">
        <f>modif1!L157</f>
        <v>PM</v>
      </c>
      <c r="M157">
        <f>modif1!M157</f>
        <v>2015</v>
      </c>
      <c r="N157" t="str">
        <f>modif1!N157</f>
        <v>PLA-PM_2015</v>
      </c>
      <c r="O157" t="b">
        <f>modif1!O157</f>
        <v>0</v>
      </c>
      <c r="P157">
        <v>40</v>
      </c>
      <c r="T157" t="s">
        <v>1803</v>
      </c>
      <c r="Y157" s="22"/>
      <c r="Z157" t="s">
        <v>1804</v>
      </c>
      <c r="AA157" s="17">
        <f>IF($A157,$J157*(IF(Q157=regle!$B$11,regle!$B$23*IF(AJ157=-2,1+regle!$B$35,1),
IF(Q157=regle!$C$11,regle!$C$23,
IF(Q157=regle!$D$11,regle!$D$23,
IF(Q157=regle!$E$11,regle!$E$23,
IF(Q157=regle!$F$11,regle!$F$23,
IF(Q157=regle!$G$11,regle!$G$23,
IF(Q157=regle!$H$11,regle!$H$23,
IF(Q157=regle!$I$11,regle!$I$23,
IF(Q157=regle!$J$11,regle!$J$23,
IF(Q157=regle!$K$11,regle!$K$23,0))))))))))))</f>
        <v>0</v>
      </c>
      <c r="AB157" s="17">
        <f>IF($A157,$J157*(IF(R157=regle!$B$11,regle!$B$23*IF(AK157=-2,1+regle!$B$35,1),
IF(R157=regle!$C$11,regle!$C$23,
IF(R157=regle!$D$11,regle!$D$23,
IF(R157=regle!$E$11,regle!$E$23,
IF(R157=regle!$F$11,regle!$F$23,
IF(R157=regle!$G$11,regle!$G$23,
IF(R157=regle!$H$11,regle!$H$23,
IF(R157=regle!$I$11,regle!$I$23,
IF(R157=regle!$J$11,regle!$J$23,
IF(R157=regle!$K$11,regle!$K$23,0))))))))))))</f>
        <v>0</v>
      </c>
      <c r="AC157" s="17">
        <f>IF($A157,$J157*(IF(S157=regle!$B$11,regle!$B$23*IF(AL157=-2,1+regle!$B$35,1),
IF(S157=regle!$C$11,regle!$C$23,
IF(S157=regle!$D$11,regle!$D$23,
IF(S157=regle!$E$11,regle!$E$23,
IF(S157=regle!$F$11,regle!$F$23,
IF(S157=regle!$G$11,regle!$G$23,
IF(S157=regle!$H$11,regle!$H$23,
IF(S157=regle!$I$11,regle!$I$23,
IF(S157=regle!$J$11,regle!$J$23,
IF(S157=regle!$K$11,regle!$K$23,0))))))))))))</f>
        <v>0</v>
      </c>
      <c r="AD157" s="17">
        <f>IF($A157,$J157*(IF(T157=regle!$B$11,regle!$B$23*IF(AM157=-2,1+regle!$B$35,1),
IF(T157=regle!$C$11,regle!$C$23,
IF(T157=regle!$D$11,regle!$D$23,
IF(T157=regle!$E$11,regle!$E$23,
IF(T157=regle!$F$11,regle!$F$23,
IF(T157=regle!$G$11,regle!$G$23,
IF(T157=regle!$H$11,regle!$H$23,
IF(T157=regle!$I$11,regle!$I$23,
IF(T157=regle!$J$11,regle!$J$23,
IF(T157=regle!$K$11,regle!$K$23,0))))))))))))</f>
        <v>6654.3552</v>
      </c>
      <c r="AE157" s="17">
        <f>IF($A157,$J157*(IF(U157=regle!$B$11,regle!$B$23*IF(AN157=-2,1+regle!$B$35,1),
IF(U157=regle!$C$11,regle!$C$23,
IF(U157=regle!$D$11,regle!$D$23,
IF(U157=regle!$E$11,regle!$E$23,
IF(U157=regle!$F$11,regle!$F$23,
IF(U157=regle!$G$11,regle!$G$23,
IF(U157=regle!$H$11,regle!$H$23,
IF(U157=regle!$I$11,regle!$I$23,
IF(U157=regle!$J$11,regle!$J$23,
IF(U157=regle!$K$11,regle!$K$23,0))))))))))))</f>
        <v>0</v>
      </c>
      <c r="AF157" s="17">
        <f>IF($A157,$J157*(IF(V157=regle!$B$11,regle!$B$23*IF(AO157=-2,1+regle!$B$35,1),
IF(V157=regle!$C$11,regle!$C$23,
IF(V157=regle!$D$11,regle!$D$23,
IF(V157=regle!$E$11,regle!$E$23,
IF(V157=regle!$F$11,regle!$F$23,
IF(V157=regle!$G$11,regle!$G$23,
IF(V157=regle!$H$11,regle!$H$23,
IF(V157=regle!$I$11,regle!$I$23,
IF(V157=regle!$J$11,regle!$J$23,
IF(V157=regle!$K$11,regle!$K$23,0))))))))))))</f>
        <v>0</v>
      </c>
      <c r="AG157" s="17">
        <f>IF($A157,$J157*(IF(W157=regle!$B$11,regle!$B$23*IF(AP157=-2,1+regle!$B$35,1),
IF(W157=regle!$C$11,regle!$C$23,
IF(W157=regle!$D$11,regle!$D$23,
IF(W157=regle!$E$11,regle!$E$23,
IF(W157=regle!$F$11,regle!$F$23,
IF(W157=regle!$G$11,regle!$G$23,
IF(W157=regle!$H$11,regle!$H$23,
IF(W157=regle!$I$11,regle!$I$23,
IF(W157=regle!$J$11,regle!$J$23,
IF(W157=regle!$K$11,regle!$K$23,0))))))))))))</f>
        <v>0</v>
      </c>
      <c r="AH157" s="17">
        <f>IF($A157,$J157*(IF(X157=regle!$B$11,regle!$B$23*IF(AQ157=-2,1+regle!$B$35,1),
IF(X157=regle!$C$11,regle!$C$23,
IF(X157=regle!$D$11,regle!$D$23,
IF(X157=regle!$E$11,regle!$E$23,
IF(X157=regle!$F$11,regle!$F$23,
IF(X157=regle!$G$11,regle!$G$23,
IF(X157=regle!$H$11,regle!$H$23,
IF(X157=regle!$I$11,regle!$I$23,
IF(X157=regle!$J$11,regle!$J$23,
IF(X157=regle!$K$11,regle!$K$23,0))))))))))))</f>
        <v>0</v>
      </c>
      <c r="AI157" s="17">
        <f>IF($A157,$J157*(IF(Y157=regle!$B$11,regle!$B$23*IF(AR157=-2,1+regle!$B$35,1),
IF(Y157=regle!$C$11,regle!$C$23,
IF(Y157=regle!$D$11,regle!$D$23,
IF(Y157=regle!$E$11,regle!$E$23,
IF(Y157=regle!$F$11,regle!$F$23,
IF(Y157=regle!$G$11,regle!$G$23,
IF(Y157=regle!$H$11,regle!$H$23,
IF(Y157=regle!$I$11,regle!$I$23,
IF(Y157=regle!$J$11,regle!$J$23,
IF(Y157=regle!$K$11,regle!$K$23,0))))))))))))</f>
        <v>0</v>
      </c>
      <c r="AJ157" s="17">
        <f>IF($A157,$J157*(IF(Z157=regle!$B$11,regle!$B$23*IF(AS157=-2,1+regle!$B$35,1),
IF(Z157=regle!$C$11,regle!$C$23,
IF(Z157=regle!$D$11,regle!$D$23,
IF(Z157=regle!$E$11,regle!$E$23,
IF(Z157=regle!$F$11,regle!$F$23,
IF(Z157=regle!$G$11,regle!$G$23,
IF(Z157=regle!$H$11,regle!$H$23,
IF(Z157=regle!$I$11,regle!$I$23,
IF(Z157=regle!$J$11,regle!$J$23,
IF(Z157=regle!$K$11,regle!$K$23,0))))))))))))</f>
        <v>9704.268</v>
      </c>
      <c r="AK157" s="16">
        <f>IF(OR(Q157=regle!$J$11,Q157=regle!$K$11),-2,IF(Q157=regle!$B$11,0,IF(AK$1=$AK$1,IF($O157,-1,regle!$B$2-$M157),IF(AJ157=-1,-1,AJ157+1))))</f>
        <v>9</v>
      </c>
      <c r="AL157" s="16">
        <f>IF(OR(R157=regle!$J$11,R157=regle!$K$11),-2,IF(R157=regle!$B$11,0,IF(AL$1=$AK$1,IF($O157,-1,regle!$B$2-$M157),IF(AK157=-1,-1,AK157+1))))</f>
        <v>10</v>
      </c>
      <c r="AM157" s="16">
        <f>IF(OR(S157=regle!$J$11,S157=regle!$K$11),-2,IF(S157=regle!$B$11,0,IF(AM$1=$AK$1,IF($O157,-1,regle!$B$2-$M157),IF(AL157=-1,-1,AL157+1))))</f>
        <v>11</v>
      </c>
      <c r="AN157" s="16">
        <f>IF(OR(T157=regle!$J$11,T157=regle!$K$11),-2,IF(T157=regle!$B$11,0,IF(AN$1=$AK$1,IF($O157,-1,regle!$B$2-$M157),IF(AM157=-1,-1,AM157+1))))</f>
        <v>12</v>
      </c>
      <c r="AO157" s="16">
        <f>IF(OR(U157=regle!$J$11,U157=regle!$K$11),-2,IF(U157=regle!$B$11,0,IF(AO$1=$AK$1,IF($O157,-1,regle!$B$2-$M157),IF(AN157=-1,-1,AN157+1))))</f>
        <v>13</v>
      </c>
      <c r="AP157" s="16">
        <f>IF(OR(V157=regle!$J$11,V157=regle!$K$11),-2,IF(V157=regle!$B$11,0,IF(AP$1=$AK$1,IF($O157,-1,regle!$B$2-$M157),IF(AO157=-1,-1,AO157+1))))</f>
        <v>14</v>
      </c>
      <c r="AQ157" s="16">
        <f>IF(OR(W157=regle!$J$11,W157=regle!$K$11),-2,IF(W157=regle!$B$11,0,IF(AQ$1=$AK$1,IF($O157,-1,regle!$B$2-$M157),IF(AP157=-1,-1,AP157+1))))</f>
        <v>15</v>
      </c>
      <c r="AR157" s="16">
        <f>IF(OR(X157=regle!$J$11,X157=regle!$K$11),-2,IF(X157=regle!$B$11,0,IF(AR$1=$AK$1,IF($O157,-1,regle!$B$2-$M157),IF(AQ157=-1,-1,AQ157+1))))</f>
        <v>16</v>
      </c>
      <c r="AS157" s="16">
        <f>IF(OR(Y157=regle!$J$11,Y157=regle!$K$11),-2,IF(Y157=regle!$B$11,0,IF(AS$1=$AK$1,IF($O157,-1,regle!$B$2-$M157),IF(AR157=-1,-1,AR157+1))))</f>
        <v>17</v>
      </c>
      <c r="AT157" s="16">
        <f>IF(OR(Z157=regle!$J$11,Z157=regle!$K$11),-2,IF(Z157=regle!$B$11,0,IF(AT$1=$AK$1,IF($O157,-1,regle!$B$2-$M157),IF(AS157=-1,-1,AS157+1))))</f>
        <v>18</v>
      </c>
    </row>
    <row r="158" spans="1:46" x14ac:dyDescent="0.25">
      <c r="A158" t="b">
        <f>modif1!A158</f>
        <v>1</v>
      </c>
      <c r="B158">
        <f>ROW(modif1!B158)</f>
        <v>158</v>
      </c>
      <c r="C158" t="str">
        <f>modif1!C161</f>
        <v>202</v>
      </c>
      <c r="D158" t="str">
        <f>modif1!D158</f>
        <v>LE TUZAN</v>
      </c>
      <c r="E158">
        <f>modif1!E158</f>
        <v>21</v>
      </c>
      <c r="F158" t="str">
        <f>modif1!F158</f>
        <v>METAIRIES DE TABARTON</v>
      </c>
      <c r="G158" t="str">
        <f>modif1!G158</f>
        <v>0A</v>
      </c>
      <c r="H158">
        <f>modif1!H158</f>
        <v>523</v>
      </c>
      <c r="I158" t="str">
        <f>modif1!I158</f>
        <v>d</v>
      </c>
      <c r="J158" s="11">
        <f>modif1!J158</f>
        <v>10.603</v>
      </c>
      <c r="K158" t="str">
        <f>modif1!K158</f>
        <v>PLA</v>
      </c>
      <c r="L158" t="str">
        <f>modif1!L158</f>
        <v>PM</v>
      </c>
      <c r="M158">
        <f>modif1!M158</f>
        <v>2015</v>
      </c>
      <c r="N158" t="str">
        <f>modif1!N158</f>
        <v>PLA-PM_2015</v>
      </c>
      <c r="O158" t="b">
        <f>modif1!O158</f>
        <v>0</v>
      </c>
      <c r="P158">
        <v>40</v>
      </c>
      <c r="T158" t="s">
        <v>1803</v>
      </c>
      <c r="Y158" s="22"/>
      <c r="Z158" t="s">
        <v>1804</v>
      </c>
      <c r="AA158" s="17">
        <f>IF($A158,$J158*(IF(Q158=regle!$B$11,regle!$B$23*IF(AJ158=-2,1+regle!$B$35,1),
IF(Q158=regle!$C$11,regle!$C$23,
IF(Q158=regle!$D$11,regle!$D$23,
IF(Q158=regle!$E$11,regle!$E$23,
IF(Q158=regle!$F$11,regle!$F$23,
IF(Q158=regle!$G$11,regle!$G$23,
IF(Q158=regle!$H$11,regle!$H$23,
IF(Q158=regle!$I$11,regle!$I$23,
IF(Q158=regle!$J$11,regle!$J$23,
IF(Q158=regle!$K$11,regle!$K$23,0))))))))))))</f>
        <v>0</v>
      </c>
      <c r="AB158" s="17">
        <f>IF($A158,$J158*(IF(R158=regle!$B$11,regle!$B$23*IF(AK158=-2,1+regle!$B$35,1),
IF(R158=regle!$C$11,regle!$C$23,
IF(R158=regle!$D$11,regle!$D$23,
IF(R158=regle!$E$11,regle!$E$23,
IF(R158=regle!$F$11,regle!$F$23,
IF(R158=regle!$G$11,regle!$G$23,
IF(R158=regle!$H$11,regle!$H$23,
IF(R158=regle!$I$11,regle!$I$23,
IF(R158=regle!$J$11,regle!$J$23,
IF(R158=regle!$K$11,regle!$K$23,0))))))))))))</f>
        <v>0</v>
      </c>
      <c r="AC158" s="17">
        <f>IF($A158,$J158*(IF(S158=regle!$B$11,regle!$B$23*IF(AL158=-2,1+regle!$B$35,1),
IF(S158=regle!$C$11,regle!$C$23,
IF(S158=regle!$D$11,regle!$D$23,
IF(S158=regle!$E$11,regle!$E$23,
IF(S158=regle!$F$11,regle!$F$23,
IF(S158=regle!$G$11,regle!$G$23,
IF(S158=regle!$H$11,regle!$H$23,
IF(S158=regle!$I$11,regle!$I$23,
IF(S158=regle!$J$11,regle!$J$23,
IF(S158=regle!$K$11,regle!$K$23,0))))))))))))</f>
        <v>0</v>
      </c>
      <c r="AD158" s="17">
        <f>IF($A158,$J158*(IF(T158=regle!$B$11,regle!$B$23*IF(AM158=-2,1+regle!$B$35,1),
IF(T158=regle!$C$11,regle!$C$23,
IF(T158=regle!$D$11,regle!$D$23,
IF(T158=regle!$E$11,regle!$E$23,
IF(T158=regle!$F$11,regle!$F$23,
IF(T158=regle!$G$11,regle!$G$23,
IF(T158=regle!$H$11,regle!$H$23,
IF(T158=regle!$I$11,regle!$I$23,
IF(T158=regle!$J$11,regle!$J$23,
IF(T158=regle!$K$11,regle!$K$23,0))))))))))))</f>
        <v>6107.3279999999995</v>
      </c>
      <c r="AE158" s="17">
        <f>IF($A158,$J158*(IF(U158=regle!$B$11,regle!$B$23*IF(AN158=-2,1+regle!$B$35,1),
IF(U158=regle!$C$11,regle!$C$23,
IF(U158=regle!$D$11,regle!$D$23,
IF(U158=regle!$E$11,regle!$E$23,
IF(U158=regle!$F$11,regle!$F$23,
IF(U158=regle!$G$11,regle!$G$23,
IF(U158=regle!$H$11,regle!$H$23,
IF(U158=regle!$I$11,regle!$I$23,
IF(U158=regle!$J$11,regle!$J$23,
IF(U158=regle!$K$11,regle!$K$23,0))))))))))))</f>
        <v>0</v>
      </c>
      <c r="AF158" s="17">
        <f>IF($A158,$J158*(IF(V158=regle!$B$11,regle!$B$23*IF(AO158=-2,1+regle!$B$35,1),
IF(V158=regle!$C$11,regle!$C$23,
IF(V158=regle!$D$11,regle!$D$23,
IF(V158=regle!$E$11,regle!$E$23,
IF(V158=regle!$F$11,regle!$F$23,
IF(V158=regle!$G$11,regle!$G$23,
IF(V158=regle!$H$11,regle!$H$23,
IF(V158=regle!$I$11,regle!$I$23,
IF(V158=regle!$J$11,regle!$J$23,
IF(V158=regle!$K$11,regle!$K$23,0))))))))))))</f>
        <v>0</v>
      </c>
      <c r="AG158" s="17">
        <f>IF($A158,$J158*(IF(W158=regle!$B$11,regle!$B$23*IF(AP158=-2,1+regle!$B$35,1),
IF(W158=regle!$C$11,regle!$C$23,
IF(W158=regle!$D$11,regle!$D$23,
IF(W158=regle!$E$11,regle!$E$23,
IF(W158=regle!$F$11,regle!$F$23,
IF(W158=regle!$G$11,regle!$G$23,
IF(W158=regle!$H$11,regle!$H$23,
IF(W158=regle!$I$11,regle!$I$23,
IF(W158=regle!$J$11,regle!$J$23,
IF(W158=regle!$K$11,regle!$K$23,0))))))))))))</f>
        <v>0</v>
      </c>
      <c r="AH158" s="17">
        <f>IF($A158,$J158*(IF(X158=regle!$B$11,regle!$B$23*IF(AQ158=-2,1+regle!$B$35,1),
IF(X158=regle!$C$11,regle!$C$23,
IF(X158=regle!$D$11,regle!$D$23,
IF(X158=regle!$E$11,regle!$E$23,
IF(X158=regle!$F$11,regle!$F$23,
IF(X158=regle!$G$11,regle!$G$23,
IF(X158=regle!$H$11,regle!$H$23,
IF(X158=regle!$I$11,regle!$I$23,
IF(X158=regle!$J$11,regle!$J$23,
IF(X158=regle!$K$11,regle!$K$23,0))))))))))))</f>
        <v>0</v>
      </c>
      <c r="AI158" s="17">
        <f>IF($A158,$J158*(IF(Y158=regle!$B$11,regle!$B$23*IF(AR158=-2,1+regle!$B$35,1),
IF(Y158=regle!$C$11,regle!$C$23,
IF(Y158=regle!$D$11,regle!$D$23,
IF(Y158=regle!$E$11,regle!$E$23,
IF(Y158=regle!$F$11,regle!$F$23,
IF(Y158=regle!$G$11,regle!$G$23,
IF(Y158=regle!$H$11,regle!$H$23,
IF(Y158=regle!$I$11,regle!$I$23,
IF(Y158=regle!$J$11,regle!$J$23,
IF(Y158=regle!$K$11,regle!$K$23,0))))))))))))</f>
        <v>0</v>
      </c>
      <c r="AJ158" s="17">
        <f>IF($A158,$J158*(IF(Z158=regle!$B$11,regle!$B$23*IF(AS158=-2,1+regle!$B$35,1),
IF(Z158=regle!$C$11,regle!$C$23,
IF(Z158=regle!$D$11,regle!$D$23,
IF(Z158=regle!$E$11,regle!$E$23,
IF(Z158=regle!$F$11,regle!$F$23,
IF(Z158=regle!$G$11,regle!$G$23,
IF(Z158=regle!$H$11,regle!$H$23,
IF(Z158=regle!$I$11,regle!$I$23,
IF(Z158=regle!$J$11,regle!$J$23,
IF(Z158=regle!$K$11,regle!$K$23,0))))))))))))</f>
        <v>8906.52</v>
      </c>
      <c r="AK158" s="16">
        <f>IF(OR(Q158=regle!$J$11,Q158=regle!$K$11),-2,IF(Q158=regle!$B$11,0,IF(AK$1=$AK$1,IF($O158,-1,regle!$B$2-$M158),IF(AJ158=-1,-1,AJ158+1))))</f>
        <v>9</v>
      </c>
      <c r="AL158" s="16">
        <f>IF(OR(R158=regle!$J$11,R158=regle!$K$11),-2,IF(R158=regle!$B$11,0,IF(AL$1=$AK$1,IF($O158,-1,regle!$B$2-$M158),IF(AK158=-1,-1,AK158+1))))</f>
        <v>10</v>
      </c>
      <c r="AM158" s="16">
        <f>IF(OR(S158=regle!$J$11,S158=regle!$K$11),-2,IF(S158=regle!$B$11,0,IF(AM$1=$AK$1,IF($O158,-1,regle!$B$2-$M158),IF(AL158=-1,-1,AL158+1))))</f>
        <v>11</v>
      </c>
      <c r="AN158" s="16">
        <f>IF(OR(T158=regle!$J$11,T158=regle!$K$11),-2,IF(T158=regle!$B$11,0,IF(AN$1=$AK$1,IF($O158,-1,regle!$B$2-$M158),IF(AM158=-1,-1,AM158+1))))</f>
        <v>12</v>
      </c>
      <c r="AO158" s="16">
        <f>IF(OR(U158=regle!$J$11,U158=regle!$K$11),-2,IF(U158=regle!$B$11,0,IF(AO$1=$AK$1,IF($O158,-1,regle!$B$2-$M158),IF(AN158=-1,-1,AN158+1))))</f>
        <v>13</v>
      </c>
      <c r="AP158" s="16">
        <f>IF(OR(V158=regle!$J$11,V158=regle!$K$11),-2,IF(V158=regle!$B$11,0,IF(AP$1=$AK$1,IF($O158,-1,regle!$B$2-$M158),IF(AO158=-1,-1,AO158+1))))</f>
        <v>14</v>
      </c>
      <c r="AQ158" s="16">
        <f>IF(OR(W158=regle!$J$11,W158=regle!$K$11),-2,IF(W158=regle!$B$11,0,IF(AQ$1=$AK$1,IF($O158,-1,regle!$B$2-$M158),IF(AP158=-1,-1,AP158+1))))</f>
        <v>15</v>
      </c>
      <c r="AR158" s="16">
        <f>IF(OR(X158=regle!$J$11,X158=regle!$K$11),-2,IF(X158=regle!$B$11,0,IF(AR$1=$AK$1,IF($O158,-1,regle!$B$2-$M158),IF(AQ158=-1,-1,AQ158+1))))</f>
        <v>16</v>
      </c>
      <c r="AS158" s="16">
        <f>IF(OR(Y158=regle!$J$11,Y158=regle!$K$11),-2,IF(Y158=regle!$B$11,0,IF(AS$1=$AK$1,IF($O158,-1,regle!$B$2-$M158),IF(AR158=-1,-1,AR158+1))))</f>
        <v>17</v>
      </c>
      <c r="AT158" s="16">
        <f>IF(OR(Z158=regle!$J$11,Z158=regle!$K$11),-2,IF(Z158=regle!$B$11,0,IF(AT$1=$AK$1,IF($O158,-1,regle!$B$2-$M158),IF(AS158=-1,-1,AS158+1))))</f>
        <v>18</v>
      </c>
    </row>
    <row r="159" spans="1:46" x14ac:dyDescent="0.25">
      <c r="A159" t="b">
        <f>modif1!A159</f>
        <v>1</v>
      </c>
      <c r="B159">
        <f>ROW(modif1!B159)</f>
        <v>159</v>
      </c>
      <c r="C159" t="str">
        <f>modif1!C162</f>
        <v>202</v>
      </c>
      <c r="D159" t="str">
        <f>modif1!D159</f>
        <v>CABANAC-ET-VILLAGRAINS</v>
      </c>
      <c r="E159">
        <f>modif1!E159</f>
        <v>13</v>
      </c>
      <c r="F159" t="str">
        <f>modif1!F159</f>
        <v>LAGUNE LONGUE</v>
      </c>
      <c r="G159" t="str">
        <f>modif1!G159</f>
        <v>0D</v>
      </c>
      <c r="H159">
        <f>modif1!H159</f>
        <v>1511</v>
      </c>
      <c r="I159" t="str">
        <f>modif1!I159</f>
        <v>l</v>
      </c>
      <c r="J159" s="11">
        <f>modif1!J159</f>
        <v>4.649</v>
      </c>
      <c r="K159" t="str">
        <f>modif1!K159</f>
        <v>PLA</v>
      </c>
      <c r="L159" t="str">
        <f>modif1!L159</f>
        <v>PM</v>
      </c>
      <c r="M159">
        <f>modif1!M159</f>
        <v>2015</v>
      </c>
      <c r="N159" t="str">
        <f>modif1!N159</f>
        <v>PLA-PM_2015</v>
      </c>
      <c r="O159" t="b">
        <f>modif1!O159</f>
        <v>0</v>
      </c>
      <c r="P159">
        <v>40</v>
      </c>
      <c r="T159" t="s">
        <v>1803</v>
      </c>
      <c r="Y159" s="22"/>
      <c r="Z159" t="s">
        <v>1804</v>
      </c>
      <c r="AA159" s="17">
        <f>IF($A159,$J159*(IF(Q159=regle!$B$11,regle!$B$23*IF(AJ159=-2,1+regle!$B$35,1),
IF(Q159=regle!$C$11,regle!$C$23,
IF(Q159=regle!$D$11,regle!$D$23,
IF(Q159=regle!$E$11,regle!$E$23,
IF(Q159=regle!$F$11,regle!$F$23,
IF(Q159=regle!$G$11,regle!$G$23,
IF(Q159=regle!$H$11,regle!$H$23,
IF(Q159=regle!$I$11,regle!$I$23,
IF(Q159=regle!$J$11,regle!$J$23,
IF(Q159=regle!$K$11,regle!$K$23,0))))))))))))</f>
        <v>0</v>
      </c>
      <c r="AB159" s="17">
        <f>IF($A159,$J159*(IF(R159=regle!$B$11,regle!$B$23*IF(AK159=-2,1+regle!$B$35,1),
IF(R159=regle!$C$11,regle!$C$23,
IF(R159=regle!$D$11,regle!$D$23,
IF(R159=regle!$E$11,regle!$E$23,
IF(R159=regle!$F$11,regle!$F$23,
IF(R159=regle!$G$11,regle!$G$23,
IF(R159=regle!$H$11,regle!$H$23,
IF(R159=regle!$I$11,regle!$I$23,
IF(R159=regle!$J$11,regle!$J$23,
IF(R159=regle!$K$11,regle!$K$23,0))))))))))))</f>
        <v>0</v>
      </c>
      <c r="AC159" s="17">
        <f>IF($A159,$J159*(IF(S159=regle!$B$11,regle!$B$23*IF(AL159=-2,1+regle!$B$35,1),
IF(S159=regle!$C$11,regle!$C$23,
IF(S159=regle!$D$11,regle!$D$23,
IF(S159=regle!$E$11,regle!$E$23,
IF(S159=regle!$F$11,regle!$F$23,
IF(S159=regle!$G$11,regle!$G$23,
IF(S159=regle!$H$11,regle!$H$23,
IF(S159=regle!$I$11,regle!$I$23,
IF(S159=regle!$J$11,regle!$J$23,
IF(S159=regle!$K$11,regle!$K$23,0))))))))))))</f>
        <v>0</v>
      </c>
      <c r="AD159" s="17">
        <f>IF($A159,$J159*(IF(T159=regle!$B$11,regle!$B$23*IF(AM159=-2,1+regle!$B$35,1),
IF(T159=regle!$C$11,regle!$C$23,
IF(T159=regle!$D$11,regle!$D$23,
IF(T159=regle!$E$11,regle!$E$23,
IF(T159=regle!$F$11,regle!$F$23,
IF(T159=regle!$G$11,regle!$G$23,
IF(T159=regle!$H$11,regle!$H$23,
IF(T159=regle!$I$11,regle!$I$23,
IF(T159=regle!$J$11,regle!$J$23,
IF(T159=regle!$K$11,regle!$K$23,0))))))))))))</f>
        <v>2677.8240000000001</v>
      </c>
      <c r="AE159" s="17">
        <f>IF($A159,$J159*(IF(U159=regle!$B$11,regle!$B$23*IF(AN159=-2,1+regle!$B$35,1),
IF(U159=regle!$C$11,regle!$C$23,
IF(U159=regle!$D$11,regle!$D$23,
IF(U159=regle!$E$11,regle!$E$23,
IF(U159=regle!$F$11,regle!$F$23,
IF(U159=regle!$G$11,regle!$G$23,
IF(U159=regle!$H$11,regle!$H$23,
IF(U159=regle!$I$11,regle!$I$23,
IF(U159=regle!$J$11,regle!$J$23,
IF(U159=regle!$K$11,regle!$K$23,0))))))))))))</f>
        <v>0</v>
      </c>
      <c r="AF159" s="17">
        <f>IF($A159,$J159*(IF(V159=regle!$B$11,regle!$B$23*IF(AO159=-2,1+regle!$B$35,1),
IF(V159=regle!$C$11,regle!$C$23,
IF(V159=regle!$D$11,regle!$D$23,
IF(V159=regle!$E$11,regle!$E$23,
IF(V159=regle!$F$11,regle!$F$23,
IF(V159=regle!$G$11,regle!$G$23,
IF(V159=regle!$H$11,regle!$H$23,
IF(V159=regle!$I$11,regle!$I$23,
IF(V159=regle!$J$11,regle!$J$23,
IF(V159=regle!$K$11,regle!$K$23,0))))))))))))</f>
        <v>0</v>
      </c>
      <c r="AG159" s="17">
        <f>IF($A159,$J159*(IF(W159=regle!$B$11,regle!$B$23*IF(AP159=-2,1+regle!$B$35,1),
IF(W159=regle!$C$11,regle!$C$23,
IF(W159=regle!$D$11,regle!$D$23,
IF(W159=regle!$E$11,regle!$E$23,
IF(W159=regle!$F$11,regle!$F$23,
IF(W159=regle!$G$11,regle!$G$23,
IF(W159=regle!$H$11,regle!$H$23,
IF(W159=regle!$I$11,regle!$I$23,
IF(W159=regle!$J$11,regle!$J$23,
IF(W159=regle!$K$11,regle!$K$23,0))))))))))))</f>
        <v>0</v>
      </c>
      <c r="AH159" s="17">
        <f>IF($A159,$J159*(IF(X159=regle!$B$11,regle!$B$23*IF(AQ159=-2,1+regle!$B$35,1),
IF(X159=regle!$C$11,regle!$C$23,
IF(X159=regle!$D$11,regle!$D$23,
IF(X159=regle!$E$11,regle!$E$23,
IF(X159=regle!$F$11,regle!$F$23,
IF(X159=regle!$G$11,regle!$G$23,
IF(X159=regle!$H$11,regle!$H$23,
IF(X159=regle!$I$11,regle!$I$23,
IF(X159=regle!$J$11,regle!$J$23,
IF(X159=regle!$K$11,regle!$K$23,0))))))))))))</f>
        <v>0</v>
      </c>
      <c r="AI159" s="17">
        <f>IF($A159,$J159*(IF(Y159=regle!$B$11,regle!$B$23*IF(AR159=-2,1+regle!$B$35,1),
IF(Y159=regle!$C$11,regle!$C$23,
IF(Y159=regle!$D$11,regle!$D$23,
IF(Y159=regle!$E$11,regle!$E$23,
IF(Y159=regle!$F$11,regle!$F$23,
IF(Y159=regle!$G$11,regle!$G$23,
IF(Y159=regle!$H$11,regle!$H$23,
IF(Y159=regle!$I$11,regle!$I$23,
IF(Y159=regle!$J$11,regle!$J$23,
IF(Y159=regle!$K$11,regle!$K$23,0))))))))))))</f>
        <v>0</v>
      </c>
      <c r="AJ159" s="17">
        <f>IF($A159,$J159*(IF(Z159=regle!$B$11,regle!$B$23*IF(AS159=-2,1+regle!$B$35,1),
IF(Z159=regle!$C$11,regle!$C$23,
IF(Z159=regle!$D$11,regle!$D$23,
IF(Z159=regle!$E$11,regle!$E$23,
IF(Z159=regle!$F$11,regle!$F$23,
IF(Z159=regle!$G$11,regle!$G$23,
IF(Z159=regle!$H$11,regle!$H$23,
IF(Z159=regle!$I$11,regle!$I$23,
IF(Z159=regle!$J$11,regle!$J$23,
IF(Z159=regle!$K$11,regle!$K$23,0))))))))))))</f>
        <v>3905.16</v>
      </c>
      <c r="AK159" s="16">
        <f>IF(OR(Q159=regle!$J$11,Q159=regle!$K$11),-2,IF(Q159=regle!$B$11,0,IF(AK$1=$AK$1,IF($O159,-1,regle!$B$2-$M159),IF(AJ159=-1,-1,AJ159+1))))</f>
        <v>9</v>
      </c>
      <c r="AL159" s="16">
        <f>IF(OR(R159=regle!$J$11,R159=regle!$K$11),-2,IF(R159=regle!$B$11,0,IF(AL$1=$AK$1,IF($O159,-1,regle!$B$2-$M159),IF(AK159=-1,-1,AK159+1))))</f>
        <v>10</v>
      </c>
      <c r="AM159" s="16">
        <f>IF(OR(S159=regle!$J$11,S159=regle!$K$11),-2,IF(S159=regle!$B$11,0,IF(AM$1=$AK$1,IF($O159,-1,regle!$B$2-$M159),IF(AL159=-1,-1,AL159+1))))</f>
        <v>11</v>
      </c>
      <c r="AN159" s="16">
        <f>IF(OR(T159=regle!$J$11,T159=regle!$K$11),-2,IF(T159=regle!$B$11,0,IF(AN$1=$AK$1,IF($O159,-1,regle!$B$2-$M159),IF(AM159=-1,-1,AM159+1))))</f>
        <v>12</v>
      </c>
      <c r="AO159" s="16">
        <f>IF(OR(U159=regle!$J$11,U159=regle!$K$11),-2,IF(U159=regle!$B$11,0,IF(AO$1=$AK$1,IF($O159,-1,regle!$B$2-$M159),IF(AN159=-1,-1,AN159+1))))</f>
        <v>13</v>
      </c>
      <c r="AP159" s="16">
        <f>IF(OR(V159=regle!$J$11,V159=regle!$K$11),-2,IF(V159=regle!$B$11,0,IF(AP$1=$AK$1,IF($O159,-1,regle!$B$2-$M159),IF(AO159=-1,-1,AO159+1))))</f>
        <v>14</v>
      </c>
      <c r="AQ159" s="16">
        <f>IF(OR(W159=regle!$J$11,W159=regle!$K$11),-2,IF(W159=regle!$B$11,0,IF(AQ$1=$AK$1,IF($O159,-1,regle!$B$2-$M159),IF(AP159=-1,-1,AP159+1))))</f>
        <v>15</v>
      </c>
      <c r="AR159" s="16">
        <f>IF(OR(X159=regle!$J$11,X159=regle!$K$11),-2,IF(X159=regle!$B$11,0,IF(AR$1=$AK$1,IF($O159,-1,regle!$B$2-$M159),IF(AQ159=-1,-1,AQ159+1))))</f>
        <v>16</v>
      </c>
      <c r="AS159" s="16">
        <f>IF(OR(Y159=regle!$J$11,Y159=regle!$K$11),-2,IF(Y159=regle!$B$11,0,IF(AS$1=$AK$1,IF($O159,-1,regle!$B$2-$M159),IF(AR159=-1,-1,AR159+1))))</f>
        <v>17</v>
      </c>
      <c r="AT159" s="16">
        <f>IF(OR(Z159=regle!$J$11,Z159=regle!$K$11),-2,IF(Z159=regle!$B$11,0,IF(AT$1=$AK$1,IF($O159,-1,regle!$B$2-$M159),IF(AS159=-1,-1,AS159+1))))</f>
        <v>18</v>
      </c>
    </row>
    <row r="160" spans="1:46" x14ac:dyDescent="0.25">
      <c r="A160" t="b">
        <f>modif1!A160</f>
        <v>1</v>
      </c>
      <c r="B160">
        <f>ROW(modif1!B160)</f>
        <v>160</v>
      </c>
      <c r="C160" t="str">
        <f>modif1!C163</f>
        <v>077</v>
      </c>
      <c r="D160" t="str">
        <f>modif1!D160</f>
        <v>CABANAC-ET-VILLAGRAINS</v>
      </c>
      <c r="E160">
        <f>modif1!E160</f>
        <v>13</v>
      </c>
      <c r="F160" t="str">
        <f>modif1!F160</f>
        <v>LAGUNE LONGUE</v>
      </c>
      <c r="G160" t="str">
        <f>modif1!G160</f>
        <v>0D</v>
      </c>
      <c r="H160">
        <f>modif1!H160</f>
        <v>1511</v>
      </c>
      <c r="I160" t="str">
        <f>modif1!I160</f>
        <v>m</v>
      </c>
      <c r="J160" s="11">
        <f>modif1!J160</f>
        <v>3.1265999999999998</v>
      </c>
      <c r="K160" t="str">
        <f>modif1!K160</f>
        <v>PLA</v>
      </c>
      <c r="L160" t="str">
        <f>modif1!L160</f>
        <v>PM</v>
      </c>
      <c r="M160">
        <f>modif1!M160</f>
        <v>2015</v>
      </c>
      <c r="N160" t="str">
        <f>modif1!N160</f>
        <v>PLA-PM_2015</v>
      </c>
      <c r="O160" t="b">
        <f>modif1!O160</f>
        <v>0</v>
      </c>
      <c r="P160">
        <v>40</v>
      </c>
      <c r="T160" t="s">
        <v>1803</v>
      </c>
      <c r="Y160" s="22"/>
      <c r="Z160" t="s">
        <v>1804</v>
      </c>
      <c r="AA160" s="17">
        <f>IF($A160,$J160*(IF(Q160=regle!$B$11,regle!$B$23*IF(AJ160=-2,1+regle!$B$35,1),
IF(Q160=regle!$C$11,regle!$C$23,
IF(Q160=regle!$D$11,regle!$D$23,
IF(Q160=regle!$E$11,regle!$E$23,
IF(Q160=regle!$F$11,regle!$F$23,
IF(Q160=regle!$G$11,regle!$G$23,
IF(Q160=regle!$H$11,regle!$H$23,
IF(Q160=regle!$I$11,regle!$I$23,
IF(Q160=regle!$J$11,regle!$J$23,
IF(Q160=regle!$K$11,regle!$K$23,0))))))))))))</f>
        <v>0</v>
      </c>
      <c r="AB160" s="17">
        <f>IF($A160,$J160*(IF(R160=regle!$B$11,regle!$B$23*IF(AK160=-2,1+regle!$B$35,1),
IF(R160=regle!$C$11,regle!$C$23,
IF(R160=regle!$D$11,regle!$D$23,
IF(R160=regle!$E$11,regle!$E$23,
IF(R160=regle!$F$11,regle!$F$23,
IF(R160=regle!$G$11,regle!$G$23,
IF(R160=regle!$H$11,regle!$H$23,
IF(R160=regle!$I$11,regle!$I$23,
IF(R160=regle!$J$11,regle!$J$23,
IF(R160=regle!$K$11,regle!$K$23,0))))))))))))</f>
        <v>0</v>
      </c>
      <c r="AC160" s="17">
        <f>IF($A160,$J160*(IF(S160=regle!$B$11,regle!$B$23*IF(AL160=-2,1+regle!$B$35,1),
IF(S160=regle!$C$11,regle!$C$23,
IF(S160=regle!$D$11,regle!$D$23,
IF(S160=regle!$E$11,regle!$E$23,
IF(S160=regle!$F$11,regle!$F$23,
IF(S160=regle!$G$11,regle!$G$23,
IF(S160=regle!$H$11,regle!$H$23,
IF(S160=regle!$I$11,regle!$I$23,
IF(S160=regle!$J$11,regle!$J$23,
IF(S160=regle!$K$11,regle!$K$23,0))))))))))))</f>
        <v>0</v>
      </c>
      <c r="AD160" s="17">
        <f>IF($A160,$J160*(IF(T160=regle!$B$11,regle!$B$23*IF(AM160=-2,1+regle!$B$35,1),
IF(T160=regle!$C$11,regle!$C$23,
IF(T160=regle!$D$11,regle!$D$23,
IF(T160=regle!$E$11,regle!$E$23,
IF(T160=regle!$F$11,regle!$F$23,
IF(T160=regle!$G$11,regle!$G$23,
IF(T160=regle!$H$11,regle!$H$23,
IF(T160=regle!$I$11,regle!$I$23,
IF(T160=regle!$J$11,regle!$J$23,
IF(T160=regle!$K$11,regle!$K$23,0))))))))))))</f>
        <v>1800.9215999999999</v>
      </c>
      <c r="AE160" s="17">
        <f>IF($A160,$J160*(IF(U160=regle!$B$11,regle!$B$23*IF(AN160=-2,1+regle!$B$35,1),
IF(U160=regle!$C$11,regle!$C$23,
IF(U160=regle!$D$11,regle!$D$23,
IF(U160=regle!$E$11,regle!$E$23,
IF(U160=regle!$F$11,regle!$F$23,
IF(U160=regle!$G$11,regle!$G$23,
IF(U160=regle!$H$11,regle!$H$23,
IF(U160=regle!$I$11,regle!$I$23,
IF(U160=regle!$J$11,regle!$J$23,
IF(U160=regle!$K$11,regle!$K$23,0))))))))))))</f>
        <v>0</v>
      </c>
      <c r="AF160" s="17">
        <f>IF($A160,$J160*(IF(V160=regle!$B$11,regle!$B$23*IF(AO160=-2,1+regle!$B$35,1),
IF(V160=regle!$C$11,regle!$C$23,
IF(V160=regle!$D$11,regle!$D$23,
IF(V160=regle!$E$11,regle!$E$23,
IF(V160=regle!$F$11,regle!$F$23,
IF(V160=regle!$G$11,regle!$G$23,
IF(V160=regle!$H$11,regle!$H$23,
IF(V160=regle!$I$11,regle!$I$23,
IF(V160=regle!$J$11,regle!$J$23,
IF(V160=regle!$K$11,regle!$K$23,0))))))))))))</f>
        <v>0</v>
      </c>
      <c r="AG160" s="17">
        <f>IF($A160,$J160*(IF(W160=regle!$B$11,regle!$B$23*IF(AP160=-2,1+regle!$B$35,1),
IF(W160=regle!$C$11,regle!$C$23,
IF(W160=regle!$D$11,regle!$D$23,
IF(W160=regle!$E$11,regle!$E$23,
IF(W160=regle!$F$11,regle!$F$23,
IF(W160=regle!$G$11,regle!$G$23,
IF(W160=regle!$H$11,regle!$H$23,
IF(W160=regle!$I$11,regle!$I$23,
IF(W160=regle!$J$11,regle!$J$23,
IF(W160=regle!$K$11,regle!$K$23,0))))))))))))</f>
        <v>0</v>
      </c>
      <c r="AH160" s="17">
        <f>IF($A160,$J160*(IF(X160=regle!$B$11,regle!$B$23*IF(AQ160=-2,1+regle!$B$35,1),
IF(X160=regle!$C$11,regle!$C$23,
IF(X160=regle!$D$11,regle!$D$23,
IF(X160=regle!$E$11,regle!$E$23,
IF(X160=regle!$F$11,regle!$F$23,
IF(X160=regle!$G$11,regle!$G$23,
IF(X160=regle!$H$11,regle!$H$23,
IF(X160=regle!$I$11,regle!$I$23,
IF(X160=regle!$J$11,regle!$J$23,
IF(X160=regle!$K$11,regle!$K$23,0))))))))))))</f>
        <v>0</v>
      </c>
      <c r="AI160" s="17">
        <f>IF($A160,$J160*(IF(Y160=regle!$B$11,regle!$B$23*IF(AR160=-2,1+regle!$B$35,1),
IF(Y160=regle!$C$11,regle!$C$23,
IF(Y160=regle!$D$11,regle!$D$23,
IF(Y160=regle!$E$11,regle!$E$23,
IF(Y160=regle!$F$11,regle!$F$23,
IF(Y160=regle!$G$11,regle!$G$23,
IF(Y160=regle!$H$11,regle!$H$23,
IF(Y160=regle!$I$11,regle!$I$23,
IF(Y160=regle!$J$11,regle!$J$23,
IF(Y160=regle!$K$11,regle!$K$23,0))))))))))))</f>
        <v>0</v>
      </c>
      <c r="AJ160" s="17">
        <f>IF($A160,$J160*(IF(Z160=regle!$B$11,regle!$B$23*IF(AS160=-2,1+regle!$B$35,1),
IF(Z160=regle!$C$11,regle!$C$23,
IF(Z160=regle!$D$11,regle!$D$23,
IF(Z160=regle!$E$11,regle!$E$23,
IF(Z160=regle!$F$11,regle!$F$23,
IF(Z160=regle!$G$11,regle!$G$23,
IF(Z160=regle!$H$11,regle!$H$23,
IF(Z160=regle!$I$11,regle!$I$23,
IF(Z160=regle!$J$11,regle!$J$23,
IF(Z160=regle!$K$11,regle!$K$23,0))))))))))))</f>
        <v>2626.3440000000001</v>
      </c>
      <c r="AK160" s="16">
        <f>IF(OR(Q160=regle!$J$11,Q160=regle!$K$11),-2,IF(Q160=regle!$B$11,0,IF(AK$1=$AK$1,IF($O160,-1,regle!$B$2-$M160),IF(AJ160=-1,-1,AJ160+1))))</f>
        <v>9</v>
      </c>
      <c r="AL160" s="16">
        <f>IF(OR(R160=regle!$J$11,R160=regle!$K$11),-2,IF(R160=regle!$B$11,0,IF(AL$1=$AK$1,IF($O160,-1,regle!$B$2-$M160),IF(AK160=-1,-1,AK160+1))))</f>
        <v>10</v>
      </c>
      <c r="AM160" s="16">
        <f>IF(OR(S160=regle!$J$11,S160=regle!$K$11),-2,IF(S160=regle!$B$11,0,IF(AM$1=$AK$1,IF($O160,-1,regle!$B$2-$M160),IF(AL160=-1,-1,AL160+1))))</f>
        <v>11</v>
      </c>
      <c r="AN160" s="16">
        <f>IF(OR(T160=regle!$J$11,T160=regle!$K$11),-2,IF(T160=regle!$B$11,0,IF(AN$1=$AK$1,IF($O160,-1,regle!$B$2-$M160),IF(AM160=-1,-1,AM160+1))))</f>
        <v>12</v>
      </c>
      <c r="AO160" s="16">
        <f>IF(OR(U160=regle!$J$11,U160=regle!$K$11),-2,IF(U160=regle!$B$11,0,IF(AO$1=$AK$1,IF($O160,-1,regle!$B$2-$M160),IF(AN160=-1,-1,AN160+1))))</f>
        <v>13</v>
      </c>
      <c r="AP160" s="16">
        <f>IF(OR(V160=regle!$J$11,V160=regle!$K$11),-2,IF(V160=regle!$B$11,0,IF(AP$1=$AK$1,IF($O160,-1,regle!$B$2-$M160),IF(AO160=-1,-1,AO160+1))))</f>
        <v>14</v>
      </c>
      <c r="AQ160" s="16">
        <f>IF(OR(W160=regle!$J$11,W160=regle!$K$11),-2,IF(W160=regle!$B$11,0,IF(AQ$1=$AK$1,IF($O160,-1,regle!$B$2-$M160),IF(AP160=-1,-1,AP160+1))))</f>
        <v>15</v>
      </c>
      <c r="AR160" s="16">
        <f>IF(OR(X160=regle!$J$11,X160=regle!$K$11),-2,IF(X160=regle!$B$11,0,IF(AR$1=$AK$1,IF($O160,-1,regle!$B$2-$M160),IF(AQ160=-1,-1,AQ160+1))))</f>
        <v>16</v>
      </c>
      <c r="AS160" s="16">
        <f>IF(OR(Y160=regle!$J$11,Y160=regle!$K$11),-2,IF(Y160=regle!$B$11,0,IF(AS$1=$AK$1,IF($O160,-1,regle!$B$2-$M160),IF(AR160=-1,-1,AR160+1))))</f>
        <v>17</v>
      </c>
      <c r="AT160" s="16">
        <f>IF(OR(Z160=regle!$J$11,Z160=regle!$K$11),-2,IF(Z160=regle!$B$11,0,IF(AT$1=$AK$1,IF($O160,-1,regle!$B$2-$M160),IF(AS160=-1,-1,AS160+1))))</f>
        <v>18</v>
      </c>
    </row>
    <row r="161" spans="1:46" x14ac:dyDescent="0.25">
      <c r="A161" t="b">
        <f>modif1!A161</f>
        <v>1</v>
      </c>
      <c r="B161">
        <f>ROW(modif1!B161)</f>
        <v>161</v>
      </c>
      <c r="C161" t="str">
        <f>modif1!C164</f>
        <v>536</v>
      </c>
      <c r="D161" t="str">
        <f>modif1!D161</f>
        <v>HOSTENS</v>
      </c>
      <c r="E161">
        <f>modif1!E161</f>
        <v>11</v>
      </c>
      <c r="F161" t="str">
        <f>modif1!F161</f>
        <v>LES CAZALAS</v>
      </c>
      <c r="G161" t="str">
        <f>modif1!G161</f>
        <v>0B</v>
      </c>
      <c r="H161">
        <f>modif1!H161</f>
        <v>1155</v>
      </c>
      <c r="I161" t="str">
        <f>modif1!I161</f>
        <v>k</v>
      </c>
      <c r="J161" s="11">
        <f>modif1!J161</f>
        <v>2.2566999999999999</v>
      </c>
      <c r="K161" t="str">
        <f>modif1!K161</f>
        <v>PLA</v>
      </c>
      <c r="L161" t="str">
        <f>modif1!L161</f>
        <v>PM</v>
      </c>
      <c r="M161">
        <f>modif1!M161</f>
        <v>2015</v>
      </c>
      <c r="N161" t="str">
        <f>modif1!N161</f>
        <v>PLA-PM_2015</v>
      </c>
      <c r="O161" t="b">
        <f>modif1!O161</f>
        <v>0</v>
      </c>
      <c r="P161">
        <v>40</v>
      </c>
      <c r="T161" t="s">
        <v>1803</v>
      </c>
      <c r="Y161" s="22"/>
      <c r="Z161" t="s">
        <v>1804</v>
      </c>
      <c r="AA161" s="17">
        <f>IF($A161,$J161*(IF(Q161=regle!$B$11,regle!$B$23*IF(AJ161=-2,1+regle!$B$35,1),
IF(Q161=regle!$C$11,regle!$C$23,
IF(Q161=regle!$D$11,regle!$D$23,
IF(Q161=regle!$E$11,regle!$E$23,
IF(Q161=regle!$F$11,regle!$F$23,
IF(Q161=regle!$G$11,regle!$G$23,
IF(Q161=regle!$H$11,regle!$H$23,
IF(Q161=regle!$I$11,regle!$I$23,
IF(Q161=regle!$J$11,regle!$J$23,
IF(Q161=regle!$K$11,regle!$K$23,0))))))))))))</f>
        <v>0</v>
      </c>
      <c r="AB161" s="17">
        <f>IF($A161,$J161*(IF(R161=regle!$B$11,regle!$B$23*IF(AK161=-2,1+regle!$B$35,1),
IF(R161=regle!$C$11,regle!$C$23,
IF(R161=regle!$D$11,regle!$D$23,
IF(R161=regle!$E$11,regle!$E$23,
IF(R161=regle!$F$11,regle!$F$23,
IF(R161=regle!$G$11,regle!$G$23,
IF(R161=regle!$H$11,regle!$H$23,
IF(R161=regle!$I$11,regle!$I$23,
IF(R161=regle!$J$11,regle!$J$23,
IF(R161=regle!$K$11,regle!$K$23,0))))))))))))</f>
        <v>0</v>
      </c>
      <c r="AC161" s="17">
        <f>IF($A161,$J161*(IF(S161=regle!$B$11,regle!$B$23*IF(AL161=-2,1+regle!$B$35,1),
IF(S161=regle!$C$11,regle!$C$23,
IF(S161=regle!$D$11,regle!$D$23,
IF(S161=regle!$E$11,regle!$E$23,
IF(S161=regle!$F$11,regle!$F$23,
IF(S161=regle!$G$11,regle!$G$23,
IF(S161=regle!$H$11,regle!$H$23,
IF(S161=regle!$I$11,regle!$I$23,
IF(S161=regle!$J$11,regle!$J$23,
IF(S161=regle!$K$11,regle!$K$23,0))))))))))))</f>
        <v>0</v>
      </c>
      <c r="AD161" s="17">
        <f>IF($A161,$J161*(IF(T161=regle!$B$11,regle!$B$23*IF(AM161=-2,1+regle!$B$35,1),
IF(T161=regle!$C$11,regle!$C$23,
IF(T161=regle!$D$11,regle!$D$23,
IF(T161=regle!$E$11,regle!$E$23,
IF(T161=regle!$F$11,regle!$F$23,
IF(T161=regle!$G$11,regle!$G$23,
IF(T161=regle!$H$11,regle!$H$23,
IF(T161=regle!$I$11,regle!$I$23,
IF(T161=regle!$J$11,regle!$J$23,
IF(T161=regle!$K$11,regle!$K$23,0))))))))))))</f>
        <v>1299.8591999999999</v>
      </c>
      <c r="AE161" s="17">
        <f>IF($A161,$J161*(IF(U161=regle!$B$11,regle!$B$23*IF(AN161=-2,1+regle!$B$35,1),
IF(U161=regle!$C$11,regle!$C$23,
IF(U161=regle!$D$11,regle!$D$23,
IF(U161=regle!$E$11,regle!$E$23,
IF(U161=regle!$F$11,regle!$F$23,
IF(U161=regle!$G$11,regle!$G$23,
IF(U161=regle!$H$11,regle!$H$23,
IF(U161=regle!$I$11,regle!$I$23,
IF(U161=regle!$J$11,regle!$J$23,
IF(U161=regle!$K$11,regle!$K$23,0))))))))))))</f>
        <v>0</v>
      </c>
      <c r="AF161" s="17">
        <f>IF($A161,$J161*(IF(V161=regle!$B$11,regle!$B$23*IF(AO161=-2,1+regle!$B$35,1),
IF(V161=regle!$C$11,regle!$C$23,
IF(V161=regle!$D$11,regle!$D$23,
IF(V161=regle!$E$11,regle!$E$23,
IF(V161=regle!$F$11,regle!$F$23,
IF(V161=regle!$G$11,regle!$G$23,
IF(V161=regle!$H$11,regle!$H$23,
IF(V161=regle!$I$11,regle!$I$23,
IF(V161=regle!$J$11,regle!$J$23,
IF(V161=regle!$K$11,regle!$K$23,0))))))))))))</f>
        <v>0</v>
      </c>
      <c r="AG161" s="17">
        <f>IF($A161,$J161*(IF(W161=regle!$B$11,regle!$B$23*IF(AP161=-2,1+regle!$B$35,1),
IF(W161=regle!$C$11,regle!$C$23,
IF(W161=regle!$D$11,regle!$D$23,
IF(W161=regle!$E$11,regle!$E$23,
IF(W161=regle!$F$11,regle!$F$23,
IF(W161=regle!$G$11,regle!$G$23,
IF(W161=regle!$H$11,regle!$H$23,
IF(W161=regle!$I$11,regle!$I$23,
IF(W161=regle!$J$11,regle!$J$23,
IF(W161=regle!$K$11,regle!$K$23,0))))))))))))</f>
        <v>0</v>
      </c>
      <c r="AH161" s="17">
        <f>IF($A161,$J161*(IF(X161=regle!$B$11,regle!$B$23*IF(AQ161=-2,1+regle!$B$35,1),
IF(X161=regle!$C$11,regle!$C$23,
IF(X161=regle!$D$11,regle!$D$23,
IF(X161=regle!$E$11,regle!$E$23,
IF(X161=regle!$F$11,regle!$F$23,
IF(X161=regle!$G$11,regle!$G$23,
IF(X161=regle!$H$11,regle!$H$23,
IF(X161=regle!$I$11,regle!$I$23,
IF(X161=regle!$J$11,regle!$J$23,
IF(X161=regle!$K$11,regle!$K$23,0))))))))))))</f>
        <v>0</v>
      </c>
      <c r="AI161" s="17">
        <f>IF($A161,$J161*(IF(Y161=regle!$B$11,regle!$B$23*IF(AR161=-2,1+regle!$B$35,1),
IF(Y161=regle!$C$11,regle!$C$23,
IF(Y161=regle!$D$11,regle!$D$23,
IF(Y161=regle!$E$11,regle!$E$23,
IF(Y161=regle!$F$11,regle!$F$23,
IF(Y161=regle!$G$11,regle!$G$23,
IF(Y161=regle!$H$11,regle!$H$23,
IF(Y161=regle!$I$11,regle!$I$23,
IF(Y161=regle!$J$11,regle!$J$23,
IF(Y161=regle!$K$11,regle!$K$23,0))))))))))))</f>
        <v>0</v>
      </c>
      <c r="AJ161" s="17">
        <f>IF($A161,$J161*(IF(Z161=regle!$B$11,regle!$B$23*IF(AS161=-2,1+regle!$B$35,1),
IF(Z161=regle!$C$11,regle!$C$23,
IF(Z161=regle!$D$11,regle!$D$23,
IF(Z161=regle!$E$11,regle!$E$23,
IF(Z161=regle!$F$11,regle!$F$23,
IF(Z161=regle!$G$11,regle!$G$23,
IF(Z161=regle!$H$11,regle!$H$23,
IF(Z161=regle!$I$11,regle!$I$23,
IF(Z161=regle!$J$11,regle!$J$23,
IF(Z161=regle!$K$11,regle!$K$23,0))))))))))))</f>
        <v>1895.6279999999999</v>
      </c>
      <c r="AK161" s="16">
        <f>IF(OR(Q161=regle!$J$11,Q161=regle!$K$11),-2,IF(Q161=regle!$B$11,0,IF(AK$1=$AK$1,IF($O161,-1,regle!$B$2-$M161),IF(AJ161=-1,-1,AJ161+1))))</f>
        <v>9</v>
      </c>
      <c r="AL161" s="16">
        <f>IF(OR(R161=regle!$J$11,R161=regle!$K$11),-2,IF(R161=regle!$B$11,0,IF(AL$1=$AK$1,IF($O161,-1,regle!$B$2-$M161),IF(AK161=-1,-1,AK161+1))))</f>
        <v>10</v>
      </c>
      <c r="AM161" s="16">
        <f>IF(OR(S161=regle!$J$11,S161=regle!$K$11),-2,IF(S161=regle!$B$11,0,IF(AM$1=$AK$1,IF($O161,-1,regle!$B$2-$M161),IF(AL161=-1,-1,AL161+1))))</f>
        <v>11</v>
      </c>
      <c r="AN161" s="16">
        <f>IF(OR(T161=regle!$J$11,T161=regle!$K$11),-2,IF(T161=regle!$B$11,0,IF(AN$1=$AK$1,IF($O161,-1,regle!$B$2-$M161),IF(AM161=-1,-1,AM161+1))))</f>
        <v>12</v>
      </c>
      <c r="AO161" s="16">
        <f>IF(OR(U161=regle!$J$11,U161=regle!$K$11),-2,IF(U161=regle!$B$11,0,IF(AO$1=$AK$1,IF($O161,-1,regle!$B$2-$M161),IF(AN161=-1,-1,AN161+1))))</f>
        <v>13</v>
      </c>
      <c r="AP161" s="16">
        <f>IF(OR(V161=regle!$J$11,V161=regle!$K$11),-2,IF(V161=regle!$B$11,0,IF(AP$1=$AK$1,IF($O161,-1,regle!$B$2-$M161),IF(AO161=-1,-1,AO161+1))))</f>
        <v>14</v>
      </c>
      <c r="AQ161" s="16">
        <f>IF(OR(W161=regle!$J$11,W161=regle!$K$11),-2,IF(W161=regle!$B$11,0,IF(AQ$1=$AK$1,IF($O161,-1,regle!$B$2-$M161),IF(AP161=-1,-1,AP161+1))))</f>
        <v>15</v>
      </c>
      <c r="AR161" s="16">
        <f>IF(OR(X161=regle!$J$11,X161=regle!$K$11),-2,IF(X161=regle!$B$11,0,IF(AR$1=$AK$1,IF($O161,-1,regle!$B$2-$M161),IF(AQ161=-1,-1,AQ161+1))))</f>
        <v>16</v>
      </c>
      <c r="AS161" s="16">
        <f>IF(OR(Y161=regle!$J$11,Y161=regle!$K$11),-2,IF(Y161=regle!$B$11,0,IF(AS$1=$AK$1,IF($O161,-1,regle!$B$2-$M161),IF(AR161=-1,-1,AR161+1))))</f>
        <v>17</v>
      </c>
      <c r="AT161" s="16">
        <f>IF(OR(Z161=regle!$J$11,Z161=regle!$K$11),-2,IF(Z161=regle!$B$11,0,IF(AT$1=$AK$1,IF($O161,-1,regle!$B$2-$M161),IF(AS161=-1,-1,AS161+1))))</f>
        <v>18</v>
      </c>
    </row>
    <row r="162" spans="1:46" x14ac:dyDescent="0.25">
      <c r="A162" t="b">
        <f>modif1!A162</f>
        <v>1</v>
      </c>
      <c r="B162">
        <f>ROW(modif1!B162)</f>
        <v>162</v>
      </c>
      <c r="C162" t="str">
        <f>modif1!C165</f>
        <v>077</v>
      </c>
      <c r="D162" t="str">
        <f>modif1!D162</f>
        <v>HOSTENS</v>
      </c>
      <c r="E162">
        <f>modif1!E162</f>
        <v>8</v>
      </c>
      <c r="F162" t="str">
        <f>modif1!F162</f>
        <v>LES BECS</v>
      </c>
      <c r="G162" t="str">
        <f>modif1!G162</f>
        <v>0B</v>
      </c>
      <c r="H162">
        <f>modif1!H162</f>
        <v>1221</v>
      </c>
      <c r="I162" t="str">
        <f>modif1!I162</f>
        <v/>
      </c>
      <c r="J162" s="11">
        <f>modif1!J162</f>
        <v>1.9770000000000001</v>
      </c>
      <c r="K162" t="str">
        <f>modif1!K162</f>
        <v>PLA</v>
      </c>
      <c r="L162" t="str">
        <f>modif1!L162</f>
        <v>PM</v>
      </c>
      <c r="M162">
        <f>modif1!M162</f>
        <v>2015</v>
      </c>
      <c r="N162" t="str">
        <f>modif1!N162</f>
        <v>PLA-PM_2015</v>
      </c>
      <c r="O162" t="b">
        <f>modif1!O162</f>
        <v>0</v>
      </c>
      <c r="P162">
        <v>40</v>
      </c>
      <c r="T162" t="s">
        <v>1803</v>
      </c>
      <c r="Y162" s="22"/>
      <c r="Z162" t="s">
        <v>1804</v>
      </c>
      <c r="AA162" s="17">
        <f>IF($A162,$J162*(IF(Q162=regle!$B$11,regle!$B$23*IF(AJ162=-2,1+regle!$B$35,1),
IF(Q162=regle!$C$11,regle!$C$23,
IF(Q162=regle!$D$11,regle!$D$23,
IF(Q162=regle!$E$11,regle!$E$23,
IF(Q162=regle!$F$11,regle!$F$23,
IF(Q162=regle!$G$11,regle!$G$23,
IF(Q162=regle!$H$11,regle!$H$23,
IF(Q162=regle!$I$11,regle!$I$23,
IF(Q162=regle!$J$11,regle!$J$23,
IF(Q162=regle!$K$11,regle!$K$23,0))))))))))))</f>
        <v>0</v>
      </c>
      <c r="AB162" s="17">
        <f>IF($A162,$J162*(IF(R162=regle!$B$11,regle!$B$23*IF(AK162=-2,1+regle!$B$35,1),
IF(R162=regle!$C$11,regle!$C$23,
IF(R162=regle!$D$11,regle!$D$23,
IF(R162=regle!$E$11,regle!$E$23,
IF(R162=regle!$F$11,regle!$F$23,
IF(R162=regle!$G$11,regle!$G$23,
IF(R162=regle!$H$11,regle!$H$23,
IF(R162=regle!$I$11,regle!$I$23,
IF(R162=regle!$J$11,regle!$J$23,
IF(R162=regle!$K$11,regle!$K$23,0))))))))))))</f>
        <v>0</v>
      </c>
      <c r="AC162" s="17">
        <f>IF($A162,$J162*(IF(S162=regle!$B$11,regle!$B$23*IF(AL162=-2,1+regle!$B$35,1),
IF(S162=regle!$C$11,regle!$C$23,
IF(S162=regle!$D$11,regle!$D$23,
IF(S162=regle!$E$11,regle!$E$23,
IF(S162=regle!$F$11,regle!$F$23,
IF(S162=regle!$G$11,regle!$G$23,
IF(S162=regle!$H$11,regle!$H$23,
IF(S162=regle!$I$11,regle!$I$23,
IF(S162=regle!$J$11,regle!$J$23,
IF(S162=regle!$K$11,regle!$K$23,0))))))))))))</f>
        <v>0</v>
      </c>
      <c r="AD162" s="17">
        <f>IF($A162,$J162*(IF(T162=regle!$B$11,regle!$B$23*IF(AM162=-2,1+regle!$B$35,1),
IF(T162=regle!$C$11,regle!$C$23,
IF(T162=regle!$D$11,regle!$D$23,
IF(T162=regle!$E$11,regle!$E$23,
IF(T162=regle!$F$11,regle!$F$23,
IF(T162=regle!$G$11,regle!$G$23,
IF(T162=regle!$H$11,regle!$H$23,
IF(T162=regle!$I$11,regle!$I$23,
IF(T162=regle!$J$11,regle!$J$23,
IF(T162=regle!$K$11,regle!$K$23,0))))))))))))</f>
        <v>1138.752</v>
      </c>
      <c r="AE162" s="17">
        <f>IF($A162,$J162*(IF(U162=regle!$B$11,regle!$B$23*IF(AN162=-2,1+regle!$B$35,1),
IF(U162=regle!$C$11,regle!$C$23,
IF(U162=regle!$D$11,regle!$D$23,
IF(U162=regle!$E$11,regle!$E$23,
IF(U162=regle!$F$11,regle!$F$23,
IF(U162=regle!$G$11,regle!$G$23,
IF(U162=regle!$H$11,regle!$H$23,
IF(U162=regle!$I$11,regle!$I$23,
IF(U162=regle!$J$11,regle!$J$23,
IF(U162=regle!$K$11,regle!$K$23,0))))))))))))</f>
        <v>0</v>
      </c>
      <c r="AF162" s="17">
        <f>IF($A162,$J162*(IF(V162=regle!$B$11,regle!$B$23*IF(AO162=-2,1+regle!$B$35,1),
IF(V162=regle!$C$11,regle!$C$23,
IF(V162=regle!$D$11,regle!$D$23,
IF(V162=regle!$E$11,regle!$E$23,
IF(V162=regle!$F$11,regle!$F$23,
IF(V162=regle!$G$11,regle!$G$23,
IF(V162=regle!$H$11,regle!$H$23,
IF(V162=regle!$I$11,regle!$I$23,
IF(V162=regle!$J$11,regle!$J$23,
IF(V162=regle!$K$11,regle!$K$23,0))))))))))))</f>
        <v>0</v>
      </c>
      <c r="AG162" s="17">
        <f>IF($A162,$J162*(IF(W162=regle!$B$11,regle!$B$23*IF(AP162=-2,1+regle!$B$35,1),
IF(W162=regle!$C$11,regle!$C$23,
IF(W162=regle!$D$11,regle!$D$23,
IF(W162=regle!$E$11,regle!$E$23,
IF(W162=regle!$F$11,regle!$F$23,
IF(W162=regle!$G$11,regle!$G$23,
IF(W162=regle!$H$11,regle!$H$23,
IF(W162=regle!$I$11,regle!$I$23,
IF(W162=regle!$J$11,regle!$J$23,
IF(W162=regle!$K$11,regle!$K$23,0))))))))))))</f>
        <v>0</v>
      </c>
      <c r="AH162" s="17">
        <f>IF($A162,$J162*(IF(X162=regle!$B$11,regle!$B$23*IF(AQ162=-2,1+regle!$B$35,1),
IF(X162=regle!$C$11,regle!$C$23,
IF(X162=regle!$D$11,regle!$D$23,
IF(X162=regle!$E$11,regle!$E$23,
IF(X162=regle!$F$11,regle!$F$23,
IF(X162=regle!$G$11,regle!$G$23,
IF(X162=regle!$H$11,regle!$H$23,
IF(X162=regle!$I$11,regle!$I$23,
IF(X162=regle!$J$11,regle!$J$23,
IF(X162=regle!$K$11,regle!$K$23,0))))))))))))</f>
        <v>0</v>
      </c>
      <c r="AI162" s="17">
        <f>IF($A162,$J162*(IF(Y162=regle!$B$11,regle!$B$23*IF(AR162=-2,1+regle!$B$35,1),
IF(Y162=regle!$C$11,regle!$C$23,
IF(Y162=regle!$D$11,regle!$D$23,
IF(Y162=regle!$E$11,regle!$E$23,
IF(Y162=regle!$F$11,regle!$F$23,
IF(Y162=regle!$G$11,regle!$G$23,
IF(Y162=regle!$H$11,regle!$H$23,
IF(Y162=regle!$I$11,regle!$I$23,
IF(Y162=regle!$J$11,regle!$J$23,
IF(Y162=regle!$K$11,regle!$K$23,0))))))))))))</f>
        <v>0</v>
      </c>
      <c r="AJ162" s="17">
        <f>IF($A162,$J162*(IF(Z162=regle!$B$11,regle!$B$23*IF(AS162=-2,1+regle!$B$35,1),
IF(Z162=regle!$C$11,regle!$C$23,
IF(Z162=regle!$D$11,regle!$D$23,
IF(Z162=regle!$E$11,regle!$E$23,
IF(Z162=regle!$F$11,regle!$F$23,
IF(Z162=regle!$G$11,regle!$G$23,
IF(Z162=regle!$H$11,regle!$H$23,
IF(Z162=regle!$I$11,regle!$I$23,
IF(Z162=regle!$J$11,regle!$J$23,
IF(Z162=regle!$K$11,regle!$K$23,0))))))))))))</f>
        <v>1660.68</v>
      </c>
      <c r="AK162" s="16">
        <f>IF(OR(Q162=regle!$J$11,Q162=regle!$K$11),-2,IF(Q162=regle!$B$11,0,IF(AK$1=$AK$1,IF($O162,-1,regle!$B$2-$M162),IF(AJ162=-1,-1,AJ162+1))))</f>
        <v>9</v>
      </c>
      <c r="AL162" s="16">
        <f>IF(OR(R162=regle!$J$11,R162=regle!$K$11),-2,IF(R162=regle!$B$11,0,IF(AL$1=$AK$1,IF($O162,-1,regle!$B$2-$M162),IF(AK162=-1,-1,AK162+1))))</f>
        <v>10</v>
      </c>
      <c r="AM162" s="16">
        <f>IF(OR(S162=regle!$J$11,S162=regle!$K$11),-2,IF(S162=regle!$B$11,0,IF(AM$1=$AK$1,IF($O162,-1,regle!$B$2-$M162),IF(AL162=-1,-1,AL162+1))))</f>
        <v>11</v>
      </c>
      <c r="AN162" s="16">
        <f>IF(OR(T162=regle!$J$11,T162=regle!$K$11),-2,IF(T162=regle!$B$11,0,IF(AN$1=$AK$1,IF($O162,-1,regle!$B$2-$M162),IF(AM162=-1,-1,AM162+1))))</f>
        <v>12</v>
      </c>
      <c r="AO162" s="16">
        <f>IF(OR(U162=regle!$J$11,U162=regle!$K$11),-2,IF(U162=regle!$B$11,0,IF(AO$1=$AK$1,IF($O162,-1,regle!$B$2-$M162),IF(AN162=-1,-1,AN162+1))))</f>
        <v>13</v>
      </c>
      <c r="AP162" s="16">
        <f>IF(OR(V162=regle!$J$11,V162=regle!$K$11),-2,IF(V162=regle!$B$11,0,IF(AP$1=$AK$1,IF($O162,-1,regle!$B$2-$M162),IF(AO162=-1,-1,AO162+1))))</f>
        <v>14</v>
      </c>
      <c r="AQ162" s="16">
        <f>IF(OR(W162=regle!$J$11,W162=regle!$K$11),-2,IF(W162=regle!$B$11,0,IF(AQ$1=$AK$1,IF($O162,-1,regle!$B$2-$M162),IF(AP162=-1,-1,AP162+1))))</f>
        <v>15</v>
      </c>
      <c r="AR162" s="16">
        <f>IF(OR(X162=regle!$J$11,X162=regle!$K$11),-2,IF(X162=regle!$B$11,0,IF(AR$1=$AK$1,IF($O162,-1,regle!$B$2-$M162),IF(AQ162=-1,-1,AQ162+1))))</f>
        <v>16</v>
      </c>
      <c r="AS162" s="16">
        <f>IF(OR(Y162=regle!$J$11,Y162=regle!$K$11),-2,IF(Y162=regle!$B$11,0,IF(AS$1=$AK$1,IF($O162,-1,regle!$B$2-$M162),IF(AR162=-1,-1,AR162+1))))</f>
        <v>17</v>
      </c>
      <c r="AT162" s="16">
        <f>IF(OR(Z162=regle!$J$11,Z162=regle!$K$11),-2,IF(Z162=regle!$B$11,0,IF(AT$1=$AK$1,IF($O162,-1,regle!$B$2-$M162),IF(AS162=-1,-1,AS162+1))))</f>
        <v>18</v>
      </c>
    </row>
    <row r="163" spans="1:46" x14ac:dyDescent="0.25">
      <c r="A163" t="b">
        <f>modif1!A163</f>
        <v>1</v>
      </c>
      <c r="B163">
        <f>ROW(modif1!B163)</f>
        <v>163</v>
      </c>
      <c r="C163" t="str">
        <f>modif1!C166</f>
        <v>202</v>
      </c>
      <c r="D163" t="str">
        <f>modif1!D163</f>
        <v>CABANAC-ET-VILLAGRAINS</v>
      </c>
      <c r="E163">
        <f>modif1!E163</f>
        <v>10</v>
      </c>
      <c r="F163" t="str">
        <f>modif1!F163</f>
        <v>CABAT MORT</v>
      </c>
      <c r="G163" t="str">
        <f>modif1!G163</f>
        <v>0D</v>
      </c>
      <c r="H163">
        <f>modif1!H163</f>
        <v>1381</v>
      </c>
      <c r="I163" t="str">
        <f>modif1!I163</f>
        <v>k</v>
      </c>
      <c r="J163" s="11">
        <f>modif1!J163</f>
        <v>1.8059000000000001</v>
      </c>
      <c r="K163" t="str">
        <f>modif1!K163</f>
        <v>PLA</v>
      </c>
      <c r="L163" t="str">
        <f>modif1!L163</f>
        <v>PM</v>
      </c>
      <c r="M163">
        <f>modif1!M163</f>
        <v>2015</v>
      </c>
      <c r="N163" t="str">
        <f>modif1!N163</f>
        <v>PLA-PM_2015</v>
      </c>
      <c r="O163" t="b">
        <f>modif1!O163</f>
        <v>0</v>
      </c>
      <c r="P163">
        <v>40</v>
      </c>
      <c r="T163" t="s">
        <v>1803</v>
      </c>
      <c r="Y163" s="22"/>
      <c r="Z163" t="s">
        <v>1804</v>
      </c>
      <c r="AA163" s="17">
        <f>IF($A163,$J163*(IF(Q163=regle!$B$11,regle!$B$23*IF(AJ163=-2,1+regle!$B$35,1),
IF(Q163=regle!$C$11,regle!$C$23,
IF(Q163=regle!$D$11,regle!$D$23,
IF(Q163=regle!$E$11,regle!$E$23,
IF(Q163=regle!$F$11,regle!$F$23,
IF(Q163=regle!$G$11,regle!$G$23,
IF(Q163=regle!$H$11,regle!$H$23,
IF(Q163=regle!$I$11,regle!$I$23,
IF(Q163=regle!$J$11,regle!$J$23,
IF(Q163=regle!$K$11,regle!$K$23,0))))))))))))</f>
        <v>0</v>
      </c>
      <c r="AB163" s="17">
        <f>IF($A163,$J163*(IF(R163=regle!$B$11,regle!$B$23*IF(AK163=-2,1+regle!$B$35,1),
IF(R163=regle!$C$11,regle!$C$23,
IF(R163=regle!$D$11,regle!$D$23,
IF(R163=regle!$E$11,regle!$E$23,
IF(R163=regle!$F$11,regle!$F$23,
IF(R163=regle!$G$11,regle!$G$23,
IF(R163=regle!$H$11,regle!$H$23,
IF(R163=regle!$I$11,regle!$I$23,
IF(R163=regle!$J$11,regle!$J$23,
IF(R163=regle!$K$11,regle!$K$23,0))))))))))))</f>
        <v>0</v>
      </c>
      <c r="AC163" s="17">
        <f>IF($A163,$J163*(IF(S163=regle!$B$11,regle!$B$23*IF(AL163=-2,1+regle!$B$35,1),
IF(S163=regle!$C$11,regle!$C$23,
IF(S163=regle!$D$11,regle!$D$23,
IF(S163=regle!$E$11,regle!$E$23,
IF(S163=regle!$F$11,regle!$F$23,
IF(S163=regle!$G$11,regle!$G$23,
IF(S163=regle!$H$11,regle!$H$23,
IF(S163=regle!$I$11,regle!$I$23,
IF(S163=regle!$J$11,regle!$J$23,
IF(S163=regle!$K$11,regle!$K$23,0))))))))))))</f>
        <v>0</v>
      </c>
      <c r="AD163" s="17">
        <f>IF($A163,$J163*(IF(T163=regle!$B$11,regle!$B$23*IF(AM163=-2,1+regle!$B$35,1),
IF(T163=regle!$C$11,regle!$C$23,
IF(T163=regle!$D$11,regle!$D$23,
IF(T163=regle!$E$11,regle!$E$23,
IF(T163=regle!$F$11,regle!$F$23,
IF(T163=regle!$G$11,regle!$G$23,
IF(T163=regle!$H$11,regle!$H$23,
IF(T163=regle!$I$11,regle!$I$23,
IF(T163=regle!$J$11,regle!$J$23,
IF(T163=regle!$K$11,regle!$K$23,0))))))))))))</f>
        <v>1040.1984</v>
      </c>
      <c r="AE163" s="17">
        <f>IF($A163,$J163*(IF(U163=regle!$B$11,regle!$B$23*IF(AN163=-2,1+regle!$B$35,1),
IF(U163=regle!$C$11,regle!$C$23,
IF(U163=regle!$D$11,regle!$D$23,
IF(U163=regle!$E$11,regle!$E$23,
IF(U163=regle!$F$11,regle!$F$23,
IF(U163=regle!$G$11,regle!$G$23,
IF(U163=regle!$H$11,regle!$H$23,
IF(U163=regle!$I$11,regle!$I$23,
IF(U163=regle!$J$11,regle!$J$23,
IF(U163=regle!$K$11,regle!$K$23,0))))))))))))</f>
        <v>0</v>
      </c>
      <c r="AF163" s="17">
        <f>IF($A163,$J163*(IF(V163=regle!$B$11,regle!$B$23*IF(AO163=-2,1+regle!$B$35,1),
IF(V163=regle!$C$11,regle!$C$23,
IF(V163=regle!$D$11,regle!$D$23,
IF(V163=regle!$E$11,regle!$E$23,
IF(V163=regle!$F$11,regle!$F$23,
IF(V163=regle!$G$11,regle!$G$23,
IF(V163=regle!$H$11,regle!$H$23,
IF(V163=regle!$I$11,regle!$I$23,
IF(V163=regle!$J$11,regle!$J$23,
IF(V163=regle!$K$11,regle!$K$23,0))))))))))))</f>
        <v>0</v>
      </c>
      <c r="AG163" s="17">
        <f>IF($A163,$J163*(IF(W163=regle!$B$11,regle!$B$23*IF(AP163=-2,1+regle!$B$35,1),
IF(W163=regle!$C$11,regle!$C$23,
IF(W163=regle!$D$11,regle!$D$23,
IF(W163=regle!$E$11,regle!$E$23,
IF(W163=regle!$F$11,regle!$F$23,
IF(W163=regle!$G$11,regle!$G$23,
IF(W163=regle!$H$11,regle!$H$23,
IF(W163=regle!$I$11,regle!$I$23,
IF(W163=regle!$J$11,regle!$J$23,
IF(W163=regle!$K$11,regle!$K$23,0))))))))))))</f>
        <v>0</v>
      </c>
      <c r="AH163" s="17">
        <f>IF($A163,$J163*(IF(X163=regle!$B$11,regle!$B$23*IF(AQ163=-2,1+regle!$B$35,1),
IF(X163=regle!$C$11,regle!$C$23,
IF(X163=regle!$D$11,regle!$D$23,
IF(X163=regle!$E$11,regle!$E$23,
IF(X163=regle!$F$11,regle!$F$23,
IF(X163=regle!$G$11,regle!$G$23,
IF(X163=regle!$H$11,regle!$H$23,
IF(X163=regle!$I$11,regle!$I$23,
IF(X163=regle!$J$11,regle!$J$23,
IF(X163=regle!$K$11,regle!$K$23,0))))))))))))</f>
        <v>0</v>
      </c>
      <c r="AI163" s="17">
        <f>IF($A163,$J163*(IF(Y163=regle!$B$11,regle!$B$23*IF(AR163=-2,1+regle!$B$35,1),
IF(Y163=regle!$C$11,regle!$C$23,
IF(Y163=regle!$D$11,regle!$D$23,
IF(Y163=regle!$E$11,regle!$E$23,
IF(Y163=regle!$F$11,regle!$F$23,
IF(Y163=regle!$G$11,regle!$G$23,
IF(Y163=regle!$H$11,regle!$H$23,
IF(Y163=regle!$I$11,regle!$I$23,
IF(Y163=regle!$J$11,regle!$J$23,
IF(Y163=regle!$K$11,regle!$K$23,0))))))))))))</f>
        <v>0</v>
      </c>
      <c r="AJ163" s="17">
        <f>IF($A163,$J163*(IF(Z163=regle!$B$11,regle!$B$23*IF(AS163=-2,1+regle!$B$35,1),
IF(Z163=regle!$C$11,regle!$C$23,
IF(Z163=regle!$D$11,regle!$D$23,
IF(Z163=regle!$E$11,regle!$E$23,
IF(Z163=regle!$F$11,regle!$F$23,
IF(Z163=regle!$G$11,regle!$G$23,
IF(Z163=regle!$H$11,regle!$H$23,
IF(Z163=regle!$I$11,regle!$I$23,
IF(Z163=regle!$J$11,regle!$J$23,
IF(Z163=regle!$K$11,regle!$K$23,0))))))))))))</f>
        <v>1516.9560000000001</v>
      </c>
      <c r="AK163" s="16">
        <f>IF(OR(Q163=regle!$J$11,Q163=regle!$K$11),-2,IF(Q163=regle!$B$11,0,IF(AK$1=$AK$1,IF($O163,-1,regle!$B$2-$M163),IF(AJ163=-1,-1,AJ163+1))))</f>
        <v>9</v>
      </c>
      <c r="AL163" s="16">
        <f>IF(OR(R163=regle!$J$11,R163=regle!$K$11),-2,IF(R163=regle!$B$11,0,IF(AL$1=$AK$1,IF($O163,-1,regle!$B$2-$M163),IF(AK163=-1,-1,AK163+1))))</f>
        <v>10</v>
      </c>
      <c r="AM163" s="16">
        <f>IF(OR(S163=regle!$J$11,S163=regle!$K$11),-2,IF(S163=regle!$B$11,0,IF(AM$1=$AK$1,IF($O163,-1,regle!$B$2-$M163),IF(AL163=-1,-1,AL163+1))))</f>
        <v>11</v>
      </c>
      <c r="AN163" s="16">
        <f>IF(OR(T163=regle!$J$11,T163=regle!$K$11),-2,IF(T163=regle!$B$11,0,IF(AN$1=$AK$1,IF($O163,-1,regle!$B$2-$M163),IF(AM163=-1,-1,AM163+1))))</f>
        <v>12</v>
      </c>
      <c r="AO163" s="16">
        <f>IF(OR(U163=regle!$J$11,U163=regle!$K$11),-2,IF(U163=regle!$B$11,0,IF(AO$1=$AK$1,IF($O163,-1,regle!$B$2-$M163),IF(AN163=-1,-1,AN163+1))))</f>
        <v>13</v>
      </c>
      <c r="AP163" s="16">
        <f>IF(OR(V163=regle!$J$11,V163=regle!$K$11),-2,IF(V163=regle!$B$11,0,IF(AP$1=$AK$1,IF($O163,-1,regle!$B$2-$M163),IF(AO163=-1,-1,AO163+1))))</f>
        <v>14</v>
      </c>
      <c r="AQ163" s="16">
        <f>IF(OR(W163=regle!$J$11,W163=regle!$K$11),-2,IF(W163=regle!$B$11,0,IF(AQ$1=$AK$1,IF($O163,-1,regle!$B$2-$M163),IF(AP163=-1,-1,AP163+1))))</f>
        <v>15</v>
      </c>
      <c r="AR163" s="16">
        <f>IF(OR(X163=regle!$J$11,X163=regle!$K$11),-2,IF(X163=regle!$B$11,0,IF(AR$1=$AK$1,IF($O163,-1,regle!$B$2-$M163),IF(AQ163=-1,-1,AQ163+1))))</f>
        <v>16</v>
      </c>
      <c r="AS163" s="16">
        <f>IF(OR(Y163=regle!$J$11,Y163=regle!$K$11),-2,IF(Y163=regle!$B$11,0,IF(AS$1=$AK$1,IF($O163,-1,regle!$B$2-$M163),IF(AR163=-1,-1,AR163+1))))</f>
        <v>17</v>
      </c>
      <c r="AT163" s="16">
        <f>IF(OR(Z163=regle!$J$11,Z163=regle!$K$11),-2,IF(Z163=regle!$B$11,0,IF(AT$1=$AK$1,IF($O163,-1,regle!$B$2-$M163),IF(AS163=-1,-1,AS163+1))))</f>
        <v>18</v>
      </c>
    </row>
    <row r="164" spans="1:46" x14ac:dyDescent="0.25">
      <c r="A164" t="b">
        <f>modif1!A164</f>
        <v>1</v>
      </c>
      <c r="B164">
        <f>ROW(modif1!B164)</f>
        <v>164</v>
      </c>
      <c r="C164" t="str">
        <f>modif1!C167</f>
        <v>202</v>
      </c>
      <c r="D164" t="str">
        <f>modif1!D164</f>
        <v>LE TUZAN</v>
      </c>
      <c r="E164">
        <f>modif1!E164</f>
        <v>21</v>
      </c>
      <c r="F164" t="str">
        <f>modif1!F164</f>
        <v>METAIRIES DE TABARTON</v>
      </c>
      <c r="G164" t="str">
        <f>modif1!G164</f>
        <v>0A</v>
      </c>
      <c r="H164">
        <f>modif1!H164</f>
        <v>523</v>
      </c>
      <c r="I164" t="str">
        <f>modif1!I164</f>
        <v>b</v>
      </c>
      <c r="J164" s="11">
        <f>modif1!J164</f>
        <v>1.6520999999999999</v>
      </c>
      <c r="K164" t="str">
        <f>modif1!K164</f>
        <v>PLA</v>
      </c>
      <c r="L164" t="str">
        <f>modif1!L164</f>
        <v>PM</v>
      </c>
      <c r="M164">
        <f>modif1!M164</f>
        <v>2015</v>
      </c>
      <c r="N164" t="str">
        <f>modif1!N164</f>
        <v>PLA-PM_2015</v>
      </c>
      <c r="O164" t="b">
        <f>modif1!O164</f>
        <v>0</v>
      </c>
      <c r="P164">
        <v>40</v>
      </c>
      <c r="T164" t="s">
        <v>1803</v>
      </c>
      <c r="Y164" s="22"/>
      <c r="Z164" t="s">
        <v>1804</v>
      </c>
      <c r="AA164" s="17">
        <f>IF($A164,$J164*(IF(Q164=regle!$B$11,regle!$B$23*IF(AJ164=-2,1+regle!$B$35,1),
IF(Q164=regle!$C$11,regle!$C$23,
IF(Q164=regle!$D$11,regle!$D$23,
IF(Q164=regle!$E$11,regle!$E$23,
IF(Q164=regle!$F$11,regle!$F$23,
IF(Q164=regle!$G$11,regle!$G$23,
IF(Q164=regle!$H$11,regle!$H$23,
IF(Q164=regle!$I$11,regle!$I$23,
IF(Q164=regle!$J$11,regle!$J$23,
IF(Q164=regle!$K$11,regle!$K$23,0))))))))))))</f>
        <v>0</v>
      </c>
      <c r="AB164" s="17">
        <f>IF($A164,$J164*(IF(R164=regle!$B$11,regle!$B$23*IF(AK164=-2,1+regle!$B$35,1),
IF(R164=regle!$C$11,regle!$C$23,
IF(R164=regle!$D$11,regle!$D$23,
IF(R164=regle!$E$11,regle!$E$23,
IF(R164=regle!$F$11,regle!$F$23,
IF(R164=regle!$G$11,regle!$G$23,
IF(R164=regle!$H$11,regle!$H$23,
IF(R164=regle!$I$11,regle!$I$23,
IF(R164=regle!$J$11,regle!$J$23,
IF(R164=regle!$K$11,regle!$K$23,0))))))))))))</f>
        <v>0</v>
      </c>
      <c r="AC164" s="17">
        <f>IF($A164,$J164*(IF(S164=regle!$B$11,regle!$B$23*IF(AL164=-2,1+regle!$B$35,1),
IF(S164=regle!$C$11,regle!$C$23,
IF(S164=regle!$D$11,regle!$D$23,
IF(S164=regle!$E$11,regle!$E$23,
IF(S164=regle!$F$11,regle!$F$23,
IF(S164=regle!$G$11,regle!$G$23,
IF(S164=regle!$H$11,regle!$H$23,
IF(S164=regle!$I$11,regle!$I$23,
IF(S164=regle!$J$11,regle!$J$23,
IF(S164=regle!$K$11,regle!$K$23,0))))))))))))</f>
        <v>0</v>
      </c>
      <c r="AD164" s="17">
        <f>IF($A164,$J164*(IF(T164=regle!$B$11,regle!$B$23*IF(AM164=-2,1+regle!$B$35,1),
IF(T164=regle!$C$11,regle!$C$23,
IF(T164=regle!$D$11,regle!$D$23,
IF(T164=regle!$E$11,regle!$E$23,
IF(T164=regle!$F$11,regle!$F$23,
IF(T164=regle!$G$11,regle!$G$23,
IF(T164=regle!$H$11,regle!$H$23,
IF(T164=regle!$I$11,regle!$I$23,
IF(T164=regle!$J$11,regle!$J$23,
IF(T164=regle!$K$11,regle!$K$23,0))))))))))))</f>
        <v>951.6096</v>
      </c>
      <c r="AE164" s="17">
        <f>IF($A164,$J164*(IF(U164=regle!$B$11,regle!$B$23*IF(AN164=-2,1+regle!$B$35,1),
IF(U164=regle!$C$11,regle!$C$23,
IF(U164=regle!$D$11,regle!$D$23,
IF(U164=regle!$E$11,regle!$E$23,
IF(U164=regle!$F$11,regle!$F$23,
IF(U164=regle!$G$11,regle!$G$23,
IF(U164=regle!$H$11,regle!$H$23,
IF(U164=regle!$I$11,regle!$I$23,
IF(U164=regle!$J$11,regle!$J$23,
IF(U164=regle!$K$11,regle!$K$23,0))))))))))))</f>
        <v>0</v>
      </c>
      <c r="AF164" s="17">
        <f>IF($A164,$J164*(IF(V164=regle!$B$11,regle!$B$23*IF(AO164=-2,1+regle!$B$35,1),
IF(V164=regle!$C$11,regle!$C$23,
IF(V164=regle!$D$11,regle!$D$23,
IF(V164=regle!$E$11,regle!$E$23,
IF(V164=regle!$F$11,regle!$F$23,
IF(V164=regle!$G$11,regle!$G$23,
IF(V164=regle!$H$11,regle!$H$23,
IF(V164=regle!$I$11,regle!$I$23,
IF(V164=regle!$J$11,regle!$J$23,
IF(V164=regle!$K$11,regle!$K$23,0))))))))))))</f>
        <v>0</v>
      </c>
      <c r="AG164" s="17">
        <f>IF($A164,$J164*(IF(W164=regle!$B$11,regle!$B$23*IF(AP164=-2,1+regle!$B$35,1),
IF(W164=regle!$C$11,regle!$C$23,
IF(W164=regle!$D$11,regle!$D$23,
IF(W164=regle!$E$11,regle!$E$23,
IF(W164=regle!$F$11,regle!$F$23,
IF(W164=regle!$G$11,regle!$G$23,
IF(W164=regle!$H$11,regle!$H$23,
IF(W164=regle!$I$11,regle!$I$23,
IF(W164=regle!$J$11,regle!$J$23,
IF(W164=regle!$K$11,regle!$K$23,0))))))))))))</f>
        <v>0</v>
      </c>
      <c r="AH164" s="17">
        <f>IF($A164,$J164*(IF(X164=regle!$B$11,regle!$B$23*IF(AQ164=-2,1+regle!$B$35,1),
IF(X164=regle!$C$11,regle!$C$23,
IF(X164=regle!$D$11,regle!$D$23,
IF(X164=regle!$E$11,regle!$E$23,
IF(X164=regle!$F$11,regle!$F$23,
IF(X164=regle!$G$11,regle!$G$23,
IF(X164=regle!$H$11,regle!$H$23,
IF(X164=regle!$I$11,regle!$I$23,
IF(X164=regle!$J$11,regle!$J$23,
IF(X164=regle!$K$11,regle!$K$23,0))))))))))))</f>
        <v>0</v>
      </c>
      <c r="AI164" s="17">
        <f>IF($A164,$J164*(IF(Y164=regle!$B$11,regle!$B$23*IF(AR164=-2,1+regle!$B$35,1),
IF(Y164=regle!$C$11,regle!$C$23,
IF(Y164=regle!$D$11,regle!$D$23,
IF(Y164=regle!$E$11,regle!$E$23,
IF(Y164=regle!$F$11,regle!$F$23,
IF(Y164=regle!$G$11,regle!$G$23,
IF(Y164=regle!$H$11,regle!$H$23,
IF(Y164=regle!$I$11,regle!$I$23,
IF(Y164=regle!$J$11,regle!$J$23,
IF(Y164=regle!$K$11,regle!$K$23,0))))))))))))</f>
        <v>0</v>
      </c>
      <c r="AJ164" s="17">
        <f>IF($A164,$J164*(IF(Z164=regle!$B$11,regle!$B$23*IF(AS164=-2,1+regle!$B$35,1),
IF(Z164=regle!$C$11,regle!$C$23,
IF(Z164=regle!$D$11,regle!$D$23,
IF(Z164=regle!$E$11,regle!$E$23,
IF(Z164=regle!$F$11,regle!$F$23,
IF(Z164=regle!$G$11,regle!$G$23,
IF(Z164=regle!$H$11,regle!$H$23,
IF(Z164=regle!$I$11,regle!$I$23,
IF(Z164=regle!$J$11,regle!$J$23,
IF(Z164=regle!$K$11,regle!$K$23,0))))))))))))</f>
        <v>1387.7639999999999</v>
      </c>
      <c r="AK164" s="16">
        <f>IF(OR(Q164=regle!$J$11,Q164=regle!$K$11),-2,IF(Q164=regle!$B$11,0,IF(AK$1=$AK$1,IF($O164,-1,regle!$B$2-$M164),IF(AJ164=-1,-1,AJ164+1))))</f>
        <v>9</v>
      </c>
      <c r="AL164" s="16">
        <f>IF(OR(R164=regle!$J$11,R164=regle!$K$11),-2,IF(R164=regle!$B$11,0,IF(AL$1=$AK$1,IF($O164,-1,regle!$B$2-$M164),IF(AK164=-1,-1,AK164+1))))</f>
        <v>10</v>
      </c>
      <c r="AM164" s="16">
        <f>IF(OR(S164=regle!$J$11,S164=regle!$K$11),-2,IF(S164=regle!$B$11,0,IF(AM$1=$AK$1,IF($O164,-1,regle!$B$2-$M164),IF(AL164=-1,-1,AL164+1))))</f>
        <v>11</v>
      </c>
      <c r="AN164" s="16">
        <f>IF(OR(T164=regle!$J$11,T164=regle!$K$11),-2,IF(T164=regle!$B$11,0,IF(AN$1=$AK$1,IF($O164,-1,regle!$B$2-$M164),IF(AM164=-1,-1,AM164+1))))</f>
        <v>12</v>
      </c>
      <c r="AO164" s="16">
        <f>IF(OR(U164=regle!$J$11,U164=regle!$K$11),-2,IF(U164=regle!$B$11,0,IF(AO$1=$AK$1,IF($O164,-1,regle!$B$2-$M164),IF(AN164=-1,-1,AN164+1))))</f>
        <v>13</v>
      </c>
      <c r="AP164" s="16">
        <f>IF(OR(V164=regle!$J$11,V164=regle!$K$11),-2,IF(V164=regle!$B$11,0,IF(AP$1=$AK$1,IF($O164,-1,regle!$B$2-$M164),IF(AO164=-1,-1,AO164+1))))</f>
        <v>14</v>
      </c>
      <c r="AQ164" s="16">
        <f>IF(OR(W164=regle!$J$11,W164=regle!$K$11),-2,IF(W164=regle!$B$11,0,IF(AQ$1=$AK$1,IF($O164,-1,regle!$B$2-$M164),IF(AP164=-1,-1,AP164+1))))</f>
        <v>15</v>
      </c>
      <c r="AR164" s="16">
        <f>IF(OR(X164=regle!$J$11,X164=regle!$K$11),-2,IF(X164=regle!$B$11,0,IF(AR$1=$AK$1,IF($O164,-1,regle!$B$2-$M164),IF(AQ164=-1,-1,AQ164+1))))</f>
        <v>16</v>
      </c>
      <c r="AS164" s="16">
        <f>IF(OR(Y164=regle!$J$11,Y164=regle!$K$11),-2,IF(Y164=regle!$B$11,0,IF(AS$1=$AK$1,IF($O164,-1,regle!$B$2-$M164),IF(AR164=-1,-1,AR164+1))))</f>
        <v>17</v>
      </c>
      <c r="AT164" s="16">
        <f>IF(OR(Z164=regle!$J$11,Z164=regle!$K$11),-2,IF(Z164=regle!$B$11,0,IF(AT$1=$AK$1,IF($O164,-1,regle!$B$2-$M164),IF(AS164=-1,-1,AS164+1))))</f>
        <v>18</v>
      </c>
    </row>
    <row r="165" spans="1:46" x14ac:dyDescent="0.25">
      <c r="A165" t="b">
        <f>modif1!A165</f>
        <v>1</v>
      </c>
      <c r="B165">
        <f>ROW(modif1!B165)</f>
        <v>165</v>
      </c>
      <c r="C165" t="str">
        <f>modif1!C168</f>
        <v>202</v>
      </c>
      <c r="D165" t="str">
        <f>modif1!D165</f>
        <v>CABANAC-ET-VILLAGRAINS</v>
      </c>
      <c r="E165">
        <f>modif1!E165</f>
        <v>10</v>
      </c>
      <c r="F165" t="str">
        <f>modif1!F165</f>
        <v>CABAT MORT</v>
      </c>
      <c r="G165" t="str">
        <f>modif1!G165</f>
        <v>0D</v>
      </c>
      <c r="H165">
        <f>modif1!H165</f>
        <v>1379</v>
      </c>
      <c r="I165" t="str">
        <f>modif1!I165</f>
        <v/>
      </c>
      <c r="J165" s="11">
        <f>modif1!J165</f>
        <v>1.44</v>
      </c>
      <c r="K165" t="str">
        <f>modif1!K165</f>
        <v>PLA</v>
      </c>
      <c r="L165" t="str">
        <f>modif1!L165</f>
        <v>PM</v>
      </c>
      <c r="M165">
        <f>modif1!M165</f>
        <v>2015</v>
      </c>
      <c r="N165" t="str">
        <f>modif1!N165</f>
        <v>PLA-PM_2015</v>
      </c>
      <c r="O165" t="b">
        <f>modif1!O165</f>
        <v>0</v>
      </c>
      <c r="P165">
        <v>40</v>
      </c>
      <c r="T165" t="s">
        <v>1803</v>
      </c>
      <c r="Y165" s="22"/>
      <c r="Z165" t="s">
        <v>1804</v>
      </c>
      <c r="AA165" s="17">
        <f>IF($A165,$J165*(IF(Q165=regle!$B$11,regle!$B$23*IF(AJ165=-2,1+regle!$B$35,1),
IF(Q165=regle!$C$11,regle!$C$23,
IF(Q165=regle!$D$11,regle!$D$23,
IF(Q165=regle!$E$11,regle!$E$23,
IF(Q165=regle!$F$11,regle!$F$23,
IF(Q165=regle!$G$11,regle!$G$23,
IF(Q165=regle!$H$11,regle!$H$23,
IF(Q165=regle!$I$11,regle!$I$23,
IF(Q165=regle!$J$11,regle!$J$23,
IF(Q165=regle!$K$11,regle!$K$23,0))))))))))))</f>
        <v>0</v>
      </c>
      <c r="AB165" s="17">
        <f>IF($A165,$J165*(IF(R165=regle!$B$11,regle!$B$23*IF(AK165=-2,1+regle!$B$35,1),
IF(R165=regle!$C$11,regle!$C$23,
IF(R165=regle!$D$11,regle!$D$23,
IF(R165=regle!$E$11,regle!$E$23,
IF(R165=regle!$F$11,regle!$F$23,
IF(R165=regle!$G$11,regle!$G$23,
IF(R165=regle!$H$11,regle!$H$23,
IF(R165=regle!$I$11,regle!$I$23,
IF(R165=regle!$J$11,regle!$J$23,
IF(R165=regle!$K$11,regle!$K$23,0))))))))))))</f>
        <v>0</v>
      </c>
      <c r="AC165" s="17">
        <f>IF($A165,$J165*(IF(S165=regle!$B$11,regle!$B$23*IF(AL165=-2,1+regle!$B$35,1),
IF(S165=regle!$C$11,regle!$C$23,
IF(S165=regle!$D$11,regle!$D$23,
IF(S165=regle!$E$11,regle!$E$23,
IF(S165=regle!$F$11,regle!$F$23,
IF(S165=regle!$G$11,regle!$G$23,
IF(S165=regle!$H$11,regle!$H$23,
IF(S165=regle!$I$11,regle!$I$23,
IF(S165=regle!$J$11,regle!$J$23,
IF(S165=regle!$K$11,regle!$K$23,0))))))))))))</f>
        <v>0</v>
      </c>
      <c r="AD165" s="17">
        <f>IF($A165,$J165*(IF(T165=regle!$B$11,regle!$B$23*IF(AM165=-2,1+regle!$B$35,1),
IF(T165=regle!$C$11,regle!$C$23,
IF(T165=regle!$D$11,regle!$D$23,
IF(T165=regle!$E$11,regle!$E$23,
IF(T165=regle!$F$11,regle!$F$23,
IF(T165=regle!$G$11,regle!$G$23,
IF(T165=regle!$H$11,regle!$H$23,
IF(T165=regle!$I$11,regle!$I$23,
IF(T165=regle!$J$11,regle!$J$23,
IF(T165=regle!$K$11,regle!$K$23,0))))))))))))</f>
        <v>829.43999999999994</v>
      </c>
      <c r="AE165" s="17">
        <f>IF($A165,$J165*(IF(U165=regle!$B$11,regle!$B$23*IF(AN165=-2,1+regle!$B$35,1),
IF(U165=regle!$C$11,regle!$C$23,
IF(U165=regle!$D$11,regle!$D$23,
IF(U165=regle!$E$11,regle!$E$23,
IF(U165=regle!$F$11,regle!$F$23,
IF(U165=regle!$G$11,regle!$G$23,
IF(U165=regle!$H$11,regle!$H$23,
IF(U165=regle!$I$11,regle!$I$23,
IF(U165=regle!$J$11,regle!$J$23,
IF(U165=regle!$K$11,regle!$K$23,0))))))))))))</f>
        <v>0</v>
      </c>
      <c r="AF165" s="17">
        <f>IF($A165,$J165*(IF(V165=regle!$B$11,regle!$B$23*IF(AO165=-2,1+regle!$B$35,1),
IF(V165=regle!$C$11,regle!$C$23,
IF(V165=regle!$D$11,regle!$D$23,
IF(V165=regle!$E$11,regle!$E$23,
IF(V165=regle!$F$11,regle!$F$23,
IF(V165=regle!$G$11,regle!$G$23,
IF(V165=regle!$H$11,regle!$H$23,
IF(V165=regle!$I$11,regle!$I$23,
IF(V165=regle!$J$11,regle!$J$23,
IF(V165=regle!$K$11,regle!$K$23,0))))))))))))</f>
        <v>0</v>
      </c>
      <c r="AG165" s="17">
        <f>IF($A165,$J165*(IF(W165=regle!$B$11,regle!$B$23*IF(AP165=-2,1+regle!$B$35,1),
IF(W165=regle!$C$11,regle!$C$23,
IF(W165=regle!$D$11,regle!$D$23,
IF(W165=regle!$E$11,regle!$E$23,
IF(W165=regle!$F$11,regle!$F$23,
IF(W165=regle!$G$11,regle!$G$23,
IF(W165=regle!$H$11,regle!$H$23,
IF(W165=regle!$I$11,regle!$I$23,
IF(W165=regle!$J$11,regle!$J$23,
IF(W165=regle!$K$11,regle!$K$23,0))))))))))))</f>
        <v>0</v>
      </c>
      <c r="AH165" s="17">
        <f>IF($A165,$J165*(IF(X165=regle!$B$11,regle!$B$23*IF(AQ165=-2,1+regle!$B$35,1),
IF(X165=regle!$C$11,regle!$C$23,
IF(X165=regle!$D$11,regle!$D$23,
IF(X165=regle!$E$11,regle!$E$23,
IF(X165=regle!$F$11,regle!$F$23,
IF(X165=regle!$G$11,regle!$G$23,
IF(X165=regle!$H$11,regle!$H$23,
IF(X165=regle!$I$11,regle!$I$23,
IF(X165=regle!$J$11,regle!$J$23,
IF(X165=regle!$K$11,regle!$K$23,0))))))))))))</f>
        <v>0</v>
      </c>
      <c r="AI165" s="17">
        <f>IF($A165,$J165*(IF(Y165=regle!$B$11,regle!$B$23*IF(AR165=-2,1+regle!$B$35,1),
IF(Y165=regle!$C$11,regle!$C$23,
IF(Y165=regle!$D$11,regle!$D$23,
IF(Y165=regle!$E$11,regle!$E$23,
IF(Y165=regle!$F$11,regle!$F$23,
IF(Y165=regle!$G$11,regle!$G$23,
IF(Y165=regle!$H$11,regle!$H$23,
IF(Y165=regle!$I$11,regle!$I$23,
IF(Y165=regle!$J$11,regle!$J$23,
IF(Y165=regle!$K$11,regle!$K$23,0))))))))))))</f>
        <v>0</v>
      </c>
      <c r="AJ165" s="17">
        <f>IF($A165,$J165*(IF(Z165=regle!$B$11,regle!$B$23*IF(AS165=-2,1+regle!$B$35,1),
IF(Z165=regle!$C$11,regle!$C$23,
IF(Z165=regle!$D$11,regle!$D$23,
IF(Z165=regle!$E$11,regle!$E$23,
IF(Z165=regle!$F$11,regle!$F$23,
IF(Z165=regle!$G$11,regle!$G$23,
IF(Z165=regle!$H$11,regle!$H$23,
IF(Z165=regle!$I$11,regle!$I$23,
IF(Z165=regle!$J$11,regle!$J$23,
IF(Z165=regle!$K$11,regle!$K$23,0))))))))))))</f>
        <v>1209.5999999999999</v>
      </c>
      <c r="AK165" s="16">
        <f>IF(OR(Q165=regle!$J$11,Q165=regle!$K$11),-2,IF(Q165=regle!$B$11,0,IF(AK$1=$AK$1,IF($O165,-1,regle!$B$2-$M165),IF(AJ165=-1,-1,AJ165+1))))</f>
        <v>9</v>
      </c>
      <c r="AL165" s="16">
        <f>IF(OR(R165=regle!$J$11,R165=regle!$K$11),-2,IF(R165=regle!$B$11,0,IF(AL$1=$AK$1,IF($O165,-1,regle!$B$2-$M165),IF(AK165=-1,-1,AK165+1))))</f>
        <v>10</v>
      </c>
      <c r="AM165" s="16">
        <f>IF(OR(S165=regle!$J$11,S165=regle!$K$11),-2,IF(S165=regle!$B$11,0,IF(AM$1=$AK$1,IF($O165,-1,regle!$B$2-$M165),IF(AL165=-1,-1,AL165+1))))</f>
        <v>11</v>
      </c>
      <c r="AN165" s="16">
        <f>IF(OR(T165=regle!$J$11,T165=regle!$K$11),-2,IF(T165=regle!$B$11,0,IF(AN$1=$AK$1,IF($O165,-1,regle!$B$2-$M165),IF(AM165=-1,-1,AM165+1))))</f>
        <v>12</v>
      </c>
      <c r="AO165" s="16">
        <f>IF(OR(U165=regle!$J$11,U165=regle!$K$11),-2,IF(U165=regle!$B$11,0,IF(AO$1=$AK$1,IF($O165,-1,regle!$B$2-$M165),IF(AN165=-1,-1,AN165+1))))</f>
        <v>13</v>
      </c>
      <c r="AP165" s="16">
        <f>IF(OR(V165=regle!$J$11,V165=regle!$K$11),-2,IF(V165=regle!$B$11,0,IF(AP$1=$AK$1,IF($O165,-1,regle!$B$2-$M165),IF(AO165=-1,-1,AO165+1))))</f>
        <v>14</v>
      </c>
      <c r="AQ165" s="16">
        <f>IF(OR(W165=regle!$J$11,W165=regle!$K$11),-2,IF(W165=regle!$B$11,0,IF(AQ$1=$AK$1,IF($O165,-1,regle!$B$2-$M165),IF(AP165=-1,-1,AP165+1))))</f>
        <v>15</v>
      </c>
      <c r="AR165" s="16">
        <f>IF(OR(X165=regle!$J$11,X165=regle!$K$11),-2,IF(X165=regle!$B$11,0,IF(AR$1=$AK$1,IF($O165,-1,regle!$B$2-$M165),IF(AQ165=-1,-1,AQ165+1))))</f>
        <v>16</v>
      </c>
      <c r="AS165" s="16">
        <f>IF(OR(Y165=regle!$J$11,Y165=regle!$K$11),-2,IF(Y165=regle!$B$11,0,IF(AS$1=$AK$1,IF($O165,-1,regle!$B$2-$M165),IF(AR165=-1,-1,AR165+1))))</f>
        <v>17</v>
      </c>
      <c r="AT165" s="16">
        <f>IF(OR(Z165=regle!$J$11,Z165=regle!$K$11),-2,IF(Z165=regle!$B$11,0,IF(AT$1=$AK$1,IF($O165,-1,regle!$B$2-$M165),IF(AS165=-1,-1,AS165+1))))</f>
        <v>18</v>
      </c>
    </row>
    <row r="166" spans="1:46" x14ac:dyDescent="0.25">
      <c r="A166" t="b">
        <f>modif1!A166</f>
        <v>1</v>
      </c>
      <c r="B166">
        <f>ROW(modif1!B166)</f>
        <v>166</v>
      </c>
      <c r="C166" t="str">
        <f>modif1!C169</f>
        <v>202</v>
      </c>
      <c r="D166" t="str">
        <f>modif1!D166</f>
        <v>HOSTENS</v>
      </c>
      <c r="E166">
        <f>modif1!E166</f>
        <v>11</v>
      </c>
      <c r="F166" t="str">
        <f>modif1!F166</f>
        <v>LES CAZALAS</v>
      </c>
      <c r="G166" t="str">
        <f>modif1!G166</f>
        <v>0B</v>
      </c>
      <c r="H166">
        <f>modif1!H166</f>
        <v>1187</v>
      </c>
      <c r="I166" t="str">
        <f>modif1!I166</f>
        <v>j</v>
      </c>
      <c r="J166" s="11">
        <f>modif1!J166</f>
        <v>1.4271</v>
      </c>
      <c r="K166" t="str">
        <f>modif1!K166</f>
        <v>PLA</v>
      </c>
      <c r="L166" t="str">
        <f>modif1!L166</f>
        <v>PM</v>
      </c>
      <c r="M166">
        <f>modif1!M166</f>
        <v>2015</v>
      </c>
      <c r="N166" t="str">
        <f>modif1!N166</f>
        <v>PLA-PM_2015</v>
      </c>
      <c r="O166" t="b">
        <f>modif1!O166</f>
        <v>0</v>
      </c>
      <c r="P166">
        <v>40</v>
      </c>
      <c r="T166" t="s">
        <v>1803</v>
      </c>
      <c r="Y166" s="22"/>
      <c r="Z166" t="s">
        <v>1804</v>
      </c>
      <c r="AA166" s="17">
        <f>IF($A166,$J166*(IF(Q166=regle!$B$11,regle!$B$23*IF(AJ166=-2,1+regle!$B$35,1),
IF(Q166=regle!$C$11,regle!$C$23,
IF(Q166=regle!$D$11,regle!$D$23,
IF(Q166=regle!$E$11,regle!$E$23,
IF(Q166=regle!$F$11,regle!$F$23,
IF(Q166=regle!$G$11,regle!$G$23,
IF(Q166=regle!$H$11,regle!$H$23,
IF(Q166=regle!$I$11,regle!$I$23,
IF(Q166=regle!$J$11,regle!$J$23,
IF(Q166=regle!$K$11,regle!$K$23,0))))))))))))</f>
        <v>0</v>
      </c>
      <c r="AB166" s="17">
        <f>IF($A166,$J166*(IF(R166=regle!$B$11,regle!$B$23*IF(AK166=-2,1+regle!$B$35,1),
IF(R166=regle!$C$11,regle!$C$23,
IF(R166=regle!$D$11,regle!$D$23,
IF(R166=regle!$E$11,regle!$E$23,
IF(R166=regle!$F$11,regle!$F$23,
IF(R166=regle!$G$11,regle!$G$23,
IF(R166=regle!$H$11,regle!$H$23,
IF(R166=regle!$I$11,regle!$I$23,
IF(R166=regle!$J$11,regle!$J$23,
IF(R166=regle!$K$11,regle!$K$23,0))))))))))))</f>
        <v>0</v>
      </c>
      <c r="AC166" s="17">
        <f>IF($A166,$J166*(IF(S166=regle!$B$11,regle!$B$23*IF(AL166=-2,1+regle!$B$35,1),
IF(S166=regle!$C$11,regle!$C$23,
IF(S166=regle!$D$11,regle!$D$23,
IF(S166=regle!$E$11,regle!$E$23,
IF(S166=regle!$F$11,regle!$F$23,
IF(S166=regle!$G$11,regle!$G$23,
IF(S166=regle!$H$11,regle!$H$23,
IF(S166=regle!$I$11,regle!$I$23,
IF(S166=regle!$J$11,regle!$J$23,
IF(S166=regle!$K$11,regle!$K$23,0))))))))))))</f>
        <v>0</v>
      </c>
      <c r="AD166" s="17">
        <f>IF($A166,$J166*(IF(T166=regle!$B$11,regle!$B$23*IF(AM166=-2,1+regle!$B$35,1),
IF(T166=regle!$C$11,regle!$C$23,
IF(T166=regle!$D$11,regle!$D$23,
IF(T166=regle!$E$11,regle!$E$23,
IF(T166=regle!$F$11,regle!$F$23,
IF(T166=regle!$G$11,regle!$G$23,
IF(T166=regle!$H$11,regle!$H$23,
IF(T166=regle!$I$11,regle!$I$23,
IF(T166=regle!$J$11,regle!$J$23,
IF(T166=regle!$K$11,regle!$K$23,0))))))))))))</f>
        <v>822.00959999999998</v>
      </c>
      <c r="AE166" s="17">
        <f>IF($A166,$J166*(IF(U166=regle!$B$11,regle!$B$23*IF(AN166=-2,1+regle!$B$35,1),
IF(U166=regle!$C$11,regle!$C$23,
IF(U166=regle!$D$11,regle!$D$23,
IF(U166=regle!$E$11,regle!$E$23,
IF(U166=regle!$F$11,regle!$F$23,
IF(U166=regle!$G$11,regle!$G$23,
IF(U166=regle!$H$11,regle!$H$23,
IF(U166=regle!$I$11,regle!$I$23,
IF(U166=regle!$J$11,regle!$J$23,
IF(U166=regle!$K$11,regle!$K$23,0))))))))))))</f>
        <v>0</v>
      </c>
      <c r="AF166" s="17">
        <f>IF($A166,$J166*(IF(V166=regle!$B$11,regle!$B$23*IF(AO166=-2,1+regle!$B$35,1),
IF(V166=regle!$C$11,regle!$C$23,
IF(V166=regle!$D$11,regle!$D$23,
IF(V166=regle!$E$11,regle!$E$23,
IF(V166=regle!$F$11,regle!$F$23,
IF(V166=regle!$G$11,regle!$G$23,
IF(V166=regle!$H$11,regle!$H$23,
IF(V166=regle!$I$11,regle!$I$23,
IF(V166=regle!$J$11,regle!$J$23,
IF(V166=regle!$K$11,regle!$K$23,0))))))))))))</f>
        <v>0</v>
      </c>
      <c r="AG166" s="17">
        <f>IF($A166,$J166*(IF(W166=regle!$B$11,regle!$B$23*IF(AP166=-2,1+regle!$B$35,1),
IF(W166=regle!$C$11,regle!$C$23,
IF(W166=regle!$D$11,regle!$D$23,
IF(W166=regle!$E$11,regle!$E$23,
IF(W166=regle!$F$11,regle!$F$23,
IF(W166=regle!$G$11,regle!$G$23,
IF(W166=regle!$H$11,regle!$H$23,
IF(W166=regle!$I$11,regle!$I$23,
IF(W166=regle!$J$11,regle!$J$23,
IF(W166=regle!$K$11,regle!$K$23,0))))))))))))</f>
        <v>0</v>
      </c>
      <c r="AH166" s="17">
        <f>IF($A166,$J166*(IF(X166=regle!$B$11,regle!$B$23*IF(AQ166=-2,1+regle!$B$35,1),
IF(X166=regle!$C$11,regle!$C$23,
IF(X166=regle!$D$11,regle!$D$23,
IF(X166=regle!$E$11,regle!$E$23,
IF(X166=regle!$F$11,regle!$F$23,
IF(X166=regle!$G$11,regle!$G$23,
IF(X166=regle!$H$11,regle!$H$23,
IF(X166=regle!$I$11,regle!$I$23,
IF(X166=regle!$J$11,regle!$J$23,
IF(X166=regle!$K$11,regle!$K$23,0))))))))))))</f>
        <v>0</v>
      </c>
      <c r="AI166" s="17">
        <f>IF($A166,$J166*(IF(Y166=regle!$B$11,regle!$B$23*IF(AR166=-2,1+regle!$B$35,1),
IF(Y166=regle!$C$11,regle!$C$23,
IF(Y166=regle!$D$11,regle!$D$23,
IF(Y166=regle!$E$11,regle!$E$23,
IF(Y166=regle!$F$11,regle!$F$23,
IF(Y166=regle!$G$11,regle!$G$23,
IF(Y166=regle!$H$11,regle!$H$23,
IF(Y166=regle!$I$11,regle!$I$23,
IF(Y166=regle!$J$11,regle!$J$23,
IF(Y166=regle!$K$11,regle!$K$23,0))))))))))))</f>
        <v>0</v>
      </c>
      <c r="AJ166" s="17">
        <f>IF($A166,$J166*(IF(Z166=regle!$B$11,regle!$B$23*IF(AS166=-2,1+regle!$B$35,1),
IF(Z166=regle!$C$11,regle!$C$23,
IF(Z166=regle!$D$11,regle!$D$23,
IF(Z166=regle!$E$11,regle!$E$23,
IF(Z166=regle!$F$11,regle!$F$23,
IF(Z166=regle!$G$11,regle!$G$23,
IF(Z166=regle!$H$11,regle!$H$23,
IF(Z166=regle!$I$11,regle!$I$23,
IF(Z166=regle!$J$11,regle!$J$23,
IF(Z166=regle!$K$11,regle!$K$23,0))))))))))))</f>
        <v>1198.7640000000001</v>
      </c>
      <c r="AK166" s="16">
        <f>IF(OR(Q166=regle!$J$11,Q166=regle!$K$11),-2,IF(Q166=regle!$B$11,0,IF(AK$1=$AK$1,IF($O166,-1,regle!$B$2-$M166),IF(AJ166=-1,-1,AJ166+1))))</f>
        <v>9</v>
      </c>
      <c r="AL166" s="16">
        <f>IF(OR(R166=regle!$J$11,R166=regle!$K$11),-2,IF(R166=regle!$B$11,0,IF(AL$1=$AK$1,IF($O166,-1,regle!$B$2-$M166),IF(AK166=-1,-1,AK166+1))))</f>
        <v>10</v>
      </c>
      <c r="AM166" s="16">
        <f>IF(OR(S166=regle!$J$11,S166=regle!$K$11),-2,IF(S166=regle!$B$11,0,IF(AM$1=$AK$1,IF($O166,-1,regle!$B$2-$M166),IF(AL166=-1,-1,AL166+1))))</f>
        <v>11</v>
      </c>
      <c r="AN166" s="16">
        <f>IF(OR(T166=regle!$J$11,T166=regle!$K$11),-2,IF(T166=regle!$B$11,0,IF(AN$1=$AK$1,IF($O166,-1,regle!$B$2-$M166),IF(AM166=-1,-1,AM166+1))))</f>
        <v>12</v>
      </c>
      <c r="AO166" s="16">
        <f>IF(OR(U166=regle!$J$11,U166=regle!$K$11),-2,IF(U166=regle!$B$11,0,IF(AO$1=$AK$1,IF($O166,-1,regle!$B$2-$M166),IF(AN166=-1,-1,AN166+1))))</f>
        <v>13</v>
      </c>
      <c r="AP166" s="16">
        <f>IF(OR(V166=regle!$J$11,V166=regle!$K$11),-2,IF(V166=regle!$B$11,0,IF(AP$1=$AK$1,IF($O166,-1,regle!$B$2-$M166),IF(AO166=-1,-1,AO166+1))))</f>
        <v>14</v>
      </c>
      <c r="AQ166" s="16">
        <f>IF(OR(W166=regle!$J$11,W166=regle!$K$11),-2,IF(W166=regle!$B$11,0,IF(AQ$1=$AK$1,IF($O166,-1,regle!$B$2-$M166),IF(AP166=-1,-1,AP166+1))))</f>
        <v>15</v>
      </c>
      <c r="AR166" s="16">
        <f>IF(OR(X166=regle!$J$11,X166=regle!$K$11),-2,IF(X166=regle!$B$11,0,IF(AR$1=$AK$1,IF($O166,-1,regle!$B$2-$M166),IF(AQ166=-1,-1,AQ166+1))))</f>
        <v>16</v>
      </c>
      <c r="AS166" s="16">
        <f>IF(OR(Y166=regle!$J$11,Y166=regle!$K$11),-2,IF(Y166=regle!$B$11,0,IF(AS$1=$AK$1,IF($O166,-1,regle!$B$2-$M166),IF(AR166=-1,-1,AR166+1))))</f>
        <v>17</v>
      </c>
      <c r="AT166" s="16">
        <f>IF(OR(Z166=regle!$J$11,Z166=regle!$K$11),-2,IF(Z166=regle!$B$11,0,IF(AT$1=$AK$1,IF($O166,-1,regle!$B$2-$M166),IF(AS166=-1,-1,AS166+1))))</f>
        <v>18</v>
      </c>
    </row>
    <row r="167" spans="1:46" x14ac:dyDescent="0.25">
      <c r="A167" t="b">
        <f>modif1!A167</f>
        <v>1</v>
      </c>
      <c r="B167">
        <f>ROW(modif1!B167)</f>
        <v>167</v>
      </c>
      <c r="C167" t="str">
        <f>modif1!C170</f>
        <v>202</v>
      </c>
      <c r="D167" t="str">
        <f>modif1!D167</f>
        <v>HOSTENS</v>
      </c>
      <c r="E167">
        <f>modif1!E167</f>
        <v>8</v>
      </c>
      <c r="F167" t="str">
        <f>modif1!F167</f>
        <v>LES BECS</v>
      </c>
      <c r="G167" t="str">
        <f>modif1!G167</f>
        <v>0B</v>
      </c>
      <c r="H167">
        <f>modif1!H167</f>
        <v>2472</v>
      </c>
      <c r="I167" t="str">
        <f>modif1!I167</f>
        <v>l</v>
      </c>
      <c r="J167" s="11">
        <f>modif1!J167</f>
        <v>1.1595</v>
      </c>
      <c r="K167" t="str">
        <f>modif1!K167</f>
        <v>PLA</v>
      </c>
      <c r="L167" t="str">
        <f>modif1!L167</f>
        <v>PM</v>
      </c>
      <c r="M167">
        <f>modif1!M167</f>
        <v>2015</v>
      </c>
      <c r="N167" t="str">
        <f>modif1!N167</f>
        <v>PLA-PM_2015</v>
      </c>
      <c r="O167" t="b">
        <f>modif1!O167</f>
        <v>0</v>
      </c>
      <c r="P167">
        <v>40</v>
      </c>
      <c r="T167" t="s">
        <v>1803</v>
      </c>
      <c r="Y167" s="22"/>
      <c r="Z167" t="s">
        <v>1804</v>
      </c>
      <c r="AA167" s="17">
        <f>IF($A167,$J167*(IF(Q167=regle!$B$11,regle!$B$23*IF(AJ167=-2,1+regle!$B$35,1),
IF(Q167=regle!$C$11,regle!$C$23,
IF(Q167=regle!$D$11,regle!$D$23,
IF(Q167=regle!$E$11,regle!$E$23,
IF(Q167=regle!$F$11,regle!$F$23,
IF(Q167=regle!$G$11,regle!$G$23,
IF(Q167=regle!$H$11,regle!$H$23,
IF(Q167=regle!$I$11,regle!$I$23,
IF(Q167=regle!$J$11,regle!$J$23,
IF(Q167=regle!$K$11,regle!$K$23,0))))))))))))</f>
        <v>0</v>
      </c>
      <c r="AB167" s="17">
        <f>IF($A167,$J167*(IF(R167=regle!$B$11,regle!$B$23*IF(AK167=-2,1+regle!$B$35,1),
IF(R167=regle!$C$11,regle!$C$23,
IF(R167=regle!$D$11,regle!$D$23,
IF(R167=regle!$E$11,regle!$E$23,
IF(R167=regle!$F$11,regle!$F$23,
IF(R167=regle!$G$11,regle!$G$23,
IF(R167=regle!$H$11,regle!$H$23,
IF(R167=regle!$I$11,regle!$I$23,
IF(R167=regle!$J$11,regle!$J$23,
IF(R167=regle!$K$11,regle!$K$23,0))))))))))))</f>
        <v>0</v>
      </c>
      <c r="AC167" s="17">
        <f>IF($A167,$J167*(IF(S167=regle!$B$11,regle!$B$23*IF(AL167=-2,1+regle!$B$35,1),
IF(S167=regle!$C$11,regle!$C$23,
IF(S167=regle!$D$11,regle!$D$23,
IF(S167=regle!$E$11,regle!$E$23,
IF(S167=regle!$F$11,regle!$F$23,
IF(S167=regle!$G$11,regle!$G$23,
IF(S167=regle!$H$11,regle!$H$23,
IF(S167=regle!$I$11,regle!$I$23,
IF(S167=regle!$J$11,regle!$J$23,
IF(S167=regle!$K$11,regle!$K$23,0))))))))))))</f>
        <v>0</v>
      </c>
      <c r="AD167" s="17">
        <f>IF($A167,$J167*(IF(T167=regle!$B$11,regle!$B$23*IF(AM167=-2,1+regle!$B$35,1),
IF(T167=regle!$C$11,regle!$C$23,
IF(T167=regle!$D$11,regle!$D$23,
IF(T167=regle!$E$11,regle!$E$23,
IF(T167=regle!$F$11,regle!$F$23,
IF(T167=regle!$G$11,regle!$G$23,
IF(T167=regle!$H$11,regle!$H$23,
IF(T167=regle!$I$11,regle!$I$23,
IF(T167=regle!$J$11,regle!$J$23,
IF(T167=regle!$K$11,regle!$K$23,0))))))))))))</f>
        <v>667.87199999999996</v>
      </c>
      <c r="AE167" s="17">
        <f>IF($A167,$J167*(IF(U167=regle!$B$11,regle!$B$23*IF(AN167=-2,1+regle!$B$35,1),
IF(U167=regle!$C$11,regle!$C$23,
IF(U167=regle!$D$11,regle!$D$23,
IF(U167=regle!$E$11,regle!$E$23,
IF(U167=regle!$F$11,regle!$F$23,
IF(U167=regle!$G$11,regle!$G$23,
IF(U167=regle!$H$11,regle!$H$23,
IF(U167=regle!$I$11,regle!$I$23,
IF(U167=regle!$J$11,regle!$J$23,
IF(U167=regle!$K$11,regle!$K$23,0))))))))))))</f>
        <v>0</v>
      </c>
      <c r="AF167" s="17">
        <f>IF($A167,$J167*(IF(V167=regle!$B$11,regle!$B$23*IF(AO167=-2,1+regle!$B$35,1),
IF(V167=regle!$C$11,regle!$C$23,
IF(V167=regle!$D$11,regle!$D$23,
IF(V167=regle!$E$11,regle!$E$23,
IF(V167=regle!$F$11,regle!$F$23,
IF(V167=regle!$G$11,regle!$G$23,
IF(V167=regle!$H$11,regle!$H$23,
IF(V167=regle!$I$11,regle!$I$23,
IF(V167=regle!$J$11,regle!$J$23,
IF(V167=regle!$K$11,regle!$K$23,0))))))))))))</f>
        <v>0</v>
      </c>
      <c r="AG167" s="17">
        <f>IF($A167,$J167*(IF(W167=regle!$B$11,regle!$B$23*IF(AP167=-2,1+regle!$B$35,1),
IF(W167=regle!$C$11,regle!$C$23,
IF(W167=regle!$D$11,regle!$D$23,
IF(W167=regle!$E$11,regle!$E$23,
IF(W167=regle!$F$11,regle!$F$23,
IF(W167=regle!$G$11,regle!$G$23,
IF(W167=regle!$H$11,regle!$H$23,
IF(W167=regle!$I$11,regle!$I$23,
IF(W167=regle!$J$11,regle!$J$23,
IF(W167=regle!$K$11,regle!$K$23,0))))))))))))</f>
        <v>0</v>
      </c>
      <c r="AH167" s="17">
        <f>IF($A167,$J167*(IF(X167=regle!$B$11,regle!$B$23*IF(AQ167=-2,1+regle!$B$35,1),
IF(X167=regle!$C$11,regle!$C$23,
IF(X167=regle!$D$11,regle!$D$23,
IF(X167=regle!$E$11,regle!$E$23,
IF(X167=regle!$F$11,regle!$F$23,
IF(X167=regle!$G$11,regle!$G$23,
IF(X167=regle!$H$11,regle!$H$23,
IF(X167=regle!$I$11,regle!$I$23,
IF(X167=regle!$J$11,regle!$J$23,
IF(X167=regle!$K$11,regle!$K$23,0))))))))))))</f>
        <v>0</v>
      </c>
      <c r="AI167" s="17">
        <f>IF($A167,$J167*(IF(Y167=regle!$B$11,regle!$B$23*IF(AR167=-2,1+regle!$B$35,1),
IF(Y167=regle!$C$11,regle!$C$23,
IF(Y167=regle!$D$11,regle!$D$23,
IF(Y167=regle!$E$11,regle!$E$23,
IF(Y167=regle!$F$11,regle!$F$23,
IF(Y167=regle!$G$11,regle!$G$23,
IF(Y167=regle!$H$11,regle!$H$23,
IF(Y167=regle!$I$11,regle!$I$23,
IF(Y167=regle!$J$11,regle!$J$23,
IF(Y167=regle!$K$11,regle!$K$23,0))))))))))))</f>
        <v>0</v>
      </c>
      <c r="AJ167" s="17">
        <f>IF($A167,$J167*(IF(Z167=regle!$B$11,regle!$B$23*IF(AS167=-2,1+regle!$B$35,1),
IF(Z167=regle!$C$11,regle!$C$23,
IF(Z167=regle!$D$11,regle!$D$23,
IF(Z167=regle!$E$11,regle!$E$23,
IF(Z167=regle!$F$11,regle!$F$23,
IF(Z167=regle!$G$11,regle!$G$23,
IF(Z167=regle!$H$11,regle!$H$23,
IF(Z167=regle!$I$11,regle!$I$23,
IF(Z167=regle!$J$11,regle!$J$23,
IF(Z167=regle!$K$11,regle!$K$23,0))))))))))))</f>
        <v>973.98</v>
      </c>
      <c r="AK167" s="16">
        <f>IF(OR(Q167=regle!$J$11,Q167=regle!$K$11),-2,IF(Q167=regle!$B$11,0,IF(AK$1=$AK$1,IF($O167,-1,regle!$B$2-$M167),IF(AJ167=-1,-1,AJ167+1))))</f>
        <v>9</v>
      </c>
      <c r="AL167" s="16">
        <f>IF(OR(R167=regle!$J$11,R167=regle!$K$11),-2,IF(R167=regle!$B$11,0,IF(AL$1=$AK$1,IF($O167,-1,regle!$B$2-$M167),IF(AK167=-1,-1,AK167+1))))</f>
        <v>10</v>
      </c>
      <c r="AM167" s="16">
        <f>IF(OR(S167=regle!$J$11,S167=regle!$K$11),-2,IF(S167=regle!$B$11,0,IF(AM$1=$AK$1,IF($O167,-1,regle!$B$2-$M167),IF(AL167=-1,-1,AL167+1))))</f>
        <v>11</v>
      </c>
      <c r="AN167" s="16">
        <f>IF(OR(T167=regle!$J$11,T167=regle!$K$11),-2,IF(T167=regle!$B$11,0,IF(AN$1=$AK$1,IF($O167,-1,regle!$B$2-$M167),IF(AM167=-1,-1,AM167+1))))</f>
        <v>12</v>
      </c>
      <c r="AO167" s="16">
        <f>IF(OR(U167=regle!$J$11,U167=regle!$K$11),-2,IF(U167=regle!$B$11,0,IF(AO$1=$AK$1,IF($O167,-1,regle!$B$2-$M167),IF(AN167=-1,-1,AN167+1))))</f>
        <v>13</v>
      </c>
      <c r="AP167" s="16">
        <f>IF(OR(V167=regle!$J$11,V167=regle!$K$11),-2,IF(V167=regle!$B$11,0,IF(AP$1=$AK$1,IF($O167,-1,regle!$B$2-$M167),IF(AO167=-1,-1,AO167+1))))</f>
        <v>14</v>
      </c>
      <c r="AQ167" s="16">
        <f>IF(OR(W167=regle!$J$11,W167=regle!$K$11),-2,IF(W167=regle!$B$11,0,IF(AQ$1=$AK$1,IF($O167,-1,regle!$B$2-$M167),IF(AP167=-1,-1,AP167+1))))</f>
        <v>15</v>
      </c>
      <c r="AR167" s="16">
        <f>IF(OR(X167=regle!$J$11,X167=regle!$K$11),-2,IF(X167=regle!$B$11,0,IF(AR$1=$AK$1,IF($O167,-1,regle!$B$2-$M167),IF(AQ167=-1,-1,AQ167+1))))</f>
        <v>16</v>
      </c>
      <c r="AS167" s="16">
        <f>IF(OR(Y167=regle!$J$11,Y167=regle!$K$11),-2,IF(Y167=regle!$B$11,0,IF(AS$1=$AK$1,IF($O167,-1,regle!$B$2-$M167),IF(AR167=-1,-1,AR167+1))))</f>
        <v>17</v>
      </c>
      <c r="AT167" s="16">
        <f>IF(OR(Z167=regle!$J$11,Z167=regle!$K$11),-2,IF(Z167=regle!$B$11,0,IF(AT$1=$AK$1,IF($O167,-1,regle!$B$2-$M167),IF(AS167=-1,-1,AS167+1))))</f>
        <v>18</v>
      </c>
    </row>
    <row r="168" spans="1:46" x14ac:dyDescent="0.25">
      <c r="A168" t="b">
        <f>modif1!A168</f>
        <v>1</v>
      </c>
      <c r="B168">
        <f>ROW(modif1!B168)</f>
        <v>168</v>
      </c>
      <c r="C168" t="str">
        <f>modif1!C171</f>
        <v>202</v>
      </c>
      <c r="D168" t="str">
        <f>modif1!D168</f>
        <v>HOSTENS</v>
      </c>
      <c r="E168">
        <f>modif1!E168</f>
        <v>8</v>
      </c>
      <c r="F168" t="str">
        <f>modif1!F168</f>
        <v>LES BECS</v>
      </c>
      <c r="G168" t="str">
        <f>modif1!G168</f>
        <v>0B</v>
      </c>
      <c r="H168">
        <f>modif1!H168</f>
        <v>1220</v>
      </c>
      <c r="I168" t="str">
        <f>modif1!I168</f>
        <v>k</v>
      </c>
      <c r="J168" s="11">
        <f>modif1!J168</f>
        <v>1.0684</v>
      </c>
      <c r="K168" t="str">
        <f>modif1!K168</f>
        <v>PLA</v>
      </c>
      <c r="L168" t="str">
        <f>modif1!L168</f>
        <v>PM</v>
      </c>
      <c r="M168">
        <f>modif1!M168</f>
        <v>2015</v>
      </c>
      <c r="N168" t="str">
        <f>modif1!N168</f>
        <v>PLA-PM_2015</v>
      </c>
      <c r="O168" t="b">
        <f>modif1!O168</f>
        <v>0</v>
      </c>
      <c r="P168">
        <v>40</v>
      </c>
      <c r="T168" t="s">
        <v>1803</v>
      </c>
      <c r="Y168" s="22"/>
      <c r="Z168" t="s">
        <v>1804</v>
      </c>
      <c r="AA168" s="17">
        <f>IF($A168,$J168*(IF(Q168=regle!$B$11,regle!$B$23*IF(AJ168=-2,1+regle!$B$35,1),
IF(Q168=regle!$C$11,regle!$C$23,
IF(Q168=regle!$D$11,regle!$D$23,
IF(Q168=regle!$E$11,regle!$E$23,
IF(Q168=regle!$F$11,regle!$F$23,
IF(Q168=regle!$G$11,regle!$G$23,
IF(Q168=regle!$H$11,regle!$H$23,
IF(Q168=regle!$I$11,regle!$I$23,
IF(Q168=regle!$J$11,regle!$J$23,
IF(Q168=regle!$K$11,regle!$K$23,0))))))))))))</f>
        <v>0</v>
      </c>
      <c r="AB168" s="17">
        <f>IF($A168,$J168*(IF(R168=regle!$B$11,regle!$B$23*IF(AK168=-2,1+regle!$B$35,1),
IF(R168=regle!$C$11,regle!$C$23,
IF(R168=regle!$D$11,regle!$D$23,
IF(R168=regle!$E$11,regle!$E$23,
IF(R168=regle!$F$11,regle!$F$23,
IF(R168=regle!$G$11,regle!$G$23,
IF(R168=regle!$H$11,regle!$H$23,
IF(R168=regle!$I$11,regle!$I$23,
IF(R168=regle!$J$11,regle!$J$23,
IF(R168=regle!$K$11,regle!$K$23,0))))))))))))</f>
        <v>0</v>
      </c>
      <c r="AC168" s="17">
        <f>IF($A168,$J168*(IF(S168=regle!$B$11,regle!$B$23*IF(AL168=-2,1+regle!$B$35,1),
IF(S168=regle!$C$11,regle!$C$23,
IF(S168=regle!$D$11,regle!$D$23,
IF(S168=regle!$E$11,regle!$E$23,
IF(S168=regle!$F$11,regle!$F$23,
IF(S168=regle!$G$11,regle!$G$23,
IF(S168=regle!$H$11,regle!$H$23,
IF(S168=regle!$I$11,regle!$I$23,
IF(S168=regle!$J$11,regle!$J$23,
IF(S168=regle!$K$11,regle!$K$23,0))))))))))))</f>
        <v>0</v>
      </c>
      <c r="AD168" s="17">
        <f>IF($A168,$J168*(IF(T168=regle!$B$11,regle!$B$23*IF(AM168=-2,1+regle!$B$35,1),
IF(T168=regle!$C$11,regle!$C$23,
IF(T168=regle!$D$11,regle!$D$23,
IF(T168=regle!$E$11,regle!$E$23,
IF(T168=regle!$F$11,regle!$F$23,
IF(T168=regle!$G$11,regle!$G$23,
IF(T168=regle!$H$11,regle!$H$23,
IF(T168=regle!$I$11,regle!$I$23,
IF(T168=regle!$J$11,regle!$J$23,
IF(T168=regle!$K$11,regle!$K$23,0))))))))))))</f>
        <v>615.39840000000004</v>
      </c>
      <c r="AE168" s="17">
        <f>IF($A168,$J168*(IF(U168=regle!$B$11,regle!$B$23*IF(AN168=-2,1+regle!$B$35,1),
IF(U168=regle!$C$11,regle!$C$23,
IF(U168=regle!$D$11,regle!$D$23,
IF(U168=regle!$E$11,regle!$E$23,
IF(U168=regle!$F$11,regle!$F$23,
IF(U168=regle!$G$11,regle!$G$23,
IF(U168=regle!$H$11,regle!$H$23,
IF(U168=regle!$I$11,regle!$I$23,
IF(U168=regle!$J$11,regle!$J$23,
IF(U168=regle!$K$11,regle!$K$23,0))))))))))))</f>
        <v>0</v>
      </c>
      <c r="AF168" s="17">
        <f>IF($A168,$J168*(IF(V168=regle!$B$11,regle!$B$23*IF(AO168=-2,1+regle!$B$35,1),
IF(V168=regle!$C$11,regle!$C$23,
IF(V168=regle!$D$11,regle!$D$23,
IF(V168=regle!$E$11,regle!$E$23,
IF(V168=regle!$F$11,regle!$F$23,
IF(V168=regle!$G$11,regle!$G$23,
IF(V168=regle!$H$11,regle!$H$23,
IF(V168=regle!$I$11,regle!$I$23,
IF(V168=regle!$J$11,regle!$J$23,
IF(V168=regle!$K$11,regle!$K$23,0))))))))))))</f>
        <v>0</v>
      </c>
      <c r="AG168" s="17">
        <f>IF($A168,$J168*(IF(W168=regle!$B$11,regle!$B$23*IF(AP168=-2,1+regle!$B$35,1),
IF(W168=regle!$C$11,regle!$C$23,
IF(W168=regle!$D$11,regle!$D$23,
IF(W168=regle!$E$11,regle!$E$23,
IF(W168=regle!$F$11,regle!$F$23,
IF(W168=regle!$G$11,regle!$G$23,
IF(W168=regle!$H$11,regle!$H$23,
IF(W168=regle!$I$11,regle!$I$23,
IF(W168=regle!$J$11,regle!$J$23,
IF(W168=regle!$K$11,regle!$K$23,0))))))))))))</f>
        <v>0</v>
      </c>
      <c r="AH168" s="17">
        <f>IF($A168,$J168*(IF(X168=regle!$B$11,regle!$B$23*IF(AQ168=-2,1+regle!$B$35,1),
IF(X168=regle!$C$11,regle!$C$23,
IF(X168=regle!$D$11,regle!$D$23,
IF(X168=regle!$E$11,regle!$E$23,
IF(X168=regle!$F$11,regle!$F$23,
IF(X168=regle!$G$11,regle!$G$23,
IF(X168=regle!$H$11,regle!$H$23,
IF(X168=regle!$I$11,regle!$I$23,
IF(X168=regle!$J$11,regle!$J$23,
IF(X168=regle!$K$11,regle!$K$23,0))))))))))))</f>
        <v>0</v>
      </c>
      <c r="AI168" s="17">
        <f>IF($A168,$J168*(IF(Y168=regle!$B$11,regle!$B$23*IF(AR168=-2,1+regle!$B$35,1),
IF(Y168=regle!$C$11,regle!$C$23,
IF(Y168=regle!$D$11,regle!$D$23,
IF(Y168=regle!$E$11,regle!$E$23,
IF(Y168=regle!$F$11,regle!$F$23,
IF(Y168=regle!$G$11,regle!$G$23,
IF(Y168=regle!$H$11,regle!$H$23,
IF(Y168=regle!$I$11,regle!$I$23,
IF(Y168=regle!$J$11,regle!$J$23,
IF(Y168=regle!$K$11,regle!$K$23,0))))))))))))</f>
        <v>0</v>
      </c>
      <c r="AJ168" s="17">
        <f>IF($A168,$J168*(IF(Z168=regle!$B$11,regle!$B$23*IF(AS168=-2,1+regle!$B$35,1),
IF(Z168=regle!$C$11,regle!$C$23,
IF(Z168=regle!$D$11,regle!$D$23,
IF(Z168=regle!$E$11,regle!$E$23,
IF(Z168=regle!$F$11,regle!$F$23,
IF(Z168=regle!$G$11,regle!$G$23,
IF(Z168=regle!$H$11,regle!$H$23,
IF(Z168=regle!$I$11,regle!$I$23,
IF(Z168=regle!$J$11,regle!$J$23,
IF(Z168=regle!$K$11,regle!$K$23,0))))))))))))</f>
        <v>897.45600000000002</v>
      </c>
      <c r="AK168" s="16">
        <f>IF(OR(Q168=regle!$J$11,Q168=regle!$K$11),-2,IF(Q168=regle!$B$11,0,IF(AK$1=$AK$1,IF($O168,-1,regle!$B$2-$M168),IF(AJ168=-1,-1,AJ168+1))))</f>
        <v>9</v>
      </c>
      <c r="AL168" s="16">
        <f>IF(OR(R168=regle!$J$11,R168=regle!$K$11),-2,IF(R168=regle!$B$11,0,IF(AL$1=$AK$1,IF($O168,-1,regle!$B$2-$M168),IF(AK168=-1,-1,AK168+1))))</f>
        <v>10</v>
      </c>
      <c r="AM168" s="16">
        <f>IF(OR(S168=regle!$J$11,S168=regle!$K$11),-2,IF(S168=regle!$B$11,0,IF(AM$1=$AK$1,IF($O168,-1,regle!$B$2-$M168),IF(AL168=-1,-1,AL168+1))))</f>
        <v>11</v>
      </c>
      <c r="AN168" s="16">
        <f>IF(OR(T168=regle!$J$11,T168=regle!$K$11),-2,IF(T168=regle!$B$11,0,IF(AN$1=$AK$1,IF($O168,-1,regle!$B$2-$M168),IF(AM168=-1,-1,AM168+1))))</f>
        <v>12</v>
      </c>
      <c r="AO168" s="16">
        <f>IF(OR(U168=regle!$J$11,U168=regle!$K$11),-2,IF(U168=regle!$B$11,0,IF(AO$1=$AK$1,IF($O168,-1,regle!$B$2-$M168),IF(AN168=-1,-1,AN168+1))))</f>
        <v>13</v>
      </c>
      <c r="AP168" s="16">
        <f>IF(OR(V168=regle!$J$11,V168=regle!$K$11),-2,IF(V168=regle!$B$11,0,IF(AP$1=$AK$1,IF($O168,-1,regle!$B$2-$M168),IF(AO168=-1,-1,AO168+1))))</f>
        <v>14</v>
      </c>
      <c r="AQ168" s="16">
        <f>IF(OR(W168=regle!$J$11,W168=regle!$K$11),-2,IF(W168=regle!$B$11,0,IF(AQ$1=$AK$1,IF($O168,-1,regle!$B$2-$M168),IF(AP168=-1,-1,AP168+1))))</f>
        <v>15</v>
      </c>
      <c r="AR168" s="16">
        <f>IF(OR(X168=regle!$J$11,X168=regle!$K$11),-2,IF(X168=regle!$B$11,0,IF(AR$1=$AK$1,IF($O168,-1,regle!$B$2-$M168),IF(AQ168=-1,-1,AQ168+1))))</f>
        <v>16</v>
      </c>
      <c r="AS168" s="16">
        <f>IF(OR(Y168=regle!$J$11,Y168=regle!$K$11),-2,IF(Y168=regle!$B$11,0,IF(AS$1=$AK$1,IF($O168,-1,regle!$B$2-$M168),IF(AR168=-1,-1,AR168+1))))</f>
        <v>17</v>
      </c>
      <c r="AT168" s="16">
        <f>IF(OR(Z168=regle!$J$11,Z168=regle!$K$11),-2,IF(Z168=regle!$B$11,0,IF(AT$1=$AK$1,IF($O168,-1,regle!$B$2-$M168),IF(AS168=-1,-1,AS168+1))))</f>
        <v>18</v>
      </c>
    </row>
    <row r="169" spans="1:46" x14ac:dyDescent="0.25">
      <c r="A169" t="b">
        <f>modif1!A169</f>
        <v>1</v>
      </c>
      <c r="B169">
        <f>ROW(modif1!B169)</f>
        <v>169</v>
      </c>
      <c r="C169" t="str">
        <f>modif1!C172</f>
        <v>202</v>
      </c>
      <c r="D169" t="str">
        <f>modif1!D169</f>
        <v>HOSTENS</v>
      </c>
      <c r="E169">
        <f>modif1!E169</f>
        <v>11</v>
      </c>
      <c r="F169" t="str">
        <f>modif1!F169</f>
        <v>LES CAZALAS</v>
      </c>
      <c r="G169" t="str">
        <f>modif1!G169</f>
        <v>0B</v>
      </c>
      <c r="H169">
        <f>modif1!H169</f>
        <v>1158</v>
      </c>
      <c r="I169" t="str">
        <f>modif1!I169</f>
        <v>k</v>
      </c>
      <c r="J169" s="11">
        <f>modif1!J169</f>
        <v>1.0414000000000001</v>
      </c>
      <c r="K169" t="str">
        <f>modif1!K169</f>
        <v>PLA</v>
      </c>
      <c r="L169" t="str">
        <f>modif1!L169</f>
        <v>PM</v>
      </c>
      <c r="M169">
        <f>modif1!M169</f>
        <v>2015</v>
      </c>
      <c r="N169" t="str">
        <f>modif1!N169</f>
        <v>PLA-PM_2015</v>
      </c>
      <c r="O169" t="b">
        <f>modif1!O169</f>
        <v>0</v>
      </c>
      <c r="P169">
        <v>40</v>
      </c>
      <c r="T169" t="s">
        <v>1803</v>
      </c>
      <c r="Y169" s="22"/>
      <c r="Z169" t="s">
        <v>1804</v>
      </c>
      <c r="AA169" s="17">
        <f>IF($A169,$J169*(IF(Q169=regle!$B$11,regle!$B$23*IF(AJ169=-2,1+regle!$B$35,1),
IF(Q169=regle!$C$11,regle!$C$23,
IF(Q169=regle!$D$11,regle!$D$23,
IF(Q169=regle!$E$11,regle!$E$23,
IF(Q169=regle!$F$11,regle!$F$23,
IF(Q169=regle!$G$11,regle!$G$23,
IF(Q169=regle!$H$11,regle!$H$23,
IF(Q169=regle!$I$11,regle!$I$23,
IF(Q169=regle!$J$11,regle!$J$23,
IF(Q169=regle!$K$11,regle!$K$23,0))))))))))))</f>
        <v>0</v>
      </c>
      <c r="AB169" s="17">
        <f>IF($A169,$J169*(IF(R169=regle!$B$11,regle!$B$23*IF(AK169=-2,1+regle!$B$35,1),
IF(R169=regle!$C$11,regle!$C$23,
IF(R169=regle!$D$11,regle!$D$23,
IF(R169=regle!$E$11,regle!$E$23,
IF(R169=regle!$F$11,regle!$F$23,
IF(R169=regle!$G$11,regle!$G$23,
IF(R169=regle!$H$11,regle!$H$23,
IF(R169=regle!$I$11,regle!$I$23,
IF(R169=regle!$J$11,regle!$J$23,
IF(R169=regle!$K$11,regle!$K$23,0))))))))))))</f>
        <v>0</v>
      </c>
      <c r="AC169" s="17">
        <f>IF($A169,$J169*(IF(S169=regle!$B$11,regle!$B$23*IF(AL169=-2,1+regle!$B$35,1),
IF(S169=regle!$C$11,regle!$C$23,
IF(S169=regle!$D$11,regle!$D$23,
IF(S169=regle!$E$11,regle!$E$23,
IF(S169=regle!$F$11,regle!$F$23,
IF(S169=regle!$G$11,regle!$G$23,
IF(S169=regle!$H$11,regle!$H$23,
IF(S169=regle!$I$11,regle!$I$23,
IF(S169=regle!$J$11,regle!$J$23,
IF(S169=regle!$K$11,regle!$K$23,0))))))))))))</f>
        <v>0</v>
      </c>
      <c r="AD169" s="17">
        <f>IF($A169,$J169*(IF(T169=regle!$B$11,regle!$B$23*IF(AM169=-2,1+regle!$B$35,1),
IF(T169=regle!$C$11,regle!$C$23,
IF(T169=regle!$D$11,regle!$D$23,
IF(T169=regle!$E$11,regle!$E$23,
IF(T169=regle!$F$11,regle!$F$23,
IF(T169=regle!$G$11,regle!$G$23,
IF(T169=regle!$H$11,regle!$H$23,
IF(T169=regle!$I$11,regle!$I$23,
IF(T169=regle!$J$11,regle!$J$23,
IF(T169=regle!$K$11,regle!$K$23,0))))))))))))</f>
        <v>599.84640000000002</v>
      </c>
      <c r="AE169" s="17">
        <f>IF($A169,$J169*(IF(U169=regle!$B$11,regle!$B$23*IF(AN169=-2,1+regle!$B$35,1),
IF(U169=regle!$C$11,regle!$C$23,
IF(U169=regle!$D$11,regle!$D$23,
IF(U169=regle!$E$11,regle!$E$23,
IF(U169=regle!$F$11,regle!$F$23,
IF(U169=regle!$G$11,regle!$G$23,
IF(U169=regle!$H$11,regle!$H$23,
IF(U169=regle!$I$11,regle!$I$23,
IF(U169=regle!$J$11,regle!$J$23,
IF(U169=regle!$K$11,regle!$K$23,0))))))))))))</f>
        <v>0</v>
      </c>
      <c r="AF169" s="17">
        <f>IF($A169,$J169*(IF(V169=regle!$B$11,regle!$B$23*IF(AO169=-2,1+regle!$B$35,1),
IF(V169=regle!$C$11,regle!$C$23,
IF(V169=regle!$D$11,regle!$D$23,
IF(V169=regle!$E$11,regle!$E$23,
IF(V169=regle!$F$11,regle!$F$23,
IF(V169=regle!$G$11,regle!$G$23,
IF(V169=regle!$H$11,regle!$H$23,
IF(V169=regle!$I$11,regle!$I$23,
IF(V169=regle!$J$11,regle!$J$23,
IF(V169=regle!$K$11,regle!$K$23,0))))))))))))</f>
        <v>0</v>
      </c>
      <c r="AG169" s="17">
        <f>IF($A169,$J169*(IF(W169=regle!$B$11,regle!$B$23*IF(AP169=-2,1+regle!$B$35,1),
IF(W169=regle!$C$11,regle!$C$23,
IF(W169=regle!$D$11,regle!$D$23,
IF(W169=regle!$E$11,regle!$E$23,
IF(W169=regle!$F$11,regle!$F$23,
IF(W169=regle!$G$11,regle!$G$23,
IF(W169=regle!$H$11,regle!$H$23,
IF(W169=regle!$I$11,regle!$I$23,
IF(W169=regle!$J$11,regle!$J$23,
IF(W169=regle!$K$11,regle!$K$23,0))))))))))))</f>
        <v>0</v>
      </c>
      <c r="AH169" s="17">
        <f>IF($A169,$J169*(IF(X169=regle!$B$11,regle!$B$23*IF(AQ169=-2,1+regle!$B$35,1),
IF(X169=regle!$C$11,regle!$C$23,
IF(X169=regle!$D$11,regle!$D$23,
IF(X169=regle!$E$11,regle!$E$23,
IF(X169=regle!$F$11,regle!$F$23,
IF(X169=regle!$G$11,regle!$G$23,
IF(X169=regle!$H$11,regle!$H$23,
IF(X169=regle!$I$11,regle!$I$23,
IF(X169=regle!$J$11,regle!$J$23,
IF(X169=regle!$K$11,regle!$K$23,0))))))))))))</f>
        <v>0</v>
      </c>
      <c r="AI169" s="17">
        <f>IF($A169,$J169*(IF(Y169=regle!$B$11,regle!$B$23*IF(AR169=-2,1+regle!$B$35,1),
IF(Y169=regle!$C$11,regle!$C$23,
IF(Y169=regle!$D$11,regle!$D$23,
IF(Y169=regle!$E$11,regle!$E$23,
IF(Y169=regle!$F$11,regle!$F$23,
IF(Y169=regle!$G$11,regle!$G$23,
IF(Y169=regle!$H$11,regle!$H$23,
IF(Y169=regle!$I$11,regle!$I$23,
IF(Y169=regle!$J$11,regle!$J$23,
IF(Y169=regle!$K$11,regle!$K$23,0))))))))))))</f>
        <v>0</v>
      </c>
      <c r="AJ169" s="17">
        <f>IF($A169,$J169*(IF(Z169=regle!$B$11,regle!$B$23*IF(AS169=-2,1+regle!$B$35,1),
IF(Z169=regle!$C$11,regle!$C$23,
IF(Z169=regle!$D$11,regle!$D$23,
IF(Z169=regle!$E$11,regle!$E$23,
IF(Z169=regle!$F$11,regle!$F$23,
IF(Z169=regle!$G$11,regle!$G$23,
IF(Z169=regle!$H$11,regle!$H$23,
IF(Z169=regle!$I$11,regle!$I$23,
IF(Z169=regle!$J$11,regle!$J$23,
IF(Z169=regle!$K$11,regle!$K$23,0))))))))))))</f>
        <v>874.77600000000007</v>
      </c>
      <c r="AK169" s="16">
        <f>IF(OR(Q169=regle!$J$11,Q169=regle!$K$11),-2,IF(Q169=regle!$B$11,0,IF(AK$1=$AK$1,IF($O169,-1,regle!$B$2-$M169),IF(AJ169=-1,-1,AJ169+1))))</f>
        <v>9</v>
      </c>
      <c r="AL169" s="16">
        <f>IF(OR(R169=regle!$J$11,R169=regle!$K$11),-2,IF(R169=regle!$B$11,0,IF(AL$1=$AK$1,IF($O169,-1,regle!$B$2-$M169),IF(AK169=-1,-1,AK169+1))))</f>
        <v>10</v>
      </c>
      <c r="AM169" s="16">
        <f>IF(OR(S169=regle!$J$11,S169=regle!$K$11),-2,IF(S169=regle!$B$11,0,IF(AM$1=$AK$1,IF($O169,-1,regle!$B$2-$M169),IF(AL169=-1,-1,AL169+1))))</f>
        <v>11</v>
      </c>
      <c r="AN169" s="16">
        <f>IF(OR(T169=regle!$J$11,T169=regle!$K$11),-2,IF(T169=regle!$B$11,0,IF(AN$1=$AK$1,IF($O169,-1,regle!$B$2-$M169),IF(AM169=-1,-1,AM169+1))))</f>
        <v>12</v>
      </c>
      <c r="AO169" s="16">
        <f>IF(OR(U169=regle!$J$11,U169=regle!$K$11),-2,IF(U169=regle!$B$11,0,IF(AO$1=$AK$1,IF($O169,-1,regle!$B$2-$M169),IF(AN169=-1,-1,AN169+1))))</f>
        <v>13</v>
      </c>
      <c r="AP169" s="16">
        <f>IF(OR(V169=regle!$J$11,V169=regle!$K$11),-2,IF(V169=regle!$B$11,0,IF(AP$1=$AK$1,IF($O169,-1,regle!$B$2-$M169),IF(AO169=-1,-1,AO169+1))))</f>
        <v>14</v>
      </c>
      <c r="AQ169" s="16">
        <f>IF(OR(W169=regle!$J$11,W169=regle!$K$11),-2,IF(W169=regle!$B$11,0,IF(AQ$1=$AK$1,IF($O169,-1,regle!$B$2-$M169),IF(AP169=-1,-1,AP169+1))))</f>
        <v>15</v>
      </c>
      <c r="AR169" s="16">
        <f>IF(OR(X169=regle!$J$11,X169=regle!$K$11),-2,IF(X169=regle!$B$11,0,IF(AR$1=$AK$1,IF($O169,-1,regle!$B$2-$M169),IF(AQ169=-1,-1,AQ169+1))))</f>
        <v>16</v>
      </c>
      <c r="AS169" s="16">
        <f>IF(OR(Y169=regle!$J$11,Y169=regle!$K$11),-2,IF(Y169=regle!$B$11,0,IF(AS$1=$AK$1,IF($O169,-1,regle!$B$2-$M169),IF(AR169=-1,-1,AR169+1))))</f>
        <v>17</v>
      </c>
      <c r="AT169" s="16">
        <f>IF(OR(Z169=regle!$J$11,Z169=regle!$K$11),-2,IF(Z169=regle!$B$11,0,IF(AT$1=$AK$1,IF($O169,-1,regle!$B$2-$M169),IF(AS169=-1,-1,AS169+1))))</f>
        <v>18</v>
      </c>
    </row>
    <row r="170" spans="1:46" x14ac:dyDescent="0.25">
      <c r="A170" t="b">
        <f>modif1!A170</f>
        <v>1</v>
      </c>
      <c r="B170">
        <f>ROW(modif1!B170)</f>
        <v>170</v>
      </c>
      <c r="C170" t="str">
        <f>modif1!C173</f>
        <v>077</v>
      </c>
      <c r="D170" t="str">
        <f>modif1!D170</f>
        <v>HOSTENS</v>
      </c>
      <c r="E170">
        <f>modif1!E170</f>
        <v>8</v>
      </c>
      <c r="F170" t="str">
        <f>modif1!F170</f>
        <v>LES BECS</v>
      </c>
      <c r="G170" t="str">
        <f>modif1!G170</f>
        <v>0B</v>
      </c>
      <c r="H170">
        <f>modif1!H170</f>
        <v>1220</v>
      </c>
      <c r="I170" t="str">
        <f>modif1!I170</f>
        <v>m</v>
      </c>
      <c r="J170" s="11">
        <f>modif1!J170</f>
        <v>0.88880000000000003</v>
      </c>
      <c r="K170" t="str">
        <f>modif1!K170</f>
        <v>PLA</v>
      </c>
      <c r="L170" t="str">
        <f>modif1!L170</f>
        <v>PM</v>
      </c>
      <c r="M170">
        <f>modif1!M170</f>
        <v>2015</v>
      </c>
      <c r="N170" t="str">
        <f>modif1!N170</f>
        <v>PLA-PM_2015</v>
      </c>
      <c r="O170" t="b">
        <f>modif1!O170</f>
        <v>0</v>
      </c>
      <c r="P170">
        <v>40</v>
      </c>
      <c r="T170" t="s">
        <v>1803</v>
      </c>
      <c r="Y170" s="22"/>
      <c r="Z170" t="s">
        <v>1804</v>
      </c>
      <c r="AA170" s="17">
        <f>IF($A170,$J170*(IF(Q170=regle!$B$11,regle!$B$23*IF(AJ170=-2,1+regle!$B$35,1),
IF(Q170=regle!$C$11,regle!$C$23,
IF(Q170=regle!$D$11,regle!$D$23,
IF(Q170=regle!$E$11,regle!$E$23,
IF(Q170=regle!$F$11,regle!$F$23,
IF(Q170=regle!$G$11,regle!$G$23,
IF(Q170=regle!$H$11,regle!$H$23,
IF(Q170=regle!$I$11,regle!$I$23,
IF(Q170=regle!$J$11,regle!$J$23,
IF(Q170=regle!$K$11,regle!$K$23,0))))))))))))</f>
        <v>0</v>
      </c>
      <c r="AB170" s="17">
        <f>IF($A170,$J170*(IF(R170=regle!$B$11,regle!$B$23*IF(AK170=-2,1+regle!$B$35,1),
IF(R170=regle!$C$11,regle!$C$23,
IF(R170=regle!$D$11,regle!$D$23,
IF(R170=regle!$E$11,regle!$E$23,
IF(R170=regle!$F$11,regle!$F$23,
IF(R170=regle!$G$11,regle!$G$23,
IF(R170=regle!$H$11,regle!$H$23,
IF(R170=regle!$I$11,regle!$I$23,
IF(R170=regle!$J$11,regle!$J$23,
IF(R170=regle!$K$11,regle!$K$23,0))))))))))))</f>
        <v>0</v>
      </c>
      <c r="AC170" s="17">
        <f>IF($A170,$J170*(IF(S170=regle!$B$11,regle!$B$23*IF(AL170=-2,1+regle!$B$35,1),
IF(S170=regle!$C$11,regle!$C$23,
IF(S170=regle!$D$11,regle!$D$23,
IF(S170=regle!$E$11,regle!$E$23,
IF(S170=regle!$F$11,regle!$F$23,
IF(S170=regle!$G$11,regle!$G$23,
IF(S170=regle!$H$11,regle!$H$23,
IF(S170=regle!$I$11,regle!$I$23,
IF(S170=regle!$J$11,regle!$J$23,
IF(S170=regle!$K$11,regle!$K$23,0))))))))))))</f>
        <v>0</v>
      </c>
      <c r="AD170" s="17">
        <f>IF($A170,$J170*(IF(T170=regle!$B$11,regle!$B$23*IF(AM170=-2,1+regle!$B$35,1),
IF(T170=regle!$C$11,regle!$C$23,
IF(T170=regle!$D$11,regle!$D$23,
IF(T170=regle!$E$11,regle!$E$23,
IF(T170=regle!$F$11,regle!$F$23,
IF(T170=regle!$G$11,regle!$G$23,
IF(T170=regle!$H$11,regle!$H$23,
IF(T170=regle!$I$11,regle!$I$23,
IF(T170=regle!$J$11,regle!$J$23,
IF(T170=regle!$K$11,regle!$K$23,0))))))))))))</f>
        <v>511.94880000000001</v>
      </c>
      <c r="AE170" s="17">
        <f>IF($A170,$J170*(IF(U170=regle!$B$11,regle!$B$23*IF(AN170=-2,1+regle!$B$35,1),
IF(U170=regle!$C$11,regle!$C$23,
IF(U170=regle!$D$11,regle!$D$23,
IF(U170=regle!$E$11,regle!$E$23,
IF(U170=regle!$F$11,regle!$F$23,
IF(U170=regle!$G$11,regle!$G$23,
IF(U170=regle!$H$11,regle!$H$23,
IF(U170=regle!$I$11,regle!$I$23,
IF(U170=regle!$J$11,regle!$J$23,
IF(U170=regle!$K$11,regle!$K$23,0))))))))))))</f>
        <v>0</v>
      </c>
      <c r="AF170" s="17">
        <f>IF($A170,$J170*(IF(V170=regle!$B$11,regle!$B$23*IF(AO170=-2,1+regle!$B$35,1),
IF(V170=regle!$C$11,regle!$C$23,
IF(V170=regle!$D$11,regle!$D$23,
IF(V170=regle!$E$11,regle!$E$23,
IF(V170=regle!$F$11,regle!$F$23,
IF(V170=regle!$G$11,regle!$G$23,
IF(V170=regle!$H$11,regle!$H$23,
IF(V170=regle!$I$11,regle!$I$23,
IF(V170=regle!$J$11,regle!$J$23,
IF(V170=regle!$K$11,regle!$K$23,0))))))))))))</f>
        <v>0</v>
      </c>
      <c r="AG170" s="17">
        <f>IF($A170,$J170*(IF(W170=regle!$B$11,regle!$B$23*IF(AP170=-2,1+regle!$B$35,1),
IF(W170=regle!$C$11,regle!$C$23,
IF(W170=regle!$D$11,regle!$D$23,
IF(W170=regle!$E$11,regle!$E$23,
IF(W170=regle!$F$11,regle!$F$23,
IF(W170=regle!$G$11,regle!$G$23,
IF(W170=regle!$H$11,regle!$H$23,
IF(W170=regle!$I$11,regle!$I$23,
IF(W170=regle!$J$11,regle!$J$23,
IF(W170=regle!$K$11,regle!$K$23,0))))))))))))</f>
        <v>0</v>
      </c>
      <c r="AH170" s="17">
        <f>IF($A170,$J170*(IF(X170=regle!$B$11,regle!$B$23*IF(AQ170=-2,1+regle!$B$35,1),
IF(X170=regle!$C$11,regle!$C$23,
IF(X170=regle!$D$11,regle!$D$23,
IF(X170=regle!$E$11,regle!$E$23,
IF(X170=regle!$F$11,regle!$F$23,
IF(X170=regle!$G$11,regle!$G$23,
IF(X170=regle!$H$11,regle!$H$23,
IF(X170=regle!$I$11,regle!$I$23,
IF(X170=regle!$J$11,regle!$J$23,
IF(X170=regle!$K$11,regle!$K$23,0))))))))))))</f>
        <v>0</v>
      </c>
      <c r="AI170" s="17">
        <f>IF($A170,$J170*(IF(Y170=regle!$B$11,regle!$B$23*IF(AR170=-2,1+regle!$B$35,1),
IF(Y170=regle!$C$11,regle!$C$23,
IF(Y170=regle!$D$11,regle!$D$23,
IF(Y170=regle!$E$11,regle!$E$23,
IF(Y170=regle!$F$11,regle!$F$23,
IF(Y170=regle!$G$11,regle!$G$23,
IF(Y170=regle!$H$11,regle!$H$23,
IF(Y170=regle!$I$11,regle!$I$23,
IF(Y170=regle!$J$11,regle!$J$23,
IF(Y170=regle!$K$11,regle!$K$23,0))))))))))))</f>
        <v>0</v>
      </c>
      <c r="AJ170" s="17">
        <f>IF($A170,$J170*(IF(Z170=regle!$B$11,regle!$B$23*IF(AS170=-2,1+regle!$B$35,1),
IF(Z170=regle!$C$11,regle!$C$23,
IF(Z170=regle!$D$11,regle!$D$23,
IF(Z170=regle!$E$11,regle!$E$23,
IF(Z170=regle!$F$11,regle!$F$23,
IF(Z170=regle!$G$11,regle!$G$23,
IF(Z170=regle!$H$11,regle!$H$23,
IF(Z170=regle!$I$11,regle!$I$23,
IF(Z170=regle!$J$11,regle!$J$23,
IF(Z170=regle!$K$11,regle!$K$23,0))))))))))))</f>
        <v>746.59199999999998</v>
      </c>
      <c r="AK170" s="16">
        <f>IF(OR(Q170=regle!$J$11,Q170=regle!$K$11),-2,IF(Q170=regle!$B$11,0,IF(AK$1=$AK$1,IF($O170,-1,regle!$B$2-$M170),IF(AJ170=-1,-1,AJ170+1))))</f>
        <v>9</v>
      </c>
      <c r="AL170" s="16">
        <f>IF(OR(R170=regle!$J$11,R170=regle!$K$11),-2,IF(R170=regle!$B$11,0,IF(AL$1=$AK$1,IF($O170,-1,regle!$B$2-$M170),IF(AK170=-1,-1,AK170+1))))</f>
        <v>10</v>
      </c>
      <c r="AM170" s="16">
        <f>IF(OR(S170=regle!$J$11,S170=regle!$K$11),-2,IF(S170=regle!$B$11,0,IF(AM$1=$AK$1,IF($O170,-1,regle!$B$2-$M170),IF(AL170=-1,-1,AL170+1))))</f>
        <v>11</v>
      </c>
      <c r="AN170" s="16">
        <f>IF(OR(T170=regle!$J$11,T170=regle!$K$11),-2,IF(T170=regle!$B$11,0,IF(AN$1=$AK$1,IF($O170,-1,regle!$B$2-$M170),IF(AM170=-1,-1,AM170+1))))</f>
        <v>12</v>
      </c>
      <c r="AO170" s="16">
        <f>IF(OR(U170=regle!$J$11,U170=regle!$K$11),-2,IF(U170=regle!$B$11,0,IF(AO$1=$AK$1,IF($O170,-1,regle!$B$2-$M170),IF(AN170=-1,-1,AN170+1))))</f>
        <v>13</v>
      </c>
      <c r="AP170" s="16">
        <f>IF(OR(V170=regle!$J$11,V170=regle!$K$11),-2,IF(V170=regle!$B$11,0,IF(AP$1=$AK$1,IF($O170,-1,regle!$B$2-$M170),IF(AO170=-1,-1,AO170+1))))</f>
        <v>14</v>
      </c>
      <c r="AQ170" s="16">
        <f>IF(OR(W170=regle!$J$11,W170=regle!$K$11),-2,IF(W170=regle!$B$11,0,IF(AQ$1=$AK$1,IF($O170,-1,regle!$B$2-$M170),IF(AP170=-1,-1,AP170+1))))</f>
        <v>15</v>
      </c>
      <c r="AR170" s="16">
        <f>IF(OR(X170=regle!$J$11,X170=regle!$K$11),-2,IF(X170=regle!$B$11,0,IF(AR$1=$AK$1,IF($O170,-1,regle!$B$2-$M170),IF(AQ170=-1,-1,AQ170+1))))</f>
        <v>16</v>
      </c>
      <c r="AS170" s="16">
        <f>IF(OR(Y170=regle!$J$11,Y170=regle!$K$11),-2,IF(Y170=regle!$B$11,0,IF(AS$1=$AK$1,IF($O170,-1,regle!$B$2-$M170),IF(AR170=-1,-1,AR170+1))))</f>
        <v>17</v>
      </c>
      <c r="AT170" s="16">
        <f>IF(OR(Z170=regle!$J$11,Z170=regle!$K$11),-2,IF(Z170=regle!$B$11,0,IF(AT$1=$AK$1,IF($O170,-1,regle!$B$2-$M170),IF(AS170=-1,-1,AS170+1))))</f>
        <v>18</v>
      </c>
    </row>
    <row r="171" spans="1:46" x14ac:dyDescent="0.25">
      <c r="A171" t="b">
        <f>modif1!A171</f>
        <v>1</v>
      </c>
      <c r="B171">
        <f>ROW(modif1!B171)</f>
        <v>171</v>
      </c>
      <c r="C171" t="str">
        <f>modif1!C174</f>
        <v>202</v>
      </c>
      <c r="D171" t="str">
        <f>modif1!D171</f>
        <v>HOSTENS</v>
      </c>
      <c r="E171">
        <f>modif1!E171</f>
        <v>11</v>
      </c>
      <c r="F171" t="str">
        <f>modif1!F171</f>
        <v>LES CAZALAS</v>
      </c>
      <c r="G171" t="str">
        <f>modif1!G171</f>
        <v>0B</v>
      </c>
      <c r="H171">
        <f>modif1!H171</f>
        <v>1164</v>
      </c>
      <c r="I171" t="str">
        <f>modif1!I171</f>
        <v/>
      </c>
      <c r="J171" s="11">
        <f>modif1!J171</f>
        <v>0.76900000000000002</v>
      </c>
      <c r="K171" t="str">
        <f>modif1!K171</f>
        <v>PLA</v>
      </c>
      <c r="L171" t="str">
        <f>modif1!L171</f>
        <v>PM</v>
      </c>
      <c r="M171">
        <f>modif1!M171</f>
        <v>2015</v>
      </c>
      <c r="N171" t="str">
        <f>modif1!N171</f>
        <v>PLA-PM_2015</v>
      </c>
      <c r="O171" t="b">
        <f>modif1!O171</f>
        <v>0</v>
      </c>
      <c r="P171">
        <v>40</v>
      </c>
      <c r="T171" t="s">
        <v>1803</v>
      </c>
      <c r="Y171" s="22"/>
      <c r="Z171" t="s">
        <v>1804</v>
      </c>
      <c r="AA171" s="17">
        <f>IF($A171,$J171*(IF(Q171=regle!$B$11,regle!$B$23*IF(AJ171=-2,1+regle!$B$35,1),
IF(Q171=regle!$C$11,regle!$C$23,
IF(Q171=regle!$D$11,regle!$D$23,
IF(Q171=regle!$E$11,regle!$E$23,
IF(Q171=regle!$F$11,regle!$F$23,
IF(Q171=regle!$G$11,regle!$G$23,
IF(Q171=regle!$H$11,regle!$H$23,
IF(Q171=regle!$I$11,regle!$I$23,
IF(Q171=regle!$J$11,regle!$J$23,
IF(Q171=regle!$K$11,regle!$K$23,0))))))))))))</f>
        <v>0</v>
      </c>
      <c r="AB171" s="17">
        <f>IF($A171,$J171*(IF(R171=regle!$B$11,regle!$B$23*IF(AK171=-2,1+regle!$B$35,1),
IF(R171=regle!$C$11,regle!$C$23,
IF(R171=regle!$D$11,regle!$D$23,
IF(R171=regle!$E$11,regle!$E$23,
IF(R171=regle!$F$11,regle!$F$23,
IF(R171=regle!$G$11,regle!$G$23,
IF(R171=regle!$H$11,regle!$H$23,
IF(R171=regle!$I$11,regle!$I$23,
IF(R171=regle!$J$11,regle!$J$23,
IF(R171=regle!$K$11,regle!$K$23,0))))))))))))</f>
        <v>0</v>
      </c>
      <c r="AC171" s="17">
        <f>IF($A171,$J171*(IF(S171=regle!$B$11,regle!$B$23*IF(AL171=-2,1+regle!$B$35,1),
IF(S171=regle!$C$11,regle!$C$23,
IF(S171=regle!$D$11,regle!$D$23,
IF(S171=regle!$E$11,regle!$E$23,
IF(S171=regle!$F$11,regle!$F$23,
IF(S171=regle!$G$11,regle!$G$23,
IF(S171=regle!$H$11,regle!$H$23,
IF(S171=regle!$I$11,regle!$I$23,
IF(S171=regle!$J$11,regle!$J$23,
IF(S171=regle!$K$11,regle!$K$23,0))))))))))))</f>
        <v>0</v>
      </c>
      <c r="AD171" s="17">
        <f>IF($A171,$J171*(IF(T171=regle!$B$11,regle!$B$23*IF(AM171=-2,1+regle!$B$35,1),
IF(T171=regle!$C$11,regle!$C$23,
IF(T171=regle!$D$11,regle!$D$23,
IF(T171=regle!$E$11,regle!$E$23,
IF(T171=regle!$F$11,regle!$F$23,
IF(T171=regle!$G$11,regle!$G$23,
IF(T171=regle!$H$11,regle!$H$23,
IF(T171=regle!$I$11,regle!$I$23,
IF(T171=regle!$J$11,regle!$J$23,
IF(T171=regle!$K$11,regle!$K$23,0))))))))))))</f>
        <v>442.94400000000002</v>
      </c>
      <c r="AE171" s="17">
        <f>IF($A171,$J171*(IF(U171=regle!$B$11,regle!$B$23*IF(AN171=-2,1+regle!$B$35,1),
IF(U171=regle!$C$11,regle!$C$23,
IF(U171=regle!$D$11,regle!$D$23,
IF(U171=regle!$E$11,regle!$E$23,
IF(U171=regle!$F$11,regle!$F$23,
IF(U171=regle!$G$11,regle!$G$23,
IF(U171=regle!$H$11,regle!$H$23,
IF(U171=regle!$I$11,regle!$I$23,
IF(U171=regle!$J$11,regle!$J$23,
IF(U171=regle!$K$11,regle!$K$23,0))))))))))))</f>
        <v>0</v>
      </c>
      <c r="AF171" s="17">
        <f>IF($A171,$J171*(IF(V171=regle!$B$11,regle!$B$23*IF(AO171=-2,1+regle!$B$35,1),
IF(V171=regle!$C$11,regle!$C$23,
IF(V171=regle!$D$11,regle!$D$23,
IF(V171=regle!$E$11,regle!$E$23,
IF(V171=regle!$F$11,regle!$F$23,
IF(V171=regle!$G$11,regle!$G$23,
IF(V171=regle!$H$11,regle!$H$23,
IF(V171=regle!$I$11,regle!$I$23,
IF(V171=regle!$J$11,regle!$J$23,
IF(V171=regle!$K$11,regle!$K$23,0))))))))))))</f>
        <v>0</v>
      </c>
      <c r="AG171" s="17">
        <f>IF($A171,$J171*(IF(W171=regle!$B$11,regle!$B$23*IF(AP171=-2,1+regle!$B$35,1),
IF(W171=regle!$C$11,regle!$C$23,
IF(W171=regle!$D$11,regle!$D$23,
IF(W171=regle!$E$11,regle!$E$23,
IF(W171=regle!$F$11,regle!$F$23,
IF(W171=regle!$G$11,regle!$G$23,
IF(W171=regle!$H$11,regle!$H$23,
IF(W171=regle!$I$11,regle!$I$23,
IF(W171=regle!$J$11,regle!$J$23,
IF(W171=regle!$K$11,regle!$K$23,0))))))))))))</f>
        <v>0</v>
      </c>
      <c r="AH171" s="17">
        <f>IF($A171,$J171*(IF(X171=regle!$B$11,regle!$B$23*IF(AQ171=-2,1+regle!$B$35,1),
IF(X171=regle!$C$11,regle!$C$23,
IF(X171=regle!$D$11,regle!$D$23,
IF(X171=regle!$E$11,regle!$E$23,
IF(X171=regle!$F$11,regle!$F$23,
IF(X171=regle!$G$11,regle!$G$23,
IF(X171=regle!$H$11,regle!$H$23,
IF(X171=regle!$I$11,regle!$I$23,
IF(X171=regle!$J$11,regle!$J$23,
IF(X171=regle!$K$11,regle!$K$23,0))))))))))))</f>
        <v>0</v>
      </c>
      <c r="AI171" s="17">
        <f>IF($A171,$J171*(IF(Y171=regle!$B$11,regle!$B$23*IF(AR171=-2,1+regle!$B$35,1),
IF(Y171=regle!$C$11,regle!$C$23,
IF(Y171=regle!$D$11,regle!$D$23,
IF(Y171=regle!$E$11,regle!$E$23,
IF(Y171=regle!$F$11,regle!$F$23,
IF(Y171=regle!$G$11,regle!$G$23,
IF(Y171=regle!$H$11,regle!$H$23,
IF(Y171=regle!$I$11,regle!$I$23,
IF(Y171=regle!$J$11,regle!$J$23,
IF(Y171=regle!$K$11,regle!$K$23,0))))))))))))</f>
        <v>0</v>
      </c>
      <c r="AJ171" s="17">
        <f>IF($A171,$J171*(IF(Z171=regle!$B$11,regle!$B$23*IF(AS171=-2,1+regle!$B$35,1),
IF(Z171=regle!$C$11,regle!$C$23,
IF(Z171=regle!$D$11,regle!$D$23,
IF(Z171=regle!$E$11,regle!$E$23,
IF(Z171=regle!$F$11,regle!$F$23,
IF(Z171=regle!$G$11,regle!$G$23,
IF(Z171=regle!$H$11,regle!$H$23,
IF(Z171=regle!$I$11,regle!$I$23,
IF(Z171=regle!$J$11,regle!$J$23,
IF(Z171=regle!$K$11,regle!$K$23,0))))))))))))</f>
        <v>645.96</v>
      </c>
      <c r="AK171" s="16">
        <f>IF(OR(Q171=regle!$J$11,Q171=regle!$K$11),-2,IF(Q171=regle!$B$11,0,IF(AK$1=$AK$1,IF($O171,-1,regle!$B$2-$M171),IF(AJ171=-1,-1,AJ171+1))))</f>
        <v>9</v>
      </c>
      <c r="AL171" s="16">
        <f>IF(OR(R171=regle!$J$11,R171=regle!$K$11),-2,IF(R171=regle!$B$11,0,IF(AL$1=$AK$1,IF($O171,-1,regle!$B$2-$M171),IF(AK171=-1,-1,AK171+1))))</f>
        <v>10</v>
      </c>
      <c r="AM171" s="16">
        <f>IF(OR(S171=regle!$J$11,S171=regle!$K$11),-2,IF(S171=regle!$B$11,0,IF(AM$1=$AK$1,IF($O171,-1,regle!$B$2-$M171),IF(AL171=-1,-1,AL171+1))))</f>
        <v>11</v>
      </c>
      <c r="AN171" s="16">
        <f>IF(OR(T171=regle!$J$11,T171=regle!$K$11),-2,IF(T171=regle!$B$11,0,IF(AN$1=$AK$1,IF($O171,-1,regle!$B$2-$M171),IF(AM171=-1,-1,AM171+1))))</f>
        <v>12</v>
      </c>
      <c r="AO171" s="16">
        <f>IF(OR(U171=regle!$J$11,U171=regle!$K$11),-2,IF(U171=regle!$B$11,0,IF(AO$1=$AK$1,IF($O171,-1,regle!$B$2-$M171),IF(AN171=-1,-1,AN171+1))))</f>
        <v>13</v>
      </c>
      <c r="AP171" s="16">
        <f>IF(OR(V171=regle!$J$11,V171=regle!$K$11),-2,IF(V171=regle!$B$11,0,IF(AP$1=$AK$1,IF($O171,-1,regle!$B$2-$M171),IF(AO171=-1,-1,AO171+1))))</f>
        <v>14</v>
      </c>
      <c r="AQ171" s="16">
        <f>IF(OR(W171=regle!$J$11,W171=regle!$K$11),-2,IF(W171=regle!$B$11,0,IF(AQ$1=$AK$1,IF($O171,-1,regle!$B$2-$M171),IF(AP171=-1,-1,AP171+1))))</f>
        <v>15</v>
      </c>
      <c r="AR171" s="16">
        <f>IF(OR(X171=regle!$J$11,X171=regle!$K$11),-2,IF(X171=regle!$B$11,0,IF(AR$1=$AK$1,IF($O171,-1,regle!$B$2-$M171),IF(AQ171=-1,-1,AQ171+1))))</f>
        <v>16</v>
      </c>
      <c r="AS171" s="16">
        <f>IF(OR(Y171=regle!$J$11,Y171=regle!$K$11),-2,IF(Y171=regle!$B$11,0,IF(AS$1=$AK$1,IF($O171,-1,regle!$B$2-$M171),IF(AR171=-1,-1,AR171+1))))</f>
        <v>17</v>
      </c>
      <c r="AT171" s="16">
        <f>IF(OR(Z171=regle!$J$11,Z171=regle!$K$11),-2,IF(Z171=regle!$B$11,0,IF(AT$1=$AK$1,IF($O171,-1,regle!$B$2-$M171),IF(AS171=-1,-1,AS171+1))))</f>
        <v>18</v>
      </c>
    </row>
    <row r="172" spans="1:46" x14ac:dyDescent="0.25">
      <c r="A172" t="b">
        <f>modif1!A172</f>
        <v>1</v>
      </c>
      <c r="B172">
        <f>ROW(modif1!B172)</f>
        <v>172</v>
      </c>
      <c r="C172" t="str">
        <f>modif1!C175</f>
        <v>202</v>
      </c>
      <c r="D172" t="str">
        <f>modif1!D172</f>
        <v>HOSTENS</v>
      </c>
      <c r="E172">
        <f>modif1!E172</f>
        <v>8</v>
      </c>
      <c r="F172" t="str">
        <f>modif1!F172</f>
        <v>LES BECS</v>
      </c>
      <c r="G172" t="str">
        <f>modif1!G172</f>
        <v>0B</v>
      </c>
      <c r="H172">
        <f>modif1!H172</f>
        <v>2472</v>
      </c>
      <c r="I172" t="str">
        <f>modif1!I172</f>
        <v>k</v>
      </c>
      <c r="J172" s="11">
        <f>modif1!J172</f>
        <v>0.73219999999999996</v>
      </c>
      <c r="K172" t="str">
        <f>modif1!K172</f>
        <v>PLA</v>
      </c>
      <c r="L172" t="str">
        <f>modif1!L172</f>
        <v>PM</v>
      </c>
      <c r="M172">
        <f>modif1!M172</f>
        <v>2015</v>
      </c>
      <c r="N172" t="str">
        <f>modif1!N172</f>
        <v>PLA-PM_2015</v>
      </c>
      <c r="O172" t="b">
        <f>modif1!O172</f>
        <v>0</v>
      </c>
      <c r="P172">
        <v>40</v>
      </c>
      <c r="T172" t="s">
        <v>1803</v>
      </c>
      <c r="Y172" s="22"/>
      <c r="Z172" t="s">
        <v>1804</v>
      </c>
      <c r="AA172" s="17">
        <f>IF($A172,$J172*(IF(Q172=regle!$B$11,regle!$B$23*IF(AJ172=-2,1+regle!$B$35,1),
IF(Q172=regle!$C$11,regle!$C$23,
IF(Q172=regle!$D$11,regle!$D$23,
IF(Q172=regle!$E$11,regle!$E$23,
IF(Q172=regle!$F$11,regle!$F$23,
IF(Q172=regle!$G$11,regle!$G$23,
IF(Q172=regle!$H$11,regle!$H$23,
IF(Q172=regle!$I$11,regle!$I$23,
IF(Q172=regle!$J$11,regle!$J$23,
IF(Q172=regle!$K$11,regle!$K$23,0))))))))))))</f>
        <v>0</v>
      </c>
      <c r="AB172" s="17">
        <f>IF($A172,$J172*(IF(R172=regle!$B$11,regle!$B$23*IF(AK172=-2,1+regle!$B$35,1),
IF(R172=regle!$C$11,regle!$C$23,
IF(R172=regle!$D$11,regle!$D$23,
IF(R172=regle!$E$11,regle!$E$23,
IF(R172=regle!$F$11,regle!$F$23,
IF(R172=regle!$G$11,regle!$G$23,
IF(R172=regle!$H$11,regle!$H$23,
IF(R172=regle!$I$11,regle!$I$23,
IF(R172=regle!$J$11,regle!$J$23,
IF(R172=regle!$K$11,regle!$K$23,0))))))))))))</f>
        <v>0</v>
      </c>
      <c r="AC172" s="17">
        <f>IF($A172,$J172*(IF(S172=regle!$B$11,regle!$B$23*IF(AL172=-2,1+regle!$B$35,1),
IF(S172=regle!$C$11,regle!$C$23,
IF(S172=regle!$D$11,regle!$D$23,
IF(S172=regle!$E$11,regle!$E$23,
IF(S172=regle!$F$11,regle!$F$23,
IF(S172=regle!$G$11,regle!$G$23,
IF(S172=regle!$H$11,regle!$H$23,
IF(S172=regle!$I$11,regle!$I$23,
IF(S172=regle!$J$11,regle!$J$23,
IF(S172=regle!$K$11,regle!$K$23,0))))))))))))</f>
        <v>0</v>
      </c>
      <c r="AD172" s="17">
        <f>IF($A172,$J172*(IF(T172=regle!$B$11,regle!$B$23*IF(AM172=-2,1+regle!$B$35,1),
IF(T172=regle!$C$11,regle!$C$23,
IF(T172=regle!$D$11,regle!$D$23,
IF(T172=regle!$E$11,regle!$E$23,
IF(T172=regle!$F$11,regle!$F$23,
IF(T172=regle!$G$11,regle!$G$23,
IF(T172=regle!$H$11,regle!$H$23,
IF(T172=regle!$I$11,regle!$I$23,
IF(T172=regle!$J$11,regle!$J$23,
IF(T172=regle!$K$11,regle!$K$23,0))))))))))))</f>
        <v>421.74719999999996</v>
      </c>
      <c r="AE172" s="17">
        <f>IF($A172,$J172*(IF(U172=regle!$B$11,regle!$B$23*IF(AN172=-2,1+regle!$B$35,1),
IF(U172=regle!$C$11,regle!$C$23,
IF(U172=regle!$D$11,regle!$D$23,
IF(U172=regle!$E$11,regle!$E$23,
IF(U172=regle!$F$11,regle!$F$23,
IF(U172=regle!$G$11,regle!$G$23,
IF(U172=regle!$H$11,regle!$H$23,
IF(U172=regle!$I$11,regle!$I$23,
IF(U172=regle!$J$11,regle!$J$23,
IF(U172=regle!$K$11,regle!$K$23,0))))))))))))</f>
        <v>0</v>
      </c>
      <c r="AF172" s="17">
        <f>IF($A172,$J172*(IF(V172=regle!$B$11,regle!$B$23*IF(AO172=-2,1+regle!$B$35,1),
IF(V172=regle!$C$11,regle!$C$23,
IF(V172=regle!$D$11,regle!$D$23,
IF(V172=regle!$E$11,regle!$E$23,
IF(V172=regle!$F$11,regle!$F$23,
IF(V172=regle!$G$11,regle!$G$23,
IF(V172=regle!$H$11,regle!$H$23,
IF(V172=regle!$I$11,regle!$I$23,
IF(V172=regle!$J$11,regle!$J$23,
IF(V172=regle!$K$11,regle!$K$23,0))))))))))))</f>
        <v>0</v>
      </c>
      <c r="AG172" s="17">
        <f>IF($A172,$J172*(IF(W172=regle!$B$11,regle!$B$23*IF(AP172=-2,1+regle!$B$35,1),
IF(W172=regle!$C$11,regle!$C$23,
IF(W172=regle!$D$11,regle!$D$23,
IF(W172=regle!$E$11,regle!$E$23,
IF(W172=regle!$F$11,regle!$F$23,
IF(W172=regle!$G$11,regle!$G$23,
IF(W172=regle!$H$11,regle!$H$23,
IF(W172=regle!$I$11,regle!$I$23,
IF(W172=regle!$J$11,regle!$J$23,
IF(W172=regle!$K$11,regle!$K$23,0))))))))))))</f>
        <v>0</v>
      </c>
      <c r="AH172" s="17">
        <f>IF($A172,$J172*(IF(X172=regle!$B$11,regle!$B$23*IF(AQ172=-2,1+regle!$B$35,1),
IF(X172=regle!$C$11,regle!$C$23,
IF(X172=regle!$D$11,regle!$D$23,
IF(X172=regle!$E$11,regle!$E$23,
IF(X172=regle!$F$11,regle!$F$23,
IF(X172=regle!$G$11,regle!$G$23,
IF(X172=regle!$H$11,regle!$H$23,
IF(X172=regle!$I$11,regle!$I$23,
IF(X172=regle!$J$11,regle!$J$23,
IF(X172=regle!$K$11,regle!$K$23,0))))))))))))</f>
        <v>0</v>
      </c>
      <c r="AI172" s="17">
        <f>IF($A172,$J172*(IF(Y172=regle!$B$11,regle!$B$23*IF(AR172=-2,1+regle!$B$35,1),
IF(Y172=regle!$C$11,regle!$C$23,
IF(Y172=regle!$D$11,regle!$D$23,
IF(Y172=regle!$E$11,regle!$E$23,
IF(Y172=regle!$F$11,regle!$F$23,
IF(Y172=regle!$G$11,regle!$G$23,
IF(Y172=regle!$H$11,regle!$H$23,
IF(Y172=regle!$I$11,regle!$I$23,
IF(Y172=regle!$J$11,regle!$J$23,
IF(Y172=regle!$K$11,regle!$K$23,0))))))))))))</f>
        <v>0</v>
      </c>
      <c r="AJ172" s="17">
        <f>IF($A172,$J172*(IF(Z172=regle!$B$11,regle!$B$23*IF(AS172=-2,1+regle!$B$35,1),
IF(Z172=regle!$C$11,regle!$C$23,
IF(Z172=regle!$D$11,regle!$D$23,
IF(Z172=regle!$E$11,regle!$E$23,
IF(Z172=regle!$F$11,regle!$F$23,
IF(Z172=regle!$G$11,regle!$G$23,
IF(Z172=regle!$H$11,regle!$H$23,
IF(Z172=regle!$I$11,regle!$I$23,
IF(Z172=regle!$J$11,regle!$J$23,
IF(Z172=regle!$K$11,regle!$K$23,0))))))))))))</f>
        <v>615.048</v>
      </c>
      <c r="AK172" s="16">
        <f>IF(OR(Q172=regle!$J$11,Q172=regle!$K$11),-2,IF(Q172=regle!$B$11,0,IF(AK$1=$AK$1,IF($O172,-1,regle!$B$2-$M172),IF(AJ172=-1,-1,AJ172+1))))</f>
        <v>9</v>
      </c>
      <c r="AL172" s="16">
        <f>IF(OR(R172=regle!$J$11,R172=regle!$K$11),-2,IF(R172=regle!$B$11,0,IF(AL$1=$AK$1,IF($O172,-1,regle!$B$2-$M172),IF(AK172=-1,-1,AK172+1))))</f>
        <v>10</v>
      </c>
      <c r="AM172" s="16">
        <f>IF(OR(S172=regle!$J$11,S172=regle!$K$11),-2,IF(S172=regle!$B$11,0,IF(AM$1=$AK$1,IF($O172,-1,regle!$B$2-$M172),IF(AL172=-1,-1,AL172+1))))</f>
        <v>11</v>
      </c>
      <c r="AN172" s="16">
        <f>IF(OR(T172=regle!$J$11,T172=regle!$K$11),-2,IF(T172=regle!$B$11,0,IF(AN$1=$AK$1,IF($O172,-1,regle!$B$2-$M172),IF(AM172=-1,-1,AM172+1))))</f>
        <v>12</v>
      </c>
      <c r="AO172" s="16">
        <f>IF(OR(U172=regle!$J$11,U172=regle!$K$11),-2,IF(U172=regle!$B$11,0,IF(AO$1=$AK$1,IF($O172,-1,regle!$B$2-$M172),IF(AN172=-1,-1,AN172+1))))</f>
        <v>13</v>
      </c>
      <c r="AP172" s="16">
        <f>IF(OR(V172=regle!$J$11,V172=regle!$K$11),-2,IF(V172=regle!$B$11,0,IF(AP$1=$AK$1,IF($O172,-1,regle!$B$2-$M172),IF(AO172=-1,-1,AO172+1))))</f>
        <v>14</v>
      </c>
      <c r="AQ172" s="16">
        <f>IF(OR(W172=regle!$J$11,W172=regle!$K$11),-2,IF(W172=regle!$B$11,0,IF(AQ$1=$AK$1,IF($O172,-1,regle!$B$2-$M172),IF(AP172=-1,-1,AP172+1))))</f>
        <v>15</v>
      </c>
      <c r="AR172" s="16">
        <f>IF(OR(X172=regle!$J$11,X172=regle!$K$11),-2,IF(X172=regle!$B$11,0,IF(AR$1=$AK$1,IF($O172,-1,regle!$B$2-$M172),IF(AQ172=-1,-1,AQ172+1))))</f>
        <v>16</v>
      </c>
      <c r="AS172" s="16">
        <f>IF(OR(Y172=regle!$J$11,Y172=regle!$K$11),-2,IF(Y172=regle!$B$11,0,IF(AS$1=$AK$1,IF($O172,-1,regle!$B$2-$M172),IF(AR172=-1,-1,AR172+1))))</f>
        <v>17</v>
      </c>
      <c r="AT172" s="16">
        <f>IF(OR(Z172=regle!$J$11,Z172=regle!$K$11),-2,IF(Z172=regle!$B$11,0,IF(AT$1=$AK$1,IF($O172,-1,regle!$B$2-$M172),IF(AS172=-1,-1,AS172+1))))</f>
        <v>18</v>
      </c>
    </row>
    <row r="173" spans="1:46" x14ac:dyDescent="0.25">
      <c r="A173" t="b">
        <f>modif1!A173</f>
        <v>1</v>
      </c>
      <c r="B173">
        <f>ROW(modif1!B173)</f>
        <v>173</v>
      </c>
      <c r="C173" t="str">
        <f>modif1!C176</f>
        <v>202</v>
      </c>
      <c r="D173" t="str">
        <f>modif1!D173</f>
        <v>CABANAC-ET-VILLAGRAINS</v>
      </c>
      <c r="E173">
        <f>modif1!E173</f>
        <v>13</v>
      </c>
      <c r="F173" t="str">
        <f>modif1!F173</f>
        <v>LAGUNE LONGUE</v>
      </c>
      <c r="G173" t="str">
        <f>modif1!G173</f>
        <v>0D</v>
      </c>
      <c r="H173">
        <f>modif1!H173</f>
        <v>1511</v>
      </c>
      <c r="I173" t="str">
        <f>modif1!I173</f>
        <v>k</v>
      </c>
      <c r="J173" s="11">
        <f>modif1!J173</f>
        <v>0.7006</v>
      </c>
      <c r="K173" t="str">
        <f>modif1!K173</f>
        <v>PLA</v>
      </c>
      <c r="L173" t="str">
        <f>modif1!L173</f>
        <v>PM</v>
      </c>
      <c r="M173">
        <f>modif1!M173</f>
        <v>2015</v>
      </c>
      <c r="N173" t="str">
        <f>modif1!N173</f>
        <v>PLA-PM_2015</v>
      </c>
      <c r="O173" t="b">
        <f>modif1!O173</f>
        <v>0</v>
      </c>
      <c r="P173">
        <v>40</v>
      </c>
      <c r="T173" t="s">
        <v>1803</v>
      </c>
      <c r="Y173" s="22"/>
      <c r="Z173" t="s">
        <v>1804</v>
      </c>
      <c r="AA173" s="17">
        <f>IF($A173,$J173*(IF(Q173=regle!$B$11,regle!$B$23*IF(AJ173=-2,1+regle!$B$35,1),
IF(Q173=regle!$C$11,regle!$C$23,
IF(Q173=regle!$D$11,regle!$D$23,
IF(Q173=regle!$E$11,regle!$E$23,
IF(Q173=regle!$F$11,regle!$F$23,
IF(Q173=regle!$G$11,regle!$G$23,
IF(Q173=regle!$H$11,regle!$H$23,
IF(Q173=regle!$I$11,regle!$I$23,
IF(Q173=regle!$J$11,regle!$J$23,
IF(Q173=regle!$K$11,regle!$K$23,0))))))))))))</f>
        <v>0</v>
      </c>
      <c r="AB173" s="17">
        <f>IF($A173,$J173*(IF(R173=regle!$B$11,regle!$B$23*IF(AK173=-2,1+regle!$B$35,1),
IF(R173=regle!$C$11,regle!$C$23,
IF(R173=regle!$D$11,regle!$D$23,
IF(R173=regle!$E$11,regle!$E$23,
IF(R173=regle!$F$11,regle!$F$23,
IF(R173=regle!$G$11,regle!$G$23,
IF(R173=regle!$H$11,regle!$H$23,
IF(R173=regle!$I$11,regle!$I$23,
IF(R173=regle!$J$11,regle!$J$23,
IF(R173=regle!$K$11,regle!$K$23,0))))))))))))</f>
        <v>0</v>
      </c>
      <c r="AC173" s="17">
        <f>IF($A173,$J173*(IF(S173=regle!$B$11,regle!$B$23*IF(AL173=-2,1+regle!$B$35,1),
IF(S173=regle!$C$11,regle!$C$23,
IF(S173=regle!$D$11,regle!$D$23,
IF(S173=regle!$E$11,regle!$E$23,
IF(S173=regle!$F$11,regle!$F$23,
IF(S173=regle!$G$11,regle!$G$23,
IF(S173=regle!$H$11,regle!$H$23,
IF(S173=regle!$I$11,regle!$I$23,
IF(S173=regle!$J$11,regle!$J$23,
IF(S173=regle!$K$11,regle!$K$23,0))))))))))))</f>
        <v>0</v>
      </c>
      <c r="AD173" s="17">
        <f>IF($A173,$J173*(IF(T173=regle!$B$11,regle!$B$23*IF(AM173=-2,1+regle!$B$35,1),
IF(T173=regle!$C$11,regle!$C$23,
IF(T173=regle!$D$11,regle!$D$23,
IF(T173=regle!$E$11,regle!$E$23,
IF(T173=regle!$F$11,regle!$F$23,
IF(T173=regle!$G$11,regle!$G$23,
IF(T173=regle!$H$11,regle!$H$23,
IF(T173=regle!$I$11,regle!$I$23,
IF(T173=regle!$J$11,regle!$J$23,
IF(T173=regle!$K$11,regle!$K$23,0))))))))))))</f>
        <v>403.54559999999998</v>
      </c>
      <c r="AE173" s="17">
        <f>IF($A173,$J173*(IF(U173=regle!$B$11,regle!$B$23*IF(AN173=-2,1+regle!$B$35,1),
IF(U173=regle!$C$11,regle!$C$23,
IF(U173=regle!$D$11,regle!$D$23,
IF(U173=regle!$E$11,regle!$E$23,
IF(U173=regle!$F$11,regle!$F$23,
IF(U173=regle!$G$11,regle!$G$23,
IF(U173=regle!$H$11,regle!$H$23,
IF(U173=regle!$I$11,regle!$I$23,
IF(U173=regle!$J$11,regle!$J$23,
IF(U173=regle!$K$11,regle!$K$23,0))))))))))))</f>
        <v>0</v>
      </c>
      <c r="AF173" s="17">
        <f>IF($A173,$J173*(IF(V173=regle!$B$11,regle!$B$23*IF(AO173=-2,1+regle!$B$35,1),
IF(V173=regle!$C$11,regle!$C$23,
IF(V173=regle!$D$11,regle!$D$23,
IF(V173=regle!$E$11,regle!$E$23,
IF(V173=regle!$F$11,regle!$F$23,
IF(V173=regle!$G$11,regle!$G$23,
IF(V173=regle!$H$11,regle!$H$23,
IF(V173=regle!$I$11,regle!$I$23,
IF(V173=regle!$J$11,regle!$J$23,
IF(V173=regle!$K$11,regle!$K$23,0))))))))))))</f>
        <v>0</v>
      </c>
      <c r="AG173" s="17">
        <f>IF($A173,$J173*(IF(W173=regle!$B$11,regle!$B$23*IF(AP173=-2,1+regle!$B$35,1),
IF(W173=regle!$C$11,regle!$C$23,
IF(W173=regle!$D$11,regle!$D$23,
IF(W173=regle!$E$11,regle!$E$23,
IF(W173=regle!$F$11,regle!$F$23,
IF(W173=regle!$G$11,regle!$G$23,
IF(W173=regle!$H$11,regle!$H$23,
IF(W173=regle!$I$11,regle!$I$23,
IF(W173=regle!$J$11,regle!$J$23,
IF(W173=regle!$K$11,regle!$K$23,0))))))))))))</f>
        <v>0</v>
      </c>
      <c r="AH173" s="17">
        <f>IF($A173,$J173*(IF(X173=regle!$B$11,regle!$B$23*IF(AQ173=-2,1+regle!$B$35,1),
IF(X173=regle!$C$11,regle!$C$23,
IF(X173=regle!$D$11,regle!$D$23,
IF(X173=regle!$E$11,regle!$E$23,
IF(X173=regle!$F$11,regle!$F$23,
IF(X173=regle!$G$11,regle!$G$23,
IF(X173=regle!$H$11,regle!$H$23,
IF(X173=regle!$I$11,regle!$I$23,
IF(X173=regle!$J$11,regle!$J$23,
IF(X173=regle!$K$11,regle!$K$23,0))))))))))))</f>
        <v>0</v>
      </c>
      <c r="AI173" s="17">
        <f>IF($A173,$J173*(IF(Y173=regle!$B$11,regle!$B$23*IF(AR173=-2,1+regle!$B$35,1),
IF(Y173=regle!$C$11,regle!$C$23,
IF(Y173=regle!$D$11,regle!$D$23,
IF(Y173=regle!$E$11,regle!$E$23,
IF(Y173=regle!$F$11,regle!$F$23,
IF(Y173=regle!$G$11,regle!$G$23,
IF(Y173=regle!$H$11,regle!$H$23,
IF(Y173=regle!$I$11,regle!$I$23,
IF(Y173=regle!$J$11,regle!$J$23,
IF(Y173=regle!$K$11,regle!$K$23,0))))))))))))</f>
        <v>0</v>
      </c>
      <c r="AJ173" s="17">
        <f>IF($A173,$J173*(IF(Z173=regle!$B$11,regle!$B$23*IF(AS173=-2,1+regle!$B$35,1),
IF(Z173=regle!$C$11,regle!$C$23,
IF(Z173=regle!$D$11,regle!$D$23,
IF(Z173=regle!$E$11,regle!$E$23,
IF(Z173=regle!$F$11,regle!$F$23,
IF(Z173=regle!$G$11,regle!$G$23,
IF(Z173=regle!$H$11,regle!$H$23,
IF(Z173=regle!$I$11,regle!$I$23,
IF(Z173=regle!$J$11,regle!$J$23,
IF(Z173=regle!$K$11,regle!$K$23,0))))))))))))</f>
        <v>588.50400000000002</v>
      </c>
      <c r="AK173" s="16">
        <f>IF(OR(Q173=regle!$J$11,Q173=regle!$K$11),-2,IF(Q173=regle!$B$11,0,IF(AK$1=$AK$1,IF($O173,-1,regle!$B$2-$M173),IF(AJ173=-1,-1,AJ173+1))))</f>
        <v>9</v>
      </c>
      <c r="AL173" s="16">
        <f>IF(OR(R173=regle!$J$11,R173=regle!$K$11),-2,IF(R173=regle!$B$11,0,IF(AL$1=$AK$1,IF($O173,-1,regle!$B$2-$M173),IF(AK173=-1,-1,AK173+1))))</f>
        <v>10</v>
      </c>
      <c r="AM173" s="16">
        <f>IF(OR(S173=regle!$J$11,S173=regle!$K$11),-2,IF(S173=regle!$B$11,0,IF(AM$1=$AK$1,IF($O173,-1,regle!$B$2-$M173),IF(AL173=-1,-1,AL173+1))))</f>
        <v>11</v>
      </c>
      <c r="AN173" s="16">
        <f>IF(OR(T173=regle!$J$11,T173=regle!$K$11),-2,IF(T173=regle!$B$11,0,IF(AN$1=$AK$1,IF($O173,-1,regle!$B$2-$M173),IF(AM173=-1,-1,AM173+1))))</f>
        <v>12</v>
      </c>
      <c r="AO173" s="16">
        <f>IF(OR(U173=regle!$J$11,U173=regle!$K$11),-2,IF(U173=regle!$B$11,0,IF(AO$1=$AK$1,IF($O173,-1,regle!$B$2-$M173),IF(AN173=-1,-1,AN173+1))))</f>
        <v>13</v>
      </c>
      <c r="AP173" s="16">
        <f>IF(OR(V173=regle!$J$11,V173=regle!$K$11),-2,IF(V173=regle!$B$11,0,IF(AP$1=$AK$1,IF($O173,-1,regle!$B$2-$M173),IF(AO173=-1,-1,AO173+1))))</f>
        <v>14</v>
      </c>
      <c r="AQ173" s="16">
        <f>IF(OR(W173=regle!$J$11,W173=regle!$K$11),-2,IF(W173=regle!$B$11,0,IF(AQ$1=$AK$1,IF($O173,-1,regle!$B$2-$M173),IF(AP173=-1,-1,AP173+1))))</f>
        <v>15</v>
      </c>
      <c r="AR173" s="16">
        <f>IF(OR(X173=regle!$J$11,X173=regle!$K$11),-2,IF(X173=regle!$B$11,0,IF(AR$1=$AK$1,IF($O173,-1,regle!$B$2-$M173),IF(AQ173=-1,-1,AQ173+1))))</f>
        <v>16</v>
      </c>
      <c r="AS173" s="16">
        <f>IF(OR(Y173=regle!$J$11,Y173=regle!$K$11),-2,IF(Y173=regle!$B$11,0,IF(AS$1=$AK$1,IF($O173,-1,regle!$B$2-$M173),IF(AR173=-1,-1,AR173+1))))</f>
        <v>17</v>
      </c>
      <c r="AT173" s="16">
        <f>IF(OR(Z173=regle!$J$11,Z173=regle!$K$11),-2,IF(Z173=regle!$B$11,0,IF(AT$1=$AK$1,IF($O173,-1,regle!$B$2-$M173),IF(AS173=-1,-1,AS173+1))))</f>
        <v>18</v>
      </c>
    </row>
    <row r="174" spans="1:46" x14ac:dyDescent="0.25">
      <c r="A174" t="b">
        <f>modif1!A174</f>
        <v>1</v>
      </c>
      <c r="B174">
        <f>ROW(modif1!B174)</f>
        <v>174</v>
      </c>
      <c r="C174" t="str">
        <f>modif1!C177</f>
        <v>202</v>
      </c>
      <c r="D174" t="str">
        <f>modif1!D174</f>
        <v>HOSTENS</v>
      </c>
      <c r="E174">
        <f>modif1!E174</f>
        <v>11</v>
      </c>
      <c r="F174" t="str">
        <f>modif1!F174</f>
        <v>LES CAZALAS</v>
      </c>
      <c r="G174" t="str">
        <f>modif1!G174</f>
        <v>0B</v>
      </c>
      <c r="H174">
        <f>modif1!H174</f>
        <v>1198</v>
      </c>
      <c r="I174" t="str">
        <f>modif1!I174</f>
        <v/>
      </c>
      <c r="J174" s="11">
        <f>modif1!J174</f>
        <v>0.68799999999999994</v>
      </c>
      <c r="K174" t="str">
        <f>modif1!K174</f>
        <v>PLA</v>
      </c>
      <c r="L174" t="str">
        <f>modif1!L174</f>
        <v>PM</v>
      </c>
      <c r="M174">
        <f>modif1!M174</f>
        <v>2015</v>
      </c>
      <c r="N174" t="str">
        <f>modif1!N174</f>
        <v>PLA-PM_2015</v>
      </c>
      <c r="O174" t="b">
        <f>modif1!O174</f>
        <v>0</v>
      </c>
      <c r="P174">
        <v>40</v>
      </c>
      <c r="T174" t="s">
        <v>1803</v>
      </c>
      <c r="Y174" s="22"/>
      <c r="Z174" t="s">
        <v>1804</v>
      </c>
      <c r="AA174" s="17">
        <f>IF($A174,$J174*(IF(Q174=regle!$B$11,regle!$B$23*IF(AJ174=-2,1+regle!$B$35,1),
IF(Q174=regle!$C$11,regle!$C$23,
IF(Q174=regle!$D$11,regle!$D$23,
IF(Q174=regle!$E$11,regle!$E$23,
IF(Q174=regle!$F$11,regle!$F$23,
IF(Q174=regle!$G$11,regle!$G$23,
IF(Q174=regle!$H$11,regle!$H$23,
IF(Q174=regle!$I$11,regle!$I$23,
IF(Q174=regle!$J$11,regle!$J$23,
IF(Q174=regle!$K$11,regle!$K$23,0))))))))))))</f>
        <v>0</v>
      </c>
      <c r="AB174" s="17">
        <f>IF($A174,$J174*(IF(R174=regle!$B$11,regle!$B$23*IF(AK174=-2,1+regle!$B$35,1),
IF(R174=regle!$C$11,regle!$C$23,
IF(R174=regle!$D$11,regle!$D$23,
IF(R174=regle!$E$11,regle!$E$23,
IF(R174=regle!$F$11,regle!$F$23,
IF(R174=regle!$G$11,regle!$G$23,
IF(R174=regle!$H$11,regle!$H$23,
IF(R174=regle!$I$11,regle!$I$23,
IF(R174=regle!$J$11,regle!$J$23,
IF(R174=regle!$K$11,regle!$K$23,0))))))))))))</f>
        <v>0</v>
      </c>
      <c r="AC174" s="17">
        <f>IF($A174,$J174*(IF(S174=regle!$B$11,regle!$B$23*IF(AL174=-2,1+regle!$B$35,1),
IF(S174=regle!$C$11,regle!$C$23,
IF(S174=regle!$D$11,regle!$D$23,
IF(S174=regle!$E$11,regle!$E$23,
IF(S174=regle!$F$11,regle!$F$23,
IF(S174=regle!$G$11,regle!$G$23,
IF(S174=regle!$H$11,regle!$H$23,
IF(S174=regle!$I$11,regle!$I$23,
IF(S174=regle!$J$11,regle!$J$23,
IF(S174=regle!$K$11,regle!$K$23,0))))))))))))</f>
        <v>0</v>
      </c>
      <c r="AD174" s="17">
        <f>IF($A174,$J174*(IF(T174=regle!$B$11,regle!$B$23*IF(AM174=-2,1+regle!$B$35,1),
IF(T174=regle!$C$11,regle!$C$23,
IF(T174=regle!$D$11,regle!$D$23,
IF(T174=regle!$E$11,regle!$E$23,
IF(T174=regle!$F$11,regle!$F$23,
IF(T174=regle!$G$11,regle!$G$23,
IF(T174=regle!$H$11,regle!$H$23,
IF(T174=regle!$I$11,regle!$I$23,
IF(T174=regle!$J$11,regle!$J$23,
IF(T174=regle!$K$11,regle!$K$23,0))))))))))))</f>
        <v>396.28799999999995</v>
      </c>
      <c r="AE174" s="17">
        <f>IF($A174,$J174*(IF(U174=regle!$B$11,regle!$B$23*IF(AN174=-2,1+regle!$B$35,1),
IF(U174=regle!$C$11,regle!$C$23,
IF(U174=regle!$D$11,regle!$D$23,
IF(U174=regle!$E$11,regle!$E$23,
IF(U174=regle!$F$11,regle!$F$23,
IF(U174=regle!$G$11,regle!$G$23,
IF(U174=regle!$H$11,regle!$H$23,
IF(U174=regle!$I$11,regle!$I$23,
IF(U174=regle!$J$11,regle!$J$23,
IF(U174=regle!$K$11,regle!$K$23,0))))))))))))</f>
        <v>0</v>
      </c>
      <c r="AF174" s="17">
        <f>IF($A174,$J174*(IF(V174=regle!$B$11,regle!$B$23*IF(AO174=-2,1+regle!$B$35,1),
IF(V174=regle!$C$11,regle!$C$23,
IF(V174=regle!$D$11,regle!$D$23,
IF(V174=regle!$E$11,regle!$E$23,
IF(V174=regle!$F$11,regle!$F$23,
IF(V174=regle!$G$11,regle!$G$23,
IF(V174=regle!$H$11,regle!$H$23,
IF(V174=regle!$I$11,regle!$I$23,
IF(V174=regle!$J$11,regle!$J$23,
IF(V174=regle!$K$11,regle!$K$23,0))))))))))))</f>
        <v>0</v>
      </c>
      <c r="AG174" s="17">
        <f>IF($A174,$J174*(IF(W174=regle!$B$11,regle!$B$23*IF(AP174=-2,1+regle!$B$35,1),
IF(W174=regle!$C$11,regle!$C$23,
IF(W174=regle!$D$11,regle!$D$23,
IF(W174=regle!$E$11,regle!$E$23,
IF(W174=regle!$F$11,regle!$F$23,
IF(W174=regle!$G$11,regle!$G$23,
IF(W174=regle!$H$11,regle!$H$23,
IF(W174=regle!$I$11,regle!$I$23,
IF(W174=regle!$J$11,regle!$J$23,
IF(W174=regle!$K$11,regle!$K$23,0))))))))))))</f>
        <v>0</v>
      </c>
      <c r="AH174" s="17">
        <f>IF($A174,$J174*(IF(X174=regle!$B$11,regle!$B$23*IF(AQ174=-2,1+regle!$B$35,1),
IF(X174=regle!$C$11,regle!$C$23,
IF(X174=regle!$D$11,regle!$D$23,
IF(X174=regle!$E$11,regle!$E$23,
IF(X174=regle!$F$11,regle!$F$23,
IF(X174=regle!$G$11,regle!$G$23,
IF(X174=regle!$H$11,regle!$H$23,
IF(X174=regle!$I$11,regle!$I$23,
IF(X174=regle!$J$11,regle!$J$23,
IF(X174=regle!$K$11,regle!$K$23,0))))))))))))</f>
        <v>0</v>
      </c>
      <c r="AI174" s="17">
        <f>IF($A174,$J174*(IF(Y174=regle!$B$11,regle!$B$23*IF(AR174=-2,1+regle!$B$35,1),
IF(Y174=regle!$C$11,regle!$C$23,
IF(Y174=regle!$D$11,regle!$D$23,
IF(Y174=regle!$E$11,regle!$E$23,
IF(Y174=regle!$F$11,regle!$F$23,
IF(Y174=regle!$G$11,regle!$G$23,
IF(Y174=regle!$H$11,regle!$H$23,
IF(Y174=regle!$I$11,regle!$I$23,
IF(Y174=regle!$J$11,regle!$J$23,
IF(Y174=regle!$K$11,regle!$K$23,0))))))))))))</f>
        <v>0</v>
      </c>
      <c r="AJ174" s="17">
        <f>IF($A174,$J174*(IF(Z174=regle!$B$11,regle!$B$23*IF(AS174=-2,1+regle!$B$35,1),
IF(Z174=regle!$C$11,regle!$C$23,
IF(Z174=regle!$D$11,regle!$D$23,
IF(Z174=regle!$E$11,regle!$E$23,
IF(Z174=regle!$F$11,regle!$F$23,
IF(Z174=regle!$G$11,regle!$G$23,
IF(Z174=regle!$H$11,regle!$H$23,
IF(Z174=regle!$I$11,regle!$I$23,
IF(Z174=regle!$J$11,regle!$J$23,
IF(Z174=regle!$K$11,regle!$K$23,0))))))))))))</f>
        <v>577.91999999999996</v>
      </c>
      <c r="AK174" s="16">
        <f>IF(OR(Q174=regle!$J$11,Q174=regle!$K$11),-2,IF(Q174=regle!$B$11,0,IF(AK$1=$AK$1,IF($O174,-1,regle!$B$2-$M174),IF(AJ174=-1,-1,AJ174+1))))</f>
        <v>9</v>
      </c>
      <c r="AL174" s="16">
        <f>IF(OR(R174=regle!$J$11,R174=regle!$K$11),-2,IF(R174=regle!$B$11,0,IF(AL$1=$AK$1,IF($O174,-1,regle!$B$2-$M174),IF(AK174=-1,-1,AK174+1))))</f>
        <v>10</v>
      </c>
      <c r="AM174" s="16">
        <f>IF(OR(S174=regle!$J$11,S174=regle!$K$11),-2,IF(S174=regle!$B$11,0,IF(AM$1=$AK$1,IF($O174,-1,regle!$B$2-$M174),IF(AL174=-1,-1,AL174+1))))</f>
        <v>11</v>
      </c>
      <c r="AN174" s="16">
        <f>IF(OR(T174=regle!$J$11,T174=regle!$K$11),-2,IF(T174=regle!$B$11,0,IF(AN$1=$AK$1,IF($O174,-1,regle!$B$2-$M174),IF(AM174=-1,-1,AM174+1))))</f>
        <v>12</v>
      </c>
      <c r="AO174" s="16">
        <f>IF(OR(U174=regle!$J$11,U174=regle!$K$11),-2,IF(U174=regle!$B$11,0,IF(AO$1=$AK$1,IF($O174,-1,regle!$B$2-$M174),IF(AN174=-1,-1,AN174+1))))</f>
        <v>13</v>
      </c>
      <c r="AP174" s="16">
        <f>IF(OR(V174=regle!$J$11,V174=regle!$K$11),-2,IF(V174=regle!$B$11,0,IF(AP$1=$AK$1,IF($O174,-1,regle!$B$2-$M174),IF(AO174=-1,-1,AO174+1))))</f>
        <v>14</v>
      </c>
      <c r="AQ174" s="16">
        <f>IF(OR(W174=regle!$J$11,W174=regle!$K$11),-2,IF(W174=regle!$B$11,0,IF(AQ$1=$AK$1,IF($O174,-1,regle!$B$2-$M174),IF(AP174=-1,-1,AP174+1))))</f>
        <v>15</v>
      </c>
      <c r="AR174" s="16">
        <f>IF(OR(X174=regle!$J$11,X174=regle!$K$11),-2,IF(X174=regle!$B$11,0,IF(AR$1=$AK$1,IF($O174,-1,regle!$B$2-$M174),IF(AQ174=-1,-1,AQ174+1))))</f>
        <v>16</v>
      </c>
      <c r="AS174" s="16">
        <f>IF(OR(Y174=regle!$J$11,Y174=regle!$K$11),-2,IF(Y174=regle!$B$11,0,IF(AS$1=$AK$1,IF($O174,-1,regle!$B$2-$M174),IF(AR174=-1,-1,AR174+1))))</f>
        <v>17</v>
      </c>
      <c r="AT174" s="16">
        <f>IF(OR(Z174=regle!$J$11,Z174=regle!$K$11),-2,IF(Z174=regle!$B$11,0,IF(AT$1=$AK$1,IF($O174,-1,regle!$B$2-$M174),IF(AS174=-1,-1,AS174+1))))</f>
        <v>18</v>
      </c>
    </row>
    <row r="175" spans="1:46" x14ac:dyDescent="0.25">
      <c r="A175" t="b">
        <f>modif1!A175</f>
        <v>1</v>
      </c>
      <c r="B175">
        <f>ROW(modif1!B175)</f>
        <v>175</v>
      </c>
      <c r="C175" t="str">
        <f>modif1!C178</f>
        <v>202</v>
      </c>
      <c r="D175" t="str">
        <f>modif1!D175</f>
        <v>HOSTENS</v>
      </c>
      <c r="E175">
        <f>modif1!E175</f>
        <v>8</v>
      </c>
      <c r="F175" t="str">
        <f>modif1!F175</f>
        <v>LES BECS</v>
      </c>
      <c r="G175" t="str">
        <f>modif1!G175</f>
        <v>0B</v>
      </c>
      <c r="H175">
        <f>modif1!H175</f>
        <v>1220</v>
      </c>
      <c r="I175" t="str">
        <f>modif1!I175</f>
        <v>l</v>
      </c>
      <c r="J175" s="11">
        <f>modif1!J175</f>
        <v>0.68149999999999999</v>
      </c>
      <c r="K175" t="str">
        <f>modif1!K175</f>
        <v>PLA</v>
      </c>
      <c r="L175" t="str">
        <f>modif1!L175</f>
        <v>PM</v>
      </c>
      <c r="M175">
        <f>modif1!M175</f>
        <v>2015</v>
      </c>
      <c r="N175" t="str">
        <f>modif1!N175</f>
        <v>PLA-PM_2015</v>
      </c>
      <c r="O175" t="b">
        <f>modif1!O175</f>
        <v>0</v>
      </c>
      <c r="P175">
        <v>40</v>
      </c>
      <c r="T175" t="s">
        <v>1803</v>
      </c>
      <c r="Y175" s="22"/>
      <c r="Z175" t="s">
        <v>1804</v>
      </c>
      <c r="AA175" s="17">
        <f>IF($A175,$J175*(IF(Q175=regle!$B$11,regle!$B$23*IF(AJ175=-2,1+regle!$B$35,1),
IF(Q175=regle!$C$11,regle!$C$23,
IF(Q175=regle!$D$11,regle!$D$23,
IF(Q175=regle!$E$11,regle!$E$23,
IF(Q175=regle!$F$11,regle!$F$23,
IF(Q175=regle!$G$11,regle!$G$23,
IF(Q175=regle!$H$11,regle!$H$23,
IF(Q175=regle!$I$11,regle!$I$23,
IF(Q175=regle!$J$11,regle!$J$23,
IF(Q175=regle!$K$11,regle!$K$23,0))))))))))))</f>
        <v>0</v>
      </c>
      <c r="AB175" s="17">
        <f>IF($A175,$J175*(IF(R175=regle!$B$11,regle!$B$23*IF(AK175=-2,1+regle!$B$35,1),
IF(R175=regle!$C$11,regle!$C$23,
IF(R175=regle!$D$11,regle!$D$23,
IF(R175=regle!$E$11,regle!$E$23,
IF(R175=regle!$F$11,regle!$F$23,
IF(R175=regle!$G$11,regle!$G$23,
IF(R175=regle!$H$11,regle!$H$23,
IF(R175=regle!$I$11,regle!$I$23,
IF(R175=regle!$J$11,regle!$J$23,
IF(R175=regle!$K$11,regle!$K$23,0))))))))))))</f>
        <v>0</v>
      </c>
      <c r="AC175" s="17">
        <f>IF($A175,$J175*(IF(S175=regle!$B$11,regle!$B$23*IF(AL175=-2,1+regle!$B$35,1),
IF(S175=regle!$C$11,regle!$C$23,
IF(S175=regle!$D$11,regle!$D$23,
IF(S175=regle!$E$11,regle!$E$23,
IF(S175=regle!$F$11,regle!$F$23,
IF(S175=regle!$G$11,regle!$G$23,
IF(S175=regle!$H$11,regle!$H$23,
IF(S175=regle!$I$11,regle!$I$23,
IF(S175=regle!$J$11,regle!$J$23,
IF(S175=regle!$K$11,regle!$K$23,0))))))))))))</f>
        <v>0</v>
      </c>
      <c r="AD175" s="17">
        <f>IF($A175,$J175*(IF(T175=regle!$B$11,regle!$B$23*IF(AM175=-2,1+regle!$B$35,1),
IF(T175=regle!$C$11,regle!$C$23,
IF(T175=regle!$D$11,regle!$D$23,
IF(T175=regle!$E$11,regle!$E$23,
IF(T175=regle!$F$11,regle!$F$23,
IF(T175=regle!$G$11,regle!$G$23,
IF(T175=regle!$H$11,regle!$H$23,
IF(T175=regle!$I$11,regle!$I$23,
IF(T175=regle!$J$11,regle!$J$23,
IF(T175=regle!$K$11,regle!$K$23,0))))))))))))</f>
        <v>392.54399999999998</v>
      </c>
      <c r="AE175" s="17">
        <f>IF($A175,$J175*(IF(U175=regle!$B$11,regle!$B$23*IF(AN175=-2,1+regle!$B$35,1),
IF(U175=regle!$C$11,regle!$C$23,
IF(U175=regle!$D$11,regle!$D$23,
IF(U175=regle!$E$11,regle!$E$23,
IF(U175=regle!$F$11,regle!$F$23,
IF(U175=regle!$G$11,regle!$G$23,
IF(U175=regle!$H$11,regle!$H$23,
IF(U175=regle!$I$11,regle!$I$23,
IF(U175=regle!$J$11,regle!$J$23,
IF(U175=regle!$K$11,regle!$K$23,0))))))))))))</f>
        <v>0</v>
      </c>
      <c r="AF175" s="17">
        <f>IF($A175,$J175*(IF(V175=regle!$B$11,regle!$B$23*IF(AO175=-2,1+regle!$B$35,1),
IF(V175=regle!$C$11,regle!$C$23,
IF(V175=regle!$D$11,regle!$D$23,
IF(V175=regle!$E$11,regle!$E$23,
IF(V175=regle!$F$11,regle!$F$23,
IF(V175=regle!$G$11,regle!$G$23,
IF(V175=regle!$H$11,regle!$H$23,
IF(V175=regle!$I$11,regle!$I$23,
IF(V175=regle!$J$11,regle!$J$23,
IF(V175=regle!$K$11,regle!$K$23,0))))))))))))</f>
        <v>0</v>
      </c>
      <c r="AG175" s="17">
        <f>IF($A175,$J175*(IF(W175=regle!$B$11,regle!$B$23*IF(AP175=-2,1+regle!$B$35,1),
IF(W175=regle!$C$11,regle!$C$23,
IF(W175=regle!$D$11,regle!$D$23,
IF(W175=regle!$E$11,regle!$E$23,
IF(W175=regle!$F$11,regle!$F$23,
IF(W175=regle!$G$11,regle!$G$23,
IF(W175=regle!$H$11,regle!$H$23,
IF(W175=regle!$I$11,regle!$I$23,
IF(W175=regle!$J$11,regle!$J$23,
IF(W175=regle!$K$11,regle!$K$23,0))))))))))))</f>
        <v>0</v>
      </c>
      <c r="AH175" s="17">
        <f>IF($A175,$J175*(IF(X175=regle!$B$11,regle!$B$23*IF(AQ175=-2,1+regle!$B$35,1),
IF(X175=regle!$C$11,regle!$C$23,
IF(X175=regle!$D$11,regle!$D$23,
IF(X175=regle!$E$11,regle!$E$23,
IF(X175=regle!$F$11,regle!$F$23,
IF(X175=regle!$G$11,regle!$G$23,
IF(X175=regle!$H$11,regle!$H$23,
IF(X175=regle!$I$11,regle!$I$23,
IF(X175=regle!$J$11,regle!$J$23,
IF(X175=regle!$K$11,regle!$K$23,0))))))))))))</f>
        <v>0</v>
      </c>
      <c r="AI175" s="17">
        <f>IF($A175,$J175*(IF(Y175=regle!$B$11,regle!$B$23*IF(AR175=-2,1+regle!$B$35,1),
IF(Y175=regle!$C$11,regle!$C$23,
IF(Y175=regle!$D$11,regle!$D$23,
IF(Y175=regle!$E$11,regle!$E$23,
IF(Y175=regle!$F$11,regle!$F$23,
IF(Y175=regle!$G$11,regle!$G$23,
IF(Y175=regle!$H$11,regle!$H$23,
IF(Y175=regle!$I$11,regle!$I$23,
IF(Y175=regle!$J$11,regle!$J$23,
IF(Y175=regle!$K$11,regle!$K$23,0))))))))))))</f>
        <v>0</v>
      </c>
      <c r="AJ175" s="17">
        <f>IF($A175,$J175*(IF(Z175=regle!$B$11,regle!$B$23*IF(AS175=-2,1+regle!$B$35,1),
IF(Z175=regle!$C$11,regle!$C$23,
IF(Z175=regle!$D$11,regle!$D$23,
IF(Z175=regle!$E$11,regle!$E$23,
IF(Z175=regle!$F$11,regle!$F$23,
IF(Z175=regle!$G$11,regle!$G$23,
IF(Z175=regle!$H$11,regle!$H$23,
IF(Z175=regle!$I$11,regle!$I$23,
IF(Z175=regle!$J$11,regle!$J$23,
IF(Z175=regle!$K$11,regle!$K$23,0))))))))))))</f>
        <v>572.46</v>
      </c>
      <c r="AK175" s="16">
        <f>IF(OR(Q175=regle!$J$11,Q175=regle!$K$11),-2,IF(Q175=regle!$B$11,0,IF(AK$1=$AK$1,IF($O175,-1,regle!$B$2-$M175),IF(AJ175=-1,-1,AJ175+1))))</f>
        <v>9</v>
      </c>
      <c r="AL175" s="16">
        <f>IF(OR(R175=regle!$J$11,R175=regle!$K$11),-2,IF(R175=regle!$B$11,0,IF(AL$1=$AK$1,IF($O175,-1,regle!$B$2-$M175),IF(AK175=-1,-1,AK175+1))))</f>
        <v>10</v>
      </c>
      <c r="AM175" s="16">
        <f>IF(OR(S175=regle!$J$11,S175=regle!$K$11),-2,IF(S175=regle!$B$11,0,IF(AM$1=$AK$1,IF($O175,-1,regle!$B$2-$M175),IF(AL175=-1,-1,AL175+1))))</f>
        <v>11</v>
      </c>
      <c r="AN175" s="16">
        <f>IF(OR(T175=regle!$J$11,T175=regle!$K$11),-2,IF(T175=regle!$B$11,0,IF(AN$1=$AK$1,IF($O175,-1,regle!$B$2-$M175),IF(AM175=-1,-1,AM175+1))))</f>
        <v>12</v>
      </c>
      <c r="AO175" s="16">
        <f>IF(OR(U175=regle!$J$11,U175=regle!$K$11),-2,IF(U175=regle!$B$11,0,IF(AO$1=$AK$1,IF($O175,-1,regle!$B$2-$M175),IF(AN175=-1,-1,AN175+1))))</f>
        <v>13</v>
      </c>
      <c r="AP175" s="16">
        <f>IF(OR(V175=regle!$J$11,V175=regle!$K$11),-2,IF(V175=regle!$B$11,0,IF(AP$1=$AK$1,IF($O175,-1,regle!$B$2-$M175),IF(AO175=-1,-1,AO175+1))))</f>
        <v>14</v>
      </c>
      <c r="AQ175" s="16">
        <f>IF(OR(W175=regle!$J$11,W175=regle!$K$11),-2,IF(W175=regle!$B$11,0,IF(AQ$1=$AK$1,IF($O175,-1,regle!$B$2-$M175),IF(AP175=-1,-1,AP175+1))))</f>
        <v>15</v>
      </c>
      <c r="AR175" s="16">
        <f>IF(OR(X175=regle!$J$11,X175=regle!$K$11),-2,IF(X175=regle!$B$11,0,IF(AR$1=$AK$1,IF($O175,-1,regle!$B$2-$M175),IF(AQ175=-1,-1,AQ175+1))))</f>
        <v>16</v>
      </c>
      <c r="AS175" s="16">
        <f>IF(OR(Y175=regle!$J$11,Y175=regle!$K$11),-2,IF(Y175=regle!$B$11,0,IF(AS$1=$AK$1,IF($O175,-1,regle!$B$2-$M175),IF(AR175=-1,-1,AR175+1))))</f>
        <v>17</v>
      </c>
      <c r="AT175" s="16">
        <f>IF(OR(Z175=regle!$J$11,Z175=regle!$K$11),-2,IF(Z175=regle!$B$11,0,IF(AT$1=$AK$1,IF($O175,-1,regle!$B$2-$M175),IF(AS175=-1,-1,AS175+1))))</f>
        <v>18</v>
      </c>
    </row>
    <row r="176" spans="1:46" x14ac:dyDescent="0.25">
      <c r="A176" t="b">
        <f>modif1!A176</f>
        <v>1</v>
      </c>
      <c r="B176">
        <f>ROW(modif1!B176)</f>
        <v>176</v>
      </c>
      <c r="C176" t="str">
        <f>modif1!C179</f>
        <v>202</v>
      </c>
      <c r="D176" t="str">
        <f>modif1!D176</f>
        <v>HOSTENS</v>
      </c>
      <c r="E176">
        <f>modif1!E176</f>
        <v>8</v>
      </c>
      <c r="F176" t="str">
        <f>modif1!F176</f>
        <v>LES BECS</v>
      </c>
      <c r="G176" t="str">
        <f>modif1!G176</f>
        <v>0B</v>
      </c>
      <c r="H176">
        <f>modif1!H176</f>
        <v>1214</v>
      </c>
      <c r="I176" t="str">
        <f>modif1!I176</f>
        <v>j</v>
      </c>
      <c r="J176" s="11">
        <f>modif1!J176</f>
        <v>0.64390000000000003</v>
      </c>
      <c r="K176" t="str">
        <f>modif1!K176</f>
        <v>PLA</v>
      </c>
      <c r="L176" t="str">
        <f>modif1!L176</f>
        <v>PM</v>
      </c>
      <c r="M176">
        <f>modif1!M176</f>
        <v>2015</v>
      </c>
      <c r="N176" t="str">
        <f>modif1!N176</f>
        <v>PLA-PM_2015</v>
      </c>
      <c r="O176" t="b">
        <f>modif1!O176</f>
        <v>0</v>
      </c>
      <c r="P176">
        <v>40</v>
      </c>
      <c r="T176" t="s">
        <v>1803</v>
      </c>
      <c r="Y176" s="22"/>
      <c r="Z176" t="s">
        <v>1804</v>
      </c>
      <c r="AA176" s="17">
        <f>IF($A176,$J176*(IF(Q176=regle!$B$11,regle!$B$23*IF(AJ176=-2,1+regle!$B$35,1),
IF(Q176=regle!$C$11,regle!$C$23,
IF(Q176=regle!$D$11,regle!$D$23,
IF(Q176=regle!$E$11,regle!$E$23,
IF(Q176=regle!$F$11,regle!$F$23,
IF(Q176=regle!$G$11,regle!$G$23,
IF(Q176=regle!$H$11,regle!$H$23,
IF(Q176=regle!$I$11,regle!$I$23,
IF(Q176=regle!$J$11,regle!$J$23,
IF(Q176=regle!$K$11,regle!$K$23,0))))))))))))</f>
        <v>0</v>
      </c>
      <c r="AB176" s="17">
        <f>IF($A176,$J176*(IF(R176=regle!$B$11,regle!$B$23*IF(AK176=-2,1+regle!$B$35,1),
IF(R176=regle!$C$11,regle!$C$23,
IF(R176=regle!$D$11,regle!$D$23,
IF(R176=regle!$E$11,regle!$E$23,
IF(R176=regle!$F$11,regle!$F$23,
IF(R176=regle!$G$11,regle!$G$23,
IF(R176=regle!$H$11,regle!$H$23,
IF(R176=regle!$I$11,regle!$I$23,
IF(R176=regle!$J$11,regle!$J$23,
IF(R176=regle!$K$11,regle!$K$23,0))))))))))))</f>
        <v>0</v>
      </c>
      <c r="AC176" s="17">
        <f>IF($A176,$J176*(IF(S176=regle!$B$11,regle!$B$23*IF(AL176=-2,1+regle!$B$35,1),
IF(S176=regle!$C$11,regle!$C$23,
IF(S176=regle!$D$11,regle!$D$23,
IF(S176=regle!$E$11,regle!$E$23,
IF(S176=regle!$F$11,regle!$F$23,
IF(S176=regle!$G$11,regle!$G$23,
IF(S176=regle!$H$11,regle!$H$23,
IF(S176=regle!$I$11,regle!$I$23,
IF(S176=regle!$J$11,regle!$J$23,
IF(S176=regle!$K$11,regle!$K$23,0))))))))))))</f>
        <v>0</v>
      </c>
      <c r="AD176" s="17">
        <f>IF($A176,$J176*(IF(T176=regle!$B$11,regle!$B$23*IF(AM176=-2,1+regle!$B$35,1),
IF(T176=regle!$C$11,regle!$C$23,
IF(T176=regle!$D$11,regle!$D$23,
IF(T176=regle!$E$11,regle!$E$23,
IF(T176=regle!$F$11,regle!$F$23,
IF(T176=regle!$G$11,regle!$G$23,
IF(T176=regle!$H$11,regle!$H$23,
IF(T176=regle!$I$11,regle!$I$23,
IF(T176=regle!$J$11,regle!$J$23,
IF(T176=regle!$K$11,regle!$K$23,0))))))))))))</f>
        <v>370.88640000000004</v>
      </c>
      <c r="AE176" s="17">
        <f>IF($A176,$J176*(IF(U176=regle!$B$11,regle!$B$23*IF(AN176=-2,1+regle!$B$35,1),
IF(U176=regle!$C$11,regle!$C$23,
IF(U176=regle!$D$11,regle!$D$23,
IF(U176=regle!$E$11,regle!$E$23,
IF(U176=regle!$F$11,regle!$F$23,
IF(U176=regle!$G$11,regle!$G$23,
IF(U176=regle!$H$11,regle!$H$23,
IF(U176=regle!$I$11,regle!$I$23,
IF(U176=regle!$J$11,regle!$J$23,
IF(U176=regle!$K$11,regle!$K$23,0))))))))))))</f>
        <v>0</v>
      </c>
      <c r="AF176" s="17">
        <f>IF($A176,$J176*(IF(V176=regle!$B$11,regle!$B$23*IF(AO176=-2,1+regle!$B$35,1),
IF(V176=regle!$C$11,regle!$C$23,
IF(V176=regle!$D$11,regle!$D$23,
IF(V176=regle!$E$11,regle!$E$23,
IF(V176=regle!$F$11,regle!$F$23,
IF(V176=regle!$G$11,regle!$G$23,
IF(V176=regle!$H$11,regle!$H$23,
IF(V176=regle!$I$11,regle!$I$23,
IF(V176=regle!$J$11,regle!$J$23,
IF(V176=regle!$K$11,regle!$K$23,0))))))))))))</f>
        <v>0</v>
      </c>
      <c r="AG176" s="17">
        <f>IF($A176,$J176*(IF(W176=regle!$B$11,regle!$B$23*IF(AP176=-2,1+regle!$B$35,1),
IF(W176=regle!$C$11,regle!$C$23,
IF(W176=regle!$D$11,regle!$D$23,
IF(W176=regle!$E$11,regle!$E$23,
IF(W176=regle!$F$11,regle!$F$23,
IF(W176=regle!$G$11,regle!$G$23,
IF(W176=regle!$H$11,regle!$H$23,
IF(W176=regle!$I$11,regle!$I$23,
IF(W176=regle!$J$11,regle!$J$23,
IF(W176=regle!$K$11,regle!$K$23,0))))))))))))</f>
        <v>0</v>
      </c>
      <c r="AH176" s="17">
        <f>IF($A176,$J176*(IF(X176=regle!$B$11,regle!$B$23*IF(AQ176=-2,1+regle!$B$35,1),
IF(X176=regle!$C$11,regle!$C$23,
IF(X176=regle!$D$11,regle!$D$23,
IF(X176=regle!$E$11,regle!$E$23,
IF(X176=regle!$F$11,regle!$F$23,
IF(X176=regle!$G$11,regle!$G$23,
IF(X176=regle!$H$11,regle!$H$23,
IF(X176=regle!$I$11,regle!$I$23,
IF(X176=regle!$J$11,regle!$J$23,
IF(X176=regle!$K$11,regle!$K$23,0))))))))))))</f>
        <v>0</v>
      </c>
      <c r="AI176" s="17">
        <f>IF($A176,$J176*(IF(Y176=regle!$B$11,regle!$B$23*IF(AR176=-2,1+regle!$B$35,1),
IF(Y176=regle!$C$11,regle!$C$23,
IF(Y176=regle!$D$11,regle!$D$23,
IF(Y176=regle!$E$11,regle!$E$23,
IF(Y176=regle!$F$11,regle!$F$23,
IF(Y176=regle!$G$11,regle!$G$23,
IF(Y176=regle!$H$11,regle!$H$23,
IF(Y176=regle!$I$11,regle!$I$23,
IF(Y176=regle!$J$11,regle!$J$23,
IF(Y176=regle!$K$11,regle!$K$23,0))))))))))))</f>
        <v>0</v>
      </c>
      <c r="AJ176" s="17">
        <f>IF($A176,$J176*(IF(Z176=regle!$B$11,regle!$B$23*IF(AS176=-2,1+regle!$B$35,1),
IF(Z176=regle!$C$11,regle!$C$23,
IF(Z176=regle!$D$11,regle!$D$23,
IF(Z176=regle!$E$11,regle!$E$23,
IF(Z176=regle!$F$11,regle!$F$23,
IF(Z176=regle!$G$11,regle!$G$23,
IF(Z176=regle!$H$11,regle!$H$23,
IF(Z176=regle!$I$11,regle!$I$23,
IF(Z176=regle!$J$11,regle!$J$23,
IF(Z176=regle!$K$11,regle!$K$23,0))))))))))))</f>
        <v>540.87599999999998</v>
      </c>
      <c r="AK176" s="16">
        <f>IF(OR(Q176=regle!$J$11,Q176=regle!$K$11),-2,IF(Q176=regle!$B$11,0,IF(AK$1=$AK$1,IF($O176,-1,regle!$B$2-$M176),IF(AJ176=-1,-1,AJ176+1))))</f>
        <v>9</v>
      </c>
      <c r="AL176" s="16">
        <f>IF(OR(R176=regle!$J$11,R176=regle!$K$11),-2,IF(R176=regle!$B$11,0,IF(AL$1=$AK$1,IF($O176,-1,regle!$B$2-$M176),IF(AK176=-1,-1,AK176+1))))</f>
        <v>10</v>
      </c>
      <c r="AM176" s="16">
        <f>IF(OR(S176=regle!$J$11,S176=regle!$K$11),-2,IF(S176=regle!$B$11,0,IF(AM$1=$AK$1,IF($O176,-1,regle!$B$2-$M176),IF(AL176=-1,-1,AL176+1))))</f>
        <v>11</v>
      </c>
      <c r="AN176" s="16">
        <f>IF(OR(T176=regle!$J$11,T176=regle!$K$11),-2,IF(T176=regle!$B$11,0,IF(AN$1=$AK$1,IF($O176,-1,regle!$B$2-$M176),IF(AM176=-1,-1,AM176+1))))</f>
        <v>12</v>
      </c>
      <c r="AO176" s="16">
        <f>IF(OR(U176=regle!$J$11,U176=regle!$K$11),-2,IF(U176=regle!$B$11,0,IF(AO$1=$AK$1,IF($O176,-1,regle!$B$2-$M176),IF(AN176=-1,-1,AN176+1))))</f>
        <v>13</v>
      </c>
      <c r="AP176" s="16">
        <f>IF(OR(V176=regle!$J$11,V176=regle!$K$11),-2,IF(V176=regle!$B$11,0,IF(AP$1=$AK$1,IF($O176,-1,regle!$B$2-$M176),IF(AO176=-1,-1,AO176+1))))</f>
        <v>14</v>
      </c>
      <c r="AQ176" s="16">
        <f>IF(OR(W176=regle!$J$11,W176=regle!$K$11),-2,IF(W176=regle!$B$11,0,IF(AQ$1=$AK$1,IF($O176,-1,regle!$B$2-$M176),IF(AP176=-1,-1,AP176+1))))</f>
        <v>15</v>
      </c>
      <c r="AR176" s="16">
        <f>IF(OR(X176=regle!$J$11,X176=regle!$K$11),-2,IF(X176=regle!$B$11,0,IF(AR$1=$AK$1,IF($O176,-1,regle!$B$2-$M176),IF(AQ176=-1,-1,AQ176+1))))</f>
        <v>16</v>
      </c>
      <c r="AS176" s="16">
        <f>IF(OR(Y176=regle!$J$11,Y176=regle!$K$11),-2,IF(Y176=regle!$B$11,0,IF(AS$1=$AK$1,IF($O176,-1,regle!$B$2-$M176),IF(AR176=-1,-1,AR176+1))))</f>
        <v>17</v>
      </c>
      <c r="AT176" s="16">
        <f>IF(OR(Z176=regle!$J$11,Z176=regle!$K$11),-2,IF(Z176=regle!$B$11,0,IF(AT$1=$AK$1,IF($O176,-1,regle!$B$2-$M176),IF(AS176=-1,-1,AS176+1))))</f>
        <v>18</v>
      </c>
    </row>
    <row r="177" spans="1:46" x14ac:dyDescent="0.25">
      <c r="A177" t="b">
        <f>modif1!A177</f>
        <v>1</v>
      </c>
      <c r="B177">
        <f>ROW(modif1!B177)</f>
        <v>177</v>
      </c>
      <c r="C177" t="str">
        <f>modif1!C180</f>
        <v>202</v>
      </c>
      <c r="D177" t="str">
        <f>modif1!D177</f>
        <v>HOSTENS</v>
      </c>
      <c r="E177">
        <f>modif1!E177</f>
        <v>8</v>
      </c>
      <c r="F177" t="str">
        <f>modif1!F177</f>
        <v>LES BECS</v>
      </c>
      <c r="G177" t="str">
        <f>modif1!G177</f>
        <v>0B</v>
      </c>
      <c r="H177">
        <f>modif1!H177</f>
        <v>1220</v>
      </c>
      <c r="I177" t="str">
        <f>modif1!I177</f>
        <v>j</v>
      </c>
      <c r="J177" s="11">
        <f>modif1!J177</f>
        <v>0.64119999999999999</v>
      </c>
      <c r="K177" t="str">
        <f>modif1!K177</f>
        <v>PLA</v>
      </c>
      <c r="L177" t="str">
        <f>modif1!L177</f>
        <v>PM</v>
      </c>
      <c r="M177">
        <f>modif1!M177</f>
        <v>2015</v>
      </c>
      <c r="N177" t="str">
        <f>modif1!N177</f>
        <v>PLA-PM_2015</v>
      </c>
      <c r="O177" t="b">
        <f>modif1!O177</f>
        <v>0</v>
      </c>
      <c r="P177">
        <v>40</v>
      </c>
      <c r="T177" t="s">
        <v>1803</v>
      </c>
      <c r="Y177" s="22"/>
      <c r="Z177" t="s">
        <v>1804</v>
      </c>
      <c r="AA177" s="17">
        <f>IF($A177,$J177*(IF(Q177=regle!$B$11,regle!$B$23*IF(AJ177=-2,1+regle!$B$35,1),
IF(Q177=regle!$C$11,regle!$C$23,
IF(Q177=regle!$D$11,regle!$D$23,
IF(Q177=regle!$E$11,regle!$E$23,
IF(Q177=regle!$F$11,regle!$F$23,
IF(Q177=regle!$G$11,regle!$G$23,
IF(Q177=regle!$H$11,regle!$H$23,
IF(Q177=regle!$I$11,regle!$I$23,
IF(Q177=regle!$J$11,regle!$J$23,
IF(Q177=regle!$K$11,regle!$K$23,0))))))))))))</f>
        <v>0</v>
      </c>
      <c r="AB177" s="17">
        <f>IF($A177,$J177*(IF(R177=regle!$B$11,regle!$B$23*IF(AK177=-2,1+regle!$B$35,1),
IF(R177=regle!$C$11,regle!$C$23,
IF(R177=regle!$D$11,regle!$D$23,
IF(R177=regle!$E$11,regle!$E$23,
IF(R177=regle!$F$11,regle!$F$23,
IF(R177=regle!$G$11,regle!$G$23,
IF(R177=regle!$H$11,regle!$H$23,
IF(R177=regle!$I$11,regle!$I$23,
IF(R177=regle!$J$11,regle!$J$23,
IF(R177=regle!$K$11,regle!$K$23,0))))))))))))</f>
        <v>0</v>
      </c>
      <c r="AC177" s="17">
        <f>IF($A177,$J177*(IF(S177=regle!$B$11,regle!$B$23*IF(AL177=-2,1+regle!$B$35,1),
IF(S177=regle!$C$11,regle!$C$23,
IF(S177=regle!$D$11,regle!$D$23,
IF(S177=regle!$E$11,regle!$E$23,
IF(S177=regle!$F$11,regle!$F$23,
IF(S177=regle!$G$11,regle!$G$23,
IF(S177=regle!$H$11,regle!$H$23,
IF(S177=regle!$I$11,regle!$I$23,
IF(S177=regle!$J$11,regle!$J$23,
IF(S177=regle!$K$11,regle!$K$23,0))))))))))))</f>
        <v>0</v>
      </c>
      <c r="AD177" s="17">
        <f>IF($A177,$J177*(IF(T177=regle!$B$11,regle!$B$23*IF(AM177=-2,1+regle!$B$35,1),
IF(T177=regle!$C$11,regle!$C$23,
IF(T177=regle!$D$11,regle!$D$23,
IF(T177=regle!$E$11,regle!$E$23,
IF(T177=regle!$F$11,regle!$F$23,
IF(T177=regle!$G$11,regle!$G$23,
IF(T177=regle!$H$11,regle!$H$23,
IF(T177=regle!$I$11,regle!$I$23,
IF(T177=regle!$J$11,regle!$J$23,
IF(T177=regle!$K$11,regle!$K$23,0))))))))))))</f>
        <v>369.33119999999997</v>
      </c>
      <c r="AE177" s="17">
        <f>IF($A177,$J177*(IF(U177=regle!$B$11,regle!$B$23*IF(AN177=-2,1+regle!$B$35,1),
IF(U177=regle!$C$11,regle!$C$23,
IF(U177=regle!$D$11,regle!$D$23,
IF(U177=regle!$E$11,regle!$E$23,
IF(U177=regle!$F$11,regle!$F$23,
IF(U177=regle!$G$11,regle!$G$23,
IF(U177=regle!$H$11,regle!$H$23,
IF(U177=regle!$I$11,regle!$I$23,
IF(U177=regle!$J$11,regle!$J$23,
IF(U177=regle!$K$11,regle!$K$23,0))))))))))))</f>
        <v>0</v>
      </c>
      <c r="AF177" s="17">
        <f>IF($A177,$J177*(IF(V177=regle!$B$11,regle!$B$23*IF(AO177=-2,1+regle!$B$35,1),
IF(V177=regle!$C$11,regle!$C$23,
IF(V177=regle!$D$11,regle!$D$23,
IF(V177=regle!$E$11,regle!$E$23,
IF(V177=regle!$F$11,regle!$F$23,
IF(V177=regle!$G$11,regle!$G$23,
IF(V177=regle!$H$11,regle!$H$23,
IF(V177=regle!$I$11,regle!$I$23,
IF(V177=regle!$J$11,regle!$J$23,
IF(V177=regle!$K$11,regle!$K$23,0))))))))))))</f>
        <v>0</v>
      </c>
      <c r="AG177" s="17">
        <f>IF($A177,$J177*(IF(W177=regle!$B$11,regle!$B$23*IF(AP177=-2,1+regle!$B$35,1),
IF(W177=regle!$C$11,regle!$C$23,
IF(W177=regle!$D$11,regle!$D$23,
IF(W177=regle!$E$11,regle!$E$23,
IF(W177=regle!$F$11,regle!$F$23,
IF(W177=regle!$G$11,regle!$G$23,
IF(W177=regle!$H$11,regle!$H$23,
IF(W177=regle!$I$11,regle!$I$23,
IF(W177=regle!$J$11,regle!$J$23,
IF(W177=regle!$K$11,regle!$K$23,0))))))))))))</f>
        <v>0</v>
      </c>
      <c r="AH177" s="17">
        <f>IF($A177,$J177*(IF(X177=regle!$B$11,regle!$B$23*IF(AQ177=-2,1+regle!$B$35,1),
IF(X177=regle!$C$11,regle!$C$23,
IF(X177=regle!$D$11,regle!$D$23,
IF(X177=regle!$E$11,regle!$E$23,
IF(X177=regle!$F$11,regle!$F$23,
IF(X177=regle!$G$11,regle!$G$23,
IF(X177=regle!$H$11,regle!$H$23,
IF(X177=regle!$I$11,regle!$I$23,
IF(X177=regle!$J$11,regle!$J$23,
IF(X177=regle!$K$11,regle!$K$23,0))))))))))))</f>
        <v>0</v>
      </c>
      <c r="AI177" s="17">
        <f>IF($A177,$J177*(IF(Y177=regle!$B$11,regle!$B$23*IF(AR177=-2,1+regle!$B$35,1),
IF(Y177=regle!$C$11,regle!$C$23,
IF(Y177=regle!$D$11,regle!$D$23,
IF(Y177=regle!$E$11,regle!$E$23,
IF(Y177=regle!$F$11,regle!$F$23,
IF(Y177=regle!$G$11,regle!$G$23,
IF(Y177=regle!$H$11,regle!$H$23,
IF(Y177=regle!$I$11,regle!$I$23,
IF(Y177=regle!$J$11,regle!$J$23,
IF(Y177=regle!$K$11,regle!$K$23,0))))))))))))</f>
        <v>0</v>
      </c>
      <c r="AJ177" s="17">
        <f>IF($A177,$J177*(IF(Z177=regle!$B$11,regle!$B$23*IF(AS177=-2,1+regle!$B$35,1),
IF(Z177=regle!$C$11,regle!$C$23,
IF(Z177=regle!$D$11,regle!$D$23,
IF(Z177=regle!$E$11,regle!$E$23,
IF(Z177=regle!$F$11,regle!$F$23,
IF(Z177=regle!$G$11,regle!$G$23,
IF(Z177=regle!$H$11,regle!$H$23,
IF(Z177=regle!$I$11,regle!$I$23,
IF(Z177=regle!$J$11,regle!$J$23,
IF(Z177=regle!$K$11,regle!$K$23,0))))))))))))</f>
        <v>538.60799999999995</v>
      </c>
      <c r="AK177" s="16">
        <f>IF(OR(Q177=regle!$J$11,Q177=regle!$K$11),-2,IF(Q177=regle!$B$11,0,IF(AK$1=$AK$1,IF($O177,-1,regle!$B$2-$M177),IF(AJ177=-1,-1,AJ177+1))))</f>
        <v>9</v>
      </c>
      <c r="AL177" s="16">
        <f>IF(OR(R177=regle!$J$11,R177=regle!$K$11),-2,IF(R177=regle!$B$11,0,IF(AL$1=$AK$1,IF($O177,-1,regle!$B$2-$M177),IF(AK177=-1,-1,AK177+1))))</f>
        <v>10</v>
      </c>
      <c r="AM177" s="16">
        <f>IF(OR(S177=regle!$J$11,S177=regle!$K$11),-2,IF(S177=regle!$B$11,0,IF(AM$1=$AK$1,IF($O177,-1,regle!$B$2-$M177),IF(AL177=-1,-1,AL177+1))))</f>
        <v>11</v>
      </c>
      <c r="AN177" s="16">
        <f>IF(OR(T177=regle!$J$11,T177=regle!$K$11),-2,IF(T177=regle!$B$11,0,IF(AN$1=$AK$1,IF($O177,-1,regle!$B$2-$M177),IF(AM177=-1,-1,AM177+1))))</f>
        <v>12</v>
      </c>
      <c r="AO177" s="16">
        <f>IF(OR(U177=regle!$J$11,U177=regle!$K$11),-2,IF(U177=regle!$B$11,0,IF(AO$1=$AK$1,IF($O177,-1,regle!$B$2-$M177),IF(AN177=-1,-1,AN177+1))))</f>
        <v>13</v>
      </c>
      <c r="AP177" s="16">
        <f>IF(OR(V177=regle!$J$11,V177=regle!$K$11),-2,IF(V177=regle!$B$11,0,IF(AP$1=$AK$1,IF($O177,-1,regle!$B$2-$M177),IF(AO177=-1,-1,AO177+1))))</f>
        <v>14</v>
      </c>
      <c r="AQ177" s="16">
        <f>IF(OR(W177=regle!$J$11,W177=regle!$K$11),-2,IF(W177=regle!$B$11,0,IF(AQ$1=$AK$1,IF($O177,-1,regle!$B$2-$M177),IF(AP177=-1,-1,AP177+1))))</f>
        <v>15</v>
      </c>
      <c r="AR177" s="16">
        <f>IF(OR(X177=regle!$J$11,X177=regle!$K$11),-2,IF(X177=regle!$B$11,0,IF(AR$1=$AK$1,IF($O177,-1,regle!$B$2-$M177),IF(AQ177=-1,-1,AQ177+1))))</f>
        <v>16</v>
      </c>
      <c r="AS177" s="16">
        <f>IF(OR(Y177=regle!$J$11,Y177=regle!$K$11),-2,IF(Y177=regle!$B$11,0,IF(AS$1=$AK$1,IF($O177,-1,regle!$B$2-$M177),IF(AR177=-1,-1,AR177+1))))</f>
        <v>17</v>
      </c>
      <c r="AT177" s="16">
        <f>IF(OR(Z177=regle!$J$11,Z177=regle!$K$11),-2,IF(Z177=regle!$B$11,0,IF(AT$1=$AK$1,IF($O177,-1,regle!$B$2-$M177),IF(AS177=-1,-1,AS177+1))))</f>
        <v>18</v>
      </c>
    </row>
    <row r="178" spans="1:46" x14ac:dyDescent="0.25">
      <c r="A178" t="b">
        <f>modif1!A178</f>
        <v>1</v>
      </c>
      <c r="B178">
        <f>ROW(modif1!B178)</f>
        <v>178</v>
      </c>
      <c r="C178" t="str">
        <f>modif1!C181</f>
        <v>536</v>
      </c>
      <c r="D178" t="str">
        <f>modif1!D178</f>
        <v>HOSTENS</v>
      </c>
      <c r="E178">
        <f>modif1!E178</f>
        <v>11</v>
      </c>
      <c r="F178" t="str">
        <f>modif1!F178</f>
        <v>LES CAZALAS</v>
      </c>
      <c r="G178" t="str">
        <f>modif1!G178</f>
        <v>0B</v>
      </c>
      <c r="H178">
        <f>modif1!H178</f>
        <v>1573</v>
      </c>
      <c r="I178" t="str">
        <f>modif1!I178</f>
        <v/>
      </c>
      <c r="J178" s="11">
        <f>modif1!J178</f>
        <v>0.60750000000000004</v>
      </c>
      <c r="K178" t="str">
        <f>modif1!K178</f>
        <v>PLA</v>
      </c>
      <c r="L178" t="str">
        <f>modif1!L178</f>
        <v>PM</v>
      </c>
      <c r="M178">
        <f>modif1!M178</f>
        <v>2015</v>
      </c>
      <c r="N178" t="str">
        <f>modif1!N178</f>
        <v>PLA-PM_2015</v>
      </c>
      <c r="O178" t="b">
        <f>modif1!O178</f>
        <v>0</v>
      </c>
      <c r="P178">
        <v>40</v>
      </c>
      <c r="T178" t="s">
        <v>1803</v>
      </c>
      <c r="Y178" s="22"/>
      <c r="Z178" t="s">
        <v>1804</v>
      </c>
      <c r="AA178" s="17">
        <f>IF($A178,$J178*(IF(Q178=regle!$B$11,regle!$B$23*IF(AJ178=-2,1+regle!$B$35,1),
IF(Q178=regle!$C$11,regle!$C$23,
IF(Q178=regle!$D$11,regle!$D$23,
IF(Q178=regle!$E$11,regle!$E$23,
IF(Q178=regle!$F$11,regle!$F$23,
IF(Q178=regle!$G$11,regle!$G$23,
IF(Q178=regle!$H$11,regle!$H$23,
IF(Q178=regle!$I$11,regle!$I$23,
IF(Q178=regle!$J$11,regle!$J$23,
IF(Q178=regle!$K$11,regle!$K$23,0))))))))))))</f>
        <v>0</v>
      </c>
      <c r="AB178" s="17">
        <f>IF($A178,$J178*(IF(R178=regle!$B$11,regle!$B$23*IF(AK178=-2,1+regle!$B$35,1),
IF(R178=regle!$C$11,regle!$C$23,
IF(R178=regle!$D$11,regle!$D$23,
IF(R178=regle!$E$11,regle!$E$23,
IF(R178=regle!$F$11,regle!$F$23,
IF(R178=regle!$G$11,regle!$G$23,
IF(R178=regle!$H$11,regle!$H$23,
IF(R178=regle!$I$11,regle!$I$23,
IF(R178=regle!$J$11,regle!$J$23,
IF(R178=regle!$K$11,regle!$K$23,0))))))))))))</f>
        <v>0</v>
      </c>
      <c r="AC178" s="17">
        <f>IF($A178,$J178*(IF(S178=regle!$B$11,regle!$B$23*IF(AL178=-2,1+regle!$B$35,1),
IF(S178=regle!$C$11,regle!$C$23,
IF(S178=regle!$D$11,regle!$D$23,
IF(S178=regle!$E$11,regle!$E$23,
IF(S178=regle!$F$11,regle!$F$23,
IF(S178=regle!$G$11,regle!$G$23,
IF(S178=regle!$H$11,regle!$H$23,
IF(S178=regle!$I$11,regle!$I$23,
IF(S178=regle!$J$11,regle!$J$23,
IF(S178=regle!$K$11,regle!$K$23,0))))))))))))</f>
        <v>0</v>
      </c>
      <c r="AD178" s="17">
        <f>IF($A178,$J178*(IF(T178=regle!$B$11,regle!$B$23*IF(AM178=-2,1+regle!$B$35,1),
IF(T178=regle!$C$11,regle!$C$23,
IF(T178=regle!$D$11,regle!$D$23,
IF(T178=regle!$E$11,regle!$E$23,
IF(T178=regle!$F$11,regle!$F$23,
IF(T178=regle!$G$11,regle!$G$23,
IF(T178=regle!$H$11,regle!$H$23,
IF(T178=regle!$I$11,regle!$I$23,
IF(T178=regle!$J$11,regle!$J$23,
IF(T178=regle!$K$11,regle!$K$23,0))))))))))))</f>
        <v>349.92</v>
      </c>
      <c r="AE178" s="17">
        <f>IF($A178,$J178*(IF(U178=regle!$B$11,regle!$B$23*IF(AN178=-2,1+regle!$B$35,1),
IF(U178=regle!$C$11,regle!$C$23,
IF(U178=regle!$D$11,regle!$D$23,
IF(U178=regle!$E$11,regle!$E$23,
IF(U178=regle!$F$11,regle!$F$23,
IF(U178=regle!$G$11,regle!$G$23,
IF(U178=regle!$H$11,regle!$H$23,
IF(U178=regle!$I$11,regle!$I$23,
IF(U178=regle!$J$11,regle!$J$23,
IF(U178=regle!$K$11,regle!$K$23,0))))))))))))</f>
        <v>0</v>
      </c>
      <c r="AF178" s="17">
        <f>IF($A178,$J178*(IF(V178=regle!$B$11,regle!$B$23*IF(AO178=-2,1+regle!$B$35,1),
IF(V178=regle!$C$11,regle!$C$23,
IF(V178=regle!$D$11,regle!$D$23,
IF(V178=regle!$E$11,regle!$E$23,
IF(V178=regle!$F$11,regle!$F$23,
IF(V178=regle!$G$11,regle!$G$23,
IF(V178=regle!$H$11,regle!$H$23,
IF(V178=regle!$I$11,regle!$I$23,
IF(V178=regle!$J$11,regle!$J$23,
IF(V178=regle!$K$11,regle!$K$23,0))))))))))))</f>
        <v>0</v>
      </c>
      <c r="AG178" s="17">
        <f>IF($A178,$J178*(IF(W178=regle!$B$11,regle!$B$23*IF(AP178=-2,1+regle!$B$35,1),
IF(W178=regle!$C$11,regle!$C$23,
IF(W178=regle!$D$11,regle!$D$23,
IF(W178=regle!$E$11,regle!$E$23,
IF(W178=regle!$F$11,regle!$F$23,
IF(W178=regle!$G$11,regle!$G$23,
IF(W178=regle!$H$11,regle!$H$23,
IF(W178=regle!$I$11,regle!$I$23,
IF(W178=regle!$J$11,regle!$J$23,
IF(W178=regle!$K$11,regle!$K$23,0))))))))))))</f>
        <v>0</v>
      </c>
      <c r="AH178" s="17">
        <f>IF($A178,$J178*(IF(X178=regle!$B$11,regle!$B$23*IF(AQ178=-2,1+regle!$B$35,1),
IF(X178=regle!$C$11,regle!$C$23,
IF(X178=regle!$D$11,regle!$D$23,
IF(X178=regle!$E$11,regle!$E$23,
IF(X178=regle!$F$11,regle!$F$23,
IF(X178=regle!$G$11,regle!$G$23,
IF(X178=regle!$H$11,regle!$H$23,
IF(X178=regle!$I$11,regle!$I$23,
IF(X178=regle!$J$11,regle!$J$23,
IF(X178=regle!$K$11,regle!$K$23,0))))))))))))</f>
        <v>0</v>
      </c>
      <c r="AI178" s="17">
        <f>IF($A178,$J178*(IF(Y178=regle!$B$11,regle!$B$23*IF(AR178=-2,1+regle!$B$35,1),
IF(Y178=regle!$C$11,regle!$C$23,
IF(Y178=regle!$D$11,regle!$D$23,
IF(Y178=regle!$E$11,regle!$E$23,
IF(Y178=regle!$F$11,regle!$F$23,
IF(Y178=regle!$G$11,regle!$G$23,
IF(Y178=regle!$H$11,regle!$H$23,
IF(Y178=regle!$I$11,regle!$I$23,
IF(Y178=regle!$J$11,regle!$J$23,
IF(Y178=regle!$K$11,regle!$K$23,0))))))))))))</f>
        <v>0</v>
      </c>
      <c r="AJ178" s="17">
        <f>IF($A178,$J178*(IF(Z178=regle!$B$11,regle!$B$23*IF(AS178=-2,1+regle!$B$35,1),
IF(Z178=regle!$C$11,regle!$C$23,
IF(Z178=regle!$D$11,regle!$D$23,
IF(Z178=regle!$E$11,regle!$E$23,
IF(Z178=regle!$F$11,regle!$F$23,
IF(Z178=regle!$G$11,regle!$G$23,
IF(Z178=regle!$H$11,regle!$H$23,
IF(Z178=regle!$I$11,regle!$I$23,
IF(Z178=regle!$J$11,regle!$J$23,
IF(Z178=regle!$K$11,regle!$K$23,0))))))))))))</f>
        <v>510.3</v>
      </c>
      <c r="AK178" s="16">
        <f>IF(OR(Q178=regle!$J$11,Q178=regle!$K$11),-2,IF(Q178=regle!$B$11,0,IF(AK$1=$AK$1,IF($O178,-1,regle!$B$2-$M178),IF(AJ178=-1,-1,AJ178+1))))</f>
        <v>9</v>
      </c>
      <c r="AL178" s="16">
        <f>IF(OR(R178=regle!$J$11,R178=regle!$K$11),-2,IF(R178=regle!$B$11,0,IF(AL$1=$AK$1,IF($O178,-1,regle!$B$2-$M178),IF(AK178=-1,-1,AK178+1))))</f>
        <v>10</v>
      </c>
      <c r="AM178" s="16">
        <f>IF(OR(S178=regle!$J$11,S178=regle!$K$11),-2,IF(S178=regle!$B$11,0,IF(AM$1=$AK$1,IF($O178,-1,regle!$B$2-$M178),IF(AL178=-1,-1,AL178+1))))</f>
        <v>11</v>
      </c>
      <c r="AN178" s="16">
        <f>IF(OR(T178=regle!$J$11,T178=regle!$K$11),-2,IF(T178=regle!$B$11,0,IF(AN$1=$AK$1,IF($O178,-1,regle!$B$2-$M178),IF(AM178=-1,-1,AM178+1))))</f>
        <v>12</v>
      </c>
      <c r="AO178" s="16">
        <f>IF(OR(U178=regle!$J$11,U178=regle!$K$11),-2,IF(U178=regle!$B$11,0,IF(AO$1=$AK$1,IF($O178,-1,regle!$B$2-$M178),IF(AN178=-1,-1,AN178+1))))</f>
        <v>13</v>
      </c>
      <c r="AP178" s="16">
        <f>IF(OR(V178=regle!$J$11,V178=regle!$K$11),-2,IF(V178=regle!$B$11,0,IF(AP$1=$AK$1,IF($O178,-1,regle!$B$2-$M178),IF(AO178=-1,-1,AO178+1))))</f>
        <v>14</v>
      </c>
      <c r="AQ178" s="16">
        <f>IF(OR(W178=regle!$J$11,W178=regle!$K$11),-2,IF(W178=regle!$B$11,0,IF(AQ$1=$AK$1,IF($O178,-1,regle!$B$2-$M178),IF(AP178=-1,-1,AP178+1))))</f>
        <v>15</v>
      </c>
      <c r="AR178" s="16">
        <f>IF(OR(X178=regle!$J$11,X178=regle!$K$11),-2,IF(X178=regle!$B$11,0,IF(AR$1=$AK$1,IF($O178,-1,regle!$B$2-$M178),IF(AQ178=-1,-1,AQ178+1))))</f>
        <v>16</v>
      </c>
      <c r="AS178" s="16">
        <f>IF(OR(Y178=regle!$J$11,Y178=regle!$K$11),-2,IF(Y178=regle!$B$11,0,IF(AS$1=$AK$1,IF($O178,-1,regle!$B$2-$M178),IF(AR178=-1,-1,AR178+1))))</f>
        <v>17</v>
      </c>
      <c r="AT178" s="16">
        <f>IF(OR(Z178=regle!$J$11,Z178=regle!$K$11),-2,IF(Z178=regle!$B$11,0,IF(AT$1=$AK$1,IF($O178,-1,regle!$B$2-$M178),IF(AS178=-1,-1,AS178+1))))</f>
        <v>18</v>
      </c>
    </row>
    <row r="179" spans="1:46" x14ac:dyDescent="0.25">
      <c r="A179" t="b">
        <f>modif1!A179</f>
        <v>1</v>
      </c>
      <c r="B179">
        <f>ROW(modif1!B179)</f>
        <v>179</v>
      </c>
      <c r="C179" t="str">
        <f>modif1!C182</f>
        <v>202</v>
      </c>
      <c r="D179" t="str">
        <f>modif1!D179</f>
        <v>HOSTENS</v>
      </c>
      <c r="E179">
        <f>modif1!E179</f>
        <v>11</v>
      </c>
      <c r="F179" t="str">
        <f>modif1!F179</f>
        <v>LES CAZALAS</v>
      </c>
      <c r="G179" t="str">
        <f>modif1!G179</f>
        <v>0B</v>
      </c>
      <c r="H179">
        <f>modif1!H179</f>
        <v>1200</v>
      </c>
      <c r="I179" t="str">
        <f>modif1!I179</f>
        <v>j</v>
      </c>
      <c r="J179" s="11">
        <f>modif1!J179</f>
        <v>0.60719999999999996</v>
      </c>
      <c r="K179" t="str">
        <f>modif1!K179</f>
        <v>PLA</v>
      </c>
      <c r="L179" t="str">
        <f>modif1!L179</f>
        <v>PM</v>
      </c>
      <c r="M179">
        <f>modif1!M179</f>
        <v>2015</v>
      </c>
      <c r="N179" t="str">
        <f>modif1!N179</f>
        <v>PLA-PM_2015</v>
      </c>
      <c r="O179" t="b">
        <f>modif1!O179</f>
        <v>0</v>
      </c>
      <c r="P179">
        <v>40</v>
      </c>
      <c r="T179" t="s">
        <v>1803</v>
      </c>
      <c r="Y179" s="22"/>
      <c r="Z179" t="s">
        <v>1804</v>
      </c>
      <c r="AA179" s="17">
        <f>IF($A179,$J179*(IF(Q179=regle!$B$11,regle!$B$23*IF(AJ179=-2,1+regle!$B$35,1),
IF(Q179=regle!$C$11,regle!$C$23,
IF(Q179=regle!$D$11,regle!$D$23,
IF(Q179=regle!$E$11,regle!$E$23,
IF(Q179=regle!$F$11,regle!$F$23,
IF(Q179=regle!$G$11,regle!$G$23,
IF(Q179=regle!$H$11,regle!$H$23,
IF(Q179=regle!$I$11,regle!$I$23,
IF(Q179=regle!$J$11,regle!$J$23,
IF(Q179=regle!$K$11,regle!$K$23,0))))))))))))</f>
        <v>0</v>
      </c>
      <c r="AB179" s="17">
        <f>IF($A179,$J179*(IF(R179=regle!$B$11,regle!$B$23*IF(AK179=-2,1+regle!$B$35,1),
IF(R179=regle!$C$11,regle!$C$23,
IF(R179=regle!$D$11,regle!$D$23,
IF(R179=regle!$E$11,regle!$E$23,
IF(R179=regle!$F$11,regle!$F$23,
IF(R179=regle!$G$11,regle!$G$23,
IF(R179=regle!$H$11,regle!$H$23,
IF(R179=regle!$I$11,regle!$I$23,
IF(R179=regle!$J$11,regle!$J$23,
IF(R179=regle!$K$11,regle!$K$23,0))))))))))))</f>
        <v>0</v>
      </c>
      <c r="AC179" s="17">
        <f>IF($A179,$J179*(IF(S179=regle!$B$11,regle!$B$23*IF(AL179=-2,1+regle!$B$35,1),
IF(S179=regle!$C$11,regle!$C$23,
IF(S179=regle!$D$11,regle!$D$23,
IF(S179=regle!$E$11,regle!$E$23,
IF(S179=regle!$F$11,regle!$F$23,
IF(S179=regle!$G$11,regle!$G$23,
IF(S179=regle!$H$11,regle!$H$23,
IF(S179=regle!$I$11,regle!$I$23,
IF(S179=regle!$J$11,regle!$J$23,
IF(S179=regle!$K$11,regle!$K$23,0))))))))))))</f>
        <v>0</v>
      </c>
      <c r="AD179" s="17">
        <f>IF($A179,$J179*(IF(T179=regle!$B$11,regle!$B$23*IF(AM179=-2,1+regle!$B$35,1),
IF(T179=regle!$C$11,regle!$C$23,
IF(T179=regle!$D$11,regle!$D$23,
IF(T179=regle!$E$11,regle!$E$23,
IF(T179=regle!$F$11,regle!$F$23,
IF(T179=regle!$G$11,regle!$G$23,
IF(T179=regle!$H$11,regle!$H$23,
IF(T179=regle!$I$11,regle!$I$23,
IF(T179=regle!$J$11,regle!$J$23,
IF(T179=regle!$K$11,regle!$K$23,0))))))))))))</f>
        <v>349.74719999999996</v>
      </c>
      <c r="AE179" s="17">
        <f>IF($A179,$J179*(IF(U179=regle!$B$11,regle!$B$23*IF(AN179=-2,1+regle!$B$35,1),
IF(U179=regle!$C$11,regle!$C$23,
IF(U179=regle!$D$11,regle!$D$23,
IF(U179=regle!$E$11,regle!$E$23,
IF(U179=regle!$F$11,regle!$F$23,
IF(U179=regle!$G$11,regle!$G$23,
IF(U179=regle!$H$11,regle!$H$23,
IF(U179=regle!$I$11,regle!$I$23,
IF(U179=regle!$J$11,regle!$J$23,
IF(U179=regle!$K$11,regle!$K$23,0))))))))))))</f>
        <v>0</v>
      </c>
      <c r="AF179" s="17">
        <f>IF($A179,$J179*(IF(V179=regle!$B$11,regle!$B$23*IF(AO179=-2,1+regle!$B$35,1),
IF(V179=regle!$C$11,regle!$C$23,
IF(V179=regle!$D$11,regle!$D$23,
IF(V179=regle!$E$11,regle!$E$23,
IF(V179=regle!$F$11,regle!$F$23,
IF(V179=regle!$G$11,regle!$G$23,
IF(V179=regle!$H$11,regle!$H$23,
IF(V179=regle!$I$11,regle!$I$23,
IF(V179=regle!$J$11,regle!$J$23,
IF(V179=regle!$K$11,regle!$K$23,0))))))))))))</f>
        <v>0</v>
      </c>
      <c r="AG179" s="17">
        <f>IF($A179,$J179*(IF(W179=regle!$B$11,regle!$B$23*IF(AP179=-2,1+regle!$B$35,1),
IF(W179=regle!$C$11,regle!$C$23,
IF(W179=regle!$D$11,regle!$D$23,
IF(W179=regle!$E$11,regle!$E$23,
IF(W179=regle!$F$11,regle!$F$23,
IF(W179=regle!$G$11,regle!$G$23,
IF(W179=regle!$H$11,regle!$H$23,
IF(W179=regle!$I$11,regle!$I$23,
IF(W179=regle!$J$11,regle!$J$23,
IF(W179=regle!$K$11,regle!$K$23,0))))))))))))</f>
        <v>0</v>
      </c>
      <c r="AH179" s="17">
        <f>IF($A179,$J179*(IF(X179=regle!$B$11,regle!$B$23*IF(AQ179=-2,1+regle!$B$35,1),
IF(X179=regle!$C$11,regle!$C$23,
IF(X179=regle!$D$11,regle!$D$23,
IF(X179=regle!$E$11,regle!$E$23,
IF(X179=regle!$F$11,regle!$F$23,
IF(X179=regle!$G$11,regle!$G$23,
IF(X179=regle!$H$11,regle!$H$23,
IF(X179=regle!$I$11,regle!$I$23,
IF(X179=regle!$J$11,regle!$J$23,
IF(X179=regle!$K$11,regle!$K$23,0))))))))))))</f>
        <v>0</v>
      </c>
      <c r="AI179" s="17">
        <f>IF($A179,$J179*(IF(Y179=regle!$B$11,regle!$B$23*IF(AR179=-2,1+regle!$B$35,1),
IF(Y179=regle!$C$11,regle!$C$23,
IF(Y179=regle!$D$11,regle!$D$23,
IF(Y179=regle!$E$11,regle!$E$23,
IF(Y179=regle!$F$11,regle!$F$23,
IF(Y179=regle!$G$11,regle!$G$23,
IF(Y179=regle!$H$11,regle!$H$23,
IF(Y179=regle!$I$11,regle!$I$23,
IF(Y179=regle!$J$11,regle!$J$23,
IF(Y179=regle!$K$11,regle!$K$23,0))))))))))))</f>
        <v>0</v>
      </c>
      <c r="AJ179" s="17">
        <f>IF($A179,$J179*(IF(Z179=regle!$B$11,regle!$B$23*IF(AS179=-2,1+regle!$B$35,1),
IF(Z179=regle!$C$11,regle!$C$23,
IF(Z179=regle!$D$11,regle!$D$23,
IF(Z179=regle!$E$11,regle!$E$23,
IF(Z179=regle!$F$11,regle!$F$23,
IF(Z179=regle!$G$11,regle!$G$23,
IF(Z179=regle!$H$11,regle!$H$23,
IF(Z179=regle!$I$11,regle!$I$23,
IF(Z179=regle!$J$11,regle!$J$23,
IF(Z179=regle!$K$11,regle!$K$23,0))))))))))))</f>
        <v>510.04799999999994</v>
      </c>
      <c r="AK179" s="16">
        <f>IF(OR(Q179=regle!$J$11,Q179=regle!$K$11),-2,IF(Q179=regle!$B$11,0,IF(AK$1=$AK$1,IF($O179,-1,regle!$B$2-$M179),IF(AJ179=-1,-1,AJ179+1))))</f>
        <v>9</v>
      </c>
      <c r="AL179" s="16">
        <f>IF(OR(R179=regle!$J$11,R179=regle!$K$11),-2,IF(R179=regle!$B$11,0,IF(AL$1=$AK$1,IF($O179,-1,regle!$B$2-$M179),IF(AK179=-1,-1,AK179+1))))</f>
        <v>10</v>
      </c>
      <c r="AM179" s="16">
        <f>IF(OR(S179=regle!$J$11,S179=regle!$K$11),-2,IF(S179=regle!$B$11,0,IF(AM$1=$AK$1,IF($O179,-1,regle!$B$2-$M179),IF(AL179=-1,-1,AL179+1))))</f>
        <v>11</v>
      </c>
      <c r="AN179" s="16">
        <f>IF(OR(T179=regle!$J$11,T179=regle!$K$11),-2,IF(T179=regle!$B$11,0,IF(AN$1=$AK$1,IF($O179,-1,regle!$B$2-$M179),IF(AM179=-1,-1,AM179+1))))</f>
        <v>12</v>
      </c>
      <c r="AO179" s="16">
        <f>IF(OR(U179=regle!$J$11,U179=regle!$K$11),-2,IF(U179=regle!$B$11,0,IF(AO$1=$AK$1,IF($O179,-1,regle!$B$2-$M179),IF(AN179=-1,-1,AN179+1))))</f>
        <v>13</v>
      </c>
      <c r="AP179" s="16">
        <f>IF(OR(V179=regle!$J$11,V179=regle!$K$11),-2,IF(V179=regle!$B$11,0,IF(AP$1=$AK$1,IF($O179,-1,regle!$B$2-$M179),IF(AO179=-1,-1,AO179+1))))</f>
        <v>14</v>
      </c>
      <c r="AQ179" s="16">
        <f>IF(OR(W179=regle!$J$11,W179=regle!$K$11),-2,IF(W179=regle!$B$11,0,IF(AQ$1=$AK$1,IF($O179,-1,regle!$B$2-$M179),IF(AP179=-1,-1,AP179+1))))</f>
        <v>15</v>
      </c>
      <c r="AR179" s="16">
        <f>IF(OR(X179=regle!$J$11,X179=regle!$K$11),-2,IF(X179=regle!$B$11,0,IF(AR$1=$AK$1,IF($O179,-1,regle!$B$2-$M179),IF(AQ179=-1,-1,AQ179+1))))</f>
        <v>16</v>
      </c>
      <c r="AS179" s="16">
        <f>IF(OR(Y179=regle!$J$11,Y179=regle!$K$11),-2,IF(Y179=regle!$B$11,0,IF(AS$1=$AK$1,IF($O179,-1,regle!$B$2-$M179),IF(AR179=-1,-1,AR179+1))))</f>
        <v>17</v>
      </c>
      <c r="AT179" s="16">
        <f>IF(OR(Z179=regle!$J$11,Z179=regle!$K$11),-2,IF(Z179=regle!$B$11,0,IF(AT$1=$AK$1,IF($O179,-1,regle!$B$2-$M179),IF(AS179=-1,-1,AS179+1))))</f>
        <v>18</v>
      </c>
    </row>
    <row r="180" spans="1:46" x14ac:dyDescent="0.25">
      <c r="A180" t="b">
        <f>modif1!A180</f>
        <v>1</v>
      </c>
      <c r="B180">
        <f>ROW(modif1!B180)</f>
        <v>180</v>
      </c>
      <c r="C180" t="str">
        <f>modif1!C183</f>
        <v>202</v>
      </c>
      <c r="D180" t="str">
        <f>modif1!D180</f>
        <v>HOSTENS</v>
      </c>
      <c r="E180">
        <f>modif1!E180</f>
        <v>8</v>
      </c>
      <c r="F180" t="str">
        <f>modif1!F180</f>
        <v>LES BECS</v>
      </c>
      <c r="G180" t="str">
        <f>modif1!G180</f>
        <v>0B</v>
      </c>
      <c r="H180">
        <f>modif1!H180</f>
        <v>1213</v>
      </c>
      <c r="I180" t="str">
        <f>modif1!I180</f>
        <v>j</v>
      </c>
      <c r="J180" s="11">
        <f>modif1!J180</f>
        <v>0.40200000000000002</v>
      </c>
      <c r="K180" t="str">
        <f>modif1!K180</f>
        <v>PLA</v>
      </c>
      <c r="L180" t="str">
        <f>modif1!L180</f>
        <v>PM</v>
      </c>
      <c r="M180">
        <f>modif1!M180</f>
        <v>2015</v>
      </c>
      <c r="N180" t="str">
        <f>modif1!N180</f>
        <v>PLA-PM_2015</v>
      </c>
      <c r="O180" t="b">
        <f>modif1!O180</f>
        <v>0</v>
      </c>
      <c r="P180">
        <v>40</v>
      </c>
      <c r="T180" t="s">
        <v>1803</v>
      </c>
      <c r="Y180" s="22"/>
      <c r="Z180" t="s">
        <v>1804</v>
      </c>
      <c r="AA180" s="17">
        <f>IF($A180,$J180*(IF(Q180=regle!$B$11,regle!$B$23*IF(AJ180=-2,1+regle!$B$35,1),
IF(Q180=regle!$C$11,regle!$C$23,
IF(Q180=regle!$D$11,regle!$D$23,
IF(Q180=regle!$E$11,regle!$E$23,
IF(Q180=regle!$F$11,regle!$F$23,
IF(Q180=regle!$G$11,regle!$G$23,
IF(Q180=regle!$H$11,regle!$H$23,
IF(Q180=regle!$I$11,regle!$I$23,
IF(Q180=regle!$J$11,regle!$J$23,
IF(Q180=regle!$K$11,regle!$K$23,0))))))))))))</f>
        <v>0</v>
      </c>
      <c r="AB180" s="17">
        <f>IF($A180,$J180*(IF(R180=regle!$B$11,regle!$B$23*IF(AK180=-2,1+regle!$B$35,1),
IF(R180=regle!$C$11,regle!$C$23,
IF(R180=regle!$D$11,regle!$D$23,
IF(R180=regle!$E$11,regle!$E$23,
IF(R180=regle!$F$11,regle!$F$23,
IF(R180=regle!$G$11,regle!$G$23,
IF(R180=regle!$H$11,regle!$H$23,
IF(R180=regle!$I$11,regle!$I$23,
IF(R180=regle!$J$11,regle!$J$23,
IF(R180=regle!$K$11,regle!$K$23,0))))))))))))</f>
        <v>0</v>
      </c>
      <c r="AC180" s="17">
        <f>IF($A180,$J180*(IF(S180=regle!$B$11,regle!$B$23*IF(AL180=-2,1+regle!$B$35,1),
IF(S180=regle!$C$11,regle!$C$23,
IF(S180=regle!$D$11,regle!$D$23,
IF(S180=regle!$E$11,regle!$E$23,
IF(S180=regle!$F$11,regle!$F$23,
IF(S180=regle!$G$11,regle!$G$23,
IF(S180=regle!$H$11,regle!$H$23,
IF(S180=regle!$I$11,regle!$I$23,
IF(S180=regle!$J$11,regle!$J$23,
IF(S180=regle!$K$11,regle!$K$23,0))))))))))))</f>
        <v>0</v>
      </c>
      <c r="AD180" s="17">
        <f>IF($A180,$J180*(IF(T180=regle!$B$11,regle!$B$23*IF(AM180=-2,1+regle!$B$35,1),
IF(T180=regle!$C$11,regle!$C$23,
IF(T180=regle!$D$11,regle!$D$23,
IF(T180=regle!$E$11,regle!$E$23,
IF(T180=regle!$F$11,regle!$F$23,
IF(T180=regle!$G$11,regle!$G$23,
IF(T180=regle!$H$11,regle!$H$23,
IF(T180=regle!$I$11,regle!$I$23,
IF(T180=regle!$J$11,regle!$J$23,
IF(T180=regle!$K$11,regle!$K$23,0))))))))))))</f>
        <v>231.55200000000002</v>
      </c>
      <c r="AE180" s="17">
        <f>IF($A180,$J180*(IF(U180=regle!$B$11,regle!$B$23*IF(AN180=-2,1+regle!$B$35,1),
IF(U180=regle!$C$11,regle!$C$23,
IF(U180=regle!$D$11,regle!$D$23,
IF(U180=regle!$E$11,regle!$E$23,
IF(U180=regle!$F$11,regle!$F$23,
IF(U180=regle!$G$11,regle!$G$23,
IF(U180=regle!$H$11,regle!$H$23,
IF(U180=regle!$I$11,regle!$I$23,
IF(U180=regle!$J$11,regle!$J$23,
IF(U180=regle!$K$11,regle!$K$23,0))))))))))))</f>
        <v>0</v>
      </c>
      <c r="AF180" s="17">
        <f>IF($A180,$J180*(IF(V180=regle!$B$11,regle!$B$23*IF(AO180=-2,1+regle!$B$35,1),
IF(V180=regle!$C$11,regle!$C$23,
IF(V180=regle!$D$11,regle!$D$23,
IF(V180=regle!$E$11,regle!$E$23,
IF(V180=regle!$F$11,regle!$F$23,
IF(V180=regle!$G$11,regle!$G$23,
IF(V180=regle!$H$11,regle!$H$23,
IF(V180=regle!$I$11,regle!$I$23,
IF(V180=regle!$J$11,regle!$J$23,
IF(V180=regle!$K$11,regle!$K$23,0))))))))))))</f>
        <v>0</v>
      </c>
      <c r="AG180" s="17">
        <f>IF($A180,$J180*(IF(W180=regle!$B$11,regle!$B$23*IF(AP180=-2,1+regle!$B$35,1),
IF(W180=regle!$C$11,regle!$C$23,
IF(W180=regle!$D$11,regle!$D$23,
IF(W180=regle!$E$11,regle!$E$23,
IF(W180=regle!$F$11,regle!$F$23,
IF(W180=regle!$G$11,regle!$G$23,
IF(W180=regle!$H$11,regle!$H$23,
IF(W180=regle!$I$11,regle!$I$23,
IF(W180=regle!$J$11,regle!$J$23,
IF(W180=regle!$K$11,regle!$K$23,0))))))))))))</f>
        <v>0</v>
      </c>
      <c r="AH180" s="17">
        <f>IF($A180,$J180*(IF(X180=regle!$B$11,regle!$B$23*IF(AQ180=-2,1+regle!$B$35,1),
IF(X180=regle!$C$11,regle!$C$23,
IF(X180=regle!$D$11,regle!$D$23,
IF(X180=regle!$E$11,regle!$E$23,
IF(X180=regle!$F$11,regle!$F$23,
IF(X180=regle!$G$11,regle!$G$23,
IF(X180=regle!$H$11,regle!$H$23,
IF(X180=regle!$I$11,regle!$I$23,
IF(X180=regle!$J$11,regle!$J$23,
IF(X180=regle!$K$11,regle!$K$23,0))))))))))))</f>
        <v>0</v>
      </c>
      <c r="AI180" s="17">
        <f>IF($A180,$J180*(IF(Y180=regle!$B$11,regle!$B$23*IF(AR180=-2,1+regle!$B$35,1),
IF(Y180=regle!$C$11,regle!$C$23,
IF(Y180=regle!$D$11,regle!$D$23,
IF(Y180=regle!$E$11,regle!$E$23,
IF(Y180=regle!$F$11,regle!$F$23,
IF(Y180=regle!$G$11,regle!$G$23,
IF(Y180=regle!$H$11,regle!$H$23,
IF(Y180=regle!$I$11,regle!$I$23,
IF(Y180=regle!$J$11,regle!$J$23,
IF(Y180=regle!$K$11,regle!$K$23,0))))))))))))</f>
        <v>0</v>
      </c>
      <c r="AJ180" s="17">
        <f>IF($A180,$J180*(IF(Z180=regle!$B$11,regle!$B$23*IF(AS180=-2,1+regle!$B$35,1),
IF(Z180=regle!$C$11,regle!$C$23,
IF(Z180=regle!$D$11,regle!$D$23,
IF(Z180=regle!$E$11,regle!$E$23,
IF(Z180=regle!$F$11,regle!$F$23,
IF(Z180=regle!$G$11,regle!$G$23,
IF(Z180=regle!$H$11,regle!$H$23,
IF(Z180=regle!$I$11,regle!$I$23,
IF(Z180=regle!$J$11,regle!$J$23,
IF(Z180=regle!$K$11,regle!$K$23,0))))))))))))</f>
        <v>337.68</v>
      </c>
      <c r="AK180" s="16">
        <f>IF(OR(Q180=regle!$J$11,Q180=regle!$K$11),-2,IF(Q180=regle!$B$11,0,IF(AK$1=$AK$1,IF($O180,-1,regle!$B$2-$M180),IF(AJ180=-1,-1,AJ180+1))))</f>
        <v>9</v>
      </c>
      <c r="AL180" s="16">
        <f>IF(OR(R180=regle!$J$11,R180=regle!$K$11),-2,IF(R180=regle!$B$11,0,IF(AL$1=$AK$1,IF($O180,-1,regle!$B$2-$M180),IF(AK180=-1,-1,AK180+1))))</f>
        <v>10</v>
      </c>
      <c r="AM180" s="16">
        <f>IF(OR(S180=regle!$J$11,S180=regle!$K$11),-2,IF(S180=regle!$B$11,0,IF(AM$1=$AK$1,IF($O180,-1,regle!$B$2-$M180),IF(AL180=-1,-1,AL180+1))))</f>
        <v>11</v>
      </c>
      <c r="AN180" s="16">
        <f>IF(OR(T180=regle!$J$11,T180=regle!$K$11),-2,IF(T180=regle!$B$11,0,IF(AN$1=$AK$1,IF($O180,-1,regle!$B$2-$M180),IF(AM180=-1,-1,AM180+1))))</f>
        <v>12</v>
      </c>
      <c r="AO180" s="16">
        <f>IF(OR(U180=regle!$J$11,U180=regle!$K$11),-2,IF(U180=regle!$B$11,0,IF(AO$1=$AK$1,IF($O180,-1,regle!$B$2-$M180),IF(AN180=-1,-1,AN180+1))))</f>
        <v>13</v>
      </c>
      <c r="AP180" s="16">
        <f>IF(OR(V180=regle!$J$11,V180=regle!$K$11),-2,IF(V180=regle!$B$11,0,IF(AP$1=$AK$1,IF($O180,-1,regle!$B$2-$M180),IF(AO180=-1,-1,AO180+1))))</f>
        <v>14</v>
      </c>
      <c r="AQ180" s="16">
        <f>IF(OR(W180=regle!$J$11,W180=regle!$K$11),-2,IF(W180=regle!$B$11,0,IF(AQ$1=$AK$1,IF($O180,-1,regle!$B$2-$M180),IF(AP180=-1,-1,AP180+1))))</f>
        <v>15</v>
      </c>
      <c r="AR180" s="16">
        <f>IF(OR(X180=regle!$J$11,X180=regle!$K$11),-2,IF(X180=regle!$B$11,0,IF(AR$1=$AK$1,IF($O180,-1,regle!$B$2-$M180),IF(AQ180=-1,-1,AQ180+1))))</f>
        <v>16</v>
      </c>
      <c r="AS180" s="16">
        <f>IF(OR(Y180=regle!$J$11,Y180=regle!$K$11),-2,IF(Y180=regle!$B$11,0,IF(AS$1=$AK$1,IF($O180,-1,regle!$B$2-$M180),IF(AR180=-1,-1,AR180+1))))</f>
        <v>17</v>
      </c>
      <c r="AT180" s="16">
        <f>IF(OR(Z180=regle!$J$11,Z180=regle!$K$11),-2,IF(Z180=regle!$B$11,0,IF(AT$1=$AK$1,IF($O180,-1,regle!$B$2-$M180),IF(AS180=-1,-1,AS180+1))))</f>
        <v>18</v>
      </c>
    </row>
    <row r="181" spans="1:46" x14ac:dyDescent="0.25">
      <c r="A181" t="b">
        <f>modif1!A181</f>
        <v>1</v>
      </c>
      <c r="B181">
        <f>ROW(modif1!B181)</f>
        <v>181</v>
      </c>
      <c r="C181" t="str">
        <f>modif1!C184</f>
        <v>202</v>
      </c>
      <c r="D181" t="str">
        <f>modif1!D181</f>
        <v>LE TUZAN</v>
      </c>
      <c r="E181">
        <f>modif1!E181</f>
        <v>21</v>
      </c>
      <c r="F181" t="str">
        <f>modif1!F181</f>
        <v>METAIRIES DE TABARTON</v>
      </c>
      <c r="G181" t="str">
        <f>modif1!G181</f>
        <v>0A</v>
      </c>
      <c r="H181">
        <f>modif1!H181</f>
        <v>847</v>
      </c>
      <c r="I181" t="str">
        <f>modif1!I181</f>
        <v>m</v>
      </c>
      <c r="J181" s="11">
        <f>modif1!J181</f>
        <v>0.3906</v>
      </c>
      <c r="K181" t="str">
        <f>modif1!K181</f>
        <v>PLA</v>
      </c>
      <c r="L181" t="str">
        <f>modif1!L181</f>
        <v>PM</v>
      </c>
      <c r="M181">
        <f>modif1!M181</f>
        <v>2015</v>
      </c>
      <c r="N181" t="str">
        <f>modif1!N181</f>
        <v>PLA-PM_2015</v>
      </c>
      <c r="O181" t="b">
        <f>modif1!O181</f>
        <v>0</v>
      </c>
      <c r="P181">
        <v>40</v>
      </c>
      <c r="T181" t="s">
        <v>1803</v>
      </c>
      <c r="Y181" s="22"/>
      <c r="Z181" t="s">
        <v>1804</v>
      </c>
      <c r="AA181" s="17">
        <f>IF($A181,$J181*(IF(Q181=regle!$B$11,regle!$B$23*IF(AJ181=-2,1+regle!$B$35,1),
IF(Q181=regle!$C$11,regle!$C$23,
IF(Q181=regle!$D$11,regle!$D$23,
IF(Q181=regle!$E$11,regle!$E$23,
IF(Q181=regle!$F$11,regle!$F$23,
IF(Q181=regle!$G$11,regle!$G$23,
IF(Q181=regle!$H$11,regle!$H$23,
IF(Q181=regle!$I$11,regle!$I$23,
IF(Q181=regle!$J$11,regle!$J$23,
IF(Q181=regle!$K$11,regle!$K$23,0))))))))))))</f>
        <v>0</v>
      </c>
      <c r="AB181" s="17">
        <f>IF($A181,$J181*(IF(R181=regle!$B$11,regle!$B$23*IF(AK181=-2,1+regle!$B$35,1),
IF(R181=regle!$C$11,regle!$C$23,
IF(R181=regle!$D$11,regle!$D$23,
IF(R181=regle!$E$11,regle!$E$23,
IF(R181=regle!$F$11,regle!$F$23,
IF(R181=regle!$G$11,regle!$G$23,
IF(R181=regle!$H$11,regle!$H$23,
IF(R181=regle!$I$11,regle!$I$23,
IF(R181=regle!$J$11,regle!$J$23,
IF(R181=regle!$K$11,regle!$K$23,0))))))))))))</f>
        <v>0</v>
      </c>
      <c r="AC181" s="17">
        <f>IF($A181,$J181*(IF(S181=regle!$B$11,regle!$B$23*IF(AL181=-2,1+regle!$B$35,1),
IF(S181=regle!$C$11,regle!$C$23,
IF(S181=regle!$D$11,regle!$D$23,
IF(S181=regle!$E$11,regle!$E$23,
IF(S181=regle!$F$11,regle!$F$23,
IF(S181=regle!$G$11,regle!$G$23,
IF(S181=regle!$H$11,regle!$H$23,
IF(S181=regle!$I$11,regle!$I$23,
IF(S181=regle!$J$11,regle!$J$23,
IF(S181=regle!$K$11,regle!$K$23,0))))))))))))</f>
        <v>0</v>
      </c>
      <c r="AD181" s="17">
        <f>IF($A181,$J181*(IF(T181=regle!$B$11,regle!$B$23*IF(AM181=-2,1+regle!$B$35,1),
IF(T181=regle!$C$11,regle!$C$23,
IF(T181=regle!$D$11,regle!$D$23,
IF(T181=regle!$E$11,regle!$E$23,
IF(T181=regle!$F$11,regle!$F$23,
IF(T181=regle!$G$11,regle!$G$23,
IF(T181=regle!$H$11,regle!$H$23,
IF(T181=regle!$I$11,regle!$I$23,
IF(T181=regle!$J$11,regle!$J$23,
IF(T181=regle!$K$11,regle!$K$23,0))))))))))))</f>
        <v>224.98560000000001</v>
      </c>
      <c r="AE181" s="17">
        <f>IF($A181,$J181*(IF(U181=regle!$B$11,regle!$B$23*IF(AN181=-2,1+regle!$B$35,1),
IF(U181=regle!$C$11,regle!$C$23,
IF(U181=regle!$D$11,regle!$D$23,
IF(U181=regle!$E$11,regle!$E$23,
IF(U181=regle!$F$11,regle!$F$23,
IF(U181=regle!$G$11,regle!$G$23,
IF(U181=regle!$H$11,regle!$H$23,
IF(U181=regle!$I$11,regle!$I$23,
IF(U181=regle!$J$11,regle!$J$23,
IF(U181=regle!$K$11,regle!$K$23,0))))))))))))</f>
        <v>0</v>
      </c>
      <c r="AF181" s="17">
        <f>IF($A181,$J181*(IF(V181=regle!$B$11,regle!$B$23*IF(AO181=-2,1+regle!$B$35,1),
IF(V181=regle!$C$11,regle!$C$23,
IF(V181=regle!$D$11,regle!$D$23,
IF(V181=regle!$E$11,regle!$E$23,
IF(V181=regle!$F$11,regle!$F$23,
IF(V181=regle!$G$11,regle!$G$23,
IF(V181=regle!$H$11,regle!$H$23,
IF(V181=regle!$I$11,regle!$I$23,
IF(V181=regle!$J$11,regle!$J$23,
IF(V181=regle!$K$11,regle!$K$23,0))))))))))))</f>
        <v>0</v>
      </c>
      <c r="AG181" s="17">
        <f>IF($A181,$J181*(IF(W181=regle!$B$11,regle!$B$23*IF(AP181=-2,1+regle!$B$35,1),
IF(W181=regle!$C$11,regle!$C$23,
IF(W181=regle!$D$11,regle!$D$23,
IF(W181=regle!$E$11,regle!$E$23,
IF(W181=regle!$F$11,regle!$F$23,
IF(W181=regle!$G$11,regle!$G$23,
IF(W181=regle!$H$11,regle!$H$23,
IF(W181=regle!$I$11,regle!$I$23,
IF(W181=regle!$J$11,regle!$J$23,
IF(W181=regle!$K$11,regle!$K$23,0))))))))))))</f>
        <v>0</v>
      </c>
      <c r="AH181" s="17">
        <f>IF($A181,$J181*(IF(X181=regle!$B$11,regle!$B$23*IF(AQ181=-2,1+regle!$B$35,1),
IF(X181=regle!$C$11,regle!$C$23,
IF(X181=regle!$D$11,regle!$D$23,
IF(X181=regle!$E$11,regle!$E$23,
IF(X181=regle!$F$11,regle!$F$23,
IF(X181=regle!$G$11,regle!$G$23,
IF(X181=regle!$H$11,regle!$H$23,
IF(X181=regle!$I$11,regle!$I$23,
IF(X181=regle!$J$11,regle!$J$23,
IF(X181=regle!$K$11,regle!$K$23,0))))))))))))</f>
        <v>0</v>
      </c>
      <c r="AI181" s="17">
        <f>IF($A181,$J181*(IF(Y181=regle!$B$11,regle!$B$23*IF(AR181=-2,1+regle!$B$35,1),
IF(Y181=regle!$C$11,regle!$C$23,
IF(Y181=regle!$D$11,regle!$D$23,
IF(Y181=regle!$E$11,regle!$E$23,
IF(Y181=regle!$F$11,regle!$F$23,
IF(Y181=regle!$G$11,regle!$G$23,
IF(Y181=regle!$H$11,regle!$H$23,
IF(Y181=regle!$I$11,regle!$I$23,
IF(Y181=regle!$J$11,regle!$J$23,
IF(Y181=regle!$K$11,regle!$K$23,0))))))))))))</f>
        <v>0</v>
      </c>
      <c r="AJ181" s="17">
        <f>IF($A181,$J181*(IF(Z181=regle!$B$11,regle!$B$23*IF(AS181=-2,1+regle!$B$35,1),
IF(Z181=regle!$C$11,regle!$C$23,
IF(Z181=regle!$D$11,regle!$D$23,
IF(Z181=regle!$E$11,regle!$E$23,
IF(Z181=regle!$F$11,regle!$F$23,
IF(Z181=regle!$G$11,regle!$G$23,
IF(Z181=regle!$H$11,regle!$H$23,
IF(Z181=regle!$I$11,regle!$I$23,
IF(Z181=regle!$J$11,regle!$J$23,
IF(Z181=regle!$K$11,regle!$K$23,0))))))))))))</f>
        <v>328.10399999999998</v>
      </c>
      <c r="AK181" s="16">
        <f>IF(OR(Q181=regle!$J$11,Q181=regle!$K$11),-2,IF(Q181=regle!$B$11,0,IF(AK$1=$AK$1,IF($O181,-1,regle!$B$2-$M181),IF(AJ181=-1,-1,AJ181+1))))</f>
        <v>9</v>
      </c>
      <c r="AL181" s="16">
        <f>IF(OR(R181=regle!$J$11,R181=regle!$K$11),-2,IF(R181=regle!$B$11,0,IF(AL$1=$AK$1,IF($O181,-1,regle!$B$2-$M181),IF(AK181=-1,-1,AK181+1))))</f>
        <v>10</v>
      </c>
      <c r="AM181" s="16">
        <f>IF(OR(S181=regle!$J$11,S181=regle!$K$11),-2,IF(S181=regle!$B$11,0,IF(AM$1=$AK$1,IF($O181,-1,regle!$B$2-$M181),IF(AL181=-1,-1,AL181+1))))</f>
        <v>11</v>
      </c>
      <c r="AN181" s="16">
        <f>IF(OR(T181=regle!$J$11,T181=regle!$K$11),-2,IF(T181=regle!$B$11,0,IF(AN$1=$AK$1,IF($O181,-1,regle!$B$2-$M181),IF(AM181=-1,-1,AM181+1))))</f>
        <v>12</v>
      </c>
      <c r="AO181" s="16">
        <f>IF(OR(U181=regle!$J$11,U181=regle!$K$11),-2,IF(U181=regle!$B$11,0,IF(AO$1=$AK$1,IF($O181,-1,regle!$B$2-$M181),IF(AN181=-1,-1,AN181+1))))</f>
        <v>13</v>
      </c>
      <c r="AP181" s="16">
        <f>IF(OR(V181=regle!$J$11,V181=regle!$K$11),-2,IF(V181=regle!$B$11,0,IF(AP$1=$AK$1,IF($O181,-1,regle!$B$2-$M181),IF(AO181=-1,-1,AO181+1))))</f>
        <v>14</v>
      </c>
      <c r="AQ181" s="16">
        <f>IF(OR(W181=regle!$J$11,W181=regle!$K$11),-2,IF(W181=regle!$B$11,0,IF(AQ$1=$AK$1,IF($O181,-1,regle!$B$2-$M181),IF(AP181=-1,-1,AP181+1))))</f>
        <v>15</v>
      </c>
      <c r="AR181" s="16">
        <f>IF(OR(X181=regle!$J$11,X181=regle!$K$11),-2,IF(X181=regle!$B$11,0,IF(AR$1=$AK$1,IF($O181,-1,regle!$B$2-$M181),IF(AQ181=-1,-1,AQ181+1))))</f>
        <v>16</v>
      </c>
      <c r="AS181" s="16">
        <f>IF(OR(Y181=regle!$J$11,Y181=regle!$K$11),-2,IF(Y181=regle!$B$11,0,IF(AS$1=$AK$1,IF($O181,-1,regle!$B$2-$M181),IF(AR181=-1,-1,AR181+1))))</f>
        <v>17</v>
      </c>
      <c r="AT181" s="16">
        <f>IF(OR(Z181=regle!$J$11,Z181=regle!$K$11),-2,IF(Z181=regle!$B$11,0,IF(AT$1=$AK$1,IF($O181,-1,regle!$B$2-$M181),IF(AS181=-1,-1,AS181+1))))</f>
        <v>18</v>
      </c>
    </row>
    <row r="182" spans="1:46" x14ac:dyDescent="0.25">
      <c r="A182" t="b">
        <f>modif1!A182</f>
        <v>1</v>
      </c>
      <c r="B182">
        <f>ROW(modif1!B182)</f>
        <v>182</v>
      </c>
      <c r="C182" t="str">
        <f>modif1!C185</f>
        <v>202</v>
      </c>
      <c r="D182" t="str">
        <f>modif1!D182</f>
        <v>HOSTENS</v>
      </c>
      <c r="E182">
        <f>modif1!E182</f>
        <v>8</v>
      </c>
      <c r="F182" t="str">
        <f>modif1!F182</f>
        <v>LES BECS</v>
      </c>
      <c r="G182" t="str">
        <f>modif1!G182</f>
        <v>0B</v>
      </c>
      <c r="H182">
        <f>modif1!H182</f>
        <v>1210</v>
      </c>
      <c r="I182" t="str">
        <f>modif1!I182</f>
        <v/>
      </c>
      <c r="J182" s="11">
        <f>modif1!J182</f>
        <v>0.36399999999999999</v>
      </c>
      <c r="K182" t="str">
        <f>modif1!K182</f>
        <v>PLA</v>
      </c>
      <c r="L182" t="str">
        <f>modif1!L182</f>
        <v>PM</v>
      </c>
      <c r="M182">
        <f>modif1!M182</f>
        <v>2015</v>
      </c>
      <c r="N182" t="str">
        <f>modif1!N182</f>
        <v>PLA-PM_2015</v>
      </c>
      <c r="O182" t="b">
        <f>modif1!O182</f>
        <v>0</v>
      </c>
      <c r="P182">
        <v>40</v>
      </c>
      <c r="T182" t="s">
        <v>1803</v>
      </c>
      <c r="Y182" s="22"/>
      <c r="Z182" t="s">
        <v>1804</v>
      </c>
      <c r="AA182" s="17">
        <f>IF($A182,$J182*(IF(Q182=regle!$B$11,regle!$B$23*IF(AJ182=-2,1+regle!$B$35,1),
IF(Q182=regle!$C$11,regle!$C$23,
IF(Q182=regle!$D$11,regle!$D$23,
IF(Q182=regle!$E$11,regle!$E$23,
IF(Q182=regle!$F$11,regle!$F$23,
IF(Q182=regle!$G$11,regle!$G$23,
IF(Q182=regle!$H$11,regle!$H$23,
IF(Q182=regle!$I$11,regle!$I$23,
IF(Q182=regle!$J$11,regle!$J$23,
IF(Q182=regle!$K$11,regle!$K$23,0))))))))))))</f>
        <v>0</v>
      </c>
      <c r="AB182" s="17">
        <f>IF($A182,$J182*(IF(R182=regle!$B$11,regle!$B$23*IF(AK182=-2,1+regle!$B$35,1),
IF(R182=regle!$C$11,regle!$C$23,
IF(R182=regle!$D$11,regle!$D$23,
IF(R182=regle!$E$11,regle!$E$23,
IF(R182=regle!$F$11,regle!$F$23,
IF(R182=regle!$G$11,regle!$G$23,
IF(R182=regle!$H$11,regle!$H$23,
IF(R182=regle!$I$11,regle!$I$23,
IF(R182=regle!$J$11,regle!$J$23,
IF(R182=regle!$K$11,regle!$K$23,0))))))))))))</f>
        <v>0</v>
      </c>
      <c r="AC182" s="17">
        <f>IF($A182,$J182*(IF(S182=regle!$B$11,regle!$B$23*IF(AL182=-2,1+regle!$B$35,1),
IF(S182=regle!$C$11,regle!$C$23,
IF(S182=regle!$D$11,regle!$D$23,
IF(S182=regle!$E$11,regle!$E$23,
IF(S182=regle!$F$11,regle!$F$23,
IF(S182=regle!$G$11,regle!$G$23,
IF(S182=regle!$H$11,regle!$H$23,
IF(S182=regle!$I$11,regle!$I$23,
IF(S182=regle!$J$11,regle!$J$23,
IF(S182=regle!$K$11,regle!$K$23,0))))))))))))</f>
        <v>0</v>
      </c>
      <c r="AD182" s="17">
        <f>IF($A182,$J182*(IF(T182=regle!$B$11,regle!$B$23*IF(AM182=-2,1+regle!$B$35,1),
IF(T182=regle!$C$11,regle!$C$23,
IF(T182=regle!$D$11,regle!$D$23,
IF(T182=regle!$E$11,regle!$E$23,
IF(T182=regle!$F$11,regle!$F$23,
IF(T182=regle!$G$11,regle!$G$23,
IF(T182=regle!$H$11,regle!$H$23,
IF(T182=regle!$I$11,regle!$I$23,
IF(T182=regle!$J$11,regle!$J$23,
IF(T182=regle!$K$11,regle!$K$23,0))))))))))))</f>
        <v>209.66399999999999</v>
      </c>
      <c r="AE182" s="17">
        <f>IF($A182,$J182*(IF(U182=regle!$B$11,regle!$B$23*IF(AN182=-2,1+regle!$B$35,1),
IF(U182=regle!$C$11,regle!$C$23,
IF(U182=regle!$D$11,regle!$D$23,
IF(U182=regle!$E$11,regle!$E$23,
IF(U182=regle!$F$11,regle!$F$23,
IF(U182=regle!$G$11,regle!$G$23,
IF(U182=regle!$H$11,regle!$H$23,
IF(U182=regle!$I$11,regle!$I$23,
IF(U182=regle!$J$11,regle!$J$23,
IF(U182=regle!$K$11,regle!$K$23,0))))))))))))</f>
        <v>0</v>
      </c>
      <c r="AF182" s="17">
        <f>IF($A182,$J182*(IF(V182=regle!$B$11,regle!$B$23*IF(AO182=-2,1+regle!$B$35,1),
IF(V182=regle!$C$11,regle!$C$23,
IF(V182=regle!$D$11,regle!$D$23,
IF(V182=regle!$E$11,regle!$E$23,
IF(V182=regle!$F$11,regle!$F$23,
IF(V182=regle!$G$11,regle!$G$23,
IF(V182=regle!$H$11,regle!$H$23,
IF(V182=regle!$I$11,regle!$I$23,
IF(V182=regle!$J$11,regle!$J$23,
IF(V182=regle!$K$11,regle!$K$23,0))))))))))))</f>
        <v>0</v>
      </c>
      <c r="AG182" s="17">
        <f>IF($A182,$J182*(IF(W182=regle!$B$11,regle!$B$23*IF(AP182=-2,1+regle!$B$35,1),
IF(W182=regle!$C$11,regle!$C$23,
IF(W182=regle!$D$11,regle!$D$23,
IF(W182=regle!$E$11,regle!$E$23,
IF(W182=regle!$F$11,regle!$F$23,
IF(W182=regle!$G$11,regle!$G$23,
IF(W182=regle!$H$11,regle!$H$23,
IF(W182=regle!$I$11,regle!$I$23,
IF(W182=regle!$J$11,regle!$J$23,
IF(W182=regle!$K$11,regle!$K$23,0))))))))))))</f>
        <v>0</v>
      </c>
      <c r="AH182" s="17">
        <f>IF($A182,$J182*(IF(X182=regle!$B$11,regle!$B$23*IF(AQ182=-2,1+regle!$B$35,1),
IF(X182=regle!$C$11,regle!$C$23,
IF(X182=regle!$D$11,regle!$D$23,
IF(X182=regle!$E$11,regle!$E$23,
IF(X182=regle!$F$11,regle!$F$23,
IF(X182=regle!$G$11,regle!$G$23,
IF(X182=regle!$H$11,regle!$H$23,
IF(X182=regle!$I$11,regle!$I$23,
IF(X182=regle!$J$11,regle!$J$23,
IF(X182=regle!$K$11,regle!$K$23,0))))))))))))</f>
        <v>0</v>
      </c>
      <c r="AI182" s="17">
        <f>IF($A182,$J182*(IF(Y182=regle!$B$11,regle!$B$23*IF(AR182=-2,1+regle!$B$35,1),
IF(Y182=regle!$C$11,regle!$C$23,
IF(Y182=regle!$D$11,regle!$D$23,
IF(Y182=regle!$E$11,regle!$E$23,
IF(Y182=regle!$F$11,regle!$F$23,
IF(Y182=regle!$G$11,regle!$G$23,
IF(Y182=regle!$H$11,regle!$H$23,
IF(Y182=regle!$I$11,regle!$I$23,
IF(Y182=regle!$J$11,regle!$J$23,
IF(Y182=regle!$K$11,regle!$K$23,0))))))))))))</f>
        <v>0</v>
      </c>
      <c r="AJ182" s="17">
        <f>IF($A182,$J182*(IF(Z182=regle!$B$11,regle!$B$23*IF(AS182=-2,1+regle!$B$35,1),
IF(Z182=regle!$C$11,regle!$C$23,
IF(Z182=regle!$D$11,regle!$D$23,
IF(Z182=regle!$E$11,regle!$E$23,
IF(Z182=regle!$F$11,regle!$F$23,
IF(Z182=regle!$G$11,regle!$G$23,
IF(Z182=regle!$H$11,regle!$H$23,
IF(Z182=regle!$I$11,regle!$I$23,
IF(Z182=regle!$J$11,regle!$J$23,
IF(Z182=regle!$K$11,regle!$K$23,0))))))))))))</f>
        <v>305.76</v>
      </c>
      <c r="AK182" s="16">
        <f>IF(OR(Q182=regle!$J$11,Q182=regle!$K$11),-2,IF(Q182=regle!$B$11,0,IF(AK$1=$AK$1,IF($O182,-1,regle!$B$2-$M182),IF(AJ182=-1,-1,AJ182+1))))</f>
        <v>9</v>
      </c>
      <c r="AL182" s="16">
        <f>IF(OR(R182=regle!$J$11,R182=regle!$K$11),-2,IF(R182=regle!$B$11,0,IF(AL$1=$AK$1,IF($O182,-1,regle!$B$2-$M182),IF(AK182=-1,-1,AK182+1))))</f>
        <v>10</v>
      </c>
      <c r="AM182" s="16">
        <f>IF(OR(S182=regle!$J$11,S182=regle!$K$11),-2,IF(S182=regle!$B$11,0,IF(AM$1=$AK$1,IF($O182,-1,regle!$B$2-$M182),IF(AL182=-1,-1,AL182+1))))</f>
        <v>11</v>
      </c>
      <c r="AN182" s="16">
        <f>IF(OR(T182=regle!$J$11,T182=regle!$K$11),-2,IF(T182=regle!$B$11,0,IF(AN$1=$AK$1,IF($O182,-1,regle!$B$2-$M182),IF(AM182=-1,-1,AM182+1))))</f>
        <v>12</v>
      </c>
      <c r="AO182" s="16">
        <f>IF(OR(U182=regle!$J$11,U182=regle!$K$11),-2,IF(U182=regle!$B$11,0,IF(AO$1=$AK$1,IF($O182,-1,regle!$B$2-$M182),IF(AN182=-1,-1,AN182+1))))</f>
        <v>13</v>
      </c>
      <c r="AP182" s="16">
        <f>IF(OR(V182=regle!$J$11,V182=regle!$K$11),-2,IF(V182=regle!$B$11,0,IF(AP$1=$AK$1,IF($O182,-1,regle!$B$2-$M182),IF(AO182=-1,-1,AO182+1))))</f>
        <v>14</v>
      </c>
      <c r="AQ182" s="16">
        <f>IF(OR(W182=regle!$J$11,W182=regle!$K$11),-2,IF(W182=regle!$B$11,0,IF(AQ$1=$AK$1,IF($O182,-1,regle!$B$2-$M182),IF(AP182=-1,-1,AP182+1))))</f>
        <v>15</v>
      </c>
      <c r="AR182" s="16">
        <f>IF(OR(X182=regle!$J$11,X182=regle!$K$11),-2,IF(X182=regle!$B$11,0,IF(AR$1=$AK$1,IF($O182,-1,regle!$B$2-$M182),IF(AQ182=-1,-1,AQ182+1))))</f>
        <v>16</v>
      </c>
      <c r="AS182" s="16">
        <f>IF(OR(Y182=regle!$J$11,Y182=regle!$K$11),-2,IF(Y182=regle!$B$11,0,IF(AS$1=$AK$1,IF($O182,-1,regle!$B$2-$M182),IF(AR182=-1,-1,AR182+1))))</f>
        <v>17</v>
      </c>
      <c r="AT182" s="16">
        <f>IF(OR(Z182=regle!$J$11,Z182=regle!$K$11),-2,IF(Z182=regle!$B$11,0,IF(AT$1=$AK$1,IF($O182,-1,regle!$B$2-$M182),IF(AS182=-1,-1,AS182+1))))</f>
        <v>18</v>
      </c>
    </row>
    <row r="183" spans="1:46" x14ac:dyDescent="0.25">
      <c r="A183" t="b">
        <f>modif1!A183</f>
        <v>1</v>
      </c>
      <c r="B183">
        <f>ROW(modif1!B183)</f>
        <v>183</v>
      </c>
      <c r="C183" t="str">
        <f>modif1!C186</f>
        <v>202</v>
      </c>
      <c r="D183" t="str">
        <f>modif1!D183</f>
        <v>HOSTENS</v>
      </c>
      <c r="E183">
        <f>modif1!E183</f>
        <v>11</v>
      </c>
      <c r="F183" t="str">
        <f>modif1!F183</f>
        <v>LES CAZALAS</v>
      </c>
      <c r="G183" t="str">
        <f>modif1!G183</f>
        <v>0B</v>
      </c>
      <c r="H183">
        <f>modif1!H183</f>
        <v>1159</v>
      </c>
      <c r="I183" t="str">
        <f>modif1!I183</f>
        <v/>
      </c>
      <c r="J183" s="11">
        <f>modif1!J183</f>
        <v>0.35</v>
      </c>
      <c r="K183" t="str">
        <f>modif1!K183</f>
        <v>PLA</v>
      </c>
      <c r="L183" t="str">
        <f>modif1!L183</f>
        <v>PM</v>
      </c>
      <c r="M183">
        <f>modif1!M183</f>
        <v>2015</v>
      </c>
      <c r="N183" t="str">
        <f>modif1!N183</f>
        <v>PLA-PM_2015</v>
      </c>
      <c r="O183" t="b">
        <f>modif1!O183</f>
        <v>0</v>
      </c>
      <c r="P183">
        <v>40</v>
      </c>
      <c r="T183" t="s">
        <v>1803</v>
      </c>
      <c r="Y183" s="22"/>
      <c r="Z183" t="s">
        <v>1804</v>
      </c>
      <c r="AA183" s="17">
        <f>IF($A183,$J183*(IF(Q183=regle!$B$11,regle!$B$23*IF(AJ183=-2,1+regle!$B$35,1),
IF(Q183=regle!$C$11,regle!$C$23,
IF(Q183=regle!$D$11,regle!$D$23,
IF(Q183=regle!$E$11,regle!$E$23,
IF(Q183=regle!$F$11,regle!$F$23,
IF(Q183=regle!$G$11,regle!$G$23,
IF(Q183=regle!$H$11,regle!$H$23,
IF(Q183=regle!$I$11,regle!$I$23,
IF(Q183=regle!$J$11,regle!$J$23,
IF(Q183=regle!$K$11,regle!$K$23,0))))))))))))</f>
        <v>0</v>
      </c>
      <c r="AB183" s="17">
        <f>IF($A183,$J183*(IF(R183=regle!$B$11,regle!$B$23*IF(AK183=-2,1+regle!$B$35,1),
IF(R183=regle!$C$11,regle!$C$23,
IF(R183=regle!$D$11,regle!$D$23,
IF(R183=regle!$E$11,regle!$E$23,
IF(R183=regle!$F$11,regle!$F$23,
IF(R183=regle!$G$11,regle!$G$23,
IF(R183=regle!$H$11,regle!$H$23,
IF(R183=regle!$I$11,regle!$I$23,
IF(R183=regle!$J$11,regle!$J$23,
IF(R183=regle!$K$11,regle!$K$23,0))))))))))))</f>
        <v>0</v>
      </c>
      <c r="AC183" s="17">
        <f>IF($A183,$J183*(IF(S183=regle!$B$11,regle!$B$23*IF(AL183=-2,1+regle!$B$35,1),
IF(S183=regle!$C$11,regle!$C$23,
IF(S183=regle!$D$11,regle!$D$23,
IF(S183=regle!$E$11,regle!$E$23,
IF(S183=regle!$F$11,regle!$F$23,
IF(S183=regle!$G$11,regle!$G$23,
IF(S183=regle!$H$11,regle!$H$23,
IF(S183=regle!$I$11,regle!$I$23,
IF(S183=regle!$J$11,regle!$J$23,
IF(S183=regle!$K$11,regle!$K$23,0))))))))))))</f>
        <v>0</v>
      </c>
      <c r="AD183" s="17">
        <f>IF($A183,$J183*(IF(T183=regle!$B$11,regle!$B$23*IF(AM183=-2,1+regle!$B$35,1),
IF(T183=regle!$C$11,regle!$C$23,
IF(T183=regle!$D$11,regle!$D$23,
IF(T183=regle!$E$11,regle!$E$23,
IF(T183=regle!$F$11,regle!$F$23,
IF(T183=regle!$G$11,regle!$G$23,
IF(T183=regle!$H$11,regle!$H$23,
IF(T183=regle!$I$11,regle!$I$23,
IF(T183=regle!$J$11,regle!$J$23,
IF(T183=regle!$K$11,regle!$K$23,0))))))))))))</f>
        <v>201.6</v>
      </c>
      <c r="AE183" s="17">
        <f>IF($A183,$J183*(IF(U183=regle!$B$11,regle!$B$23*IF(AN183=-2,1+regle!$B$35,1),
IF(U183=regle!$C$11,regle!$C$23,
IF(U183=regle!$D$11,regle!$D$23,
IF(U183=regle!$E$11,regle!$E$23,
IF(U183=regle!$F$11,regle!$F$23,
IF(U183=regle!$G$11,regle!$G$23,
IF(U183=regle!$H$11,regle!$H$23,
IF(U183=regle!$I$11,regle!$I$23,
IF(U183=regle!$J$11,regle!$J$23,
IF(U183=regle!$K$11,regle!$K$23,0))))))))))))</f>
        <v>0</v>
      </c>
      <c r="AF183" s="17">
        <f>IF($A183,$J183*(IF(V183=regle!$B$11,regle!$B$23*IF(AO183=-2,1+regle!$B$35,1),
IF(V183=regle!$C$11,regle!$C$23,
IF(V183=regle!$D$11,regle!$D$23,
IF(V183=regle!$E$11,regle!$E$23,
IF(V183=regle!$F$11,regle!$F$23,
IF(V183=regle!$G$11,regle!$G$23,
IF(V183=regle!$H$11,regle!$H$23,
IF(V183=regle!$I$11,regle!$I$23,
IF(V183=regle!$J$11,regle!$J$23,
IF(V183=regle!$K$11,regle!$K$23,0))))))))))))</f>
        <v>0</v>
      </c>
      <c r="AG183" s="17">
        <f>IF($A183,$J183*(IF(W183=regle!$B$11,regle!$B$23*IF(AP183=-2,1+regle!$B$35,1),
IF(W183=regle!$C$11,regle!$C$23,
IF(W183=regle!$D$11,regle!$D$23,
IF(W183=regle!$E$11,regle!$E$23,
IF(W183=regle!$F$11,regle!$F$23,
IF(W183=regle!$G$11,regle!$G$23,
IF(W183=regle!$H$11,regle!$H$23,
IF(W183=regle!$I$11,regle!$I$23,
IF(W183=regle!$J$11,regle!$J$23,
IF(W183=regle!$K$11,regle!$K$23,0))))))))))))</f>
        <v>0</v>
      </c>
      <c r="AH183" s="17">
        <f>IF($A183,$J183*(IF(X183=regle!$B$11,regle!$B$23*IF(AQ183=-2,1+regle!$B$35,1),
IF(X183=regle!$C$11,regle!$C$23,
IF(X183=regle!$D$11,regle!$D$23,
IF(X183=regle!$E$11,regle!$E$23,
IF(X183=regle!$F$11,regle!$F$23,
IF(X183=regle!$G$11,regle!$G$23,
IF(X183=regle!$H$11,regle!$H$23,
IF(X183=regle!$I$11,regle!$I$23,
IF(X183=regle!$J$11,regle!$J$23,
IF(X183=regle!$K$11,regle!$K$23,0))))))))))))</f>
        <v>0</v>
      </c>
      <c r="AI183" s="17">
        <f>IF($A183,$J183*(IF(Y183=regle!$B$11,regle!$B$23*IF(AR183=-2,1+regle!$B$35,1),
IF(Y183=regle!$C$11,regle!$C$23,
IF(Y183=regle!$D$11,regle!$D$23,
IF(Y183=regle!$E$11,regle!$E$23,
IF(Y183=regle!$F$11,regle!$F$23,
IF(Y183=regle!$G$11,regle!$G$23,
IF(Y183=regle!$H$11,regle!$H$23,
IF(Y183=regle!$I$11,regle!$I$23,
IF(Y183=regle!$J$11,regle!$J$23,
IF(Y183=regle!$K$11,regle!$K$23,0))))))))))))</f>
        <v>0</v>
      </c>
      <c r="AJ183" s="17">
        <f>IF($A183,$J183*(IF(Z183=regle!$B$11,regle!$B$23*IF(AS183=-2,1+regle!$B$35,1),
IF(Z183=regle!$C$11,regle!$C$23,
IF(Z183=regle!$D$11,regle!$D$23,
IF(Z183=regle!$E$11,regle!$E$23,
IF(Z183=regle!$F$11,regle!$F$23,
IF(Z183=regle!$G$11,regle!$G$23,
IF(Z183=regle!$H$11,regle!$H$23,
IF(Z183=regle!$I$11,regle!$I$23,
IF(Z183=regle!$J$11,regle!$J$23,
IF(Z183=regle!$K$11,regle!$K$23,0))))))))))))</f>
        <v>294</v>
      </c>
      <c r="AK183" s="16">
        <f>IF(OR(Q183=regle!$J$11,Q183=regle!$K$11),-2,IF(Q183=regle!$B$11,0,IF(AK$1=$AK$1,IF($O183,-1,regle!$B$2-$M183),IF(AJ183=-1,-1,AJ183+1))))</f>
        <v>9</v>
      </c>
      <c r="AL183" s="16">
        <f>IF(OR(R183=regle!$J$11,R183=regle!$K$11),-2,IF(R183=regle!$B$11,0,IF(AL$1=$AK$1,IF($O183,-1,regle!$B$2-$M183),IF(AK183=-1,-1,AK183+1))))</f>
        <v>10</v>
      </c>
      <c r="AM183" s="16">
        <f>IF(OR(S183=regle!$J$11,S183=regle!$K$11),-2,IF(S183=regle!$B$11,0,IF(AM$1=$AK$1,IF($O183,-1,regle!$B$2-$M183),IF(AL183=-1,-1,AL183+1))))</f>
        <v>11</v>
      </c>
      <c r="AN183" s="16">
        <f>IF(OR(T183=regle!$J$11,T183=regle!$K$11),-2,IF(T183=regle!$B$11,0,IF(AN$1=$AK$1,IF($O183,-1,regle!$B$2-$M183),IF(AM183=-1,-1,AM183+1))))</f>
        <v>12</v>
      </c>
      <c r="AO183" s="16">
        <f>IF(OR(U183=regle!$J$11,U183=regle!$K$11),-2,IF(U183=regle!$B$11,0,IF(AO$1=$AK$1,IF($O183,-1,regle!$B$2-$M183),IF(AN183=-1,-1,AN183+1))))</f>
        <v>13</v>
      </c>
      <c r="AP183" s="16">
        <f>IF(OR(V183=regle!$J$11,V183=regle!$K$11),-2,IF(V183=regle!$B$11,0,IF(AP$1=$AK$1,IF($O183,-1,regle!$B$2-$M183),IF(AO183=-1,-1,AO183+1))))</f>
        <v>14</v>
      </c>
      <c r="AQ183" s="16">
        <f>IF(OR(W183=regle!$J$11,W183=regle!$K$11),-2,IF(W183=regle!$B$11,0,IF(AQ$1=$AK$1,IF($O183,-1,regle!$B$2-$M183),IF(AP183=-1,-1,AP183+1))))</f>
        <v>15</v>
      </c>
      <c r="AR183" s="16">
        <f>IF(OR(X183=regle!$J$11,X183=regle!$K$11),-2,IF(X183=regle!$B$11,0,IF(AR$1=$AK$1,IF($O183,-1,regle!$B$2-$M183),IF(AQ183=-1,-1,AQ183+1))))</f>
        <v>16</v>
      </c>
      <c r="AS183" s="16">
        <f>IF(OR(Y183=regle!$J$11,Y183=regle!$K$11),-2,IF(Y183=regle!$B$11,0,IF(AS$1=$AK$1,IF($O183,-1,regle!$B$2-$M183),IF(AR183=-1,-1,AR183+1))))</f>
        <v>17</v>
      </c>
      <c r="AT183" s="16">
        <f>IF(OR(Z183=regle!$J$11,Z183=regle!$K$11),-2,IF(Z183=regle!$B$11,0,IF(AT$1=$AK$1,IF($O183,-1,regle!$B$2-$M183),IF(AS183=-1,-1,AS183+1))))</f>
        <v>18</v>
      </c>
    </row>
    <row r="184" spans="1:46" x14ac:dyDescent="0.25">
      <c r="A184" t="b">
        <f>modif1!A184</f>
        <v>1</v>
      </c>
      <c r="B184">
        <f>ROW(modif1!B184)</f>
        <v>184</v>
      </c>
      <c r="C184" t="str">
        <f>modif1!C187</f>
        <v>202</v>
      </c>
      <c r="D184" t="str">
        <f>modif1!D184</f>
        <v>HOSTENS</v>
      </c>
      <c r="E184">
        <f>modif1!E184</f>
        <v>11</v>
      </c>
      <c r="F184" t="str">
        <f>modif1!F184</f>
        <v>LES CAZALAS</v>
      </c>
      <c r="G184" t="str">
        <f>modif1!G184</f>
        <v>0B</v>
      </c>
      <c r="H184">
        <f>modif1!H184</f>
        <v>1576</v>
      </c>
      <c r="I184" t="str">
        <f>modif1!I184</f>
        <v/>
      </c>
      <c r="J184" s="11">
        <f>modif1!J184</f>
        <v>0.31879999999999997</v>
      </c>
      <c r="K184" t="str">
        <f>modif1!K184</f>
        <v>PLA</v>
      </c>
      <c r="L184" t="str">
        <f>modif1!L184</f>
        <v>PM</v>
      </c>
      <c r="M184">
        <f>modif1!M184</f>
        <v>2015</v>
      </c>
      <c r="N184" t="str">
        <f>modif1!N184</f>
        <v>PLA-PM_2015</v>
      </c>
      <c r="O184" t="b">
        <f>modif1!O184</f>
        <v>0</v>
      </c>
      <c r="P184">
        <v>40</v>
      </c>
      <c r="T184" t="s">
        <v>1803</v>
      </c>
      <c r="Y184" s="22"/>
      <c r="Z184" t="s">
        <v>1804</v>
      </c>
      <c r="AA184" s="17">
        <f>IF($A184,$J184*(IF(Q184=regle!$B$11,regle!$B$23*IF(AJ184=-2,1+regle!$B$35,1),
IF(Q184=regle!$C$11,regle!$C$23,
IF(Q184=regle!$D$11,regle!$D$23,
IF(Q184=regle!$E$11,regle!$E$23,
IF(Q184=regle!$F$11,regle!$F$23,
IF(Q184=regle!$G$11,regle!$G$23,
IF(Q184=regle!$H$11,regle!$H$23,
IF(Q184=regle!$I$11,regle!$I$23,
IF(Q184=regle!$J$11,regle!$J$23,
IF(Q184=regle!$K$11,regle!$K$23,0))))))))))))</f>
        <v>0</v>
      </c>
      <c r="AB184" s="17">
        <f>IF($A184,$J184*(IF(R184=regle!$B$11,regle!$B$23*IF(AK184=-2,1+regle!$B$35,1),
IF(R184=regle!$C$11,regle!$C$23,
IF(R184=regle!$D$11,regle!$D$23,
IF(R184=regle!$E$11,regle!$E$23,
IF(R184=regle!$F$11,regle!$F$23,
IF(R184=regle!$G$11,regle!$G$23,
IF(R184=regle!$H$11,regle!$H$23,
IF(R184=regle!$I$11,regle!$I$23,
IF(R184=regle!$J$11,regle!$J$23,
IF(R184=regle!$K$11,regle!$K$23,0))))))))))))</f>
        <v>0</v>
      </c>
      <c r="AC184" s="17">
        <f>IF($A184,$J184*(IF(S184=regle!$B$11,regle!$B$23*IF(AL184=-2,1+regle!$B$35,1),
IF(S184=regle!$C$11,regle!$C$23,
IF(S184=regle!$D$11,regle!$D$23,
IF(S184=regle!$E$11,regle!$E$23,
IF(S184=regle!$F$11,regle!$F$23,
IF(S184=regle!$G$11,regle!$G$23,
IF(S184=regle!$H$11,regle!$H$23,
IF(S184=regle!$I$11,regle!$I$23,
IF(S184=regle!$J$11,regle!$J$23,
IF(S184=regle!$K$11,regle!$K$23,0))))))))))))</f>
        <v>0</v>
      </c>
      <c r="AD184" s="17">
        <f>IF($A184,$J184*(IF(T184=regle!$B$11,regle!$B$23*IF(AM184=-2,1+regle!$B$35,1),
IF(T184=regle!$C$11,regle!$C$23,
IF(T184=regle!$D$11,regle!$D$23,
IF(T184=regle!$E$11,regle!$E$23,
IF(T184=regle!$F$11,regle!$F$23,
IF(T184=regle!$G$11,regle!$G$23,
IF(T184=regle!$H$11,regle!$H$23,
IF(T184=regle!$I$11,regle!$I$23,
IF(T184=regle!$J$11,regle!$J$23,
IF(T184=regle!$K$11,regle!$K$23,0))))))))))))</f>
        <v>183.62879999999998</v>
      </c>
      <c r="AE184" s="17">
        <f>IF($A184,$J184*(IF(U184=regle!$B$11,regle!$B$23*IF(AN184=-2,1+regle!$B$35,1),
IF(U184=regle!$C$11,regle!$C$23,
IF(U184=regle!$D$11,regle!$D$23,
IF(U184=regle!$E$11,regle!$E$23,
IF(U184=regle!$F$11,regle!$F$23,
IF(U184=regle!$G$11,regle!$G$23,
IF(U184=regle!$H$11,regle!$H$23,
IF(U184=regle!$I$11,regle!$I$23,
IF(U184=regle!$J$11,regle!$J$23,
IF(U184=regle!$K$11,regle!$K$23,0))))))))))))</f>
        <v>0</v>
      </c>
      <c r="AF184" s="17">
        <f>IF($A184,$J184*(IF(V184=regle!$B$11,regle!$B$23*IF(AO184=-2,1+regle!$B$35,1),
IF(V184=regle!$C$11,regle!$C$23,
IF(V184=regle!$D$11,regle!$D$23,
IF(V184=regle!$E$11,regle!$E$23,
IF(V184=regle!$F$11,regle!$F$23,
IF(V184=regle!$G$11,regle!$G$23,
IF(V184=regle!$H$11,regle!$H$23,
IF(V184=regle!$I$11,regle!$I$23,
IF(V184=regle!$J$11,regle!$J$23,
IF(V184=regle!$K$11,regle!$K$23,0))))))))))))</f>
        <v>0</v>
      </c>
      <c r="AG184" s="17">
        <f>IF($A184,$J184*(IF(W184=regle!$B$11,regle!$B$23*IF(AP184=-2,1+regle!$B$35,1),
IF(W184=regle!$C$11,regle!$C$23,
IF(W184=regle!$D$11,regle!$D$23,
IF(W184=regle!$E$11,regle!$E$23,
IF(W184=regle!$F$11,regle!$F$23,
IF(W184=regle!$G$11,regle!$G$23,
IF(W184=regle!$H$11,regle!$H$23,
IF(W184=regle!$I$11,regle!$I$23,
IF(W184=regle!$J$11,regle!$J$23,
IF(W184=regle!$K$11,regle!$K$23,0))))))))))))</f>
        <v>0</v>
      </c>
      <c r="AH184" s="17">
        <f>IF($A184,$J184*(IF(X184=regle!$B$11,regle!$B$23*IF(AQ184=-2,1+regle!$B$35,1),
IF(X184=regle!$C$11,regle!$C$23,
IF(X184=regle!$D$11,regle!$D$23,
IF(X184=regle!$E$11,regle!$E$23,
IF(X184=regle!$F$11,regle!$F$23,
IF(X184=regle!$G$11,regle!$G$23,
IF(X184=regle!$H$11,regle!$H$23,
IF(X184=regle!$I$11,regle!$I$23,
IF(X184=regle!$J$11,regle!$J$23,
IF(X184=regle!$K$11,regle!$K$23,0))))))))))))</f>
        <v>0</v>
      </c>
      <c r="AI184" s="17">
        <f>IF($A184,$J184*(IF(Y184=regle!$B$11,regle!$B$23*IF(AR184=-2,1+regle!$B$35,1),
IF(Y184=regle!$C$11,regle!$C$23,
IF(Y184=regle!$D$11,regle!$D$23,
IF(Y184=regle!$E$11,regle!$E$23,
IF(Y184=regle!$F$11,regle!$F$23,
IF(Y184=regle!$G$11,regle!$G$23,
IF(Y184=regle!$H$11,regle!$H$23,
IF(Y184=regle!$I$11,regle!$I$23,
IF(Y184=regle!$J$11,regle!$J$23,
IF(Y184=regle!$K$11,regle!$K$23,0))))))))))))</f>
        <v>0</v>
      </c>
      <c r="AJ184" s="17">
        <f>IF($A184,$J184*(IF(Z184=regle!$B$11,regle!$B$23*IF(AS184=-2,1+regle!$B$35,1),
IF(Z184=regle!$C$11,regle!$C$23,
IF(Z184=regle!$D$11,regle!$D$23,
IF(Z184=regle!$E$11,regle!$E$23,
IF(Z184=regle!$F$11,regle!$F$23,
IF(Z184=regle!$G$11,regle!$G$23,
IF(Z184=regle!$H$11,regle!$H$23,
IF(Z184=regle!$I$11,regle!$I$23,
IF(Z184=regle!$J$11,regle!$J$23,
IF(Z184=regle!$K$11,regle!$K$23,0))))))))))))</f>
        <v>267.79199999999997</v>
      </c>
      <c r="AK184" s="16">
        <f>IF(OR(Q184=regle!$J$11,Q184=regle!$K$11),-2,IF(Q184=regle!$B$11,0,IF(AK$1=$AK$1,IF($O184,-1,regle!$B$2-$M184),IF(AJ184=-1,-1,AJ184+1))))</f>
        <v>9</v>
      </c>
      <c r="AL184" s="16">
        <f>IF(OR(R184=regle!$J$11,R184=regle!$K$11),-2,IF(R184=regle!$B$11,0,IF(AL$1=$AK$1,IF($O184,-1,regle!$B$2-$M184),IF(AK184=-1,-1,AK184+1))))</f>
        <v>10</v>
      </c>
      <c r="AM184" s="16">
        <f>IF(OR(S184=regle!$J$11,S184=regle!$K$11),-2,IF(S184=regle!$B$11,0,IF(AM$1=$AK$1,IF($O184,-1,regle!$B$2-$M184),IF(AL184=-1,-1,AL184+1))))</f>
        <v>11</v>
      </c>
      <c r="AN184" s="16">
        <f>IF(OR(T184=regle!$J$11,T184=regle!$K$11),-2,IF(T184=regle!$B$11,0,IF(AN$1=$AK$1,IF($O184,-1,regle!$B$2-$M184),IF(AM184=-1,-1,AM184+1))))</f>
        <v>12</v>
      </c>
      <c r="AO184" s="16">
        <f>IF(OR(U184=regle!$J$11,U184=regle!$K$11),-2,IF(U184=regle!$B$11,0,IF(AO$1=$AK$1,IF($O184,-1,regle!$B$2-$M184),IF(AN184=-1,-1,AN184+1))))</f>
        <v>13</v>
      </c>
      <c r="AP184" s="16">
        <f>IF(OR(V184=regle!$J$11,V184=regle!$K$11),-2,IF(V184=regle!$B$11,0,IF(AP$1=$AK$1,IF($O184,-1,regle!$B$2-$M184),IF(AO184=-1,-1,AO184+1))))</f>
        <v>14</v>
      </c>
      <c r="AQ184" s="16">
        <f>IF(OR(W184=regle!$J$11,W184=regle!$K$11),-2,IF(W184=regle!$B$11,0,IF(AQ$1=$AK$1,IF($O184,-1,regle!$B$2-$M184),IF(AP184=-1,-1,AP184+1))))</f>
        <v>15</v>
      </c>
      <c r="AR184" s="16">
        <f>IF(OR(X184=regle!$J$11,X184=regle!$K$11),-2,IF(X184=regle!$B$11,0,IF(AR$1=$AK$1,IF($O184,-1,regle!$B$2-$M184),IF(AQ184=-1,-1,AQ184+1))))</f>
        <v>16</v>
      </c>
      <c r="AS184" s="16">
        <f>IF(OR(Y184=regle!$J$11,Y184=regle!$K$11),-2,IF(Y184=regle!$B$11,0,IF(AS$1=$AK$1,IF($O184,-1,regle!$B$2-$M184),IF(AR184=-1,-1,AR184+1))))</f>
        <v>17</v>
      </c>
      <c r="AT184" s="16">
        <f>IF(OR(Z184=regle!$J$11,Z184=regle!$K$11),-2,IF(Z184=regle!$B$11,0,IF(AT$1=$AK$1,IF($O184,-1,regle!$B$2-$M184),IF(AS184=-1,-1,AS184+1))))</f>
        <v>18</v>
      </c>
    </row>
    <row r="185" spans="1:46" x14ac:dyDescent="0.25">
      <c r="A185" t="b">
        <f>modif1!A185</f>
        <v>1</v>
      </c>
      <c r="B185">
        <f>ROW(modif1!B185)</f>
        <v>185</v>
      </c>
      <c r="C185" t="str">
        <f>modif1!C188</f>
        <v>536</v>
      </c>
      <c r="D185" t="str">
        <f>modif1!D185</f>
        <v>HOSTENS</v>
      </c>
      <c r="E185">
        <f>modif1!E185</f>
        <v>8</v>
      </c>
      <c r="F185" t="str">
        <f>modif1!F185</f>
        <v>LES BECS</v>
      </c>
      <c r="G185" t="str">
        <f>modif1!G185</f>
        <v>0B</v>
      </c>
      <c r="H185">
        <f>modif1!H185</f>
        <v>1213</v>
      </c>
      <c r="I185" t="str">
        <f>modif1!I185</f>
        <v>l</v>
      </c>
      <c r="J185" s="11">
        <f>modif1!J185</f>
        <v>0.2596</v>
      </c>
      <c r="K185" t="str">
        <f>modif1!K185</f>
        <v>PLA</v>
      </c>
      <c r="L185" t="str">
        <f>modif1!L185</f>
        <v>PM</v>
      </c>
      <c r="M185">
        <f>modif1!M185</f>
        <v>2015</v>
      </c>
      <c r="N185" t="str">
        <f>modif1!N185</f>
        <v>PLA-PM_2015</v>
      </c>
      <c r="O185" t="b">
        <f>modif1!O185</f>
        <v>0</v>
      </c>
      <c r="P185">
        <v>40</v>
      </c>
      <c r="T185" t="s">
        <v>1803</v>
      </c>
      <c r="Y185" s="22"/>
      <c r="Z185" t="s">
        <v>1804</v>
      </c>
      <c r="AA185" s="17">
        <f>IF($A185,$J185*(IF(Q185=regle!$B$11,regle!$B$23*IF(AJ185=-2,1+regle!$B$35,1),
IF(Q185=regle!$C$11,regle!$C$23,
IF(Q185=regle!$D$11,regle!$D$23,
IF(Q185=regle!$E$11,regle!$E$23,
IF(Q185=regle!$F$11,regle!$F$23,
IF(Q185=regle!$G$11,regle!$G$23,
IF(Q185=regle!$H$11,regle!$H$23,
IF(Q185=regle!$I$11,regle!$I$23,
IF(Q185=regle!$J$11,regle!$J$23,
IF(Q185=regle!$K$11,regle!$K$23,0))))))))))))</f>
        <v>0</v>
      </c>
      <c r="AB185" s="17">
        <f>IF($A185,$J185*(IF(R185=regle!$B$11,regle!$B$23*IF(AK185=-2,1+regle!$B$35,1),
IF(R185=regle!$C$11,regle!$C$23,
IF(R185=regle!$D$11,regle!$D$23,
IF(R185=regle!$E$11,regle!$E$23,
IF(R185=regle!$F$11,regle!$F$23,
IF(R185=regle!$G$11,regle!$G$23,
IF(R185=regle!$H$11,regle!$H$23,
IF(R185=regle!$I$11,regle!$I$23,
IF(R185=regle!$J$11,regle!$J$23,
IF(R185=regle!$K$11,regle!$K$23,0))))))))))))</f>
        <v>0</v>
      </c>
      <c r="AC185" s="17">
        <f>IF($A185,$J185*(IF(S185=regle!$B$11,regle!$B$23*IF(AL185=-2,1+regle!$B$35,1),
IF(S185=regle!$C$11,regle!$C$23,
IF(S185=regle!$D$11,regle!$D$23,
IF(S185=regle!$E$11,regle!$E$23,
IF(S185=regle!$F$11,regle!$F$23,
IF(S185=regle!$G$11,regle!$G$23,
IF(S185=regle!$H$11,regle!$H$23,
IF(S185=regle!$I$11,regle!$I$23,
IF(S185=regle!$J$11,regle!$J$23,
IF(S185=regle!$K$11,regle!$K$23,0))))))))))))</f>
        <v>0</v>
      </c>
      <c r="AD185" s="17">
        <f>IF($A185,$J185*(IF(T185=regle!$B$11,regle!$B$23*IF(AM185=-2,1+regle!$B$35,1),
IF(T185=regle!$C$11,regle!$C$23,
IF(T185=regle!$D$11,regle!$D$23,
IF(T185=regle!$E$11,regle!$E$23,
IF(T185=regle!$F$11,regle!$F$23,
IF(T185=regle!$G$11,regle!$G$23,
IF(T185=regle!$H$11,regle!$H$23,
IF(T185=regle!$I$11,regle!$I$23,
IF(T185=regle!$J$11,regle!$J$23,
IF(T185=regle!$K$11,regle!$K$23,0))))))))))))</f>
        <v>149.52959999999999</v>
      </c>
      <c r="AE185" s="17">
        <f>IF($A185,$J185*(IF(U185=regle!$B$11,regle!$B$23*IF(AN185=-2,1+regle!$B$35,1),
IF(U185=regle!$C$11,regle!$C$23,
IF(U185=regle!$D$11,regle!$D$23,
IF(U185=regle!$E$11,regle!$E$23,
IF(U185=regle!$F$11,regle!$F$23,
IF(U185=regle!$G$11,regle!$G$23,
IF(U185=regle!$H$11,regle!$H$23,
IF(U185=regle!$I$11,regle!$I$23,
IF(U185=regle!$J$11,regle!$J$23,
IF(U185=regle!$K$11,regle!$K$23,0))))))))))))</f>
        <v>0</v>
      </c>
      <c r="AF185" s="17">
        <f>IF($A185,$J185*(IF(V185=regle!$B$11,regle!$B$23*IF(AO185=-2,1+regle!$B$35,1),
IF(V185=regle!$C$11,regle!$C$23,
IF(V185=regle!$D$11,regle!$D$23,
IF(V185=regle!$E$11,regle!$E$23,
IF(V185=regle!$F$11,regle!$F$23,
IF(V185=regle!$G$11,regle!$G$23,
IF(V185=regle!$H$11,regle!$H$23,
IF(V185=regle!$I$11,regle!$I$23,
IF(V185=regle!$J$11,regle!$J$23,
IF(V185=regle!$K$11,regle!$K$23,0))))))))))))</f>
        <v>0</v>
      </c>
      <c r="AG185" s="17">
        <f>IF($A185,$J185*(IF(W185=regle!$B$11,regle!$B$23*IF(AP185=-2,1+regle!$B$35,1),
IF(W185=regle!$C$11,regle!$C$23,
IF(W185=regle!$D$11,regle!$D$23,
IF(W185=regle!$E$11,regle!$E$23,
IF(W185=regle!$F$11,regle!$F$23,
IF(W185=regle!$G$11,regle!$G$23,
IF(W185=regle!$H$11,regle!$H$23,
IF(W185=regle!$I$11,regle!$I$23,
IF(W185=regle!$J$11,regle!$J$23,
IF(W185=regle!$K$11,regle!$K$23,0))))))))))))</f>
        <v>0</v>
      </c>
      <c r="AH185" s="17">
        <f>IF($A185,$J185*(IF(X185=regle!$B$11,regle!$B$23*IF(AQ185=-2,1+regle!$B$35,1),
IF(X185=regle!$C$11,regle!$C$23,
IF(X185=regle!$D$11,regle!$D$23,
IF(X185=regle!$E$11,regle!$E$23,
IF(X185=regle!$F$11,regle!$F$23,
IF(X185=regle!$G$11,regle!$G$23,
IF(X185=regle!$H$11,regle!$H$23,
IF(X185=regle!$I$11,regle!$I$23,
IF(X185=regle!$J$11,regle!$J$23,
IF(X185=regle!$K$11,regle!$K$23,0))))))))))))</f>
        <v>0</v>
      </c>
      <c r="AI185" s="17">
        <f>IF($A185,$J185*(IF(Y185=regle!$B$11,regle!$B$23*IF(AR185=-2,1+regle!$B$35,1),
IF(Y185=regle!$C$11,regle!$C$23,
IF(Y185=regle!$D$11,regle!$D$23,
IF(Y185=regle!$E$11,regle!$E$23,
IF(Y185=regle!$F$11,regle!$F$23,
IF(Y185=regle!$G$11,regle!$G$23,
IF(Y185=regle!$H$11,regle!$H$23,
IF(Y185=regle!$I$11,regle!$I$23,
IF(Y185=regle!$J$11,regle!$J$23,
IF(Y185=regle!$K$11,regle!$K$23,0))))))))))))</f>
        <v>0</v>
      </c>
      <c r="AJ185" s="17">
        <f>IF($A185,$J185*(IF(Z185=regle!$B$11,regle!$B$23*IF(AS185=-2,1+regle!$B$35,1),
IF(Z185=regle!$C$11,regle!$C$23,
IF(Z185=regle!$D$11,regle!$D$23,
IF(Z185=regle!$E$11,regle!$E$23,
IF(Z185=regle!$F$11,regle!$F$23,
IF(Z185=regle!$G$11,regle!$G$23,
IF(Z185=regle!$H$11,regle!$H$23,
IF(Z185=regle!$I$11,regle!$I$23,
IF(Z185=regle!$J$11,regle!$J$23,
IF(Z185=regle!$K$11,regle!$K$23,0))))))))))))</f>
        <v>218.06399999999999</v>
      </c>
      <c r="AK185" s="16">
        <f>IF(OR(Q185=regle!$J$11,Q185=regle!$K$11),-2,IF(Q185=regle!$B$11,0,IF(AK$1=$AK$1,IF($O185,-1,regle!$B$2-$M185),IF(AJ185=-1,-1,AJ185+1))))</f>
        <v>9</v>
      </c>
      <c r="AL185" s="16">
        <f>IF(OR(R185=regle!$J$11,R185=regle!$K$11),-2,IF(R185=regle!$B$11,0,IF(AL$1=$AK$1,IF($O185,-1,regle!$B$2-$M185),IF(AK185=-1,-1,AK185+1))))</f>
        <v>10</v>
      </c>
      <c r="AM185" s="16">
        <f>IF(OR(S185=regle!$J$11,S185=regle!$K$11),-2,IF(S185=regle!$B$11,0,IF(AM$1=$AK$1,IF($O185,-1,regle!$B$2-$M185),IF(AL185=-1,-1,AL185+1))))</f>
        <v>11</v>
      </c>
      <c r="AN185" s="16">
        <f>IF(OR(T185=regle!$J$11,T185=regle!$K$11),-2,IF(T185=regle!$B$11,0,IF(AN$1=$AK$1,IF($O185,-1,regle!$B$2-$M185),IF(AM185=-1,-1,AM185+1))))</f>
        <v>12</v>
      </c>
      <c r="AO185" s="16">
        <f>IF(OR(U185=regle!$J$11,U185=regle!$K$11),-2,IF(U185=regle!$B$11,0,IF(AO$1=$AK$1,IF($O185,-1,regle!$B$2-$M185),IF(AN185=-1,-1,AN185+1))))</f>
        <v>13</v>
      </c>
      <c r="AP185" s="16">
        <f>IF(OR(V185=regle!$J$11,V185=regle!$K$11),-2,IF(V185=regle!$B$11,0,IF(AP$1=$AK$1,IF($O185,-1,regle!$B$2-$M185),IF(AO185=-1,-1,AO185+1))))</f>
        <v>14</v>
      </c>
      <c r="AQ185" s="16">
        <f>IF(OR(W185=regle!$J$11,W185=regle!$K$11),-2,IF(W185=regle!$B$11,0,IF(AQ$1=$AK$1,IF($O185,-1,regle!$B$2-$M185),IF(AP185=-1,-1,AP185+1))))</f>
        <v>15</v>
      </c>
      <c r="AR185" s="16">
        <f>IF(OR(X185=regle!$J$11,X185=regle!$K$11),-2,IF(X185=regle!$B$11,0,IF(AR$1=$AK$1,IF($O185,-1,regle!$B$2-$M185),IF(AQ185=-1,-1,AQ185+1))))</f>
        <v>16</v>
      </c>
      <c r="AS185" s="16">
        <f>IF(OR(Y185=regle!$J$11,Y185=regle!$K$11),-2,IF(Y185=regle!$B$11,0,IF(AS$1=$AK$1,IF($O185,-1,regle!$B$2-$M185),IF(AR185=-1,-1,AR185+1))))</f>
        <v>17</v>
      </c>
      <c r="AT185" s="16">
        <f>IF(OR(Z185=regle!$J$11,Z185=regle!$K$11),-2,IF(Z185=regle!$B$11,0,IF(AT$1=$AK$1,IF($O185,-1,regle!$B$2-$M185),IF(AS185=-1,-1,AS185+1))))</f>
        <v>18</v>
      </c>
    </row>
    <row r="186" spans="1:46" x14ac:dyDescent="0.25">
      <c r="A186" t="b">
        <f>modif1!A186</f>
        <v>1</v>
      </c>
      <c r="B186">
        <f>ROW(modif1!B186)</f>
        <v>186</v>
      </c>
      <c r="C186" t="str">
        <f>modif1!C189</f>
        <v>202</v>
      </c>
      <c r="D186" t="str">
        <f>modif1!D186</f>
        <v>HOSTENS</v>
      </c>
      <c r="E186">
        <f>modif1!E186</f>
        <v>8</v>
      </c>
      <c r="F186" t="str">
        <f>modif1!F186</f>
        <v>LES BECS</v>
      </c>
      <c r="G186" t="str">
        <f>modif1!G186</f>
        <v>0B</v>
      </c>
      <c r="H186">
        <f>modif1!H186</f>
        <v>2472</v>
      </c>
      <c r="I186" t="str">
        <f>modif1!I186</f>
        <v>o</v>
      </c>
      <c r="J186" s="11">
        <f>modif1!J186</f>
        <v>0.2477</v>
      </c>
      <c r="K186" t="str">
        <f>modif1!K186</f>
        <v>PLA</v>
      </c>
      <c r="L186" t="str">
        <f>modif1!L186</f>
        <v>PM</v>
      </c>
      <c r="M186">
        <f>modif1!M186</f>
        <v>2015</v>
      </c>
      <c r="N186" t="str">
        <f>modif1!N186</f>
        <v>PLA-PM_2015</v>
      </c>
      <c r="O186" t="b">
        <f>modif1!O186</f>
        <v>0</v>
      </c>
      <c r="P186">
        <v>40</v>
      </c>
      <c r="T186" t="s">
        <v>1803</v>
      </c>
      <c r="Y186" s="22"/>
      <c r="Z186" t="s">
        <v>1804</v>
      </c>
      <c r="AA186" s="17">
        <f>IF($A186,$J186*(IF(Q186=regle!$B$11,regle!$B$23*IF(AJ186=-2,1+regle!$B$35,1),
IF(Q186=regle!$C$11,regle!$C$23,
IF(Q186=regle!$D$11,regle!$D$23,
IF(Q186=regle!$E$11,regle!$E$23,
IF(Q186=regle!$F$11,regle!$F$23,
IF(Q186=regle!$G$11,regle!$G$23,
IF(Q186=regle!$H$11,regle!$H$23,
IF(Q186=regle!$I$11,regle!$I$23,
IF(Q186=regle!$J$11,regle!$J$23,
IF(Q186=regle!$K$11,regle!$K$23,0))))))))))))</f>
        <v>0</v>
      </c>
      <c r="AB186" s="17">
        <f>IF($A186,$J186*(IF(R186=regle!$B$11,regle!$B$23*IF(AK186=-2,1+regle!$B$35,1),
IF(R186=regle!$C$11,regle!$C$23,
IF(R186=regle!$D$11,regle!$D$23,
IF(R186=regle!$E$11,regle!$E$23,
IF(R186=regle!$F$11,regle!$F$23,
IF(R186=regle!$G$11,regle!$G$23,
IF(R186=regle!$H$11,regle!$H$23,
IF(R186=regle!$I$11,regle!$I$23,
IF(R186=regle!$J$11,regle!$J$23,
IF(R186=regle!$K$11,regle!$K$23,0))))))))))))</f>
        <v>0</v>
      </c>
      <c r="AC186" s="17">
        <f>IF($A186,$J186*(IF(S186=regle!$B$11,regle!$B$23*IF(AL186=-2,1+regle!$B$35,1),
IF(S186=regle!$C$11,regle!$C$23,
IF(S186=regle!$D$11,regle!$D$23,
IF(S186=regle!$E$11,regle!$E$23,
IF(S186=regle!$F$11,regle!$F$23,
IF(S186=regle!$G$11,regle!$G$23,
IF(S186=regle!$H$11,regle!$H$23,
IF(S186=regle!$I$11,regle!$I$23,
IF(S186=regle!$J$11,regle!$J$23,
IF(S186=regle!$K$11,regle!$K$23,0))))))))))))</f>
        <v>0</v>
      </c>
      <c r="AD186" s="17">
        <f>IF($A186,$J186*(IF(T186=regle!$B$11,regle!$B$23*IF(AM186=-2,1+regle!$B$35,1),
IF(T186=regle!$C$11,regle!$C$23,
IF(T186=regle!$D$11,regle!$D$23,
IF(T186=regle!$E$11,regle!$E$23,
IF(T186=regle!$F$11,regle!$F$23,
IF(T186=regle!$G$11,regle!$G$23,
IF(T186=regle!$H$11,regle!$H$23,
IF(T186=regle!$I$11,regle!$I$23,
IF(T186=regle!$J$11,regle!$J$23,
IF(T186=regle!$K$11,regle!$K$23,0))))))))))))</f>
        <v>142.67519999999999</v>
      </c>
      <c r="AE186" s="17">
        <f>IF($A186,$J186*(IF(U186=regle!$B$11,regle!$B$23*IF(AN186=-2,1+regle!$B$35,1),
IF(U186=regle!$C$11,regle!$C$23,
IF(U186=regle!$D$11,regle!$D$23,
IF(U186=regle!$E$11,regle!$E$23,
IF(U186=regle!$F$11,regle!$F$23,
IF(U186=regle!$G$11,regle!$G$23,
IF(U186=regle!$H$11,regle!$H$23,
IF(U186=regle!$I$11,regle!$I$23,
IF(U186=regle!$J$11,regle!$J$23,
IF(U186=regle!$K$11,regle!$K$23,0))))))))))))</f>
        <v>0</v>
      </c>
      <c r="AF186" s="17">
        <f>IF($A186,$J186*(IF(V186=regle!$B$11,regle!$B$23*IF(AO186=-2,1+regle!$B$35,1),
IF(V186=regle!$C$11,regle!$C$23,
IF(V186=regle!$D$11,regle!$D$23,
IF(V186=regle!$E$11,regle!$E$23,
IF(V186=regle!$F$11,regle!$F$23,
IF(V186=regle!$G$11,regle!$G$23,
IF(V186=regle!$H$11,regle!$H$23,
IF(V186=regle!$I$11,regle!$I$23,
IF(V186=regle!$J$11,regle!$J$23,
IF(V186=regle!$K$11,regle!$K$23,0))))))))))))</f>
        <v>0</v>
      </c>
      <c r="AG186" s="17">
        <f>IF($A186,$J186*(IF(W186=regle!$B$11,regle!$B$23*IF(AP186=-2,1+regle!$B$35,1),
IF(W186=regle!$C$11,regle!$C$23,
IF(W186=regle!$D$11,regle!$D$23,
IF(W186=regle!$E$11,regle!$E$23,
IF(W186=regle!$F$11,regle!$F$23,
IF(W186=regle!$G$11,regle!$G$23,
IF(W186=regle!$H$11,regle!$H$23,
IF(W186=regle!$I$11,regle!$I$23,
IF(W186=regle!$J$11,regle!$J$23,
IF(W186=regle!$K$11,regle!$K$23,0))))))))))))</f>
        <v>0</v>
      </c>
      <c r="AH186" s="17">
        <f>IF($A186,$J186*(IF(X186=regle!$B$11,regle!$B$23*IF(AQ186=-2,1+regle!$B$35,1),
IF(X186=regle!$C$11,regle!$C$23,
IF(X186=regle!$D$11,regle!$D$23,
IF(X186=regle!$E$11,regle!$E$23,
IF(X186=regle!$F$11,regle!$F$23,
IF(X186=regle!$G$11,regle!$G$23,
IF(X186=regle!$H$11,regle!$H$23,
IF(X186=regle!$I$11,regle!$I$23,
IF(X186=regle!$J$11,regle!$J$23,
IF(X186=regle!$K$11,regle!$K$23,0))))))))))))</f>
        <v>0</v>
      </c>
      <c r="AI186" s="17">
        <f>IF($A186,$J186*(IF(Y186=regle!$B$11,regle!$B$23*IF(AR186=-2,1+regle!$B$35,1),
IF(Y186=regle!$C$11,regle!$C$23,
IF(Y186=regle!$D$11,regle!$D$23,
IF(Y186=regle!$E$11,regle!$E$23,
IF(Y186=regle!$F$11,regle!$F$23,
IF(Y186=regle!$G$11,regle!$G$23,
IF(Y186=regle!$H$11,regle!$H$23,
IF(Y186=regle!$I$11,regle!$I$23,
IF(Y186=regle!$J$11,regle!$J$23,
IF(Y186=regle!$K$11,regle!$K$23,0))))))))))))</f>
        <v>0</v>
      </c>
      <c r="AJ186" s="17">
        <f>IF($A186,$J186*(IF(Z186=regle!$B$11,regle!$B$23*IF(AS186=-2,1+regle!$B$35,1),
IF(Z186=regle!$C$11,regle!$C$23,
IF(Z186=regle!$D$11,regle!$D$23,
IF(Z186=regle!$E$11,regle!$E$23,
IF(Z186=regle!$F$11,regle!$F$23,
IF(Z186=regle!$G$11,regle!$G$23,
IF(Z186=regle!$H$11,regle!$H$23,
IF(Z186=regle!$I$11,regle!$I$23,
IF(Z186=regle!$J$11,regle!$J$23,
IF(Z186=regle!$K$11,regle!$K$23,0))))))))))))</f>
        <v>208.06800000000001</v>
      </c>
      <c r="AK186" s="16">
        <f>IF(OR(Q186=regle!$J$11,Q186=regle!$K$11),-2,IF(Q186=regle!$B$11,0,IF(AK$1=$AK$1,IF($O186,-1,regle!$B$2-$M186),IF(AJ186=-1,-1,AJ186+1))))</f>
        <v>9</v>
      </c>
      <c r="AL186" s="16">
        <f>IF(OR(R186=regle!$J$11,R186=regle!$K$11),-2,IF(R186=regle!$B$11,0,IF(AL$1=$AK$1,IF($O186,-1,regle!$B$2-$M186),IF(AK186=-1,-1,AK186+1))))</f>
        <v>10</v>
      </c>
      <c r="AM186" s="16">
        <f>IF(OR(S186=regle!$J$11,S186=regle!$K$11),-2,IF(S186=regle!$B$11,0,IF(AM$1=$AK$1,IF($O186,-1,regle!$B$2-$M186),IF(AL186=-1,-1,AL186+1))))</f>
        <v>11</v>
      </c>
      <c r="AN186" s="16">
        <f>IF(OR(T186=regle!$J$11,T186=regle!$K$11),-2,IF(T186=regle!$B$11,0,IF(AN$1=$AK$1,IF($O186,-1,regle!$B$2-$M186),IF(AM186=-1,-1,AM186+1))))</f>
        <v>12</v>
      </c>
      <c r="AO186" s="16">
        <f>IF(OR(U186=regle!$J$11,U186=regle!$K$11),-2,IF(U186=regle!$B$11,0,IF(AO$1=$AK$1,IF($O186,-1,regle!$B$2-$M186),IF(AN186=-1,-1,AN186+1))))</f>
        <v>13</v>
      </c>
      <c r="AP186" s="16">
        <f>IF(OR(V186=regle!$J$11,V186=regle!$K$11),-2,IF(V186=regle!$B$11,0,IF(AP$1=$AK$1,IF($O186,-1,regle!$B$2-$M186),IF(AO186=-1,-1,AO186+1))))</f>
        <v>14</v>
      </c>
      <c r="AQ186" s="16">
        <f>IF(OR(W186=regle!$J$11,W186=regle!$K$11),-2,IF(W186=regle!$B$11,0,IF(AQ$1=$AK$1,IF($O186,-1,regle!$B$2-$M186),IF(AP186=-1,-1,AP186+1))))</f>
        <v>15</v>
      </c>
      <c r="AR186" s="16">
        <f>IF(OR(X186=regle!$J$11,X186=regle!$K$11),-2,IF(X186=regle!$B$11,0,IF(AR$1=$AK$1,IF($O186,-1,regle!$B$2-$M186),IF(AQ186=-1,-1,AQ186+1))))</f>
        <v>16</v>
      </c>
      <c r="AS186" s="16">
        <f>IF(OR(Y186=regle!$J$11,Y186=regle!$K$11),-2,IF(Y186=regle!$B$11,0,IF(AS$1=$AK$1,IF($O186,-1,regle!$B$2-$M186),IF(AR186=-1,-1,AR186+1))))</f>
        <v>17</v>
      </c>
      <c r="AT186" s="16">
        <f>IF(OR(Z186=regle!$J$11,Z186=regle!$K$11),-2,IF(Z186=regle!$B$11,0,IF(AT$1=$AK$1,IF($O186,-1,regle!$B$2-$M186),IF(AS186=-1,-1,AS186+1))))</f>
        <v>18</v>
      </c>
    </row>
    <row r="187" spans="1:46" x14ac:dyDescent="0.25">
      <c r="A187" t="b">
        <f>modif1!A187</f>
        <v>1</v>
      </c>
      <c r="B187">
        <f>ROW(modif1!B187)</f>
        <v>187</v>
      </c>
      <c r="C187" t="str">
        <f>modif1!C190</f>
        <v>077</v>
      </c>
      <c r="D187" t="str">
        <f>modif1!D187</f>
        <v>HOSTENS</v>
      </c>
      <c r="E187">
        <f>modif1!E187</f>
        <v>8</v>
      </c>
      <c r="F187" t="str">
        <f>modif1!F187</f>
        <v>LES BECS</v>
      </c>
      <c r="G187" t="str">
        <f>modif1!G187</f>
        <v>0B</v>
      </c>
      <c r="H187">
        <f>modif1!H187</f>
        <v>1211</v>
      </c>
      <c r="I187" t="str">
        <f>modif1!I187</f>
        <v/>
      </c>
      <c r="J187" s="11">
        <f>modif1!J187</f>
        <v>0.2145</v>
      </c>
      <c r="K187" t="str">
        <f>modif1!K187</f>
        <v>PLA</v>
      </c>
      <c r="L187" t="str">
        <f>modif1!L187</f>
        <v>PM</v>
      </c>
      <c r="M187">
        <f>modif1!M187</f>
        <v>2015</v>
      </c>
      <c r="N187" t="str">
        <f>modif1!N187</f>
        <v>PLA-PM_2015</v>
      </c>
      <c r="O187" t="b">
        <f>modif1!O187</f>
        <v>0</v>
      </c>
      <c r="P187">
        <v>40</v>
      </c>
      <c r="T187" t="s">
        <v>1803</v>
      </c>
      <c r="Y187" s="22"/>
      <c r="Z187" t="s">
        <v>1804</v>
      </c>
      <c r="AA187" s="17">
        <f>IF($A187,$J187*(IF(Q187=regle!$B$11,regle!$B$23*IF(AJ187=-2,1+regle!$B$35,1),
IF(Q187=regle!$C$11,regle!$C$23,
IF(Q187=regle!$D$11,regle!$D$23,
IF(Q187=regle!$E$11,regle!$E$23,
IF(Q187=regle!$F$11,regle!$F$23,
IF(Q187=regle!$G$11,regle!$G$23,
IF(Q187=regle!$H$11,regle!$H$23,
IF(Q187=regle!$I$11,regle!$I$23,
IF(Q187=regle!$J$11,regle!$J$23,
IF(Q187=regle!$K$11,regle!$K$23,0))))))))))))</f>
        <v>0</v>
      </c>
      <c r="AB187" s="17">
        <f>IF($A187,$J187*(IF(R187=regle!$B$11,regle!$B$23*IF(AK187=-2,1+regle!$B$35,1),
IF(R187=regle!$C$11,regle!$C$23,
IF(R187=regle!$D$11,regle!$D$23,
IF(R187=regle!$E$11,regle!$E$23,
IF(R187=regle!$F$11,regle!$F$23,
IF(R187=regle!$G$11,regle!$G$23,
IF(R187=regle!$H$11,regle!$H$23,
IF(R187=regle!$I$11,regle!$I$23,
IF(R187=regle!$J$11,regle!$J$23,
IF(R187=regle!$K$11,regle!$K$23,0))))))))))))</f>
        <v>0</v>
      </c>
      <c r="AC187" s="17">
        <f>IF($A187,$J187*(IF(S187=regle!$B$11,regle!$B$23*IF(AL187=-2,1+regle!$B$35,1),
IF(S187=regle!$C$11,regle!$C$23,
IF(S187=regle!$D$11,regle!$D$23,
IF(S187=regle!$E$11,regle!$E$23,
IF(S187=regle!$F$11,regle!$F$23,
IF(S187=regle!$G$11,regle!$G$23,
IF(S187=regle!$H$11,regle!$H$23,
IF(S187=regle!$I$11,regle!$I$23,
IF(S187=regle!$J$11,regle!$J$23,
IF(S187=regle!$K$11,regle!$K$23,0))))))))))))</f>
        <v>0</v>
      </c>
      <c r="AD187" s="17">
        <f>IF($A187,$J187*(IF(T187=regle!$B$11,regle!$B$23*IF(AM187=-2,1+regle!$B$35,1),
IF(T187=regle!$C$11,regle!$C$23,
IF(T187=regle!$D$11,regle!$D$23,
IF(T187=regle!$E$11,regle!$E$23,
IF(T187=regle!$F$11,regle!$F$23,
IF(T187=regle!$G$11,regle!$G$23,
IF(T187=regle!$H$11,regle!$H$23,
IF(T187=regle!$I$11,regle!$I$23,
IF(T187=regle!$J$11,regle!$J$23,
IF(T187=regle!$K$11,regle!$K$23,0))))))))))))</f>
        <v>123.55199999999999</v>
      </c>
      <c r="AE187" s="17">
        <f>IF($A187,$J187*(IF(U187=regle!$B$11,regle!$B$23*IF(AN187=-2,1+regle!$B$35,1),
IF(U187=regle!$C$11,regle!$C$23,
IF(U187=regle!$D$11,regle!$D$23,
IF(U187=regle!$E$11,regle!$E$23,
IF(U187=regle!$F$11,regle!$F$23,
IF(U187=regle!$G$11,regle!$G$23,
IF(U187=regle!$H$11,regle!$H$23,
IF(U187=regle!$I$11,regle!$I$23,
IF(U187=regle!$J$11,regle!$J$23,
IF(U187=regle!$K$11,regle!$K$23,0))))))))))))</f>
        <v>0</v>
      </c>
      <c r="AF187" s="17">
        <f>IF($A187,$J187*(IF(V187=regle!$B$11,regle!$B$23*IF(AO187=-2,1+regle!$B$35,1),
IF(V187=regle!$C$11,regle!$C$23,
IF(V187=regle!$D$11,regle!$D$23,
IF(V187=regle!$E$11,regle!$E$23,
IF(V187=regle!$F$11,regle!$F$23,
IF(V187=regle!$G$11,regle!$G$23,
IF(V187=regle!$H$11,regle!$H$23,
IF(V187=regle!$I$11,regle!$I$23,
IF(V187=regle!$J$11,regle!$J$23,
IF(V187=regle!$K$11,regle!$K$23,0))))))))))))</f>
        <v>0</v>
      </c>
      <c r="AG187" s="17">
        <f>IF($A187,$J187*(IF(W187=regle!$B$11,regle!$B$23*IF(AP187=-2,1+regle!$B$35,1),
IF(W187=regle!$C$11,regle!$C$23,
IF(W187=regle!$D$11,regle!$D$23,
IF(W187=regle!$E$11,regle!$E$23,
IF(W187=regle!$F$11,regle!$F$23,
IF(W187=regle!$G$11,regle!$G$23,
IF(W187=regle!$H$11,regle!$H$23,
IF(W187=regle!$I$11,regle!$I$23,
IF(W187=regle!$J$11,regle!$J$23,
IF(W187=regle!$K$11,regle!$K$23,0))))))))))))</f>
        <v>0</v>
      </c>
      <c r="AH187" s="17">
        <f>IF($A187,$J187*(IF(X187=regle!$B$11,regle!$B$23*IF(AQ187=-2,1+regle!$B$35,1),
IF(X187=regle!$C$11,regle!$C$23,
IF(X187=regle!$D$11,regle!$D$23,
IF(X187=regle!$E$11,regle!$E$23,
IF(X187=regle!$F$11,regle!$F$23,
IF(X187=regle!$G$11,regle!$G$23,
IF(X187=regle!$H$11,regle!$H$23,
IF(X187=regle!$I$11,regle!$I$23,
IF(X187=regle!$J$11,regle!$J$23,
IF(X187=regle!$K$11,regle!$K$23,0))))))))))))</f>
        <v>0</v>
      </c>
      <c r="AI187" s="17">
        <f>IF($A187,$J187*(IF(Y187=regle!$B$11,regle!$B$23*IF(AR187=-2,1+regle!$B$35,1),
IF(Y187=regle!$C$11,regle!$C$23,
IF(Y187=regle!$D$11,regle!$D$23,
IF(Y187=regle!$E$11,regle!$E$23,
IF(Y187=regle!$F$11,regle!$F$23,
IF(Y187=regle!$G$11,regle!$G$23,
IF(Y187=regle!$H$11,regle!$H$23,
IF(Y187=regle!$I$11,regle!$I$23,
IF(Y187=regle!$J$11,regle!$J$23,
IF(Y187=regle!$K$11,regle!$K$23,0))))))))))))</f>
        <v>0</v>
      </c>
      <c r="AJ187" s="17">
        <f>IF($A187,$J187*(IF(Z187=regle!$B$11,regle!$B$23*IF(AS187=-2,1+regle!$B$35,1),
IF(Z187=regle!$C$11,regle!$C$23,
IF(Z187=regle!$D$11,regle!$D$23,
IF(Z187=regle!$E$11,regle!$E$23,
IF(Z187=regle!$F$11,regle!$F$23,
IF(Z187=regle!$G$11,regle!$G$23,
IF(Z187=regle!$H$11,regle!$H$23,
IF(Z187=regle!$I$11,regle!$I$23,
IF(Z187=regle!$J$11,regle!$J$23,
IF(Z187=regle!$K$11,regle!$K$23,0))))))))))))</f>
        <v>180.18</v>
      </c>
      <c r="AK187" s="16">
        <f>IF(OR(Q187=regle!$J$11,Q187=regle!$K$11),-2,IF(Q187=regle!$B$11,0,IF(AK$1=$AK$1,IF($O187,-1,regle!$B$2-$M187),IF(AJ187=-1,-1,AJ187+1))))</f>
        <v>9</v>
      </c>
      <c r="AL187" s="16">
        <f>IF(OR(R187=regle!$J$11,R187=regle!$K$11),-2,IF(R187=regle!$B$11,0,IF(AL$1=$AK$1,IF($O187,-1,regle!$B$2-$M187),IF(AK187=-1,-1,AK187+1))))</f>
        <v>10</v>
      </c>
      <c r="AM187" s="16">
        <f>IF(OR(S187=regle!$J$11,S187=regle!$K$11),-2,IF(S187=regle!$B$11,0,IF(AM$1=$AK$1,IF($O187,-1,regle!$B$2-$M187),IF(AL187=-1,-1,AL187+1))))</f>
        <v>11</v>
      </c>
      <c r="AN187" s="16">
        <f>IF(OR(T187=regle!$J$11,T187=regle!$K$11),-2,IF(T187=regle!$B$11,0,IF(AN$1=$AK$1,IF($O187,-1,regle!$B$2-$M187),IF(AM187=-1,-1,AM187+1))))</f>
        <v>12</v>
      </c>
      <c r="AO187" s="16">
        <f>IF(OR(U187=regle!$J$11,U187=regle!$K$11),-2,IF(U187=regle!$B$11,0,IF(AO$1=$AK$1,IF($O187,-1,regle!$B$2-$M187),IF(AN187=-1,-1,AN187+1))))</f>
        <v>13</v>
      </c>
      <c r="AP187" s="16">
        <f>IF(OR(V187=regle!$J$11,V187=regle!$K$11),-2,IF(V187=regle!$B$11,0,IF(AP$1=$AK$1,IF($O187,-1,regle!$B$2-$M187),IF(AO187=-1,-1,AO187+1))))</f>
        <v>14</v>
      </c>
      <c r="AQ187" s="16">
        <f>IF(OR(W187=regle!$J$11,W187=regle!$K$11),-2,IF(W187=regle!$B$11,0,IF(AQ$1=$AK$1,IF($O187,-1,regle!$B$2-$M187),IF(AP187=-1,-1,AP187+1))))</f>
        <v>15</v>
      </c>
      <c r="AR187" s="16">
        <f>IF(OR(X187=regle!$J$11,X187=regle!$K$11),-2,IF(X187=regle!$B$11,0,IF(AR$1=$AK$1,IF($O187,-1,regle!$B$2-$M187),IF(AQ187=-1,-1,AQ187+1))))</f>
        <v>16</v>
      </c>
      <c r="AS187" s="16">
        <f>IF(OR(Y187=regle!$J$11,Y187=regle!$K$11),-2,IF(Y187=regle!$B$11,0,IF(AS$1=$AK$1,IF($O187,-1,regle!$B$2-$M187),IF(AR187=-1,-1,AR187+1))))</f>
        <v>17</v>
      </c>
      <c r="AT187" s="16">
        <f>IF(OR(Z187=regle!$J$11,Z187=regle!$K$11),-2,IF(Z187=regle!$B$11,0,IF(AT$1=$AK$1,IF($O187,-1,regle!$B$2-$M187),IF(AS187=-1,-1,AS187+1))))</f>
        <v>18</v>
      </c>
    </row>
    <row r="188" spans="1:46" x14ac:dyDescent="0.25">
      <c r="A188" t="b">
        <f>modif1!A188</f>
        <v>1</v>
      </c>
      <c r="B188">
        <f>ROW(modif1!B188)</f>
        <v>188</v>
      </c>
      <c r="C188" t="str">
        <f>modif1!C191</f>
        <v>202</v>
      </c>
      <c r="D188" t="str">
        <f>modif1!D188</f>
        <v>LE TUZAN</v>
      </c>
      <c r="E188">
        <f>modif1!E188</f>
        <v>21</v>
      </c>
      <c r="F188" t="str">
        <f>modif1!F188</f>
        <v>METAIRIES DE TABARTON</v>
      </c>
      <c r="G188" t="str">
        <f>modif1!G188</f>
        <v>0A</v>
      </c>
      <c r="H188">
        <f>modif1!H188</f>
        <v>848</v>
      </c>
      <c r="I188" t="str">
        <f>modif1!I188</f>
        <v>j</v>
      </c>
      <c r="J188" s="11">
        <f>modif1!J188</f>
        <v>0.2114</v>
      </c>
      <c r="K188" t="str">
        <f>modif1!K188</f>
        <v>PLA</v>
      </c>
      <c r="L188" t="str">
        <f>modif1!L188</f>
        <v>PM</v>
      </c>
      <c r="M188">
        <f>modif1!M188</f>
        <v>2015</v>
      </c>
      <c r="N188" t="str">
        <f>modif1!N188</f>
        <v>PLA-PM_2015</v>
      </c>
      <c r="O188" t="b">
        <f>modif1!O188</f>
        <v>0</v>
      </c>
      <c r="P188">
        <v>40</v>
      </c>
      <c r="T188" t="s">
        <v>1803</v>
      </c>
      <c r="Y188" s="22"/>
      <c r="Z188" t="s">
        <v>1804</v>
      </c>
      <c r="AA188" s="17">
        <f>IF($A188,$J188*(IF(Q188=regle!$B$11,regle!$B$23*IF(AJ188=-2,1+regle!$B$35,1),
IF(Q188=regle!$C$11,regle!$C$23,
IF(Q188=regle!$D$11,regle!$D$23,
IF(Q188=regle!$E$11,regle!$E$23,
IF(Q188=regle!$F$11,regle!$F$23,
IF(Q188=regle!$G$11,regle!$G$23,
IF(Q188=regle!$H$11,regle!$H$23,
IF(Q188=regle!$I$11,regle!$I$23,
IF(Q188=regle!$J$11,regle!$J$23,
IF(Q188=regle!$K$11,regle!$K$23,0))))))))))))</f>
        <v>0</v>
      </c>
      <c r="AB188" s="17">
        <f>IF($A188,$J188*(IF(R188=regle!$B$11,regle!$B$23*IF(AK188=-2,1+regle!$B$35,1),
IF(R188=regle!$C$11,regle!$C$23,
IF(R188=regle!$D$11,regle!$D$23,
IF(R188=regle!$E$11,regle!$E$23,
IF(R188=regle!$F$11,regle!$F$23,
IF(R188=regle!$G$11,regle!$G$23,
IF(R188=regle!$H$11,regle!$H$23,
IF(R188=regle!$I$11,regle!$I$23,
IF(R188=regle!$J$11,regle!$J$23,
IF(R188=regle!$K$11,regle!$K$23,0))))))))))))</f>
        <v>0</v>
      </c>
      <c r="AC188" s="17">
        <f>IF($A188,$J188*(IF(S188=regle!$B$11,regle!$B$23*IF(AL188=-2,1+regle!$B$35,1),
IF(S188=regle!$C$11,regle!$C$23,
IF(S188=regle!$D$11,regle!$D$23,
IF(S188=regle!$E$11,regle!$E$23,
IF(S188=regle!$F$11,regle!$F$23,
IF(S188=regle!$G$11,regle!$G$23,
IF(S188=regle!$H$11,regle!$H$23,
IF(S188=regle!$I$11,regle!$I$23,
IF(S188=regle!$J$11,regle!$J$23,
IF(S188=regle!$K$11,regle!$K$23,0))))))))))))</f>
        <v>0</v>
      </c>
      <c r="AD188" s="17">
        <f>IF($A188,$J188*(IF(T188=regle!$B$11,regle!$B$23*IF(AM188=-2,1+regle!$B$35,1),
IF(T188=regle!$C$11,regle!$C$23,
IF(T188=regle!$D$11,regle!$D$23,
IF(T188=regle!$E$11,regle!$E$23,
IF(T188=regle!$F$11,regle!$F$23,
IF(T188=regle!$G$11,regle!$G$23,
IF(T188=regle!$H$11,regle!$H$23,
IF(T188=regle!$I$11,regle!$I$23,
IF(T188=regle!$J$11,regle!$J$23,
IF(T188=regle!$K$11,regle!$K$23,0))))))))))))</f>
        <v>121.7664</v>
      </c>
      <c r="AE188" s="17">
        <f>IF($A188,$J188*(IF(U188=regle!$B$11,regle!$B$23*IF(AN188=-2,1+regle!$B$35,1),
IF(U188=regle!$C$11,regle!$C$23,
IF(U188=regle!$D$11,regle!$D$23,
IF(U188=regle!$E$11,regle!$E$23,
IF(U188=regle!$F$11,regle!$F$23,
IF(U188=regle!$G$11,regle!$G$23,
IF(U188=regle!$H$11,regle!$H$23,
IF(U188=regle!$I$11,regle!$I$23,
IF(U188=regle!$J$11,regle!$J$23,
IF(U188=regle!$K$11,regle!$K$23,0))))))))))))</f>
        <v>0</v>
      </c>
      <c r="AF188" s="17">
        <f>IF($A188,$J188*(IF(V188=regle!$B$11,regle!$B$23*IF(AO188=-2,1+regle!$B$35,1),
IF(V188=regle!$C$11,regle!$C$23,
IF(V188=regle!$D$11,regle!$D$23,
IF(V188=regle!$E$11,regle!$E$23,
IF(V188=regle!$F$11,regle!$F$23,
IF(V188=regle!$G$11,regle!$G$23,
IF(V188=regle!$H$11,regle!$H$23,
IF(V188=regle!$I$11,regle!$I$23,
IF(V188=regle!$J$11,regle!$J$23,
IF(V188=regle!$K$11,regle!$K$23,0))))))))))))</f>
        <v>0</v>
      </c>
      <c r="AG188" s="17">
        <f>IF($A188,$J188*(IF(W188=regle!$B$11,regle!$B$23*IF(AP188=-2,1+regle!$B$35,1),
IF(W188=regle!$C$11,regle!$C$23,
IF(W188=regle!$D$11,regle!$D$23,
IF(W188=regle!$E$11,regle!$E$23,
IF(W188=regle!$F$11,regle!$F$23,
IF(W188=regle!$G$11,regle!$G$23,
IF(W188=regle!$H$11,regle!$H$23,
IF(W188=regle!$I$11,regle!$I$23,
IF(W188=regle!$J$11,regle!$J$23,
IF(W188=regle!$K$11,regle!$K$23,0))))))))))))</f>
        <v>0</v>
      </c>
      <c r="AH188" s="17">
        <f>IF($A188,$J188*(IF(X188=regle!$B$11,regle!$B$23*IF(AQ188=-2,1+regle!$B$35,1),
IF(X188=regle!$C$11,regle!$C$23,
IF(X188=regle!$D$11,regle!$D$23,
IF(X188=regle!$E$11,regle!$E$23,
IF(X188=regle!$F$11,regle!$F$23,
IF(X188=regle!$G$11,regle!$G$23,
IF(X188=regle!$H$11,regle!$H$23,
IF(X188=regle!$I$11,regle!$I$23,
IF(X188=regle!$J$11,regle!$J$23,
IF(X188=regle!$K$11,regle!$K$23,0))))))))))))</f>
        <v>0</v>
      </c>
      <c r="AI188" s="17">
        <f>IF($A188,$J188*(IF(Y188=regle!$B$11,regle!$B$23*IF(AR188=-2,1+regle!$B$35,1),
IF(Y188=regle!$C$11,regle!$C$23,
IF(Y188=regle!$D$11,regle!$D$23,
IF(Y188=regle!$E$11,regle!$E$23,
IF(Y188=regle!$F$11,regle!$F$23,
IF(Y188=regle!$G$11,regle!$G$23,
IF(Y188=regle!$H$11,regle!$H$23,
IF(Y188=regle!$I$11,regle!$I$23,
IF(Y188=regle!$J$11,regle!$J$23,
IF(Y188=regle!$K$11,regle!$K$23,0))))))))))))</f>
        <v>0</v>
      </c>
      <c r="AJ188" s="17">
        <f>IF($A188,$J188*(IF(Z188=regle!$B$11,regle!$B$23*IF(AS188=-2,1+regle!$B$35,1),
IF(Z188=regle!$C$11,regle!$C$23,
IF(Z188=regle!$D$11,regle!$D$23,
IF(Z188=regle!$E$11,regle!$E$23,
IF(Z188=regle!$F$11,regle!$F$23,
IF(Z188=regle!$G$11,regle!$G$23,
IF(Z188=regle!$H$11,regle!$H$23,
IF(Z188=regle!$I$11,regle!$I$23,
IF(Z188=regle!$J$11,regle!$J$23,
IF(Z188=regle!$K$11,regle!$K$23,0))))))))))))</f>
        <v>177.57599999999999</v>
      </c>
      <c r="AK188" s="16">
        <f>IF(OR(Q188=regle!$J$11,Q188=regle!$K$11),-2,IF(Q188=regle!$B$11,0,IF(AK$1=$AK$1,IF($O188,-1,regle!$B$2-$M188),IF(AJ188=-1,-1,AJ188+1))))</f>
        <v>9</v>
      </c>
      <c r="AL188" s="16">
        <f>IF(OR(R188=regle!$J$11,R188=regle!$K$11),-2,IF(R188=regle!$B$11,0,IF(AL$1=$AK$1,IF($O188,-1,regle!$B$2-$M188),IF(AK188=-1,-1,AK188+1))))</f>
        <v>10</v>
      </c>
      <c r="AM188" s="16">
        <f>IF(OR(S188=regle!$J$11,S188=regle!$K$11),-2,IF(S188=regle!$B$11,0,IF(AM$1=$AK$1,IF($O188,-1,regle!$B$2-$M188),IF(AL188=-1,-1,AL188+1))))</f>
        <v>11</v>
      </c>
      <c r="AN188" s="16">
        <f>IF(OR(T188=regle!$J$11,T188=regle!$K$11),-2,IF(T188=regle!$B$11,0,IF(AN$1=$AK$1,IF($O188,-1,regle!$B$2-$M188),IF(AM188=-1,-1,AM188+1))))</f>
        <v>12</v>
      </c>
      <c r="AO188" s="16">
        <f>IF(OR(U188=regle!$J$11,U188=regle!$K$11),-2,IF(U188=regle!$B$11,0,IF(AO$1=$AK$1,IF($O188,-1,regle!$B$2-$M188),IF(AN188=-1,-1,AN188+1))))</f>
        <v>13</v>
      </c>
      <c r="AP188" s="16">
        <f>IF(OR(V188=regle!$J$11,V188=regle!$K$11),-2,IF(V188=regle!$B$11,0,IF(AP$1=$AK$1,IF($O188,-1,regle!$B$2-$M188),IF(AO188=-1,-1,AO188+1))))</f>
        <v>14</v>
      </c>
      <c r="AQ188" s="16">
        <f>IF(OR(W188=regle!$J$11,W188=regle!$K$11),-2,IF(W188=regle!$B$11,0,IF(AQ$1=$AK$1,IF($O188,-1,regle!$B$2-$M188),IF(AP188=-1,-1,AP188+1))))</f>
        <v>15</v>
      </c>
      <c r="AR188" s="16">
        <f>IF(OR(X188=regle!$J$11,X188=regle!$K$11),-2,IF(X188=regle!$B$11,0,IF(AR$1=$AK$1,IF($O188,-1,regle!$B$2-$M188),IF(AQ188=-1,-1,AQ188+1))))</f>
        <v>16</v>
      </c>
      <c r="AS188" s="16">
        <f>IF(OR(Y188=regle!$J$11,Y188=regle!$K$11),-2,IF(Y188=regle!$B$11,0,IF(AS$1=$AK$1,IF($O188,-1,regle!$B$2-$M188),IF(AR188=-1,-1,AR188+1))))</f>
        <v>17</v>
      </c>
      <c r="AT188" s="16">
        <f>IF(OR(Z188=regle!$J$11,Z188=regle!$K$11),-2,IF(Z188=regle!$B$11,0,IF(AT$1=$AK$1,IF($O188,-1,regle!$B$2-$M188),IF(AS188=-1,-1,AS188+1))))</f>
        <v>18</v>
      </c>
    </row>
    <row r="189" spans="1:46" x14ac:dyDescent="0.25">
      <c r="A189" t="b">
        <f>modif1!A189</f>
        <v>1</v>
      </c>
      <c r="B189">
        <f>ROW(modif1!B189)</f>
        <v>189</v>
      </c>
      <c r="C189" t="str">
        <f>modif1!C192</f>
        <v>202</v>
      </c>
      <c r="D189" t="str">
        <f>modif1!D189</f>
        <v>HOSTENS</v>
      </c>
      <c r="E189">
        <f>modif1!E189</f>
        <v>11</v>
      </c>
      <c r="F189" t="str">
        <f>modif1!F189</f>
        <v>LES CAZALAS</v>
      </c>
      <c r="G189" t="str">
        <f>modif1!G189</f>
        <v>0B</v>
      </c>
      <c r="H189">
        <f>modif1!H189</f>
        <v>1160</v>
      </c>
      <c r="I189" t="str">
        <f>modif1!I189</f>
        <v>k</v>
      </c>
      <c r="J189" s="11">
        <f>modif1!J189</f>
        <v>0.21010000000000001</v>
      </c>
      <c r="K189" t="str">
        <f>modif1!K189</f>
        <v>PLA</v>
      </c>
      <c r="L189" t="str">
        <f>modif1!L189</f>
        <v>PM</v>
      </c>
      <c r="M189">
        <f>modif1!M189</f>
        <v>2015</v>
      </c>
      <c r="N189" t="str">
        <f>modif1!N189</f>
        <v>PLA-PM_2015</v>
      </c>
      <c r="O189" t="b">
        <f>modif1!O189</f>
        <v>0</v>
      </c>
      <c r="P189">
        <v>40</v>
      </c>
      <c r="T189" t="s">
        <v>1803</v>
      </c>
      <c r="Y189" s="22"/>
      <c r="Z189" t="s">
        <v>1804</v>
      </c>
      <c r="AA189" s="17">
        <f>IF($A189,$J189*(IF(Q189=regle!$B$11,regle!$B$23*IF(AJ189=-2,1+regle!$B$35,1),
IF(Q189=regle!$C$11,regle!$C$23,
IF(Q189=regle!$D$11,regle!$D$23,
IF(Q189=regle!$E$11,regle!$E$23,
IF(Q189=regle!$F$11,regle!$F$23,
IF(Q189=regle!$G$11,regle!$G$23,
IF(Q189=regle!$H$11,regle!$H$23,
IF(Q189=regle!$I$11,regle!$I$23,
IF(Q189=regle!$J$11,regle!$J$23,
IF(Q189=regle!$K$11,regle!$K$23,0))))))))))))</f>
        <v>0</v>
      </c>
      <c r="AB189" s="17">
        <f>IF($A189,$J189*(IF(R189=regle!$B$11,regle!$B$23*IF(AK189=-2,1+regle!$B$35,1),
IF(R189=regle!$C$11,regle!$C$23,
IF(R189=regle!$D$11,regle!$D$23,
IF(R189=regle!$E$11,regle!$E$23,
IF(R189=regle!$F$11,regle!$F$23,
IF(R189=regle!$G$11,regle!$G$23,
IF(R189=regle!$H$11,regle!$H$23,
IF(R189=regle!$I$11,regle!$I$23,
IF(R189=regle!$J$11,regle!$J$23,
IF(R189=regle!$K$11,regle!$K$23,0))))))))))))</f>
        <v>0</v>
      </c>
      <c r="AC189" s="17">
        <f>IF($A189,$J189*(IF(S189=regle!$B$11,regle!$B$23*IF(AL189=-2,1+regle!$B$35,1),
IF(S189=regle!$C$11,regle!$C$23,
IF(S189=regle!$D$11,regle!$D$23,
IF(S189=regle!$E$11,regle!$E$23,
IF(S189=regle!$F$11,regle!$F$23,
IF(S189=regle!$G$11,regle!$G$23,
IF(S189=regle!$H$11,regle!$H$23,
IF(S189=regle!$I$11,regle!$I$23,
IF(S189=regle!$J$11,regle!$J$23,
IF(S189=regle!$K$11,regle!$K$23,0))))))))))))</f>
        <v>0</v>
      </c>
      <c r="AD189" s="17">
        <f>IF($A189,$J189*(IF(T189=regle!$B$11,regle!$B$23*IF(AM189=-2,1+regle!$B$35,1),
IF(T189=regle!$C$11,regle!$C$23,
IF(T189=regle!$D$11,regle!$D$23,
IF(T189=regle!$E$11,regle!$E$23,
IF(T189=regle!$F$11,regle!$F$23,
IF(T189=regle!$G$11,regle!$G$23,
IF(T189=regle!$H$11,regle!$H$23,
IF(T189=regle!$I$11,regle!$I$23,
IF(T189=regle!$J$11,regle!$J$23,
IF(T189=regle!$K$11,regle!$K$23,0))))))))))))</f>
        <v>121.0176</v>
      </c>
      <c r="AE189" s="17">
        <f>IF($A189,$J189*(IF(U189=regle!$B$11,regle!$B$23*IF(AN189=-2,1+regle!$B$35,1),
IF(U189=regle!$C$11,regle!$C$23,
IF(U189=regle!$D$11,regle!$D$23,
IF(U189=regle!$E$11,regle!$E$23,
IF(U189=regle!$F$11,regle!$F$23,
IF(U189=regle!$G$11,regle!$G$23,
IF(U189=regle!$H$11,regle!$H$23,
IF(U189=regle!$I$11,regle!$I$23,
IF(U189=regle!$J$11,regle!$J$23,
IF(U189=regle!$K$11,regle!$K$23,0))))))))))))</f>
        <v>0</v>
      </c>
      <c r="AF189" s="17">
        <f>IF($A189,$J189*(IF(V189=regle!$B$11,regle!$B$23*IF(AO189=-2,1+regle!$B$35,1),
IF(V189=regle!$C$11,regle!$C$23,
IF(V189=regle!$D$11,regle!$D$23,
IF(V189=regle!$E$11,regle!$E$23,
IF(V189=regle!$F$11,regle!$F$23,
IF(V189=regle!$G$11,regle!$G$23,
IF(V189=regle!$H$11,regle!$H$23,
IF(V189=regle!$I$11,regle!$I$23,
IF(V189=regle!$J$11,regle!$J$23,
IF(V189=regle!$K$11,regle!$K$23,0))))))))))))</f>
        <v>0</v>
      </c>
      <c r="AG189" s="17">
        <f>IF($A189,$J189*(IF(W189=regle!$B$11,regle!$B$23*IF(AP189=-2,1+regle!$B$35,1),
IF(W189=regle!$C$11,regle!$C$23,
IF(W189=regle!$D$11,regle!$D$23,
IF(W189=regle!$E$11,regle!$E$23,
IF(W189=regle!$F$11,regle!$F$23,
IF(W189=regle!$G$11,regle!$G$23,
IF(W189=regle!$H$11,regle!$H$23,
IF(W189=regle!$I$11,regle!$I$23,
IF(W189=regle!$J$11,regle!$J$23,
IF(W189=regle!$K$11,regle!$K$23,0))))))))))))</f>
        <v>0</v>
      </c>
      <c r="AH189" s="17">
        <f>IF($A189,$J189*(IF(X189=regle!$B$11,regle!$B$23*IF(AQ189=-2,1+regle!$B$35,1),
IF(X189=regle!$C$11,regle!$C$23,
IF(X189=regle!$D$11,regle!$D$23,
IF(X189=regle!$E$11,regle!$E$23,
IF(X189=regle!$F$11,regle!$F$23,
IF(X189=regle!$G$11,regle!$G$23,
IF(X189=regle!$H$11,regle!$H$23,
IF(X189=regle!$I$11,regle!$I$23,
IF(X189=regle!$J$11,regle!$J$23,
IF(X189=regle!$K$11,regle!$K$23,0))))))))))))</f>
        <v>0</v>
      </c>
      <c r="AI189" s="17">
        <f>IF($A189,$J189*(IF(Y189=regle!$B$11,regle!$B$23*IF(AR189=-2,1+regle!$B$35,1),
IF(Y189=regle!$C$11,regle!$C$23,
IF(Y189=regle!$D$11,regle!$D$23,
IF(Y189=regle!$E$11,regle!$E$23,
IF(Y189=regle!$F$11,regle!$F$23,
IF(Y189=regle!$G$11,regle!$G$23,
IF(Y189=regle!$H$11,regle!$H$23,
IF(Y189=regle!$I$11,regle!$I$23,
IF(Y189=regle!$J$11,regle!$J$23,
IF(Y189=regle!$K$11,regle!$K$23,0))))))))))))</f>
        <v>0</v>
      </c>
      <c r="AJ189" s="17">
        <f>IF($A189,$J189*(IF(Z189=regle!$B$11,regle!$B$23*IF(AS189=-2,1+regle!$B$35,1),
IF(Z189=regle!$C$11,regle!$C$23,
IF(Z189=regle!$D$11,regle!$D$23,
IF(Z189=regle!$E$11,regle!$E$23,
IF(Z189=regle!$F$11,regle!$F$23,
IF(Z189=regle!$G$11,regle!$G$23,
IF(Z189=regle!$H$11,regle!$H$23,
IF(Z189=regle!$I$11,regle!$I$23,
IF(Z189=regle!$J$11,regle!$J$23,
IF(Z189=regle!$K$11,regle!$K$23,0))))))))))))</f>
        <v>176.48400000000001</v>
      </c>
      <c r="AK189" s="16">
        <f>IF(OR(Q189=regle!$J$11,Q189=regle!$K$11),-2,IF(Q189=regle!$B$11,0,IF(AK$1=$AK$1,IF($O189,-1,regle!$B$2-$M189),IF(AJ189=-1,-1,AJ189+1))))</f>
        <v>9</v>
      </c>
      <c r="AL189" s="16">
        <f>IF(OR(R189=regle!$J$11,R189=regle!$K$11),-2,IF(R189=regle!$B$11,0,IF(AL$1=$AK$1,IF($O189,-1,regle!$B$2-$M189),IF(AK189=-1,-1,AK189+1))))</f>
        <v>10</v>
      </c>
      <c r="AM189" s="16">
        <f>IF(OR(S189=regle!$J$11,S189=regle!$K$11),-2,IF(S189=regle!$B$11,0,IF(AM$1=$AK$1,IF($O189,-1,regle!$B$2-$M189),IF(AL189=-1,-1,AL189+1))))</f>
        <v>11</v>
      </c>
      <c r="AN189" s="16">
        <f>IF(OR(T189=regle!$J$11,T189=regle!$K$11),-2,IF(T189=regle!$B$11,0,IF(AN$1=$AK$1,IF($O189,-1,regle!$B$2-$M189),IF(AM189=-1,-1,AM189+1))))</f>
        <v>12</v>
      </c>
      <c r="AO189" s="16">
        <f>IF(OR(U189=regle!$J$11,U189=regle!$K$11),-2,IF(U189=regle!$B$11,0,IF(AO$1=$AK$1,IF($O189,-1,regle!$B$2-$M189),IF(AN189=-1,-1,AN189+1))))</f>
        <v>13</v>
      </c>
      <c r="AP189" s="16">
        <f>IF(OR(V189=regle!$J$11,V189=regle!$K$11),-2,IF(V189=regle!$B$11,0,IF(AP$1=$AK$1,IF($O189,-1,regle!$B$2-$M189),IF(AO189=-1,-1,AO189+1))))</f>
        <v>14</v>
      </c>
      <c r="AQ189" s="16">
        <f>IF(OR(W189=regle!$J$11,W189=regle!$K$11),-2,IF(W189=regle!$B$11,0,IF(AQ$1=$AK$1,IF($O189,-1,regle!$B$2-$M189),IF(AP189=-1,-1,AP189+1))))</f>
        <v>15</v>
      </c>
      <c r="AR189" s="16">
        <f>IF(OR(X189=regle!$J$11,X189=regle!$K$11),-2,IF(X189=regle!$B$11,0,IF(AR$1=$AK$1,IF($O189,-1,regle!$B$2-$M189),IF(AQ189=-1,-1,AQ189+1))))</f>
        <v>16</v>
      </c>
      <c r="AS189" s="16">
        <f>IF(OR(Y189=regle!$J$11,Y189=regle!$K$11),-2,IF(Y189=regle!$B$11,0,IF(AS$1=$AK$1,IF($O189,-1,regle!$B$2-$M189),IF(AR189=-1,-1,AR189+1))))</f>
        <v>17</v>
      </c>
      <c r="AT189" s="16">
        <f>IF(OR(Z189=regle!$J$11,Z189=regle!$K$11),-2,IF(Z189=regle!$B$11,0,IF(AT$1=$AK$1,IF($O189,-1,regle!$B$2-$M189),IF(AS189=-1,-1,AS189+1))))</f>
        <v>18</v>
      </c>
    </row>
    <row r="190" spans="1:46" x14ac:dyDescent="0.25">
      <c r="A190" t="b">
        <f>modif1!A190</f>
        <v>1</v>
      </c>
      <c r="B190">
        <f>ROW(modif1!B190)</f>
        <v>190</v>
      </c>
      <c r="C190" t="str">
        <f>modif1!C193</f>
        <v>202</v>
      </c>
      <c r="D190" t="str">
        <f>modif1!D190</f>
        <v>CABANAC-ET-VILLAGRAINS</v>
      </c>
      <c r="E190">
        <f>modif1!E190</f>
        <v>10</v>
      </c>
      <c r="F190" t="str">
        <f>modif1!F190</f>
        <v>CABAT MORT</v>
      </c>
      <c r="G190" t="str">
        <f>modif1!G190</f>
        <v>0D</v>
      </c>
      <c r="H190">
        <f>modif1!H190</f>
        <v>1381</v>
      </c>
      <c r="I190" t="str">
        <f>modif1!I190</f>
        <v>j</v>
      </c>
      <c r="J190" s="11">
        <f>modif1!J190</f>
        <v>0.18609999999999999</v>
      </c>
      <c r="K190" t="str">
        <f>modif1!K190</f>
        <v>PLA</v>
      </c>
      <c r="L190" t="str">
        <f>modif1!L190</f>
        <v>PM</v>
      </c>
      <c r="M190">
        <f>modif1!M190</f>
        <v>2015</v>
      </c>
      <c r="N190" t="str">
        <f>modif1!N190</f>
        <v>PLA-PM_2015</v>
      </c>
      <c r="O190" t="b">
        <f>modif1!O190</f>
        <v>0</v>
      </c>
      <c r="P190">
        <v>40</v>
      </c>
      <c r="T190" t="s">
        <v>1803</v>
      </c>
      <c r="Y190" s="22"/>
      <c r="Z190" t="s">
        <v>1804</v>
      </c>
      <c r="AA190" s="17">
        <f>IF($A190,$J190*(IF(Q190=regle!$B$11,regle!$B$23*IF(AJ190=-2,1+regle!$B$35,1),
IF(Q190=regle!$C$11,regle!$C$23,
IF(Q190=regle!$D$11,regle!$D$23,
IF(Q190=regle!$E$11,regle!$E$23,
IF(Q190=regle!$F$11,regle!$F$23,
IF(Q190=regle!$G$11,regle!$G$23,
IF(Q190=regle!$H$11,regle!$H$23,
IF(Q190=regle!$I$11,regle!$I$23,
IF(Q190=regle!$J$11,regle!$J$23,
IF(Q190=regle!$K$11,regle!$K$23,0))))))))))))</f>
        <v>0</v>
      </c>
      <c r="AB190" s="17">
        <f>IF($A190,$J190*(IF(R190=regle!$B$11,regle!$B$23*IF(AK190=-2,1+regle!$B$35,1),
IF(R190=regle!$C$11,regle!$C$23,
IF(R190=regle!$D$11,regle!$D$23,
IF(R190=regle!$E$11,regle!$E$23,
IF(R190=regle!$F$11,regle!$F$23,
IF(R190=regle!$G$11,regle!$G$23,
IF(R190=regle!$H$11,regle!$H$23,
IF(R190=regle!$I$11,regle!$I$23,
IF(R190=regle!$J$11,regle!$J$23,
IF(R190=regle!$K$11,regle!$K$23,0))))))))))))</f>
        <v>0</v>
      </c>
      <c r="AC190" s="17">
        <f>IF($A190,$J190*(IF(S190=regle!$B$11,regle!$B$23*IF(AL190=-2,1+regle!$B$35,1),
IF(S190=regle!$C$11,regle!$C$23,
IF(S190=regle!$D$11,regle!$D$23,
IF(S190=regle!$E$11,regle!$E$23,
IF(S190=regle!$F$11,regle!$F$23,
IF(S190=regle!$G$11,regle!$G$23,
IF(S190=regle!$H$11,regle!$H$23,
IF(S190=regle!$I$11,regle!$I$23,
IF(S190=regle!$J$11,regle!$J$23,
IF(S190=regle!$K$11,regle!$K$23,0))))))))))))</f>
        <v>0</v>
      </c>
      <c r="AD190" s="17">
        <f>IF($A190,$J190*(IF(T190=regle!$B$11,regle!$B$23*IF(AM190=-2,1+regle!$B$35,1),
IF(T190=regle!$C$11,regle!$C$23,
IF(T190=regle!$D$11,regle!$D$23,
IF(T190=regle!$E$11,regle!$E$23,
IF(T190=regle!$F$11,regle!$F$23,
IF(T190=regle!$G$11,regle!$G$23,
IF(T190=regle!$H$11,regle!$H$23,
IF(T190=regle!$I$11,regle!$I$23,
IF(T190=regle!$J$11,regle!$J$23,
IF(T190=regle!$K$11,regle!$K$23,0))))))))))))</f>
        <v>107.19359999999999</v>
      </c>
      <c r="AE190" s="17">
        <f>IF($A190,$J190*(IF(U190=regle!$B$11,regle!$B$23*IF(AN190=-2,1+regle!$B$35,1),
IF(U190=regle!$C$11,regle!$C$23,
IF(U190=regle!$D$11,regle!$D$23,
IF(U190=regle!$E$11,regle!$E$23,
IF(U190=regle!$F$11,regle!$F$23,
IF(U190=regle!$G$11,regle!$G$23,
IF(U190=regle!$H$11,regle!$H$23,
IF(U190=regle!$I$11,regle!$I$23,
IF(U190=regle!$J$11,regle!$J$23,
IF(U190=regle!$K$11,regle!$K$23,0))))))))))))</f>
        <v>0</v>
      </c>
      <c r="AF190" s="17">
        <f>IF($A190,$J190*(IF(V190=regle!$B$11,regle!$B$23*IF(AO190=-2,1+regle!$B$35,1),
IF(V190=regle!$C$11,regle!$C$23,
IF(V190=regle!$D$11,regle!$D$23,
IF(V190=regle!$E$11,regle!$E$23,
IF(V190=regle!$F$11,regle!$F$23,
IF(V190=regle!$G$11,regle!$G$23,
IF(V190=regle!$H$11,regle!$H$23,
IF(V190=regle!$I$11,regle!$I$23,
IF(V190=regle!$J$11,regle!$J$23,
IF(V190=regle!$K$11,regle!$K$23,0))))))))))))</f>
        <v>0</v>
      </c>
      <c r="AG190" s="17">
        <f>IF($A190,$J190*(IF(W190=regle!$B$11,regle!$B$23*IF(AP190=-2,1+regle!$B$35,1),
IF(W190=regle!$C$11,regle!$C$23,
IF(W190=regle!$D$11,regle!$D$23,
IF(W190=regle!$E$11,regle!$E$23,
IF(W190=regle!$F$11,regle!$F$23,
IF(W190=regle!$G$11,regle!$G$23,
IF(W190=regle!$H$11,regle!$H$23,
IF(W190=regle!$I$11,regle!$I$23,
IF(W190=regle!$J$11,regle!$J$23,
IF(W190=regle!$K$11,regle!$K$23,0))))))))))))</f>
        <v>0</v>
      </c>
      <c r="AH190" s="17">
        <f>IF($A190,$J190*(IF(X190=regle!$B$11,regle!$B$23*IF(AQ190=-2,1+regle!$B$35,1),
IF(X190=regle!$C$11,regle!$C$23,
IF(X190=regle!$D$11,regle!$D$23,
IF(X190=regle!$E$11,regle!$E$23,
IF(X190=regle!$F$11,regle!$F$23,
IF(X190=regle!$G$11,regle!$G$23,
IF(X190=regle!$H$11,regle!$H$23,
IF(X190=regle!$I$11,regle!$I$23,
IF(X190=regle!$J$11,regle!$J$23,
IF(X190=regle!$K$11,regle!$K$23,0))))))))))))</f>
        <v>0</v>
      </c>
      <c r="AI190" s="17">
        <f>IF($A190,$J190*(IF(Y190=regle!$B$11,regle!$B$23*IF(AR190=-2,1+regle!$B$35,1),
IF(Y190=regle!$C$11,regle!$C$23,
IF(Y190=regle!$D$11,regle!$D$23,
IF(Y190=regle!$E$11,regle!$E$23,
IF(Y190=regle!$F$11,regle!$F$23,
IF(Y190=regle!$G$11,regle!$G$23,
IF(Y190=regle!$H$11,regle!$H$23,
IF(Y190=regle!$I$11,regle!$I$23,
IF(Y190=regle!$J$11,regle!$J$23,
IF(Y190=regle!$K$11,regle!$K$23,0))))))))))))</f>
        <v>0</v>
      </c>
      <c r="AJ190" s="17">
        <f>IF($A190,$J190*(IF(Z190=regle!$B$11,regle!$B$23*IF(AS190=-2,1+regle!$B$35,1),
IF(Z190=regle!$C$11,regle!$C$23,
IF(Z190=regle!$D$11,regle!$D$23,
IF(Z190=regle!$E$11,regle!$E$23,
IF(Z190=regle!$F$11,regle!$F$23,
IF(Z190=regle!$G$11,regle!$G$23,
IF(Z190=regle!$H$11,regle!$H$23,
IF(Z190=regle!$I$11,regle!$I$23,
IF(Z190=regle!$J$11,regle!$J$23,
IF(Z190=regle!$K$11,regle!$K$23,0))))))))))))</f>
        <v>156.32399999999998</v>
      </c>
      <c r="AK190" s="16">
        <f>IF(OR(Q190=regle!$J$11,Q190=regle!$K$11),-2,IF(Q190=regle!$B$11,0,IF(AK$1=$AK$1,IF($O190,-1,regle!$B$2-$M190),IF(AJ190=-1,-1,AJ190+1))))</f>
        <v>9</v>
      </c>
      <c r="AL190" s="16">
        <f>IF(OR(R190=regle!$J$11,R190=regle!$K$11),-2,IF(R190=regle!$B$11,0,IF(AL$1=$AK$1,IF($O190,-1,regle!$B$2-$M190),IF(AK190=-1,-1,AK190+1))))</f>
        <v>10</v>
      </c>
      <c r="AM190" s="16">
        <f>IF(OR(S190=regle!$J$11,S190=regle!$K$11),-2,IF(S190=regle!$B$11,0,IF(AM$1=$AK$1,IF($O190,-1,regle!$B$2-$M190),IF(AL190=-1,-1,AL190+1))))</f>
        <v>11</v>
      </c>
      <c r="AN190" s="16">
        <f>IF(OR(T190=regle!$J$11,T190=regle!$K$11),-2,IF(T190=regle!$B$11,0,IF(AN$1=$AK$1,IF($O190,-1,regle!$B$2-$M190),IF(AM190=-1,-1,AM190+1))))</f>
        <v>12</v>
      </c>
      <c r="AO190" s="16">
        <f>IF(OR(U190=regle!$J$11,U190=regle!$K$11),-2,IF(U190=regle!$B$11,0,IF(AO$1=$AK$1,IF($O190,-1,regle!$B$2-$M190),IF(AN190=-1,-1,AN190+1))))</f>
        <v>13</v>
      </c>
      <c r="AP190" s="16">
        <f>IF(OR(V190=regle!$J$11,V190=regle!$K$11),-2,IF(V190=regle!$B$11,0,IF(AP$1=$AK$1,IF($O190,-1,regle!$B$2-$M190),IF(AO190=-1,-1,AO190+1))))</f>
        <v>14</v>
      </c>
      <c r="AQ190" s="16">
        <f>IF(OR(W190=regle!$J$11,W190=regle!$K$11),-2,IF(W190=regle!$B$11,0,IF(AQ$1=$AK$1,IF($O190,-1,regle!$B$2-$M190),IF(AP190=-1,-1,AP190+1))))</f>
        <v>15</v>
      </c>
      <c r="AR190" s="16">
        <f>IF(OR(X190=regle!$J$11,X190=regle!$K$11),-2,IF(X190=regle!$B$11,0,IF(AR$1=$AK$1,IF($O190,-1,regle!$B$2-$M190),IF(AQ190=-1,-1,AQ190+1))))</f>
        <v>16</v>
      </c>
      <c r="AS190" s="16">
        <f>IF(OR(Y190=regle!$J$11,Y190=regle!$K$11),-2,IF(Y190=regle!$B$11,0,IF(AS$1=$AK$1,IF($O190,-1,regle!$B$2-$M190),IF(AR190=-1,-1,AR190+1))))</f>
        <v>17</v>
      </c>
      <c r="AT190" s="16">
        <f>IF(OR(Z190=regle!$J$11,Z190=regle!$K$11),-2,IF(Z190=regle!$B$11,0,IF(AT$1=$AK$1,IF($O190,-1,regle!$B$2-$M190),IF(AS190=-1,-1,AS190+1))))</f>
        <v>18</v>
      </c>
    </row>
    <row r="191" spans="1:46" x14ac:dyDescent="0.25">
      <c r="A191" t="b">
        <f>modif1!A191</f>
        <v>1</v>
      </c>
      <c r="B191">
        <f>ROW(modif1!B191)</f>
        <v>191</v>
      </c>
      <c r="C191" t="str">
        <f>modif1!C194</f>
        <v>202</v>
      </c>
      <c r="D191" t="str">
        <f>modif1!D191</f>
        <v>HOSTENS</v>
      </c>
      <c r="E191">
        <f>modif1!E191</f>
        <v>11</v>
      </c>
      <c r="F191" t="str">
        <f>modif1!F191</f>
        <v>LES CAZALAS</v>
      </c>
      <c r="G191" t="str">
        <f>modif1!G191</f>
        <v>0B</v>
      </c>
      <c r="H191">
        <f>modif1!H191</f>
        <v>1157</v>
      </c>
      <c r="I191" t="str">
        <f>modif1!I191</f>
        <v/>
      </c>
      <c r="J191" s="11">
        <f>modif1!J191</f>
        <v>0.18</v>
      </c>
      <c r="K191" t="str">
        <f>modif1!K191</f>
        <v>PLA</v>
      </c>
      <c r="L191" t="str">
        <f>modif1!L191</f>
        <v>PM</v>
      </c>
      <c r="M191">
        <f>modif1!M191</f>
        <v>2015</v>
      </c>
      <c r="N191" t="str">
        <f>modif1!N191</f>
        <v>PLA-PM_2015</v>
      </c>
      <c r="O191" t="b">
        <f>modif1!O191</f>
        <v>0</v>
      </c>
      <c r="P191">
        <v>40</v>
      </c>
      <c r="T191" t="s">
        <v>1803</v>
      </c>
      <c r="Y191" s="22"/>
      <c r="Z191" t="s">
        <v>1804</v>
      </c>
      <c r="AA191" s="17">
        <f>IF($A191,$J191*(IF(Q191=regle!$B$11,regle!$B$23*IF(AJ191=-2,1+regle!$B$35,1),
IF(Q191=regle!$C$11,regle!$C$23,
IF(Q191=regle!$D$11,regle!$D$23,
IF(Q191=regle!$E$11,regle!$E$23,
IF(Q191=regle!$F$11,regle!$F$23,
IF(Q191=regle!$G$11,regle!$G$23,
IF(Q191=regle!$H$11,regle!$H$23,
IF(Q191=regle!$I$11,regle!$I$23,
IF(Q191=regle!$J$11,regle!$J$23,
IF(Q191=regle!$K$11,regle!$K$23,0))))))))))))</f>
        <v>0</v>
      </c>
      <c r="AB191" s="17">
        <f>IF($A191,$J191*(IF(R191=regle!$B$11,regle!$B$23*IF(AK191=-2,1+regle!$B$35,1),
IF(R191=regle!$C$11,regle!$C$23,
IF(R191=regle!$D$11,regle!$D$23,
IF(R191=regle!$E$11,regle!$E$23,
IF(R191=regle!$F$11,regle!$F$23,
IF(R191=regle!$G$11,regle!$G$23,
IF(R191=regle!$H$11,regle!$H$23,
IF(R191=regle!$I$11,regle!$I$23,
IF(R191=regle!$J$11,regle!$J$23,
IF(R191=regle!$K$11,regle!$K$23,0))))))))))))</f>
        <v>0</v>
      </c>
      <c r="AC191" s="17">
        <f>IF($A191,$J191*(IF(S191=regle!$B$11,regle!$B$23*IF(AL191=-2,1+regle!$B$35,1),
IF(S191=regle!$C$11,regle!$C$23,
IF(S191=regle!$D$11,regle!$D$23,
IF(S191=regle!$E$11,regle!$E$23,
IF(S191=regle!$F$11,regle!$F$23,
IF(S191=regle!$G$11,regle!$G$23,
IF(S191=regle!$H$11,regle!$H$23,
IF(S191=regle!$I$11,regle!$I$23,
IF(S191=regle!$J$11,regle!$J$23,
IF(S191=regle!$K$11,regle!$K$23,0))))))))))))</f>
        <v>0</v>
      </c>
      <c r="AD191" s="17">
        <f>IF($A191,$J191*(IF(T191=regle!$B$11,regle!$B$23*IF(AM191=-2,1+regle!$B$35,1),
IF(T191=regle!$C$11,regle!$C$23,
IF(T191=regle!$D$11,regle!$D$23,
IF(T191=regle!$E$11,regle!$E$23,
IF(T191=regle!$F$11,regle!$F$23,
IF(T191=regle!$G$11,regle!$G$23,
IF(T191=regle!$H$11,regle!$H$23,
IF(T191=regle!$I$11,regle!$I$23,
IF(T191=regle!$J$11,regle!$J$23,
IF(T191=regle!$K$11,regle!$K$23,0))))))))))))</f>
        <v>103.67999999999999</v>
      </c>
      <c r="AE191" s="17">
        <f>IF($A191,$J191*(IF(U191=regle!$B$11,regle!$B$23*IF(AN191=-2,1+regle!$B$35,1),
IF(U191=regle!$C$11,regle!$C$23,
IF(U191=regle!$D$11,regle!$D$23,
IF(U191=regle!$E$11,regle!$E$23,
IF(U191=regle!$F$11,regle!$F$23,
IF(U191=regle!$G$11,regle!$G$23,
IF(U191=regle!$H$11,regle!$H$23,
IF(U191=regle!$I$11,regle!$I$23,
IF(U191=regle!$J$11,regle!$J$23,
IF(U191=regle!$K$11,regle!$K$23,0))))))))))))</f>
        <v>0</v>
      </c>
      <c r="AF191" s="17">
        <f>IF($A191,$J191*(IF(V191=regle!$B$11,regle!$B$23*IF(AO191=-2,1+regle!$B$35,1),
IF(V191=regle!$C$11,regle!$C$23,
IF(V191=regle!$D$11,regle!$D$23,
IF(V191=regle!$E$11,regle!$E$23,
IF(V191=regle!$F$11,regle!$F$23,
IF(V191=regle!$G$11,regle!$G$23,
IF(V191=regle!$H$11,regle!$H$23,
IF(V191=regle!$I$11,regle!$I$23,
IF(V191=regle!$J$11,regle!$J$23,
IF(V191=regle!$K$11,regle!$K$23,0))))))))))))</f>
        <v>0</v>
      </c>
      <c r="AG191" s="17">
        <f>IF($A191,$J191*(IF(W191=regle!$B$11,regle!$B$23*IF(AP191=-2,1+regle!$B$35,1),
IF(W191=regle!$C$11,regle!$C$23,
IF(W191=regle!$D$11,regle!$D$23,
IF(W191=regle!$E$11,regle!$E$23,
IF(W191=regle!$F$11,regle!$F$23,
IF(W191=regle!$G$11,regle!$G$23,
IF(W191=regle!$H$11,regle!$H$23,
IF(W191=regle!$I$11,regle!$I$23,
IF(W191=regle!$J$11,regle!$J$23,
IF(W191=regle!$K$11,regle!$K$23,0))))))))))))</f>
        <v>0</v>
      </c>
      <c r="AH191" s="17">
        <f>IF($A191,$J191*(IF(X191=regle!$B$11,regle!$B$23*IF(AQ191=-2,1+regle!$B$35,1),
IF(X191=regle!$C$11,regle!$C$23,
IF(X191=regle!$D$11,regle!$D$23,
IF(X191=regle!$E$11,regle!$E$23,
IF(X191=regle!$F$11,regle!$F$23,
IF(X191=regle!$G$11,regle!$G$23,
IF(X191=regle!$H$11,regle!$H$23,
IF(X191=regle!$I$11,regle!$I$23,
IF(X191=regle!$J$11,regle!$J$23,
IF(X191=regle!$K$11,regle!$K$23,0))))))))))))</f>
        <v>0</v>
      </c>
      <c r="AI191" s="17">
        <f>IF($A191,$J191*(IF(Y191=regle!$B$11,regle!$B$23*IF(AR191=-2,1+regle!$B$35,1),
IF(Y191=regle!$C$11,regle!$C$23,
IF(Y191=regle!$D$11,regle!$D$23,
IF(Y191=regle!$E$11,regle!$E$23,
IF(Y191=regle!$F$11,regle!$F$23,
IF(Y191=regle!$G$11,regle!$G$23,
IF(Y191=regle!$H$11,regle!$H$23,
IF(Y191=regle!$I$11,regle!$I$23,
IF(Y191=regle!$J$11,regle!$J$23,
IF(Y191=regle!$K$11,regle!$K$23,0))))))))))))</f>
        <v>0</v>
      </c>
      <c r="AJ191" s="17">
        <f>IF($A191,$J191*(IF(Z191=regle!$B$11,regle!$B$23*IF(AS191=-2,1+regle!$B$35,1),
IF(Z191=regle!$C$11,regle!$C$23,
IF(Z191=regle!$D$11,regle!$D$23,
IF(Z191=regle!$E$11,regle!$E$23,
IF(Z191=regle!$F$11,regle!$F$23,
IF(Z191=regle!$G$11,regle!$G$23,
IF(Z191=regle!$H$11,regle!$H$23,
IF(Z191=regle!$I$11,regle!$I$23,
IF(Z191=regle!$J$11,regle!$J$23,
IF(Z191=regle!$K$11,regle!$K$23,0))))))))))))</f>
        <v>151.19999999999999</v>
      </c>
      <c r="AK191" s="16">
        <f>IF(OR(Q191=regle!$J$11,Q191=regle!$K$11),-2,IF(Q191=regle!$B$11,0,IF(AK$1=$AK$1,IF($O191,-1,regle!$B$2-$M191),IF(AJ191=-1,-1,AJ191+1))))</f>
        <v>9</v>
      </c>
      <c r="AL191" s="16">
        <f>IF(OR(R191=regle!$J$11,R191=regle!$K$11),-2,IF(R191=regle!$B$11,0,IF(AL$1=$AK$1,IF($O191,-1,regle!$B$2-$M191),IF(AK191=-1,-1,AK191+1))))</f>
        <v>10</v>
      </c>
      <c r="AM191" s="16">
        <f>IF(OR(S191=regle!$J$11,S191=regle!$K$11),-2,IF(S191=regle!$B$11,0,IF(AM$1=$AK$1,IF($O191,-1,regle!$B$2-$M191),IF(AL191=-1,-1,AL191+1))))</f>
        <v>11</v>
      </c>
      <c r="AN191" s="16">
        <f>IF(OR(T191=regle!$J$11,T191=regle!$K$11),-2,IF(T191=regle!$B$11,0,IF(AN$1=$AK$1,IF($O191,-1,regle!$B$2-$M191),IF(AM191=-1,-1,AM191+1))))</f>
        <v>12</v>
      </c>
      <c r="AO191" s="16">
        <f>IF(OR(U191=regle!$J$11,U191=regle!$K$11),-2,IF(U191=regle!$B$11,0,IF(AO$1=$AK$1,IF($O191,-1,regle!$B$2-$M191),IF(AN191=-1,-1,AN191+1))))</f>
        <v>13</v>
      </c>
      <c r="AP191" s="16">
        <f>IF(OR(V191=regle!$J$11,V191=regle!$K$11),-2,IF(V191=regle!$B$11,0,IF(AP$1=$AK$1,IF($O191,-1,regle!$B$2-$M191),IF(AO191=-1,-1,AO191+1))))</f>
        <v>14</v>
      </c>
      <c r="AQ191" s="16">
        <f>IF(OR(W191=regle!$J$11,W191=regle!$K$11),-2,IF(W191=regle!$B$11,0,IF(AQ$1=$AK$1,IF($O191,-1,regle!$B$2-$M191),IF(AP191=-1,-1,AP191+1))))</f>
        <v>15</v>
      </c>
      <c r="AR191" s="16">
        <f>IF(OR(X191=regle!$J$11,X191=regle!$K$11),-2,IF(X191=regle!$B$11,0,IF(AR$1=$AK$1,IF($O191,-1,regle!$B$2-$M191),IF(AQ191=-1,-1,AQ191+1))))</f>
        <v>16</v>
      </c>
      <c r="AS191" s="16">
        <f>IF(OR(Y191=regle!$J$11,Y191=regle!$K$11),-2,IF(Y191=regle!$B$11,0,IF(AS$1=$AK$1,IF($O191,-1,regle!$B$2-$M191),IF(AR191=-1,-1,AR191+1))))</f>
        <v>17</v>
      </c>
      <c r="AT191" s="16">
        <f>IF(OR(Z191=regle!$J$11,Z191=regle!$K$11),-2,IF(Z191=regle!$B$11,0,IF(AT$1=$AK$1,IF($O191,-1,regle!$B$2-$M191),IF(AS191=-1,-1,AS191+1))))</f>
        <v>18</v>
      </c>
    </row>
    <row r="192" spans="1:46" x14ac:dyDescent="0.25">
      <c r="A192" t="b">
        <f>modif1!A192</f>
        <v>1</v>
      </c>
      <c r="B192">
        <f>ROW(modif1!B192)</f>
        <v>192</v>
      </c>
      <c r="C192" t="str">
        <f>modif1!C195</f>
        <v>202</v>
      </c>
      <c r="D192" t="str">
        <f>modif1!D192</f>
        <v>HOSTENS</v>
      </c>
      <c r="E192">
        <f>modif1!E192</f>
        <v>8</v>
      </c>
      <c r="F192" t="str">
        <f>modif1!F192</f>
        <v>LES BECS</v>
      </c>
      <c r="G192" t="str">
        <f>modif1!G192</f>
        <v>0B</v>
      </c>
      <c r="H192">
        <f>modif1!H192</f>
        <v>1213</v>
      </c>
      <c r="I192" t="str">
        <f>modif1!I192</f>
        <v>k</v>
      </c>
      <c r="J192" s="11">
        <f>modif1!J192</f>
        <v>0.1444</v>
      </c>
      <c r="K192" t="str">
        <f>modif1!K192</f>
        <v>PLA</v>
      </c>
      <c r="L192" t="str">
        <f>modif1!L192</f>
        <v>PM</v>
      </c>
      <c r="M192">
        <f>modif1!M192</f>
        <v>2015</v>
      </c>
      <c r="N192" t="str">
        <f>modif1!N192</f>
        <v>PLA-PM_2015</v>
      </c>
      <c r="O192" t="b">
        <f>modif1!O192</f>
        <v>0</v>
      </c>
      <c r="P192">
        <v>40</v>
      </c>
      <c r="T192" t="s">
        <v>1803</v>
      </c>
      <c r="Y192" s="22"/>
      <c r="Z192" t="s">
        <v>1804</v>
      </c>
      <c r="AA192" s="17">
        <f>IF($A192,$J192*(IF(Q192=regle!$B$11,regle!$B$23*IF(AJ192=-2,1+regle!$B$35,1),
IF(Q192=regle!$C$11,regle!$C$23,
IF(Q192=regle!$D$11,regle!$D$23,
IF(Q192=regle!$E$11,regle!$E$23,
IF(Q192=regle!$F$11,regle!$F$23,
IF(Q192=regle!$G$11,regle!$G$23,
IF(Q192=regle!$H$11,regle!$H$23,
IF(Q192=regle!$I$11,regle!$I$23,
IF(Q192=regle!$J$11,regle!$J$23,
IF(Q192=regle!$K$11,regle!$K$23,0))))))))))))</f>
        <v>0</v>
      </c>
      <c r="AB192" s="17">
        <f>IF($A192,$J192*(IF(R192=regle!$B$11,regle!$B$23*IF(AK192=-2,1+regle!$B$35,1),
IF(R192=regle!$C$11,regle!$C$23,
IF(R192=regle!$D$11,regle!$D$23,
IF(R192=regle!$E$11,regle!$E$23,
IF(R192=regle!$F$11,regle!$F$23,
IF(R192=regle!$G$11,regle!$G$23,
IF(R192=regle!$H$11,regle!$H$23,
IF(R192=regle!$I$11,regle!$I$23,
IF(R192=regle!$J$11,regle!$J$23,
IF(R192=regle!$K$11,regle!$K$23,0))))))))))))</f>
        <v>0</v>
      </c>
      <c r="AC192" s="17">
        <f>IF($A192,$J192*(IF(S192=regle!$B$11,regle!$B$23*IF(AL192=-2,1+regle!$B$35,1),
IF(S192=regle!$C$11,regle!$C$23,
IF(S192=regle!$D$11,regle!$D$23,
IF(S192=regle!$E$11,regle!$E$23,
IF(S192=regle!$F$11,regle!$F$23,
IF(S192=regle!$G$11,regle!$G$23,
IF(S192=regle!$H$11,regle!$H$23,
IF(S192=regle!$I$11,regle!$I$23,
IF(S192=regle!$J$11,regle!$J$23,
IF(S192=regle!$K$11,regle!$K$23,0))))))))))))</f>
        <v>0</v>
      </c>
      <c r="AD192" s="17">
        <f>IF($A192,$J192*(IF(T192=regle!$B$11,regle!$B$23*IF(AM192=-2,1+regle!$B$35,1),
IF(T192=regle!$C$11,regle!$C$23,
IF(T192=regle!$D$11,regle!$D$23,
IF(T192=regle!$E$11,regle!$E$23,
IF(T192=regle!$F$11,regle!$F$23,
IF(T192=regle!$G$11,regle!$G$23,
IF(T192=regle!$H$11,regle!$H$23,
IF(T192=regle!$I$11,regle!$I$23,
IF(T192=regle!$J$11,regle!$J$23,
IF(T192=regle!$K$11,regle!$K$23,0))))))))))))</f>
        <v>83.174400000000006</v>
      </c>
      <c r="AE192" s="17">
        <f>IF($A192,$J192*(IF(U192=regle!$B$11,regle!$B$23*IF(AN192=-2,1+regle!$B$35,1),
IF(U192=regle!$C$11,regle!$C$23,
IF(U192=regle!$D$11,regle!$D$23,
IF(U192=regle!$E$11,regle!$E$23,
IF(U192=regle!$F$11,regle!$F$23,
IF(U192=regle!$G$11,regle!$G$23,
IF(U192=regle!$H$11,regle!$H$23,
IF(U192=regle!$I$11,regle!$I$23,
IF(U192=regle!$J$11,regle!$J$23,
IF(U192=regle!$K$11,regle!$K$23,0))))))))))))</f>
        <v>0</v>
      </c>
      <c r="AF192" s="17">
        <f>IF($A192,$J192*(IF(V192=regle!$B$11,regle!$B$23*IF(AO192=-2,1+regle!$B$35,1),
IF(V192=regle!$C$11,regle!$C$23,
IF(V192=regle!$D$11,regle!$D$23,
IF(V192=regle!$E$11,regle!$E$23,
IF(V192=regle!$F$11,regle!$F$23,
IF(V192=regle!$G$11,regle!$G$23,
IF(V192=regle!$H$11,regle!$H$23,
IF(V192=regle!$I$11,regle!$I$23,
IF(V192=regle!$J$11,regle!$J$23,
IF(V192=regle!$K$11,regle!$K$23,0))))))))))))</f>
        <v>0</v>
      </c>
      <c r="AG192" s="17">
        <f>IF($A192,$J192*(IF(W192=regle!$B$11,regle!$B$23*IF(AP192=-2,1+regle!$B$35,1),
IF(W192=regle!$C$11,regle!$C$23,
IF(W192=regle!$D$11,regle!$D$23,
IF(W192=regle!$E$11,regle!$E$23,
IF(W192=regle!$F$11,regle!$F$23,
IF(W192=regle!$G$11,regle!$G$23,
IF(W192=regle!$H$11,regle!$H$23,
IF(W192=regle!$I$11,regle!$I$23,
IF(W192=regle!$J$11,regle!$J$23,
IF(W192=regle!$K$11,regle!$K$23,0))))))))))))</f>
        <v>0</v>
      </c>
      <c r="AH192" s="17">
        <f>IF($A192,$J192*(IF(X192=regle!$B$11,regle!$B$23*IF(AQ192=-2,1+regle!$B$35,1),
IF(X192=regle!$C$11,regle!$C$23,
IF(X192=regle!$D$11,regle!$D$23,
IF(X192=regle!$E$11,regle!$E$23,
IF(X192=regle!$F$11,regle!$F$23,
IF(X192=regle!$G$11,regle!$G$23,
IF(X192=regle!$H$11,regle!$H$23,
IF(X192=regle!$I$11,regle!$I$23,
IF(X192=regle!$J$11,regle!$J$23,
IF(X192=regle!$K$11,regle!$K$23,0))))))))))))</f>
        <v>0</v>
      </c>
      <c r="AI192" s="17">
        <f>IF($A192,$J192*(IF(Y192=regle!$B$11,regle!$B$23*IF(AR192=-2,1+regle!$B$35,1),
IF(Y192=regle!$C$11,regle!$C$23,
IF(Y192=regle!$D$11,regle!$D$23,
IF(Y192=regle!$E$11,regle!$E$23,
IF(Y192=regle!$F$11,regle!$F$23,
IF(Y192=regle!$G$11,regle!$G$23,
IF(Y192=regle!$H$11,regle!$H$23,
IF(Y192=regle!$I$11,regle!$I$23,
IF(Y192=regle!$J$11,regle!$J$23,
IF(Y192=regle!$K$11,regle!$K$23,0))))))))))))</f>
        <v>0</v>
      </c>
      <c r="AJ192" s="17">
        <f>IF($A192,$J192*(IF(Z192=regle!$B$11,regle!$B$23*IF(AS192=-2,1+regle!$B$35,1),
IF(Z192=regle!$C$11,regle!$C$23,
IF(Z192=regle!$D$11,regle!$D$23,
IF(Z192=regle!$E$11,regle!$E$23,
IF(Z192=regle!$F$11,regle!$F$23,
IF(Z192=regle!$G$11,regle!$G$23,
IF(Z192=regle!$H$11,regle!$H$23,
IF(Z192=regle!$I$11,regle!$I$23,
IF(Z192=regle!$J$11,regle!$J$23,
IF(Z192=regle!$K$11,regle!$K$23,0))))))))))))</f>
        <v>121.29600000000001</v>
      </c>
      <c r="AK192" s="16">
        <f>IF(OR(Q192=regle!$J$11,Q192=regle!$K$11),-2,IF(Q192=regle!$B$11,0,IF(AK$1=$AK$1,IF($O192,-1,regle!$B$2-$M192),IF(AJ192=-1,-1,AJ192+1))))</f>
        <v>9</v>
      </c>
      <c r="AL192" s="16">
        <f>IF(OR(R192=regle!$J$11,R192=regle!$K$11),-2,IF(R192=regle!$B$11,0,IF(AL$1=$AK$1,IF($O192,-1,regle!$B$2-$M192),IF(AK192=-1,-1,AK192+1))))</f>
        <v>10</v>
      </c>
      <c r="AM192" s="16">
        <f>IF(OR(S192=regle!$J$11,S192=regle!$K$11),-2,IF(S192=regle!$B$11,0,IF(AM$1=$AK$1,IF($O192,-1,regle!$B$2-$M192),IF(AL192=-1,-1,AL192+1))))</f>
        <v>11</v>
      </c>
      <c r="AN192" s="16">
        <f>IF(OR(T192=regle!$J$11,T192=regle!$K$11),-2,IF(T192=regle!$B$11,0,IF(AN$1=$AK$1,IF($O192,-1,regle!$B$2-$M192),IF(AM192=-1,-1,AM192+1))))</f>
        <v>12</v>
      </c>
      <c r="AO192" s="16">
        <f>IF(OR(U192=regle!$J$11,U192=regle!$K$11),-2,IF(U192=regle!$B$11,0,IF(AO$1=$AK$1,IF($O192,-1,regle!$B$2-$M192),IF(AN192=-1,-1,AN192+1))))</f>
        <v>13</v>
      </c>
      <c r="AP192" s="16">
        <f>IF(OR(V192=regle!$J$11,V192=regle!$K$11),-2,IF(V192=regle!$B$11,0,IF(AP$1=$AK$1,IF($O192,-1,regle!$B$2-$M192),IF(AO192=-1,-1,AO192+1))))</f>
        <v>14</v>
      </c>
      <c r="AQ192" s="16">
        <f>IF(OR(W192=regle!$J$11,W192=regle!$K$11),-2,IF(W192=regle!$B$11,0,IF(AQ$1=$AK$1,IF($O192,-1,regle!$B$2-$M192),IF(AP192=-1,-1,AP192+1))))</f>
        <v>15</v>
      </c>
      <c r="AR192" s="16">
        <f>IF(OR(X192=regle!$J$11,X192=regle!$K$11),-2,IF(X192=regle!$B$11,0,IF(AR$1=$AK$1,IF($O192,-1,regle!$B$2-$M192),IF(AQ192=-1,-1,AQ192+1))))</f>
        <v>16</v>
      </c>
      <c r="AS192" s="16">
        <f>IF(OR(Y192=regle!$J$11,Y192=regle!$K$11),-2,IF(Y192=regle!$B$11,0,IF(AS$1=$AK$1,IF($O192,-1,regle!$B$2-$M192),IF(AR192=-1,-1,AR192+1))))</f>
        <v>17</v>
      </c>
      <c r="AT192" s="16">
        <f>IF(OR(Z192=regle!$J$11,Z192=regle!$K$11),-2,IF(Z192=regle!$B$11,0,IF(AT$1=$AK$1,IF($O192,-1,regle!$B$2-$M192),IF(AS192=-1,-1,AS192+1))))</f>
        <v>18</v>
      </c>
    </row>
    <row r="193" spans="1:46" x14ac:dyDescent="0.25">
      <c r="A193" t="b">
        <f>modif1!A193</f>
        <v>1</v>
      </c>
      <c r="B193">
        <f>ROW(modif1!B193)</f>
        <v>193</v>
      </c>
      <c r="C193" t="str">
        <f>modif1!C196</f>
        <v>202</v>
      </c>
      <c r="D193" t="str">
        <f>modif1!D193</f>
        <v>HOSTENS</v>
      </c>
      <c r="E193">
        <f>modif1!E193</f>
        <v>11</v>
      </c>
      <c r="F193" t="str">
        <f>modif1!F193</f>
        <v>LES CAZALAS</v>
      </c>
      <c r="G193" t="str">
        <f>modif1!G193</f>
        <v>0B</v>
      </c>
      <c r="H193">
        <f>modif1!H193</f>
        <v>1196</v>
      </c>
      <c r="I193" t="str">
        <f>modif1!I193</f>
        <v/>
      </c>
      <c r="J193" s="11">
        <f>modif1!J193</f>
        <v>0.14299999999999999</v>
      </c>
      <c r="K193" t="str">
        <f>modif1!K193</f>
        <v>PLA</v>
      </c>
      <c r="L193" t="str">
        <f>modif1!L193</f>
        <v>PM</v>
      </c>
      <c r="M193">
        <f>modif1!M193</f>
        <v>2015</v>
      </c>
      <c r="N193" t="str">
        <f>modif1!N193</f>
        <v>PLA-PM_2015</v>
      </c>
      <c r="O193" t="b">
        <f>modif1!O193</f>
        <v>0</v>
      </c>
      <c r="P193">
        <v>40</v>
      </c>
      <c r="T193" t="s">
        <v>1803</v>
      </c>
      <c r="Y193" s="22"/>
      <c r="Z193" t="s">
        <v>1804</v>
      </c>
      <c r="AA193" s="17">
        <f>IF($A193,$J193*(IF(Q193=regle!$B$11,regle!$B$23*IF(AJ193=-2,1+regle!$B$35,1),
IF(Q193=regle!$C$11,regle!$C$23,
IF(Q193=regle!$D$11,regle!$D$23,
IF(Q193=regle!$E$11,regle!$E$23,
IF(Q193=regle!$F$11,regle!$F$23,
IF(Q193=regle!$G$11,regle!$G$23,
IF(Q193=regle!$H$11,regle!$H$23,
IF(Q193=regle!$I$11,regle!$I$23,
IF(Q193=regle!$J$11,regle!$J$23,
IF(Q193=regle!$K$11,regle!$K$23,0))))))))))))</f>
        <v>0</v>
      </c>
      <c r="AB193" s="17">
        <f>IF($A193,$J193*(IF(R193=regle!$B$11,regle!$B$23*IF(AK193=-2,1+regle!$B$35,1),
IF(R193=regle!$C$11,regle!$C$23,
IF(R193=regle!$D$11,regle!$D$23,
IF(R193=regle!$E$11,regle!$E$23,
IF(R193=regle!$F$11,regle!$F$23,
IF(R193=regle!$G$11,regle!$G$23,
IF(R193=regle!$H$11,regle!$H$23,
IF(R193=regle!$I$11,regle!$I$23,
IF(R193=regle!$J$11,regle!$J$23,
IF(R193=regle!$K$11,regle!$K$23,0))))))))))))</f>
        <v>0</v>
      </c>
      <c r="AC193" s="17">
        <f>IF($A193,$J193*(IF(S193=regle!$B$11,regle!$B$23*IF(AL193=-2,1+regle!$B$35,1),
IF(S193=regle!$C$11,regle!$C$23,
IF(S193=regle!$D$11,regle!$D$23,
IF(S193=regle!$E$11,regle!$E$23,
IF(S193=regle!$F$11,regle!$F$23,
IF(S193=regle!$G$11,regle!$G$23,
IF(S193=regle!$H$11,regle!$H$23,
IF(S193=regle!$I$11,regle!$I$23,
IF(S193=regle!$J$11,regle!$J$23,
IF(S193=regle!$K$11,regle!$K$23,0))))))))))))</f>
        <v>0</v>
      </c>
      <c r="AD193" s="17">
        <f>IF($A193,$J193*(IF(T193=regle!$B$11,regle!$B$23*IF(AM193=-2,1+regle!$B$35,1),
IF(T193=regle!$C$11,regle!$C$23,
IF(T193=regle!$D$11,regle!$D$23,
IF(T193=regle!$E$11,regle!$E$23,
IF(T193=regle!$F$11,regle!$F$23,
IF(T193=regle!$G$11,regle!$G$23,
IF(T193=regle!$H$11,regle!$H$23,
IF(T193=regle!$I$11,regle!$I$23,
IF(T193=regle!$J$11,regle!$J$23,
IF(T193=regle!$K$11,regle!$K$23,0))))))))))))</f>
        <v>82.367999999999995</v>
      </c>
      <c r="AE193" s="17">
        <f>IF($A193,$J193*(IF(U193=regle!$B$11,regle!$B$23*IF(AN193=-2,1+regle!$B$35,1),
IF(U193=regle!$C$11,regle!$C$23,
IF(U193=regle!$D$11,regle!$D$23,
IF(U193=regle!$E$11,regle!$E$23,
IF(U193=regle!$F$11,regle!$F$23,
IF(U193=regle!$G$11,regle!$G$23,
IF(U193=regle!$H$11,regle!$H$23,
IF(U193=regle!$I$11,regle!$I$23,
IF(U193=regle!$J$11,regle!$J$23,
IF(U193=regle!$K$11,regle!$K$23,0))))))))))))</f>
        <v>0</v>
      </c>
      <c r="AF193" s="17">
        <f>IF($A193,$J193*(IF(V193=regle!$B$11,regle!$B$23*IF(AO193=-2,1+regle!$B$35,1),
IF(V193=regle!$C$11,regle!$C$23,
IF(V193=regle!$D$11,regle!$D$23,
IF(V193=regle!$E$11,regle!$E$23,
IF(V193=regle!$F$11,regle!$F$23,
IF(V193=regle!$G$11,regle!$G$23,
IF(V193=regle!$H$11,regle!$H$23,
IF(V193=regle!$I$11,regle!$I$23,
IF(V193=regle!$J$11,regle!$J$23,
IF(V193=regle!$K$11,regle!$K$23,0))))))))))))</f>
        <v>0</v>
      </c>
      <c r="AG193" s="17">
        <f>IF($A193,$J193*(IF(W193=regle!$B$11,regle!$B$23*IF(AP193=-2,1+regle!$B$35,1),
IF(W193=regle!$C$11,regle!$C$23,
IF(W193=regle!$D$11,regle!$D$23,
IF(W193=regle!$E$11,regle!$E$23,
IF(W193=regle!$F$11,regle!$F$23,
IF(W193=regle!$G$11,regle!$G$23,
IF(W193=regle!$H$11,regle!$H$23,
IF(W193=regle!$I$11,regle!$I$23,
IF(W193=regle!$J$11,regle!$J$23,
IF(W193=regle!$K$11,regle!$K$23,0))))))))))))</f>
        <v>0</v>
      </c>
      <c r="AH193" s="17">
        <f>IF($A193,$J193*(IF(X193=regle!$B$11,regle!$B$23*IF(AQ193=-2,1+regle!$B$35,1),
IF(X193=regle!$C$11,regle!$C$23,
IF(X193=regle!$D$11,regle!$D$23,
IF(X193=regle!$E$11,regle!$E$23,
IF(X193=regle!$F$11,regle!$F$23,
IF(X193=regle!$G$11,regle!$G$23,
IF(X193=regle!$H$11,regle!$H$23,
IF(X193=regle!$I$11,regle!$I$23,
IF(X193=regle!$J$11,regle!$J$23,
IF(X193=regle!$K$11,regle!$K$23,0))))))))))))</f>
        <v>0</v>
      </c>
      <c r="AI193" s="17">
        <f>IF($A193,$J193*(IF(Y193=regle!$B$11,regle!$B$23*IF(AR193=-2,1+regle!$B$35,1),
IF(Y193=regle!$C$11,regle!$C$23,
IF(Y193=regle!$D$11,regle!$D$23,
IF(Y193=regle!$E$11,regle!$E$23,
IF(Y193=regle!$F$11,regle!$F$23,
IF(Y193=regle!$G$11,regle!$G$23,
IF(Y193=regle!$H$11,regle!$H$23,
IF(Y193=regle!$I$11,regle!$I$23,
IF(Y193=regle!$J$11,regle!$J$23,
IF(Y193=regle!$K$11,regle!$K$23,0))))))))))))</f>
        <v>0</v>
      </c>
      <c r="AJ193" s="17">
        <f>IF($A193,$J193*(IF(Z193=regle!$B$11,regle!$B$23*IF(AS193=-2,1+regle!$B$35,1),
IF(Z193=regle!$C$11,regle!$C$23,
IF(Z193=regle!$D$11,regle!$D$23,
IF(Z193=regle!$E$11,regle!$E$23,
IF(Z193=regle!$F$11,regle!$F$23,
IF(Z193=regle!$G$11,regle!$G$23,
IF(Z193=regle!$H$11,regle!$H$23,
IF(Z193=regle!$I$11,regle!$I$23,
IF(Z193=regle!$J$11,regle!$J$23,
IF(Z193=regle!$K$11,regle!$K$23,0))))))))))))</f>
        <v>120.11999999999999</v>
      </c>
      <c r="AK193" s="16">
        <f>IF(OR(Q193=regle!$J$11,Q193=regle!$K$11),-2,IF(Q193=regle!$B$11,0,IF(AK$1=$AK$1,IF($O193,-1,regle!$B$2-$M193),IF(AJ193=-1,-1,AJ193+1))))</f>
        <v>9</v>
      </c>
      <c r="AL193" s="16">
        <f>IF(OR(R193=regle!$J$11,R193=regle!$K$11),-2,IF(R193=regle!$B$11,0,IF(AL$1=$AK$1,IF($O193,-1,regle!$B$2-$M193),IF(AK193=-1,-1,AK193+1))))</f>
        <v>10</v>
      </c>
      <c r="AM193" s="16">
        <f>IF(OR(S193=regle!$J$11,S193=regle!$K$11),-2,IF(S193=regle!$B$11,0,IF(AM$1=$AK$1,IF($O193,-1,regle!$B$2-$M193),IF(AL193=-1,-1,AL193+1))))</f>
        <v>11</v>
      </c>
      <c r="AN193" s="16">
        <f>IF(OR(T193=regle!$J$11,T193=regle!$K$11),-2,IF(T193=regle!$B$11,0,IF(AN$1=$AK$1,IF($O193,-1,regle!$B$2-$M193),IF(AM193=-1,-1,AM193+1))))</f>
        <v>12</v>
      </c>
      <c r="AO193" s="16">
        <f>IF(OR(U193=regle!$J$11,U193=regle!$K$11),-2,IF(U193=regle!$B$11,0,IF(AO$1=$AK$1,IF($O193,-1,regle!$B$2-$M193),IF(AN193=-1,-1,AN193+1))))</f>
        <v>13</v>
      </c>
      <c r="AP193" s="16">
        <f>IF(OR(V193=regle!$J$11,V193=regle!$K$11),-2,IF(V193=regle!$B$11,0,IF(AP$1=$AK$1,IF($O193,-1,regle!$B$2-$M193),IF(AO193=-1,-1,AO193+1))))</f>
        <v>14</v>
      </c>
      <c r="AQ193" s="16">
        <f>IF(OR(W193=regle!$J$11,W193=regle!$K$11),-2,IF(W193=regle!$B$11,0,IF(AQ$1=$AK$1,IF($O193,-1,regle!$B$2-$M193),IF(AP193=-1,-1,AP193+1))))</f>
        <v>15</v>
      </c>
      <c r="AR193" s="16">
        <f>IF(OR(X193=regle!$J$11,X193=regle!$K$11),-2,IF(X193=regle!$B$11,0,IF(AR$1=$AK$1,IF($O193,-1,regle!$B$2-$M193),IF(AQ193=-1,-1,AQ193+1))))</f>
        <v>16</v>
      </c>
      <c r="AS193" s="16">
        <f>IF(OR(Y193=regle!$J$11,Y193=regle!$K$11),-2,IF(Y193=regle!$B$11,0,IF(AS$1=$AK$1,IF($O193,-1,regle!$B$2-$M193),IF(AR193=-1,-1,AR193+1))))</f>
        <v>17</v>
      </c>
      <c r="AT193" s="16">
        <f>IF(OR(Z193=regle!$J$11,Z193=regle!$K$11),-2,IF(Z193=regle!$B$11,0,IF(AT$1=$AK$1,IF($O193,-1,regle!$B$2-$M193),IF(AS193=-1,-1,AS193+1))))</f>
        <v>18</v>
      </c>
    </row>
    <row r="194" spans="1:46" x14ac:dyDescent="0.25">
      <c r="A194" t="b">
        <f>modif1!A194</f>
        <v>1</v>
      </c>
      <c r="B194">
        <f>ROW(modif1!B194)</f>
        <v>194</v>
      </c>
      <c r="C194" t="str">
        <f>modif1!C197</f>
        <v>202</v>
      </c>
      <c r="D194" t="str">
        <f>modif1!D194</f>
        <v>HOSTENS</v>
      </c>
      <c r="E194">
        <f>modif1!E194</f>
        <v>11</v>
      </c>
      <c r="F194" t="str">
        <f>modif1!F194</f>
        <v>LES CAZALAS</v>
      </c>
      <c r="G194" t="str">
        <f>modif1!G194</f>
        <v>0B</v>
      </c>
      <c r="H194">
        <f>modif1!H194</f>
        <v>1163</v>
      </c>
      <c r="I194" t="str">
        <f>modif1!I194</f>
        <v/>
      </c>
      <c r="J194" s="11">
        <f>modif1!J194</f>
        <v>0.14000000000000001</v>
      </c>
      <c r="K194" t="str">
        <f>modif1!K194</f>
        <v>PLA</v>
      </c>
      <c r="L194" t="str">
        <f>modif1!L194</f>
        <v>PM</v>
      </c>
      <c r="M194">
        <f>modif1!M194</f>
        <v>2015</v>
      </c>
      <c r="N194" t="str">
        <f>modif1!N194</f>
        <v>PLA-PM_2015</v>
      </c>
      <c r="O194" t="b">
        <f>modif1!O194</f>
        <v>0</v>
      </c>
      <c r="P194">
        <v>40</v>
      </c>
      <c r="T194" t="s">
        <v>1803</v>
      </c>
      <c r="Y194" s="22"/>
      <c r="Z194" t="s">
        <v>1804</v>
      </c>
      <c r="AA194" s="17">
        <f>IF($A194,$J194*(IF(Q194=regle!$B$11,regle!$B$23*IF(AJ194=-2,1+regle!$B$35,1),
IF(Q194=regle!$C$11,regle!$C$23,
IF(Q194=regle!$D$11,regle!$D$23,
IF(Q194=regle!$E$11,regle!$E$23,
IF(Q194=regle!$F$11,regle!$F$23,
IF(Q194=regle!$G$11,regle!$G$23,
IF(Q194=regle!$H$11,regle!$H$23,
IF(Q194=regle!$I$11,regle!$I$23,
IF(Q194=regle!$J$11,regle!$J$23,
IF(Q194=regle!$K$11,regle!$K$23,0))))))))))))</f>
        <v>0</v>
      </c>
      <c r="AB194" s="17">
        <f>IF($A194,$J194*(IF(R194=regle!$B$11,regle!$B$23*IF(AK194=-2,1+regle!$B$35,1),
IF(R194=regle!$C$11,regle!$C$23,
IF(R194=regle!$D$11,regle!$D$23,
IF(R194=regle!$E$11,regle!$E$23,
IF(R194=regle!$F$11,regle!$F$23,
IF(R194=regle!$G$11,regle!$G$23,
IF(R194=regle!$H$11,regle!$H$23,
IF(R194=regle!$I$11,regle!$I$23,
IF(R194=regle!$J$11,regle!$J$23,
IF(R194=regle!$K$11,regle!$K$23,0))))))))))))</f>
        <v>0</v>
      </c>
      <c r="AC194" s="17">
        <f>IF($A194,$J194*(IF(S194=regle!$B$11,regle!$B$23*IF(AL194=-2,1+regle!$B$35,1),
IF(S194=regle!$C$11,regle!$C$23,
IF(S194=regle!$D$11,regle!$D$23,
IF(S194=regle!$E$11,regle!$E$23,
IF(S194=regle!$F$11,regle!$F$23,
IF(S194=regle!$G$11,regle!$G$23,
IF(S194=regle!$H$11,regle!$H$23,
IF(S194=regle!$I$11,regle!$I$23,
IF(S194=regle!$J$11,regle!$J$23,
IF(S194=regle!$K$11,regle!$K$23,0))))))))))))</f>
        <v>0</v>
      </c>
      <c r="AD194" s="17">
        <f>IF($A194,$J194*(IF(T194=regle!$B$11,regle!$B$23*IF(AM194=-2,1+regle!$B$35,1),
IF(T194=regle!$C$11,regle!$C$23,
IF(T194=regle!$D$11,regle!$D$23,
IF(T194=regle!$E$11,regle!$E$23,
IF(T194=regle!$F$11,regle!$F$23,
IF(T194=regle!$G$11,regle!$G$23,
IF(T194=regle!$H$11,regle!$H$23,
IF(T194=regle!$I$11,regle!$I$23,
IF(T194=regle!$J$11,regle!$J$23,
IF(T194=regle!$K$11,regle!$K$23,0))))))))))))</f>
        <v>80.640000000000015</v>
      </c>
      <c r="AE194" s="17">
        <f>IF($A194,$J194*(IF(U194=regle!$B$11,regle!$B$23*IF(AN194=-2,1+regle!$B$35,1),
IF(U194=regle!$C$11,regle!$C$23,
IF(U194=regle!$D$11,regle!$D$23,
IF(U194=regle!$E$11,regle!$E$23,
IF(U194=regle!$F$11,regle!$F$23,
IF(U194=regle!$G$11,regle!$G$23,
IF(U194=regle!$H$11,regle!$H$23,
IF(U194=regle!$I$11,regle!$I$23,
IF(U194=regle!$J$11,regle!$J$23,
IF(U194=regle!$K$11,regle!$K$23,0))))))))))))</f>
        <v>0</v>
      </c>
      <c r="AF194" s="17">
        <f>IF($A194,$J194*(IF(V194=regle!$B$11,regle!$B$23*IF(AO194=-2,1+regle!$B$35,1),
IF(V194=regle!$C$11,regle!$C$23,
IF(V194=regle!$D$11,regle!$D$23,
IF(V194=regle!$E$11,regle!$E$23,
IF(V194=regle!$F$11,regle!$F$23,
IF(V194=regle!$G$11,regle!$G$23,
IF(V194=regle!$H$11,regle!$H$23,
IF(V194=regle!$I$11,regle!$I$23,
IF(V194=regle!$J$11,regle!$J$23,
IF(V194=regle!$K$11,regle!$K$23,0))))))))))))</f>
        <v>0</v>
      </c>
      <c r="AG194" s="17">
        <f>IF($A194,$J194*(IF(W194=regle!$B$11,regle!$B$23*IF(AP194=-2,1+regle!$B$35,1),
IF(W194=regle!$C$11,regle!$C$23,
IF(W194=regle!$D$11,regle!$D$23,
IF(W194=regle!$E$11,regle!$E$23,
IF(W194=regle!$F$11,regle!$F$23,
IF(W194=regle!$G$11,regle!$G$23,
IF(W194=regle!$H$11,regle!$H$23,
IF(W194=regle!$I$11,regle!$I$23,
IF(W194=regle!$J$11,regle!$J$23,
IF(W194=regle!$K$11,regle!$K$23,0))))))))))))</f>
        <v>0</v>
      </c>
      <c r="AH194" s="17">
        <f>IF($A194,$J194*(IF(X194=regle!$B$11,regle!$B$23*IF(AQ194=-2,1+regle!$B$35,1),
IF(X194=regle!$C$11,regle!$C$23,
IF(X194=regle!$D$11,regle!$D$23,
IF(X194=regle!$E$11,regle!$E$23,
IF(X194=regle!$F$11,regle!$F$23,
IF(X194=regle!$G$11,regle!$G$23,
IF(X194=regle!$H$11,regle!$H$23,
IF(X194=regle!$I$11,regle!$I$23,
IF(X194=regle!$J$11,regle!$J$23,
IF(X194=regle!$K$11,regle!$K$23,0))))))))))))</f>
        <v>0</v>
      </c>
      <c r="AI194" s="17">
        <f>IF($A194,$J194*(IF(Y194=regle!$B$11,regle!$B$23*IF(AR194=-2,1+regle!$B$35,1),
IF(Y194=regle!$C$11,regle!$C$23,
IF(Y194=regle!$D$11,regle!$D$23,
IF(Y194=regle!$E$11,regle!$E$23,
IF(Y194=regle!$F$11,regle!$F$23,
IF(Y194=regle!$G$11,regle!$G$23,
IF(Y194=regle!$H$11,regle!$H$23,
IF(Y194=regle!$I$11,regle!$I$23,
IF(Y194=regle!$J$11,regle!$J$23,
IF(Y194=regle!$K$11,regle!$K$23,0))))))))))))</f>
        <v>0</v>
      </c>
      <c r="AJ194" s="17">
        <f>IF($A194,$J194*(IF(Z194=regle!$B$11,regle!$B$23*IF(AS194=-2,1+regle!$B$35,1),
IF(Z194=regle!$C$11,regle!$C$23,
IF(Z194=regle!$D$11,regle!$D$23,
IF(Z194=regle!$E$11,regle!$E$23,
IF(Z194=regle!$F$11,regle!$F$23,
IF(Z194=regle!$G$11,regle!$G$23,
IF(Z194=regle!$H$11,regle!$H$23,
IF(Z194=regle!$I$11,regle!$I$23,
IF(Z194=regle!$J$11,regle!$J$23,
IF(Z194=regle!$K$11,regle!$K$23,0))))))))))))</f>
        <v>117.60000000000001</v>
      </c>
      <c r="AK194" s="16">
        <f>IF(OR(Q194=regle!$J$11,Q194=regle!$K$11),-2,IF(Q194=regle!$B$11,0,IF(AK$1=$AK$1,IF($O194,-1,regle!$B$2-$M194),IF(AJ194=-1,-1,AJ194+1))))</f>
        <v>9</v>
      </c>
      <c r="AL194" s="16">
        <f>IF(OR(R194=regle!$J$11,R194=regle!$K$11),-2,IF(R194=regle!$B$11,0,IF(AL$1=$AK$1,IF($O194,-1,regle!$B$2-$M194),IF(AK194=-1,-1,AK194+1))))</f>
        <v>10</v>
      </c>
      <c r="AM194" s="16">
        <f>IF(OR(S194=regle!$J$11,S194=regle!$K$11),-2,IF(S194=regle!$B$11,0,IF(AM$1=$AK$1,IF($O194,-1,regle!$B$2-$M194),IF(AL194=-1,-1,AL194+1))))</f>
        <v>11</v>
      </c>
      <c r="AN194" s="16">
        <f>IF(OR(T194=regle!$J$11,T194=regle!$K$11),-2,IF(T194=regle!$B$11,0,IF(AN$1=$AK$1,IF($O194,-1,regle!$B$2-$M194),IF(AM194=-1,-1,AM194+1))))</f>
        <v>12</v>
      </c>
      <c r="AO194" s="16">
        <f>IF(OR(U194=regle!$J$11,U194=regle!$K$11),-2,IF(U194=regle!$B$11,0,IF(AO$1=$AK$1,IF($O194,-1,regle!$B$2-$M194),IF(AN194=-1,-1,AN194+1))))</f>
        <v>13</v>
      </c>
      <c r="AP194" s="16">
        <f>IF(OR(V194=regle!$J$11,V194=regle!$K$11),-2,IF(V194=regle!$B$11,0,IF(AP$1=$AK$1,IF($O194,-1,regle!$B$2-$M194),IF(AO194=-1,-1,AO194+1))))</f>
        <v>14</v>
      </c>
      <c r="AQ194" s="16">
        <f>IF(OR(W194=regle!$J$11,W194=regle!$K$11),-2,IF(W194=regle!$B$11,0,IF(AQ$1=$AK$1,IF($O194,-1,regle!$B$2-$M194),IF(AP194=-1,-1,AP194+1))))</f>
        <v>15</v>
      </c>
      <c r="AR194" s="16">
        <f>IF(OR(X194=regle!$J$11,X194=regle!$K$11),-2,IF(X194=regle!$B$11,0,IF(AR$1=$AK$1,IF($O194,-1,regle!$B$2-$M194),IF(AQ194=-1,-1,AQ194+1))))</f>
        <v>16</v>
      </c>
      <c r="AS194" s="16">
        <f>IF(OR(Y194=regle!$J$11,Y194=regle!$K$11),-2,IF(Y194=regle!$B$11,0,IF(AS$1=$AK$1,IF($O194,-1,regle!$B$2-$M194),IF(AR194=-1,-1,AR194+1))))</f>
        <v>17</v>
      </c>
      <c r="AT194" s="16">
        <f>IF(OR(Z194=regle!$J$11,Z194=regle!$K$11),-2,IF(Z194=regle!$B$11,0,IF(AT$1=$AK$1,IF($O194,-1,regle!$B$2-$M194),IF(AS194=-1,-1,AS194+1))))</f>
        <v>18</v>
      </c>
    </row>
    <row r="195" spans="1:46" x14ac:dyDescent="0.25">
      <c r="A195" t="b">
        <f>modif1!A195</f>
        <v>1</v>
      </c>
      <c r="B195">
        <f>ROW(modif1!B195)</f>
        <v>195</v>
      </c>
      <c r="C195" t="str">
        <f>modif1!C198</f>
        <v>202</v>
      </c>
      <c r="D195" t="str">
        <f>modif1!D195</f>
        <v>HOSTENS</v>
      </c>
      <c r="E195">
        <f>modif1!E195</f>
        <v>8</v>
      </c>
      <c r="F195" t="str">
        <f>modif1!F195</f>
        <v>LES BECS</v>
      </c>
      <c r="G195" t="str">
        <f>modif1!G195</f>
        <v>0B</v>
      </c>
      <c r="H195">
        <f>modif1!H195</f>
        <v>2472</v>
      </c>
      <c r="I195" t="str">
        <f>modif1!I195</f>
        <v>m</v>
      </c>
      <c r="J195" s="11">
        <f>modif1!J195</f>
        <v>0.13389999999999999</v>
      </c>
      <c r="K195" t="str">
        <f>modif1!K195</f>
        <v>PLA</v>
      </c>
      <c r="L195" t="str">
        <f>modif1!L195</f>
        <v>PM</v>
      </c>
      <c r="M195">
        <f>modif1!M195</f>
        <v>2015</v>
      </c>
      <c r="N195" t="str">
        <f>modif1!N195</f>
        <v>PLA-PM_2015</v>
      </c>
      <c r="O195" t="b">
        <f>modif1!O195</f>
        <v>0</v>
      </c>
      <c r="P195">
        <v>40</v>
      </c>
      <c r="T195" t="s">
        <v>1803</v>
      </c>
      <c r="Y195" s="22"/>
      <c r="Z195" t="s">
        <v>1804</v>
      </c>
      <c r="AA195" s="17">
        <f>IF($A195,$J195*(IF(Q195=regle!$B$11,regle!$B$23*IF(AJ195=-2,1+regle!$B$35,1),
IF(Q195=regle!$C$11,regle!$C$23,
IF(Q195=regle!$D$11,regle!$D$23,
IF(Q195=regle!$E$11,regle!$E$23,
IF(Q195=regle!$F$11,regle!$F$23,
IF(Q195=regle!$G$11,regle!$G$23,
IF(Q195=regle!$H$11,regle!$H$23,
IF(Q195=regle!$I$11,regle!$I$23,
IF(Q195=regle!$J$11,regle!$J$23,
IF(Q195=regle!$K$11,regle!$K$23,0))))))))))))</f>
        <v>0</v>
      </c>
      <c r="AB195" s="17">
        <f>IF($A195,$J195*(IF(R195=regle!$B$11,regle!$B$23*IF(AK195=-2,1+regle!$B$35,1),
IF(R195=regle!$C$11,regle!$C$23,
IF(R195=regle!$D$11,regle!$D$23,
IF(R195=regle!$E$11,regle!$E$23,
IF(R195=regle!$F$11,regle!$F$23,
IF(R195=regle!$G$11,regle!$G$23,
IF(R195=regle!$H$11,regle!$H$23,
IF(R195=regle!$I$11,regle!$I$23,
IF(R195=regle!$J$11,regle!$J$23,
IF(R195=regle!$K$11,regle!$K$23,0))))))))))))</f>
        <v>0</v>
      </c>
      <c r="AC195" s="17">
        <f>IF($A195,$J195*(IF(S195=regle!$B$11,regle!$B$23*IF(AL195=-2,1+regle!$B$35,1),
IF(S195=regle!$C$11,regle!$C$23,
IF(S195=regle!$D$11,regle!$D$23,
IF(S195=regle!$E$11,regle!$E$23,
IF(S195=regle!$F$11,regle!$F$23,
IF(S195=regle!$G$11,regle!$G$23,
IF(S195=regle!$H$11,regle!$H$23,
IF(S195=regle!$I$11,regle!$I$23,
IF(S195=regle!$J$11,regle!$J$23,
IF(S195=regle!$K$11,regle!$K$23,0))))))))))))</f>
        <v>0</v>
      </c>
      <c r="AD195" s="17">
        <f>IF($A195,$J195*(IF(T195=regle!$B$11,regle!$B$23*IF(AM195=-2,1+regle!$B$35,1),
IF(T195=regle!$C$11,regle!$C$23,
IF(T195=regle!$D$11,regle!$D$23,
IF(T195=regle!$E$11,regle!$E$23,
IF(T195=regle!$F$11,regle!$F$23,
IF(T195=regle!$G$11,regle!$G$23,
IF(T195=regle!$H$11,regle!$H$23,
IF(T195=regle!$I$11,regle!$I$23,
IF(T195=regle!$J$11,regle!$J$23,
IF(T195=regle!$K$11,regle!$K$23,0))))))))))))</f>
        <v>77.12639999999999</v>
      </c>
      <c r="AE195" s="17">
        <f>IF($A195,$J195*(IF(U195=regle!$B$11,regle!$B$23*IF(AN195=-2,1+regle!$B$35,1),
IF(U195=regle!$C$11,regle!$C$23,
IF(U195=regle!$D$11,regle!$D$23,
IF(U195=regle!$E$11,regle!$E$23,
IF(U195=regle!$F$11,regle!$F$23,
IF(U195=regle!$G$11,regle!$G$23,
IF(U195=regle!$H$11,regle!$H$23,
IF(U195=regle!$I$11,regle!$I$23,
IF(U195=regle!$J$11,regle!$J$23,
IF(U195=regle!$K$11,regle!$K$23,0))))))))))))</f>
        <v>0</v>
      </c>
      <c r="AF195" s="17">
        <f>IF($A195,$J195*(IF(V195=regle!$B$11,regle!$B$23*IF(AO195=-2,1+regle!$B$35,1),
IF(V195=regle!$C$11,regle!$C$23,
IF(V195=regle!$D$11,regle!$D$23,
IF(V195=regle!$E$11,regle!$E$23,
IF(V195=regle!$F$11,regle!$F$23,
IF(V195=regle!$G$11,regle!$G$23,
IF(V195=regle!$H$11,regle!$H$23,
IF(V195=regle!$I$11,regle!$I$23,
IF(V195=regle!$J$11,regle!$J$23,
IF(V195=regle!$K$11,regle!$K$23,0))))))))))))</f>
        <v>0</v>
      </c>
      <c r="AG195" s="17">
        <f>IF($A195,$J195*(IF(W195=regle!$B$11,regle!$B$23*IF(AP195=-2,1+regle!$B$35,1),
IF(W195=regle!$C$11,regle!$C$23,
IF(W195=regle!$D$11,regle!$D$23,
IF(W195=regle!$E$11,regle!$E$23,
IF(W195=regle!$F$11,regle!$F$23,
IF(W195=regle!$G$11,regle!$G$23,
IF(W195=regle!$H$11,regle!$H$23,
IF(W195=regle!$I$11,regle!$I$23,
IF(W195=regle!$J$11,regle!$J$23,
IF(W195=regle!$K$11,regle!$K$23,0))))))))))))</f>
        <v>0</v>
      </c>
      <c r="AH195" s="17">
        <f>IF($A195,$J195*(IF(X195=regle!$B$11,regle!$B$23*IF(AQ195=-2,1+regle!$B$35,1),
IF(X195=regle!$C$11,regle!$C$23,
IF(X195=regle!$D$11,regle!$D$23,
IF(X195=regle!$E$11,regle!$E$23,
IF(X195=regle!$F$11,regle!$F$23,
IF(X195=regle!$G$11,regle!$G$23,
IF(X195=regle!$H$11,regle!$H$23,
IF(X195=regle!$I$11,regle!$I$23,
IF(X195=regle!$J$11,regle!$J$23,
IF(X195=regle!$K$11,regle!$K$23,0))))))))))))</f>
        <v>0</v>
      </c>
      <c r="AI195" s="17">
        <f>IF($A195,$J195*(IF(Y195=regle!$B$11,regle!$B$23*IF(AR195=-2,1+regle!$B$35,1),
IF(Y195=regle!$C$11,regle!$C$23,
IF(Y195=regle!$D$11,regle!$D$23,
IF(Y195=regle!$E$11,regle!$E$23,
IF(Y195=regle!$F$11,regle!$F$23,
IF(Y195=regle!$G$11,regle!$G$23,
IF(Y195=regle!$H$11,regle!$H$23,
IF(Y195=regle!$I$11,regle!$I$23,
IF(Y195=regle!$J$11,regle!$J$23,
IF(Y195=regle!$K$11,regle!$K$23,0))))))))))))</f>
        <v>0</v>
      </c>
      <c r="AJ195" s="17">
        <f>IF($A195,$J195*(IF(Z195=regle!$B$11,regle!$B$23*IF(AS195=-2,1+regle!$B$35,1),
IF(Z195=regle!$C$11,regle!$C$23,
IF(Z195=regle!$D$11,regle!$D$23,
IF(Z195=regle!$E$11,regle!$E$23,
IF(Z195=regle!$F$11,regle!$F$23,
IF(Z195=regle!$G$11,regle!$G$23,
IF(Z195=regle!$H$11,regle!$H$23,
IF(Z195=regle!$I$11,regle!$I$23,
IF(Z195=regle!$J$11,regle!$J$23,
IF(Z195=regle!$K$11,regle!$K$23,0))))))))))))</f>
        <v>112.476</v>
      </c>
      <c r="AK195" s="16">
        <f>IF(OR(Q195=regle!$J$11,Q195=regle!$K$11),-2,IF(Q195=regle!$B$11,0,IF(AK$1=$AK$1,IF($O195,-1,regle!$B$2-$M195),IF(AJ195=-1,-1,AJ195+1))))</f>
        <v>9</v>
      </c>
      <c r="AL195" s="16">
        <f>IF(OR(R195=regle!$J$11,R195=regle!$K$11),-2,IF(R195=regle!$B$11,0,IF(AL$1=$AK$1,IF($O195,-1,regle!$B$2-$M195),IF(AK195=-1,-1,AK195+1))))</f>
        <v>10</v>
      </c>
      <c r="AM195" s="16">
        <f>IF(OR(S195=regle!$J$11,S195=regle!$K$11),-2,IF(S195=regle!$B$11,0,IF(AM$1=$AK$1,IF($O195,-1,regle!$B$2-$M195),IF(AL195=-1,-1,AL195+1))))</f>
        <v>11</v>
      </c>
      <c r="AN195" s="16">
        <f>IF(OR(T195=regle!$J$11,T195=regle!$K$11),-2,IF(T195=regle!$B$11,0,IF(AN$1=$AK$1,IF($O195,-1,regle!$B$2-$M195),IF(AM195=-1,-1,AM195+1))))</f>
        <v>12</v>
      </c>
      <c r="AO195" s="16">
        <f>IF(OR(U195=regle!$J$11,U195=regle!$K$11),-2,IF(U195=regle!$B$11,0,IF(AO$1=$AK$1,IF($O195,-1,regle!$B$2-$M195),IF(AN195=-1,-1,AN195+1))))</f>
        <v>13</v>
      </c>
      <c r="AP195" s="16">
        <f>IF(OR(V195=regle!$J$11,V195=regle!$K$11),-2,IF(V195=regle!$B$11,0,IF(AP$1=$AK$1,IF($O195,-1,regle!$B$2-$M195),IF(AO195=-1,-1,AO195+1))))</f>
        <v>14</v>
      </c>
      <c r="AQ195" s="16">
        <f>IF(OR(W195=regle!$J$11,W195=regle!$K$11),-2,IF(W195=regle!$B$11,0,IF(AQ$1=$AK$1,IF($O195,-1,regle!$B$2-$M195),IF(AP195=-1,-1,AP195+1))))</f>
        <v>15</v>
      </c>
      <c r="AR195" s="16">
        <f>IF(OR(X195=regle!$J$11,X195=regle!$K$11),-2,IF(X195=regle!$B$11,0,IF(AR$1=$AK$1,IF($O195,-1,regle!$B$2-$M195),IF(AQ195=-1,-1,AQ195+1))))</f>
        <v>16</v>
      </c>
      <c r="AS195" s="16">
        <f>IF(OR(Y195=regle!$J$11,Y195=regle!$K$11),-2,IF(Y195=regle!$B$11,0,IF(AS$1=$AK$1,IF($O195,-1,regle!$B$2-$M195),IF(AR195=-1,-1,AR195+1))))</f>
        <v>17</v>
      </c>
      <c r="AT195" s="16">
        <f>IF(OR(Z195=regle!$J$11,Z195=regle!$K$11),-2,IF(Z195=regle!$B$11,0,IF(AT$1=$AK$1,IF($O195,-1,regle!$B$2-$M195),IF(AS195=-1,-1,AS195+1))))</f>
        <v>18</v>
      </c>
    </row>
    <row r="196" spans="1:46" x14ac:dyDescent="0.25">
      <c r="A196" t="b">
        <f>modif1!A196</f>
        <v>1</v>
      </c>
      <c r="B196">
        <f>ROW(modif1!B196)</f>
        <v>196</v>
      </c>
      <c r="C196" t="str">
        <f>modif1!C199</f>
        <v>202</v>
      </c>
      <c r="D196" t="str">
        <f>modif1!D196</f>
        <v>HOSTENS</v>
      </c>
      <c r="E196">
        <f>modif1!E196</f>
        <v>11</v>
      </c>
      <c r="F196" t="str">
        <f>modif1!F196</f>
        <v>LES CAZALAS</v>
      </c>
      <c r="G196" t="str">
        <f>modif1!G196</f>
        <v>0B</v>
      </c>
      <c r="H196">
        <f>modif1!H196</f>
        <v>1197</v>
      </c>
      <c r="I196" t="str">
        <f>modif1!I196</f>
        <v/>
      </c>
      <c r="J196" s="11">
        <f>modif1!J196</f>
        <v>0.13250000000000001</v>
      </c>
      <c r="K196" t="str">
        <f>modif1!K196</f>
        <v>PLA</v>
      </c>
      <c r="L196" t="str">
        <f>modif1!L196</f>
        <v>PM</v>
      </c>
      <c r="M196">
        <f>modif1!M196</f>
        <v>2015</v>
      </c>
      <c r="N196" t="str">
        <f>modif1!N196</f>
        <v>PLA-PM_2015</v>
      </c>
      <c r="O196" t="b">
        <f>modif1!O196</f>
        <v>0</v>
      </c>
      <c r="P196">
        <v>40</v>
      </c>
      <c r="T196" t="s">
        <v>1803</v>
      </c>
      <c r="Y196" s="22"/>
      <c r="Z196" t="s">
        <v>1804</v>
      </c>
      <c r="AA196" s="17">
        <f>IF($A196,$J196*(IF(Q196=regle!$B$11,regle!$B$23*IF(AJ196=-2,1+regle!$B$35,1),
IF(Q196=regle!$C$11,regle!$C$23,
IF(Q196=regle!$D$11,regle!$D$23,
IF(Q196=regle!$E$11,regle!$E$23,
IF(Q196=regle!$F$11,regle!$F$23,
IF(Q196=regle!$G$11,regle!$G$23,
IF(Q196=regle!$H$11,regle!$H$23,
IF(Q196=regle!$I$11,regle!$I$23,
IF(Q196=regle!$J$11,regle!$J$23,
IF(Q196=regle!$K$11,regle!$K$23,0))))))))))))</f>
        <v>0</v>
      </c>
      <c r="AB196" s="17">
        <f>IF($A196,$J196*(IF(R196=regle!$B$11,regle!$B$23*IF(AK196=-2,1+regle!$B$35,1),
IF(R196=regle!$C$11,regle!$C$23,
IF(R196=regle!$D$11,regle!$D$23,
IF(R196=regle!$E$11,regle!$E$23,
IF(R196=regle!$F$11,regle!$F$23,
IF(R196=regle!$G$11,regle!$G$23,
IF(R196=regle!$H$11,regle!$H$23,
IF(R196=regle!$I$11,regle!$I$23,
IF(R196=regle!$J$11,regle!$J$23,
IF(R196=regle!$K$11,regle!$K$23,0))))))))))))</f>
        <v>0</v>
      </c>
      <c r="AC196" s="17">
        <f>IF($A196,$J196*(IF(S196=regle!$B$11,regle!$B$23*IF(AL196=-2,1+regle!$B$35,1),
IF(S196=regle!$C$11,regle!$C$23,
IF(S196=regle!$D$11,regle!$D$23,
IF(S196=regle!$E$11,regle!$E$23,
IF(S196=regle!$F$11,regle!$F$23,
IF(S196=regle!$G$11,regle!$G$23,
IF(S196=regle!$H$11,regle!$H$23,
IF(S196=regle!$I$11,regle!$I$23,
IF(S196=regle!$J$11,regle!$J$23,
IF(S196=regle!$K$11,regle!$K$23,0))))))))))))</f>
        <v>0</v>
      </c>
      <c r="AD196" s="17">
        <f>IF($A196,$J196*(IF(T196=regle!$B$11,regle!$B$23*IF(AM196=-2,1+regle!$B$35,1),
IF(T196=regle!$C$11,regle!$C$23,
IF(T196=regle!$D$11,regle!$D$23,
IF(T196=regle!$E$11,regle!$E$23,
IF(T196=regle!$F$11,regle!$F$23,
IF(T196=regle!$G$11,regle!$G$23,
IF(T196=regle!$H$11,regle!$H$23,
IF(T196=regle!$I$11,regle!$I$23,
IF(T196=regle!$J$11,regle!$J$23,
IF(T196=regle!$K$11,regle!$K$23,0))))))))))))</f>
        <v>76.320000000000007</v>
      </c>
      <c r="AE196" s="17">
        <f>IF($A196,$J196*(IF(U196=regle!$B$11,regle!$B$23*IF(AN196=-2,1+regle!$B$35,1),
IF(U196=regle!$C$11,regle!$C$23,
IF(U196=regle!$D$11,regle!$D$23,
IF(U196=regle!$E$11,regle!$E$23,
IF(U196=regle!$F$11,regle!$F$23,
IF(U196=regle!$G$11,regle!$G$23,
IF(U196=regle!$H$11,regle!$H$23,
IF(U196=regle!$I$11,regle!$I$23,
IF(U196=regle!$J$11,regle!$J$23,
IF(U196=regle!$K$11,regle!$K$23,0))))))))))))</f>
        <v>0</v>
      </c>
      <c r="AF196" s="17">
        <f>IF($A196,$J196*(IF(V196=regle!$B$11,regle!$B$23*IF(AO196=-2,1+regle!$B$35,1),
IF(V196=regle!$C$11,regle!$C$23,
IF(V196=regle!$D$11,regle!$D$23,
IF(V196=regle!$E$11,regle!$E$23,
IF(V196=regle!$F$11,regle!$F$23,
IF(V196=regle!$G$11,regle!$G$23,
IF(V196=regle!$H$11,regle!$H$23,
IF(V196=regle!$I$11,regle!$I$23,
IF(V196=regle!$J$11,regle!$J$23,
IF(V196=regle!$K$11,regle!$K$23,0))))))))))))</f>
        <v>0</v>
      </c>
      <c r="AG196" s="17">
        <f>IF($A196,$J196*(IF(W196=regle!$B$11,regle!$B$23*IF(AP196=-2,1+regle!$B$35,1),
IF(W196=regle!$C$11,regle!$C$23,
IF(W196=regle!$D$11,regle!$D$23,
IF(W196=regle!$E$11,regle!$E$23,
IF(W196=regle!$F$11,regle!$F$23,
IF(W196=regle!$G$11,regle!$G$23,
IF(W196=regle!$H$11,regle!$H$23,
IF(W196=regle!$I$11,regle!$I$23,
IF(W196=regle!$J$11,regle!$J$23,
IF(W196=regle!$K$11,regle!$K$23,0))))))))))))</f>
        <v>0</v>
      </c>
      <c r="AH196" s="17">
        <f>IF($A196,$J196*(IF(X196=regle!$B$11,regle!$B$23*IF(AQ196=-2,1+regle!$B$35,1),
IF(X196=regle!$C$11,regle!$C$23,
IF(X196=regle!$D$11,regle!$D$23,
IF(X196=regle!$E$11,regle!$E$23,
IF(X196=regle!$F$11,regle!$F$23,
IF(X196=regle!$G$11,regle!$G$23,
IF(X196=regle!$H$11,regle!$H$23,
IF(X196=regle!$I$11,regle!$I$23,
IF(X196=regle!$J$11,regle!$J$23,
IF(X196=regle!$K$11,regle!$K$23,0))))))))))))</f>
        <v>0</v>
      </c>
      <c r="AI196" s="17">
        <f>IF($A196,$J196*(IF(Y196=regle!$B$11,regle!$B$23*IF(AR196=-2,1+regle!$B$35,1),
IF(Y196=regle!$C$11,regle!$C$23,
IF(Y196=regle!$D$11,regle!$D$23,
IF(Y196=regle!$E$11,regle!$E$23,
IF(Y196=regle!$F$11,regle!$F$23,
IF(Y196=regle!$G$11,regle!$G$23,
IF(Y196=regle!$H$11,regle!$H$23,
IF(Y196=regle!$I$11,regle!$I$23,
IF(Y196=regle!$J$11,regle!$J$23,
IF(Y196=regle!$K$11,regle!$K$23,0))))))))))))</f>
        <v>0</v>
      </c>
      <c r="AJ196" s="17">
        <f>IF($A196,$J196*(IF(Z196=regle!$B$11,regle!$B$23*IF(AS196=-2,1+regle!$B$35,1),
IF(Z196=regle!$C$11,regle!$C$23,
IF(Z196=regle!$D$11,regle!$D$23,
IF(Z196=regle!$E$11,regle!$E$23,
IF(Z196=regle!$F$11,regle!$F$23,
IF(Z196=regle!$G$11,regle!$G$23,
IF(Z196=regle!$H$11,regle!$H$23,
IF(Z196=regle!$I$11,regle!$I$23,
IF(Z196=regle!$J$11,regle!$J$23,
IF(Z196=regle!$K$11,regle!$K$23,0))))))))))))</f>
        <v>111.30000000000001</v>
      </c>
      <c r="AK196" s="16">
        <f>IF(OR(Q196=regle!$J$11,Q196=regle!$K$11),-2,IF(Q196=regle!$B$11,0,IF(AK$1=$AK$1,IF($O196,-1,regle!$B$2-$M196),IF(AJ196=-1,-1,AJ196+1))))</f>
        <v>9</v>
      </c>
      <c r="AL196" s="16">
        <f>IF(OR(R196=regle!$J$11,R196=regle!$K$11),-2,IF(R196=regle!$B$11,0,IF(AL$1=$AK$1,IF($O196,-1,regle!$B$2-$M196),IF(AK196=-1,-1,AK196+1))))</f>
        <v>10</v>
      </c>
      <c r="AM196" s="16">
        <f>IF(OR(S196=regle!$J$11,S196=regle!$K$11),-2,IF(S196=regle!$B$11,0,IF(AM$1=$AK$1,IF($O196,-1,regle!$B$2-$M196),IF(AL196=-1,-1,AL196+1))))</f>
        <v>11</v>
      </c>
      <c r="AN196" s="16">
        <f>IF(OR(T196=regle!$J$11,T196=regle!$K$11),-2,IF(T196=regle!$B$11,0,IF(AN$1=$AK$1,IF($O196,-1,regle!$B$2-$M196),IF(AM196=-1,-1,AM196+1))))</f>
        <v>12</v>
      </c>
      <c r="AO196" s="16">
        <f>IF(OR(U196=regle!$J$11,U196=regle!$K$11),-2,IF(U196=regle!$B$11,0,IF(AO$1=$AK$1,IF($O196,-1,regle!$B$2-$M196),IF(AN196=-1,-1,AN196+1))))</f>
        <v>13</v>
      </c>
      <c r="AP196" s="16">
        <f>IF(OR(V196=regle!$J$11,V196=regle!$K$11),-2,IF(V196=regle!$B$11,0,IF(AP$1=$AK$1,IF($O196,-1,regle!$B$2-$M196),IF(AO196=-1,-1,AO196+1))))</f>
        <v>14</v>
      </c>
      <c r="AQ196" s="16">
        <f>IF(OR(W196=regle!$J$11,W196=regle!$K$11),-2,IF(W196=regle!$B$11,0,IF(AQ$1=$AK$1,IF($O196,-1,regle!$B$2-$M196),IF(AP196=-1,-1,AP196+1))))</f>
        <v>15</v>
      </c>
      <c r="AR196" s="16">
        <f>IF(OR(X196=regle!$J$11,X196=regle!$K$11),-2,IF(X196=regle!$B$11,0,IF(AR$1=$AK$1,IF($O196,-1,regle!$B$2-$M196),IF(AQ196=-1,-1,AQ196+1))))</f>
        <v>16</v>
      </c>
      <c r="AS196" s="16">
        <f>IF(OR(Y196=regle!$J$11,Y196=regle!$K$11),-2,IF(Y196=regle!$B$11,0,IF(AS$1=$AK$1,IF($O196,-1,regle!$B$2-$M196),IF(AR196=-1,-1,AR196+1))))</f>
        <v>17</v>
      </c>
      <c r="AT196" s="16">
        <f>IF(OR(Z196=regle!$J$11,Z196=regle!$K$11),-2,IF(Z196=regle!$B$11,0,IF(AT$1=$AK$1,IF($O196,-1,regle!$B$2-$M196),IF(AS196=-1,-1,AS196+1))))</f>
        <v>18</v>
      </c>
    </row>
    <row r="197" spans="1:46" x14ac:dyDescent="0.25">
      <c r="A197" t="b">
        <f>modif1!A197</f>
        <v>1</v>
      </c>
      <c r="B197">
        <f>ROW(modif1!B197)</f>
        <v>197</v>
      </c>
      <c r="C197" t="str">
        <f>modif1!C200</f>
        <v>202</v>
      </c>
      <c r="D197" t="str">
        <f>modif1!D197</f>
        <v>HOSTENS</v>
      </c>
      <c r="E197">
        <f>modif1!E197</f>
        <v>11</v>
      </c>
      <c r="F197" t="str">
        <f>modif1!F197</f>
        <v>LES CAZALAS</v>
      </c>
      <c r="G197" t="str">
        <f>modif1!G197</f>
        <v>0B</v>
      </c>
      <c r="H197">
        <f>modif1!H197</f>
        <v>1158</v>
      </c>
      <c r="I197" t="str">
        <f>modif1!I197</f>
        <v>j</v>
      </c>
      <c r="J197" s="11">
        <f>modif1!J197</f>
        <v>0.1246</v>
      </c>
      <c r="K197" t="str">
        <f>modif1!K197</f>
        <v>PLA</v>
      </c>
      <c r="L197" t="str">
        <f>modif1!L197</f>
        <v>PM</v>
      </c>
      <c r="M197">
        <f>modif1!M197</f>
        <v>2015</v>
      </c>
      <c r="N197" t="str">
        <f>modif1!N197</f>
        <v>PLA-PM_2015</v>
      </c>
      <c r="O197" t="b">
        <f>modif1!O197</f>
        <v>0</v>
      </c>
      <c r="P197">
        <v>40</v>
      </c>
      <c r="T197" t="s">
        <v>1803</v>
      </c>
      <c r="Y197" s="22"/>
      <c r="Z197" t="s">
        <v>1804</v>
      </c>
      <c r="AA197" s="17">
        <f>IF($A197,$J197*(IF(Q197=regle!$B$11,regle!$B$23*IF(AJ197=-2,1+regle!$B$35,1),
IF(Q197=regle!$C$11,regle!$C$23,
IF(Q197=regle!$D$11,regle!$D$23,
IF(Q197=regle!$E$11,regle!$E$23,
IF(Q197=regle!$F$11,regle!$F$23,
IF(Q197=regle!$G$11,regle!$G$23,
IF(Q197=regle!$H$11,regle!$H$23,
IF(Q197=regle!$I$11,regle!$I$23,
IF(Q197=regle!$J$11,regle!$J$23,
IF(Q197=regle!$K$11,regle!$K$23,0))))))))))))</f>
        <v>0</v>
      </c>
      <c r="AB197" s="17">
        <f>IF($A197,$J197*(IF(R197=regle!$B$11,regle!$B$23*IF(AK197=-2,1+regle!$B$35,1),
IF(R197=regle!$C$11,regle!$C$23,
IF(R197=regle!$D$11,regle!$D$23,
IF(R197=regle!$E$11,regle!$E$23,
IF(R197=regle!$F$11,regle!$F$23,
IF(R197=regle!$G$11,regle!$G$23,
IF(R197=regle!$H$11,regle!$H$23,
IF(R197=regle!$I$11,regle!$I$23,
IF(R197=regle!$J$11,regle!$J$23,
IF(R197=regle!$K$11,regle!$K$23,0))))))))))))</f>
        <v>0</v>
      </c>
      <c r="AC197" s="17">
        <f>IF($A197,$J197*(IF(S197=regle!$B$11,regle!$B$23*IF(AL197=-2,1+regle!$B$35,1),
IF(S197=regle!$C$11,regle!$C$23,
IF(S197=regle!$D$11,regle!$D$23,
IF(S197=regle!$E$11,regle!$E$23,
IF(S197=regle!$F$11,regle!$F$23,
IF(S197=regle!$G$11,regle!$G$23,
IF(S197=regle!$H$11,regle!$H$23,
IF(S197=regle!$I$11,regle!$I$23,
IF(S197=regle!$J$11,regle!$J$23,
IF(S197=regle!$K$11,regle!$K$23,0))))))))))))</f>
        <v>0</v>
      </c>
      <c r="AD197" s="17">
        <f>IF($A197,$J197*(IF(T197=regle!$B$11,regle!$B$23*IF(AM197=-2,1+regle!$B$35,1),
IF(T197=regle!$C$11,regle!$C$23,
IF(T197=regle!$D$11,regle!$D$23,
IF(T197=regle!$E$11,regle!$E$23,
IF(T197=regle!$F$11,regle!$F$23,
IF(T197=regle!$G$11,regle!$G$23,
IF(T197=regle!$H$11,regle!$H$23,
IF(T197=regle!$I$11,regle!$I$23,
IF(T197=regle!$J$11,regle!$J$23,
IF(T197=regle!$K$11,regle!$K$23,0))))))))))))</f>
        <v>71.769599999999997</v>
      </c>
      <c r="AE197" s="17">
        <f>IF($A197,$J197*(IF(U197=regle!$B$11,regle!$B$23*IF(AN197=-2,1+regle!$B$35,1),
IF(U197=regle!$C$11,regle!$C$23,
IF(U197=regle!$D$11,regle!$D$23,
IF(U197=regle!$E$11,regle!$E$23,
IF(U197=regle!$F$11,regle!$F$23,
IF(U197=regle!$G$11,regle!$G$23,
IF(U197=regle!$H$11,regle!$H$23,
IF(U197=regle!$I$11,regle!$I$23,
IF(U197=regle!$J$11,regle!$J$23,
IF(U197=regle!$K$11,regle!$K$23,0))))))))))))</f>
        <v>0</v>
      </c>
      <c r="AF197" s="17">
        <f>IF($A197,$J197*(IF(V197=regle!$B$11,regle!$B$23*IF(AO197=-2,1+regle!$B$35,1),
IF(V197=regle!$C$11,regle!$C$23,
IF(V197=regle!$D$11,regle!$D$23,
IF(V197=regle!$E$11,regle!$E$23,
IF(V197=regle!$F$11,regle!$F$23,
IF(V197=regle!$G$11,regle!$G$23,
IF(V197=regle!$H$11,regle!$H$23,
IF(V197=regle!$I$11,regle!$I$23,
IF(V197=regle!$J$11,regle!$J$23,
IF(V197=regle!$K$11,regle!$K$23,0))))))))))))</f>
        <v>0</v>
      </c>
      <c r="AG197" s="17">
        <f>IF($A197,$J197*(IF(W197=regle!$B$11,regle!$B$23*IF(AP197=-2,1+regle!$B$35,1),
IF(W197=regle!$C$11,regle!$C$23,
IF(W197=regle!$D$11,regle!$D$23,
IF(W197=regle!$E$11,regle!$E$23,
IF(W197=regle!$F$11,regle!$F$23,
IF(W197=regle!$G$11,regle!$G$23,
IF(W197=regle!$H$11,regle!$H$23,
IF(W197=regle!$I$11,regle!$I$23,
IF(W197=regle!$J$11,regle!$J$23,
IF(W197=regle!$K$11,regle!$K$23,0))))))))))))</f>
        <v>0</v>
      </c>
      <c r="AH197" s="17">
        <f>IF($A197,$J197*(IF(X197=regle!$B$11,regle!$B$23*IF(AQ197=-2,1+regle!$B$35,1),
IF(X197=regle!$C$11,regle!$C$23,
IF(X197=regle!$D$11,regle!$D$23,
IF(X197=regle!$E$11,regle!$E$23,
IF(X197=regle!$F$11,regle!$F$23,
IF(X197=regle!$G$11,regle!$G$23,
IF(X197=regle!$H$11,regle!$H$23,
IF(X197=regle!$I$11,regle!$I$23,
IF(X197=regle!$J$11,regle!$J$23,
IF(X197=regle!$K$11,regle!$K$23,0))))))))))))</f>
        <v>0</v>
      </c>
      <c r="AI197" s="17">
        <f>IF($A197,$J197*(IF(Y197=regle!$B$11,regle!$B$23*IF(AR197=-2,1+regle!$B$35,1),
IF(Y197=regle!$C$11,regle!$C$23,
IF(Y197=regle!$D$11,regle!$D$23,
IF(Y197=regle!$E$11,regle!$E$23,
IF(Y197=regle!$F$11,regle!$F$23,
IF(Y197=regle!$G$11,regle!$G$23,
IF(Y197=regle!$H$11,regle!$H$23,
IF(Y197=regle!$I$11,regle!$I$23,
IF(Y197=regle!$J$11,regle!$J$23,
IF(Y197=regle!$K$11,regle!$K$23,0))))))))))))</f>
        <v>0</v>
      </c>
      <c r="AJ197" s="17">
        <f>IF($A197,$J197*(IF(Z197=regle!$B$11,regle!$B$23*IF(AS197=-2,1+regle!$B$35,1),
IF(Z197=regle!$C$11,regle!$C$23,
IF(Z197=regle!$D$11,regle!$D$23,
IF(Z197=regle!$E$11,regle!$E$23,
IF(Z197=regle!$F$11,regle!$F$23,
IF(Z197=regle!$G$11,regle!$G$23,
IF(Z197=regle!$H$11,regle!$H$23,
IF(Z197=regle!$I$11,regle!$I$23,
IF(Z197=regle!$J$11,regle!$J$23,
IF(Z197=regle!$K$11,regle!$K$23,0))))))))))))</f>
        <v>104.664</v>
      </c>
      <c r="AK197" s="16">
        <f>IF(OR(Q197=regle!$J$11,Q197=regle!$K$11),-2,IF(Q197=regle!$B$11,0,IF(AK$1=$AK$1,IF($O197,-1,regle!$B$2-$M197),IF(AJ197=-1,-1,AJ197+1))))</f>
        <v>9</v>
      </c>
      <c r="AL197" s="16">
        <f>IF(OR(R197=regle!$J$11,R197=regle!$K$11),-2,IF(R197=regle!$B$11,0,IF(AL$1=$AK$1,IF($O197,-1,regle!$B$2-$M197),IF(AK197=-1,-1,AK197+1))))</f>
        <v>10</v>
      </c>
      <c r="AM197" s="16">
        <f>IF(OR(S197=regle!$J$11,S197=regle!$K$11),-2,IF(S197=regle!$B$11,0,IF(AM$1=$AK$1,IF($O197,-1,regle!$B$2-$M197),IF(AL197=-1,-1,AL197+1))))</f>
        <v>11</v>
      </c>
      <c r="AN197" s="16">
        <f>IF(OR(T197=regle!$J$11,T197=regle!$K$11),-2,IF(T197=regle!$B$11,0,IF(AN$1=$AK$1,IF($O197,-1,regle!$B$2-$M197),IF(AM197=-1,-1,AM197+1))))</f>
        <v>12</v>
      </c>
      <c r="AO197" s="16">
        <f>IF(OR(U197=regle!$J$11,U197=regle!$K$11),-2,IF(U197=regle!$B$11,0,IF(AO$1=$AK$1,IF($O197,-1,regle!$B$2-$M197),IF(AN197=-1,-1,AN197+1))))</f>
        <v>13</v>
      </c>
      <c r="AP197" s="16">
        <f>IF(OR(V197=regle!$J$11,V197=regle!$K$11),-2,IF(V197=regle!$B$11,0,IF(AP$1=$AK$1,IF($O197,-1,regle!$B$2-$M197),IF(AO197=-1,-1,AO197+1))))</f>
        <v>14</v>
      </c>
      <c r="AQ197" s="16">
        <f>IF(OR(W197=regle!$J$11,W197=regle!$K$11),-2,IF(W197=regle!$B$11,0,IF(AQ$1=$AK$1,IF($O197,-1,regle!$B$2-$M197),IF(AP197=-1,-1,AP197+1))))</f>
        <v>15</v>
      </c>
      <c r="AR197" s="16">
        <f>IF(OR(X197=regle!$J$11,X197=regle!$K$11),-2,IF(X197=regle!$B$11,0,IF(AR$1=$AK$1,IF($O197,-1,regle!$B$2-$M197),IF(AQ197=-1,-1,AQ197+1))))</f>
        <v>16</v>
      </c>
      <c r="AS197" s="16">
        <f>IF(OR(Y197=regle!$J$11,Y197=regle!$K$11),-2,IF(Y197=regle!$B$11,0,IF(AS$1=$AK$1,IF($O197,-1,regle!$B$2-$M197),IF(AR197=-1,-1,AR197+1))))</f>
        <v>17</v>
      </c>
      <c r="AT197" s="16">
        <f>IF(OR(Z197=regle!$J$11,Z197=regle!$K$11),-2,IF(Z197=regle!$B$11,0,IF(AT$1=$AK$1,IF($O197,-1,regle!$B$2-$M197),IF(AS197=-1,-1,AS197+1))))</f>
        <v>18</v>
      </c>
    </row>
    <row r="198" spans="1:46" x14ac:dyDescent="0.25">
      <c r="A198" t="b">
        <f>modif1!A198</f>
        <v>1</v>
      </c>
      <c r="B198">
        <f>ROW(modif1!B198)</f>
        <v>198</v>
      </c>
      <c r="C198" t="str">
        <f>modif1!C201</f>
        <v>202</v>
      </c>
      <c r="D198" t="str">
        <f>modif1!D198</f>
        <v>HOSTENS</v>
      </c>
      <c r="E198">
        <f>modif1!E198</f>
        <v>11</v>
      </c>
      <c r="F198" t="str">
        <f>modif1!F198</f>
        <v>LES CAZALAS</v>
      </c>
      <c r="G198" t="str">
        <f>modif1!G198</f>
        <v>0B</v>
      </c>
      <c r="H198">
        <f>modif1!H198</f>
        <v>1156</v>
      </c>
      <c r="I198" t="str">
        <f>modif1!I198</f>
        <v>k</v>
      </c>
      <c r="J198" s="11">
        <f>modif1!J198</f>
        <v>0.1095</v>
      </c>
      <c r="K198" t="str">
        <f>modif1!K198</f>
        <v>PLA</v>
      </c>
      <c r="L198" t="str">
        <f>modif1!L198</f>
        <v>PM</v>
      </c>
      <c r="M198">
        <f>modif1!M198</f>
        <v>2015</v>
      </c>
      <c r="N198" t="str">
        <f>modif1!N198</f>
        <v>PLA-PM_2015</v>
      </c>
      <c r="O198" t="b">
        <f>modif1!O198</f>
        <v>0</v>
      </c>
      <c r="P198">
        <v>40</v>
      </c>
      <c r="T198" t="s">
        <v>1803</v>
      </c>
      <c r="Y198" s="22"/>
      <c r="Z198" t="s">
        <v>1804</v>
      </c>
      <c r="AA198" s="17">
        <f>IF($A198,$J198*(IF(Q198=regle!$B$11,regle!$B$23*IF(AJ198=-2,1+regle!$B$35,1),
IF(Q198=regle!$C$11,regle!$C$23,
IF(Q198=regle!$D$11,regle!$D$23,
IF(Q198=regle!$E$11,regle!$E$23,
IF(Q198=regle!$F$11,regle!$F$23,
IF(Q198=regle!$G$11,regle!$G$23,
IF(Q198=regle!$H$11,regle!$H$23,
IF(Q198=regle!$I$11,regle!$I$23,
IF(Q198=regle!$J$11,regle!$J$23,
IF(Q198=regle!$K$11,regle!$K$23,0))))))))))))</f>
        <v>0</v>
      </c>
      <c r="AB198" s="17">
        <f>IF($A198,$J198*(IF(R198=regle!$B$11,regle!$B$23*IF(AK198=-2,1+regle!$B$35,1),
IF(R198=regle!$C$11,regle!$C$23,
IF(R198=regle!$D$11,regle!$D$23,
IF(R198=regle!$E$11,regle!$E$23,
IF(R198=regle!$F$11,regle!$F$23,
IF(R198=regle!$G$11,regle!$G$23,
IF(R198=regle!$H$11,regle!$H$23,
IF(R198=regle!$I$11,regle!$I$23,
IF(R198=regle!$J$11,regle!$J$23,
IF(R198=regle!$K$11,regle!$K$23,0))))))))))))</f>
        <v>0</v>
      </c>
      <c r="AC198" s="17">
        <f>IF($A198,$J198*(IF(S198=regle!$B$11,regle!$B$23*IF(AL198=-2,1+regle!$B$35,1),
IF(S198=regle!$C$11,regle!$C$23,
IF(S198=regle!$D$11,regle!$D$23,
IF(S198=regle!$E$11,regle!$E$23,
IF(S198=regle!$F$11,regle!$F$23,
IF(S198=regle!$G$11,regle!$G$23,
IF(S198=regle!$H$11,regle!$H$23,
IF(S198=regle!$I$11,regle!$I$23,
IF(S198=regle!$J$11,regle!$J$23,
IF(S198=regle!$K$11,regle!$K$23,0))))))))))))</f>
        <v>0</v>
      </c>
      <c r="AD198" s="17">
        <f>IF($A198,$J198*(IF(T198=regle!$B$11,regle!$B$23*IF(AM198=-2,1+regle!$B$35,1),
IF(T198=regle!$C$11,regle!$C$23,
IF(T198=regle!$D$11,regle!$D$23,
IF(T198=regle!$E$11,regle!$E$23,
IF(T198=regle!$F$11,regle!$F$23,
IF(T198=regle!$G$11,regle!$G$23,
IF(T198=regle!$H$11,regle!$H$23,
IF(T198=regle!$I$11,regle!$I$23,
IF(T198=regle!$J$11,regle!$J$23,
IF(T198=regle!$K$11,regle!$K$23,0))))))))))))</f>
        <v>63.072000000000003</v>
      </c>
      <c r="AE198" s="17">
        <f>IF($A198,$J198*(IF(U198=regle!$B$11,regle!$B$23*IF(AN198=-2,1+regle!$B$35,1),
IF(U198=regle!$C$11,regle!$C$23,
IF(U198=regle!$D$11,regle!$D$23,
IF(U198=regle!$E$11,regle!$E$23,
IF(U198=regle!$F$11,regle!$F$23,
IF(U198=regle!$G$11,regle!$G$23,
IF(U198=regle!$H$11,regle!$H$23,
IF(U198=regle!$I$11,regle!$I$23,
IF(U198=regle!$J$11,regle!$J$23,
IF(U198=regle!$K$11,regle!$K$23,0))))))))))))</f>
        <v>0</v>
      </c>
      <c r="AF198" s="17">
        <f>IF($A198,$J198*(IF(V198=regle!$B$11,regle!$B$23*IF(AO198=-2,1+regle!$B$35,1),
IF(V198=regle!$C$11,regle!$C$23,
IF(V198=regle!$D$11,regle!$D$23,
IF(V198=regle!$E$11,regle!$E$23,
IF(V198=regle!$F$11,regle!$F$23,
IF(V198=regle!$G$11,regle!$G$23,
IF(V198=regle!$H$11,regle!$H$23,
IF(V198=regle!$I$11,regle!$I$23,
IF(V198=regle!$J$11,regle!$J$23,
IF(V198=regle!$K$11,regle!$K$23,0))))))))))))</f>
        <v>0</v>
      </c>
      <c r="AG198" s="17">
        <f>IF($A198,$J198*(IF(W198=regle!$B$11,regle!$B$23*IF(AP198=-2,1+regle!$B$35,1),
IF(W198=regle!$C$11,regle!$C$23,
IF(W198=regle!$D$11,regle!$D$23,
IF(W198=regle!$E$11,regle!$E$23,
IF(W198=regle!$F$11,regle!$F$23,
IF(W198=regle!$G$11,regle!$G$23,
IF(W198=regle!$H$11,regle!$H$23,
IF(W198=regle!$I$11,regle!$I$23,
IF(W198=regle!$J$11,regle!$J$23,
IF(W198=regle!$K$11,regle!$K$23,0))))))))))))</f>
        <v>0</v>
      </c>
      <c r="AH198" s="17">
        <f>IF($A198,$J198*(IF(X198=regle!$B$11,regle!$B$23*IF(AQ198=-2,1+regle!$B$35,1),
IF(X198=regle!$C$11,regle!$C$23,
IF(X198=regle!$D$11,regle!$D$23,
IF(X198=regle!$E$11,regle!$E$23,
IF(X198=regle!$F$11,regle!$F$23,
IF(X198=regle!$G$11,regle!$G$23,
IF(X198=regle!$H$11,regle!$H$23,
IF(X198=regle!$I$11,regle!$I$23,
IF(X198=regle!$J$11,regle!$J$23,
IF(X198=regle!$K$11,regle!$K$23,0))))))))))))</f>
        <v>0</v>
      </c>
      <c r="AI198" s="17">
        <f>IF($A198,$J198*(IF(Y198=regle!$B$11,regle!$B$23*IF(AR198=-2,1+regle!$B$35,1),
IF(Y198=regle!$C$11,regle!$C$23,
IF(Y198=regle!$D$11,regle!$D$23,
IF(Y198=regle!$E$11,regle!$E$23,
IF(Y198=regle!$F$11,regle!$F$23,
IF(Y198=regle!$G$11,regle!$G$23,
IF(Y198=regle!$H$11,regle!$H$23,
IF(Y198=regle!$I$11,regle!$I$23,
IF(Y198=regle!$J$11,regle!$J$23,
IF(Y198=regle!$K$11,regle!$K$23,0))))))))))))</f>
        <v>0</v>
      </c>
      <c r="AJ198" s="17">
        <f>IF($A198,$J198*(IF(Z198=regle!$B$11,regle!$B$23*IF(AS198=-2,1+regle!$B$35,1),
IF(Z198=regle!$C$11,regle!$C$23,
IF(Z198=regle!$D$11,regle!$D$23,
IF(Z198=regle!$E$11,regle!$E$23,
IF(Z198=regle!$F$11,regle!$F$23,
IF(Z198=regle!$G$11,regle!$G$23,
IF(Z198=regle!$H$11,regle!$H$23,
IF(Z198=regle!$I$11,regle!$I$23,
IF(Z198=regle!$J$11,regle!$J$23,
IF(Z198=regle!$K$11,regle!$K$23,0))))))))))))</f>
        <v>91.98</v>
      </c>
      <c r="AK198" s="16">
        <f>IF(OR(Q198=regle!$J$11,Q198=regle!$K$11),-2,IF(Q198=regle!$B$11,0,IF(AK$1=$AK$1,IF($O198,-1,regle!$B$2-$M198),IF(AJ198=-1,-1,AJ198+1))))</f>
        <v>9</v>
      </c>
      <c r="AL198" s="16">
        <f>IF(OR(R198=regle!$J$11,R198=regle!$K$11),-2,IF(R198=regle!$B$11,0,IF(AL$1=$AK$1,IF($O198,-1,regle!$B$2-$M198),IF(AK198=-1,-1,AK198+1))))</f>
        <v>10</v>
      </c>
      <c r="AM198" s="16">
        <f>IF(OR(S198=regle!$J$11,S198=regle!$K$11),-2,IF(S198=regle!$B$11,0,IF(AM$1=$AK$1,IF($O198,-1,regle!$B$2-$M198),IF(AL198=-1,-1,AL198+1))))</f>
        <v>11</v>
      </c>
      <c r="AN198" s="16">
        <f>IF(OR(T198=regle!$J$11,T198=regle!$K$11),-2,IF(T198=regle!$B$11,0,IF(AN$1=$AK$1,IF($O198,-1,regle!$B$2-$M198),IF(AM198=-1,-1,AM198+1))))</f>
        <v>12</v>
      </c>
      <c r="AO198" s="16">
        <f>IF(OR(U198=regle!$J$11,U198=regle!$K$11),-2,IF(U198=regle!$B$11,0,IF(AO$1=$AK$1,IF($O198,-1,regle!$B$2-$M198),IF(AN198=-1,-1,AN198+1))))</f>
        <v>13</v>
      </c>
      <c r="AP198" s="16">
        <f>IF(OR(V198=regle!$J$11,V198=regle!$K$11),-2,IF(V198=regle!$B$11,0,IF(AP$1=$AK$1,IF($O198,-1,regle!$B$2-$M198),IF(AO198=-1,-1,AO198+1))))</f>
        <v>14</v>
      </c>
      <c r="AQ198" s="16">
        <f>IF(OR(W198=regle!$J$11,W198=regle!$K$11),-2,IF(W198=regle!$B$11,0,IF(AQ$1=$AK$1,IF($O198,-1,regle!$B$2-$M198),IF(AP198=-1,-1,AP198+1))))</f>
        <v>15</v>
      </c>
      <c r="AR198" s="16">
        <f>IF(OR(X198=regle!$J$11,X198=regle!$K$11),-2,IF(X198=regle!$B$11,0,IF(AR$1=$AK$1,IF($O198,-1,regle!$B$2-$M198),IF(AQ198=-1,-1,AQ198+1))))</f>
        <v>16</v>
      </c>
      <c r="AS198" s="16">
        <f>IF(OR(Y198=regle!$J$11,Y198=regle!$K$11),-2,IF(Y198=regle!$B$11,0,IF(AS$1=$AK$1,IF($O198,-1,regle!$B$2-$M198),IF(AR198=-1,-1,AR198+1))))</f>
        <v>17</v>
      </c>
      <c r="AT198" s="16">
        <f>IF(OR(Z198=regle!$J$11,Z198=regle!$K$11),-2,IF(Z198=regle!$B$11,0,IF(AT$1=$AK$1,IF($O198,-1,regle!$B$2-$M198),IF(AS198=-1,-1,AS198+1))))</f>
        <v>18</v>
      </c>
    </row>
    <row r="199" spans="1:46" x14ac:dyDescent="0.25">
      <c r="A199" t="b">
        <f>modif1!A199</f>
        <v>1</v>
      </c>
      <c r="B199">
        <f>ROW(modif1!B199)</f>
        <v>199</v>
      </c>
      <c r="C199" t="str">
        <f>modif1!C202</f>
        <v>202</v>
      </c>
      <c r="D199" t="str">
        <f>modif1!D199</f>
        <v>HOSTENS</v>
      </c>
      <c r="E199">
        <f>modif1!E199</f>
        <v>11</v>
      </c>
      <c r="F199" t="str">
        <f>modif1!F199</f>
        <v>LES CAZALAS</v>
      </c>
      <c r="G199" t="str">
        <f>modif1!G199</f>
        <v>0B</v>
      </c>
      <c r="H199">
        <f>modif1!H199</f>
        <v>1199</v>
      </c>
      <c r="I199" t="str">
        <f>modif1!I199</f>
        <v>j</v>
      </c>
      <c r="J199" s="11">
        <f>modif1!J199</f>
        <v>9.74E-2</v>
      </c>
      <c r="K199" t="str">
        <f>modif1!K199</f>
        <v>PLA</v>
      </c>
      <c r="L199" t="str">
        <f>modif1!L199</f>
        <v>PM</v>
      </c>
      <c r="M199">
        <f>modif1!M199</f>
        <v>2015</v>
      </c>
      <c r="N199" t="str">
        <f>modif1!N199</f>
        <v>PLA-PM_2015</v>
      </c>
      <c r="O199" t="b">
        <f>modif1!O199</f>
        <v>0</v>
      </c>
      <c r="P199">
        <v>40</v>
      </c>
      <c r="T199" t="s">
        <v>1803</v>
      </c>
      <c r="Y199" s="22"/>
      <c r="Z199" t="s">
        <v>1804</v>
      </c>
      <c r="AA199" s="17">
        <f>IF($A199,$J199*(IF(Q199=regle!$B$11,regle!$B$23*IF(AJ199=-2,1+regle!$B$35,1),
IF(Q199=regle!$C$11,regle!$C$23,
IF(Q199=regle!$D$11,regle!$D$23,
IF(Q199=regle!$E$11,regle!$E$23,
IF(Q199=regle!$F$11,regle!$F$23,
IF(Q199=regle!$G$11,regle!$G$23,
IF(Q199=regle!$H$11,regle!$H$23,
IF(Q199=regle!$I$11,regle!$I$23,
IF(Q199=regle!$J$11,regle!$J$23,
IF(Q199=regle!$K$11,regle!$K$23,0))))))))))))</f>
        <v>0</v>
      </c>
      <c r="AB199" s="17">
        <f>IF($A199,$J199*(IF(R199=regle!$B$11,regle!$B$23*IF(AK199=-2,1+regle!$B$35,1),
IF(R199=regle!$C$11,regle!$C$23,
IF(R199=regle!$D$11,regle!$D$23,
IF(R199=regle!$E$11,regle!$E$23,
IF(R199=regle!$F$11,regle!$F$23,
IF(R199=regle!$G$11,regle!$G$23,
IF(R199=regle!$H$11,regle!$H$23,
IF(R199=regle!$I$11,regle!$I$23,
IF(R199=regle!$J$11,regle!$J$23,
IF(R199=regle!$K$11,regle!$K$23,0))))))))))))</f>
        <v>0</v>
      </c>
      <c r="AC199" s="17">
        <f>IF($A199,$J199*(IF(S199=regle!$B$11,regle!$B$23*IF(AL199=-2,1+regle!$B$35,1),
IF(S199=regle!$C$11,regle!$C$23,
IF(S199=regle!$D$11,regle!$D$23,
IF(S199=regle!$E$11,regle!$E$23,
IF(S199=regle!$F$11,regle!$F$23,
IF(S199=regle!$G$11,regle!$G$23,
IF(S199=regle!$H$11,regle!$H$23,
IF(S199=regle!$I$11,regle!$I$23,
IF(S199=regle!$J$11,regle!$J$23,
IF(S199=regle!$K$11,regle!$K$23,0))))))))))))</f>
        <v>0</v>
      </c>
      <c r="AD199" s="17">
        <f>IF($A199,$J199*(IF(T199=regle!$B$11,regle!$B$23*IF(AM199=-2,1+regle!$B$35,1),
IF(T199=regle!$C$11,regle!$C$23,
IF(T199=regle!$D$11,regle!$D$23,
IF(T199=regle!$E$11,regle!$E$23,
IF(T199=regle!$F$11,regle!$F$23,
IF(T199=regle!$G$11,regle!$G$23,
IF(T199=regle!$H$11,regle!$H$23,
IF(T199=regle!$I$11,regle!$I$23,
IF(T199=regle!$J$11,regle!$J$23,
IF(T199=regle!$K$11,regle!$K$23,0))))))))))))</f>
        <v>56.102400000000003</v>
      </c>
      <c r="AE199" s="17">
        <f>IF($A199,$J199*(IF(U199=regle!$B$11,regle!$B$23*IF(AN199=-2,1+regle!$B$35,1),
IF(U199=regle!$C$11,regle!$C$23,
IF(U199=regle!$D$11,regle!$D$23,
IF(U199=regle!$E$11,regle!$E$23,
IF(U199=regle!$F$11,regle!$F$23,
IF(U199=regle!$G$11,regle!$G$23,
IF(U199=regle!$H$11,regle!$H$23,
IF(U199=regle!$I$11,regle!$I$23,
IF(U199=regle!$J$11,regle!$J$23,
IF(U199=regle!$K$11,regle!$K$23,0))))))))))))</f>
        <v>0</v>
      </c>
      <c r="AF199" s="17">
        <f>IF($A199,$J199*(IF(V199=regle!$B$11,regle!$B$23*IF(AO199=-2,1+regle!$B$35,1),
IF(V199=regle!$C$11,regle!$C$23,
IF(V199=regle!$D$11,regle!$D$23,
IF(V199=regle!$E$11,regle!$E$23,
IF(V199=regle!$F$11,regle!$F$23,
IF(V199=regle!$G$11,regle!$G$23,
IF(V199=regle!$H$11,regle!$H$23,
IF(V199=regle!$I$11,regle!$I$23,
IF(V199=regle!$J$11,regle!$J$23,
IF(V199=regle!$K$11,regle!$K$23,0))))))))))))</f>
        <v>0</v>
      </c>
      <c r="AG199" s="17">
        <f>IF($A199,$J199*(IF(W199=regle!$B$11,regle!$B$23*IF(AP199=-2,1+regle!$B$35,1),
IF(W199=regle!$C$11,regle!$C$23,
IF(W199=regle!$D$11,regle!$D$23,
IF(W199=regle!$E$11,regle!$E$23,
IF(W199=regle!$F$11,regle!$F$23,
IF(W199=regle!$G$11,regle!$G$23,
IF(W199=regle!$H$11,regle!$H$23,
IF(W199=regle!$I$11,regle!$I$23,
IF(W199=regle!$J$11,regle!$J$23,
IF(W199=regle!$K$11,regle!$K$23,0))))))))))))</f>
        <v>0</v>
      </c>
      <c r="AH199" s="17">
        <f>IF($A199,$J199*(IF(X199=regle!$B$11,regle!$B$23*IF(AQ199=-2,1+regle!$B$35,1),
IF(X199=regle!$C$11,regle!$C$23,
IF(X199=regle!$D$11,regle!$D$23,
IF(X199=regle!$E$11,regle!$E$23,
IF(X199=regle!$F$11,regle!$F$23,
IF(X199=regle!$G$11,regle!$G$23,
IF(X199=regle!$H$11,regle!$H$23,
IF(X199=regle!$I$11,regle!$I$23,
IF(X199=regle!$J$11,regle!$J$23,
IF(X199=regle!$K$11,regle!$K$23,0))))))))))))</f>
        <v>0</v>
      </c>
      <c r="AI199" s="17">
        <f>IF($A199,$J199*(IF(Y199=regle!$B$11,regle!$B$23*IF(AR199=-2,1+regle!$B$35,1),
IF(Y199=regle!$C$11,regle!$C$23,
IF(Y199=regle!$D$11,regle!$D$23,
IF(Y199=regle!$E$11,regle!$E$23,
IF(Y199=regle!$F$11,regle!$F$23,
IF(Y199=regle!$G$11,regle!$G$23,
IF(Y199=regle!$H$11,regle!$H$23,
IF(Y199=regle!$I$11,regle!$I$23,
IF(Y199=regle!$J$11,regle!$J$23,
IF(Y199=regle!$K$11,regle!$K$23,0))))))))))))</f>
        <v>0</v>
      </c>
      <c r="AJ199" s="17">
        <f>IF($A199,$J199*(IF(Z199=regle!$B$11,regle!$B$23*IF(AS199=-2,1+regle!$B$35,1),
IF(Z199=regle!$C$11,regle!$C$23,
IF(Z199=regle!$D$11,regle!$D$23,
IF(Z199=regle!$E$11,regle!$E$23,
IF(Z199=regle!$F$11,regle!$F$23,
IF(Z199=regle!$G$11,regle!$G$23,
IF(Z199=regle!$H$11,regle!$H$23,
IF(Z199=regle!$I$11,regle!$I$23,
IF(Z199=regle!$J$11,regle!$J$23,
IF(Z199=regle!$K$11,regle!$K$23,0))))))))))))</f>
        <v>81.816000000000003</v>
      </c>
      <c r="AK199" s="16">
        <f>IF(OR(Q199=regle!$J$11,Q199=regle!$K$11),-2,IF(Q199=regle!$B$11,0,IF(AK$1=$AK$1,IF($O199,-1,regle!$B$2-$M199),IF(AJ199=-1,-1,AJ199+1))))</f>
        <v>9</v>
      </c>
      <c r="AL199" s="16">
        <f>IF(OR(R199=regle!$J$11,R199=regle!$K$11),-2,IF(R199=regle!$B$11,0,IF(AL$1=$AK$1,IF($O199,-1,regle!$B$2-$M199),IF(AK199=-1,-1,AK199+1))))</f>
        <v>10</v>
      </c>
      <c r="AM199" s="16">
        <f>IF(OR(S199=regle!$J$11,S199=regle!$K$11),-2,IF(S199=regle!$B$11,0,IF(AM$1=$AK$1,IF($O199,-1,regle!$B$2-$M199),IF(AL199=-1,-1,AL199+1))))</f>
        <v>11</v>
      </c>
      <c r="AN199" s="16">
        <f>IF(OR(T199=regle!$J$11,T199=regle!$K$11),-2,IF(T199=regle!$B$11,0,IF(AN$1=$AK$1,IF($O199,-1,regle!$B$2-$M199),IF(AM199=-1,-1,AM199+1))))</f>
        <v>12</v>
      </c>
      <c r="AO199" s="16">
        <f>IF(OR(U199=regle!$J$11,U199=regle!$K$11),-2,IF(U199=regle!$B$11,0,IF(AO$1=$AK$1,IF($O199,-1,regle!$B$2-$M199),IF(AN199=-1,-1,AN199+1))))</f>
        <v>13</v>
      </c>
      <c r="AP199" s="16">
        <f>IF(OR(V199=regle!$J$11,V199=regle!$K$11),-2,IF(V199=regle!$B$11,0,IF(AP$1=$AK$1,IF($O199,-1,regle!$B$2-$M199),IF(AO199=-1,-1,AO199+1))))</f>
        <v>14</v>
      </c>
      <c r="AQ199" s="16">
        <f>IF(OR(W199=regle!$J$11,W199=regle!$K$11),-2,IF(W199=regle!$B$11,0,IF(AQ$1=$AK$1,IF($O199,-1,regle!$B$2-$M199),IF(AP199=-1,-1,AP199+1))))</f>
        <v>15</v>
      </c>
      <c r="AR199" s="16">
        <f>IF(OR(X199=regle!$J$11,X199=regle!$K$11),-2,IF(X199=regle!$B$11,0,IF(AR$1=$AK$1,IF($O199,-1,regle!$B$2-$M199),IF(AQ199=-1,-1,AQ199+1))))</f>
        <v>16</v>
      </c>
      <c r="AS199" s="16">
        <f>IF(OR(Y199=regle!$J$11,Y199=regle!$K$11),-2,IF(Y199=regle!$B$11,0,IF(AS$1=$AK$1,IF($O199,-1,regle!$B$2-$M199),IF(AR199=-1,-1,AR199+1))))</f>
        <v>17</v>
      </c>
      <c r="AT199" s="16">
        <f>IF(OR(Z199=regle!$J$11,Z199=regle!$K$11),-2,IF(Z199=regle!$B$11,0,IF(AT$1=$AK$1,IF($O199,-1,regle!$B$2-$M199),IF(AS199=-1,-1,AS199+1))))</f>
        <v>18</v>
      </c>
    </row>
    <row r="200" spans="1:46" x14ac:dyDescent="0.25">
      <c r="A200" t="b">
        <f>modif1!A200</f>
        <v>1</v>
      </c>
      <c r="B200">
        <f>ROW(modif1!B200)</f>
        <v>200</v>
      </c>
      <c r="C200" t="str">
        <f>modif1!C203</f>
        <v>202</v>
      </c>
      <c r="D200" t="str">
        <f>modif1!D200</f>
        <v>HOSTENS</v>
      </c>
      <c r="E200">
        <f>modif1!E200</f>
        <v>11</v>
      </c>
      <c r="F200" t="str">
        <f>modif1!F200</f>
        <v>LES CAZALAS</v>
      </c>
      <c r="G200" t="str">
        <f>modif1!G200</f>
        <v>0B</v>
      </c>
      <c r="H200">
        <f>modif1!H200</f>
        <v>1575</v>
      </c>
      <c r="I200" t="str">
        <f>modif1!I200</f>
        <v/>
      </c>
      <c r="J200" s="11">
        <f>modif1!J200</f>
        <v>9.6100000000000005E-2</v>
      </c>
      <c r="K200" t="str">
        <f>modif1!K200</f>
        <v>PLA</v>
      </c>
      <c r="L200" t="str">
        <f>modif1!L200</f>
        <v>PM</v>
      </c>
      <c r="M200">
        <f>modif1!M200</f>
        <v>2015</v>
      </c>
      <c r="N200" t="str">
        <f>modif1!N200</f>
        <v>PLA-PM_2015</v>
      </c>
      <c r="O200" t="b">
        <f>modif1!O200</f>
        <v>0</v>
      </c>
      <c r="P200">
        <v>40</v>
      </c>
      <c r="T200" t="s">
        <v>1803</v>
      </c>
      <c r="Y200" s="22"/>
      <c r="Z200" t="s">
        <v>1804</v>
      </c>
      <c r="AA200" s="17">
        <f>IF($A200,$J200*(IF(Q200=regle!$B$11,regle!$B$23*IF(AJ200=-2,1+regle!$B$35,1),
IF(Q200=regle!$C$11,regle!$C$23,
IF(Q200=regle!$D$11,regle!$D$23,
IF(Q200=regle!$E$11,regle!$E$23,
IF(Q200=regle!$F$11,regle!$F$23,
IF(Q200=regle!$G$11,regle!$G$23,
IF(Q200=regle!$H$11,regle!$H$23,
IF(Q200=regle!$I$11,regle!$I$23,
IF(Q200=regle!$J$11,regle!$J$23,
IF(Q200=regle!$K$11,regle!$K$23,0))))))))))))</f>
        <v>0</v>
      </c>
      <c r="AB200" s="17">
        <f>IF($A200,$J200*(IF(R200=regle!$B$11,regle!$B$23*IF(AK200=-2,1+regle!$B$35,1),
IF(R200=regle!$C$11,regle!$C$23,
IF(R200=regle!$D$11,regle!$D$23,
IF(R200=regle!$E$11,regle!$E$23,
IF(R200=regle!$F$11,regle!$F$23,
IF(R200=regle!$G$11,regle!$G$23,
IF(R200=regle!$H$11,regle!$H$23,
IF(R200=regle!$I$11,regle!$I$23,
IF(R200=regle!$J$11,regle!$J$23,
IF(R200=regle!$K$11,regle!$K$23,0))))))))))))</f>
        <v>0</v>
      </c>
      <c r="AC200" s="17">
        <f>IF($A200,$J200*(IF(S200=regle!$B$11,regle!$B$23*IF(AL200=-2,1+regle!$B$35,1),
IF(S200=regle!$C$11,regle!$C$23,
IF(S200=regle!$D$11,regle!$D$23,
IF(S200=regle!$E$11,regle!$E$23,
IF(S200=regle!$F$11,regle!$F$23,
IF(S200=regle!$G$11,regle!$G$23,
IF(S200=regle!$H$11,regle!$H$23,
IF(S200=regle!$I$11,regle!$I$23,
IF(S200=regle!$J$11,regle!$J$23,
IF(S200=regle!$K$11,regle!$K$23,0))))))))))))</f>
        <v>0</v>
      </c>
      <c r="AD200" s="17">
        <f>IF($A200,$J200*(IF(T200=regle!$B$11,regle!$B$23*IF(AM200=-2,1+regle!$B$35,1),
IF(T200=regle!$C$11,regle!$C$23,
IF(T200=regle!$D$11,regle!$D$23,
IF(T200=regle!$E$11,regle!$E$23,
IF(T200=regle!$F$11,regle!$F$23,
IF(T200=regle!$G$11,regle!$G$23,
IF(T200=regle!$H$11,regle!$H$23,
IF(T200=regle!$I$11,regle!$I$23,
IF(T200=regle!$J$11,regle!$J$23,
IF(T200=regle!$K$11,regle!$K$23,0))))))))))))</f>
        <v>55.3536</v>
      </c>
      <c r="AE200" s="17">
        <f>IF($A200,$J200*(IF(U200=regle!$B$11,regle!$B$23*IF(AN200=-2,1+regle!$B$35,1),
IF(U200=regle!$C$11,regle!$C$23,
IF(U200=regle!$D$11,regle!$D$23,
IF(U200=regle!$E$11,regle!$E$23,
IF(U200=regle!$F$11,regle!$F$23,
IF(U200=regle!$G$11,regle!$G$23,
IF(U200=regle!$H$11,regle!$H$23,
IF(U200=regle!$I$11,regle!$I$23,
IF(U200=regle!$J$11,regle!$J$23,
IF(U200=regle!$K$11,regle!$K$23,0))))))))))))</f>
        <v>0</v>
      </c>
      <c r="AF200" s="17">
        <f>IF($A200,$J200*(IF(V200=regle!$B$11,regle!$B$23*IF(AO200=-2,1+regle!$B$35,1),
IF(V200=regle!$C$11,regle!$C$23,
IF(V200=regle!$D$11,regle!$D$23,
IF(V200=regle!$E$11,regle!$E$23,
IF(V200=regle!$F$11,regle!$F$23,
IF(V200=regle!$G$11,regle!$G$23,
IF(V200=regle!$H$11,regle!$H$23,
IF(V200=regle!$I$11,regle!$I$23,
IF(V200=regle!$J$11,regle!$J$23,
IF(V200=regle!$K$11,regle!$K$23,0))))))))))))</f>
        <v>0</v>
      </c>
      <c r="AG200" s="17">
        <f>IF($A200,$J200*(IF(W200=regle!$B$11,regle!$B$23*IF(AP200=-2,1+regle!$B$35,1),
IF(W200=regle!$C$11,regle!$C$23,
IF(W200=regle!$D$11,regle!$D$23,
IF(W200=regle!$E$11,regle!$E$23,
IF(W200=regle!$F$11,regle!$F$23,
IF(W200=regle!$G$11,regle!$G$23,
IF(W200=regle!$H$11,regle!$H$23,
IF(W200=regle!$I$11,regle!$I$23,
IF(W200=regle!$J$11,regle!$J$23,
IF(W200=regle!$K$11,regle!$K$23,0))))))))))))</f>
        <v>0</v>
      </c>
      <c r="AH200" s="17">
        <f>IF($A200,$J200*(IF(X200=regle!$B$11,regle!$B$23*IF(AQ200=-2,1+regle!$B$35,1),
IF(X200=regle!$C$11,regle!$C$23,
IF(X200=regle!$D$11,regle!$D$23,
IF(X200=regle!$E$11,regle!$E$23,
IF(X200=regle!$F$11,regle!$F$23,
IF(X200=regle!$G$11,regle!$G$23,
IF(X200=regle!$H$11,regle!$H$23,
IF(X200=regle!$I$11,regle!$I$23,
IF(X200=regle!$J$11,regle!$J$23,
IF(X200=regle!$K$11,regle!$K$23,0))))))))))))</f>
        <v>0</v>
      </c>
      <c r="AI200" s="17">
        <f>IF($A200,$J200*(IF(Y200=regle!$B$11,regle!$B$23*IF(AR200=-2,1+regle!$B$35,1),
IF(Y200=regle!$C$11,regle!$C$23,
IF(Y200=regle!$D$11,regle!$D$23,
IF(Y200=regle!$E$11,regle!$E$23,
IF(Y200=regle!$F$11,regle!$F$23,
IF(Y200=regle!$G$11,regle!$G$23,
IF(Y200=regle!$H$11,regle!$H$23,
IF(Y200=regle!$I$11,regle!$I$23,
IF(Y200=regle!$J$11,regle!$J$23,
IF(Y200=regle!$K$11,regle!$K$23,0))))))))))))</f>
        <v>0</v>
      </c>
      <c r="AJ200" s="17">
        <f>IF($A200,$J200*(IF(Z200=regle!$B$11,regle!$B$23*IF(AS200=-2,1+regle!$B$35,1),
IF(Z200=regle!$C$11,regle!$C$23,
IF(Z200=regle!$D$11,regle!$D$23,
IF(Z200=regle!$E$11,regle!$E$23,
IF(Z200=regle!$F$11,regle!$F$23,
IF(Z200=regle!$G$11,regle!$G$23,
IF(Z200=regle!$H$11,regle!$H$23,
IF(Z200=regle!$I$11,regle!$I$23,
IF(Z200=regle!$J$11,regle!$J$23,
IF(Z200=regle!$K$11,regle!$K$23,0))))))))))))</f>
        <v>80.724000000000004</v>
      </c>
      <c r="AK200" s="16">
        <f>IF(OR(Q200=regle!$J$11,Q200=regle!$K$11),-2,IF(Q200=regle!$B$11,0,IF(AK$1=$AK$1,IF($O200,-1,regle!$B$2-$M200),IF(AJ200=-1,-1,AJ200+1))))</f>
        <v>9</v>
      </c>
      <c r="AL200" s="16">
        <f>IF(OR(R200=regle!$J$11,R200=regle!$K$11),-2,IF(R200=regle!$B$11,0,IF(AL$1=$AK$1,IF($O200,-1,regle!$B$2-$M200),IF(AK200=-1,-1,AK200+1))))</f>
        <v>10</v>
      </c>
      <c r="AM200" s="16">
        <f>IF(OR(S200=regle!$J$11,S200=regle!$K$11),-2,IF(S200=regle!$B$11,0,IF(AM$1=$AK$1,IF($O200,-1,regle!$B$2-$M200),IF(AL200=-1,-1,AL200+1))))</f>
        <v>11</v>
      </c>
      <c r="AN200" s="16">
        <f>IF(OR(T200=regle!$J$11,T200=regle!$K$11),-2,IF(T200=regle!$B$11,0,IF(AN$1=$AK$1,IF($O200,-1,regle!$B$2-$M200),IF(AM200=-1,-1,AM200+1))))</f>
        <v>12</v>
      </c>
      <c r="AO200" s="16">
        <f>IF(OR(U200=regle!$J$11,U200=regle!$K$11),-2,IF(U200=regle!$B$11,0,IF(AO$1=$AK$1,IF($O200,-1,regle!$B$2-$M200),IF(AN200=-1,-1,AN200+1))))</f>
        <v>13</v>
      </c>
      <c r="AP200" s="16">
        <f>IF(OR(V200=regle!$J$11,V200=regle!$K$11),-2,IF(V200=regle!$B$11,0,IF(AP$1=$AK$1,IF($O200,-1,regle!$B$2-$M200),IF(AO200=-1,-1,AO200+1))))</f>
        <v>14</v>
      </c>
      <c r="AQ200" s="16">
        <f>IF(OR(W200=regle!$J$11,W200=regle!$K$11),-2,IF(W200=regle!$B$11,0,IF(AQ$1=$AK$1,IF($O200,-1,regle!$B$2-$M200),IF(AP200=-1,-1,AP200+1))))</f>
        <v>15</v>
      </c>
      <c r="AR200" s="16">
        <f>IF(OR(X200=regle!$J$11,X200=regle!$K$11),-2,IF(X200=regle!$B$11,0,IF(AR$1=$AK$1,IF($O200,-1,regle!$B$2-$M200),IF(AQ200=-1,-1,AQ200+1))))</f>
        <v>16</v>
      </c>
      <c r="AS200" s="16">
        <f>IF(OR(Y200=regle!$J$11,Y200=regle!$K$11),-2,IF(Y200=regle!$B$11,0,IF(AS$1=$AK$1,IF($O200,-1,regle!$B$2-$M200),IF(AR200=-1,-1,AR200+1))))</f>
        <v>17</v>
      </c>
      <c r="AT200" s="16">
        <f>IF(OR(Z200=regle!$J$11,Z200=regle!$K$11),-2,IF(Z200=regle!$B$11,0,IF(AT$1=$AK$1,IF($O200,-1,regle!$B$2-$M200),IF(AS200=-1,-1,AS200+1))))</f>
        <v>18</v>
      </c>
    </row>
    <row r="201" spans="1:46" x14ac:dyDescent="0.25">
      <c r="A201" t="b">
        <f>modif1!A201</f>
        <v>1</v>
      </c>
      <c r="B201">
        <f>ROW(modif1!B201)</f>
        <v>201</v>
      </c>
      <c r="C201" t="str">
        <f>modif1!C204</f>
        <v>202</v>
      </c>
      <c r="D201" t="str">
        <f>modif1!D201</f>
        <v>HOSTENS</v>
      </c>
      <c r="E201">
        <f>modif1!E201</f>
        <v>8</v>
      </c>
      <c r="F201" t="str">
        <f>modif1!F201</f>
        <v>LES BECS</v>
      </c>
      <c r="G201" t="str">
        <f>modif1!G201</f>
        <v>0B</v>
      </c>
      <c r="H201">
        <f>modif1!H201</f>
        <v>1214</v>
      </c>
      <c r="I201" t="str">
        <f>modif1!I201</f>
        <v>l</v>
      </c>
      <c r="J201" s="11">
        <f>modif1!J201</f>
        <v>9.5200000000000007E-2</v>
      </c>
      <c r="K201" t="str">
        <f>modif1!K201</f>
        <v>PLA</v>
      </c>
      <c r="L201" t="str">
        <f>modif1!L201</f>
        <v>PM</v>
      </c>
      <c r="M201">
        <f>modif1!M201</f>
        <v>2015</v>
      </c>
      <c r="N201" t="str">
        <f>modif1!N201</f>
        <v>PLA-PM_2015</v>
      </c>
      <c r="O201" t="b">
        <f>modif1!O201</f>
        <v>0</v>
      </c>
      <c r="P201">
        <v>40</v>
      </c>
      <c r="T201" t="s">
        <v>1803</v>
      </c>
      <c r="Y201" s="22"/>
      <c r="Z201" t="s">
        <v>1804</v>
      </c>
      <c r="AA201" s="17">
        <f>IF($A201,$J201*(IF(Q201=regle!$B$11,regle!$B$23*IF(AJ201=-2,1+regle!$B$35,1),
IF(Q201=regle!$C$11,regle!$C$23,
IF(Q201=regle!$D$11,regle!$D$23,
IF(Q201=regle!$E$11,regle!$E$23,
IF(Q201=regle!$F$11,regle!$F$23,
IF(Q201=regle!$G$11,regle!$G$23,
IF(Q201=regle!$H$11,regle!$H$23,
IF(Q201=regle!$I$11,regle!$I$23,
IF(Q201=regle!$J$11,regle!$J$23,
IF(Q201=regle!$K$11,regle!$K$23,0))))))))))))</f>
        <v>0</v>
      </c>
      <c r="AB201" s="17">
        <f>IF($A201,$J201*(IF(R201=regle!$B$11,regle!$B$23*IF(AK201=-2,1+regle!$B$35,1),
IF(R201=regle!$C$11,regle!$C$23,
IF(R201=regle!$D$11,regle!$D$23,
IF(R201=regle!$E$11,regle!$E$23,
IF(R201=regle!$F$11,regle!$F$23,
IF(R201=regle!$G$11,regle!$G$23,
IF(R201=regle!$H$11,regle!$H$23,
IF(R201=regle!$I$11,regle!$I$23,
IF(R201=regle!$J$11,regle!$J$23,
IF(R201=regle!$K$11,regle!$K$23,0))))))))))))</f>
        <v>0</v>
      </c>
      <c r="AC201" s="17">
        <f>IF($A201,$J201*(IF(S201=regle!$B$11,regle!$B$23*IF(AL201=-2,1+regle!$B$35,1),
IF(S201=regle!$C$11,regle!$C$23,
IF(S201=regle!$D$11,regle!$D$23,
IF(S201=regle!$E$11,regle!$E$23,
IF(S201=regle!$F$11,regle!$F$23,
IF(S201=regle!$G$11,regle!$G$23,
IF(S201=regle!$H$11,regle!$H$23,
IF(S201=regle!$I$11,regle!$I$23,
IF(S201=regle!$J$11,regle!$J$23,
IF(S201=regle!$K$11,regle!$K$23,0))))))))))))</f>
        <v>0</v>
      </c>
      <c r="AD201" s="17">
        <f>IF($A201,$J201*(IF(T201=regle!$B$11,regle!$B$23*IF(AM201=-2,1+regle!$B$35,1),
IF(T201=regle!$C$11,regle!$C$23,
IF(T201=regle!$D$11,regle!$D$23,
IF(T201=regle!$E$11,regle!$E$23,
IF(T201=regle!$F$11,regle!$F$23,
IF(T201=regle!$G$11,regle!$G$23,
IF(T201=regle!$H$11,regle!$H$23,
IF(T201=regle!$I$11,regle!$I$23,
IF(T201=regle!$J$11,regle!$J$23,
IF(T201=regle!$K$11,regle!$K$23,0))))))))))))</f>
        <v>54.8352</v>
      </c>
      <c r="AE201" s="17">
        <f>IF($A201,$J201*(IF(U201=regle!$B$11,regle!$B$23*IF(AN201=-2,1+regle!$B$35,1),
IF(U201=regle!$C$11,regle!$C$23,
IF(U201=regle!$D$11,regle!$D$23,
IF(U201=regle!$E$11,regle!$E$23,
IF(U201=regle!$F$11,regle!$F$23,
IF(U201=regle!$G$11,regle!$G$23,
IF(U201=regle!$H$11,regle!$H$23,
IF(U201=regle!$I$11,regle!$I$23,
IF(U201=regle!$J$11,regle!$J$23,
IF(U201=regle!$K$11,regle!$K$23,0))))))))))))</f>
        <v>0</v>
      </c>
      <c r="AF201" s="17">
        <f>IF($A201,$J201*(IF(V201=regle!$B$11,regle!$B$23*IF(AO201=-2,1+regle!$B$35,1),
IF(V201=regle!$C$11,regle!$C$23,
IF(V201=regle!$D$11,regle!$D$23,
IF(V201=regle!$E$11,regle!$E$23,
IF(V201=regle!$F$11,regle!$F$23,
IF(V201=regle!$G$11,regle!$G$23,
IF(V201=regle!$H$11,regle!$H$23,
IF(V201=regle!$I$11,regle!$I$23,
IF(V201=regle!$J$11,regle!$J$23,
IF(V201=regle!$K$11,regle!$K$23,0))))))))))))</f>
        <v>0</v>
      </c>
      <c r="AG201" s="17">
        <f>IF($A201,$J201*(IF(W201=regle!$B$11,regle!$B$23*IF(AP201=-2,1+regle!$B$35,1),
IF(W201=regle!$C$11,regle!$C$23,
IF(W201=regle!$D$11,regle!$D$23,
IF(W201=regle!$E$11,regle!$E$23,
IF(W201=regle!$F$11,regle!$F$23,
IF(W201=regle!$G$11,regle!$G$23,
IF(W201=regle!$H$11,regle!$H$23,
IF(W201=regle!$I$11,regle!$I$23,
IF(W201=regle!$J$11,regle!$J$23,
IF(W201=regle!$K$11,regle!$K$23,0))))))))))))</f>
        <v>0</v>
      </c>
      <c r="AH201" s="17">
        <f>IF($A201,$J201*(IF(X201=regle!$B$11,regle!$B$23*IF(AQ201=-2,1+regle!$B$35,1),
IF(X201=regle!$C$11,regle!$C$23,
IF(X201=regle!$D$11,regle!$D$23,
IF(X201=regle!$E$11,regle!$E$23,
IF(X201=regle!$F$11,regle!$F$23,
IF(X201=regle!$G$11,regle!$G$23,
IF(X201=regle!$H$11,regle!$H$23,
IF(X201=regle!$I$11,regle!$I$23,
IF(X201=regle!$J$11,regle!$J$23,
IF(X201=regle!$K$11,regle!$K$23,0))))))))))))</f>
        <v>0</v>
      </c>
      <c r="AI201" s="17">
        <f>IF($A201,$J201*(IF(Y201=regle!$B$11,regle!$B$23*IF(AR201=-2,1+regle!$B$35,1),
IF(Y201=regle!$C$11,regle!$C$23,
IF(Y201=regle!$D$11,regle!$D$23,
IF(Y201=regle!$E$11,regle!$E$23,
IF(Y201=regle!$F$11,regle!$F$23,
IF(Y201=regle!$G$11,regle!$G$23,
IF(Y201=regle!$H$11,regle!$H$23,
IF(Y201=regle!$I$11,regle!$I$23,
IF(Y201=regle!$J$11,regle!$J$23,
IF(Y201=regle!$K$11,regle!$K$23,0))))))))))))</f>
        <v>0</v>
      </c>
      <c r="AJ201" s="17">
        <f>IF($A201,$J201*(IF(Z201=regle!$B$11,regle!$B$23*IF(AS201=-2,1+regle!$B$35,1),
IF(Z201=regle!$C$11,regle!$C$23,
IF(Z201=regle!$D$11,regle!$D$23,
IF(Z201=regle!$E$11,regle!$E$23,
IF(Z201=regle!$F$11,regle!$F$23,
IF(Z201=regle!$G$11,regle!$G$23,
IF(Z201=regle!$H$11,regle!$H$23,
IF(Z201=regle!$I$11,regle!$I$23,
IF(Z201=regle!$J$11,regle!$J$23,
IF(Z201=regle!$K$11,regle!$K$23,0))))))))))))</f>
        <v>79.968000000000004</v>
      </c>
      <c r="AK201" s="16">
        <f>IF(OR(Q201=regle!$J$11,Q201=regle!$K$11),-2,IF(Q201=regle!$B$11,0,IF(AK$1=$AK$1,IF($O201,-1,regle!$B$2-$M201),IF(AJ201=-1,-1,AJ201+1))))</f>
        <v>9</v>
      </c>
      <c r="AL201" s="16">
        <f>IF(OR(R201=regle!$J$11,R201=regle!$K$11),-2,IF(R201=regle!$B$11,0,IF(AL$1=$AK$1,IF($O201,-1,regle!$B$2-$M201),IF(AK201=-1,-1,AK201+1))))</f>
        <v>10</v>
      </c>
      <c r="AM201" s="16">
        <f>IF(OR(S201=regle!$J$11,S201=regle!$K$11),-2,IF(S201=regle!$B$11,0,IF(AM$1=$AK$1,IF($O201,-1,regle!$B$2-$M201),IF(AL201=-1,-1,AL201+1))))</f>
        <v>11</v>
      </c>
      <c r="AN201" s="16">
        <f>IF(OR(T201=regle!$J$11,T201=regle!$K$11),-2,IF(T201=regle!$B$11,0,IF(AN$1=$AK$1,IF($O201,-1,regle!$B$2-$M201),IF(AM201=-1,-1,AM201+1))))</f>
        <v>12</v>
      </c>
      <c r="AO201" s="16">
        <f>IF(OR(U201=regle!$J$11,U201=regle!$K$11),-2,IF(U201=regle!$B$11,0,IF(AO$1=$AK$1,IF($O201,-1,regle!$B$2-$M201),IF(AN201=-1,-1,AN201+1))))</f>
        <v>13</v>
      </c>
      <c r="AP201" s="16">
        <f>IF(OR(V201=regle!$J$11,V201=regle!$K$11),-2,IF(V201=regle!$B$11,0,IF(AP$1=$AK$1,IF($O201,-1,regle!$B$2-$M201),IF(AO201=-1,-1,AO201+1))))</f>
        <v>14</v>
      </c>
      <c r="AQ201" s="16">
        <f>IF(OR(W201=regle!$J$11,W201=regle!$K$11),-2,IF(W201=regle!$B$11,0,IF(AQ$1=$AK$1,IF($O201,-1,regle!$B$2-$M201),IF(AP201=-1,-1,AP201+1))))</f>
        <v>15</v>
      </c>
      <c r="AR201" s="16">
        <f>IF(OR(X201=regle!$J$11,X201=regle!$K$11),-2,IF(X201=regle!$B$11,0,IF(AR$1=$AK$1,IF($O201,-1,regle!$B$2-$M201),IF(AQ201=-1,-1,AQ201+1))))</f>
        <v>16</v>
      </c>
      <c r="AS201" s="16">
        <f>IF(OR(Y201=regle!$J$11,Y201=regle!$K$11),-2,IF(Y201=regle!$B$11,0,IF(AS$1=$AK$1,IF($O201,-1,regle!$B$2-$M201),IF(AR201=-1,-1,AR201+1))))</f>
        <v>17</v>
      </c>
      <c r="AT201" s="16">
        <f>IF(OR(Z201=regle!$J$11,Z201=regle!$K$11),-2,IF(Z201=regle!$B$11,0,IF(AT$1=$AK$1,IF($O201,-1,regle!$B$2-$M201),IF(AS201=-1,-1,AS201+1))))</f>
        <v>18</v>
      </c>
    </row>
    <row r="202" spans="1:46" x14ac:dyDescent="0.25">
      <c r="A202" t="b">
        <f>modif1!A202</f>
        <v>1</v>
      </c>
      <c r="B202">
        <f>ROW(modif1!B202)</f>
        <v>202</v>
      </c>
      <c r="C202" t="str">
        <f>modif1!C205</f>
        <v>077</v>
      </c>
      <c r="D202" t="str">
        <f>modif1!D202</f>
        <v>HOSTENS</v>
      </c>
      <c r="E202">
        <f>modif1!E202</f>
        <v>8</v>
      </c>
      <c r="F202" t="str">
        <f>modif1!F202</f>
        <v>LES BECS</v>
      </c>
      <c r="G202" t="str">
        <f>modif1!G202</f>
        <v>0B</v>
      </c>
      <c r="H202">
        <f>modif1!H202</f>
        <v>2472</v>
      </c>
      <c r="I202" t="str">
        <f>modif1!I202</f>
        <v>n</v>
      </c>
      <c r="J202" s="11">
        <f>modif1!J202</f>
        <v>7.6899999999999996E-2</v>
      </c>
      <c r="K202" t="str">
        <f>modif1!K202</f>
        <v>PLA</v>
      </c>
      <c r="L202" t="str">
        <f>modif1!L202</f>
        <v>PM</v>
      </c>
      <c r="M202">
        <f>modif1!M202</f>
        <v>2015</v>
      </c>
      <c r="N202" t="str">
        <f>modif1!N202</f>
        <v>PLA-PM_2015</v>
      </c>
      <c r="O202" t="b">
        <f>modif1!O202</f>
        <v>0</v>
      </c>
      <c r="P202">
        <v>40</v>
      </c>
      <c r="T202" t="s">
        <v>1803</v>
      </c>
      <c r="Y202" s="22"/>
      <c r="Z202" t="s">
        <v>1804</v>
      </c>
      <c r="AA202" s="17">
        <f>IF($A202,$J202*(IF(Q202=regle!$B$11,regle!$B$23*IF(AJ202=-2,1+regle!$B$35,1),
IF(Q202=regle!$C$11,regle!$C$23,
IF(Q202=regle!$D$11,regle!$D$23,
IF(Q202=regle!$E$11,regle!$E$23,
IF(Q202=regle!$F$11,regle!$F$23,
IF(Q202=regle!$G$11,regle!$G$23,
IF(Q202=regle!$H$11,regle!$H$23,
IF(Q202=regle!$I$11,regle!$I$23,
IF(Q202=regle!$J$11,regle!$J$23,
IF(Q202=regle!$K$11,regle!$K$23,0))))))))))))</f>
        <v>0</v>
      </c>
      <c r="AB202" s="17">
        <f>IF($A202,$J202*(IF(R202=regle!$B$11,regle!$B$23*IF(AK202=-2,1+regle!$B$35,1),
IF(R202=regle!$C$11,regle!$C$23,
IF(R202=regle!$D$11,regle!$D$23,
IF(R202=regle!$E$11,regle!$E$23,
IF(R202=regle!$F$11,regle!$F$23,
IF(R202=regle!$G$11,regle!$G$23,
IF(R202=regle!$H$11,regle!$H$23,
IF(R202=regle!$I$11,regle!$I$23,
IF(R202=regle!$J$11,regle!$J$23,
IF(R202=regle!$K$11,regle!$K$23,0))))))))))))</f>
        <v>0</v>
      </c>
      <c r="AC202" s="17">
        <f>IF($A202,$J202*(IF(S202=regle!$B$11,regle!$B$23*IF(AL202=-2,1+regle!$B$35,1),
IF(S202=regle!$C$11,regle!$C$23,
IF(S202=regle!$D$11,regle!$D$23,
IF(S202=regle!$E$11,regle!$E$23,
IF(S202=regle!$F$11,regle!$F$23,
IF(S202=regle!$G$11,regle!$G$23,
IF(S202=regle!$H$11,regle!$H$23,
IF(S202=regle!$I$11,regle!$I$23,
IF(S202=regle!$J$11,regle!$J$23,
IF(S202=regle!$K$11,regle!$K$23,0))))))))))))</f>
        <v>0</v>
      </c>
      <c r="AD202" s="17">
        <f>IF($A202,$J202*(IF(T202=regle!$B$11,regle!$B$23*IF(AM202=-2,1+regle!$B$35,1),
IF(T202=regle!$C$11,regle!$C$23,
IF(T202=regle!$D$11,regle!$D$23,
IF(T202=regle!$E$11,regle!$E$23,
IF(T202=regle!$F$11,regle!$F$23,
IF(T202=regle!$G$11,regle!$G$23,
IF(T202=regle!$H$11,regle!$H$23,
IF(T202=regle!$I$11,regle!$I$23,
IF(T202=regle!$J$11,regle!$J$23,
IF(T202=regle!$K$11,regle!$K$23,0))))))))))))</f>
        <v>44.294399999999996</v>
      </c>
      <c r="AE202" s="17">
        <f>IF($A202,$J202*(IF(U202=regle!$B$11,regle!$B$23*IF(AN202=-2,1+regle!$B$35,1),
IF(U202=regle!$C$11,regle!$C$23,
IF(U202=regle!$D$11,regle!$D$23,
IF(U202=regle!$E$11,regle!$E$23,
IF(U202=regle!$F$11,regle!$F$23,
IF(U202=regle!$G$11,regle!$G$23,
IF(U202=regle!$H$11,regle!$H$23,
IF(U202=regle!$I$11,regle!$I$23,
IF(U202=regle!$J$11,regle!$J$23,
IF(U202=regle!$K$11,regle!$K$23,0))))))))))))</f>
        <v>0</v>
      </c>
      <c r="AF202" s="17">
        <f>IF($A202,$J202*(IF(V202=regle!$B$11,regle!$B$23*IF(AO202=-2,1+regle!$B$35,1),
IF(V202=regle!$C$11,regle!$C$23,
IF(V202=regle!$D$11,regle!$D$23,
IF(V202=regle!$E$11,regle!$E$23,
IF(V202=regle!$F$11,regle!$F$23,
IF(V202=regle!$G$11,regle!$G$23,
IF(V202=regle!$H$11,regle!$H$23,
IF(V202=regle!$I$11,regle!$I$23,
IF(V202=regle!$J$11,regle!$J$23,
IF(V202=regle!$K$11,regle!$K$23,0))))))))))))</f>
        <v>0</v>
      </c>
      <c r="AG202" s="17">
        <f>IF($A202,$J202*(IF(W202=regle!$B$11,regle!$B$23*IF(AP202=-2,1+regle!$B$35,1),
IF(W202=regle!$C$11,regle!$C$23,
IF(W202=regle!$D$11,regle!$D$23,
IF(W202=regle!$E$11,regle!$E$23,
IF(W202=regle!$F$11,regle!$F$23,
IF(W202=regle!$G$11,regle!$G$23,
IF(W202=regle!$H$11,regle!$H$23,
IF(W202=regle!$I$11,regle!$I$23,
IF(W202=regle!$J$11,regle!$J$23,
IF(W202=regle!$K$11,regle!$K$23,0))))))))))))</f>
        <v>0</v>
      </c>
      <c r="AH202" s="17">
        <f>IF($A202,$J202*(IF(X202=regle!$B$11,regle!$B$23*IF(AQ202=-2,1+regle!$B$35,1),
IF(X202=regle!$C$11,regle!$C$23,
IF(X202=regle!$D$11,regle!$D$23,
IF(X202=regle!$E$11,regle!$E$23,
IF(X202=regle!$F$11,regle!$F$23,
IF(X202=regle!$G$11,regle!$G$23,
IF(X202=regle!$H$11,regle!$H$23,
IF(X202=regle!$I$11,regle!$I$23,
IF(X202=regle!$J$11,regle!$J$23,
IF(X202=regle!$K$11,regle!$K$23,0))))))))))))</f>
        <v>0</v>
      </c>
      <c r="AI202" s="17">
        <f>IF($A202,$J202*(IF(Y202=regle!$B$11,regle!$B$23*IF(AR202=-2,1+regle!$B$35,1),
IF(Y202=regle!$C$11,regle!$C$23,
IF(Y202=regle!$D$11,regle!$D$23,
IF(Y202=regle!$E$11,regle!$E$23,
IF(Y202=regle!$F$11,regle!$F$23,
IF(Y202=regle!$G$11,regle!$G$23,
IF(Y202=regle!$H$11,regle!$H$23,
IF(Y202=regle!$I$11,regle!$I$23,
IF(Y202=regle!$J$11,regle!$J$23,
IF(Y202=regle!$K$11,regle!$K$23,0))))))))))))</f>
        <v>0</v>
      </c>
      <c r="AJ202" s="17">
        <f>IF($A202,$J202*(IF(Z202=regle!$B$11,regle!$B$23*IF(AS202=-2,1+regle!$B$35,1),
IF(Z202=regle!$C$11,regle!$C$23,
IF(Z202=regle!$D$11,regle!$D$23,
IF(Z202=regle!$E$11,regle!$E$23,
IF(Z202=regle!$F$11,regle!$F$23,
IF(Z202=regle!$G$11,regle!$G$23,
IF(Z202=regle!$H$11,regle!$H$23,
IF(Z202=regle!$I$11,regle!$I$23,
IF(Z202=regle!$J$11,regle!$J$23,
IF(Z202=regle!$K$11,regle!$K$23,0))))))))))))</f>
        <v>64.596000000000004</v>
      </c>
      <c r="AK202" s="16">
        <f>IF(OR(Q202=regle!$J$11,Q202=regle!$K$11),-2,IF(Q202=regle!$B$11,0,IF(AK$1=$AK$1,IF($O202,-1,regle!$B$2-$M202),IF(AJ202=-1,-1,AJ202+1))))</f>
        <v>9</v>
      </c>
      <c r="AL202" s="16">
        <f>IF(OR(R202=regle!$J$11,R202=regle!$K$11),-2,IF(R202=regle!$B$11,0,IF(AL$1=$AK$1,IF($O202,-1,regle!$B$2-$M202),IF(AK202=-1,-1,AK202+1))))</f>
        <v>10</v>
      </c>
      <c r="AM202" s="16">
        <f>IF(OR(S202=regle!$J$11,S202=regle!$K$11),-2,IF(S202=regle!$B$11,0,IF(AM$1=$AK$1,IF($O202,-1,regle!$B$2-$M202),IF(AL202=-1,-1,AL202+1))))</f>
        <v>11</v>
      </c>
      <c r="AN202" s="16">
        <f>IF(OR(T202=regle!$J$11,T202=regle!$K$11),-2,IF(T202=regle!$B$11,0,IF(AN$1=$AK$1,IF($O202,-1,regle!$B$2-$M202),IF(AM202=-1,-1,AM202+1))))</f>
        <v>12</v>
      </c>
      <c r="AO202" s="16">
        <f>IF(OR(U202=regle!$J$11,U202=regle!$K$11),-2,IF(U202=regle!$B$11,0,IF(AO$1=$AK$1,IF($O202,-1,regle!$B$2-$M202),IF(AN202=-1,-1,AN202+1))))</f>
        <v>13</v>
      </c>
      <c r="AP202" s="16">
        <f>IF(OR(V202=regle!$J$11,V202=regle!$K$11),-2,IF(V202=regle!$B$11,0,IF(AP$1=$AK$1,IF($O202,-1,regle!$B$2-$M202),IF(AO202=-1,-1,AO202+1))))</f>
        <v>14</v>
      </c>
      <c r="AQ202" s="16">
        <f>IF(OR(W202=regle!$J$11,W202=regle!$K$11),-2,IF(W202=regle!$B$11,0,IF(AQ$1=$AK$1,IF($O202,-1,regle!$B$2-$M202),IF(AP202=-1,-1,AP202+1))))</f>
        <v>15</v>
      </c>
      <c r="AR202" s="16">
        <f>IF(OR(X202=regle!$J$11,X202=regle!$K$11),-2,IF(X202=regle!$B$11,0,IF(AR$1=$AK$1,IF($O202,-1,regle!$B$2-$M202),IF(AQ202=-1,-1,AQ202+1))))</f>
        <v>16</v>
      </c>
      <c r="AS202" s="16">
        <f>IF(OR(Y202=regle!$J$11,Y202=regle!$K$11),-2,IF(Y202=regle!$B$11,0,IF(AS$1=$AK$1,IF($O202,-1,regle!$B$2-$M202),IF(AR202=-1,-1,AR202+1))))</f>
        <v>17</v>
      </c>
      <c r="AT202" s="16">
        <f>IF(OR(Z202=regle!$J$11,Z202=regle!$K$11),-2,IF(Z202=regle!$B$11,0,IF(AT$1=$AK$1,IF($O202,-1,regle!$B$2-$M202),IF(AS202=-1,-1,AS202+1))))</f>
        <v>18</v>
      </c>
    </row>
    <row r="203" spans="1:46" x14ac:dyDescent="0.25">
      <c r="A203" t="b">
        <f>modif1!A203</f>
        <v>1</v>
      </c>
      <c r="B203">
        <f>ROW(modif1!B203)</f>
        <v>203</v>
      </c>
      <c r="C203" t="str">
        <f>modif1!C206</f>
        <v>202</v>
      </c>
      <c r="D203" t="str">
        <f>modif1!D203</f>
        <v>HOSTENS</v>
      </c>
      <c r="E203">
        <f>modif1!E203</f>
        <v>11</v>
      </c>
      <c r="F203" t="str">
        <f>modif1!F203</f>
        <v>LES CAZALAS</v>
      </c>
      <c r="G203" t="str">
        <f>modif1!G203</f>
        <v>0B</v>
      </c>
      <c r="H203">
        <f>modif1!H203</f>
        <v>1195</v>
      </c>
      <c r="I203" t="str">
        <f>modif1!I203</f>
        <v>l</v>
      </c>
      <c r="J203" s="11">
        <f>modif1!J203</f>
        <v>7.2599999999999998E-2</v>
      </c>
      <c r="K203" t="str">
        <f>modif1!K203</f>
        <v>PLA</v>
      </c>
      <c r="L203" t="str">
        <f>modif1!L203</f>
        <v>PM</v>
      </c>
      <c r="M203">
        <f>modif1!M203</f>
        <v>2015</v>
      </c>
      <c r="N203" t="str">
        <f>modif1!N203</f>
        <v>PLA-PM_2015</v>
      </c>
      <c r="O203" t="b">
        <f>modif1!O203</f>
        <v>0</v>
      </c>
      <c r="P203">
        <v>40</v>
      </c>
      <c r="T203" t="s">
        <v>1803</v>
      </c>
      <c r="Y203" s="22"/>
      <c r="Z203" t="s">
        <v>1804</v>
      </c>
      <c r="AA203" s="17">
        <f>IF($A203,$J203*(IF(Q203=regle!$B$11,regle!$B$23*IF(AJ203=-2,1+regle!$B$35,1),
IF(Q203=regle!$C$11,regle!$C$23,
IF(Q203=regle!$D$11,regle!$D$23,
IF(Q203=regle!$E$11,regle!$E$23,
IF(Q203=regle!$F$11,regle!$F$23,
IF(Q203=regle!$G$11,regle!$G$23,
IF(Q203=regle!$H$11,regle!$H$23,
IF(Q203=regle!$I$11,regle!$I$23,
IF(Q203=regle!$J$11,regle!$J$23,
IF(Q203=regle!$K$11,regle!$K$23,0))))))))))))</f>
        <v>0</v>
      </c>
      <c r="AB203" s="17">
        <f>IF($A203,$J203*(IF(R203=regle!$B$11,regle!$B$23*IF(AK203=-2,1+regle!$B$35,1),
IF(R203=regle!$C$11,regle!$C$23,
IF(R203=regle!$D$11,regle!$D$23,
IF(R203=regle!$E$11,regle!$E$23,
IF(R203=regle!$F$11,regle!$F$23,
IF(R203=regle!$G$11,regle!$G$23,
IF(R203=regle!$H$11,regle!$H$23,
IF(R203=regle!$I$11,regle!$I$23,
IF(R203=regle!$J$11,regle!$J$23,
IF(R203=regle!$K$11,regle!$K$23,0))))))))))))</f>
        <v>0</v>
      </c>
      <c r="AC203" s="17">
        <f>IF($A203,$J203*(IF(S203=regle!$B$11,regle!$B$23*IF(AL203=-2,1+regle!$B$35,1),
IF(S203=regle!$C$11,regle!$C$23,
IF(S203=regle!$D$11,regle!$D$23,
IF(S203=regle!$E$11,regle!$E$23,
IF(S203=regle!$F$11,regle!$F$23,
IF(S203=regle!$G$11,regle!$G$23,
IF(S203=regle!$H$11,regle!$H$23,
IF(S203=regle!$I$11,regle!$I$23,
IF(S203=regle!$J$11,regle!$J$23,
IF(S203=regle!$K$11,regle!$K$23,0))))))))))))</f>
        <v>0</v>
      </c>
      <c r="AD203" s="17">
        <f>IF($A203,$J203*(IF(T203=regle!$B$11,regle!$B$23*IF(AM203=-2,1+regle!$B$35,1),
IF(T203=regle!$C$11,regle!$C$23,
IF(T203=regle!$D$11,regle!$D$23,
IF(T203=regle!$E$11,regle!$E$23,
IF(T203=regle!$F$11,regle!$F$23,
IF(T203=regle!$G$11,regle!$G$23,
IF(T203=regle!$H$11,regle!$H$23,
IF(T203=regle!$I$11,regle!$I$23,
IF(T203=regle!$J$11,regle!$J$23,
IF(T203=regle!$K$11,regle!$K$23,0))))))))))))</f>
        <v>41.817599999999999</v>
      </c>
      <c r="AE203" s="17">
        <f>IF($A203,$J203*(IF(U203=regle!$B$11,regle!$B$23*IF(AN203=-2,1+regle!$B$35,1),
IF(U203=regle!$C$11,regle!$C$23,
IF(U203=regle!$D$11,regle!$D$23,
IF(U203=regle!$E$11,regle!$E$23,
IF(U203=regle!$F$11,regle!$F$23,
IF(U203=regle!$G$11,regle!$G$23,
IF(U203=regle!$H$11,regle!$H$23,
IF(U203=regle!$I$11,regle!$I$23,
IF(U203=regle!$J$11,regle!$J$23,
IF(U203=regle!$K$11,regle!$K$23,0))))))))))))</f>
        <v>0</v>
      </c>
      <c r="AF203" s="17">
        <f>IF($A203,$J203*(IF(V203=regle!$B$11,regle!$B$23*IF(AO203=-2,1+regle!$B$35,1),
IF(V203=regle!$C$11,regle!$C$23,
IF(V203=regle!$D$11,regle!$D$23,
IF(V203=regle!$E$11,regle!$E$23,
IF(V203=regle!$F$11,regle!$F$23,
IF(V203=regle!$G$11,regle!$G$23,
IF(V203=regle!$H$11,regle!$H$23,
IF(V203=regle!$I$11,regle!$I$23,
IF(V203=regle!$J$11,regle!$J$23,
IF(V203=regle!$K$11,regle!$K$23,0))))))))))))</f>
        <v>0</v>
      </c>
      <c r="AG203" s="17">
        <f>IF($A203,$J203*(IF(W203=regle!$B$11,regle!$B$23*IF(AP203=-2,1+regle!$B$35,1),
IF(W203=regle!$C$11,regle!$C$23,
IF(W203=regle!$D$11,regle!$D$23,
IF(W203=regle!$E$11,regle!$E$23,
IF(W203=regle!$F$11,regle!$F$23,
IF(W203=regle!$G$11,regle!$G$23,
IF(W203=regle!$H$11,regle!$H$23,
IF(W203=regle!$I$11,regle!$I$23,
IF(W203=regle!$J$11,regle!$J$23,
IF(W203=regle!$K$11,regle!$K$23,0))))))))))))</f>
        <v>0</v>
      </c>
      <c r="AH203" s="17">
        <f>IF($A203,$J203*(IF(X203=regle!$B$11,regle!$B$23*IF(AQ203=-2,1+regle!$B$35,1),
IF(X203=regle!$C$11,regle!$C$23,
IF(X203=regle!$D$11,regle!$D$23,
IF(X203=regle!$E$11,regle!$E$23,
IF(X203=regle!$F$11,regle!$F$23,
IF(X203=regle!$G$11,regle!$G$23,
IF(X203=regle!$H$11,regle!$H$23,
IF(X203=regle!$I$11,regle!$I$23,
IF(X203=regle!$J$11,regle!$J$23,
IF(X203=regle!$K$11,regle!$K$23,0))))))))))))</f>
        <v>0</v>
      </c>
      <c r="AI203" s="17">
        <f>IF($A203,$J203*(IF(Y203=regle!$B$11,regle!$B$23*IF(AR203=-2,1+regle!$B$35,1),
IF(Y203=regle!$C$11,regle!$C$23,
IF(Y203=regle!$D$11,regle!$D$23,
IF(Y203=regle!$E$11,regle!$E$23,
IF(Y203=regle!$F$11,regle!$F$23,
IF(Y203=regle!$G$11,regle!$G$23,
IF(Y203=regle!$H$11,regle!$H$23,
IF(Y203=regle!$I$11,regle!$I$23,
IF(Y203=regle!$J$11,regle!$J$23,
IF(Y203=regle!$K$11,regle!$K$23,0))))))))))))</f>
        <v>0</v>
      </c>
      <c r="AJ203" s="17">
        <f>IF($A203,$J203*(IF(Z203=regle!$B$11,regle!$B$23*IF(AS203=-2,1+regle!$B$35,1),
IF(Z203=regle!$C$11,regle!$C$23,
IF(Z203=regle!$D$11,regle!$D$23,
IF(Z203=regle!$E$11,regle!$E$23,
IF(Z203=regle!$F$11,regle!$F$23,
IF(Z203=regle!$G$11,regle!$G$23,
IF(Z203=regle!$H$11,regle!$H$23,
IF(Z203=regle!$I$11,regle!$I$23,
IF(Z203=regle!$J$11,regle!$J$23,
IF(Z203=regle!$K$11,regle!$K$23,0))))))))))))</f>
        <v>60.983999999999995</v>
      </c>
      <c r="AK203" s="16">
        <f>IF(OR(Q203=regle!$J$11,Q203=regle!$K$11),-2,IF(Q203=regle!$B$11,0,IF(AK$1=$AK$1,IF($O203,-1,regle!$B$2-$M203),IF(AJ203=-1,-1,AJ203+1))))</f>
        <v>9</v>
      </c>
      <c r="AL203" s="16">
        <f>IF(OR(R203=regle!$J$11,R203=regle!$K$11),-2,IF(R203=regle!$B$11,0,IF(AL$1=$AK$1,IF($O203,-1,regle!$B$2-$M203),IF(AK203=-1,-1,AK203+1))))</f>
        <v>10</v>
      </c>
      <c r="AM203" s="16">
        <f>IF(OR(S203=regle!$J$11,S203=regle!$K$11),-2,IF(S203=regle!$B$11,0,IF(AM$1=$AK$1,IF($O203,-1,regle!$B$2-$M203),IF(AL203=-1,-1,AL203+1))))</f>
        <v>11</v>
      </c>
      <c r="AN203" s="16">
        <f>IF(OR(T203=regle!$J$11,T203=regle!$K$11),-2,IF(T203=regle!$B$11,0,IF(AN$1=$AK$1,IF($O203,-1,regle!$B$2-$M203),IF(AM203=-1,-1,AM203+1))))</f>
        <v>12</v>
      </c>
      <c r="AO203" s="16">
        <f>IF(OR(U203=regle!$J$11,U203=regle!$K$11),-2,IF(U203=regle!$B$11,0,IF(AO$1=$AK$1,IF($O203,-1,regle!$B$2-$M203),IF(AN203=-1,-1,AN203+1))))</f>
        <v>13</v>
      </c>
      <c r="AP203" s="16">
        <f>IF(OR(V203=regle!$J$11,V203=regle!$K$11),-2,IF(V203=regle!$B$11,0,IF(AP$1=$AK$1,IF($O203,-1,regle!$B$2-$M203),IF(AO203=-1,-1,AO203+1))))</f>
        <v>14</v>
      </c>
      <c r="AQ203" s="16">
        <f>IF(OR(W203=regle!$J$11,W203=regle!$K$11),-2,IF(W203=regle!$B$11,0,IF(AQ$1=$AK$1,IF($O203,-1,regle!$B$2-$M203),IF(AP203=-1,-1,AP203+1))))</f>
        <v>15</v>
      </c>
      <c r="AR203" s="16">
        <f>IF(OR(X203=regle!$J$11,X203=regle!$K$11),-2,IF(X203=regle!$B$11,0,IF(AR$1=$AK$1,IF($O203,-1,regle!$B$2-$M203),IF(AQ203=-1,-1,AQ203+1))))</f>
        <v>16</v>
      </c>
      <c r="AS203" s="16">
        <f>IF(OR(Y203=regle!$J$11,Y203=regle!$K$11),-2,IF(Y203=regle!$B$11,0,IF(AS$1=$AK$1,IF($O203,-1,regle!$B$2-$M203),IF(AR203=-1,-1,AR203+1))))</f>
        <v>17</v>
      </c>
      <c r="AT203" s="16">
        <f>IF(OR(Z203=regle!$J$11,Z203=regle!$K$11),-2,IF(Z203=regle!$B$11,0,IF(AT$1=$AK$1,IF($O203,-1,regle!$B$2-$M203),IF(AS203=-1,-1,AS203+1))))</f>
        <v>18</v>
      </c>
    </row>
    <row r="204" spans="1:46" x14ac:dyDescent="0.25">
      <c r="A204" t="b">
        <f>modif1!A204</f>
        <v>1</v>
      </c>
      <c r="B204">
        <f>ROW(modif1!B204)</f>
        <v>204</v>
      </c>
      <c r="C204" t="str">
        <f>modif1!C207</f>
        <v>202</v>
      </c>
      <c r="D204" t="str">
        <f>modif1!D204</f>
        <v>HOSTENS</v>
      </c>
      <c r="E204">
        <f>modif1!E204</f>
        <v>11</v>
      </c>
      <c r="F204" t="str">
        <f>modif1!F204</f>
        <v>LES CAZALAS</v>
      </c>
      <c r="G204" t="str">
        <f>modif1!G204</f>
        <v>0B</v>
      </c>
      <c r="H204">
        <f>modif1!H204</f>
        <v>1574</v>
      </c>
      <c r="I204" t="str">
        <f>modif1!I204</f>
        <v/>
      </c>
      <c r="J204" s="11">
        <f>modif1!J204</f>
        <v>6.59E-2</v>
      </c>
      <c r="K204" t="str">
        <f>modif1!K204</f>
        <v>PLA</v>
      </c>
      <c r="L204" t="str">
        <f>modif1!L204</f>
        <v>PM</v>
      </c>
      <c r="M204">
        <f>modif1!M204</f>
        <v>2015</v>
      </c>
      <c r="N204" t="str">
        <f>modif1!N204</f>
        <v>PLA-PM_2015</v>
      </c>
      <c r="O204" t="b">
        <f>modif1!O204</f>
        <v>0</v>
      </c>
      <c r="P204">
        <v>40</v>
      </c>
      <c r="T204" t="s">
        <v>1803</v>
      </c>
      <c r="Y204" s="22"/>
      <c r="Z204" t="s">
        <v>1804</v>
      </c>
      <c r="AA204" s="17">
        <f>IF($A204,$J204*(IF(Q204=regle!$B$11,regle!$B$23*IF(AJ204=-2,1+regle!$B$35,1),
IF(Q204=regle!$C$11,regle!$C$23,
IF(Q204=regle!$D$11,regle!$D$23,
IF(Q204=regle!$E$11,regle!$E$23,
IF(Q204=regle!$F$11,regle!$F$23,
IF(Q204=regle!$G$11,regle!$G$23,
IF(Q204=regle!$H$11,regle!$H$23,
IF(Q204=regle!$I$11,regle!$I$23,
IF(Q204=regle!$J$11,regle!$J$23,
IF(Q204=regle!$K$11,regle!$K$23,0))))))))))))</f>
        <v>0</v>
      </c>
      <c r="AB204" s="17">
        <f>IF($A204,$J204*(IF(R204=regle!$B$11,regle!$B$23*IF(AK204=-2,1+regle!$B$35,1),
IF(R204=regle!$C$11,regle!$C$23,
IF(R204=regle!$D$11,regle!$D$23,
IF(R204=regle!$E$11,regle!$E$23,
IF(R204=regle!$F$11,regle!$F$23,
IF(R204=regle!$G$11,regle!$G$23,
IF(R204=regle!$H$11,regle!$H$23,
IF(R204=regle!$I$11,regle!$I$23,
IF(R204=regle!$J$11,regle!$J$23,
IF(R204=regle!$K$11,regle!$K$23,0))))))))))))</f>
        <v>0</v>
      </c>
      <c r="AC204" s="17">
        <f>IF($A204,$J204*(IF(S204=regle!$B$11,regle!$B$23*IF(AL204=-2,1+regle!$B$35,1),
IF(S204=regle!$C$11,regle!$C$23,
IF(S204=regle!$D$11,regle!$D$23,
IF(S204=regle!$E$11,regle!$E$23,
IF(S204=regle!$F$11,regle!$F$23,
IF(S204=regle!$G$11,regle!$G$23,
IF(S204=regle!$H$11,regle!$H$23,
IF(S204=regle!$I$11,regle!$I$23,
IF(S204=regle!$J$11,regle!$J$23,
IF(S204=regle!$K$11,regle!$K$23,0))))))))))))</f>
        <v>0</v>
      </c>
      <c r="AD204" s="17">
        <f>IF($A204,$J204*(IF(T204=regle!$B$11,regle!$B$23*IF(AM204=-2,1+regle!$B$35,1),
IF(T204=regle!$C$11,regle!$C$23,
IF(T204=regle!$D$11,regle!$D$23,
IF(T204=regle!$E$11,regle!$E$23,
IF(T204=regle!$F$11,regle!$F$23,
IF(T204=regle!$G$11,regle!$G$23,
IF(T204=regle!$H$11,regle!$H$23,
IF(T204=regle!$I$11,regle!$I$23,
IF(T204=regle!$J$11,regle!$J$23,
IF(T204=regle!$K$11,regle!$K$23,0))))))))))))</f>
        <v>37.958399999999997</v>
      </c>
      <c r="AE204" s="17">
        <f>IF($A204,$J204*(IF(U204=regle!$B$11,regle!$B$23*IF(AN204=-2,1+regle!$B$35,1),
IF(U204=regle!$C$11,regle!$C$23,
IF(U204=regle!$D$11,regle!$D$23,
IF(U204=regle!$E$11,regle!$E$23,
IF(U204=regle!$F$11,regle!$F$23,
IF(U204=regle!$G$11,regle!$G$23,
IF(U204=regle!$H$11,regle!$H$23,
IF(U204=regle!$I$11,regle!$I$23,
IF(U204=regle!$J$11,regle!$J$23,
IF(U204=regle!$K$11,regle!$K$23,0))))))))))))</f>
        <v>0</v>
      </c>
      <c r="AF204" s="17">
        <f>IF($A204,$J204*(IF(V204=regle!$B$11,regle!$B$23*IF(AO204=-2,1+regle!$B$35,1),
IF(V204=regle!$C$11,regle!$C$23,
IF(V204=regle!$D$11,regle!$D$23,
IF(V204=regle!$E$11,regle!$E$23,
IF(V204=regle!$F$11,regle!$F$23,
IF(V204=regle!$G$11,regle!$G$23,
IF(V204=regle!$H$11,regle!$H$23,
IF(V204=regle!$I$11,regle!$I$23,
IF(V204=regle!$J$11,regle!$J$23,
IF(V204=regle!$K$11,regle!$K$23,0))))))))))))</f>
        <v>0</v>
      </c>
      <c r="AG204" s="17">
        <f>IF($A204,$J204*(IF(W204=regle!$B$11,regle!$B$23*IF(AP204=-2,1+regle!$B$35,1),
IF(W204=regle!$C$11,regle!$C$23,
IF(W204=regle!$D$11,regle!$D$23,
IF(W204=regle!$E$11,regle!$E$23,
IF(W204=regle!$F$11,regle!$F$23,
IF(W204=regle!$G$11,regle!$G$23,
IF(W204=regle!$H$11,regle!$H$23,
IF(W204=regle!$I$11,regle!$I$23,
IF(W204=regle!$J$11,regle!$J$23,
IF(W204=regle!$K$11,regle!$K$23,0))))))))))))</f>
        <v>0</v>
      </c>
      <c r="AH204" s="17">
        <f>IF($A204,$J204*(IF(X204=regle!$B$11,regle!$B$23*IF(AQ204=-2,1+regle!$B$35,1),
IF(X204=regle!$C$11,regle!$C$23,
IF(X204=regle!$D$11,regle!$D$23,
IF(X204=regle!$E$11,regle!$E$23,
IF(X204=regle!$F$11,regle!$F$23,
IF(X204=regle!$G$11,regle!$G$23,
IF(X204=regle!$H$11,regle!$H$23,
IF(X204=regle!$I$11,regle!$I$23,
IF(X204=regle!$J$11,regle!$J$23,
IF(X204=regle!$K$11,regle!$K$23,0))))))))))))</f>
        <v>0</v>
      </c>
      <c r="AI204" s="17">
        <f>IF($A204,$J204*(IF(Y204=regle!$B$11,regle!$B$23*IF(AR204=-2,1+regle!$B$35,1),
IF(Y204=regle!$C$11,regle!$C$23,
IF(Y204=regle!$D$11,regle!$D$23,
IF(Y204=regle!$E$11,regle!$E$23,
IF(Y204=regle!$F$11,regle!$F$23,
IF(Y204=regle!$G$11,regle!$G$23,
IF(Y204=regle!$H$11,regle!$H$23,
IF(Y204=regle!$I$11,regle!$I$23,
IF(Y204=regle!$J$11,regle!$J$23,
IF(Y204=regle!$K$11,regle!$K$23,0))))))))))))</f>
        <v>0</v>
      </c>
      <c r="AJ204" s="17">
        <f>IF($A204,$J204*(IF(Z204=regle!$B$11,regle!$B$23*IF(AS204=-2,1+regle!$B$35,1),
IF(Z204=regle!$C$11,regle!$C$23,
IF(Z204=regle!$D$11,regle!$D$23,
IF(Z204=regle!$E$11,regle!$E$23,
IF(Z204=regle!$F$11,regle!$F$23,
IF(Z204=regle!$G$11,regle!$G$23,
IF(Z204=regle!$H$11,regle!$H$23,
IF(Z204=regle!$I$11,regle!$I$23,
IF(Z204=regle!$J$11,regle!$J$23,
IF(Z204=regle!$K$11,regle!$K$23,0))))))))))))</f>
        <v>55.356000000000002</v>
      </c>
      <c r="AK204" s="16">
        <f>IF(OR(Q204=regle!$J$11,Q204=regle!$K$11),-2,IF(Q204=regle!$B$11,0,IF(AK$1=$AK$1,IF($O204,-1,regle!$B$2-$M204),IF(AJ204=-1,-1,AJ204+1))))</f>
        <v>9</v>
      </c>
      <c r="AL204" s="16">
        <f>IF(OR(R204=regle!$J$11,R204=regle!$K$11),-2,IF(R204=regle!$B$11,0,IF(AL$1=$AK$1,IF($O204,-1,regle!$B$2-$M204),IF(AK204=-1,-1,AK204+1))))</f>
        <v>10</v>
      </c>
      <c r="AM204" s="16">
        <f>IF(OR(S204=regle!$J$11,S204=regle!$K$11),-2,IF(S204=regle!$B$11,0,IF(AM$1=$AK$1,IF($O204,-1,regle!$B$2-$M204),IF(AL204=-1,-1,AL204+1))))</f>
        <v>11</v>
      </c>
      <c r="AN204" s="16">
        <f>IF(OR(T204=regle!$J$11,T204=regle!$K$11),-2,IF(T204=regle!$B$11,0,IF(AN$1=$AK$1,IF($O204,-1,regle!$B$2-$M204),IF(AM204=-1,-1,AM204+1))))</f>
        <v>12</v>
      </c>
      <c r="AO204" s="16">
        <f>IF(OR(U204=regle!$J$11,U204=regle!$K$11),-2,IF(U204=regle!$B$11,0,IF(AO$1=$AK$1,IF($O204,-1,regle!$B$2-$M204),IF(AN204=-1,-1,AN204+1))))</f>
        <v>13</v>
      </c>
      <c r="AP204" s="16">
        <f>IF(OR(V204=regle!$J$11,V204=regle!$K$11),-2,IF(V204=regle!$B$11,0,IF(AP$1=$AK$1,IF($O204,-1,regle!$B$2-$M204),IF(AO204=-1,-1,AO204+1))))</f>
        <v>14</v>
      </c>
      <c r="AQ204" s="16">
        <f>IF(OR(W204=regle!$J$11,W204=regle!$K$11),-2,IF(W204=regle!$B$11,0,IF(AQ$1=$AK$1,IF($O204,-1,regle!$B$2-$M204),IF(AP204=-1,-1,AP204+1))))</f>
        <v>15</v>
      </c>
      <c r="AR204" s="16">
        <f>IF(OR(X204=regle!$J$11,X204=regle!$K$11),-2,IF(X204=regle!$B$11,0,IF(AR$1=$AK$1,IF($O204,-1,regle!$B$2-$M204),IF(AQ204=-1,-1,AQ204+1))))</f>
        <v>16</v>
      </c>
      <c r="AS204" s="16">
        <f>IF(OR(Y204=regle!$J$11,Y204=regle!$K$11),-2,IF(Y204=regle!$B$11,0,IF(AS$1=$AK$1,IF($O204,-1,regle!$B$2-$M204),IF(AR204=-1,-1,AR204+1))))</f>
        <v>17</v>
      </c>
      <c r="AT204" s="16">
        <f>IF(OR(Z204=regle!$J$11,Z204=regle!$K$11),-2,IF(Z204=regle!$B$11,0,IF(AT$1=$AK$1,IF($O204,-1,regle!$B$2-$M204),IF(AS204=-1,-1,AS204+1))))</f>
        <v>18</v>
      </c>
    </row>
    <row r="205" spans="1:46" x14ac:dyDescent="0.25">
      <c r="A205" t="b">
        <f>modif1!A205</f>
        <v>1</v>
      </c>
      <c r="B205">
        <f>ROW(modif1!B205)</f>
        <v>205</v>
      </c>
      <c r="C205" t="str">
        <f>modif1!C208</f>
        <v>077</v>
      </c>
      <c r="D205" t="str">
        <f>modif1!D205</f>
        <v>CABANAC-ET-VILLAGRAINS</v>
      </c>
      <c r="E205">
        <f>modif1!E205</f>
        <v>10</v>
      </c>
      <c r="F205" t="str">
        <f>modif1!F205</f>
        <v>CABAT MORT</v>
      </c>
      <c r="G205" t="str">
        <f>modif1!G205</f>
        <v>0D</v>
      </c>
      <c r="H205">
        <f>modif1!H205</f>
        <v>1362</v>
      </c>
      <c r="I205" t="str">
        <f>modif1!I205</f>
        <v/>
      </c>
      <c r="J205" s="11">
        <f>modif1!J205</f>
        <v>4.5100000000000001E-2</v>
      </c>
      <c r="K205" t="str">
        <f>modif1!K205</f>
        <v>PLA</v>
      </c>
      <c r="L205" t="str">
        <f>modif1!L205</f>
        <v>PM</v>
      </c>
      <c r="M205">
        <f>modif1!M205</f>
        <v>2015</v>
      </c>
      <c r="N205" t="str">
        <f>modif1!N205</f>
        <v>PLA-PM_2015</v>
      </c>
      <c r="O205" t="b">
        <f>modif1!O205</f>
        <v>0</v>
      </c>
      <c r="P205">
        <v>40</v>
      </c>
      <c r="T205" t="s">
        <v>1803</v>
      </c>
      <c r="Y205" s="22"/>
      <c r="Z205" t="s">
        <v>1804</v>
      </c>
      <c r="AA205" s="17">
        <f>IF($A205,$J205*(IF(Q205=regle!$B$11,regle!$B$23*IF(AJ205=-2,1+regle!$B$35,1),
IF(Q205=regle!$C$11,regle!$C$23,
IF(Q205=regle!$D$11,regle!$D$23,
IF(Q205=regle!$E$11,regle!$E$23,
IF(Q205=regle!$F$11,regle!$F$23,
IF(Q205=regle!$G$11,regle!$G$23,
IF(Q205=regle!$H$11,regle!$H$23,
IF(Q205=regle!$I$11,regle!$I$23,
IF(Q205=regle!$J$11,regle!$J$23,
IF(Q205=regle!$K$11,regle!$K$23,0))))))))))))</f>
        <v>0</v>
      </c>
      <c r="AB205" s="17">
        <f>IF($A205,$J205*(IF(R205=regle!$B$11,regle!$B$23*IF(AK205=-2,1+regle!$B$35,1),
IF(R205=regle!$C$11,regle!$C$23,
IF(R205=regle!$D$11,regle!$D$23,
IF(R205=regle!$E$11,regle!$E$23,
IF(R205=regle!$F$11,regle!$F$23,
IF(R205=regle!$G$11,regle!$G$23,
IF(R205=regle!$H$11,regle!$H$23,
IF(R205=regle!$I$11,regle!$I$23,
IF(R205=regle!$J$11,regle!$J$23,
IF(R205=regle!$K$11,regle!$K$23,0))))))))))))</f>
        <v>0</v>
      </c>
      <c r="AC205" s="17">
        <f>IF($A205,$J205*(IF(S205=regle!$B$11,regle!$B$23*IF(AL205=-2,1+regle!$B$35,1),
IF(S205=regle!$C$11,regle!$C$23,
IF(S205=regle!$D$11,regle!$D$23,
IF(S205=regle!$E$11,regle!$E$23,
IF(S205=regle!$F$11,regle!$F$23,
IF(S205=regle!$G$11,regle!$G$23,
IF(S205=regle!$H$11,regle!$H$23,
IF(S205=regle!$I$11,regle!$I$23,
IF(S205=regle!$J$11,regle!$J$23,
IF(S205=regle!$K$11,regle!$K$23,0))))))))))))</f>
        <v>0</v>
      </c>
      <c r="AD205" s="17">
        <f>IF($A205,$J205*(IF(T205=regle!$B$11,regle!$B$23*IF(AM205=-2,1+regle!$B$35,1),
IF(T205=regle!$C$11,regle!$C$23,
IF(T205=regle!$D$11,regle!$D$23,
IF(T205=regle!$E$11,regle!$E$23,
IF(T205=regle!$F$11,regle!$F$23,
IF(T205=regle!$G$11,regle!$G$23,
IF(T205=regle!$H$11,regle!$H$23,
IF(T205=regle!$I$11,regle!$I$23,
IF(T205=regle!$J$11,regle!$J$23,
IF(T205=regle!$K$11,regle!$K$23,0))))))))))))</f>
        <v>25.977600000000002</v>
      </c>
      <c r="AE205" s="17">
        <f>IF($A205,$J205*(IF(U205=regle!$B$11,regle!$B$23*IF(AN205=-2,1+regle!$B$35,1),
IF(U205=regle!$C$11,regle!$C$23,
IF(U205=regle!$D$11,regle!$D$23,
IF(U205=regle!$E$11,regle!$E$23,
IF(U205=regle!$F$11,regle!$F$23,
IF(U205=regle!$G$11,regle!$G$23,
IF(U205=regle!$H$11,regle!$H$23,
IF(U205=regle!$I$11,regle!$I$23,
IF(U205=regle!$J$11,regle!$J$23,
IF(U205=regle!$K$11,regle!$K$23,0))))))))))))</f>
        <v>0</v>
      </c>
      <c r="AF205" s="17">
        <f>IF($A205,$J205*(IF(V205=regle!$B$11,regle!$B$23*IF(AO205=-2,1+regle!$B$35,1),
IF(V205=regle!$C$11,regle!$C$23,
IF(V205=regle!$D$11,regle!$D$23,
IF(V205=regle!$E$11,regle!$E$23,
IF(V205=regle!$F$11,regle!$F$23,
IF(V205=regle!$G$11,regle!$G$23,
IF(V205=regle!$H$11,regle!$H$23,
IF(V205=regle!$I$11,regle!$I$23,
IF(V205=regle!$J$11,regle!$J$23,
IF(V205=regle!$K$11,regle!$K$23,0))))))))))))</f>
        <v>0</v>
      </c>
      <c r="AG205" s="17">
        <f>IF($A205,$J205*(IF(W205=regle!$B$11,regle!$B$23*IF(AP205=-2,1+regle!$B$35,1),
IF(W205=regle!$C$11,regle!$C$23,
IF(W205=regle!$D$11,regle!$D$23,
IF(W205=regle!$E$11,regle!$E$23,
IF(W205=regle!$F$11,regle!$F$23,
IF(W205=regle!$G$11,regle!$G$23,
IF(W205=regle!$H$11,regle!$H$23,
IF(W205=regle!$I$11,regle!$I$23,
IF(W205=regle!$J$11,regle!$J$23,
IF(W205=regle!$K$11,regle!$K$23,0))))))))))))</f>
        <v>0</v>
      </c>
      <c r="AH205" s="17">
        <f>IF($A205,$J205*(IF(X205=regle!$B$11,regle!$B$23*IF(AQ205=-2,1+regle!$B$35,1),
IF(X205=regle!$C$11,regle!$C$23,
IF(X205=regle!$D$11,regle!$D$23,
IF(X205=regle!$E$11,regle!$E$23,
IF(X205=regle!$F$11,regle!$F$23,
IF(X205=regle!$G$11,regle!$G$23,
IF(X205=regle!$H$11,regle!$H$23,
IF(X205=regle!$I$11,regle!$I$23,
IF(X205=regle!$J$11,regle!$J$23,
IF(X205=regle!$K$11,regle!$K$23,0))))))))))))</f>
        <v>0</v>
      </c>
      <c r="AI205" s="17">
        <f>IF($A205,$J205*(IF(Y205=regle!$B$11,regle!$B$23*IF(AR205=-2,1+regle!$B$35,1),
IF(Y205=regle!$C$11,regle!$C$23,
IF(Y205=regle!$D$11,regle!$D$23,
IF(Y205=regle!$E$11,regle!$E$23,
IF(Y205=regle!$F$11,regle!$F$23,
IF(Y205=regle!$G$11,regle!$G$23,
IF(Y205=regle!$H$11,regle!$H$23,
IF(Y205=regle!$I$11,regle!$I$23,
IF(Y205=regle!$J$11,regle!$J$23,
IF(Y205=regle!$K$11,regle!$K$23,0))))))))))))</f>
        <v>0</v>
      </c>
      <c r="AJ205" s="17">
        <f>IF($A205,$J205*(IF(Z205=regle!$B$11,regle!$B$23*IF(AS205=-2,1+regle!$B$35,1),
IF(Z205=regle!$C$11,regle!$C$23,
IF(Z205=regle!$D$11,regle!$D$23,
IF(Z205=regle!$E$11,regle!$E$23,
IF(Z205=regle!$F$11,regle!$F$23,
IF(Z205=regle!$G$11,regle!$G$23,
IF(Z205=regle!$H$11,regle!$H$23,
IF(Z205=regle!$I$11,regle!$I$23,
IF(Z205=regle!$J$11,regle!$J$23,
IF(Z205=regle!$K$11,regle!$K$23,0))))))))))))</f>
        <v>37.884</v>
      </c>
      <c r="AK205" s="16">
        <f>IF(OR(Q205=regle!$J$11,Q205=regle!$K$11),-2,IF(Q205=regle!$B$11,0,IF(AK$1=$AK$1,IF($O205,-1,regle!$B$2-$M205),IF(AJ205=-1,-1,AJ205+1))))</f>
        <v>9</v>
      </c>
      <c r="AL205" s="16">
        <f>IF(OR(R205=regle!$J$11,R205=regle!$K$11),-2,IF(R205=regle!$B$11,0,IF(AL$1=$AK$1,IF($O205,-1,regle!$B$2-$M205),IF(AK205=-1,-1,AK205+1))))</f>
        <v>10</v>
      </c>
      <c r="AM205" s="16">
        <f>IF(OR(S205=regle!$J$11,S205=regle!$K$11),-2,IF(S205=regle!$B$11,0,IF(AM$1=$AK$1,IF($O205,-1,regle!$B$2-$M205),IF(AL205=-1,-1,AL205+1))))</f>
        <v>11</v>
      </c>
      <c r="AN205" s="16">
        <f>IF(OR(T205=regle!$J$11,T205=regle!$K$11),-2,IF(T205=regle!$B$11,0,IF(AN$1=$AK$1,IF($O205,-1,regle!$B$2-$M205),IF(AM205=-1,-1,AM205+1))))</f>
        <v>12</v>
      </c>
      <c r="AO205" s="16">
        <f>IF(OR(U205=regle!$J$11,U205=regle!$K$11),-2,IF(U205=regle!$B$11,0,IF(AO$1=$AK$1,IF($O205,-1,regle!$B$2-$M205),IF(AN205=-1,-1,AN205+1))))</f>
        <v>13</v>
      </c>
      <c r="AP205" s="16">
        <f>IF(OR(V205=regle!$J$11,V205=regle!$K$11),-2,IF(V205=regle!$B$11,0,IF(AP$1=$AK$1,IF($O205,-1,regle!$B$2-$M205),IF(AO205=-1,-1,AO205+1))))</f>
        <v>14</v>
      </c>
      <c r="AQ205" s="16">
        <f>IF(OR(W205=regle!$J$11,W205=regle!$K$11),-2,IF(W205=regle!$B$11,0,IF(AQ$1=$AK$1,IF($O205,-1,regle!$B$2-$M205),IF(AP205=-1,-1,AP205+1))))</f>
        <v>15</v>
      </c>
      <c r="AR205" s="16">
        <f>IF(OR(X205=regle!$J$11,X205=regle!$K$11),-2,IF(X205=regle!$B$11,0,IF(AR$1=$AK$1,IF($O205,-1,regle!$B$2-$M205),IF(AQ205=-1,-1,AQ205+1))))</f>
        <v>16</v>
      </c>
      <c r="AS205" s="16">
        <f>IF(OR(Y205=regle!$J$11,Y205=regle!$K$11),-2,IF(Y205=regle!$B$11,0,IF(AS$1=$AK$1,IF($O205,-1,regle!$B$2-$M205),IF(AR205=-1,-1,AR205+1))))</f>
        <v>17</v>
      </c>
      <c r="AT205" s="16">
        <f>IF(OR(Z205=regle!$J$11,Z205=regle!$K$11),-2,IF(Z205=regle!$B$11,0,IF(AT$1=$AK$1,IF($O205,-1,regle!$B$2-$M205),IF(AS205=-1,-1,AS205+1))))</f>
        <v>18</v>
      </c>
    </row>
    <row r="206" spans="1:46" x14ac:dyDescent="0.25">
      <c r="A206" t="b">
        <f>modif1!A206</f>
        <v>1</v>
      </c>
      <c r="B206">
        <f>ROW(modif1!B206)</f>
        <v>206</v>
      </c>
      <c r="C206" t="str">
        <f>modif1!C209</f>
        <v>536</v>
      </c>
      <c r="D206" t="str">
        <f>modif1!D206</f>
        <v>HOSTENS</v>
      </c>
      <c r="E206">
        <f>modif1!E206</f>
        <v>8</v>
      </c>
      <c r="F206" t="str">
        <f>modif1!F206</f>
        <v>LES BECS</v>
      </c>
      <c r="G206" t="str">
        <f>modif1!G206</f>
        <v>0B</v>
      </c>
      <c r="H206">
        <f>modif1!H206</f>
        <v>1213</v>
      </c>
      <c r="I206" t="str">
        <f>modif1!I206</f>
        <v>m</v>
      </c>
      <c r="J206" s="11">
        <f>modif1!J206</f>
        <v>3.9E-2</v>
      </c>
      <c r="K206" t="str">
        <f>modif1!K206</f>
        <v>PLA</v>
      </c>
      <c r="L206" t="str">
        <f>modif1!L206</f>
        <v>PM</v>
      </c>
      <c r="M206">
        <f>modif1!M206</f>
        <v>2015</v>
      </c>
      <c r="N206" t="str">
        <f>modif1!N206</f>
        <v>PLA-PM_2015</v>
      </c>
      <c r="O206" t="b">
        <f>modif1!O206</f>
        <v>0</v>
      </c>
      <c r="P206">
        <v>40</v>
      </c>
      <c r="T206" t="s">
        <v>1803</v>
      </c>
      <c r="Y206" s="22"/>
      <c r="Z206" t="s">
        <v>1804</v>
      </c>
      <c r="AA206" s="17">
        <f>IF($A206,$J206*(IF(Q206=regle!$B$11,regle!$B$23*IF(AJ206=-2,1+regle!$B$35,1),
IF(Q206=regle!$C$11,regle!$C$23,
IF(Q206=regle!$D$11,regle!$D$23,
IF(Q206=regle!$E$11,regle!$E$23,
IF(Q206=regle!$F$11,regle!$F$23,
IF(Q206=regle!$G$11,regle!$G$23,
IF(Q206=regle!$H$11,regle!$H$23,
IF(Q206=regle!$I$11,regle!$I$23,
IF(Q206=regle!$J$11,regle!$J$23,
IF(Q206=regle!$K$11,regle!$K$23,0))))))))))))</f>
        <v>0</v>
      </c>
      <c r="AB206" s="17">
        <f>IF($A206,$J206*(IF(R206=regle!$B$11,regle!$B$23*IF(AK206=-2,1+regle!$B$35,1),
IF(R206=regle!$C$11,regle!$C$23,
IF(R206=regle!$D$11,regle!$D$23,
IF(R206=regle!$E$11,regle!$E$23,
IF(R206=regle!$F$11,regle!$F$23,
IF(R206=regle!$G$11,regle!$G$23,
IF(R206=regle!$H$11,regle!$H$23,
IF(R206=regle!$I$11,regle!$I$23,
IF(R206=regle!$J$11,regle!$J$23,
IF(R206=regle!$K$11,regle!$K$23,0))))))))))))</f>
        <v>0</v>
      </c>
      <c r="AC206" s="17">
        <f>IF($A206,$J206*(IF(S206=regle!$B$11,regle!$B$23*IF(AL206=-2,1+regle!$B$35,1),
IF(S206=regle!$C$11,regle!$C$23,
IF(S206=regle!$D$11,regle!$D$23,
IF(S206=regle!$E$11,regle!$E$23,
IF(S206=regle!$F$11,regle!$F$23,
IF(S206=regle!$G$11,regle!$G$23,
IF(S206=regle!$H$11,regle!$H$23,
IF(S206=regle!$I$11,regle!$I$23,
IF(S206=regle!$J$11,regle!$J$23,
IF(S206=regle!$K$11,regle!$K$23,0))))))))))))</f>
        <v>0</v>
      </c>
      <c r="AD206" s="17">
        <f>IF($A206,$J206*(IF(T206=regle!$B$11,regle!$B$23*IF(AM206=-2,1+regle!$B$35,1),
IF(T206=regle!$C$11,regle!$C$23,
IF(T206=regle!$D$11,regle!$D$23,
IF(T206=regle!$E$11,regle!$E$23,
IF(T206=regle!$F$11,regle!$F$23,
IF(T206=regle!$G$11,regle!$G$23,
IF(T206=regle!$H$11,regle!$H$23,
IF(T206=regle!$I$11,regle!$I$23,
IF(T206=regle!$J$11,regle!$J$23,
IF(T206=regle!$K$11,regle!$K$23,0))))))))))))</f>
        <v>22.463999999999999</v>
      </c>
      <c r="AE206" s="17">
        <f>IF($A206,$J206*(IF(U206=regle!$B$11,regle!$B$23*IF(AN206=-2,1+regle!$B$35,1),
IF(U206=regle!$C$11,regle!$C$23,
IF(U206=regle!$D$11,regle!$D$23,
IF(U206=regle!$E$11,regle!$E$23,
IF(U206=regle!$F$11,regle!$F$23,
IF(U206=regle!$G$11,regle!$G$23,
IF(U206=regle!$H$11,regle!$H$23,
IF(U206=regle!$I$11,regle!$I$23,
IF(U206=regle!$J$11,regle!$J$23,
IF(U206=regle!$K$11,regle!$K$23,0))))))))))))</f>
        <v>0</v>
      </c>
      <c r="AF206" s="17">
        <f>IF($A206,$J206*(IF(V206=regle!$B$11,regle!$B$23*IF(AO206=-2,1+regle!$B$35,1),
IF(V206=regle!$C$11,regle!$C$23,
IF(V206=regle!$D$11,regle!$D$23,
IF(V206=regle!$E$11,regle!$E$23,
IF(V206=regle!$F$11,regle!$F$23,
IF(V206=regle!$G$11,regle!$G$23,
IF(V206=regle!$H$11,regle!$H$23,
IF(V206=regle!$I$11,regle!$I$23,
IF(V206=regle!$J$11,regle!$J$23,
IF(V206=regle!$K$11,regle!$K$23,0))))))))))))</f>
        <v>0</v>
      </c>
      <c r="AG206" s="17">
        <f>IF($A206,$J206*(IF(W206=regle!$B$11,regle!$B$23*IF(AP206=-2,1+regle!$B$35,1),
IF(W206=regle!$C$11,regle!$C$23,
IF(W206=regle!$D$11,regle!$D$23,
IF(W206=regle!$E$11,regle!$E$23,
IF(W206=regle!$F$11,regle!$F$23,
IF(W206=regle!$G$11,regle!$G$23,
IF(W206=regle!$H$11,regle!$H$23,
IF(W206=regle!$I$11,regle!$I$23,
IF(W206=regle!$J$11,regle!$J$23,
IF(W206=regle!$K$11,regle!$K$23,0))))))))))))</f>
        <v>0</v>
      </c>
      <c r="AH206" s="17">
        <f>IF($A206,$J206*(IF(X206=regle!$B$11,regle!$B$23*IF(AQ206=-2,1+regle!$B$35,1),
IF(X206=regle!$C$11,regle!$C$23,
IF(X206=regle!$D$11,regle!$D$23,
IF(X206=regle!$E$11,regle!$E$23,
IF(X206=regle!$F$11,regle!$F$23,
IF(X206=regle!$G$11,regle!$G$23,
IF(X206=regle!$H$11,regle!$H$23,
IF(X206=regle!$I$11,regle!$I$23,
IF(X206=regle!$J$11,regle!$J$23,
IF(X206=regle!$K$11,regle!$K$23,0))))))))))))</f>
        <v>0</v>
      </c>
      <c r="AI206" s="17">
        <f>IF($A206,$J206*(IF(Y206=regle!$B$11,regle!$B$23*IF(AR206=-2,1+regle!$B$35,1),
IF(Y206=regle!$C$11,regle!$C$23,
IF(Y206=regle!$D$11,regle!$D$23,
IF(Y206=regle!$E$11,regle!$E$23,
IF(Y206=regle!$F$11,regle!$F$23,
IF(Y206=regle!$G$11,regle!$G$23,
IF(Y206=regle!$H$11,regle!$H$23,
IF(Y206=regle!$I$11,regle!$I$23,
IF(Y206=regle!$J$11,regle!$J$23,
IF(Y206=regle!$K$11,regle!$K$23,0))))))))))))</f>
        <v>0</v>
      </c>
      <c r="AJ206" s="17">
        <f>IF($A206,$J206*(IF(Z206=regle!$B$11,regle!$B$23*IF(AS206=-2,1+regle!$B$35,1),
IF(Z206=regle!$C$11,regle!$C$23,
IF(Z206=regle!$D$11,regle!$D$23,
IF(Z206=regle!$E$11,regle!$E$23,
IF(Z206=regle!$F$11,regle!$F$23,
IF(Z206=regle!$G$11,regle!$G$23,
IF(Z206=regle!$H$11,regle!$H$23,
IF(Z206=regle!$I$11,regle!$I$23,
IF(Z206=regle!$J$11,regle!$J$23,
IF(Z206=regle!$K$11,regle!$K$23,0))))))))))))</f>
        <v>32.76</v>
      </c>
      <c r="AK206" s="16">
        <f>IF(OR(Q206=regle!$J$11,Q206=regle!$K$11),-2,IF(Q206=regle!$B$11,0,IF(AK$1=$AK$1,IF($O206,-1,regle!$B$2-$M206),IF(AJ206=-1,-1,AJ206+1))))</f>
        <v>9</v>
      </c>
      <c r="AL206" s="16">
        <f>IF(OR(R206=regle!$J$11,R206=regle!$K$11),-2,IF(R206=regle!$B$11,0,IF(AL$1=$AK$1,IF($O206,-1,regle!$B$2-$M206),IF(AK206=-1,-1,AK206+1))))</f>
        <v>10</v>
      </c>
      <c r="AM206" s="16">
        <f>IF(OR(S206=regle!$J$11,S206=regle!$K$11),-2,IF(S206=regle!$B$11,0,IF(AM$1=$AK$1,IF($O206,-1,regle!$B$2-$M206),IF(AL206=-1,-1,AL206+1))))</f>
        <v>11</v>
      </c>
      <c r="AN206" s="16">
        <f>IF(OR(T206=regle!$J$11,T206=regle!$K$11),-2,IF(T206=regle!$B$11,0,IF(AN$1=$AK$1,IF($O206,-1,regle!$B$2-$M206),IF(AM206=-1,-1,AM206+1))))</f>
        <v>12</v>
      </c>
      <c r="AO206" s="16">
        <f>IF(OR(U206=regle!$J$11,U206=regle!$K$11),-2,IF(U206=regle!$B$11,0,IF(AO$1=$AK$1,IF($O206,-1,regle!$B$2-$M206),IF(AN206=-1,-1,AN206+1))))</f>
        <v>13</v>
      </c>
      <c r="AP206" s="16">
        <f>IF(OR(V206=regle!$J$11,V206=regle!$K$11),-2,IF(V206=regle!$B$11,0,IF(AP$1=$AK$1,IF($O206,-1,regle!$B$2-$M206),IF(AO206=-1,-1,AO206+1))))</f>
        <v>14</v>
      </c>
      <c r="AQ206" s="16">
        <f>IF(OR(W206=regle!$J$11,W206=regle!$K$11),-2,IF(W206=regle!$B$11,0,IF(AQ$1=$AK$1,IF($O206,-1,regle!$B$2-$M206),IF(AP206=-1,-1,AP206+1))))</f>
        <v>15</v>
      </c>
      <c r="AR206" s="16">
        <f>IF(OR(X206=regle!$J$11,X206=regle!$K$11),-2,IF(X206=regle!$B$11,0,IF(AR$1=$AK$1,IF($O206,-1,regle!$B$2-$M206),IF(AQ206=-1,-1,AQ206+1))))</f>
        <v>16</v>
      </c>
      <c r="AS206" s="16">
        <f>IF(OR(Y206=regle!$J$11,Y206=regle!$K$11),-2,IF(Y206=regle!$B$11,0,IF(AS$1=$AK$1,IF($O206,-1,regle!$B$2-$M206),IF(AR206=-1,-1,AR206+1))))</f>
        <v>17</v>
      </c>
      <c r="AT206" s="16">
        <f>IF(OR(Z206=regle!$J$11,Z206=regle!$K$11),-2,IF(Z206=regle!$B$11,0,IF(AT$1=$AK$1,IF($O206,-1,regle!$B$2-$M206),IF(AS206=-1,-1,AS206+1))))</f>
        <v>18</v>
      </c>
    </row>
    <row r="207" spans="1:46" x14ac:dyDescent="0.25">
      <c r="A207" t="b">
        <f>modif1!A207</f>
        <v>1</v>
      </c>
      <c r="B207">
        <f>ROW(modif1!B207)</f>
        <v>207</v>
      </c>
      <c r="C207" t="str">
        <f>modif1!C210</f>
        <v>200</v>
      </c>
      <c r="D207" t="str">
        <f>modif1!D207</f>
        <v>HOSTENS</v>
      </c>
      <c r="E207">
        <f>modif1!E207</f>
        <v>11</v>
      </c>
      <c r="F207" t="str">
        <f>modif1!F207</f>
        <v>LES CAZALAS</v>
      </c>
      <c r="G207" t="str">
        <f>modif1!G207</f>
        <v>0B</v>
      </c>
      <c r="H207">
        <f>modif1!H207</f>
        <v>1199</v>
      </c>
      <c r="I207" t="str">
        <f>modif1!I207</f>
        <v>k</v>
      </c>
      <c r="J207" s="11">
        <f>modif1!J207</f>
        <v>2.2599999999999999E-2</v>
      </c>
      <c r="K207" t="str">
        <f>modif1!K207</f>
        <v>PLA</v>
      </c>
      <c r="L207" t="str">
        <f>modif1!L207</f>
        <v>PM</v>
      </c>
      <c r="M207">
        <f>modif1!M207</f>
        <v>2015</v>
      </c>
      <c r="N207" t="str">
        <f>modif1!N207</f>
        <v>PLA-PM_2015</v>
      </c>
      <c r="O207" t="b">
        <f>modif1!O207</f>
        <v>0</v>
      </c>
      <c r="P207">
        <v>40</v>
      </c>
      <c r="T207" t="s">
        <v>1803</v>
      </c>
      <c r="Y207" s="22"/>
      <c r="Z207" t="s">
        <v>1804</v>
      </c>
      <c r="AA207" s="17">
        <f>IF($A207,$J207*(IF(Q207=regle!$B$11,regle!$B$23*IF(AJ207=-2,1+regle!$B$35,1),
IF(Q207=regle!$C$11,regle!$C$23,
IF(Q207=regle!$D$11,regle!$D$23,
IF(Q207=regle!$E$11,regle!$E$23,
IF(Q207=regle!$F$11,regle!$F$23,
IF(Q207=regle!$G$11,regle!$G$23,
IF(Q207=regle!$H$11,regle!$H$23,
IF(Q207=regle!$I$11,regle!$I$23,
IF(Q207=regle!$J$11,regle!$J$23,
IF(Q207=regle!$K$11,regle!$K$23,0))))))))))))</f>
        <v>0</v>
      </c>
      <c r="AB207" s="17">
        <f>IF($A207,$J207*(IF(R207=regle!$B$11,regle!$B$23*IF(AK207=-2,1+regle!$B$35,1),
IF(R207=regle!$C$11,regle!$C$23,
IF(R207=regle!$D$11,regle!$D$23,
IF(R207=regle!$E$11,regle!$E$23,
IF(R207=regle!$F$11,regle!$F$23,
IF(R207=regle!$G$11,regle!$G$23,
IF(R207=regle!$H$11,regle!$H$23,
IF(R207=regle!$I$11,regle!$I$23,
IF(R207=regle!$J$11,regle!$J$23,
IF(R207=regle!$K$11,regle!$K$23,0))))))))))))</f>
        <v>0</v>
      </c>
      <c r="AC207" s="17">
        <f>IF($A207,$J207*(IF(S207=regle!$B$11,regle!$B$23*IF(AL207=-2,1+regle!$B$35,1),
IF(S207=regle!$C$11,regle!$C$23,
IF(S207=regle!$D$11,regle!$D$23,
IF(S207=regle!$E$11,regle!$E$23,
IF(S207=regle!$F$11,regle!$F$23,
IF(S207=regle!$G$11,regle!$G$23,
IF(S207=regle!$H$11,regle!$H$23,
IF(S207=regle!$I$11,regle!$I$23,
IF(S207=regle!$J$11,regle!$J$23,
IF(S207=regle!$K$11,regle!$K$23,0))))))))))))</f>
        <v>0</v>
      </c>
      <c r="AD207" s="17">
        <f>IF($A207,$J207*(IF(T207=regle!$B$11,regle!$B$23*IF(AM207=-2,1+regle!$B$35,1),
IF(T207=regle!$C$11,regle!$C$23,
IF(T207=regle!$D$11,regle!$D$23,
IF(T207=regle!$E$11,regle!$E$23,
IF(T207=regle!$F$11,regle!$F$23,
IF(T207=regle!$G$11,regle!$G$23,
IF(T207=regle!$H$11,regle!$H$23,
IF(T207=regle!$I$11,regle!$I$23,
IF(T207=regle!$J$11,regle!$J$23,
IF(T207=regle!$K$11,regle!$K$23,0))))))))))))</f>
        <v>13.0176</v>
      </c>
      <c r="AE207" s="17">
        <f>IF($A207,$J207*(IF(U207=regle!$B$11,regle!$B$23*IF(AN207=-2,1+regle!$B$35,1),
IF(U207=regle!$C$11,regle!$C$23,
IF(U207=regle!$D$11,regle!$D$23,
IF(U207=regle!$E$11,regle!$E$23,
IF(U207=regle!$F$11,regle!$F$23,
IF(U207=regle!$G$11,regle!$G$23,
IF(U207=regle!$H$11,regle!$H$23,
IF(U207=regle!$I$11,regle!$I$23,
IF(U207=regle!$J$11,regle!$J$23,
IF(U207=regle!$K$11,regle!$K$23,0))))))))))))</f>
        <v>0</v>
      </c>
      <c r="AF207" s="17">
        <f>IF($A207,$J207*(IF(V207=regle!$B$11,regle!$B$23*IF(AO207=-2,1+regle!$B$35,1),
IF(V207=regle!$C$11,regle!$C$23,
IF(V207=regle!$D$11,regle!$D$23,
IF(V207=regle!$E$11,regle!$E$23,
IF(V207=regle!$F$11,regle!$F$23,
IF(V207=regle!$G$11,regle!$G$23,
IF(V207=regle!$H$11,regle!$H$23,
IF(V207=regle!$I$11,regle!$I$23,
IF(V207=regle!$J$11,regle!$J$23,
IF(V207=regle!$K$11,regle!$K$23,0))))))))))))</f>
        <v>0</v>
      </c>
      <c r="AG207" s="17">
        <f>IF($A207,$J207*(IF(W207=regle!$B$11,regle!$B$23*IF(AP207=-2,1+regle!$B$35,1),
IF(W207=regle!$C$11,regle!$C$23,
IF(W207=regle!$D$11,regle!$D$23,
IF(W207=regle!$E$11,regle!$E$23,
IF(W207=regle!$F$11,regle!$F$23,
IF(W207=regle!$G$11,regle!$G$23,
IF(W207=regle!$H$11,regle!$H$23,
IF(W207=regle!$I$11,regle!$I$23,
IF(W207=regle!$J$11,regle!$J$23,
IF(W207=regle!$K$11,regle!$K$23,0))))))))))))</f>
        <v>0</v>
      </c>
      <c r="AH207" s="17">
        <f>IF($A207,$J207*(IF(X207=regle!$B$11,regle!$B$23*IF(AQ207=-2,1+regle!$B$35,1),
IF(X207=regle!$C$11,regle!$C$23,
IF(X207=regle!$D$11,regle!$D$23,
IF(X207=regle!$E$11,regle!$E$23,
IF(X207=regle!$F$11,regle!$F$23,
IF(X207=regle!$G$11,regle!$G$23,
IF(X207=regle!$H$11,regle!$H$23,
IF(X207=regle!$I$11,regle!$I$23,
IF(X207=regle!$J$11,regle!$J$23,
IF(X207=regle!$K$11,regle!$K$23,0))))))))))))</f>
        <v>0</v>
      </c>
      <c r="AI207" s="17">
        <f>IF($A207,$J207*(IF(Y207=regle!$B$11,regle!$B$23*IF(AR207=-2,1+regle!$B$35,1),
IF(Y207=regle!$C$11,regle!$C$23,
IF(Y207=regle!$D$11,regle!$D$23,
IF(Y207=regle!$E$11,regle!$E$23,
IF(Y207=regle!$F$11,regle!$F$23,
IF(Y207=regle!$G$11,regle!$G$23,
IF(Y207=regle!$H$11,regle!$H$23,
IF(Y207=regle!$I$11,regle!$I$23,
IF(Y207=regle!$J$11,regle!$J$23,
IF(Y207=regle!$K$11,regle!$K$23,0))))))))))))</f>
        <v>0</v>
      </c>
      <c r="AJ207" s="17">
        <f>IF($A207,$J207*(IF(Z207=regle!$B$11,regle!$B$23*IF(AS207=-2,1+regle!$B$35,1),
IF(Z207=regle!$C$11,regle!$C$23,
IF(Z207=regle!$D$11,regle!$D$23,
IF(Z207=regle!$E$11,regle!$E$23,
IF(Z207=regle!$F$11,regle!$F$23,
IF(Z207=regle!$G$11,regle!$G$23,
IF(Z207=regle!$H$11,regle!$H$23,
IF(Z207=regle!$I$11,regle!$I$23,
IF(Z207=regle!$J$11,regle!$J$23,
IF(Z207=regle!$K$11,regle!$K$23,0))))))))))))</f>
        <v>18.983999999999998</v>
      </c>
      <c r="AK207" s="16">
        <f>IF(OR(Q207=regle!$J$11,Q207=regle!$K$11),-2,IF(Q207=regle!$B$11,0,IF(AK$1=$AK$1,IF($O207,-1,regle!$B$2-$M207),IF(AJ207=-1,-1,AJ207+1))))</f>
        <v>9</v>
      </c>
      <c r="AL207" s="16">
        <f>IF(OR(R207=regle!$J$11,R207=regle!$K$11),-2,IF(R207=regle!$B$11,0,IF(AL$1=$AK$1,IF($O207,-1,regle!$B$2-$M207),IF(AK207=-1,-1,AK207+1))))</f>
        <v>10</v>
      </c>
      <c r="AM207" s="16">
        <f>IF(OR(S207=regle!$J$11,S207=regle!$K$11),-2,IF(S207=regle!$B$11,0,IF(AM$1=$AK$1,IF($O207,-1,regle!$B$2-$M207),IF(AL207=-1,-1,AL207+1))))</f>
        <v>11</v>
      </c>
      <c r="AN207" s="16">
        <f>IF(OR(T207=regle!$J$11,T207=regle!$K$11),-2,IF(T207=regle!$B$11,0,IF(AN$1=$AK$1,IF($O207,-1,regle!$B$2-$M207),IF(AM207=-1,-1,AM207+1))))</f>
        <v>12</v>
      </c>
      <c r="AO207" s="16">
        <f>IF(OR(U207=regle!$J$11,U207=regle!$K$11),-2,IF(U207=regle!$B$11,0,IF(AO$1=$AK$1,IF($O207,-1,regle!$B$2-$M207),IF(AN207=-1,-1,AN207+1))))</f>
        <v>13</v>
      </c>
      <c r="AP207" s="16">
        <f>IF(OR(V207=regle!$J$11,V207=regle!$K$11),-2,IF(V207=regle!$B$11,0,IF(AP$1=$AK$1,IF($O207,-1,regle!$B$2-$M207),IF(AO207=-1,-1,AO207+1))))</f>
        <v>14</v>
      </c>
      <c r="AQ207" s="16">
        <f>IF(OR(W207=regle!$J$11,W207=regle!$K$11),-2,IF(W207=regle!$B$11,0,IF(AQ$1=$AK$1,IF($O207,-1,regle!$B$2-$M207),IF(AP207=-1,-1,AP207+1))))</f>
        <v>15</v>
      </c>
      <c r="AR207" s="16">
        <f>IF(OR(X207=regle!$J$11,X207=regle!$K$11),-2,IF(X207=regle!$B$11,0,IF(AR$1=$AK$1,IF($O207,-1,regle!$B$2-$M207),IF(AQ207=-1,-1,AQ207+1))))</f>
        <v>16</v>
      </c>
      <c r="AS207" s="16">
        <f>IF(OR(Y207=regle!$J$11,Y207=regle!$K$11),-2,IF(Y207=regle!$B$11,0,IF(AS$1=$AK$1,IF($O207,-1,regle!$B$2-$M207),IF(AR207=-1,-1,AR207+1))))</f>
        <v>17</v>
      </c>
      <c r="AT207" s="16">
        <f>IF(OR(Z207=regle!$J$11,Z207=regle!$K$11),-2,IF(Z207=regle!$B$11,0,IF(AT$1=$AK$1,IF($O207,-1,regle!$B$2-$M207),IF(AS207=-1,-1,AS207+1))))</f>
        <v>18</v>
      </c>
    </row>
    <row r="208" spans="1:46" x14ac:dyDescent="0.25">
      <c r="A208" t="b">
        <f>modif1!A208</f>
        <v>1</v>
      </c>
      <c r="B208">
        <f>ROW(modif1!B208)</f>
        <v>208</v>
      </c>
      <c r="C208" t="str">
        <f>modif1!C211</f>
        <v>536</v>
      </c>
      <c r="D208" t="str">
        <f>modif1!D208</f>
        <v>CABANAC-ET-VILLAGRAINS</v>
      </c>
      <c r="E208">
        <f>modif1!E208</f>
        <v>13</v>
      </c>
      <c r="F208" t="str">
        <f>modif1!F208</f>
        <v>LAGUNE LONGUE</v>
      </c>
      <c r="G208" t="str">
        <f>modif1!G208</f>
        <v>0D</v>
      </c>
      <c r="H208">
        <f>modif1!H208</f>
        <v>1507</v>
      </c>
      <c r="I208" t="str">
        <f>modif1!I208</f>
        <v/>
      </c>
      <c r="J208" s="11">
        <f>modif1!J208</f>
        <v>2.24E-2</v>
      </c>
      <c r="K208" t="str">
        <f>modif1!K208</f>
        <v>PLA</v>
      </c>
      <c r="L208" t="str">
        <f>modif1!L208</f>
        <v>PM</v>
      </c>
      <c r="M208">
        <f>modif1!M208</f>
        <v>2015</v>
      </c>
      <c r="N208" t="str">
        <f>modif1!N208</f>
        <v>PLA-PM_2015</v>
      </c>
      <c r="O208" t="b">
        <f>modif1!O208</f>
        <v>0</v>
      </c>
      <c r="P208">
        <v>40</v>
      </c>
      <c r="T208" t="s">
        <v>1803</v>
      </c>
      <c r="Y208" s="22"/>
      <c r="Z208" t="s">
        <v>1804</v>
      </c>
      <c r="AA208" s="17">
        <f>IF($A208,$J208*(IF(Q208=regle!$B$11,regle!$B$23*IF(AJ208=-2,1+regle!$B$35,1),
IF(Q208=regle!$C$11,regle!$C$23,
IF(Q208=regle!$D$11,regle!$D$23,
IF(Q208=regle!$E$11,regle!$E$23,
IF(Q208=regle!$F$11,regle!$F$23,
IF(Q208=regle!$G$11,regle!$G$23,
IF(Q208=regle!$H$11,regle!$H$23,
IF(Q208=regle!$I$11,regle!$I$23,
IF(Q208=regle!$J$11,regle!$J$23,
IF(Q208=regle!$K$11,regle!$K$23,0))))))))))))</f>
        <v>0</v>
      </c>
      <c r="AB208" s="17">
        <f>IF($A208,$J208*(IF(R208=regle!$B$11,regle!$B$23*IF(AK208=-2,1+regle!$B$35,1),
IF(R208=regle!$C$11,regle!$C$23,
IF(R208=regle!$D$11,regle!$D$23,
IF(R208=regle!$E$11,regle!$E$23,
IF(R208=regle!$F$11,regle!$F$23,
IF(R208=regle!$G$11,regle!$G$23,
IF(R208=regle!$H$11,regle!$H$23,
IF(R208=regle!$I$11,regle!$I$23,
IF(R208=regle!$J$11,regle!$J$23,
IF(R208=regle!$K$11,regle!$K$23,0))))))))))))</f>
        <v>0</v>
      </c>
      <c r="AC208" s="17">
        <f>IF($A208,$J208*(IF(S208=regle!$B$11,regle!$B$23*IF(AL208=-2,1+regle!$B$35,1),
IF(S208=regle!$C$11,regle!$C$23,
IF(S208=regle!$D$11,regle!$D$23,
IF(S208=regle!$E$11,regle!$E$23,
IF(S208=regle!$F$11,regle!$F$23,
IF(S208=regle!$G$11,regle!$G$23,
IF(S208=regle!$H$11,regle!$H$23,
IF(S208=regle!$I$11,regle!$I$23,
IF(S208=regle!$J$11,regle!$J$23,
IF(S208=regle!$K$11,regle!$K$23,0))))))))))))</f>
        <v>0</v>
      </c>
      <c r="AD208" s="17">
        <f>IF($A208,$J208*(IF(T208=regle!$B$11,regle!$B$23*IF(AM208=-2,1+regle!$B$35,1),
IF(T208=regle!$C$11,regle!$C$23,
IF(T208=regle!$D$11,regle!$D$23,
IF(T208=regle!$E$11,regle!$E$23,
IF(T208=regle!$F$11,regle!$F$23,
IF(T208=regle!$G$11,regle!$G$23,
IF(T208=regle!$H$11,regle!$H$23,
IF(T208=regle!$I$11,regle!$I$23,
IF(T208=regle!$J$11,regle!$J$23,
IF(T208=regle!$K$11,regle!$K$23,0))))))))))))</f>
        <v>12.9024</v>
      </c>
      <c r="AE208" s="17">
        <f>IF($A208,$J208*(IF(U208=regle!$B$11,regle!$B$23*IF(AN208=-2,1+regle!$B$35,1),
IF(U208=regle!$C$11,regle!$C$23,
IF(U208=regle!$D$11,regle!$D$23,
IF(U208=regle!$E$11,regle!$E$23,
IF(U208=regle!$F$11,regle!$F$23,
IF(U208=regle!$G$11,regle!$G$23,
IF(U208=regle!$H$11,regle!$H$23,
IF(U208=regle!$I$11,regle!$I$23,
IF(U208=regle!$J$11,regle!$J$23,
IF(U208=regle!$K$11,regle!$K$23,0))))))))))))</f>
        <v>0</v>
      </c>
      <c r="AF208" s="17">
        <f>IF($A208,$J208*(IF(V208=regle!$B$11,regle!$B$23*IF(AO208=-2,1+regle!$B$35,1),
IF(V208=regle!$C$11,regle!$C$23,
IF(V208=regle!$D$11,regle!$D$23,
IF(V208=regle!$E$11,regle!$E$23,
IF(V208=regle!$F$11,regle!$F$23,
IF(V208=regle!$G$11,regle!$G$23,
IF(V208=regle!$H$11,regle!$H$23,
IF(V208=regle!$I$11,regle!$I$23,
IF(V208=regle!$J$11,regle!$J$23,
IF(V208=regle!$K$11,regle!$K$23,0))))))))))))</f>
        <v>0</v>
      </c>
      <c r="AG208" s="17">
        <f>IF($A208,$J208*(IF(W208=regle!$B$11,regle!$B$23*IF(AP208=-2,1+regle!$B$35,1),
IF(W208=regle!$C$11,regle!$C$23,
IF(W208=regle!$D$11,regle!$D$23,
IF(W208=regle!$E$11,regle!$E$23,
IF(W208=regle!$F$11,regle!$F$23,
IF(W208=regle!$G$11,regle!$G$23,
IF(W208=regle!$H$11,regle!$H$23,
IF(W208=regle!$I$11,regle!$I$23,
IF(W208=regle!$J$11,regle!$J$23,
IF(W208=regle!$K$11,regle!$K$23,0))))))))))))</f>
        <v>0</v>
      </c>
      <c r="AH208" s="17">
        <f>IF($A208,$J208*(IF(X208=regle!$B$11,regle!$B$23*IF(AQ208=-2,1+regle!$B$35,1),
IF(X208=regle!$C$11,regle!$C$23,
IF(X208=regle!$D$11,regle!$D$23,
IF(X208=regle!$E$11,regle!$E$23,
IF(X208=regle!$F$11,regle!$F$23,
IF(X208=regle!$G$11,regle!$G$23,
IF(X208=regle!$H$11,regle!$H$23,
IF(X208=regle!$I$11,regle!$I$23,
IF(X208=regle!$J$11,regle!$J$23,
IF(X208=regle!$K$11,regle!$K$23,0))))))))))))</f>
        <v>0</v>
      </c>
      <c r="AI208" s="17">
        <f>IF($A208,$J208*(IF(Y208=regle!$B$11,regle!$B$23*IF(AR208=-2,1+regle!$B$35,1),
IF(Y208=regle!$C$11,regle!$C$23,
IF(Y208=regle!$D$11,regle!$D$23,
IF(Y208=regle!$E$11,regle!$E$23,
IF(Y208=regle!$F$11,regle!$F$23,
IF(Y208=regle!$G$11,regle!$G$23,
IF(Y208=regle!$H$11,regle!$H$23,
IF(Y208=regle!$I$11,regle!$I$23,
IF(Y208=regle!$J$11,regle!$J$23,
IF(Y208=regle!$K$11,regle!$K$23,0))))))))))))</f>
        <v>0</v>
      </c>
      <c r="AJ208" s="17">
        <f>IF($A208,$J208*(IF(Z208=regle!$B$11,regle!$B$23*IF(AS208=-2,1+regle!$B$35,1),
IF(Z208=regle!$C$11,regle!$C$23,
IF(Z208=regle!$D$11,regle!$D$23,
IF(Z208=regle!$E$11,regle!$E$23,
IF(Z208=regle!$F$11,regle!$F$23,
IF(Z208=regle!$G$11,regle!$G$23,
IF(Z208=regle!$H$11,regle!$H$23,
IF(Z208=regle!$I$11,regle!$I$23,
IF(Z208=regle!$J$11,regle!$J$23,
IF(Z208=regle!$K$11,regle!$K$23,0))))))))))))</f>
        <v>18.815999999999999</v>
      </c>
      <c r="AK208" s="16">
        <f>IF(OR(Q208=regle!$J$11,Q208=regle!$K$11),-2,IF(Q208=regle!$B$11,0,IF(AK$1=$AK$1,IF($O208,-1,regle!$B$2-$M208),IF(AJ208=-1,-1,AJ208+1))))</f>
        <v>9</v>
      </c>
      <c r="AL208" s="16">
        <f>IF(OR(R208=regle!$J$11,R208=regle!$K$11),-2,IF(R208=regle!$B$11,0,IF(AL$1=$AK$1,IF($O208,-1,regle!$B$2-$M208),IF(AK208=-1,-1,AK208+1))))</f>
        <v>10</v>
      </c>
      <c r="AM208" s="16">
        <f>IF(OR(S208=regle!$J$11,S208=regle!$K$11),-2,IF(S208=regle!$B$11,0,IF(AM$1=$AK$1,IF($O208,-1,regle!$B$2-$M208),IF(AL208=-1,-1,AL208+1))))</f>
        <v>11</v>
      </c>
      <c r="AN208" s="16">
        <f>IF(OR(T208=regle!$J$11,T208=regle!$K$11),-2,IF(T208=regle!$B$11,0,IF(AN$1=$AK$1,IF($O208,-1,regle!$B$2-$M208),IF(AM208=-1,-1,AM208+1))))</f>
        <v>12</v>
      </c>
      <c r="AO208" s="16">
        <f>IF(OR(U208=regle!$J$11,U208=regle!$K$11),-2,IF(U208=regle!$B$11,0,IF(AO$1=$AK$1,IF($O208,-1,regle!$B$2-$M208),IF(AN208=-1,-1,AN208+1))))</f>
        <v>13</v>
      </c>
      <c r="AP208" s="16">
        <f>IF(OR(V208=regle!$J$11,V208=regle!$K$11),-2,IF(V208=regle!$B$11,0,IF(AP$1=$AK$1,IF($O208,-1,regle!$B$2-$M208),IF(AO208=-1,-1,AO208+1))))</f>
        <v>14</v>
      </c>
      <c r="AQ208" s="16">
        <f>IF(OR(W208=regle!$J$11,W208=regle!$K$11),-2,IF(W208=regle!$B$11,0,IF(AQ$1=$AK$1,IF($O208,-1,regle!$B$2-$M208),IF(AP208=-1,-1,AP208+1))))</f>
        <v>15</v>
      </c>
      <c r="AR208" s="16">
        <f>IF(OR(X208=regle!$J$11,X208=regle!$K$11),-2,IF(X208=regle!$B$11,0,IF(AR$1=$AK$1,IF($O208,-1,regle!$B$2-$M208),IF(AQ208=-1,-1,AQ208+1))))</f>
        <v>16</v>
      </c>
      <c r="AS208" s="16">
        <f>IF(OR(Y208=regle!$J$11,Y208=regle!$K$11),-2,IF(Y208=regle!$B$11,0,IF(AS$1=$AK$1,IF($O208,-1,regle!$B$2-$M208),IF(AR208=-1,-1,AR208+1))))</f>
        <v>17</v>
      </c>
      <c r="AT208" s="16">
        <f>IF(OR(Z208=regle!$J$11,Z208=regle!$K$11),-2,IF(Z208=regle!$B$11,0,IF(AT$1=$AK$1,IF($O208,-1,regle!$B$2-$M208),IF(AS208=-1,-1,AS208+1))))</f>
        <v>18</v>
      </c>
    </row>
    <row r="209" spans="1:46" x14ac:dyDescent="0.25">
      <c r="A209" t="b">
        <f>modif1!A209</f>
        <v>1</v>
      </c>
      <c r="B209">
        <f>ROW(modif1!B209)</f>
        <v>209</v>
      </c>
      <c r="C209" t="str">
        <f>modif1!C212</f>
        <v>200</v>
      </c>
      <c r="D209" t="str">
        <f>modif1!D209</f>
        <v>LE TUZAN</v>
      </c>
      <c r="E209">
        <f>modif1!E209</f>
        <v>21</v>
      </c>
      <c r="F209" t="str">
        <f>modif1!F209</f>
        <v>METAIRIES DE TABARTON</v>
      </c>
      <c r="G209" t="str">
        <f>modif1!G209</f>
        <v>0A</v>
      </c>
      <c r="H209">
        <f>modif1!H209</f>
        <v>525</v>
      </c>
      <c r="I209" t="str">
        <f>modif1!I209</f>
        <v/>
      </c>
      <c r="J209" s="11">
        <f>modif1!J209</f>
        <v>7.7000000000000002E-3</v>
      </c>
      <c r="K209" t="str">
        <f>modif1!K209</f>
        <v>PLA</v>
      </c>
      <c r="L209" t="str">
        <f>modif1!L209</f>
        <v>PM</v>
      </c>
      <c r="M209">
        <f>modif1!M209</f>
        <v>2015</v>
      </c>
      <c r="N209" t="str">
        <f>modif1!N209</f>
        <v>PLA-PM_2015</v>
      </c>
      <c r="O209" t="b">
        <f>modif1!O209</f>
        <v>0</v>
      </c>
      <c r="P209">
        <v>40</v>
      </c>
      <c r="T209" t="s">
        <v>1803</v>
      </c>
      <c r="Y209" s="22"/>
      <c r="Z209" t="s">
        <v>1804</v>
      </c>
      <c r="AA209" s="17">
        <f>IF($A209,$J209*(IF(Q209=regle!$B$11,regle!$B$23*IF(AJ209=-2,1+regle!$B$35,1),
IF(Q209=regle!$C$11,regle!$C$23,
IF(Q209=regle!$D$11,regle!$D$23,
IF(Q209=regle!$E$11,regle!$E$23,
IF(Q209=regle!$F$11,regle!$F$23,
IF(Q209=regle!$G$11,regle!$G$23,
IF(Q209=regle!$H$11,regle!$H$23,
IF(Q209=regle!$I$11,regle!$I$23,
IF(Q209=regle!$J$11,regle!$J$23,
IF(Q209=regle!$K$11,regle!$K$23,0))))))))))))</f>
        <v>0</v>
      </c>
      <c r="AB209" s="17">
        <f>IF($A209,$J209*(IF(R209=regle!$B$11,regle!$B$23*IF(AK209=-2,1+regle!$B$35,1),
IF(R209=regle!$C$11,regle!$C$23,
IF(R209=regle!$D$11,regle!$D$23,
IF(R209=regle!$E$11,regle!$E$23,
IF(R209=regle!$F$11,regle!$F$23,
IF(R209=regle!$G$11,regle!$G$23,
IF(R209=regle!$H$11,regle!$H$23,
IF(R209=regle!$I$11,regle!$I$23,
IF(R209=regle!$J$11,regle!$J$23,
IF(R209=regle!$K$11,regle!$K$23,0))))))))))))</f>
        <v>0</v>
      </c>
      <c r="AC209" s="17">
        <f>IF($A209,$J209*(IF(S209=regle!$B$11,regle!$B$23*IF(AL209=-2,1+regle!$B$35,1),
IF(S209=regle!$C$11,regle!$C$23,
IF(S209=regle!$D$11,regle!$D$23,
IF(S209=regle!$E$11,regle!$E$23,
IF(S209=regle!$F$11,regle!$F$23,
IF(S209=regle!$G$11,regle!$G$23,
IF(S209=regle!$H$11,regle!$H$23,
IF(S209=regle!$I$11,regle!$I$23,
IF(S209=regle!$J$11,regle!$J$23,
IF(S209=regle!$K$11,regle!$K$23,0))))))))))))</f>
        <v>0</v>
      </c>
      <c r="AD209" s="17">
        <f>IF($A209,$J209*(IF(T209=regle!$B$11,regle!$B$23*IF(AM209=-2,1+regle!$B$35,1),
IF(T209=regle!$C$11,regle!$C$23,
IF(T209=regle!$D$11,regle!$D$23,
IF(T209=regle!$E$11,regle!$E$23,
IF(T209=regle!$F$11,regle!$F$23,
IF(T209=regle!$G$11,regle!$G$23,
IF(T209=regle!$H$11,regle!$H$23,
IF(T209=regle!$I$11,regle!$I$23,
IF(T209=regle!$J$11,regle!$J$23,
IF(T209=regle!$K$11,regle!$K$23,0))))))))))))</f>
        <v>4.4352</v>
      </c>
      <c r="AE209" s="17">
        <f>IF($A209,$J209*(IF(U209=regle!$B$11,regle!$B$23*IF(AN209=-2,1+regle!$B$35,1),
IF(U209=regle!$C$11,regle!$C$23,
IF(U209=regle!$D$11,regle!$D$23,
IF(U209=regle!$E$11,regle!$E$23,
IF(U209=regle!$F$11,regle!$F$23,
IF(U209=regle!$G$11,regle!$G$23,
IF(U209=regle!$H$11,regle!$H$23,
IF(U209=regle!$I$11,regle!$I$23,
IF(U209=regle!$J$11,regle!$J$23,
IF(U209=regle!$K$11,regle!$K$23,0))))))))))))</f>
        <v>0</v>
      </c>
      <c r="AF209" s="17">
        <f>IF($A209,$J209*(IF(V209=regle!$B$11,regle!$B$23*IF(AO209=-2,1+regle!$B$35,1),
IF(V209=regle!$C$11,regle!$C$23,
IF(V209=regle!$D$11,regle!$D$23,
IF(V209=regle!$E$11,regle!$E$23,
IF(V209=regle!$F$11,regle!$F$23,
IF(V209=regle!$G$11,regle!$G$23,
IF(V209=regle!$H$11,regle!$H$23,
IF(V209=regle!$I$11,regle!$I$23,
IF(V209=regle!$J$11,regle!$J$23,
IF(V209=regle!$K$11,regle!$K$23,0))))))))))))</f>
        <v>0</v>
      </c>
      <c r="AG209" s="17">
        <f>IF($A209,$J209*(IF(W209=regle!$B$11,regle!$B$23*IF(AP209=-2,1+regle!$B$35,1),
IF(W209=regle!$C$11,regle!$C$23,
IF(W209=regle!$D$11,regle!$D$23,
IF(W209=regle!$E$11,regle!$E$23,
IF(W209=regle!$F$11,regle!$F$23,
IF(W209=regle!$G$11,regle!$G$23,
IF(W209=regle!$H$11,regle!$H$23,
IF(W209=regle!$I$11,regle!$I$23,
IF(W209=regle!$J$11,regle!$J$23,
IF(W209=regle!$K$11,regle!$K$23,0))))))))))))</f>
        <v>0</v>
      </c>
      <c r="AH209" s="17">
        <f>IF($A209,$J209*(IF(X209=regle!$B$11,regle!$B$23*IF(AQ209=-2,1+regle!$B$35,1),
IF(X209=regle!$C$11,regle!$C$23,
IF(X209=regle!$D$11,regle!$D$23,
IF(X209=regle!$E$11,regle!$E$23,
IF(X209=regle!$F$11,regle!$F$23,
IF(X209=regle!$G$11,regle!$G$23,
IF(X209=regle!$H$11,regle!$H$23,
IF(X209=regle!$I$11,regle!$I$23,
IF(X209=regle!$J$11,regle!$J$23,
IF(X209=regle!$K$11,regle!$K$23,0))))))))))))</f>
        <v>0</v>
      </c>
      <c r="AI209" s="17">
        <f>IF($A209,$J209*(IF(Y209=regle!$B$11,regle!$B$23*IF(AR209=-2,1+regle!$B$35,1),
IF(Y209=regle!$C$11,regle!$C$23,
IF(Y209=regle!$D$11,regle!$D$23,
IF(Y209=regle!$E$11,regle!$E$23,
IF(Y209=regle!$F$11,regle!$F$23,
IF(Y209=regle!$G$11,regle!$G$23,
IF(Y209=regle!$H$11,regle!$H$23,
IF(Y209=regle!$I$11,regle!$I$23,
IF(Y209=regle!$J$11,regle!$J$23,
IF(Y209=regle!$K$11,regle!$K$23,0))))))))))))</f>
        <v>0</v>
      </c>
      <c r="AJ209" s="17">
        <f>IF($A209,$J209*(IF(Z209=regle!$B$11,regle!$B$23*IF(AS209=-2,1+regle!$B$35,1),
IF(Z209=regle!$C$11,regle!$C$23,
IF(Z209=regle!$D$11,regle!$D$23,
IF(Z209=regle!$E$11,regle!$E$23,
IF(Z209=regle!$F$11,regle!$F$23,
IF(Z209=regle!$G$11,regle!$G$23,
IF(Z209=regle!$H$11,regle!$H$23,
IF(Z209=regle!$I$11,regle!$I$23,
IF(Z209=regle!$J$11,regle!$J$23,
IF(Z209=regle!$K$11,regle!$K$23,0))))))))))))</f>
        <v>6.468</v>
      </c>
      <c r="AK209" s="16">
        <f>IF(OR(Q209=regle!$J$11,Q209=regle!$K$11),-2,IF(Q209=regle!$B$11,0,IF(AK$1=$AK$1,IF($O209,-1,regle!$B$2-$M209),IF(AJ209=-1,-1,AJ209+1))))</f>
        <v>9</v>
      </c>
      <c r="AL209" s="16">
        <f>IF(OR(R209=regle!$J$11,R209=regle!$K$11),-2,IF(R209=regle!$B$11,0,IF(AL$1=$AK$1,IF($O209,-1,regle!$B$2-$M209),IF(AK209=-1,-1,AK209+1))))</f>
        <v>10</v>
      </c>
      <c r="AM209" s="16">
        <f>IF(OR(S209=regle!$J$11,S209=regle!$K$11),-2,IF(S209=regle!$B$11,0,IF(AM$1=$AK$1,IF($O209,-1,regle!$B$2-$M209),IF(AL209=-1,-1,AL209+1))))</f>
        <v>11</v>
      </c>
      <c r="AN209" s="16">
        <f>IF(OR(T209=regle!$J$11,T209=regle!$K$11),-2,IF(T209=regle!$B$11,0,IF(AN$1=$AK$1,IF($O209,-1,regle!$B$2-$M209),IF(AM209=-1,-1,AM209+1))))</f>
        <v>12</v>
      </c>
      <c r="AO209" s="16">
        <f>IF(OR(U209=regle!$J$11,U209=regle!$K$11),-2,IF(U209=regle!$B$11,0,IF(AO$1=$AK$1,IF($O209,-1,regle!$B$2-$M209),IF(AN209=-1,-1,AN209+1))))</f>
        <v>13</v>
      </c>
      <c r="AP209" s="16">
        <f>IF(OR(V209=regle!$J$11,V209=regle!$K$11),-2,IF(V209=regle!$B$11,0,IF(AP$1=$AK$1,IF($O209,-1,regle!$B$2-$M209),IF(AO209=-1,-1,AO209+1))))</f>
        <v>14</v>
      </c>
      <c r="AQ209" s="16">
        <f>IF(OR(W209=regle!$J$11,W209=regle!$K$11),-2,IF(W209=regle!$B$11,0,IF(AQ$1=$AK$1,IF($O209,-1,regle!$B$2-$M209),IF(AP209=-1,-1,AP209+1))))</f>
        <v>15</v>
      </c>
      <c r="AR209" s="16">
        <f>IF(OR(X209=regle!$J$11,X209=regle!$K$11),-2,IF(X209=regle!$B$11,0,IF(AR$1=$AK$1,IF($O209,-1,regle!$B$2-$M209),IF(AQ209=-1,-1,AQ209+1))))</f>
        <v>16</v>
      </c>
      <c r="AS209" s="16">
        <f>IF(OR(Y209=regle!$J$11,Y209=regle!$K$11),-2,IF(Y209=regle!$B$11,0,IF(AS$1=$AK$1,IF($O209,-1,regle!$B$2-$M209),IF(AR209=-1,-1,AR209+1))))</f>
        <v>17</v>
      </c>
      <c r="AT209" s="16">
        <f>IF(OR(Z209=regle!$J$11,Z209=regle!$K$11),-2,IF(Z209=regle!$B$11,0,IF(AT$1=$AK$1,IF($O209,-1,regle!$B$2-$M209),IF(AS209=-1,-1,AS209+1))))</f>
        <v>18</v>
      </c>
    </row>
    <row r="210" spans="1:46" x14ac:dyDescent="0.25">
      <c r="A210" t="b">
        <f>modif1!A210</f>
        <v>1</v>
      </c>
      <c r="B210">
        <f>ROW(modif1!B210)</f>
        <v>210</v>
      </c>
      <c r="C210" t="str">
        <f>modif1!C213</f>
        <v>200</v>
      </c>
      <c r="D210" t="str">
        <f>modif1!D210</f>
        <v>MOUSTEY</v>
      </c>
      <c r="E210">
        <f>modif1!E210</f>
        <v>4</v>
      </c>
      <c r="F210" t="str">
        <f>modif1!F210</f>
        <v>Kycs</v>
      </c>
      <c r="G210" t="str">
        <f>modif1!G210</f>
        <v>0M</v>
      </c>
      <c r="H210">
        <f>modif1!H210</f>
        <v>80</v>
      </c>
      <c r="I210" t="str">
        <f>modif1!I210</f>
        <v>n</v>
      </c>
      <c r="J210" s="11">
        <f>modif1!J210</f>
        <v>26.0778</v>
      </c>
      <c r="K210" t="str">
        <f>modif1!K210</f>
        <v>PLA</v>
      </c>
      <c r="L210" t="str">
        <f>modif1!L210</f>
        <v>PM</v>
      </c>
      <c r="M210">
        <f>modif1!M210</f>
        <v>2014</v>
      </c>
      <c r="N210" t="str">
        <f>modif1!N210</f>
        <v>PLA-PM_2014</v>
      </c>
      <c r="O210" t="b">
        <f>modif1!O210</f>
        <v>0</v>
      </c>
      <c r="P210">
        <v>40</v>
      </c>
      <c r="S210" t="s">
        <v>1803</v>
      </c>
      <c r="X210" t="s">
        <v>1804</v>
      </c>
      <c r="Z210"/>
      <c r="AA210" s="17">
        <f>IF($A210,$J210*(IF(Q210=regle!$B$11,regle!$B$23*IF(AJ210=-2,1+regle!$B$35,1),
IF(Q210=regle!$C$11,regle!$C$23,
IF(Q210=regle!$D$11,regle!$D$23,
IF(Q210=regle!$E$11,regle!$E$23,
IF(Q210=regle!$F$11,regle!$F$23,
IF(Q210=regle!$G$11,regle!$G$23,
IF(Q210=regle!$H$11,regle!$H$23,
IF(Q210=regle!$I$11,regle!$I$23,
IF(Q210=regle!$J$11,regle!$J$23,
IF(Q210=regle!$K$11,regle!$K$23,0))))))))))))</f>
        <v>0</v>
      </c>
      <c r="AB210" s="17">
        <f>IF($A210,$J210*(IF(R210=regle!$B$11,regle!$B$23*IF(AK210=-2,1+regle!$B$35,1),
IF(R210=regle!$C$11,regle!$C$23,
IF(R210=regle!$D$11,regle!$D$23,
IF(R210=regle!$E$11,regle!$E$23,
IF(R210=regle!$F$11,regle!$F$23,
IF(R210=regle!$G$11,regle!$G$23,
IF(R210=regle!$H$11,regle!$H$23,
IF(R210=regle!$I$11,regle!$I$23,
IF(R210=regle!$J$11,regle!$J$23,
IF(R210=regle!$K$11,regle!$K$23,0))))))))))))</f>
        <v>0</v>
      </c>
      <c r="AC210" s="17">
        <f>IF($A210,$J210*(IF(S210=regle!$B$11,regle!$B$23*IF(AL210=-2,1+regle!$B$35,1),
IF(S210=regle!$C$11,regle!$C$23,
IF(S210=regle!$D$11,regle!$D$23,
IF(S210=regle!$E$11,regle!$E$23,
IF(S210=regle!$F$11,regle!$F$23,
IF(S210=regle!$G$11,regle!$G$23,
IF(S210=regle!$H$11,regle!$H$23,
IF(S210=regle!$I$11,regle!$I$23,
IF(S210=regle!$J$11,regle!$J$23,
IF(S210=regle!$K$11,regle!$K$23,0))))))))))))</f>
        <v>15020.8128</v>
      </c>
      <c r="AD210" s="17">
        <f>IF($A210,$J210*(IF(T210=regle!$B$11,regle!$B$23*IF(AM210=-2,1+regle!$B$35,1),
IF(T210=regle!$C$11,regle!$C$23,
IF(T210=regle!$D$11,regle!$D$23,
IF(T210=regle!$E$11,regle!$E$23,
IF(T210=regle!$F$11,regle!$F$23,
IF(T210=regle!$G$11,regle!$G$23,
IF(T210=regle!$H$11,regle!$H$23,
IF(T210=regle!$I$11,regle!$I$23,
IF(T210=regle!$J$11,regle!$J$23,
IF(T210=regle!$K$11,regle!$K$23,0))))))))))))</f>
        <v>0</v>
      </c>
      <c r="AE210" s="17">
        <f>IF($A210,$J210*(IF(U210=regle!$B$11,regle!$B$23*IF(AN210=-2,1+regle!$B$35,1),
IF(U210=regle!$C$11,regle!$C$23,
IF(U210=regle!$D$11,regle!$D$23,
IF(U210=regle!$E$11,regle!$E$23,
IF(U210=regle!$F$11,regle!$F$23,
IF(U210=regle!$G$11,regle!$G$23,
IF(U210=regle!$H$11,regle!$H$23,
IF(U210=regle!$I$11,regle!$I$23,
IF(U210=regle!$J$11,regle!$J$23,
IF(U210=regle!$K$11,regle!$K$23,0))))))))))))</f>
        <v>0</v>
      </c>
      <c r="AF210" s="17">
        <f>IF($A210,$J210*(IF(V210=regle!$B$11,regle!$B$23*IF(AO210=-2,1+regle!$B$35,1),
IF(V210=regle!$C$11,regle!$C$23,
IF(V210=regle!$D$11,regle!$D$23,
IF(V210=regle!$E$11,regle!$E$23,
IF(V210=regle!$F$11,regle!$F$23,
IF(V210=regle!$G$11,regle!$G$23,
IF(V210=regle!$H$11,regle!$H$23,
IF(V210=regle!$I$11,regle!$I$23,
IF(V210=regle!$J$11,regle!$J$23,
IF(V210=regle!$K$11,regle!$K$23,0))))))))))))</f>
        <v>0</v>
      </c>
      <c r="AG210" s="17">
        <f>IF($A210,$J210*(IF(W210=regle!$B$11,regle!$B$23*IF(AP210=-2,1+regle!$B$35,1),
IF(W210=regle!$C$11,regle!$C$23,
IF(W210=regle!$D$11,regle!$D$23,
IF(W210=regle!$E$11,regle!$E$23,
IF(W210=regle!$F$11,regle!$F$23,
IF(W210=regle!$G$11,regle!$G$23,
IF(W210=regle!$H$11,regle!$H$23,
IF(W210=regle!$I$11,regle!$I$23,
IF(W210=regle!$J$11,regle!$J$23,
IF(W210=regle!$K$11,regle!$K$23,0))))))))))))</f>
        <v>0</v>
      </c>
      <c r="AH210" s="17">
        <f>IF($A210,$J210*(IF(X210=regle!$B$11,regle!$B$23*IF(AQ210=-2,1+regle!$B$35,1),
IF(X210=regle!$C$11,regle!$C$23,
IF(X210=regle!$D$11,regle!$D$23,
IF(X210=regle!$E$11,regle!$E$23,
IF(X210=regle!$F$11,regle!$F$23,
IF(X210=regle!$G$11,regle!$G$23,
IF(X210=regle!$H$11,regle!$H$23,
IF(X210=regle!$I$11,regle!$I$23,
IF(X210=regle!$J$11,regle!$J$23,
IF(X210=regle!$K$11,regle!$K$23,0))))))))))))</f>
        <v>21905.351999999999</v>
      </c>
      <c r="AI210" s="17">
        <f>IF($A210,$J210*(IF(Y210=regle!$B$11,regle!$B$23*IF(AR210=-2,1+regle!$B$35,1),
IF(Y210=regle!$C$11,regle!$C$23,
IF(Y210=regle!$D$11,regle!$D$23,
IF(Y210=regle!$E$11,regle!$E$23,
IF(Y210=regle!$F$11,regle!$F$23,
IF(Y210=regle!$G$11,regle!$G$23,
IF(Y210=regle!$H$11,regle!$H$23,
IF(Y210=regle!$I$11,regle!$I$23,
IF(Y210=regle!$J$11,regle!$J$23,
IF(Y210=regle!$K$11,regle!$K$23,0))))))))))))</f>
        <v>0</v>
      </c>
      <c r="AJ210" s="17">
        <f>IF($A210,$J210*(IF(Z210=regle!$B$11,regle!$B$23*IF(AS210=-2,1+regle!$B$35,1),
IF(Z210=regle!$C$11,regle!$C$23,
IF(Z210=regle!$D$11,regle!$D$23,
IF(Z210=regle!$E$11,regle!$E$23,
IF(Z210=regle!$F$11,regle!$F$23,
IF(Z210=regle!$G$11,regle!$G$23,
IF(Z210=regle!$H$11,regle!$H$23,
IF(Z210=regle!$I$11,regle!$I$23,
IF(Z210=regle!$J$11,regle!$J$23,
IF(Z210=regle!$K$11,regle!$K$23,0))))))))))))</f>
        <v>0</v>
      </c>
      <c r="AK210" s="16">
        <f>IF(OR(Q210=regle!$J$11,Q210=regle!$K$11),-2,IF(Q210=regle!$B$11,0,IF(AK$1=$AK$1,IF($O210,-1,regle!$B$2-$M210),IF(AJ210=-1,-1,AJ210+1))))</f>
        <v>10</v>
      </c>
      <c r="AL210" s="16">
        <f>IF(OR(R210=regle!$J$11,R210=regle!$K$11),-2,IF(R210=regle!$B$11,0,IF(AL$1=$AK$1,IF($O210,-1,regle!$B$2-$M210),IF(AK210=-1,-1,AK210+1))))</f>
        <v>11</v>
      </c>
      <c r="AM210" s="16">
        <f>IF(OR(S210=regle!$J$11,S210=regle!$K$11),-2,IF(S210=regle!$B$11,0,IF(AM$1=$AK$1,IF($O210,-1,regle!$B$2-$M210),IF(AL210=-1,-1,AL210+1))))</f>
        <v>12</v>
      </c>
      <c r="AN210" s="16">
        <f>IF(OR(T210=regle!$J$11,T210=regle!$K$11),-2,IF(T210=regle!$B$11,0,IF(AN$1=$AK$1,IF($O210,-1,regle!$B$2-$M210),IF(AM210=-1,-1,AM210+1))))</f>
        <v>13</v>
      </c>
      <c r="AO210" s="16">
        <f>IF(OR(U210=regle!$J$11,U210=regle!$K$11),-2,IF(U210=regle!$B$11,0,IF(AO$1=$AK$1,IF($O210,-1,regle!$B$2-$M210),IF(AN210=-1,-1,AN210+1))))</f>
        <v>14</v>
      </c>
      <c r="AP210" s="16">
        <f>IF(OR(V210=regle!$J$11,V210=regle!$K$11),-2,IF(V210=regle!$B$11,0,IF(AP$1=$AK$1,IF($O210,-1,regle!$B$2-$M210),IF(AO210=-1,-1,AO210+1))))</f>
        <v>15</v>
      </c>
      <c r="AQ210" s="16">
        <f>IF(OR(W210=regle!$J$11,W210=regle!$K$11),-2,IF(W210=regle!$B$11,0,IF(AQ$1=$AK$1,IF($O210,-1,regle!$B$2-$M210),IF(AP210=-1,-1,AP210+1))))</f>
        <v>16</v>
      </c>
      <c r="AR210" s="16">
        <f>IF(OR(X210=regle!$J$11,X210=regle!$K$11),-2,IF(X210=regle!$B$11,0,IF(AR$1=$AK$1,IF($O210,-1,regle!$B$2-$M210),IF(AQ210=-1,-1,AQ210+1))))</f>
        <v>17</v>
      </c>
      <c r="AS210" s="16">
        <f>IF(OR(Y210=regle!$J$11,Y210=regle!$K$11),-2,IF(Y210=regle!$B$11,0,IF(AS$1=$AK$1,IF($O210,-1,regle!$B$2-$M210),IF(AR210=-1,-1,AR210+1))))</f>
        <v>18</v>
      </c>
      <c r="AT210" s="16">
        <f>IF(OR(Z210=regle!$J$11,Z210=regle!$K$11),-2,IF(Z210=regle!$B$11,0,IF(AT$1=$AK$1,IF($O210,-1,regle!$B$2-$M210),IF(AS210=-1,-1,AS210+1))))</f>
        <v>19</v>
      </c>
    </row>
    <row r="211" spans="1:46" x14ac:dyDescent="0.25">
      <c r="A211" t="b">
        <f>modif1!A211</f>
        <v>1</v>
      </c>
      <c r="B211">
        <f>ROW(modif1!B211)</f>
        <v>211</v>
      </c>
      <c r="C211" t="str">
        <f>modif1!C214</f>
        <v>200</v>
      </c>
      <c r="D211" t="str">
        <f>modif1!D211</f>
        <v>LE TUZAN</v>
      </c>
      <c r="E211">
        <f>modif1!E211</f>
        <v>14</v>
      </c>
      <c r="F211" t="str">
        <f>modif1!F211</f>
        <v>TABARTON-OUEST</v>
      </c>
      <c r="G211" t="str">
        <f>modif1!G211</f>
        <v>0B</v>
      </c>
      <c r="H211">
        <f>modif1!H211</f>
        <v>659</v>
      </c>
      <c r="I211" t="str">
        <f>modif1!I211</f>
        <v>m</v>
      </c>
      <c r="J211" s="11">
        <f>modif1!J211</f>
        <v>19.8888</v>
      </c>
      <c r="K211" t="str">
        <f>modif1!K211</f>
        <v>PLA</v>
      </c>
      <c r="L211" t="str">
        <f>modif1!L211</f>
        <v>PM</v>
      </c>
      <c r="M211">
        <f>modif1!M211</f>
        <v>2014</v>
      </c>
      <c r="N211" t="str">
        <f>modif1!N211</f>
        <v>PLA-PM_2014</v>
      </c>
      <c r="O211" t="b">
        <f>modif1!O211</f>
        <v>0</v>
      </c>
      <c r="P211">
        <v>40</v>
      </c>
      <c r="S211" t="s">
        <v>1803</v>
      </c>
      <c r="X211" t="s">
        <v>1804</v>
      </c>
      <c r="Z211"/>
      <c r="AA211" s="17">
        <f>IF($A211,$J211*(IF(Q211=regle!$B$11,regle!$B$23*IF(AJ211=-2,1+regle!$B$35,1),
IF(Q211=regle!$C$11,regle!$C$23,
IF(Q211=regle!$D$11,regle!$D$23,
IF(Q211=regle!$E$11,regle!$E$23,
IF(Q211=regle!$F$11,regle!$F$23,
IF(Q211=regle!$G$11,regle!$G$23,
IF(Q211=regle!$H$11,regle!$H$23,
IF(Q211=regle!$I$11,regle!$I$23,
IF(Q211=regle!$J$11,regle!$J$23,
IF(Q211=regle!$K$11,regle!$K$23,0))))))))))))</f>
        <v>0</v>
      </c>
      <c r="AB211" s="17">
        <f>IF($A211,$J211*(IF(R211=regle!$B$11,regle!$B$23*IF(AK211=-2,1+regle!$B$35,1),
IF(R211=regle!$C$11,regle!$C$23,
IF(R211=regle!$D$11,regle!$D$23,
IF(R211=regle!$E$11,regle!$E$23,
IF(R211=regle!$F$11,regle!$F$23,
IF(R211=regle!$G$11,regle!$G$23,
IF(R211=regle!$H$11,regle!$H$23,
IF(R211=regle!$I$11,regle!$I$23,
IF(R211=regle!$J$11,regle!$J$23,
IF(R211=regle!$K$11,regle!$K$23,0))))))))))))</f>
        <v>0</v>
      </c>
      <c r="AC211" s="17">
        <f>IF($A211,$J211*(IF(S211=regle!$B$11,regle!$B$23*IF(AL211=-2,1+regle!$B$35,1),
IF(S211=regle!$C$11,regle!$C$23,
IF(S211=regle!$D$11,regle!$D$23,
IF(S211=regle!$E$11,regle!$E$23,
IF(S211=regle!$F$11,regle!$F$23,
IF(S211=regle!$G$11,regle!$G$23,
IF(S211=regle!$H$11,regle!$H$23,
IF(S211=regle!$I$11,regle!$I$23,
IF(S211=regle!$J$11,regle!$J$23,
IF(S211=regle!$K$11,regle!$K$23,0))))))))))))</f>
        <v>11455.9488</v>
      </c>
      <c r="AD211" s="17">
        <f>IF($A211,$J211*(IF(T211=regle!$B$11,regle!$B$23*IF(AM211=-2,1+regle!$B$35,1),
IF(T211=regle!$C$11,regle!$C$23,
IF(T211=regle!$D$11,regle!$D$23,
IF(T211=regle!$E$11,regle!$E$23,
IF(T211=regle!$F$11,regle!$F$23,
IF(T211=regle!$G$11,regle!$G$23,
IF(T211=regle!$H$11,regle!$H$23,
IF(T211=regle!$I$11,regle!$I$23,
IF(T211=regle!$J$11,regle!$J$23,
IF(T211=regle!$K$11,regle!$K$23,0))))))))))))</f>
        <v>0</v>
      </c>
      <c r="AE211" s="17">
        <f>IF($A211,$J211*(IF(U211=regle!$B$11,regle!$B$23*IF(AN211=-2,1+regle!$B$35,1),
IF(U211=regle!$C$11,regle!$C$23,
IF(U211=regle!$D$11,regle!$D$23,
IF(U211=regle!$E$11,regle!$E$23,
IF(U211=regle!$F$11,regle!$F$23,
IF(U211=regle!$G$11,regle!$G$23,
IF(U211=regle!$H$11,regle!$H$23,
IF(U211=regle!$I$11,regle!$I$23,
IF(U211=regle!$J$11,regle!$J$23,
IF(U211=regle!$K$11,regle!$K$23,0))))))))))))</f>
        <v>0</v>
      </c>
      <c r="AF211" s="17">
        <f>IF($A211,$J211*(IF(V211=regle!$B$11,regle!$B$23*IF(AO211=-2,1+regle!$B$35,1),
IF(V211=regle!$C$11,regle!$C$23,
IF(V211=regle!$D$11,regle!$D$23,
IF(V211=regle!$E$11,regle!$E$23,
IF(V211=regle!$F$11,regle!$F$23,
IF(V211=regle!$G$11,regle!$G$23,
IF(V211=regle!$H$11,regle!$H$23,
IF(V211=regle!$I$11,regle!$I$23,
IF(V211=regle!$J$11,regle!$J$23,
IF(V211=regle!$K$11,regle!$K$23,0))))))))))))</f>
        <v>0</v>
      </c>
      <c r="AG211" s="17">
        <f>IF($A211,$J211*(IF(W211=regle!$B$11,regle!$B$23*IF(AP211=-2,1+regle!$B$35,1),
IF(W211=regle!$C$11,regle!$C$23,
IF(W211=regle!$D$11,regle!$D$23,
IF(W211=regle!$E$11,regle!$E$23,
IF(W211=regle!$F$11,regle!$F$23,
IF(W211=regle!$G$11,regle!$G$23,
IF(W211=regle!$H$11,regle!$H$23,
IF(W211=regle!$I$11,regle!$I$23,
IF(W211=regle!$J$11,regle!$J$23,
IF(W211=regle!$K$11,regle!$K$23,0))))))))))))</f>
        <v>0</v>
      </c>
      <c r="AH211" s="17">
        <f>IF($A211,$J211*(IF(X211=regle!$B$11,regle!$B$23*IF(AQ211=-2,1+regle!$B$35,1),
IF(X211=regle!$C$11,regle!$C$23,
IF(X211=regle!$D$11,regle!$D$23,
IF(X211=regle!$E$11,regle!$E$23,
IF(X211=regle!$F$11,regle!$F$23,
IF(X211=regle!$G$11,regle!$G$23,
IF(X211=regle!$H$11,regle!$H$23,
IF(X211=regle!$I$11,regle!$I$23,
IF(X211=regle!$J$11,regle!$J$23,
IF(X211=regle!$K$11,regle!$K$23,0))))))))))))</f>
        <v>16706.592000000001</v>
      </c>
      <c r="AI211" s="17">
        <f>IF($A211,$J211*(IF(Y211=regle!$B$11,regle!$B$23*IF(AR211=-2,1+regle!$B$35,1),
IF(Y211=regle!$C$11,regle!$C$23,
IF(Y211=regle!$D$11,regle!$D$23,
IF(Y211=regle!$E$11,regle!$E$23,
IF(Y211=regle!$F$11,regle!$F$23,
IF(Y211=regle!$G$11,regle!$G$23,
IF(Y211=regle!$H$11,regle!$H$23,
IF(Y211=regle!$I$11,regle!$I$23,
IF(Y211=regle!$J$11,regle!$J$23,
IF(Y211=regle!$K$11,regle!$K$23,0))))))))))))</f>
        <v>0</v>
      </c>
      <c r="AJ211" s="17">
        <f>IF($A211,$J211*(IF(Z211=regle!$B$11,regle!$B$23*IF(AS211=-2,1+regle!$B$35,1),
IF(Z211=regle!$C$11,regle!$C$23,
IF(Z211=regle!$D$11,regle!$D$23,
IF(Z211=regle!$E$11,regle!$E$23,
IF(Z211=regle!$F$11,regle!$F$23,
IF(Z211=regle!$G$11,regle!$G$23,
IF(Z211=regle!$H$11,regle!$H$23,
IF(Z211=regle!$I$11,regle!$I$23,
IF(Z211=regle!$J$11,regle!$J$23,
IF(Z211=regle!$K$11,regle!$K$23,0))))))))))))</f>
        <v>0</v>
      </c>
      <c r="AK211" s="16">
        <f>IF(OR(Q211=regle!$J$11,Q211=regle!$K$11),-2,IF(Q211=regle!$B$11,0,IF(AK$1=$AK$1,IF($O211,-1,regle!$B$2-$M211),IF(AJ211=-1,-1,AJ211+1))))</f>
        <v>10</v>
      </c>
      <c r="AL211" s="16">
        <f>IF(OR(R211=regle!$J$11,R211=regle!$K$11),-2,IF(R211=regle!$B$11,0,IF(AL$1=$AK$1,IF($O211,-1,regle!$B$2-$M211),IF(AK211=-1,-1,AK211+1))))</f>
        <v>11</v>
      </c>
      <c r="AM211" s="16">
        <f>IF(OR(S211=regle!$J$11,S211=regle!$K$11),-2,IF(S211=regle!$B$11,0,IF(AM$1=$AK$1,IF($O211,-1,regle!$B$2-$M211),IF(AL211=-1,-1,AL211+1))))</f>
        <v>12</v>
      </c>
      <c r="AN211" s="16">
        <f>IF(OR(T211=regle!$J$11,T211=regle!$K$11),-2,IF(T211=regle!$B$11,0,IF(AN$1=$AK$1,IF($O211,-1,regle!$B$2-$M211),IF(AM211=-1,-1,AM211+1))))</f>
        <v>13</v>
      </c>
      <c r="AO211" s="16">
        <f>IF(OR(U211=regle!$J$11,U211=regle!$K$11),-2,IF(U211=regle!$B$11,0,IF(AO$1=$AK$1,IF($O211,-1,regle!$B$2-$M211),IF(AN211=-1,-1,AN211+1))))</f>
        <v>14</v>
      </c>
      <c r="AP211" s="16">
        <f>IF(OR(V211=regle!$J$11,V211=regle!$K$11),-2,IF(V211=regle!$B$11,0,IF(AP$1=$AK$1,IF($O211,-1,regle!$B$2-$M211),IF(AO211=-1,-1,AO211+1))))</f>
        <v>15</v>
      </c>
      <c r="AQ211" s="16">
        <f>IF(OR(W211=regle!$J$11,W211=regle!$K$11),-2,IF(W211=regle!$B$11,0,IF(AQ$1=$AK$1,IF($O211,-1,regle!$B$2-$M211),IF(AP211=-1,-1,AP211+1))))</f>
        <v>16</v>
      </c>
      <c r="AR211" s="16">
        <f>IF(OR(X211=regle!$J$11,X211=regle!$K$11),-2,IF(X211=regle!$B$11,0,IF(AR$1=$AK$1,IF($O211,-1,regle!$B$2-$M211),IF(AQ211=-1,-1,AQ211+1))))</f>
        <v>17</v>
      </c>
      <c r="AS211" s="16">
        <f>IF(OR(Y211=regle!$J$11,Y211=regle!$K$11),-2,IF(Y211=regle!$B$11,0,IF(AS$1=$AK$1,IF($O211,-1,regle!$B$2-$M211),IF(AR211=-1,-1,AR211+1))))</f>
        <v>18</v>
      </c>
      <c r="AT211" s="16">
        <f>IF(OR(Z211=regle!$J$11,Z211=regle!$K$11),-2,IF(Z211=regle!$B$11,0,IF(AT$1=$AK$1,IF($O211,-1,regle!$B$2-$M211),IF(AS211=-1,-1,AS211+1))))</f>
        <v>19</v>
      </c>
    </row>
    <row r="212" spans="1:46" x14ac:dyDescent="0.25">
      <c r="A212" t="b">
        <f>modif1!A212</f>
        <v>1</v>
      </c>
      <c r="B212">
        <f>ROW(modif1!B212)</f>
        <v>212</v>
      </c>
      <c r="C212" t="str">
        <f>modif1!C215</f>
        <v>200</v>
      </c>
      <c r="D212" t="str">
        <f>modif1!D212</f>
        <v>MOUSTEY</v>
      </c>
      <c r="E212">
        <f>modif1!E212</f>
        <v>4</v>
      </c>
      <c r="F212" t="str">
        <f>modif1!F212</f>
        <v>Kycs</v>
      </c>
      <c r="G212" t="str">
        <f>modif1!G212</f>
        <v>0M</v>
      </c>
      <c r="H212">
        <f>modif1!H212</f>
        <v>80</v>
      </c>
      <c r="I212" t="str">
        <f>modif1!I212</f>
        <v>l</v>
      </c>
      <c r="J212" s="11">
        <f>modif1!J212</f>
        <v>10.702500000000001</v>
      </c>
      <c r="K212" t="str">
        <f>modif1!K212</f>
        <v>PLA</v>
      </c>
      <c r="L212" t="str">
        <f>modif1!L212</f>
        <v>PM</v>
      </c>
      <c r="M212">
        <f>modif1!M212</f>
        <v>2014</v>
      </c>
      <c r="N212" t="str">
        <f>modif1!N212</f>
        <v>PLA-PM_2014</v>
      </c>
      <c r="O212" t="b">
        <f>modif1!O212</f>
        <v>0</v>
      </c>
      <c r="P212">
        <v>40</v>
      </c>
      <c r="S212" t="s">
        <v>1803</v>
      </c>
      <c r="X212" t="s">
        <v>1804</v>
      </c>
      <c r="Z212"/>
      <c r="AA212" s="17">
        <f>IF($A212,$J212*(IF(Q212=regle!$B$11,regle!$B$23*IF(AJ212=-2,1+regle!$B$35,1),
IF(Q212=regle!$C$11,regle!$C$23,
IF(Q212=regle!$D$11,regle!$D$23,
IF(Q212=regle!$E$11,regle!$E$23,
IF(Q212=regle!$F$11,regle!$F$23,
IF(Q212=regle!$G$11,regle!$G$23,
IF(Q212=regle!$H$11,regle!$H$23,
IF(Q212=regle!$I$11,regle!$I$23,
IF(Q212=regle!$J$11,regle!$J$23,
IF(Q212=regle!$K$11,regle!$K$23,0))))))))))))</f>
        <v>0</v>
      </c>
      <c r="AB212" s="17">
        <f>IF($A212,$J212*(IF(R212=regle!$B$11,regle!$B$23*IF(AK212=-2,1+regle!$B$35,1),
IF(R212=regle!$C$11,regle!$C$23,
IF(R212=regle!$D$11,regle!$D$23,
IF(R212=regle!$E$11,regle!$E$23,
IF(R212=regle!$F$11,regle!$F$23,
IF(R212=regle!$G$11,regle!$G$23,
IF(R212=regle!$H$11,regle!$H$23,
IF(R212=regle!$I$11,regle!$I$23,
IF(R212=regle!$J$11,regle!$J$23,
IF(R212=regle!$K$11,regle!$K$23,0))))))))))))</f>
        <v>0</v>
      </c>
      <c r="AC212" s="17">
        <f>IF($A212,$J212*(IF(S212=regle!$B$11,regle!$B$23*IF(AL212=-2,1+regle!$B$35,1),
IF(S212=regle!$C$11,regle!$C$23,
IF(S212=regle!$D$11,regle!$D$23,
IF(S212=regle!$E$11,regle!$E$23,
IF(S212=regle!$F$11,regle!$F$23,
IF(S212=regle!$G$11,regle!$G$23,
IF(S212=regle!$H$11,regle!$H$23,
IF(S212=regle!$I$11,regle!$I$23,
IF(S212=regle!$J$11,regle!$J$23,
IF(S212=regle!$K$11,regle!$K$23,0))))))))))))</f>
        <v>6164.64</v>
      </c>
      <c r="AD212" s="17">
        <f>IF($A212,$J212*(IF(T212=regle!$B$11,regle!$B$23*IF(AM212=-2,1+regle!$B$35,1),
IF(T212=regle!$C$11,regle!$C$23,
IF(T212=regle!$D$11,regle!$D$23,
IF(T212=regle!$E$11,regle!$E$23,
IF(T212=regle!$F$11,regle!$F$23,
IF(T212=regle!$G$11,regle!$G$23,
IF(T212=regle!$H$11,regle!$H$23,
IF(T212=regle!$I$11,regle!$I$23,
IF(T212=regle!$J$11,regle!$J$23,
IF(T212=regle!$K$11,regle!$K$23,0))))))))))))</f>
        <v>0</v>
      </c>
      <c r="AE212" s="17">
        <f>IF($A212,$J212*(IF(U212=regle!$B$11,regle!$B$23*IF(AN212=-2,1+regle!$B$35,1),
IF(U212=regle!$C$11,regle!$C$23,
IF(U212=regle!$D$11,regle!$D$23,
IF(U212=regle!$E$11,regle!$E$23,
IF(U212=regle!$F$11,regle!$F$23,
IF(U212=regle!$G$11,regle!$G$23,
IF(U212=regle!$H$11,regle!$H$23,
IF(U212=regle!$I$11,regle!$I$23,
IF(U212=regle!$J$11,regle!$J$23,
IF(U212=regle!$K$11,regle!$K$23,0))))))))))))</f>
        <v>0</v>
      </c>
      <c r="AF212" s="17">
        <f>IF($A212,$J212*(IF(V212=regle!$B$11,regle!$B$23*IF(AO212=-2,1+regle!$B$35,1),
IF(V212=regle!$C$11,regle!$C$23,
IF(V212=regle!$D$11,regle!$D$23,
IF(V212=regle!$E$11,regle!$E$23,
IF(V212=regle!$F$11,regle!$F$23,
IF(V212=regle!$G$11,regle!$G$23,
IF(V212=regle!$H$11,regle!$H$23,
IF(V212=regle!$I$11,regle!$I$23,
IF(V212=regle!$J$11,regle!$J$23,
IF(V212=regle!$K$11,regle!$K$23,0))))))))))))</f>
        <v>0</v>
      </c>
      <c r="AG212" s="17">
        <f>IF($A212,$J212*(IF(W212=regle!$B$11,regle!$B$23*IF(AP212=-2,1+regle!$B$35,1),
IF(W212=regle!$C$11,regle!$C$23,
IF(W212=regle!$D$11,regle!$D$23,
IF(W212=regle!$E$11,regle!$E$23,
IF(W212=regle!$F$11,regle!$F$23,
IF(W212=regle!$G$11,regle!$G$23,
IF(W212=regle!$H$11,regle!$H$23,
IF(W212=regle!$I$11,regle!$I$23,
IF(W212=regle!$J$11,regle!$J$23,
IF(W212=regle!$K$11,regle!$K$23,0))))))))))))</f>
        <v>0</v>
      </c>
      <c r="AH212" s="17">
        <f>IF($A212,$J212*(IF(X212=regle!$B$11,regle!$B$23*IF(AQ212=-2,1+regle!$B$35,1),
IF(X212=regle!$C$11,regle!$C$23,
IF(X212=regle!$D$11,regle!$D$23,
IF(X212=regle!$E$11,regle!$E$23,
IF(X212=regle!$F$11,regle!$F$23,
IF(X212=regle!$G$11,regle!$G$23,
IF(X212=regle!$H$11,regle!$H$23,
IF(X212=regle!$I$11,regle!$I$23,
IF(X212=regle!$J$11,regle!$J$23,
IF(X212=regle!$K$11,regle!$K$23,0))))))))))))</f>
        <v>8990.1</v>
      </c>
      <c r="AI212" s="17">
        <f>IF($A212,$J212*(IF(Y212=regle!$B$11,regle!$B$23*IF(AR212=-2,1+regle!$B$35,1),
IF(Y212=regle!$C$11,regle!$C$23,
IF(Y212=regle!$D$11,regle!$D$23,
IF(Y212=regle!$E$11,regle!$E$23,
IF(Y212=regle!$F$11,regle!$F$23,
IF(Y212=regle!$G$11,regle!$G$23,
IF(Y212=regle!$H$11,regle!$H$23,
IF(Y212=regle!$I$11,regle!$I$23,
IF(Y212=regle!$J$11,regle!$J$23,
IF(Y212=regle!$K$11,regle!$K$23,0))))))))))))</f>
        <v>0</v>
      </c>
      <c r="AJ212" s="17">
        <f>IF($A212,$J212*(IF(Z212=regle!$B$11,regle!$B$23*IF(AS212=-2,1+regle!$B$35,1),
IF(Z212=regle!$C$11,regle!$C$23,
IF(Z212=regle!$D$11,regle!$D$23,
IF(Z212=regle!$E$11,regle!$E$23,
IF(Z212=regle!$F$11,regle!$F$23,
IF(Z212=regle!$G$11,regle!$G$23,
IF(Z212=regle!$H$11,regle!$H$23,
IF(Z212=regle!$I$11,regle!$I$23,
IF(Z212=regle!$J$11,regle!$J$23,
IF(Z212=regle!$K$11,regle!$K$23,0))))))))))))</f>
        <v>0</v>
      </c>
      <c r="AK212" s="16">
        <f>IF(OR(Q212=regle!$J$11,Q212=regle!$K$11),-2,IF(Q212=regle!$B$11,0,IF(AK$1=$AK$1,IF($O212,-1,regle!$B$2-$M212),IF(AJ212=-1,-1,AJ212+1))))</f>
        <v>10</v>
      </c>
      <c r="AL212" s="16">
        <f>IF(OR(R212=regle!$J$11,R212=regle!$K$11),-2,IF(R212=regle!$B$11,0,IF(AL$1=$AK$1,IF($O212,-1,regle!$B$2-$M212),IF(AK212=-1,-1,AK212+1))))</f>
        <v>11</v>
      </c>
      <c r="AM212" s="16">
        <f>IF(OR(S212=regle!$J$11,S212=regle!$K$11),-2,IF(S212=regle!$B$11,0,IF(AM$1=$AK$1,IF($O212,-1,regle!$B$2-$M212),IF(AL212=-1,-1,AL212+1))))</f>
        <v>12</v>
      </c>
      <c r="AN212" s="16">
        <f>IF(OR(T212=regle!$J$11,T212=regle!$K$11),-2,IF(T212=regle!$B$11,0,IF(AN$1=$AK$1,IF($O212,-1,regle!$B$2-$M212),IF(AM212=-1,-1,AM212+1))))</f>
        <v>13</v>
      </c>
      <c r="AO212" s="16">
        <f>IF(OR(U212=regle!$J$11,U212=regle!$K$11),-2,IF(U212=regle!$B$11,0,IF(AO$1=$AK$1,IF($O212,-1,regle!$B$2-$M212),IF(AN212=-1,-1,AN212+1))))</f>
        <v>14</v>
      </c>
      <c r="AP212" s="16">
        <f>IF(OR(V212=regle!$J$11,V212=regle!$K$11),-2,IF(V212=regle!$B$11,0,IF(AP$1=$AK$1,IF($O212,-1,regle!$B$2-$M212),IF(AO212=-1,-1,AO212+1))))</f>
        <v>15</v>
      </c>
      <c r="AQ212" s="16">
        <f>IF(OR(W212=regle!$J$11,W212=regle!$K$11),-2,IF(W212=regle!$B$11,0,IF(AQ$1=$AK$1,IF($O212,-1,regle!$B$2-$M212),IF(AP212=-1,-1,AP212+1))))</f>
        <v>16</v>
      </c>
      <c r="AR212" s="16">
        <f>IF(OR(X212=regle!$J$11,X212=regle!$K$11),-2,IF(X212=regle!$B$11,0,IF(AR$1=$AK$1,IF($O212,-1,regle!$B$2-$M212),IF(AQ212=-1,-1,AQ212+1))))</f>
        <v>17</v>
      </c>
      <c r="AS212" s="16">
        <f>IF(OR(Y212=regle!$J$11,Y212=regle!$K$11),-2,IF(Y212=regle!$B$11,0,IF(AS$1=$AK$1,IF($O212,-1,regle!$B$2-$M212),IF(AR212=-1,-1,AR212+1))))</f>
        <v>18</v>
      </c>
      <c r="AT212" s="16">
        <f>IF(OR(Z212=regle!$J$11,Z212=regle!$K$11),-2,IF(Z212=regle!$B$11,0,IF(AT$1=$AK$1,IF($O212,-1,regle!$B$2-$M212),IF(AS212=-1,-1,AS212+1))))</f>
        <v>19</v>
      </c>
    </row>
    <row r="213" spans="1:46" x14ac:dyDescent="0.25">
      <c r="A213" t="b">
        <f>modif1!A213</f>
        <v>1</v>
      </c>
      <c r="B213">
        <f>ROW(modif1!B213)</f>
        <v>213</v>
      </c>
      <c r="C213" t="str">
        <f>modif1!C216</f>
        <v>200</v>
      </c>
      <c r="D213" t="str">
        <f>modif1!D213</f>
        <v>MOUSTEY</v>
      </c>
      <c r="E213">
        <f>modif1!E213</f>
        <v>4</v>
      </c>
      <c r="F213" t="str">
        <f>modif1!F213</f>
        <v>Kycs</v>
      </c>
      <c r="G213" t="str">
        <f>modif1!G213</f>
        <v>0M</v>
      </c>
      <c r="H213">
        <f>modif1!H213</f>
        <v>33</v>
      </c>
      <c r="I213" t="str">
        <f>modif1!I213</f>
        <v>m</v>
      </c>
      <c r="J213" s="11">
        <f>modif1!J213</f>
        <v>4.3066000000000004</v>
      </c>
      <c r="K213" t="str">
        <f>modif1!K213</f>
        <v>PLA</v>
      </c>
      <c r="L213" t="str">
        <f>modif1!L213</f>
        <v>PM</v>
      </c>
      <c r="M213">
        <f>modif1!M213</f>
        <v>2014</v>
      </c>
      <c r="N213" t="str">
        <f>modif1!N213</f>
        <v>PLA-PM_2014</v>
      </c>
      <c r="O213" t="b">
        <f>modif1!O213</f>
        <v>0</v>
      </c>
      <c r="P213">
        <v>40</v>
      </c>
      <c r="S213" t="s">
        <v>1803</v>
      </c>
      <c r="X213" t="s">
        <v>1804</v>
      </c>
      <c r="Z213"/>
      <c r="AA213" s="17">
        <f>IF($A213,$J213*(IF(Q213=regle!$B$11,regle!$B$23*IF(AJ213=-2,1+regle!$B$35,1),
IF(Q213=regle!$C$11,regle!$C$23,
IF(Q213=regle!$D$11,regle!$D$23,
IF(Q213=regle!$E$11,regle!$E$23,
IF(Q213=regle!$F$11,regle!$F$23,
IF(Q213=regle!$G$11,regle!$G$23,
IF(Q213=regle!$H$11,regle!$H$23,
IF(Q213=regle!$I$11,regle!$I$23,
IF(Q213=regle!$J$11,regle!$J$23,
IF(Q213=regle!$K$11,regle!$K$23,0))))))))))))</f>
        <v>0</v>
      </c>
      <c r="AB213" s="17">
        <f>IF($A213,$J213*(IF(R213=regle!$B$11,regle!$B$23*IF(AK213=-2,1+regle!$B$35,1),
IF(R213=regle!$C$11,regle!$C$23,
IF(R213=regle!$D$11,regle!$D$23,
IF(R213=regle!$E$11,regle!$E$23,
IF(R213=regle!$F$11,regle!$F$23,
IF(R213=regle!$G$11,regle!$G$23,
IF(R213=regle!$H$11,regle!$H$23,
IF(R213=regle!$I$11,regle!$I$23,
IF(R213=regle!$J$11,regle!$J$23,
IF(R213=regle!$K$11,regle!$K$23,0))))))))))))</f>
        <v>0</v>
      </c>
      <c r="AC213" s="17">
        <f>IF($A213,$J213*(IF(S213=regle!$B$11,regle!$B$23*IF(AL213=-2,1+regle!$B$35,1),
IF(S213=regle!$C$11,regle!$C$23,
IF(S213=regle!$D$11,regle!$D$23,
IF(S213=regle!$E$11,regle!$E$23,
IF(S213=regle!$F$11,regle!$F$23,
IF(S213=regle!$G$11,regle!$G$23,
IF(S213=regle!$H$11,regle!$H$23,
IF(S213=regle!$I$11,regle!$I$23,
IF(S213=regle!$J$11,regle!$J$23,
IF(S213=regle!$K$11,regle!$K$23,0))))))))))))</f>
        <v>2480.6016000000004</v>
      </c>
      <c r="AD213" s="17">
        <f>IF($A213,$J213*(IF(T213=regle!$B$11,regle!$B$23*IF(AM213=-2,1+regle!$B$35,1),
IF(T213=regle!$C$11,regle!$C$23,
IF(T213=regle!$D$11,regle!$D$23,
IF(T213=regle!$E$11,regle!$E$23,
IF(T213=regle!$F$11,regle!$F$23,
IF(T213=regle!$G$11,regle!$G$23,
IF(T213=regle!$H$11,regle!$H$23,
IF(T213=regle!$I$11,regle!$I$23,
IF(T213=regle!$J$11,regle!$J$23,
IF(T213=regle!$K$11,regle!$K$23,0))))))))))))</f>
        <v>0</v>
      </c>
      <c r="AE213" s="17">
        <f>IF($A213,$J213*(IF(U213=regle!$B$11,regle!$B$23*IF(AN213=-2,1+regle!$B$35,1),
IF(U213=regle!$C$11,regle!$C$23,
IF(U213=regle!$D$11,regle!$D$23,
IF(U213=regle!$E$11,regle!$E$23,
IF(U213=regle!$F$11,regle!$F$23,
IF(U213=regle!$G$11,regle!$G$23,
IF(U213=regle!$H$11,regle!$H$23,
IF(U213=regle!$I$11,regle!$I$23,
IF(U213=regle!$J$11,regle!$J$23,
IF(U213=regle!$K$11,regle!$K$23,0))))))))))))</f>
        <v>0</v>
      </c>
      <c r="AF213" s="17">
        <f>IF($A213,$J213*(IF(V213=regle!$B$11,regle!$B$23*IF(AO213=-2,1+regle!$B$35,1),
IF(V213=regle!$C$11,regle!$C$23,
IF(V213=regle!$D$11,regle!$D$23,
IF(V213=regle!$E$11,regle!$E$23,
IF(V213=regle!$F$11,regle!$F$23,
IF(V213=regle!$G$11,regle!$G$23,
IF(V213=regle!$H$11,regle!$H$23,
IF(V213=regle!$I$11,regle!$I$23,
IF(V213=regle!$J$11,regle!$J$23,
IF(V213=regle!$K$11,regle!$K$23,0))))))))))))</f>
        <v>0</v>
      </c>
      <c r="AG213" s="17">
        <f>IF($A213,$J213*(IF(W213=regle!$B$11,regle!$B$23*IF(AP213=-2,1+regle!$B$35,1),
IF(W213=regle!$C$11,regle!$C$23,
IF(W213=regle!$D$11,regle!$D$23,
IF(W213=regle!$E$11,regle!$E$23,
IF(W213=regle!$F$11,regle!$F$23,
IF(W213=regle!$G$11,regle!$G$23,
IF(W213=regle!$H$11,regle!$H$23,
IF(W213=regle!$I$11,regle!$I$23,
IF(W213=regle!$J$11,regle!$J$23,
IF(W213=regle!$K$11,regle!$K$23,0))))))))))))</f>
        <v>0</v>
      </c>
      <c r="AH213" s="17">
        <f>IF($A213,$J213*(IF(X213=regle!$B$11,regle!$B$23*IF(AQ213=-2,1+regle!$B$35,1),
IF(X213=regle!$C$11,regle!$C$23,
IF(X213=regle!$D$11,regle!$D$23,
IF(X213=regle!$E$11,regle!$E$23,
IF(X213=regle!$F$11,regle!$F$23,
IF(X213=regle!$G$11,regle!$G$23,
IF(X213=regle!$H$11,regle!$H$23,
IF(X213=regle!$I$11,regle!$I$23,
IF(X213=regle!$J$11,regle!$J$23,
IF(X213=regle!$K$11,regle!$K$23,0))))))))))))</f>
        <v>3617.5440000000003</v>
      </c>
      <c r="AI213" s="17">
        <f>IF($A213,$J213*(IF(Y213=regle!$B$11,regle!$B$23*IF(AR213=-2,1+regle!$B$35,1),
IF(Y213=regle!$C$11,regle!$C$23,
IF(Y213=regle!$D$11,regle!$D$23,
IF(Y213=regle!$E$11,regle!$E$23,
IF(Y213=regle!$F$11,regle!$F$23,
IF(Y213=regle!$G$11,regle!$G$23,
IF(Y213=regle!$H$11,regle!$H$23,
IF(Y213=regle!$I$11,regle!$I$23,
IF(Y213=regle!$J$11,regle!$J$23,
IF(Y213=regle!$K$11,regle!$K$23,0))))))))))))</f>
        <v>0</v>
      </c>
      <c r="AJ213" s="17">
        <f>IF($A213,$J213*(IF(Z213=regle!$B$11,regle!$B$23*IF(AS213=-2,1+regle!$B$35,1),
IF(Z213=regle!$C$11,regle!$C$23,
IF(Z213=regle!$D$11,regle!$D$23,
IF(Z213=regle!$E$11,regle!$E$23,
IF(Z213=regle!$F$11,regle!$F$23,
IF(Z213=regle!$G$11,regle!$G$23,
IF(Z213=regle!$H$11,regle!$H$23,
IF(Z213=regle!$I$11,regle!$I$23,
IF(Z213=regle!$J$11,regle!$J$23,
IF(Z213=regle!$K$11,regle!$K$23,0))))))))))))</f>
        <v>0</v>
      </c>
      <c r="AK213" s="16">
        <f>IF(OR(Q213=regle!$J$11,Q213=regle!$K$11),-2,IF(Q213=regle!$B$11,0,IF(AK$1=$AK$1,IF($O213,-1,regle!$B$2-$M213),IF(AJ213=-1,-1,AJ213+1))))</f>
        <v>10</v>
      </c>
      <c r="AL213" s="16">
        <f>IF(OR(R213=regle!$J$11,R213=regle!$K$11),-2,IF(R213=regle!$B$11,0,IF(AL$1=$AK$1,IF($O213,-1,regle!$B$2-$M213),IF(AK213=-1,-1,AK213+1))))</f>
        <v>11</v>
      </c>
      <c r="AM213" s="16">
        <f>IF(OR(S213=regle!$J$11,S213=regle!$K$11),-2,IF(S213=regle!$B$11,0,IF(AM$1=$AK$1,IF($O213,-1,regle!$B$2-$M213),IF(AL213=-1,-1,AL213+1))))</f>
        <v>12</v>
      </c>
      <c r="AN213" s="16">
        <f>IF(OR(T213=regle!$J$11,T213=regle!$K$11),-2,IF(T213=regle!$B$11,0,IF(AN$1=$AK$1,IF($O213,-1,regle!$B$2-$M213),IF(AM213=-1,-1,AM213+1))))</f>
        <v>13</v>
      </c>
      <c r="AO213" s="16">
        <f>IF(OR(U213=regle!$J$11,U213=regle!$K$11),-2,IF(U213=regle!$B$11,0,IF(AO$1=$AK$1,IF($O213,-1,regle!$B$2-$M213),IF(AN213=-1,-1,AN213+1))))</f>
        <v>14</v>
      </c>
      <c r="AP213" s="16">
        <f>IF(OR(V213=regle!$J$11,V213=regle!$K$11),-2,IF(V213=regle!$B$11,0,IF(AP$1=$AK$1,IF($O213,-1,regle!$B$2-$M213),IF(AO213=-1,-1,AO213+1))))</f>
        <v>15</v>
      </c>
      <c r="AQ213" s="16">
        <f>IF(OR(W213=regle!$J$11,W213=regle!$K$11),-2,IF(W213=regle!$B$11,0,IF(AQ$1=$AK$1,IF($O213,-1,regle!$B$2-$M213),IF(AP213=-1,-1,AP213+1))))</f>
        <v>16</v>
      </c>
      <c r="AR213" s="16">
        <f>IF(OR(X213=regle!$J$11,X213=regle!$K$11),-2,IF(X213=regle!$B$11,0,IF(AR$1=$AK$1,IF($O213,-1,regle!$B$2-$M213),IF(AQ213=-1,-1,AQ213+1))))</f>
        <v>17</v>
      </c>
      <c r="AS213" s="16">
        <f>IF(OR(Y213=regle!$J$11,Y213=regle!$K$11),-2,IF(Y213=regle!$B$11,0,IF(AS$1=$AK$1,IF($O213,-1,regle!$B$2-$M213),IF(AR213=-1,-1,AR213+1))))</f>
        <v>18</v>
      </c>
      <c r="AT213" s="16">
        <f>IF(OR(Z213=regle!$J$11,Z213=regle!$K$11),-2,IF(Z213=regle!$B$11,0,IF(AT$1=$AK$1,IF($O213,-1,regle!$B$2-$M213),IF(AS213=-1,-1,AS213+1))))</f>
        <v>19</v>
      </c>
    </row>
    <row r="214" spans="1:46" x14ac:dyDescent="0.25">
      <c r="A214" t="b">
        <f>modif1!A214</f>
        <v>1</v>
      </c>
      <c r="B214">
        <f>ROW(modif1!B214)</f>
        <v>214</v>
      </c>
      <c r="C214" t="str">
        <f>modif1!C217</f>
        <v>200</v>
      </c>
      <c r="D214" t="str">
        <f>modif1!D214</f>
        <v>MOUSTEY</v>
      </c>
      <c r="E214">
        <f>modif1!E214</f>
        <v>4</v>
      </c>
      <c r="F214" t="str">
        <f>modif1!F214</f>
        <v>Kycs</v>
      </c>
      <c r="G214" t="str">
        <f>modif1!G214</f>
        <v>0M</v>
      </c>
      <c r="H214">
        <f>modif1!H214</f>
        <v>71</v>
      </c>
      <c r="I214" t="str">
        <f>modif1!I214</f>
        <v>l</v>
      </c>
      <c r="J214" s="11">
        <f>modif1!J214</f>
        <v>3.3746999999999998</v>
      </c>
      <c r="K214" t="str">
        <f>modif1!K214</f>
        <v>PLA</v>
      </c>
      <c r="L214" t="str">
        <f>modif1!L214</f>
        <v>PM</v>
      </c>
      <c r="M214">
        <f>modif1!M214</f>
        <v>2014</v>
      </c>
      <c r="N214" t="str">
        <f>modif1!N214</f>
        <v>PLA-PM_2014</v>
      </c>
      <c r="O214" t="b">
        <f>modif1!O214</f>
        <v>0</v>
      </c>
      <c r="P214">
        <v>40</v>
      </c>
      <c r="S214" t="s">
        <v>1803</v>
      </c>
      <c r="X214" t="s">
        <v>1804</v>
      </c>
      <c r="Z214"/>
      <c r="AA214" s="17">
        <f>IF($A214,$J214*(IF(Q214=regle!$B$11,regle!$B$23*IF(AJ214=-2,1+regle!$B$35,1),
IF(Q214=regle!$C$11,regle!$C$23,
IF(Q214=regle!$D$11,regle!$D$23,
IF(Q214=regle!$E$11,regle!$E$23,
IF(Q214=regle!$F$11,regle!$F$23,
IF(Q214=regle!$G$11,regle!$G$23,
IF(Q214=regle!$H$11,regle!$H$23,
IF(Q214=regle!$I$11,regle!$I$23,
IF(Q214=regle!$J$11,regle!$J$23,
IF(Q214=regle!$K$11,regle!$K$23,0))))))))))))</f>
        <v>0</v>
      </c>
      <c r="AB214" s="17">
        <f>IF($A214,$J214*(IF(R214=regle!$B$11,regle!$B$23*IF(AK214=-2,1+regle!$B$35,1),
IF(R214=regle!$C$11,regle!$C$23,
IF(R214=regle!$D$11,regle!$D$23,
IF(R214=regle!$E$11,regle!$E$23,
IF(R214=regle!$F$11,regle!$F$23,
IF(R214=regle!$G$11,regle!$G$23,
IF(R214=regle!$H$11,regle!$H$23,
IF(R214=regle!$I$11,regle!$I$23,
IF(R214=regle!$J$11,regle!$J$23,
IF(R214=regle!$K$11,regle!$K$23,0))))))))))))</f>
        <v>0</v>
      </c>
      <c r="AC214" s="17">
        <f>IF($A214,$J214*(IF(S214=regle!$B$11,regle!$B$23*IF(AL214=-2,1+regle!$B$35,1),
IF(S214=regle!$C$11,regle!$C$23,
IF(S214=regle!$D$11,regle!$D$23,
IF(S214=regle!$E$11,regle!$E$23,
IF(S214=regle!$F$11,regle!$F$23,
IF(S214=regle!$G$11,regle!$G$23,
IF(S214=regle!$H$11,regle!$H$23,
IF(S214=regle!$I$11,regle!$I$23,
IF(S214=regle!$J$11,regle!$J$23,
IF(S214=regle!$K$11,regle!$K$23,0))))))))))))</f>
        <v>1943.8271999999999</v>
      </c>
      <c r="AD214" s="17">
        <f>IF($A214,$J214*(IF(T214=regle!$B$11,regle!$B$23*IF(AM214=-2,1+regle!$B$35,1),
IF(T214=regle!$C$11,regle!$C$23,
IF(T214=regle!$D$11,regle!$D$23,
IF(T214=regle!$E$11,regle!$E$23,
IF(T214=regle!$F$11,regle!$F$23,
IF(T214=regle!$G$11,regle!$G$23,
IF(T214=regle!$H$11,regle!$H$23,
IF(T214=regle!$I$11,regle!$I$23,
IF(T214=regle!$J$11,regle!$J$23,
IF(T214=regle!$K$11,regle!$K$23,0))))))))))))</f>
        <v>0</v>
      </c>
      <c r="AE214" s="17">
        <f>IF($A214,$J214*(IF(U214=regle!$B$11,regle!$B$23*IF(AN214=-2,1+regle!$B$35,1),
IF(U214=regle!$C$11,regle!$C$23,
IF(U214=regle!$D$11,regle!$D$23,
IF(U214=regle!$E$11,regle!$E$23,
IF(U214=regle!$F$11,regle!$F$23,
IF(U214=regle!$G$11,regle!$G$23,
IF(U214=regle!$H$11,regle!$H$23,
IF(U214=regle!$I$11,regle!$I$23,
IF(U214=regle!$J$11,regle!$J$23,
IF(U214=regle!$K$11,regle!$K$23,0))))))))))))</f>
        <v>0</v>
      </c>
      <c r="AF214" s="17">
        <f>IF($A214,$J214*(IF(V214=regle!$B$11,regle!$B$23*IF(AO214=-2,1+regle!$B$35,1),
IF(V214=regle!$C$11,regle!$C$23,
IF(V214=regle!$D$11,regle!$D$23,
IF(V214=regle!$E$11,regle!$E$23,
IF(V214=regle!$F$11,regle!$F$23,
IF(V214=regle!$G$11,regle!$G$23,
IF(V214=regle!$H$11,regle!$H$23,
IF(V214=regle!$I$11,regle!$I$23,
IF(V214=regle!$J$11,regle!$J$23,
IF(V214=regle!$K$11,regle!$K$23,0))))))))))))</f>
        <v>0</v>
      </c>
      <c r="AG214" s="17">
        <f>IF($A214,$J214*(IF(W214=regle!$B$11,regle!$B$23*IF(AP214=-2,1+regle!$B$35,1),
IF(W214=regle!$C$11,regle!$C$23,
IF(W214=regle!$D$11,regle!$D$23,
IF(W214=regle!$E$11,regle!$E$23,
IF(W214=regle!$F$11,regle!$F$23,
IF(W214=regle!$G$11,regle!$G$23,
IF(W214=regle!$H$11,regle!$H$23,
IF(W214=regle!$I$11,regle!$I$23,
IF(W214=regle!$J$11,regle!$J$23,
IF(W214=regle!$K$11,regle!$K$23,0))))))))))))</f>
        <v>0</v>
      </c>
      <c r="AH214" s="17">
        <f>IF($A214,$J214*(IF(X214=regle!$B$11,regle!$B$23*IF(AQ214=-2,1+regle!$B$35,1),
IF(X214=regle!$C$11,regle!$C$23,
IF(X214=regle!$D$11,regle!$D$23,
IF(X214=regle!$E$11,regle!$E$23,
IF(X214=regle!$F$11,regle!$F$23,
IF(X214=regle!$G$11,regle!$G$23,
IF(X214=regle!$H$11,regle!$H$23,
IF(X214=regle!$I$11,regle!$I$23,
IF(X214=regle!$J$11,regle!$J$23,
IF(X214=regle!$K$11,regle!$K$23,0))))))))))))</f>
        <v>2834.748</v>
      </c>
      <c r="AI214" s="17">
        <f>IF($A214,$J214*(IF(Y214=regle!$B$11,regle!$B$23*IF(AR214=-2,1+regle!$B$35,1),
IF(Y214=regle!$C$11,regle!$C$23,
IF(Y214=regle!$D$11,regle!$D$23,
IF(Y214=regle!$E$11,regle!$E$23,
IF(Y214=regle!$F$11,regle!$F$23,
IF(Y214=regle!$G$11,regle!$G$23,
IF(Y214=regle!$H$11,regle!$H$23,
IF(Y214=regle!$I$11,regle!$I$23,
IF(Y214=regle!$J$11,regle!$J$23,
IF(Y214=regle!$K$11,regle!$K$23,0))))))))))))</f>
        <v>0</v>
      </c>
      <c r="AJ214" s="17">
        <f>IF($A214,$J214*(IF(Z214=regle!$B$11,regle!$B$23*IF(AS214=-2,1+regle!$B$35,1),
IF(Z214=regle!$C$11,regle!$C$23,
IF(Z214=regle!$D$11,regle!$D$23,
IF(Z214=regle!$E$11,regle!$E$23,
IF(Z214=regle!$F$11,regle!$F$23,
IF(Z214=regle!$G$11,regle!$G$23,
IF(Z214=regle!$H$11,regle!$H$23,
IF(Z214=regle!$I$11,regle!$I$23,
IF(Z214=regle!$J$11,regle!$J$23,
IF(Z214=regle!$K$11,regle!$K$23,0))))))))))))</f>
        <v>0</v>
      </c>
      <c r="AK214" s="16">
        <f>IF(OR(Q214=regle!$J$11,Q214=regle!$K$11),-2,IF(Q214=regle!$B$11,0,IF(AK$1=$AK$1,IF($O214,-1,regle!$B$2-$M214),IF(AJ214=-1,-1,AJ214+1))))</f>
        <v>10</v>
      </c>
      <c r="AL214" s="16">
        <f>IF(OR(R214=regle!$J$11,R214=regle!$K$11),-2,IF(R214=regle!$B$11,0,IF(AL$1=$AK$1,IF($O214,-1,regle!$B$2-$M214),IF(AK214=-1,-1,AK214+1))))</f>
        <v>11</v>
      </c>
      <c r="AM214" s="16">
        <f>IF(OR(S214=regle!$J$11,S214=regle!$K$11),-2,IF(S214=regle!$B$11,0,IF(AM$1=$AK$1,IF($O214,-1,regle!$B$2-$M214),IF(AL214=-1,-1,AL214+1))))</f>
        <v>12</v>
      </c>
      <c r="AN214" s="16">
        <f>IF(OR(T214=regle!$J$11,T214=regle!$K$11),-2,IF(T214=regle!$B$11,0,IF(AN$1=$AK$1,IF($O214,-1,regle!$B$2-$M214),IF(AM214=-1,-1,AM214+1))))</f>
        <v>13</v>
      </c>
      <c r="AO214" s="16">
        <f>IF(OR(U214=regle!$J$11,U214=regle!$K$11),-2,IF(U214=regle!$B$11,0,IF(AO$1=$AK$1,IF($O214,-1,regle!$B$2-$M214),IF(AN214=-1,-1,AN214+1))))</f>
        <v>14</v>
      </c>
      <c r="AP214" s="16">
        <f>IF(OR(V214=regle!$J$11,V214=regle!$K$11),-2,IF(V214=regle!$B$11,0,IF(AP$1=$AK$1,IF($O214,-1,regle!$B$2-$M214),IF(AO214=-1,-1,AO214+1))))</f>
        <v>15</v>
      </c>
      <c r="AQ214" s="16">
        <f>IF(OR(W214=regle!$J$11,W214=regle!$K$11),-2,IF(W214=regle!$B$11,0,IF(AQ$1=$AK$1,IF($O214,-1,regle!$B$2-$M214),IF(AP214=-1,-1,AP214+1))))</f>
        <v>16</v>
      </c>
      <c r="AR214" s="16">
        <f>IF(OR(X214=regle!$J$11,X214=regle!$K$11),-2,IF(X214=regle!$B$11,0,IF(AR$1=$AK$1,IF($O214,-1,regle!$B$2-$M214),IF(AQ214=-1,-1,AQ214+1))))</f>
        <v>17</v>
      </c>
      <c r="AS214" s="16">
        <f>IF(OR(Y214=regle!$J$11,Y214=regle!$K$11),-2,IF(Y214=regle!$B$11,0,IF(AS$1=$AK$1,IF($O214,-1,regle!$B$2-$M214),IF(AR214=-1,-1,AR214+1))))</f>
        <v>18</v>
      </c>
      <c r="AT214" s="16">
        <f>IF(OR(Z214=regle!$J$11,Z214=regle!$K$11),-2,IF(Z214=regle!$B$11,0,IF(AT$1=$AK$1,IF($O214,-1,regle!$B$2-$M214),IF(AS214=-1,-1,AS214+1))))</f>
        <v>19</v>
      </c>
    </row>
    <row r="215" spans="1:46" x14ac:dyDescent="0.25">
      <c r="A215" t="b">
        <f>modif1!A215</f>
        <v>1</v>
      </c>
      <c r="B215">
        <f>ROW(modif1!B215)</f>
        <v>215</v>
      </c>
      <c r="C215" t="str">
        <f>modif1!C218</f>
        <v>200</v>
      </c>
      <c r="D215" t="str">
        <f>modif1!D215</f>
        <v>MOUSTEY</v>
      </c>
      <c r="E215">
        <f>modif1!E215</f>
        <v>12</v>
      </c>
      <c r="F215" t="str">
        <f>modif1!F215</f>
        <v>Lesbarreyres</v>
      </c>
      <c r="G215" t="str">
        <f>modif1!G215</f>
        <v>0M</v>
      </c>
      <c r="H215">
        <f>modif1!H215</f>
        <v>66</v>
      </c>
      <c r="I215" t="str">
        <f>modif1!I215</f>
        <v>b</v>
      </c>
      <c r="J215" s="11">
        <f>modif1!J215</f>
        <v>2.8188</v>
      </c>
      <c r="K215" t="str">
        <f>modif1!K215</f>
        <v>PLA</v>
      </c>
      <c r="L215" t="str">
        <f>modif1!L215</f>
        <v>PM</v>
      </c>
      <c r="M215">
        <f>modif1!M215</f>
        <v>2014</v>
      </c>
      <c r="N215" t="str">
        <f>modif1!N215</f>
        <v>PLA-PM_2014</v>
      </c>
      <c r="O215" t="b">
        <f>modif1!O215</f>
        <v>0</v>
      </c>
      <c r="P215">
        <v>40</v>
      </c>
      <c r="S215" t="s">
        <v>1803</v>
      </c>
      <c r="X215" t="s">
        <v>1804</v>
      </c>
      <c r="Z215"/>
      <c r="AA215" s="17">
        <f>IF($A215,$J215*(IF(Q215=regle!$B$11,regle!$B$23*IF(AJ215=-2,1+regle!$B$35,1),
IF(Q215=regle!$C$11,regle!$C$23,
IF(Q215=regle!$D$11,regle!$D$23,
IF(Q215=regle!$E$11,regle!$E$23,
IF(Q215=regle!$F$11,regle!$F$23,
IF(Q215=regle!$G$11,regle!$G$23,
IF(Q215=regle!$H$11,regle!$H$23,
IF(Q215=regle!$I$11,regle!$I$23,
IF(Q215=regle!$J$11,regle!$J$23,
IF(Q215=regle!$K$11,regle!$K$23,0))))))))))))</f>
        <v>0</v>
      </c>
      <c r="AB215" s="17">
        <f>IF($A215,$J215*(IF(R215=regle!$B$11,regle!$B$23*IF(AK215=-2,1+regle!$B$35,1),
IF(R215=regle!$C$11,regle!$C$23,
IF(R215=regle!$D$11,regle!$D$23,
IF(R215=regle!$E$11,regle!$E$23,
IF(R215=regle!$F$11,regle!$F$23,
IF(R215=regle!$G$11,regle!$G$23,
IF(R215=regle!$H$11,regle!$H$23,
IF(R215=regle!$I$11,regle!$I$23,
IF(R215=regle!$J$11,regle!$J$23,
IF(R215=regle!$K$11,regle!$K$23,0))))))))))))</f>
        <v>0</v>
      </c>
      <c r="AC215" s="17">
        <f>IF($A215,$J215*(IF(S215=regle!$B$11,regle!$B$23*IF(AL215=-2,1+regle!$B$35,1),
IF(S215=regle!$C$11,regle!$C$23,
IF(S215=regle!$D$11,regle!$D$23,
IF(S215=regle!$E$11,regle!$E$23,
IF(S215=regle!$F$11,regle!$F$23,
IF(S215=regle!$G$11,regle!$G$23,
IF(S215=regle!$H$11,regle!$H$23,
IF(S215=regle!$I$11,regle!$I$23,
IF(S215=regle!$J$11,regle!$J$23,
IF(S215=regle!$K$11,regle!$K$23,0))))))))))))</f>
        <v>1623.6288</v>
      </c>
      <c r="AD215" s="17">
        <f>IF($A215,$J215*(IF(T215=regle!$B$11,regle!$B$23*IF(AM215=-2,1+regle!$B$35,1),
IF(T215=regle!$C$11,regle!$C$23,
IF(T215=regle!$D$11,regle!$D$23,
IF(T215=regle!$E$11,regle!$E$23,
IF(T215=regle!$F$11,regle!$F$23,
IF(T215=regle!$G$11,regle!$G$23,
IF(T215=regle!$H$11,regle!$H$23,
IF(T215=regle!$I$11,regle!$I$23,
IF(T215=regle!$J$11,regle!$J$23,
IF(T215=regle!$K$11,regle!$K$23,0))))))))))))</f>
        <v>0</v>
      </c>
      <c r="AE215" s="17">
        <f>IF($A215,$J215*(IF(U215=regle!$B$11,regle!$B$23*IF(AN215=-2,1+regle!$B$35,1),
IF(U215=regle!$C$11,regle!$C$23,
IF(U215=regle!$D$11,regle!$D$23,
IF(U215=regle!$E$11,regle!$E$23,
IF(U215=regle!$F$11,regle!$F$23,
IF(U215=regle!$G$11,regle!$G$23,
IF(U215=regle!$H$11,regle!$H$23,
IF(U215=regle!$I$11,regle!$I$23,
IF(U215=regle!$J$11,regle!$J$23,
IF(U215=regle!$K$11,regle!$K$23,0))))))))))))</f>
        <v>0</v>
      </c>
      <c r="AF215" s="17">
        <f>IF($A215,$J215*(IF(V215=regle!$B$11,regle!$B$23*IF(AO215=-2,1+regle!$B$35,1),
IF(V215=regle!$C$11,regle!$C$23,
IF(V215=regle!$D$11,regle!$D$23,
IF(V215=regle!$E$11,regle!$E$23,
IF(V215=regle!$F$11,regle!$F$23,
IF(V215=regle!$G$11,regle!$G$23,
IF(V215=regle!$H$11,regle!$H$23,
IF(V215=regle!$I$11,regle!$I$23,
IF(V215=regle!$J$11,regle!$J$23,
IF(V215=regle!$K$11,regle!$K$23,0))))))))))))</f>
        <v>0</v>
      </c>
      <c r="AG215" s="17">
        <f>IF($A215,$J215*(IF(W215=regle!$B$11,regle!$B$23*IF(AP215=-2,1+regle!$B$35,1),
IF(W215=regle!$C$11,regle!$C$23,
IF(W215=regle!$D$11,regle!$D$23,
IF(W215=regle!$E$11,regle!$E$23,
IF(W215=regle!$F$11,regle!$F$23,
IF(W215=regle!$G$11,regle!$G$23,
IF(W215=regle!$H$11,regle!$H$23,
IF(W215=regle!$I$11,regle!$I$23,
IF(W215=regle!$J$11,regle!$J$23,
IF(W215=regle!$K$11,regle!$K$23,0))))))))))))</f>
        <v>0</v>
      </c>
      <c r="AH215" s="17">
        <f>IF($A215,$J215*(IF(X215=regle!$B$11,regle!$B$23*IF(AQ215=-2,1+regle!$B$35,1),
IF(X215=regle!$C$11,regle!$C$23,
IF(X215=regle!$D$11,regle!$D$23,
IF(X215=regle!$E$11,regle!$E$23,
IF(X215=regle!$F$11,regle!$F$23,
IF(X215=regle!$G$11,regle!$G$23,
IF(X215=regle!$H$11,regle!$H$23,
IF(X215=regle!$I$11,regle!$I$23,
IF(X215=regle!$J$11,regle!$J$23,
IF(X215=regle!$K$11,regle!$K$23,0))))))))))))</f>
        <v>2367.7919999999999</v>
      </c>
      <c r="AI215" s="17">
        <f>IF($A215,$J215*(IF(Y215=regle!$B$11,regle!$B$23*IF(AR215=-2,1+regle!$B$35,1),
IF(Y215=regle!$C$11,regle!$C$23,
IF(Y215=regle!$D$11,regle!$D$23,
IF(Y215=regle!$E$11,regle!$E$23,
IF(Y215=regle!$F$11,regle!$F$23,
IF(Y215=regle!$G$11,regle!$G$23,
IF(Y215=regle!$H$11,regle!$H$23,
IF(Y215=regle!$I$11,regle!$I$23,
IF(Y215=regle!$J$11,regle!$J$23,
IF(Y215=regle!$K$11,regle!$K$23,0))))))))))))</f>
        <v>0</v>
      </c>
      <c r="AJ215" s="17">
        <f>IF($A215,$J215*(IF(Z215=regle!$B$11,regle!$B$23*IF(AS215=-2,1+regle!$B$35,1),
IF(Z215=regle!$C$11,regle!$C$23,
IF(Z215=regle!$D$11,regle!$D$23,
IF(Z215=regle!$E$11,regle!$E$23,
IF(Z215=regle!$F$11,regle!$F$23,
IF(Z215=regle!$G$11,regle!$G$23,
IF(Z215=regle!$H$11,regle!$H$23,
IF(Z215=regle!$I$11,regle!$I$23,
IF(Z215=regle!$J$11,regle!$J$23,
IF(Z215=regle!$K$11,regle!$K$23,0))))))))))))</f>
        <v>0</v>
      </c>
      <c r="AK215" s="16">
        <f>IF(OR(Q215=regle!$J$11,Q215=regle!$K$11),-2,IF(Q215=regle!$B$11,0,IF(AK$1=$AK$1,IF($O215,-1,regle!$B$2-$M215),IF(AJ215=-1,-1,AJ215+1))))</f>
        <v>10</v>
      </c>
      <c r="AL215" s="16">
        <f>IF(OR(R215=regle!$J$11,R215=regle!$K$11),-2,IF(R215=regle!$B$11,0,IF(AL$1=$AK$1,IF($O215,-1,regle!$B$2-$M215),IF(AK215=-1,-1,AK215+1))))</f>
        <v>11</v>
      </c>
      <c r="AM215" s="16">
        <f>IF(OR(S215=regle!$J$11,S215=regle!$K$11),-2,IF(S215=regle!$B$11,0,IF(AM$1=$AK$1,IF($O215,-1,regle!$B$2-$M215),IF(AL215=-1,-1,AL215+1))))</f>
        <v>12</v>
      </c>
      <c r="AN215" s="16">
        <f>IF(OR(T215=regle!$J$11,T215=regle!$K$11),-2,IF(T215=regle!$B$11,0,IF(AN$1=$AK$1,IF($O215,-1,regle!$B$2-$M215),IF(AM215=-1,-1,AM215+1))))</f>
        <v>13</v>
      </c>
      <c r="AO215" s="16">
        <f>IF(OR(U215=regle!$J$11,U215=regle!$K$11),-2,IF(U215=regle!$B$11,0,IF(AO$1=$AK$1,IF($O215,-1,regle!$B$2-$M215),IF(AN215=-1,-1,AN215+1))))</f>
        <v>14</v>
      </c>
      <c r="AP215" s="16">
        <f>IF(OR(V215=regle!$J$11,V215=regle!$K$11),-2,IF(V215=regle!$B$11,0,IF(AP$1=$AK$1,IF($O215,-1,regle!$B$2-$M215),IF(AO215=-1,-1,AO215+1))))</f>
        <v>15</v>
      </c>
      <c r="AQ215" s="16">
        <f>IF(OR(W215=regle!$J$11,W215=regle!$K$11),-2,IF(W215=regle!$B$11,0,IF(AQ$1=$AK$1,IF($O215,-1,regle!$B$2-$M215),IF(AP215=-1,-1,AP215+1))))</f>
        <v>16</v>
      </c>
      <c r="AR215" s="16">
        <f>IF(OR(X215=regle!$J$11,X215=regle!$K$11),-2,IF(X215=regle!$B$11,0,IF(AR$1=$AK$1,IF($O215,-1,regle!$B$2-$M215),IF(AQ215=-1,-1,AQ215+1))))</f>
        <v>17</v>
      </c>
      <c r="AS215" s="16">
        <f>IF(OR(Y215=regle!$J$11,Y215=regle!$K$11),-2,IF(Y215=regle!$B$11,0,IF(AS$1=$AK$1,IF($O215,-1,regle!$B$2-$M215),IF(AR215=-1,-1,AR215+1))))</f>
        <v>18</v>
      </c>
      <c r="AT215" s="16">
        <f>IF(OR(Z215=regle!$J$11,Z215=regle!$K$11),-2,IF(Z215=regle!$B$11,0,IF(AT$1=$AK$1,IF($O215,-1,regle!$B$2-$M215),IF(AS215=-1,-1,AS215+1))))</f>
        <v>19</v>
      </c>
    </row>
    <row r="216" spans="1:46" x14ac:dyDescent="0.25">
      <c r="A216" t="b">
        <f>modif1!A216</f>
        <v>1</v>
      </c>
      <c r="B216">
        <f>ROW(modif1!B216)</f>
        <v>216</v>
      </c>
      <c r="C216" t="str">
        <f>modif1!C219</f>
        <v>200</v>
      </c>
      <c r="D216" t="str">
        <f>modif1!D216</f>
        <v>MOUSTEY</v>
      </c>
      <c r="E216">
        <f>modif1!E216</f>
        <v>4</v>
      </c>
      <c r="F216" t="str">
        <f>modif1!F216</f>
        <v>Kycs</v>
      </c>
      <c r="G216" t="str">
        <f>modif1!G216</f>
        <v>0M</v>
      </c>
      <c r="H216">
        <f>modif1!H216</f>
        <v>43</v>
      </c>
      <c r="I216" t="str">
        <f>modif1!I216</f>
        <v/>
      </c>
      <c r="J216" s="11">
        <f>modif1!J216</f>
        <v>1.52</v>
      </c>
      <c r="K216" t="str">
        <f>modif1!K216</f>
        <v>PLA</v>
      </c>
      <c r="L216" t="str">
        <f>modif1!L216</f>
        <v>PM</v>
      </c>
      <c r="M216">
        <f>modif1!M216</f>
        <v>2014</v>
      </c>
      <c r="N216" t="str">
        <f>modif1!N216</f>
        <v>PLA-PM_2014</v>
      </c>
      <c r="O216" t="b">
        <f>modif1!O216</f>
        <v>0</v>
      </c>
      <c r="P216">
        <v>40</v>
      </c>
      <c r="S216" t="s">
        <v>1803</v>
      </c>
      <c r="X216" t="s">
        <v>1804</v>
      </c>
      <c r="Z216"/>
      <c r="AA216" s="17">
        <f>IF($A216,$J216*(IF(Q216=regle!$B$11,regle!$B$23*IF(AJ216=-2,1+regle!$B$35,1),
IF(Q216=regle!$C$11,regle!$C$23,
IF(Q216=regle!$D$11,regle!$D$23,
IF(Q216=regle!$E$11,regle!$E$23,
IF(Q216=regle!$F$11,regle!$F$23,
IF(Q216=regle!$G$11,regle!$G$23,
IF(Q216=regle!$H$11,regle!$H$23,
IF(Q216=regle!$I$11,regle!$I$23,
IF(Q216=regle!$J$11,regle!$J$23,
IF(Q216=regle!$K$11,regle!$K$23,0))))))))))))</f>
        <v>0</v>
      </c>
      <c r="AB216" s="17">
        <f>IF($A216,$J216*(IF(R216=regle!$B$11,regle!$B$23*IF(AK216=-2,1+regle!$B$35,1),
IF(R216=regle!$C$11,regle!$C$23,
IF(R216=regle!$D$11,regle!$D$23,
IF(R216=regle!$E$11,regle!$E$23,
IF(R216=regle!$F$11,regle!$F$23,
IF(R216=regle!$G$11,regle!$G$23,
IF(R216=regle!$H$11,regle!$H$23,
IF(R216=regle!$I$11,regle!$I$23,
IF(R216=regle!$J$11,regle!$J$23,
IF(R216=regle!$K$11,regle!$K$23,0))))))))))))</f>
        <v>0</v>
      </c>
      <c r="AC216" s="17">
        <f>IF($A216,$J216*(IF(S216=regle!$B$11,regle!$B$23*IF(AL216=-2,1+regle!$B$35,1),
IF(S216=regle!$C$11,regle!$C$23,
IF(S216=regle!$D$11,regle!$D$23,
IF(S216=regle!$E$11,regle!$E$23,
IF(S216=regle!$F$11,regle!$F$23,
IF(S216=regle!$G$11,regle!$G$23,
IF(S216=regle!$H$11,regle!$H$23,
IF(S216=regle!$I$11,regle!$I$23,
IF(S216=regle!$J$11,regle!$J$23,
IF(S216=regle!$K$11,regle!$K$23,0))))))))))))</f>
        <v>875.52</v>
      </c>
      <c r="AD216" s="17">
        <f>IF($A216,$J216*(IF(T216=regle!$B$11,regle!$B$23*IF(AM216=-2,1+regle!$B$35,1),
IF(T216=regle!$C$11,regle!$C$23,
IF(T216=regle!$D$11,regle!$D$23,
IF(T216=regle!$E$11,regle!$E$23,
IF(T216=regle!$F$11,regle!$F$23,
IF(T216=regle!$G$11,regle!$G$23,
IF(T216=regle!$H$11,regle!$H$23,
IF(T216=regle!$I$11,regle!$I$23,
IF(T216=regle!$J$11,regle!$J$23,
IF(T216=regle!$K$11,regle!$K$23,0))))))))))))</f>
        <v>0</v>
      </c>
      <c r="AE216" s="17">
        <f>IF($A216,$J216*(IF(U216=regle!$B$11,regle!$B$23*IF(AN216=-2,1+regle!$B$35,1),
IF(U216=regle!$C$11,regle!$C$23,
IF(U216=regle!$D$11,regle!$D$23,
IF(U216=regle!$E$11,regle!$E$23,
IF(U216=regle!$F$11,regle!$F$23,
IF(U216=regle!$G$11,regle!$G$23,
IF(U216=regle!$H$11,regle!$H$23,
IF(U216=regle!$I$11,regle!$I$23,
IF(U216=regle!$J$11,regle!$J$23,
IF(U216=regle!$K$11,regle!$K$23,0))))))))))))</f>
        <v>0</v>
      </c>
      <c r="AF216" s="17">
        <f>IF($A216,$J216*(IF(V216=regle!$B$11,regle!$B$23*IF(AO216=-2,1+regle!$B$35,1),
IF(V216=regle!$C$11,regle!$C$23,
IF(V216=regle!$D$11,regle!$D$23,
IF(V216=regle!$E$11,regle!$E$23,
IF(V216=regle!$F$11,regle!$F$23,
IF(V216=regle!$G$11,regle!$G$23,
IF(V216=regle!$H$11,regle!$H$23,
IF(V216=regle!$I$11,regle!$I$23,
IF(V216=regle!$J$11,regle!$J$23,
IF(V216=regle!$K$11,regle!$K$23,0))))))))))))</f>
        <v>0</v>
      </c>
      <c r="AG216" s="17">
        <f>IF($A216,$J216*(IF(W216=regle!$B$11,regle!$B$23*IF(AP216=-2,1+regle!$B$35,1),
IF(W216=regle!$C$11,regle!$C$23,
IF(W216=regle!$D$11,regle!$D$23,
IF(W216=regle!$E$11,regle!$E$23,
IF(W216=regle!$F$11,regle!$F$23,
IF(W216=regle!$G$11,regle!$G$23,
IF(W216=regle!$H$11,regle!$H$23,
IF(W216=regle!$I$11,regle!$I$23,
IF(W216=regle!$J$11,regle!$J$23,
IF(W216=regle!$K$11,regle!$K$23,0))))))))))))</f>
        <v>0</v>
      </c>
      <c r="AH216" s="17">
        <f>IF($A216,$J216*(IF(X216=regle!$B$11,regle!$B$23*IF(AQ216=-2,1+regle!$B$35,1),
IF(X216=regle!$C$11,regle!$C$23,
IF(X216=regle!$D$11,regle!$D$23,
IF(X216=regle!$E$11,regle!$E$23,
IF(X216=regle!$F$11,regle!$F$23,
IF(X216=regle!$G$11,regle!$G$23,
IF(X216=regle!$H$11,regle!$H$23,
IF(X216=regle!$I$11,regle!$I$23,
IF(X216=regle!$J$11,regle!$J$23,
IF(X216=regle!$K$11,regle!$K$23,0))))))))))))</f>
        <v>1276.8</v>
      </c>
      <c r="AI216" s="17">
        <f>IF($A216,$J216*(IF(Y216=regle!$B$11,regle!$B$23*IF(AR216=-2,1+regle!$B$35,1),
IF(Y216=regle!$C$11,regle!$C$23,
IF(Y216=regle!$D$11,regle!$D$23,
IF(Y216=regle!$E$11,regle!$E$23,
IF(Y216=regle!$F$11,regle!$F$23,
IF(Y216=regle!$G$11,regle!$G$23,
IF(Y216=regle!$H$11,regle!$H$23,
IF(Y216=regle!$I$11,regle!$I$23,
IF(Y216=regle!$J$11,regle!$J$23,
IF(Y216=regle!$K$11,regle!$K$23,0))))))))))))</f>
        <v>0</v>
      </c>
      <c r="AJ216" s="17">
        <f>IF($A216,$J216*(IF(Z216=regle!$B$11,regle!$B$23*IF(AS216=-2,1+regle!$B$35,1),
IF(Z216=regle!$C$11,regle!$C$23,
IF(Z216=regle!$D$11,regle!$D$23,
IF(Z216=regle!$E$11,regle!$E$23,
IF(Z216=regle!$F$11,regle!$F$23,
IF(Z216=regle!$G$11,regle!$G$23,
IF(Z216=regle!$H$11,regle!$H$23,
IF(Z216=regle!$I$11,regle!$I$23,
IF(Z216=regle!$J$11,regle!$J$23,
IF(Z216=regle!$K$11,regle!$K$23,0))))))))))))</f>
        <v>0</v>
      </c>
      <c r="AK216" s="16">
        <f>IF(OR(Q216=regle!$J$11,Q216=regle!$K$11),-2,IF(Q216=regle!$B$11,0,IF(AK$1=$AK$1,IF($O216,-1,regle!$B$2-$M216),IF(AJ216=-1,-1,AJ216+1))))</f>
        <v>10</v>
      </c>
      <c r="AL216" s="16">
        <f>IF(OR(R216=regle!$J$11,R216=regle!$K$11),-2,IF(R216=regle!$B$11,0,IF(AL$1=$AK$1,IF($O216,-1,regle!$B$2-$M216),IF(AK216=-1,-1,AK216+1))))</f>
        <v>11</v>
      </c>
      <c r="AM216" s="16">
        <f>IF(OR(S216=regle!$J$11,S216=regle!$K$11),-2,IF(S216=regle!$B$11,0,IF(AM$1=$AK$1,IF($O216,-1,regle!$B$2-$M216),IF(AL216=-1,-1,AL216+1))))</f>
        <v>12</v>
      </c>
      <c r="AN216" s="16">
        <f>IF(OR(T216=regle!$J$11,T216=regle!$K$11),-2,IF(T216=regle!$B$11,0,IF(AN$1=$AK$1,IF($O216,-1,regle!$B$2-$M216),IF(AM216=-1,-1,AM216+1))))</f>
        <v>13</v>
      </c>
      <c r="AO216" s="16">
        <f>IF(OR(U216=regle!$J$11,U216=regle!$K$11),-2,IF(U216=regle!$B$11,0,IF(AO$1=$AK$1,IF($O216,-1,regle!$B$2-$M216),IF(AN216=-1,-1,AN216+1))))</f>
        <v>14</v>
      </c>
      <c r="AP216" s="16">
        <f>IF(OR(V216=regle!$J$11,V216=regle!$K$11),-2,IF(V216=regle!$B$11,0,IF(AP$1=$AK$1,IF($O216,-1,regle!$B$2-$M216),IF(AO216=-1,-1,AO216+1))))</f>
        <v>15</v>
      </c>
      <c r="AQ216" s="16">
        <f>IF(OR(W216=regle!$J$11,W216=regle!$K$11),-2,IF(W216=regle!$B$11,0,IF(AQ$1=$AK$1,IF($O216,-1,regle!$B$2-$M216),IF(AP216=-1,-1,AP216+1))))</f>
        <v>16</v>
      </c>
      <c r="AR216" s="16">
        <f>IF(OR(X216=regle!$J$11,X216=regle!$K$11),-2,IF(X216=regle!$B$11,0,IF(AR$1=$AK$1,IF($O216,-1,regle!$B$2-$M216),IF(AQ216=-1,-1,AQ216+1))))</f>
        <v>17</v>
      </c>
      <c r="AS216" s="16">
        <f>IF(OR(Y216=regle!$J$11,Y216=regle!$K$11),-2,IF(Y216=regle!$B$11,0,IF(AS$1=$AK$1,IF($O216,-1,regle!$B$2-$M216),IF(AR216=-1,-1,AR216+1))))</f>
        <v>18</v>
      </c>
      <c r="AT216" s="16">
        <f>IF(OR(Z216=regle!$J$11,Z216=regle!$K$11),-2,IF(Z216=regle!$B$11,0,IF(AT$1=$AK$1,IF($O216,-1,regle!$B$2-$M216),IF(AS216=-1,-1,AS216+1))))</f>
        <v>19</v>
      </c>
    </row>
    <row r="217" spans="1:46" x14ac:dyDescent="0.25">
      <c r="A217" t="b">
        <f>modif1!A217</f>
        <v>1</v>
      </c>
      <c r="B217">
        <f>ROW(modif1!B217)</f>
        <v>217</v>
      </c>
      <c r="C217" t="str">
        <f>modif1!C220</f>
        <v>171</v>
      </c>
      <c r="D217" t="str">
        <f>modif1!D217</f>
        <v>MOUSTEY</v>
      </c>
      <c r="E217">
        <f>modif1!E217</f>
        <v>4</v>
      </c>
      <c r="F217" t="str">
        <f>modif1!F217</f>
        <v>Kycs</v>
      </c>
      <c r="G217" t="str">
        <f>modif1!G217</f>
        <v>0M</v>
      </c>
      <c r="H217">
        <f>modif1!H217</f>
        <v>33</v>
      </c>
      <c r="I217" t="str">
        <f>modif1!I217</f>
        <v>j</v>
      </c>
      <c r="J217" s="11">
        <f>modif1!J217</f>
        <v>0.52559999999999996</v>
      </c>
      <c r="K217" t="str">
        <f>modif1!K217</f>
        <v>PLA</v>
      </c>
      <c r="L217" t="str">
        <f>modif1!L217</f>
        <v>PM</v>
      </c>
      <c r="M217">
        <f>modif1!M217</f>
        <v>2014</v>
      </c>
      <c r="N217" t="str">
        <f>modif1!N217</f>
        <v>PLA-PM_2014</v>
      </c>
      <c r="O217" t="b">
        <f>modif1!O217</f>
        <v>0</v>
      </c>
      <c r="P217">
        <v>40</v>
      </c>
      <c r="S217" s="22"/>
      <c r="T217" t="s">
        <v>1803</v>
      </c>
      <c r="X217" t="s">
        <v>1804</v>
      </c>
      <c r="Z217"/>
      <c r="AA217" s="17">
        <f>IF($A217,$J217*(IF(Q217=regle!$B$11,regle!$B$23*IF(AJ217=-2,1+regle!$B$35,1),
IF(Q217=regle!$C$11,regle!$C$23,
IF(Q217=regle!$D$11,regle!$D$23,
IF(Q217=regle!$E$11,regle!$E$23,
IF(Q217=regle!$F$11,regle!$F$23,
IF(Q217=regle!$G$11,regle!$G$23,
IF(Q217=regle!$H$11,regle!$H$23,
IF(Q217=regle!$I$11,regle!$I$23,
IF(Q217=regle!$J$11,regle!$J$23,
IF(Q217=regle!$K$11,regle!$K$23,0))))))))))))</f>
        <v>0</v>
      </c>
      <c r="AB217" s="17">
        <f>IF($A217,$J217*(IF(R217=regle!$B$11,regle!$B$23*IF(AK217=-2,1+regle!$B$35,1),
IF(R217=regle!$C$11,regle!$C$23,
IF(R217=regle!$D$11,regle!$D$23,
IF(R217=regle!$E$11,regle!$E$23,
IF(R217=regle!$F$11,regle!$F$23,
IF(R217=regle!$G$11,regle!$G$23,
IF(R217=regle!$H$11,regle!$H$23,
IF(R217=regle!$I$11,regle!$I$23,
IF(R217=regle!$J$11,regle!$J$23,
IF(R217=regle!$K$11,regle!$K$23,0))))))))))))</f>
        <v>0</v>
      </c>
      <c r="AC217" s="17">
        <f>IF($A217,$J217*(IF(S217=regle!$B$11,regle!$B$23*IF(AL217=-2,1+regle!$B$35,1),
IF(S217=regle!$C$11,regle!$C$23,
IF(S217=regle!$D$11,regle!$D$23,
IF(S217=regle!$E$11,regle!$E$23,
IF(S217=regle!$F$11,regle!$F$23,
IF(S217=regle!$G$11,regle!$G$23,
IF(S217=regle!$H$11,regle!$H$23,
IF(S217=regle!$I$11,regle!$I$23,
IF(S217=regle!$J$11,regle!$J$23,
IF(S217=regle!$K$11,regle!$K$23,0))))))))))))</f>
        <v>0</v>
      </c>
      <c r="AD217" s="17">
        <f>IF($A217,$J217*(IF(T217=regle!$B$11,regle!$B$23*IF(AM217=-2,1+regle!$B$35,1),
IF(T217=regle!$C$11,regle!$C$23,
IF(T217=regle!$D$11,regle!$D$23,
IF(T217=regle!$E$11,regle!$E$23,
IF(T217=regle!$F$11,regle!$F$23,
IF(T217=regle!$G$11,regle!$G$23,
IF(T217=regle!$H$11,regle!$H$23,
IF(T217=regle!$I$11,regle!$I$23,
IF(T217=regle!$J$11,regle!$J$23,
IF(T217=regle!$K$11,regle!$K$23,0))))))))))))</f>
        <v>302.74559999999997</v>
      </c>
      <c r="AE217" s="17">
        <f>IF($A217,$J217*(IF(U217=regle!$B$11,regle!$B$23*IF(AN217=-2,1+regle!$B$35,1),
IF(U217=regle!$C$11,regle!$C$23,
IF(U217=regle!$D$11,regle!$D$23,
IF(U217=regle!$E$11,regle!$E$23,
IF(U217=regle!$F$11,regle!$F$23,
IF(U217=regle!$G$11,regle!$G$23,
IF(U217=regle!$H$11,regle!$H$23,
IF(U217=regle!$I$11,regle!$I$23,
IF(U217=regle!$J$11,regle!$J$23,
IF(U217=regle!$K$11,regle!$K$23,0))))))))))))</f>
        <v>0</v>
      </c>
      <c r="AF217" s="17">
        <f>IF($A217,$J217*(IF(V217=regle!$B$11,regle!$B$23*IF(AO217=-2,1+regle!$B$35,1),
IF(V217=regle!$C$11,regle!$C$23,
IF(V217=regle!$D$11,regle!$D$23,
IF(V217=regle!$E$11,regle!$E$23,
IF(V217=regle!$F$11,regle!$F$23,
IF(V217=regle!$G$11,regle!$G$23,
IF(V217=regle!$H$11,regle!$H$23,
IF(V217=regle!$I$11,regle!$I$23,
IF(V217=regle!$J$11,regle!$J$23,
IF(V217=regle!$K$11,regle!$K$23,0))))))))))))</f>
        <v>0</v>
      </c>
      <c r="AG217" s="17">
        <f>IF($A217,$J217*(IF(W217=regle!$B$11,regle!$B$23*IF(AP217=-2,1+regle!$B$35,1),
IF(W217=regle!$C$11,regle!$C$23,
IF(W217=regle!$D$11,regle!$D$23,
IF(W217=regle!$E$11,regle!$E$23,
IF(W217=regle!$F$11,regle!$F$23,
IF(W217=regle!$G$11,regle!$G$23,
IF(W217=regle!$H$11,regle!$H$23,
IF(W217=regle!$I$11,regle!$I$23,
IF(W217=regle!$J$11,regle!$J$23,
IF(W217=regle!$K$11,regle!$K$23,0))))))))))))</f>
        <v>0</v>
      </c>
      <c r="AH217" s="17">
        <f>IF($A217,$J217*(IF(X217=regle!$B$11,regle!$B$23*IF(AQ217=-2,1+regle!$B$35,1),
IF(X217=regle!$C$11,regle!$C$23,
IF(X217=regle!$D$11,regle!$D$23,
IF(X217=regle!$E$11,regle!$E$23,
IF(X217=regle!$F$11,regle!$F$23,
IF(X217=regle!$G$11,regle!$G$23,
IF(X217=regle!$H$11,regle!$H$23,
IF(X217=regle!$I$11,regle!$I$23,
IF(X217=regle!$J$11,regle!$J$23,
IF(X217=regle!$K$11,regle!$K$23,0))))))))))))</f>
        <v>441.50399999999996</v>
      </c>
      <c r="AI217" s="17">
        <f>IF($A217,$J217*(IF(Y217=regle!$B$11,regle!$B$23*IF(AR217=-2,1+regle!$B$35,1),
IF(Y217=regle!$C$11,regle!$C$23,
IF(Y217=regle!$D$11,regle!$D$23,
IF(Y217=regle!$E$11,regle!$E$23,
IF(Y217=regle!$F$11,regle!$F$23,
IF(Y217=regle!$G$11,regle!$G$23,
IF(Y217=regle!$H$11,regle!$H$23,
IF(Y217=regle!$I$11,regle!$I$23,
IF(Y217=regle!$J$11,regle!$J$23,
IF(Y217=regle!$K$11,regle!$K$23,0))))))))))))</f>
        <v>0</v>
      </c>
      <c r="AJ217" s="17">
        <f>IF($A217,$J217*(IF(Z217=regle!$B$11,regle!$B$23*IF(AS217=-2,1+regle!$B$35,1),
IF(Z217=regle!$C$11,regle!$C$23,
IF(Z217=regle!$D$11,regle!$D$23,
IF(Z217=regle!$E$11,regle!$E$23,
IF(Z217=regle!$F$11,regle!$F$23,
IF(Z217=regle!$G$11,regle!$G$23,
IF(Z217=regle!$H$11,regle!$H$23,
IF(Z217=regle!$I$11,regle!$I$23,
IF(Z217=regle!$J$11,regle!$J$23,
IF(Z217=regle!$K$11,regle!$K$23,0))))))))))))</f>
        <v>0</v>
      </c>
      <c r="AK217" s="16">
        <f>IF(OR(Q217=regle!$J$11,Q217=regle!$K$11),-2,IF(Q217=regle!$B$11,0,IF(AK$1=$AK$1,IF($O217,-1,regle!$B$2-$M217),IF(AJ217=-1,-1,AJ217+1))))</f>
        <v>10</v>
      </c>
      <c r="AL217" s="16">
        <f>IF(OR(R217=regle!$J$11,R217=regle!$K$11),-2,IF(R217=regle!$B$11,0,IF(AL$1=$AK$1,IF($O217,-1,regle!$B$2-$M217),IF(AK217=-1,-1,AK217+1))))</f>
        <v>11</v>
      </c>
      <c r="AM217" s="16">
        <f>IF(OR(S217=regle!$J$11,S217=regle!$K$11),-2,IF(S217=regle!$B$11,0,IF(AM$1=$AK$1,IF($O217,-1,regle!$B$2-$M217),IF(AL217=-1,-1,AL217+1))))</f>
        <v>12</v>
      </c>
      <c r="AN217" s="16">
        <f>IF(OR(T217=regle!$J$11,T217=regle!$K$11),-2,IF(T217=regle!$B$11,0,IF(AN$1=$AK$1,IF($O217,-1,regle!$B$2-$M217),IF(AM217=-1,-1,AM217+1))))</f>
        <v>13</v>
      </c>
      <c r="AO217" s="16">
        <f>IF(OR(U217=regle!$J$11,U217=regle!$K$11),-2,IF(U217=regle!$B$11,0,IF(AO$1=$AK$1,IF($O217,-1,regle!$B$2-$M217),IF(AN217=-1,-1,AN217+1))))</f>
        <v>14</v>
      </c>
      <c r="AP217" s="16">
        <f>IF(OR(V217=regle!$J$11,V217=regle!$K$11),-2,IF(V217=regle!$B$11,0,IF(AP$1=$AK$1,IF($O217,-1,regle!$B$2-$M217),IF(AO217=-1,-1,AO217+1))))</f>
        <v>15</v>
      </c>
      <c r="AQ217" s="16">
        <f>IF(OR(W217=regle!$J$11,W217=regle!$K$11),-2,IF(W217=regle!$B$11,0,IF(AQ$1=$AK$1,IF($O217,-1,regle!$B$2-$M217),IF(AP217=-1,-1,AP217+1))))</f>
        <v>16</v>
      </c>
      <c r="AR217" s="16">
        <f>IF(OR(X217=regle!$J$11,X217=regle!$K$11),-2,IF(X217=regle!$B$11,0,IF(AR$1=$AK$1,IF($O217,-1,regle!$B$2-$M217),IF(AQ217=-1,-1,AQ217+1))))</f>
        <v>17</v>
      </c>
      <c r="AS217" s="16">
        <f>IF(OR(Y217=regle!$J$11,Y217=regle!$K$11),-2,IF(Y217=regle!$B$11,0,IF(AS$1=$AK$1,IF($O217,-1,regle!$B$2-$M217),IF(AR217=-1,-1,AR217+1))))</f>
        <v>18</v>
      </c>
      <c r="AT217" s="16">
        <f>IF(OR(Z217=regle!$J$11,Z217=regle!$K$11),-2,IF(Z217=regle!$B$11,0,IF(AT$1=$AK$1,IF($O217,-1,regle!$B$2-$M217),IF(AS217=-1,-1,AS217+1))))</f>
        <v>19</v>
      </c>
    </row>
    <row r="218" spans="1:46" x14ac:dyDescent="0.25">
      <c r="A218" t="b">
        <f>modif1!A218</f>
        <v>1</v>
      </c>
      <c r="B218">
        <f>ROW(modif1!B218)</f>
        <v>218</v>
      </c>
      <c r="C218" t="str">
        <f>modif1!C221</f>
        <v>171</v>
      </c>
      <c r="D218" t="str">
        <f>modif1!D218</f>
        <v>MOUSTEY</v>
      </c>
      <c r="E218">
        <f>modif1!E218</f>
        <v>4</v>
      </c>
      <c r="F218" t="str">
        <f>modif1!F218</f>
        <v>Kycs</v>
      </c>
      <c r="G218" t="str">
        <f>modif1!G218</f>
        <v>0M</v>
      </c>
      <c r="H218">
        <f>modif1!H218</f>
        <v>42</v>
      </c>
      <c r="I218" t="str">
        <f>modif1!I218</f>
        <v/>
      </c>
      <c r="J218" s="11">
        <f>modif1!J218</f>
        <v>1.4800000000000001E-2</v>
      </c>
      <c r="K218" t="str">
        <f>modif1!K218</f>
        <v>PLA</v>
      </c>
      <c r="L218" t="str">
        <f>modif1!L218</f>
        <v>PM</v>
      </c>
      <c r="M218">
        <f>modif1!M218</f>
        <v>2014</v>
      </c>
      <c r="N218" t="str">
        <f>modif1!N218</f>
        <v>PLA-PM_2014</v>
      </c>
      <c r="O218" t="b">
        <f>modif1!O218</f>
        <v>0</v>
      </c>
      <c r="P218">
        <v>40</v>
      </c>
      <c r="S218" t="s">
        <v>1803</v>
      </c>
      <c r="X218" t="s">
        <v>1804</v>
      </c>
      <c r="Z218"/>
      <c r="AA218" s="17">
        <f>IF($A218,$J218*(IF(Q218=regle!$B$11,regle!$B$23*IF(AJ218=-2,1+regle!$B$35,1),
IF(Q218=regle!$C$11,regle!$C$23,
IF(Q218=regle!$D$11,regle!$D$23,
IF(Q218=regle!$E$11,regle!$E$23,
IF(Q218=regle!$F$11,regle!$F$23,
IF(Q218=regle!$G$11,regle!$G$23,
IF(Q218=regle!$H$11,regle!$H$23,
IF(Q218=regle!$I$11,regle!$I$23,
IF(Q218=regle!$J$11,regle!$J$23,
IF(Q218=regle!$K$11,regle!$K$23,0))))))))))))</f>
        <v>0</v>
      </c>
      <c r="AB218" s="17">
        <f>IF($A218,$J218*(IF(R218=regle!$B$11,regle!$B$23*IF(AK218=-2,1+regle!$B$35,1),
IF(R218=regle!$C$11,regle!$C$23,
IF(R218=regle!$D$11,regle!$D$23,
IF(R218=regle!$E$11,regle!$E$23,
IF(R218=regle!$F$11,regle!$F$23,
IF(R218=regle!$G$11,regle!$G$23,
IF(R218=regle!$H$11,regle!$H$23,
IF(R218=regle!$I$11,regle!$I$23,
IF(R218=regle!$J$11,regle!$J$23,
IF(R218=regle!$K$11,regle!$K$23,0))))))))))))</f>
        <v>0</v>
      </c>
      <c r="AC218" s="17">
        <f>IF($A218,$J218*(IF(S218=regle!$B$11,regle!$B$23*IF(AL218=-2,1+regle!$B$35,1),
IF(S218=regle!$C$11,regle!$C$23,
IF(S218=regle!$D$11,regle!$D$23,
IF(S218=regle!$E$11,regle!$E$23,
IF(S218=regle!$F$11,regle!$F$23,
IF(S218=regle!$G$11,regle!$G$23,
IF(S218=regle!$H$11,regle!$H$23,
IF(S218=regle!$I$11,regle!$I$23,
IF(S218=regle!$J$11,regle!$J$23,
IF(S218=regle!$K$11,regle!$K$23,0))))))))))))</f>
        <v>8.5248000000000008</v>
      </c>
      <c r="AD218" s="17">
        <f>IF($A218,$J218*(IF(T218=regle!$B$11,regle!$B$23*IF(AM218=-2,1+regle!$B$35,1),
IF(T218=regle!$C$11,regle!$C$23,
IF(T218=regle!$D$11,regle!$D$23,
IF(T218=regle!$E$11,regle!$E$23,
IF(T218=regle!$F$11,regle!$F$23,
IF(T218=regle!$G$11,regle!$G$23,
IF(T218=regle!$H$11,regle!$H$23,
IF(T218=regle!$I$11,regle!$I$23,
IF(T218=regle!$J$11,regle!$J$23,
IF(T218=regle!$K$11,regle!$K$23,0))))))))))))</f>
        <v>0</v>
      </c>
      <c r="AE218" s="17">
        <f>IF($A218,$J218*(IF(U218=regle!$B$11,regle!$B$23*IF(AN218=-2,1+regle!$B$35,1),
IF(U218=regle!$C$11,regle!$C$23,
IF(U218=regle!$D$11,regle!$D$23,
IF(U218=regle!$E$11,regle!$E$23,
IF(U218=regle!$F$11,regle!$F$23,
IF(U218=regle!$G$11,regle!$G$23,
IF(U218=regle!$H$11,regle!$H$23,
IF(U218=regle!$I$11,regle!$I$23,
IF(U218=regle!$J$11,regle!$J$23,
IF(U218=regle!$K$11,regle!$K$23,0))))))))))))</f>
        <v>0</v>
      </c>
      <c r="AF218" s="17">
        <f>IF($A218,$J218*(IF(V218=regle!$B$11,regle!$B$23*IF(AO218=-2,1+regle!$B$35,1),
IF(V218=regle!$C$11,regle!$C$23,
IF(V218=regle!$D$11,regle!$D$23,
IF(V218=regle!$E$11,regle!$E$23,
IF(V218=regle!$F$11,regle!$F$23,
IF(V218=regle!$G$11,regle!$G$23,
IF(V218=regle!$H$11,regle!$H$23,
IF(V218=regle!$I$11,regle!$I$23,
IF(V218=regle!$J$11,regle!$J$23,
IF(V218=regle!$K$11,regle!$K$23,0))))))))))))</f>
        <v>0</v>
      </c>
      <c r="AG218" s="17">
        <f>IF($A218,$J218*(IF(W218=regle!$B$11,regle!$B$23*IF(AP218=-2,1+regle!$B$35,1),
IF(W218=regle!$C$11,regle!$C$23,
IF(W218=regle!$D$11,regle!$D$23,
IF(W218=regle!$E$11,regle!$E$23,
IF(W218=regle!$F$11,regle!$F$23,
IF(W218=regle!$G$11,regle!$G$23,
IF(W218=regle!$H$11,regle!$H$23,
IF(W218=regle!$I$11,regle!$I$23,
IF(W218=regle!$J$11,regle!$J$23,
IF(W218=regle!$K$11,regle!$K$23,0))))))))))))</f>
        <v>0</v>
      </c>
      <c r="AH218" s="17">
        <f>IF($A218,$J218*(IF(X218=regle!$B$11,regle!$B$23*IF(AQ218=-2,1+regle!$B$35,1),
IF(X218=regle!$C$11,regle!$C$23,
IF(X218=regle!$D$11,regle!$D$23,
IF(X218=regle!$E$11,regle!$E$23,
IF(X218=regle!$F$11,regle!$F$23,
IF(X218=regle!$G$11,regle!$G$23,
IF(X218=regle!$H$11,regle!$H$23,
IF(X218=regle!$I$11,regle!$I$23,
IF(X218=regle!$J$11,regle!$J$23,
IF(X218=regle!$K$11,regle!$K$23,0))))))))))))</f>
        <v>12.432</v>
      </c>
      <c r="AI218" s="17">
        <f>IF($A218,$J218*(IF(Y218=regle!$B$11,regle!$B$23*IF(AR218=-2,1+regle!$B$35,1),
IF(Y218=regle!$C$11,regle!$C$23,
IF(Y218=regle!$D$11,regle!$D$23,
IF(Y218=regle!$E$11,regle!$E$23,
IF(Y218=regle!$F$11,regle!$F$23,
IF(Y218=regle!$G$11,regle!$G$23,
IF(Y218=regle!$H$11,regle!$H$23,
IF(Y218=regle!$I$11,regle!$I$23,
IF(Y218=regle!$J$11,regle!$J$23,
IF(Y218=regle!$K$11,regle!$K$23,0))))))))))))</f>
        <v>0</v>
      </c>
      <c r="AJ218" s="17">
        <f>IF($A218,$J218*(IF(Z218=regle!$B$11,regle!$B$23*IF(AS218=-2,1+regle!$B$35,1),
IF(Z218=regle!$C$11,regle!$C$23,
IF(Z218=regle!$D$11,regle!$D$23,
IF(Z218=regle!$E$11,regle!$E$23,
IF(Z218=regle!$F$11,regle!$F$23,
IF(Z218=regle!$G$11,regle!$G$23,
IF(Z218=regle!$H$11,regle!$H$23,
IF(Z218=regle!$I$11,regle!$I$23,
IF(Z218=regle!$J$11,regle!$J$23,
IF(Z218=regle!$K$11,regle!$K$23,0))))))))))))</f>
        <v>0</v>
      </c>
      <c r="AK218" s="16">
        <f>IF(OR(Q218=regle!$J$11,Q218=regle!$K$11),-2,IF(Q218=regle!$B$11,0,IF(AK$1=$AK$1,IF($O218,-1,regle!$B$2-$M218),IF(AJ218=-1,-1,AJ218+1))))</f>
        <v>10</v>
      </c>
      <c r="AL218" s="16">
        <f>IF(OR(R218=regle!$J$11,R218=regle!$K$11),-2,IF(R218=regle!$B$11,0,IF(AL$1=$AK$1,IF($O218,-1,regle!$B$2-$M218),IF(AK218=-1,-1,AK218+1))))</f>
        <v>11</v>
      </c>
      <c r="AM218" s="16">
        <f>IF(OR(S218=regle!$J$11,S218=regle!$K$11),-2,IF(S218=regle!$B$11,0,IF(AM$1=$AK$1,IF($O218,-1,regle!$B$2-$M218),IF(AL218=-1,-1,AL218+1))))</f>
        <v>12</v>
      </c>
      <c r="AN218" s="16">
        <f>IF(OR(T218=regle!$J$11,T218=regle!$K$11),-2,IF(T218=regle!$B$11,0,IF(AN$1=$AK$1,IF($O218,-1,regle!$B$2-$M218),IF(AM218=-1,-1,AM218+1))))</f>
        <v>13</v>
      </c>
      <c r="AO218" s="16">
        <f>IF(OR(U218=regle!$J$11,U218=regle!$K$11),-2,IF(U218=regle!$B$11,0,IF(AO$1=$AK$1,IF($O218,-1,regle!$B$2-$M218),IF(AN218=-1,-1,AN218+1))))</f>
        <v>14</v>
      </c>
      <c r="AP218" s="16">
        <f>IF(OR(V218=regle!$J$11,V218=regle!$K$11),-2,IF(V218=regle!$B$11,0,IF(AP$1=$AK$1,IF($O218,-1,regle!$B$2-$M218),IF(AO218=-1,-1,AO218+1))))</f>
        <v>15</v>
      </c>
      <c r="AQ218" s="16">
        <f>IF(OR(W218=regle!$J$11,W218=regle!$K$11),-2,IF(W218=regle!$B$11,0,IF(AQ$1=$AK$1,IF($O218,-1,regle!$B$2-$M218),IF(AP218=-1,-1,AP218+1))))</f>
        <v>16</v>
      </c>
      <c r="AR218" s="16">
        <f>IF(OR(X218=regle!$J$11,X218=regle!$K$11),-2,IF(X218=regle!$B$11,0,IF(AR$1=$AK$1,IF($O218,-1,regle!$B$2-$M218),IF(AQ218=-1,-1,AQ218+1))))</f>
        <v>17</v>
      </c>
      <c r="AS218" s="16">
        <f>IF(OR(Y218=regle!$J$11,Y218=regle!$K$11),-2,IF(Y218=regle!$B$11,0,IF(AS$1=$AK$1,IF($O218,-1,regle!$B$2-$M218),IF(AR218=-1,-1,AR218+1))))</f>
        <v>18</v>
      </c>
      <c r="AT218" s="16">
        <f>IF(OR(Z218=regle!$J$11,Z218=regle!$K$11),-2,IF(Z218=regle!$B$11,0,IF(AT$1=$AK$1,IF($O218,-1,regle!$B$2-$M218),IF(AS218=-1,-1,AS218+1))))</f>
        <v>19</v>
      </c>
    </row>
    <row r="219" spans="1:46" x14ac:dyDescent="0.25">
      <c r="A219" t="b">
        <f>modif1!A219</f>
        <v>1</v>
      </c>
      <c r="B219">
        <f>ROW(modif1!B219)</f>
        <v>219</v>
      </c>
      <c r="C219" t="str">
        <f>modif1!C222</f>
        <v>171</v>
      </c>
      <c r="D219" t="str">
        <f>modif1!D219</f>
        <v>MOUSTEY</v>
      </c>
      <c r="E219">
        <f>modif1!E219</f>
        <v>4</v>
      </c>
      <c r="F219" t="str">
        <f>modif1!F219</f>
        <v>Kycs</v>
      </c>
      <c r="G219" t="str">
        <f>modif1!G219</f>
        <v>0M</v>
      </c>
      <c r="H219">
        <f>modif1!H219</f>
        <v>35</v>
      </c>
      <c r="I219" t="str">
        <f>modif1!I219</f>
        <v/>
      </c>
      <c r="J219" s="11">
        <f>modif1!J219</f>
        <v>1.4E-2</v>
      </c>
      <c r="K219" t="str">
        <f>modif1!K219</f>
        <v>PLA</v>
      </c>
      <c r="L219" t="str">
        <f>modif1!L219</f>
        <v>PM</v>
      </c>
      <c r="M219">
        <f>modif1!M219</f>
        <v>2014</v>
      </c>
      <c r="N219" t="str">
        <f>modif1!N219</f>
        <v>PLA-PM_2014</v>
      </c>
      <c r="O219" t="b">
        <f>modif1!O219</f>
        <v>0</v>
      </c>
      <c r="P219">
        <v>40</v>
      </c>
      <c r="S219" t="s">
        <v>1803</v>
      </c>
      <c r="X219" t="s">
        <v>1804</v>
      </c>
      <c r="Z219"/>
      <c r="AA219" s="17">
        <f>IF($A219,$J219*(IF(Q219=regle!$B$11,regle!$B$23*IF(AJ219=-2,1+regle!$B$35,1),
IF(Q219=regle!$C$11,regle!$C$23,
IF(Q219=regle!$D$11,regle!$D$23,
IF(Q219=regle!$E$11,regle!$E$23,
IF(Q219=regle!$F$11,regle!$F$23,
IF(Q219=regle!$G$11,regle!$G$23,
IF(Q219=regle!$H$11,regle!$H$23,
IF(Q219=regle!$I$11,regle!$I$23,
IF(Q219=regle!$J$11,regle!$J$23,
IF(Q219=regle!$K$11,regle!$K$23,0))))))))))))</f>
        <v>0</v>
      </c>
      <c r="AB219" s="17">
        <f>IF($A219,$J219*(IF(R219=regle!$B$11,regle!$B$23*IF(AK219=-2,1+regle!$B$35,1),
IF(R219=regle!$C$11,regle!$C$23,
IF(R219=regle!$D$11,regle!$D$23,
IF(R219=regle!$E$11,regle!$E$23,
IF(R219=regle!$F$11,regle!$F$23,
IF(R219=regle!$G$11,regle!$G$23,
IF(R219=regle!$H$11,regle!$H$23,
IF(R219=regle!$I$11,regle!$I$23,
IF(R219=regle!$J$11,regle!$J$23,
IF(R219=regle!$K$11,regle!$K$23,0))))))))))))</f>
        <v>0</v>
      </c>
      <c r="AC219" s="17">
        <f>IF($A219,$J219*(IF(S219=regle!$B$11,regle!$B$23*IF(AL219=-2,1+regle!$B$35,1),
IF(S219=regle!$C$11,regle!$C$23,
IF(S219=regle!$D$11,regle!$D$23,
IF(S219=regle!$E$11,regle!$E$23,
IF(S219=regle!$F$11,regle!$F$23,
IF(S219=regle!$G$11,regle!$G$23,
IF(S219=regle!$H$11,regle!$H$23,
IF(S219=regle!$I$11,regle!$I$23,
IF(S219=regle!$J$11,regle!$J$23,
IF(S219=regle!$K$11,regle!$K$23,0))))))))))))</f>
        <v>8.0640000000000001</v>
      </c>
      <c r="AD219" s="17">
        <f>IF($A219,$J219*(IF(T219=regle!$B$11,regle!$B$23*IF(AM219=-2,1+regle!$B$35,1),
IF(T219=regle!$C$11,regle!$C$23,
IF(T219=regle!$D$11,regle!$D$23,
IF(T219=regle!$E$11,regle!$E$23,
IF(T219=regle!$F$11,regle!$F$23,
IF(T219=regle!$G$11,regle!$G$23,
IF(T219=regle!$H$11,regle!$H$23,
IF(T219=regle!$I$11,regle!$I$23,
IF(T219=regle!$J$11,regle!$J$23,
IF(T219=regle!$K$11,regle!$K$23,0))))))))))))</f>
        <v>0</v>
      </c>
      <c r="AE219" s="17">
        <f>IF($A219,$J219*(IF(U219=regle!$B$11,regle!$B$23*IF(AN219=-2,1+regle!$B$35,1),
IF(U219=regle!$C$11,regle!$C$23,
IF(U219=regle!$D$11,regle!$D$23,
IF(U219=regle!$E$11,regle!$E$23,
IF(U219=regle!$F$11,regle!$F$23,
IF(U219=regle!$G$11,regle!$G$23,
IF(U219=regle!$H$11,regle!$H$23,
IF(U219=regle!$I$11,regle!$I$23,
IF(U219=regle!$J$11,regle!$J$23,
IF(U219=regle!$K$11,regle!$K$23,0))))))))))))</f>
        <v>0</v>
      </c>
      <c r="AF219" s="17">
        <f>IF($A219,$J219*(IF(V219=regle!$B$11,regle!$B$23*IF(AO219=-2,1+regle!$B$35,1),
IF(V219=regle!$C$11,regle!$C$23,
IF(V219=regle!$D$11,regle!$D$23,
IF(V219=regle!$E$11,regle!$E$23,
IF(V219=regle!$F$11,regle!$F$23,
IF(V219=regle!$G$11,regle!$G$23,
IF(V219=regle!$H$11,regle!$H$23,
IF(V219=regle!$I$11,regle!$I$23,
IF(V219=regle!$J$11,regle!$J$23,
IF(V219=regle!$K$11,regle!$K$23,0))))))))))))</f>
        <v>0</v>
      </c>
      <c r="AG219" s="17">
        <f>IF($A219,$J219*(IF(W219=regle!$B$11,regle!$B$23*IF(AP219=-2,1+regle!$B$35,1),
IF(W219=regle!$C$11,regle!$C$23,
IF(W219=regle!$D$11,regle!$D$23,
IF(W219=regle!$E$11,regle!$E$23,
IF(W219=regle!$F$11,regle!$F$23,
IF(W219=regle!$G$11,regle!$G$23,
IF(W219=regle!$H$11,regle!$H$23,
IF(W219=regle!$I$11,regle!$I$23,
IF(W219=regle!$J$11,regle!$J$23,
IF(W219=regle!$K$11,regle!$K$23,0))))))))))))</f>
        <v>0</v>
      </c>
      <c r="AH219" s="17">
        <f>IF($A219,$J219*(IF(X219=regle!$B$11,regle!$B$23*IF(AQ219=-2,1+regle!$B$35,1),
IF(X219=regle!$C$11,regle!$C$23,
IF(X219=regle!$D$11,regle!$D$23,
IF(X219=regle!$E$11,regle!$E$23,
IF(X219=regle!$F$11,regle!$F$23,
IF(X219=regle!$G$11,regle!$G$23,
IF(X219=regle!$H$11,regle!$H$23,
IF(X219=regle!$I$11,regle!$I$23,
IF(X219=regle!$J$11,regle!$J$23,
IF(X219=regle!$K$11,regle!$K$23,0))))))))))))</f>
        <v>11.76</v>
      </c>
      <c r="AI219" s="17">
        <f>IF($A219,$J219*(IF(Y219=regle!$B$11,regle!$B$23*IF(AR219=-2,1+regle!$B$35,1),
IF(Y219=regle!$C$11,regle!$C$23,
IF(Y219=regle!$D$11,regle!$D$23,
IF(Y219=regle!$E$11,regle!$E$23,
IF(Y219=regle!$F$11,regle!$F$23,
IF(Y219=regle!$G$11,regle!$G$23,
IF(Y219=regle!$H$11,regle!$H$23,
IF(Y219=regle!$I$11,regle!$I$23,
IF(Y219=regle!$J$11,regle!$J$23,
IF(Y219=regle!$K$11,regle!$K$23,0))))))))))))</f>
        <v>0</v>
      </c>
      <c r="AJ219" s="17">
        <f>IF($A219,$J219*(IF(Z219=regle!$B$11,regle!$B$23*IF(AS219=-2,1+regle!$B$35,1),
IF(Z219=regle!$C$11,regle!$C$23,
IF(Z219=regle!$D$11,regle!$D$23,
IF(Z219=regle!$E$11,regle!$E$23,
IF(Z219=regle!$F$11,regle!$F$23,
IF(Z219=regle!$G$11,regle!$G$23,
IF(Z219=regle!$H$11,regle!$H$23,
IF(Z219=regle!$I$11,regle!$I$23,
IF(Z219=regle!$J$11,regle!$J$23,
IF(Z219=regle!$K$11,regle!$K$23,0))))))))))))</f>
        <v>0</v>
      </c>
      <c r="AK219" s="16">
        <f>IF(OR(Q219=regle!$J$11,Q219=regle!$K$11),-2,IF(Q219=regle!$B$11,0,IF(AK$1=$AK$1,IF($O219,-1,regle!$B$2-$M219),IF(AJ219=-1,-1,AJ219+1))))</f>
        <v>10</v>
      </c>
      <c r="AL219" s="16">
        <f>IF(OR(R219=regle!$J$11,R219=regle!$K$11),-2,IF(R219=regle!$B$11,0,IF(AL$1=$AK$1,IF($O219,-1,regle!$B$2-$M219),IF(AK219=-1,-1,AK219+1))))</f>
        <v>11</v>
      </c>
      <c r="AM219" s="16">
        <f>IF(OR(S219=regle!$J$11,S219=regle!$K$11),-2,IF(S219=regle!$B$11,0,IF(AM$1=$AK$1,IF($O219,-1,regle!$B$2-$M219),IF(AL219=-1,-1,AL219+1))))</f>
        <v>12</v>
      </c>
      <c r="AN219" s="16">
        <f>IF(OR(T219=regle!$J$11,T219=regle!$K$11),-2,IF(T219=regle!$B$11,0,IF(AN$1=$AK$1,IF($O219,-1,regle!$B$2-$M219),IF(AM219=-1,-1,AM219+1))))</f>
        <v>13</v>
      </c>
      <c r="AO219" s="16">
        <f>IF(OR(U219=regle!$J$11,U219=regle!$K$11),-2,IF(U219=regle!$B$11,0,IF(AO$1=$AK$1,IF($O219,-1,regle!$B$2-$M219),IF(AN219=-1,-1,AN219+1))))</f>
        <v>14</v>
      </c>
      <c r="AP219" s="16">
        <f>IF(OR(V219=regle!$J$11,V219=regle!$K$11),-2,IF(V219=regle!$B$11,0,IF(AP$1=$AK$1,IF($O219,-1,regle!$B$2-$M219),IF(AO219=-1,-1,AO219+1))))</f>
        <v>15</v>
      </c>
      <c r="AQ219" s="16">
        <f>IF(OR(W219=regle!$J$11,W219=regle!$K$11),-2,IF(W219=regle!$B$11,0,IF(AQ$1=$AK$1,IF($O219,-1,regle!$B$2-$M219),IF(AP219=-1,-1,AP219+1))))</f>
        <v>16</v>
      </c>
      <c r="AR219" s="16">
        <f>IF(OR(X219=regle!$J$11,X219=regle!$K$11),-2,IF(X219=regle!$B$11,0,IF(AR$1=$AK$1,IF($O219,-1,regle!$B$2-$M219),IF(AQ219=-1,-1,AQ219+1))))</f>
        <v>17</v>
      </c>
      <c r="AS219" s="16">
        <f>IF(OR(Y219=regle!$J$11,Y219=regle!$K$11),-2,IF(Y219=regle!$B$11,0,IF(AS$1=$AK$1,IF($O219,-1,regle!$B$2-$M219),IF(AR219=-1,-1,AR219+1))))</f>
        <v>18</v>
      </c>
      <c r="AT219" s="16">
        <f>IF(OR(Z219=regle!$J$11,Z219=regle!$K$11),-2,IF(Z219=regle!$B$11,0,IF(AT$1=$AK$1,IF($O219,-1,regle!$B$2-$M219),IF(AS219=-1,-1,AS219+1))))</f>
        <v>19</v>
      </c>
    </row>
    <row r="220" spans="1:46" x14ac:dyDescent="0.25">
      <c r="A220" t="b">
        <f>modif1!A220</f>
        <v>1</v>
      </c>
      <c r="B220">
        <f>ROW(modif1!B220)</f>
        <v>220</v>
      </c>
      <c r="C220" t="str">
        <f>modif1!C223</f>
        <v>171</v>
      </c>
      <c r="D220" t="str">
        <f>modif1!D220</f>
        <v>MANO</v>
      </c>
      <c r="E220">
        <f>modif1!E220</f>
        <v>17</v>
      </c>
      <c r="F220" t="str">
        <f>modif1!F220</f>
        <v>LANDE DE TABARTON</v>
      </c>
      <c r="G220" t="str">
        <f>modif1!G220</f>
        <v>0B</v>
      </c>
      <c r="H220">
        <f>modif1!H220</f>
        <v>308</v>
      </c>
      <c r="I220" t="str">
        <f>modif1!I220</f>
        <v>k</v>
      </c>
      <c r="J220" s="11">
        <f>modif1!J220</f>
        <v>1.7928999999999999</v>
      </c>
      <c r="K220" t="str">
        <f>modif1!K220</f>
        <v>PLA</v>
      </c>
      <c r="L220" t="str">
        <f>modif1!L220</f>
        <v>PM</v>
      </c>
      <c r="M220">
        <f>modif1!M220</f>
        <v>2013</v>
      </c>
      <c r="N220" t="str">
        <f>modif1!N220</f>
        <v>PLA-PM_2013</v>
      </c>
      <c r="O220" t="b">
        <f>modif1!O220</f>
        <v>0</v>
      </c>
      <c r="P220">
        <v>40</v>
      </c>
      <c r="R220" s="22"/>
      <c r="S220" t="s">
        <v>1803</v>
      </c>
      <c r="W220" t="s">
        <v>1804</v>
      </c>
      <c r="Z220"/>
      <c r="AA220" s="17">
        <f>IF($A220,$J220*(IF(Q220=regle!$B$11,regle!$B$23*IF(AJ220=-2,1+regle!$B$35,1),
IF(Q220=regle!$C$11,regle!$C$23,
IF(Q220=regle!$D$11,regle!$D$23,
IF(Q220=regle!$E$11,regle!$E$23,
IF(Q220=regle!$F$11,regle!$F$23,
IF(Q220=regle!$G$11,regle!$G$23,
IF(Q220=regle!$H$11,regle!$H$23,
IF(Q220=regle!$I$11,regle!$I$23,
IF(Q220=regle!$J$11,regle!$J$23,
IF(Q220=regle!$K$11,regle!$K$23,0))))))))))))</f>
        <v>0</v>
      </c>
      <c r="AB220" s="17">
        <f>IF($A220,$J220*(IF(R220=regle!$B$11,regle!$B$23*IF(AK220=-2,1+regle!$B$35,1),
IF(R220=regle!$C$11,regle!$C$23,
IF(R220=regle!$D$11,regle!$D$23,
IF(R220=regle!$E$11,regle!$E$23,
IF(R220=regle!$F$11,regle!$F$23,
IF(R220=regle!$G$11,regle!$G$23,
IF(R220=regle!$H$11,regle!$H$23,
IF(R220=regle!$I$11,regle!$I$23,
IF(R220=regle!$J$11,regle!$J$23,
IF(R220=regle!$K$11,regle!$K$23,0))))))))))))</f>
        <v>0</v>
      </c>
      <c r="AC220" s="17">
        <f>IF($A220,$J220*(IF(S220=regle!$B$11,regle!$B$23*IF(AL220=-2,1+regle!$B$35,1),
IF(S220=regle!$C$11,regle!$C$23,
IF(S220=regle!$D$11,regle!$D$23,
IF(S220=regle!$E$11,regle!$E$23,
IF(S220=regle!$F$11,regle!$F$23,
IF(S220=regle!$G$11,regle!$G$23,
IF(S220=regle!$H$11,regle!$H$23,
IF(S220=regle!$I$11,regle!$I$23,
IF(S220=regle!$J$11,regle!$J$23,
IF(S220=regle!$K$11,regle!$K$23,0))))))))))))</f>
        <v>1032.7103999999999</v>
      </c>
      <c r="AD220" s="17">
        <f>IF($A220,$J220*(IF(T220=regle!$B$11,regle!$B$23*IF(AM220=-2,1+regle!$B$35,1),
IF(T220=regle!$C$11,regle!$C$23,
IF(T220=regle!$D$11,regle!$D$23,
IF(T220=regle!$E$11,regle!$E$23,
IF(T220=regle!$F$11,regle!$F$23,
IF(T220=regle!$G$11,regle!$G$23,
IF(T220=regle!$H$11,regle!$H$23,
IF(T220=regle!$I$11,regle!$I$23,
IF(T220=regle!$J$11,regle!$J$23,
IF(T220=regle!$K$11,regle!$K$23,0))))))))))))</f>
        <v>0</v>
      </c>
      <c r="AE220" s="17">
        <f>IF($A220,$J220*(IF(U220=regle!$B$11,regle!$B$23*IF(AN220=-2,1+regle!$B$35,1),
IF(U220=regle!$C$11,regle!$C$23,
IF(U220=regle!$D$11,regle!$D$23,
IF(U220=regle!$E$11,regle!$E$23,
IF(U220=regle!$F$11,regle!$F$23,
IF(U220=regle!$G$11,regle!$G$23,
IF(U220=regle!$H$11,regle!$H$23,
IF(U220=regle!$I$11,regle!$I$23,
IF(U220=regle!$J$11,regle!$J$23,
IF(U220=regle!$K$11,regle!$K$23,0))))))))))))</f>
        <v>0</v>
      </c>
      <c r="AF220" s="17">
        <f>IF($A220,$J220*(IF(V220=regle!$B$11,regle!$B$23*IF(AO220=-2,1+regle!$B$35,1),
IF(V220=regle!$C$11,regle!$C$23,
IF(V220=regle!$D$11,regle!$D$23,
IF(V220=regle!$E$11,regle!$E$23,
IF(V220=regle!$F$11,regle!$F$23,
IF(V220=regle!$G$11,regle!$G$23,
IF(V220=regle!$H$11,regle!$H$23,
IF(V220=regle!$I$11,regle!$I$23,
IF(V220=regle!$J$11,regle!$J$23,
IF(V220=regle!$K$11,regle!$K$23,0))))))))))))</f>
        <v>0</v>
      </c>
      <c r="AG220" s="17">
        <f>IF($A220,$J220*(IF(W220=regle!$B$11,regle!$B$23*IF(AP220=-2,1+regle!$B$35,1),
IF(W220=regle!$C$11,regle!$C$23,
IF(W220=regle!$D$11,regle!$D$23,
IF(W220=regle!$E$11,regle!$E$23,
IF(W220=regle!$F$11,regle!$F$23,
IF(W220=regle!$G$11,regle!$G$23,
IF(W220=regle!$H$11,regle!$H$23,
IF(W220=regle!$I$11,regle!$I$23,
IF(W220=regle!$J$11,regle!$J$23,
IF(W220=regle!$K$11,regle!$K$23,0))))))))))))</f>
        <v>1506.0360000000001</v>
      </c>
      <c r="AH220" s="17">
        <f>IF($A220,$J220*(IF(X220=regle!$B$11,regle!$B$23*IF(AQ220=-2,1+regle!$B$35,1),
IF(X220=regle!$C$11,regle!$C$23,
IF(X220=regle!$D$11,regle!$D$23,
IF(X220=regle!$E$11,regle!$E$23,
IF(X220=regle!$F$11,regle!$F$23,
IF(X220=regle!$G$11,regle!$G$23,
IF(X220=regle!$H$11,regle!$H$23,
IF(X220=regle!$I$11,regle!$I$23,
IF(X220=regle!$J$11,regle!$J$23,
IF(X220=regle!$K$11,regle!$K$23,0))))))))))))</f>
        <v>0</v>
      </c>
      <c r="AI220" s="17">
        <f>IF($A220,$J220*(IF(Y220=regle!$B$11,regle!$B$23*IF(AR220=-2,1+regle!$B$35,1),
IF(Y220=regle!$C$11,regle!$C$23,
IF(Y220=regle!$D$11,regle!$D$23,
IF(Y220=regle!$E$11,regle!$E$23,
IF(Y220=regle!$F$11,regle!$F$23,
IF(Y220=regle!$G$11,regle!$G$23,
IF(Y220=regle!$H$11,regle!$H$23,
IF(Y220=regle!$I$11,regle!$I$23,
IF(Y220=regle!$J$11,regle!$J$23,
IF(Y220=regle!$K$11,regle!$K$23,0))))))))))))</f>
        <v>0</v>
      </c>
      <c r="AJ220" s="17">
        <f>IF($A220,$J220*(IF(Z220=regle!$B$11,regle!$B$23*IF(AS220=-2,1+regle!$B$35,1),
IF(Z220=regle!$C$11,regle!$C$23,
IF(Z220=regle!$D$11,regle!$D$23,
IF(Z220=regle!$E$11,regle!$E$23,
IF(Z220=regle!$F$11,regle!$F$23,
IF(Z220=regle!$G$11,regle!$G$23,
IF(Z220=regle!$H$11,regle!$H$23,
IF(Z220=regle!$I$11,regle!$I$23,
IF(Z220=regle!$J$11,regle!$J$23,
IF(Z220=regle!$K$11,regle!$K$23,0))))))))))))</f>
        <v>0</v>
      </c>
      <c r="AK220" s="16">
        <f>IF(OR(Q220=regle!$J$11,Q220=regle!$K$11),-2,IF(Q220=regle!$B$11,0,IF(AK$1=$AK$1,IF($O220,-1,regle!$B$2-$M220),IF(AJ220=-1,-1,AJ220+1))))</f>
        <v>11</v>
      </c>
      <c r="AL220" s="16">
        <f>IF(OR(R220=regle!$J$11,R220=regle!$K$11),-2,IF(R220=regle!$B$11,0,IF(AL$1=$AK$1,IF($O220,-1,regle!$B$2-$M220),IF(AK220=-1,-1,AK220+1))))</f>
        <v>12</v>
      </c>
      <c r="AM220" s="16">
        <f>IF(OR(S220=regle!$J$11,S220=regle!$K$11),-2,IF(S220=regle!$B$11,0,IF(AM$1=$AK$1,IF($O220,-1,regle!$B$2-$M220),IF(AL220=-1,-1,AL220+1))))</f>
        <v>13</v>
      </c>
      <c r="AN220" s="16">
        <f>IF(OR(T220=regle!$J$11,T220=regle!$K$11),-2,IF(T220=regle!$B$11,0,IF(AN$1=$AK$1,IF($O220,-1,regle!$B$2-$M220),IF(AM220=-1,-1,AM220+1))))</f>
        <v>14</v>
      </c>
      <c r="AO220" s="16">
        <f>IF(OR(U220=regle!$J$11,U220=regle!$K$11),-2,IF(U220=regle!$B$11,0,IF(AO$1=$AK$1,IF($O220,-1,regle!$B$2-$M220),IF(AN220=-1,-1,AN220+1))))</f>
        <v>15</v>
      </c>
      <c r="AP220" s="16">
        <f>IF(OR(V220=regle!$J$11,V220=regle!$K$11),-2,IF(V220=regle!$B$11,0,IF(AP$1=$AK$1,IF($O220,-1,regle!$B$2-$M220),IF(AO220=-1,-1,AO220+1))))</f>
        <v>16</v>
      </c>
      <c r="AQ220" s="16">
        <f>IF(OR(W220=regle!$J$11,W220=regle!$K$11),-2,IF(W220=regle!$B$11,0,IF(AQ$1=$AK$1,IF($O220,-1,regle!$B$2-$M220),IF(AP220=-1,-1,AP220+1))))</f>
        <v>17</v>
      </c>
      <c r="AR220" s="16">
        <f>IF(OR(X220=regle!$J$11,X220=regle!$K$11),-2,IF(X220=regle!$B$11,0,IF(AR$1=$AK$1,IF($O220,-1,regle!$B$2-$M220),IF(AQ220=-1,-1,AQ220+1))))</f>
        <v>18</v>
      </c>
      <c r="AS220" s="16">
        <f>IF(OR(Y220=regle!$J$11,Y220=regle!$K$11),-2,IF(Y220=regle!$B$11,0,IF(AS$1=$AK$1,IF($O220,-1,regle!$B$2-$M220),IF(AR220=-1,-1,AR220+1))))</f>
        <v>19</v>
      </c>
      <c r="AT220" s="16">
        <f>IF(OR(Z220=regle!$J$11,Z220=regle!$K$11),-2,IF(Z220=regle!$B$11,0,IF(AT$1=$AK$1,IF($O220,-1,regle!$B$2-$M220),IF(AS220=-1,-1,AS220+1))))</f>
        <v>20</v>
      </c>
    </row>
    <row r="221" spans="1:46" x14ac:dyDescent="0.25">
      <c r="A221" t="b">
        <f>modif1!A221</f>
        <v>1</v>
      </c>
      <c r="B221">
        <f>ROW(modif1!B221)</f>
        <v>221</v>
      </c>
      <c r="C221" t="str">
        <f>modif1!C224</f>
        <v>536</v>
      </c>
      <c r="D221" t="str">
        <f>modif1!D221</f>
        <v>MANO</v>
      </c>
      <c r="E221">
        <f>modif1!E221</f>
        <v>17</v>
      </c>
      <c r="F221" t="str">
        <f>modif1!F221</f>
        <v>LANDE DE TABARTON</v>
      </c>
      <c r="G221" t="str">
        <f>modif1!G221</f>
        <v>0B</v>
      </c>
      <c r="H221">
        <f>modif1!H221</f>
        <v>303</v>
      </c>
      <c r="I221" t="str">
        <f>modif1!I221</f>
        <v>k</v>
      </c>
      <c r="J221" s="11">
        <f>modif1!J221</f>
        <v>1.4178999999999999</v>
      </c>
      <c r="K221" t="str">
        <f>modif1!K221</f>
        <v>PLA</v>
      </c>
      <c r="L221" t="str">
        <f>modif1!L221</f>
        <v>PM</v>
      </c>
      <c r="M221">
        <f>modif1!M221</f>
        <v>2013</v>
      </c>
      <c r="N221" t="str">
        <f>modif1!N221</f>
        <v>PLA-PM_2013</v>
      </c>
      <c r="O221" t="b">
        <f>modif1!O221</f>
        <v>0</v>
      </c>
      <c r="P221">
        <v>40</v>
      </c>
      <c r="R221" s="22"/>
      <c r="S221" t="s">
        <v>1803</v>
      </c>
      <c r="W221" t="s">
        <v>1804</v>
      </c>
      <c r="Z221"/>
      <c r="AA221" s="17">
        <f>IF($A221,$J221*(IF(Q221=regle!$B$11,regle!$B$23*IF(AJ221=-2,1+regle!$B$35,1),
IF(Q221=regle!$C$11,regle!$C$23,
IF(Q221=regle!$D$11,regle!$D$23,
IF(Q221=regle!$E$11,regle!$E$23,
IF(Q221=regle!$F$11,regle!$F$23,
IF(Q221=regle!$G$11,regle!$G$23,
IF(Q221=regle!$H$11,regle!$H$23,
IF(Q221=regle!$I$11,regle!$I$23,
IF(Q221=regle!$J$11,regle!$J$23,
IF(Q221=regle!$K$11,regle!$K$23,0))))))))))))</f>
        <v>0</v>
      </c>
      <c r="AB221" s="17">
        <f>IF($A221,$J221*(IF(R221=regle!$B$11,regle!$B$23*IF(AK221=-2,1+regle!$B$35,1),
IF(R221=regle!$C$11,regle!$C$23,
IF(R221=regle!$D$11,regle!$D$23,
IF(R221=regle!$E$11,regle!$E$23,
IF(R221=regle!$F$11,regle!$F$23,
IF(R221=regle!$G$11,regle!$G$23,
IF(R221=regle!$H$11,regle!$H$23,
IF(R221=regle!$I$11,regle!$I$23,
IF(R221=regle!$J$11,regle!$J$23,
IF(R221=regle!$K$11,regle!$K$23,0))))))))))))</f>
        <v>0</v>
      </c>
      <c r="AC221" s="17">
        <f>IF($A221,$J221*(IF(S221=regle!$B$11,regle!$B$23*IF(AL221=-2,1+regle!$B$35,1),
IF(S221=regle!$C$11,regle!$C$23,
IF(S221=regle!$D$11,regle!$D$23,
IF(S221=regle!$E$11,regle!$E$23,
IF(S221=regle!$F$11,regle!$F$23,
IF(S221=regle!$G$11,regle!$G$23,
IF(S221=regle!$H$11,regle!$H$23,
IF(S221=regle!$I$11,regle!$I$23,
IF(S221=regle!$J$11,regle!$J$23,
IF(S221=regle!$K$11,regle!$K$23,0))))))))))))</f>
        <v>816.71039999999994</v>
      </c>
      <c r="AD221" s="17">
        <f>IF($A221,$J221*(IF(T221=regle!$B$11,regle!$B$23*IF(AM221=-2,1+regle!$B$35,1),
IF(T221=regle!$C$11,regle!$C$23,
IF(T221=regle!$D$11,regle!$D$23,
IF(T221=regle!$E$11,regle!$E$23,
IF(T221=regle!$F$11,regle!$F$23,
IF(T221=regle!$G$11,regle!$G$23,
IF(T221=regle!$H$11,regle!$H$23,
IF(T221=regle!$I$11,regle!$I$23,
IF(T221=regle!$J$11,regle!$J$23,
IF(T221=regle!$K$11,regle!$K$23,0))))))))))))</f>
        <v>0</v>
      </c>
      <c r="AE221" s="17">
        <f>IF($A221,$J221*(IF(U221=regle!$B$11,regle!$B$23*IF(AN221=-2,1+regle!$B$35,1),
IF(U221=regle!$C$11,regle!$C$23,
IF(U221=regle!$D$11,regle!$D$23,
IF(U221=regle!$E$11,regle!$E$23,
IF(U221=regle!$F$11,regle!$F$23,
IF(U221=regle!$G$11,regle!$G$23,
IF(U221=regle!$H$11,regle!$H$23,
IF(U221=regle!$I$11,regle!$I$23,
IF(U221=regle!$J$11,regle!$J$23,
IF(U221=regle!$K$11,regle!$K$23,0))))))))))))</f>
        <v>0</v>
      </c>
      <c r="AF221" s="17">
        <f>IF($A221,$J221*(IF(V221=regle!$B$11,regle!$B$23*IF(AO221=-2,1+regle!$B$35,1),
IF(V221=regle!$C$11,regle!$C$23,
IF(V221=regle!$D$11,regle!$D$23,
IF(V221=regle!$E$11,regle!$E$23,
IF(V221=regle!$F$11,regle!$F$23,
IF(V221=regle!$G$11,regle!$G$23,
IF(V221=regle!$H$11,regle!$H$23,
IF(V221=regle!$I$11,regle!$I$23,
IF(V221=regle!$J$11,regle!$J$23,
IF(V221=regle!$K$11,regle!$K$23,0))))))))))))</f>
        <v>0</v>
      </c>
      <c r="AG221" s="17">
        <f>IF($A221,$J221*(IF(W221=regle!$B$11,regle!$B$23*IF(AP221=-2,1+regle!$B$35,1),
IF(W221=regle!$C$11,regle!$C$23,
IF(W221=regle!$D$11,regle!$D$23,
IF(W221=regle!$E$11,regle!$E$23,
IF(W221=regle!$F$11,regle!$F$23,
IF(W221=regle!$G$11,regle!$G$23,
IF(W221=regle!$H$11,regle!$H$23,
IF(W221=regle!$I$11,regle!$I$23,
IF(W221=regle!$J$11,regle!$J$23,
IF(W221=regle!$K$11,regle!$K$23,0))))))))))))</f>
        <v>1191.0360000000001</v>
      </c>
      <c r="AH221" s="17">
        <f>IF($A221,$J221*(IF(X221=regle!$B$11,regle!$B$23*IF(AQ221=-2,1+regle!$B$35,1),
IF(X221=regle!$C$11,regle!$C$23,
IF(X221=regle!$D$11,regle!$D$23,
IF(X221=regle!$E$11,regle!$E$23,
IF(X221=regle!$F$11,regle!$F$23,
IF(X221=regle!$G$11,regle!$G$23,
IF(X221=regle!$H$11,regle!$H$23,
IF(X221=regle!$I$11,regle!$I$23,
IF(X221=regle!$J$11,regle!$J$23,
IF(X221=regle!$K$11,regle!$K$23,0))))))))))))</f>
        <v>0</v>
      </c>
      <c r="AI221" s="17">
        <f>IF($A221,$J221*(IF(Y221=regle!$B$11,regle!$B$23*IF(AR221=-2,1+regle!$B$35,1),
IF(Y221=regle!$C$11,regle!$C$23,
IF(Y221=regle!$D$11,regle!$D$23,
IF(Y221=regle!$E$11,regle!$E$23,
IF(Y221=regle!$F$11,regle!$F$23,
IF(Y221=regle!$G$11,regle!$G$23,
IF(Y221=regle!$H$11,regle!$H$23,
IF(Y221=regle!$I$11,regle!$I$23,
IF(Y221=regle!$J$11,regle!$J$23,
IF(Y221=regle!$K$11,regle!$K$23,0))))))))))))</f>
        <v>0</v>
      </c>
      <c r="AJ221" s="17">
        <f>IF($A221,$J221*(IF(Z221=regle!$B$11,regle!$B$23*IF(AS221=-2,1+regle!$B$35,1),
IF(Z221=regle!$C$11,regle!$C$23,
IF(Z221=regle!$D$11,regle!$D$23,
IF(Z221=regle!$E$11,regle!$E$23,
IF(Z221=regle!$F$11,regle!$F$23,
IF(Z221=regle!$G$11,regle!$G$23,
IF(Z221=regle!$H$11,regle!$H$23,
IF(Z221=regle!$I$11,regle!$I$23,
IF(Z221=regle!$J$11,regle!$J$23,
IF(Z221=regle!$K$11,regle!$K$23,0))))))))))))</f>
        <v>0</v>
      </c>
      <c r="AK221" s="16">
        <f>IF(OR(Q221=regle!$J$11,Q221=regle!$K$11),-2,IF(Q221=regle!$B$11,0,IF(AK$1=$AK$1,IF($O221,-1,regle!$B$2-$M221),IF(AJ221=-1,-1,AJ221+1))))</f>
        <v>11</v>
      </c>
      <c r="AL221" s="16">
        <f>IF(OR(R221=regle!$J$11,R221=regle!$K$11),-2,IF(R221=regle!$B$11,0,IF(AL$1=$AK$1,IF($O221,-1,regle!$B$2-$M221),IF(AK221=-1,-1,AK221+1))))</f>
        <v>12</v>
      </c>
      <c r="AM221" s="16">
        <f>IF(OR(S221=regle!$J$11,S221=regle!$K$11),-2,IF(S221=regle!$B$11,0,IF(AM$1=$AK$1,IF($O221,-1,regle!$B$2-$M221),IF(AL221=-1,-1,AL221+1))))</f>
        <v>13</v>
      </c>
      <c r="AN221" s="16">
        <f>IF(OR(T221=regle!$J$11,T221=regle!$K$11),-2,IF(T221=regle!$B$11,0,IF(AN$1=$AK$1,IF($O221,-1,regle!$B$2-$M221),IF(AM221=-1,-1,AM221+1))))</f>
        <v>14</v>
      </c>
      <c r="AO221" s="16">
        <f>IF(OR(U221=regle!$J$11,U221=regle!$K$11),-2,IF(U221=regle!$B$11,0,IF(AO$1=$AK$1,IF($O221,-1,regle!$B$2-$M221),IF(AN221=-1,-1,AN221+1))))</f>
        <v>15</v>
      </c>
      <c r="AP221" s="16">
        <f>IF(OR(V221=regle!$J$11,V221=regle!$K$11),-2,IF(V221=regle!$B$11,0,IF(AP$1=$AK$1,IF($O221,-1,regle!$B$2-$M221),IF(AO221=-1,-1,AO221+1))))</f>
        <v>16</v>
      </c>
      <c r="AQ221" s="16">
        <f>IF(OR(W221=regle!$J$11,W221=regle!$K$11),-2,IF(W221=regle!$B$11,0,IF(AQ$1=$AK$1,IF($O221,-1,regle!$B$2-$M221),IF(AP221=-1,-1,AP221+1))))</f>
        <v>17</v>
      </c>
      <c r="AR221" s="16">
        <f>IF(OR(X221=regle!$J$11,X221=regle!$K$11),-2,IF(X221=regle!$B$11,0,IF(AR$1=$AK$1,IF($O221,-1,regle!$B$2-$M221),IF(AQ221=-1,-1,AQ221+1))))</f>
        <v>18</v>
      </c>
      <c r="AS221" s="16">
        <f>IF(OR(Y221=regle!$J$11,Y221=regle!$K$11),-2,IF(Y221=regle!$B$11,0,IF(AS$1=$AK$1,IF($O221,-1,regle!$B$2-$M221),IF(AR221=-1,-1,AR221+1))))</f>
        <v>19</v>
      </c>
      <c r="AT221" s="16">
        <f>IF(OR(Z221=regle!$J$11,Z221=regle!$K$11),-2,IF(Z221=regle!$B$11,0,IF(AT$1=$AK$1,IF($O221,-1,regle!$B$2-$M221),IF(AS221=-1,-1,AS221+1))))</f>
        <v>20</v>
      </c>
    </row>
    <row r="222" spans="1:46" x14ac:dyDescent="0.25">
      <c r="A222" t="b">
        <f>modif1!A222</f>
        <v>1</v>
      </c>
      <c r="B222">
        <f>ROW(modif1!B222)</f>
        <v>222</v>
      </c>
      <c r="C222" t="str">
        <f>modif1!C225</f>
        <v>536</v>
      </c>
      <c r="D222" t="str">
        <f>modif1!D222</f>
        <v>MANO</v>
      </c>
      <c r="E222">
        <f>modif1!E222</f>
        <v>17</v>
      </c>
      <c r="F222" t="str">
        <f>modif1!F222</f>
        <v>LANDE DE TABARTON</v>
      </c>
      <c r="G222" t="str">
        <f>modif1!G222</f>
        <v>0B</v>
      </c>
      <c r="H222">
        <f>modif1!H222</f>
        <v>304</v>
      </c>
      <c r="I222" t="str">
        <f>modif1!I222</f>
        <v>j</v>
      </c>
      <c r="J222" s="11">
        <f>modif1!J222</f>
        <v>0.98360000000000003</v>
      </c>
      <c r="K222" t="str">
        <f>modif1!K222</f>
        <v>PLA</v>
      </c>
      <c r="L222" t="str">
        <f>modif1!L222</f>
        <v>PM</v>
      </c>
      <c r="M222">
        <f>modif1!M222</f>
        <v>2013</v>
      </c>
      <c r="N222" t="str">
        <f>modif1!N222</f>
        <v>PLA-PM_2013</v>
      </c>
      <c r="O222" t="b">
        <f>modif1!O222</f>
        <v>0</v>
      </c>
      <c r="P222">
        <v>40</v>
      </c>
      <c r="R222" s="22"/>
      <c r="S222" t="s">
        <v>1803</v>
      </c>
      <c r="W222" t="s">
        <v>1804</v>
      </c>
      <c r="Z222"/>
      <c r="AA222" s="17">
        <f>IF($A222,$J222*(IF(Q222=regle!$B$11,regle!$B$23*IF(AJ222=-2,1+regle!$B$35,1),
IF(Q222=regle!$C$11,regle!$C$23,
IF(Q222=regle!$D$11,regle!$D$23,
IF(Q222=regle!$E$11,regle!$E$23,
IF(Q222=regle!$F$11,regle!$F$23,
IF(Q222=regle!$G$11,regle!$G$23,
IF(Q222=regle!$H$11,regle!$H$23,
IF(Q222=regle!$I$11,regle!$I$23,
IF(Q222=regle!$J$11,regle!$J$23,
IF(Q222=regle!$K$11,regle!$K$23,0))))))))))))</f>
        <v>0</v>
      </c>
      <c r="AB222" s="17">
        <f>IF($A222,$J222*(IF(R222=regle!$B$11,regle!$B$23*IF(AK222=-2,1+regle!$B$35,1),
IF(R222=regle!$C$11,regle!$C$23,
IF(R222=regle!$D$11,regle!$D$23,
IF(R222=regle!$E$11,regle!$E$23,
IF(R222=regle!$F$11,regle!$F$23,
IF(R222=regle!$G$11,regle!$G$23,
IF(R222=regle!$H$11,regle!$H$23,
IF(R222=regle!$I$11,regle!$I$23,
IF(R222=regle!$J$11,regle!$J$23,
IF(R222=regle!$K$11,regle!$K$23,0))))))))))))</f>
        <v>0</v>
      </c>
      <c r="AC222" s="17">
        <f>IF($A222,$J222*(IF(S222=regle!$B$11,regle!$B$23*IF(AL222=-2,1+regle!$B$35,1),
IF(S222=regle!$C$11,regle!$C$23,
IF(S222=regle!$D$11,regle!$D$23,
IF(S222=regle!$E$11,regle!$E$23,
IF(S222=regle!$F$11,regle!$F$23,
IF(S222=regle!$G$11,regle!$G$23,
IF(S222=regle!$H$11,regle!$H$23,
IF(S222=regle!$I$11,regle!$I$23,
IF(S222=regle!$J$11,regle!$J$23,
IF(S222=regle!$K$11,regle!$K$23,0))))))))))))</f>
        <v>566.55359999999996</v>
      </c>
      <c r="AD222" s="17">
        <f>IF($A222,$J222*(IF(T222=regle!$B$11,regle!$B$23*IF(AM222=-2,1+regle!$B$35,1),
IF(T222=regle!$C$11,regle!$C$23,
IF(T222=regle!$D$11,regle!$D$23,
IF(T222=regle!$E$11,regle!$E$23,
IF(T222=regle!$F$11,regle!$F$23,
IF(T222=regle!$G$11,regle!$G$23,
IF(T222=regle!$H$11,regle!$H$23,
IF(T222=regle!$I$11,regle!$I$23,
IF(T222=regle!$J$11,regle!$J$23,
IF(T222=regle!$K$11,regle!$K$23,0))))))))))))</f>
        <v>0</v>
      </c>
      <c r="AE222" s="17">
        <f>IF($A222,$J222*(IF(U222=regle!$B$11,regle!$B$23*IF(AN222=-2,1+regle!$B$35,1),
IF(U222=regle!$C$11,regle!$C$23,
IF(U222=regle!$D$11,regle!$D$23,
IF(U222=regle!$E$11,regle!$E$23,
IF(U222=regle!$F$11,regle!$F$23,
IF(U222=regle!$G$11,regle!$G$23,
IF(U222=regle!$H$11,regle!$H$23,
IF(U222=regle!$I$11,regle!$I$23,
IF(U222=regle!$J$11,regle!$J$23,
IF(U222=regle!$K$11,regle!$K$23,0))))))))))))</f>
        <v>0</v>
      </c>
      <c r="AF222" s="17">
        <f>IF($A222,$J222*(IF(V222=regle!$B$11,regle!$B$23*IF(AO222=-2,1+regle!$B$35,1),
IF(V222=regle!$C$11,regle!$C$23,
IF(V222=regle!$D$11,regle!$D$23,
IF(V222=regle!$E$11,regle!$E$23,
IF(V222=regle!$F$11,regle!$F$23,
IF(V222=regle!$G$11,regle!$G$23,
IF(V222=regle!$H$11,regle!$H$23,
IF(V222=regle!$I$11,regle!$I$23,
IF(V222=regle!$J$11,regle!$J$23,
IF(V222=regle!$K$11,regle!$K$23,0))))))))))))</f>
        <v>0</v>
      </c>
      <c r="AG222" s="17">
        <f>IF($A222,$J222*(IF(W222=regle!$B$11,regle!$B$23*IF(AP222=-2,1+regle!$B$35,1),
IF(W222=regle!$C$11,regle!$C$23,
IF(W222=regle!$D$11,regle!$D$23,
IF(W222=regle!$E$11,regle!$E$23,
IF(W222=regle!$F$11,regle!$F$23,
IF(W222=regle!$G$11,regle!$G$23,
IF(W222=regle!$H$11,regle!$H$23,
IF(W222=regle!$I$11,regle!$I$23,
IF(W222=regle!$J$11,regle!$J$23,
IF(W222=regle!$K$11,regle!$K$23,0))))))))))))</f>
        <v>826.22400000000005</v>
      </c>
      <c r="AH222" s="17">
        <f>IF($A222,$J222*(IF(X222=regle!$B$11,regle!$B$23*IF(AQ222=-2,1+regle!$B$35,1),
IF(X222=regle!$C$11,regle!$C$23,
IF(X222=regle!$D$11,regle!$D$23,
IF(X222=regle!$E$11,regle!$E$23,
IF(X222=regle!$F$11,regle!$F$23,
IF(X222=regle!$G$11,regle!$G$23,
IF(X222=regle!$H$11,regle!$H$23,
IF(X222=regle!$I$11,regle!$I$23,
IF(X222=regle!$J$11,regle!$J$23,
IF(X222=regle!$K$11,regle!$K$23,0))))))))))))</f>
        <v>0</v>
      </c>
      <c r="AI222" s="17">
        <f>IF($A222,$J222*(IF(Y222=regle!$B$11,regle!$B$23*IF(AR222=-2,1+regle!$B$35,1),
IF(Y222=regle!$C$11,regle!$C$23,
IF(Y222=regle!$D$11,regle!$D$23,
IF(Y222=regle!$E$11,regle!$E$23,
IF(Y222=regle!$F$11,regle!$F$23,
IF(Y222=regle!$G$11,regle!$G$23,
IF(Y222=regle!$H$11,regle!$H$23,
IF(Y222=regle!$I$11,regle!$I$23,
IF(Y222=regle!$J$11,regle!$J$23,
IF(Y222=regle!$K$11,regle!$K$23,0))))))))))))</f>
        <v>0</v>
      </c>
      <c r="AJ222" s="17">
        <f>IF($A222,$J222*(IF(Z222=regle!$B$11,regle!$B$23*IF(AS222=-2,1+regle!$B$35,1),
IF(Z222=regle!$C$11,regle!$C$23,
IF(Z222=regle!$D$11,regle!$D$23,
IF(Z222=regle!$E$11,regle!$E$23,
IF(Z222=regle!$F$11,regle!$F$23,
IF(Z222=regle!$G$11,regle!$G$23,
IF(Z222=regle!$H$11,regle!$H$23,
IF(Z222=regle!$I$11,regle!$I$23,
IF(Z222=regle!$J$11,regle!$J$23,
IF(Z222=regle!$K$11,regle!$K$23,0))))))))))))</f>
        <v>0</v>
      </c>
      <c r="AK222" s="16">
        <f>IF(OR(Q222=regle!$J$11,Q222=regle!$K$11),-2,IF(Q222=regle!$B$11,0,IF(AK$1=$AK$1,IF($O222,-1,regle!$B$2-$M222),IF(AJ222=-1,-1,AJ222+1))))</f>
        <v>11</v>
      </c>
      <c r="AL222" s="16">
        <f>IF(OR(R222=regle!$J$11,R222=regle!$K$11),-2,IF(R222=regle!$B$11,0,IF(AL$1=$AK$1,IF($O222,-1,regle!$B$2-$M222),IF(AK222=-1,-1,AK222+1))))</f>
        <v>12</v>
      </c>
      <c r="AM222" s="16">
        <f>IF(OR(S222=regle!$J$11,S222=regle!$K$11),-2,IF(S222=regle!$B$11,0,IF(AM$1=$AK$1,IF($O222,-1,regle!$B$2-$M222),IF(AL222=-1,-1,AL222+1))))</f>
        <v>13</v>
      </c>
      <c r="AN222" s="16">
        <f>IF(OR(T222=regle!$J$11,T222=regle!$K$11),-2,IF(T222=regle!$B$11,0,IF(AN$1=$AK$1,IF($O222,-1,regle!$B$2-$M222),IF(AM222=-1,-1,AM222+1))))</f>
        <v>14</v>
      </c>
      <c r="AO222" s="16">
        <f>IF(OR(U222=regle!$J$11,U222=regle!$K$11),-2,IF(U222=regle!$B$11,0,IF(AO$1=$AK$1,IF($O222,-1,regle!$B$2-$M222),IF(AN222=-1,-1,AN222+1))))</f>
        <v>15</v>
      </c>
      <c r="AP222" s="16">
        <f>IF(OR(V222=regle!$J$11,V222=regle!$K$11),-2,IF(V222=regle!$B$11,0,IF(AP$1=$AK$1,IF($O222,-1,regle!$B$2-$M222),IF(AO222=-1,-1,AO222+1))))</f>
        <v>16</v>
      </c>
      <c r="AQ222" s="16">
        <f>IF(OR(W222=regle!$J$11,W222=regle!$K$11),-2,IF(W222=regle!$B$11,0,IF(AQ$1=$AK$1,IF($O222,-1,regle!$B$2-$M222),IF(AP222=-1,-1,AP222+1))))</f>
        <v>17</v>
      </c>
      <c r="AR222" s="16">
        <f>IF(OR(X222=regle!$J$11,X222=regle!$K$11),-2,IF(X222=regle!$B$11,0,IF(AR$1=$AK$1,IF($O222,-1,regle!$B$2-$M222),IF(AQ222=-1,-1,AQ222+1))))</f>
        <v>18</v>
      </c>
      <c r="AS222" s="16">
        <f>IF(OR(Y222=regle!$J$11,Y222=regle!$K$11),-2,IF(Y222=regle!$B$11,0,IF(AS$1=$AK$1,IF($O222,-1,regle!$B$2-$M222),IF(AR222=-1,-1,AR222+1))))</f>
        <v>19</v>
      </c>
      <c r="AT222" s="16">
        <f>IF(OR(Z222=regle!$J$11,Z222=regle!$K$11),-2,IF(Z222=regle!$B$11,0,IF(AT$1=$AK$1,IF($O222,-1,regle!$B$2-$M222),IF(AS222=-1,-1,AS222+1))))</f>
        <v>20</v>
      </c>
    </row>
    <row r="223" spans="1:46" x14ac:dyDescent="0.25">
      <c r="A223" t="b">
        <f>modif1!A223</f>
        <v>1</v>
      </c>
      <c r="B223">
        <f>ROW(modif1!B223)</f>
        <v>223</v>
      </c>
      <c r="C223" t="str">
        <f>modif1!C226</f>
        <v>536</v>
      </c>
      <c r="D223" t="str">
        <f>modif1!D223</f>
        <v>MANO</v>
      </c>
      <c r="E223">
        <f>modif1!E223</f>
        <v>17</v>
      </c>
      <c r="F223" t="str">
        <f>modif1!F223</f>
        <v>LANDE DE TABARTON</v>
      </c>
      <c r="G223" t="str">
        <f>modif1!G223</f>
        <v>0B</v>
      </c>
      <c r="H223">
        <f>modif1!H223</f>
        <v>307</v>
      </c>
      <c r="I223" t="str">
        <f>modif1!I223</f>
        <v/>
      </c>
      <c r="J223" s="11">
        <f>modif1!J223</f>
        <v>0.86599999999999999</v>
      </c>
      <c r="K223" t="str">
        <f>modif1!K223</f>
        <v>PLA</v>
      </c>
      <c r="L223" t="str">
        <f>modif1!L223</f>
        <v>PM</v>
      </c>
      <c r="M223">
        <f>modif1!M223</f>
        <v>2013</v>
      </c>
      <c r="N223" t="str">
        <f>modif1!N223</f>
        <v>PLA-PM_2013</v>
      </c>
      <c r="O223" t="b">
        <f>modif1!O223</f>
        <v>0</v>
      </c>
      <c r="P223">
        <v>40</v>
      </c>
      <c r="R223" s="22"/>
      <c r="S223" t="s">
        <v>1803</v>
      </c>
      <c r="W223" t="s">
        <v>1804</v>
      </c>
      <c r="Z223"/>
      <c r="AA223" s="17">
        <f>IF($A223,$J223*(IF(Q223=regle!$B$11,regle!$B$23*IF(AJ223=-2,1+regle!$B$35,1),
IF(Q223=regle!$C$11,regle!$C$23,
IF(Q223=regle!$D$11,regle!$D$23,
IF(Q223=regle!$E$11,regle!$E$23,
IF(Q223=regle!$F$11,regle!$F$23,
IF(Q223=regle!$G$11,regle!$G$23,
IF(Q223=regle!$H$11,regle!$H$23,
IF(Q223=regle!$I$11,regle!$I$23,
IF(Q223=regle!$J$11,regle!$J$23,
IF(Q223=regle!$K$11,regle!$K$23,0))))))))))))</f>
        <v>0</v>
      </c>
      <c r="AB223" s="17">
        <f>IF($A223,$J223*(IF(R223=regle!$B$11,regle!$B$23*IF(AK223=-2,1+regle!$B$35,1),
IF(R223=regle!$C$11,regle!$C$23,
IF(R223=regle!$D$11,regle!$D$23,
IF(R223=regle!$E$11,regle!$E$23,
IF(R223=regle!$F$11,regle!$F$23,
IF(R223=regle!$G$11,regle!$G$23,
IF(R223=regle!$H$11,regle!$H$23,
IF(R223=regle!$I$11,regle!$I$23,
IF(R223=regle!$J$11,regle!$J$23,
IF(R223=regle!$K$11,regle!$K$23,0))))))))))))</f>
        <v>0</v>
      </c>
      <c r="AC223" s="17">
        <f>IF($A223,$J223*(IF(S223=regle!$B$11,regle!$B$23*IF(AL223=-2,1+regle!$B$35,1),
IF(S223=regle!$C$11,regle!$C$23,
IF(S223=regle!$D$11,regle!$D$23,
IF(S223=regle!$E$11,regle!$E$23,
IF(S223=regle!$F$11,regle!$F$23,
IF(S223=regle!$G$11,regle!$G$23,
IF(S223=regle!$H$11,regle!$H$23,
IF(S223=regle!$I$11,regle!$I$23,
IF(S223=regle!$J$11,regle!$J$23,
IF(S223=regle!$K$11,regle!$K$23,0))))))))))))</f>
        <v>498.81599999999997</v>
      </c>
      <c r="AD223" s="17">
        <f>IF($A223,$J223*(IF(T223=regle!$B$11,regle!$B$23*IF(AM223=-2,1+regle!$B$35,1),
IF(T223=regle!$C$11,regle!$C$23,
IF(T223=regle!$D$11,regle!$D$23,
IF(T223=regle!$E$11,regle!$E$23,
IF(T223=regle!$F$11,regle!$F$23,
IF(T223=regle!$G$11,regle!$G$23,
IF(T223=regle!$H$11,regle!$H$23,
IF(T223=regle!$I$11,regle!$I$23,
IF(T223=regle!$J$11,regle!$J$23,
IF(T223=regle!$K$11,regle!$K$23,0))))))))))))</f>
        <v>0</v>
      </c>
      <c r="AE223" s="17">
        <f>IF($A223,$J223*(IF(U223=regle!$B$11,regle!$B$23*IF(AN223=-2,1+regle!$B$35,1),
IF(U223=regle!$C$11,regle!$C$23,
IF(U223=regle!$D$11,regle!$D$23,
IF(U223=regle!$E$11,regle!$E$23,
IF(U223=regle!$F$11,regle!$F$23,
IF(U223=regle!$G$11,regle!$G$23,
IF(U223=regle!$H$11,regle!$H$23,
IF(U223=regle!$I$11,regle!$I$23,
IF(U223=regle!$J$11,regle!$J$23,
IF(U223=regle!$K$11,regle!$K$23,0))))))))))))</f>
        <v>0</v>
      </c>
      <c r="AF223" s="17">
        <f>IF($A223,$J223*(IF(V223=regle!$B$11,regle!$B$23*IF(AO223=-2,1+regle!$B$35,1),
IF(V223=regle!$C$11,regle!$C$23,
IF(V223=regle!$D$11,regle!$D$23,
IF(V223=regle!$E$11,regle!$E$23,
IF(V223=regle!$F$11,regle!$F$23,
IF(V223=regle!$G$11,regle!$G$23,
IF(V223=regle!$H$11,regle!$H$23,
IF(V223=regle!$I$11,regle!$I$23,
IF(V223=regle!$J$11,regle!$J$23,
IF(V223=regle!$K$11,regle!$K$23,0))))))))))))</f>
        <v>0</v>
      </c>
      <c r="AG223" s="17">
        <f>IF($A223,$J223*(IF(W223=regle!$B$11,regle!$B$23*IF(AP223=-2,1+regle!$B$35,1),
IF(W223=regle!$C$11,regle!$C$23,
IF(W223=regle!$D$11,regle!$D$23,
IF(W223=regle!$E$11,regle!$E$23,
IF(W223=regle!$F$11,regle!$F$23,
IF(W223=regle!$G$11,regle!$G$23,
IF(W223=regle!$H$11,regle!$H$23,
IF(W223=regle!$I$11,regle!$I$23,
IF(W223=regle!$J$11,regle!$J$23,
IF(W223=regle!$K$11,regle!$K$23,0))))))))))))</f>
        <v>727.43999999999994</v>
      </c>
      <c r="AH223" s="17">
        <f>IF($A223,$J223*(IF(X223=regle!$B$11,regle!$B$23*IF(AQ223=-2,1+regle!$B$35,1),
IF(X223=regle!$C$11,regle!$C$23,
IF(X223=regle!$D$11,regle!$D$23,
IF(X223=regle!$E$11,regle!$E$23,
IF(X223=regle!$F$11,regle!$F$23,
IF(X223=regle!$G$11,regle!$G$23,
IF(X223=regle!$H$11,regle!$H$23,
IF(X223=regle!$I$11,regle!$I$23,
IF(X223=regle!$J$11,regle!$J$23,
IF(X223=regle!$K$11,regle!$K$23,0))))))))))))</f>
        <v>0</v>
      </c>
      <c r="AI223" s="17">
        <f>IF($A223,$J223*(IF(Y223=regle!$B$11,regle!$B$23*IF(AR223=-2,1+regle!$B$35,1),
IF(Y223=regle!$C$11,regle!$C$23,
IF(Y223=regle!$D$11,regle!$D$23,
IF(Y223=regle!$E$11,regle!$E$23,
IF(Y223=regle!$F$11,regle!$F$23,
IF(Y223=regle!$G$11,regle!$G$23,
IF(Y223=regle!$H$11,regle!$H$23,
IF(Y223=regle!$I$11,regle!$I$23,
IF(Y223=regle!$J$11,regle!$J$23,
IF(Y223=regle!$K$11,regle!$K$23,0))))))))))))</f>
        <v>0</v>
      </c>
      <c r="AJ223" s="17">
        <f>IF($A223,$J223*(IF(Z223=regle!$B$11,regle!$B$23*IF(AS223=-2,1+regle!$B$35,1),
IF(Z223=regle!$C$11,regle!$C$23,
IF(Z223=regle!$D$11,regle!$D$23,
IF(Z223=regle!$E$11,regle!$E$23,
IF(Z223=regle!$F$11,regle!$F$23,
IF(Z223=regle!$G$11,regle!$G$23,
IF(Z223=regle!$H$11,regle!$H$23,
IF(Z223=regle!$I$11,regle!$I$23,
IF(Z223=regle!$J$11,regle!$J$23,
IF(Z223=regle!$K$11,regle!$K$23,0))))))))))))</f>
        <v>0</v>
      </c>
      <c r="AK223" s="16">
        <f>IF(OR(Q223=regle!$J$11,Q223=regle!$K$11),-2,IF(Q223=regle!$B$11,0,IF(AK$1=$AK$1,IF($O223,-1,regle!$B$2-$M223),IF(AJ223=-1,-1,AJ223+1))))</f>
        <v>11</v>
      </c>
      <c r="AL223" s="16">
        <f>IF(OR(R223=regle!$J$11,R223=regle!$K$11),-2,IF(R223=regle!$B$11,0,IF(AL$1=$AK$1,IF($O223,-1,regle!$B$2-$M223),IF(AK223=-1,-1,AK223+1))))</f>
        <v>12</v>
      </c>
      <c r="AM223" s="16">
        <f>IF(OR(S223=regle!$J$11,S223=regle!$K$11),-2,IF(S223=regle!$B$11,0,IF(AM$1=$AK$1,IF($O223,-1,regle!$B$2-$M223),IF(AL223=-1,-1,AL223+1))))</f>
        <v>13</v>
      </c>
      <c r="AN223" s="16">
        <f>IF(OR(T223=regle!$J$11,T223=regle!$K$11),-2,IF(T223=regle!$B$11,0,IF(AN$1=$AK$1,IF($O223,-1,regle!$B$2-$M223),IF(AM223=-1,-1,AM223+1))))</f>
        <v>14</v>
      </c>
      <c r="AO223" s="16">
        <f>IF(OR(U223=regle!$J$11,U223=regle!$K$11),-2,IF(U223=regle!$B$11,0,IF(AO$1=$AK$1,IF($O223,-1,regle!$B$2-$M223),IF(AN223=-1,-1,AN223+1))))</f>
        <v>15</v>
      </c>
      <c r="AP223" s="16">
        <f>IF(OR(V223=regle!$J$11,V223=regle!$K$11),-2,IF(V223=regle!$B$11,0,IF(AP$1=$AK$1,IF($O223,-1,regle!$B$2-$M223),IF(AO223=-1,-1,AO223+1))))</f>
        <v>16</v>
      </c>
      <c r="AQ223" s="16">
        <f>IF(OR(W223=regle!$J$11,W223=regle!$K$11),-2,IF(W223=regle!$B$11,0,IF(AQ$1=$AK$1,IF($O223,-1,regle!$B$2-$M223),IF(AP223=-1,-1,AP223+1))))</f>
        <v>17</v>
      </c>
      <c r="AR223" s="16">
        <f>IF(OR(X223=regle!$J$11,X223=regle!$K$11),-2,IF(X223=regle!$B$11,0,IF(AR$1=$AK$1,IF($O223,-1,regle!$B$2-$M223),IF(AQ223=-1,-1,AQ223+1))))</f>
        <v>18</v>
      </c>
      <c r="AS223" s="16">
        <f>IF(OR(Y223=regle!$J$11,Y223=regle!$K$11),-2,IF(Y223=regle!$B$11,0,IF(AS$1=$AK$1,IF($O223,-1,regle!$B$2-$M223),IF(AR223=-1,-1,AR223+1))))</f>
        <v>19</v>
      </c>
      <c r="AT223" s="16">
        <f>IF(OR(Z223=regle!$J$11,Z223=regle!$K$11),-2,IF(Z223=regle!$B$11,0,IF(AT$1=$AK$1,IF($O223,-1,regle!$B$2-$M223),IF(AS223=-1,-1,AS223+1))))</f>
        <v>20</v>
      </c>
    </row>
    <row r="224" spans="1:46" x14ac:dyDescent="0.25">
      <c r="A224" t="b">
        <f>modif1!A224</f>
        <v>1</v>
      </c>
      <c r="B224">
        <f>ROW(modif1!B224)</f>
        <v>224</v>
      </c>
      <c r="C224" t="str">
        <f>modif1!C227</f>
        <v>171</v>
      </c>
      <c r="D224" t="str">
        <f>modif1!D224</f>
        <v>LE TUZAN</v>
      </c>
      <c r="E224">
        <f>modif1!E224</f>
        <v>7</v>
      </c>
      <c r="F224" t="str">
        <f>modif1!F224</f>
        <v>CHOUSSE</v>
      </c>
      <c r="G224" t="str">
        <f>modif1!G224</f>
        <v>0A</v>
      </c>
      <c r="H224">
        <f>modif1!H224</f>
        <v>684</v>
      </c>
      <c r="I224" t="str">
        <f>modif1!I224</f>
        <v/>
      </c>
      <c r="J224" s="11">
        <f>modif1!J224</f>
        <v>0.68569999999999998</v>
      </c>
      <c r="K224" t="str">
        <f>modif1!K224</f>
        <v>PLA</v>
      </c>
      <c r="L224" t="str">
        <f>modif1!L224</f>
        <v>PM</v>
      </c>
      <c r="M224">
        <f>modif1!M224</f>
        <v>2013</v>
      </c>
      <c r="N224" t="str">
        <f>modif1!N224</f>
        <v>PLA-PM_2013</v>
      </c>
      <c r="O224" t="b">
        <f>modif1!O224</f>
        <v>0</v>
      </c>
      <c r="P224">
        <v>40</v>
      </c>
      <c r="R224" s="22"/>
      <c r="S224" t="s">
        <v>1803</v>
      </c>
      <c r="W224" t="s">
        <v>1804</v>
      </c>
      <c r="Z224"/>
      <c r="AA224" s="17">
        <f>IF($A224,$J224*(IF(Q224=regle!$B$11,regle!$B$23*IF(AJ224=-2,1+regle!$B$35,1),
IF(Q224=regle!$C$11,regle!$C$23,
IF(Q224=regle!$D$11,regle!$D$23,
IF(Q224=regle!$E$11,regle!$E$23,
IF(Q224=regle!$F$11,regle!$F$23,
IF(Q224=regle!$G$11,regle!$G$23,
IF(Q224=regle!$H$11,regle!$H$23,
IF(Q224=regle!$I$11,regle!$I$23,
IF(Q224=regle!$J$11,regle!$J$23,
IF(Q224=regle!$K$11,regle!$K$23,0))))))))))))</f>
        <v>0</v>
      </c>
      <c r="AB224" s="17">
        <f>IF($A224,$J224*(IF(R224=regle!$B$11,regle!$B$23*IF(AK224=-2,1+regle!$B$35,1),
IF(R224=regle!$C$11,regle!$C$23,
IF(R224=regle!$D$11,regle!$D$23,
IF(R224=regle!$E$11,regle!$E$23,
IF(R224=regle!$F$11,regle!$F$23,
IF(R224=regle!$G$11,regle!$G$23,
IF(R224=regle!$H$11,regle!$H$23,
IF(R224=regle!$I$11,regle!$I$23,
IF(R224=regle!$J$11,regle!$J$23,
IF(R224=regle!$K$11,regle!$K$23,0))))))))))))</f>
        <v>0</v>
      </c>
      <c r="AC224" s="17">
        <f>IF($A224,$J224*(IF(S224=regle!$B$11,regle!$B$23*IF(AL224=-2,1+regle!$B$35,1),
IF(S224=regle!$C$11,regle!$C$23,
IF(S224=regle!$D$11,regle!$D$23,
IF(S224=regle!$E$11,regle!$E$23,
IF(S224=regle!$F$11,regle!$F$23,
IF(S224=regle!$G$11,regle!$G$23,
IF(S224=regle!$H$11,regle!$H$23,
IF(S224=regle!$I$11,regle!$I$23,
IF(S224=regle!$J$11,regle!$J$23,
IF(S224=regle!$K$11,regle!$K$23,0))))))))))))</f>
        <v>394.96319999999997</v>
      </c>
      <c r="AD224" s="17">
        <f>IF($A224,$J224*(IF(T224=regle!$B$11,regle!$B$23*IF(AM224=-2,1+regle!$B$35,1),
IF(T224=regle!$C$11,regle!$C$23,
IF(T224=regle!$D$11,regle!$D$23,
IF(T224=regle!$E$11,regle!$E$23,
IF(T224=regle!$F$11,regle!$F$23,
IF(T224=regle!$G$11,regle!$G$23,
IF(T224=regle!$H$11,regle!$H$23,
IF(T224=regle!$I$11,regle!$I$23,
IF(T224=regle!$J$11,regle!$J$23,
IF(T224=regle!$K$11,regle!$K$23,0))))))))))))</f>
        <v>0</v>
      </c>
      <c r="AE224" s="17">
        <f>IF($A224,$J224*(IF(U224=regle!$B$11,regle!$B$23*IF(AN224=-2,1+regle!$B$35,1),
IF(U224=regle!$C$11,regle!$C$23,
IF(U224=regle!$D$11,regle!$D$23,
IF(U224=regle!$E$11,regle!$E$23,
IF(U224=regle!$F$11,regle!$F$23,
IF(U224=regle!$G$11,regle!$G$23,
IF(U224=regle!$H$11,regle!$H$23,
IF(U224=regle!$I$11,regle!$I$23,
IF(U224=regle!$J$11,regle!$J$23,
IF(U224=regle!$K$11,regle!$K$23,0))))))))))))</f>
        <v>0</v>
      </c>
      <c r="AF224" s="17">
        <f>IF($A224,$J224*(IF(V224=regle!$B$11,regle!$B$23*IF(AO224=-2,1+regle!$B$35,1),
IF(V224=regle!$C$11,regle!$C$23,
IF(V224=regle!$D$11,regle!$D$23,
IF(V224=regle!$E$11,regle!$E$23,
IF(V224=regle!$F$11,regle!$F$23,
IF(V224=regle!$G$11,regle!$G$23,
IF(V224=regle!$H$11,regle!$H$23,
IF(V224=regle!$I$11,regle!$I$23,
IF(V224=regle!$J$11,regle!$J$23,
IF(V224=regle!$K$11,regle!$K$23,0))))))))))))</f>
        <v>0</v>
      </c>
      <c r="AG224" s="17">
        <f>IF($A224,$J224*(IF(W224=regle!$B$11,regle!$B$23*IF(AP224=-2,1+regle!$B$35,1),
IF(W224=regle!$C$11,regle!$C$23,
IF(W224=regle!$D$11,regle!$D$23,
IF(W224=regle!$E$11,regle!$E$23,
IF(W224=regle!$F$11,regle!$F$23,
IF(W224=regle!$G$11,regle!$G$23,
IF(W224=regle!$H$11,regle!$H$23,
IF(W224=regle!$I$11,regle!$I$23,
IF(W224=regle!$J$11,regle!$J$23,
IF(W224=regle!$K$11,regle!$K$23,0))))))))))))</f>
        <v>575.98799999999994</v>
      </c>
      <c r="AH224" s="17">
        <f>IF($A224,$J224*(IF(X224=regle!$B$11,regle!$B$23*IF(AQ224=-2,1+regle!$B$35,1),
IF(X224=regle!$C$11,regle!$C$23,
IF(X224=regle!$D$11,regle!$D$23,
IF(X224=regle!$E$11,regle!$E$23,
IF(X224=regle!$F$11,regle!$F$23,
IF(X224=regle!$G$11,regle!$G$23,
IF(X224=regle!$H$11,regle!$H$23,
IF(X224=regle!$I$11,regle!$I$23,
IF(X224=regle!$J$11,regle!$J$23,
IF(X224=regle!$K$11,regle!$K$23,0))))))))))))</f>
        <v>0</v>
      </c>
      <c r="AI224" s="17">
        <f>IF($A224,$J224*(IF(Y224=regle!$B$11,regle!$B$23*IF(AR224=-2,1+regle!$B$35,1),
IF(Y224=regle!$C$11,regle!$C$23,
IF(Y224=regle!$D$11,regle!$D$23,
IF(Y224=regle!$E$11,regle!$E$23,
IF(Y224=regle!$F$11,regle!$F$23,
IF(Y224=regle!$G$11,regle!$G$23,
IF(Y224=regle!$H$11,regle!$H$23,
IF(Y224=regle!$I$11,regle!$I$23,
IF(Y224=regle!$J$11,regle!$J$23,
IF(Y224=regle!$K$11,regle!$K$23,0))))))))))))</f>
        <v>0</v>
      </c>
      <c r="AJ224" s="17">
        <f>IF($A224,$J224*(IF(Z224=regle!$B$11,regle!$B$23*IF(AS224=-2,1+regle!$B$35,1),
IF(Z224=regle!$C$11,regle!$C$23,
IF(Z224=regle!$D$11,regle!$D$23,
IF(Z224=regle!$E$11,regle!$E$23,
IF(Z224=regle!$F$11,regle!$F$23,
IF(Z224=regle!$G$11,regle!$G$23,
IF(Z224=regle!$H$11,regle!$H$23,
IF(Z224=regle!$I$11,regle!$I$23,
IF(Z224=regle!$J$11,regle!$J$23,
IF(Z224=regle!$K$11,regle!$K$23,0))))))))))))</f>
        <v>0</v>
      </c>
      <c r="AK224" s="16">
        <f>IF(OR(Q224=regle!$J$11,Q224=regle!$K$11),-2,IF(Q224=regle!$B$11,0,IF(AK$1=$AK$1,IF($O224,-1,regle!$B$2-$M224),IF(AJ224=-1,-1,AJ224+1))))</f>
        <v>11</v>
      </c>
      <c r="AL224" s="16">
        <f>IF(OR(R224=regle!$J$11,R224=regle!$K$11),-2,IF(R224=regle!$B$11,0,IF(AL$1=$AK$1,IF($O224,-1,regle!$B$2-$M224),IF(AK224=-1,-1,AK224+1))))</f>
        <v>12</v>
      </c>
      <c r="AM224" s="16">
        <f>IF(OR(S224=regle!$J$11,S224=regle!$K$11),-2,IF(S224=regle!$B$11,0,IF(AM$1=$AK$1,IF($O224,-1,regle!$B$2-$M224),IF(AL224=-1,-1,AL224+1))))</f>
        <v>13</v>
      </c>
      <c r="AN224" s="16">
        <f>IF(OR(T224=regle!$J$11,T224=regle!$K$11),-2,IF(T224=regle!$B$11,0,IF(AN$1=$AK$1,IF($O224,-1,regle!$B$2-$M224),IF(AM224=-1,-1,AM224+1))))</f>
        <v>14</v>
      </c>
      <c r="AO224" s="16">
        <f>IF(OR(U224=regle!$J$11,U224=regle!$K$11),-2,IF(U224=regle!$B$11,0,IF(AO$1=$AK$1,IF($O224,-1,regle!$B$2-$M224),IF(AN224=-1,-1,AN224+1))))</f>
        <v>15</v>
      </c>
      <c r="AP224" s="16">
        <f>IF(OR(V224=regle!$J$11,V224=regle!$K$11),-2,IF(V224=regle!$B$11,0,IF(AP$1=$AK$1,IF($O224,-1,regle!$B$2-$M224),IF(AO224=-1,-1,AO224+1))))</f>
        <v>16</v>
      </c>
      <c r="AQ224" s="16">
        <f>IF(OR(W224=regle!$J$11,W224=regle!$K$11),-2,IF(W224=regle!$B$11,0,IF(AQ$1=$AK$1,IF($O224,-1,regle!$B$2-$M224),IF(AP224=-1,-1,AP224+1))))</f>
        <v>17</v>
      </c>
      <c r="AR224" s="16">
        <f>IF(OR(X224=regle!$J$11,X224=regle!$K$11),-2,IF(X224=regle!$B$11,0,IF(AR$1=$AK$1,IF($O224,-1,regle!$B$2-$M224),IF(AQ224=-1,-1,AQ224+1))))</f>
        <v>18</v>
      </c>
      <c r="AS224" s="16">
        <f>IF(OR(Y224=regle!$J$11,Y224=regle!$K$11),-2,IF(Y224=regle!$B$11,0,IF(AS$1=$AK$1,IF($O224,-1,regle!$B$2-$M224),IF(AR224=-1,-1,AR224+1))))</f>
        <v>19</v>
      </c>
      <c r="AT224" s="16">
        <f>IF(OR(Z224=regle!$J$11,Z224=regle!$K$11),-2,IF(Z224=regle!$B$11,0,IF(AT$1=$AK$1,IF($O224,-1,regle!$B$2-$M224),IF(AS224=-1,-1,AS224+1))))</f>
        <v>20</v>
      </c>
    </row>
    <row r="225" spans="1:46" x14ac:dyDescent="0.25">
      <c r="A225" t="b">
        <f>modif1!A225</f>
        <v>1</v>
      </c>
      <c r="B225">
        <f>ROW(modif1!B225)</f>
        <v>225</v>
      </c>
      <c r="C225" t="str">
        <f>modif1!C228</f>
        <v>536</v>
      </c>
      <c r="D225" t="str">
        <f>modif1!D225</f>
        <v>LE TUZAN</v>
      </c>
      <c r="E225">
        <f>modif1!E225</f>
        <v>7</v>
      </c>
      <c r="F225" t="str">
        <f>modif1!F225</f>
        <v>CHOUSSE</v>
      </c>
      <c r="G225" t="str">
        <f>modif1!G225</f>
        <v>0A</v>
      </c>
      <c r="H225">
        <f>modif1!H225</f>
        <v>704</v>
      </c>
      <c r="I225" t="str">
        <f>modif1!I225</f>
        <v/>
      </c>
      <c r="J225" s="11">
        <f>modif1!J225</f>
        <v>0.52859999999999996</v>
      </c>
      <c r="K225" t="str">
        <f>modif1!K225</f>
        <v>PLA</v>
      </c>
      <c r="L225" t="str">
        <f>modif1!L225</f>
        <v>PM</v>
      </c>
      <c r="M225">
        <f>modif1!M225</f>
        <v>2013</v>
      </c>
      <c r="N225" t="str">
        <f>modif1!N225</f>
        <v>PLA-PM_2013</v>
      </c>
      <c r="O225" t="b">
        <f>modif1!O225</f>
        <v>0</v>
      </c>
      <c r="P225">
        <v>40</v>
      </c>
      <c r="R225" s="22"/>
      <c r="S225" t="s">
        <v>1803</v>
      </c>
      <c r="W225" t="s">
        <v>1804</v>
      </c>
      <c r="Z225"/>
      <c r="AA225" s="17">
        <f>IF($A225,$J225*(IF(Q225=regle!$B$11,regle!$B$23*IF(AJ225=-2,1+regle!$B$35,1),
IF(Q225=regle!$C$11,regle!$C$23,
IF(Q225=regle!$D$11,regle!$D$23,
IF(Q225=regle!$E$11,regle!$E$23,
IF(Q225=regle!$F$11,regle!$F$23,
IF(Q225=regle!$G$11,regle!$G$23,
IF(Q225=regle!$H$11,regle!$H$23,
IF(Q225=regle!$I$11,regle!$I$23,
IF(Q225=regle!$J$11,regle!$J$23,
IF(Q225=regle!$K$11,regle!$K$23,0))))))))))))</f>
        <v>0</v>
      </c>
      <c r="AB225" s="17">
        <f>IF($A225,$J225*(IF(R225=regle!$B$11,regle!$B$23*IF(AK225=-2,1+regle!$B$35,1),
IF(R225=regle!$C$11,regle!$C$23,
IF(R225=regle!$D$11,regle!$D$23,
IF(R225=regle!$E$11,regle!$E$23,
IF(R225=regle!$F$11,regle!$F$23,
IF(R225=regle!$G$11,regle!$G$23,
IF(R225=regle!$H$11,regle!$H$23,
IF(R225=regle!$I$11,regle!$I$23,
IF(R225=regle!$J$11,regle!$J$23,
IF(R225=regle!$K$11,regle!$K$23,0))))))))))))</f>
        <v>0</v>
      </c>
      <c r="AC225" s="17">
        <f>IF($A225,$J225*(IF(S225=regle!$B$11,regle!$B$23*IF(AL225=-2,1+regle!$B$35,1),
IF(S225=regle!$C$11,regle!$C$23,
IF(S225=regle!$D$11,regle!$D$23,
IF(S225=regle!$E$11,regle!$E$23,
IF(S225=regle!$F$11,regle!$F$23,
IF(S225=regle!$G$11,regle!$G$23,
IF(S225=regle!$H$11,regle!$H$23,
IF(S225=regle!$I$11,regle!$I$23,
IF(S225=regle!$J$11,regle!$J$23,
IF(S225=regle!$K$11,regle!$K$23,0))))))))))))</f>
        <v>304.47359999999998</v>
      </c>
      <c r="AD225" s="17">
        <f>IF($A225,$J225*(IF(T225=regle!$B$11,regle!$B$23*IF(AM225=-2,1+regle!$B$35,1),
IF(T225=regle!$C$11,regle!$C$23,
IF(T225=regle!$D$11,regle!$D$23,
IF(T225=regle!$E$11,regle!$E$23,
IF(T225=regle!$F$11,regle!$F$23,
IF(T225=regle!$G$11,regle!$G$23,
IF(T225=regle!$H$11,regle!$H$23,
IF(T225=regle!$I$11,regle!$I$23,
IF(T225=regle!$J$11,regle!$J$23,
IF(T225=regle!$K$11,regle!$K$23,0))))))))))))</f>
        <v>0</v>
      </c>
      <c r="AE225" s="17">
        <f>IF($A225,$J225*(IF(U225=regle!$B$11,regle!$B$23*IF(AN225=-2,1+regle!$B$35,1),
IF(U225=regle!$C$11,regle!$C$23,
IF(U225=regle!$D$11,regle!$D$23,
IF(U225=regle!$E$11,regle!$E$23,
IF(U225=regle!$F$11,regle!$F$23,
IF(U225=regle!$G$11,regle!$G$23,
IF(U225=regle!$H$11,regle!$H$23,
IF(U225=regle!$I$11,regle!$I$23,
IF(U225=regle!$J$11,regle!$J$23,
IF(U225=regle!$K$11,regle!$K$23,0))))))))))))</f>
        <v>0</v>
      </c>
      <c r="AF225" s="17">
        <f>IF($A225,$J225*(IF(V225=regle!$B$11,regle!$B$23*IF(AO225=-2,1+regle!$B$35,1),
IF(V225=regle!$C$11,regle!$C$23,
IF(V225=regle!$D$11,regle!$D$23,
IF(V225=regle!$E$11,regle!$E$23,
IF(V225=regle!$F$11,regle!$F$23,
IF(V225=regle!$G$11,regle!$G$23,
IF(V225=regle!$H$11,regle!$H$23,
IF(V225=regle!$I$11,regle!$I$23,
IF(V225=regle!$J$11,regle!$J$23,
IF(V225=regle!$K$11,regle!$K$23,0))))))))))))</f>
        <v>0</v>
      </c>
      <c r="AG225" s="17">
        <f>IF($A225,$J225*(IF(W225=regle!$B$11,regle!$B$23*IF(AP225=-2,1+regle!$B$35,1),
IF(W225=regle!$C$11,regle!$C$23,
IF(W225=regle!$D$11,regle!$D$23,
IF(W225=regle!$E$11,regle!$E$23,
IF(W225=regle!$F$11,regle!$F$23,
IF(W225=regle!$G$11,regle!$G$23,
IF(W225=regle!$H$11,regle!$H$23,
IF(W225=regle!$I$11,regle!$I$23,
IF(W225=regle!$J$11,regle!$J$23,
IF(W225=regle!$K$11,regle!$K$23,0))))))))))))</f>
        <v>444.02399999999994</v>
      </c>
      <c r="AH225" s="17">
        <f>IF($A225,$J225*(IF(X225=regle!$B$11,regle!$B$23*IF(AQ225=-2,1+regle!$B$35,1),
IF(X225=regle!$C$11,regle!$C$23,
IF(X225=regle!$D$11,regle!$D$23,
IF(X225=regle!$E$11,regle!$E$23,
IF(X225=regle!$F$11,regle!$F$23,
IF(X225=regle!$G$11,regle!$G$23,
IF(X225=regle!$H$11,regle!$H$23,
IF(X225=regle!$I$11,regle!$I$23,
IF(X225=regle!$J$11,regle!$J$23,
IF(X225=regle!$K$11,regle!$K$23,0))))))))))))</f>
        <v>0</v>
      </c>
      <c r="AI225" s="17">
        <f>IF($A225,$J225*(IF(Y225=regle!$B$11,regle!$B$23*IF(AR225=-2,1+regle!$B$35,1),
IF(Y225=regle!$C$11,regle!$C$23,
IF(Y225=regle!$D$11,regle!$D$23,
IF(Y225=regle!$E$11,regle!$E$23,
IF(Y225=regle!$F$11,regle!$F$23,
IF(Y225=regle!$G$11,regle!$G$23,
IF(Y225=regle!$H$11,regle!$H$23,
IF(Y225=regle!$I$11,regle!$I$23,
IF(Y225=regle!$J$11,regle!$J$23,
IF(Y225=regle!$K$11,regle!$K$23,0))))))))))))</f>
        <v>0</v>
      </c>
      <c r="AJ225" s="17">
        <f>IF($A225,$J225*(IF(Z225=regle!$B$11,regle!$B$23*IF(AS225=-2,1+regle!$B$35,1),
IF(Z225=regle!$C$11,regle!$C$23,
IF(Z225=regle!$D$11,regle!$D$23,
IF(Z225=regle!$E$11,regle!$E$23,
IF(Z225=regle!$F$11,regle!$F$23,
IF(Z225=regle!$G$11,regle!$G$23,
IF(Z225=regle!$H$11,regle!$H$23,
IF(Z225=regle!$I$11,regle!$I$23,
IF(Z225=regle!$J$11,regle!$J$23,
IF(Z225=regle!$K$11,regle!$K$23,0))))))))))))</f>
        <v>0</v>
      </c>
      <c r="AK225" s="16">
        <f>IF(OR(Q225=regle!$J$11,Q225=regle!$K$11),-2,IF(Q225=regle!$B$11,0,IF(AK$1=$AK$1,IF($O225,-1,regle!$B$2-$M225),IF(AJ225=-1,-1,AJ225+1))))</f>
        <v>11</v>
      </c>
      <c r="AL225" s="16">
        <f>IF(OR(R225=regle!$J$11,R225=regle!$K$11),-2,IF(R225=regle!$B$11,0,IF(AL$1=$AK$1,IF($O225,-1,regle!$B$2-$M225),IF(AK225=-1,-1,AK225+1))))</f>
        <v>12</v>
      </c>
      <c r="AM225" s="16">
        <f>IF(OR(S225=regle!$J$11,S225=regle!$K$11),-2,IF(S225=regle!$B$11,0,IF(AM$1=$AK$1,IF($O225,-1,regle!$B$2-$M225),IF(AL225=-1,-1,AL225+1))))</f>
        <v>13</v>
      </c>
      <c r="AN225" s="16">
        <f>IF(OR(T225=regle!$J$11,T225=regle!$K$11),-2,IF(T225=regle!$B$11,0,IF(AN$1=$AK$1,IF($O225,-1,regle!$B$2-$M225),IF(AM225=-1,-1,AM225+1))))</f>
        <v>14</v>
      </c>
      <c r="AO225" s="16">
        <f>IF(OR(U225=regle!$J$11,U225=regle!$K$11),-2,IF(U225=regle!$B$11,0,IF(AO$1=$AK$1,IF($O225,-1,regle!$B$2-$M225),IF(AN225=-1,-1,AN225+1))))</f>
        <v>15</v>
      </c>
      <c r="AP225" s="16">
        <f>IF(OR(V225=regle!$J$11,V225=regle!$K$11),-2,IF(V225=regle!$B$11,0,IF(AP$1=$AK$1,IF($O225,-1,regle!$B$2-$M225),IF(AO225=-1,-1,AO225+1))))</f>
        <v>16</v>
      </c>
      <c r="AQ225" s="16">
        <f>IF(OR(W225=regle!$J$11,W225=regle!$K$11),-2,IF(W225=regle!$B$11,0,IF(AQ$1=$AK$1,IF($O225,-1,regle!$B$2-$M225),IF(AP225=-1,-1,AP225+1))))</f>
        <v>17</v>
      </c>
      <c r="AR225" s="16">
        <f>IF(OR(X225=regle!$J$11,X225=regle!$K$11),-2,IF(X225=regle!$B$11,0,IF(AR$1=$AK$1,IF($O225,-1,regle!$B$2-$M225),IF(AQ225=-1,-1,AQ225+1))))</f>
        <v>18</v>
      </c>
      <c r="AS225" s="16">
        <f>IF(OR(Y225=regle!$J$11,Y225=regle!$K$11),-2,IF(Y225=regle!$B$11,0,IF(AS$1=$AK$1,IF($O225,-1,regle!$B$2-$M225),IF(AR225=-1,-1,AR225+1))))</f>
        <v>19</v>
      </c>
      <c r="AT225" s="16">
        <f>IF(OR(Z225=regle!$J$11,Z225=regle!$K$11),-2,IF(Z225=regle!$B$11,0,IF(AT$1=$AK$1,IF($O225,-1,regle!$B$2-$M225),IF(AS225=-1,-1,AS225+1))))</f>
        <v>20</v>
      </c>
    </row>
    <row r="226" spans="1:46" x14ac:dyDescent="0.25">
      <c r="A226" t="b">
        <f>modif1!A226</f>
        <v>1</v>
      </c>
      <c r="B226">
        <f>ROW(modif1!B226)</f>
        <v>226</v>
      </c>
      <c r="C226" t="str">
        <f>modif1!C229</f>
        <v>536</v>
      </c>
      <c r="D226" t="str">
        <f>modif1!D226</f>
        <v>LE TUZAN</v>
      </c>
      <c r="E226">
        <f>modif1!E226</f>
        <v>7</v>
      </c>
      <c r="F226" t="str">
        <f>modif1!F226</f>
        <v>CHOUSSE</v>
      </c>
      <c r="G226" t="str">
        <f>modif1!G226</f>
        <v>0A</v>
      </c>
      <c r="H226">
        <f>modif1!H226</f>
        <v>700</v>
      </c>
      <c r="I226" t="str">
        <f>modif1!I226</f>
        <v>j</v>
      </c>
      <c r="J226" s="11">
        <f>modif1!J226</f>
        <v>4.3999999999999997E-2</v>
      </c>
      <c r="K226" t="str">
        <f>modif1!K226</f>
        <v>PLA</v>
      </c>
      <c r="L226" t="str">
        <f>modif1!L226</f>
        <v>PM</v>
      </c>
      <c r="M226">
        <f>modif1!M226</f>
        <v>2013</v>
      </c>
      <c r="N226" t="str">
        <f>modif1!N226</f>
        <v>PLA-PM_2013</v>
      </c>
      <c r="O226" t="b">
        <f>modif1!O226</f>
        <v>0</v>
      </c>
      <c r="P226">
        <v>40</v>
      </c>
      <c r="R226" t="s">
        <v>1803</v>
      </c>
      <c r="W226" t="s">
        <v>1804</v>
      </c>
      <c r="Z226"/>
      <c r="AA226" s="17">
        <f>IF($A226,$J226*(IF(Q226=regle!$B$11,regle!$B$23*IF(AJ226=-2,1+regle!$B$35,1),
IF(Q226=regle!$C$11,regle!$C$23,
IF(Q226=regle!$D$11,regle!$D$23,
IF(Q226=regle!$E$11,regle!$E$23,
IF(Q226=regle!$F$11,regle!$F$23,
IF(Q226=regle!$G$11,regle!$G$23,
IF(Q226=regle!$H$11,regle!$H$23,
IF(Q226=regle!$I$11,regle!$I$23,
IF(Q226=regle!$J$11,regle!$J$23,
IF(Q226=regle!$K$11,regle!$K$23,0))))))))))))</f>
        <v>0</v>
      </c>
      <c r="AB226" s="17">
        <f>IF($A226,$J226*(IF(R226=regle!$B$11,regle!$B$23*IF(AK226=-2,1+regle!$B$35,1),
IF(R226=regle!$C$11,regle!$C$23,
IF(R226=regle!$D$11,regle!$D$23,
IF(R226=regle!$E$11,regle!$E$23,
IF(R226=regle!$F$11,regle!$F$23,
IF(R226=regle!$G$11,regle!$G$23,
IF(R226=regle!$H$11,regle!$H$23,
IF(R226=regle!$I$11,regle!$I$23,
IF(R226=regle!$J$11,regle!$J$23,
IF(R226=regle!$K$11,regle!$K$23,0))))))))))))</f>
        <v>25.343999999999998</v>
      </c>
      <c r="AC226" s="17">
        <f>IF($A226,$J226*(IF(S226=regle!$B$11,regle!$B$23*IF(AL226=-2,1+regle!$B$35,1),
IF(S226=regle!$C$11,regle!$C$23,
IF(S226=regle!$D$11,regle!$D$23,
IF(S226=regle!$E$11,regle!$E$23,
IF(S226=regle!$F$11,regle!$F$23,
IF(S226=regle!$G$11,regle!$G$23,
IF(S226=regle!$H$11,regle!$H$23,
IF(S226=regle!$I$11,regle!$I$23,
IF(S226=regle!$J$11,regle!$J$23,
IF(S226=regle!$K$11,regle!$K$23,0))))))))))))</f>
        <v>0</v>
      </c>
      <c r="AD226" s="17">
        <f>IF($A226,$J226*(IF(T226=regle!$B$11,regle!$B$23*IF(AM226=-2,1+regle!$B$35,1),
IF(T226=regle!$C$11,regle!$C$23,
IF(T226=regle!$D$11,regle!$D$23,
IF(T226=regle!$E$11,regle!$E$23,
IF(T226=regle!$F$11,regle!$F$23,
IF(T226=regle!$G$11,regle!$G$23,
IF(T226=regle!$H$11,regle!$H$23,
IF(T226=regle!$I$11,regle!$I$23,
IF(T226=regle!$J$11,regle!$J$23,
IF(T226=regle!$K$11,regle!$K$23,0))))))))))))</f>
        <v>0</v>
      </c>
      <c r="AE226" s="17">
        <f>IF($A226,$J226*(IF(U226=regle!$B$11,regle!$B$23*IF(AN226=-2,1+regle!$B$35,1),
IF(U226=regle!$C$11,regle!$C$23,
IF(U226=regle!$D$11,regle!$D$23,
IF(U226=regle!$E$11,regle!$E$23,
IF(U226=regle!$F$11,regle!$F$23,
IF(U226=regle!$G$11,regle!$G$23,
IF(U226=regle!$H$11,regle!$H$23,
IF(U226=regle!$I$11,regle!$I$23,
IF(U226=regle!$J$11,regle!$J$23,
IF(U226=regle!$K$11,regle!$K$23,0))))))))))))</f>
        <v>0</v>
      </c>
      <c r="AF226" s="17">
        <f>IF($A226,$J226*(IF(V226=regle!$B$11,regle!$B$23*IF(AO226=-2,1+regle!$B$35,1),
IF(V226=regle!$C$11,regle!$C$23,
IF(V226=regle!$D$11,regle!$D$23,
IF(V226=regle!$E$11,regle!$E$23,
IF(V226=regle!$F$11,regle!$F$23,
IF(V226=regle!$G$11,regle!$G$23,
IF(V226=regle!$H$11,regle!$H$23,
IF(V226=regle!$I$11,regle!$I$23,
IF(V226=regle!$J$11,regle!$J$23,
IF(V226=regle!$K$11,regle!$K$23,0))))))))))))</f>
        <v>0</v>
      </c>
      <c r="AG226" s="17">
        <f>IF($A226,$J226*(IF(W226=regle!$B$11,regle!$B$23*IF(AP226=-2,1+regle!$B$35,1),
IF(W226=regle!$C$11,regle!$C$23,
IF(W226=regle!$D$11,regle!$D$23,
IF(W226=regle!$E$11,regle!$E$23,
IF(W226=regle!$F$11,regle!$F$23,
IF(W226=regle!$G$11,regle!$G$23,
IF(W226=regle!$H$11,regle!$H$23,
IF(W226=regle!$I$11,regle!$I$23,
IF(W226=regle!$J$11,regle!$J$23,
IF(W226=regle!$K$11,regle!$K$23,0))))))))))))</f>
        <v>36.96</v>
      </c>
      <c r="AH226" s="17">
        <f>IF($A226,$J226*(IF(X226=regle!$B$11,regle!$B$23*IF(AQ226=-2,1+regle!$B$35,1),
IF(X226=regle!$C$11,regle!$C$23,
IF(X226=regle!$D$11,regle!$D$23,
IF(X226=regle!$E$11,regle!$E$23,
IF(X226=regle!$F$11,regle!$F$23,
IF(X226=regle!$G$11,regle!$G$23,
IF(X226=regle!$H$11,regle!$H$23,
IF(X226=regle!$I$11,regle!$I$23,
IF(X226=regle!$J$11,regle!$J$23,
IF(X226=regle!$K$11,regle!$K$23,0))))))))))))</f>
        <v>0</v>
      </c>
      <c r="AI226" s="17">
        <f>IF($A226,$J226*(IF(Y226=regle!$B$11,regle!$B$23*IF(AR226=-2,1+regle!$B$35,1),
IF(Y226=regle!$C$11,regle!$C$23,
IF(Y226=regle!$D$11,regle!$D$23,
IF(Y226=regle!$E$11,regle!$E$23,
IF(Y226=regle!$F$11,regle!$F$23,
IF(Y226=regle!$G$11,regle!$G$23,
IF(Y226=regle!$H$11,regle!$H$23,
IF(Y226=regle!$I$11,regle!$I$23,
IF(Y226=regle!$J$11,regle!$J$23,
IF(Y226=regle!$K$11,regle!$K$23,0))))))))))))</f>
        <v>0</v>
      </c>
      <c r="AJ226" s="17">
        <f>IF($A226,$J226*(IF(Z226=regle!$B$11,regle!$B$23*IF(AS226=-2,1+regle!$B$35,1),
IF(Z226=regle!$C$11,regle!$C$23,
IF(Z226=regle!$D$11,regle!$D$23,
IF(Z226=regle!$E$11,regle!$E$23,
IF(Z226=regle!$F$11,regle!$F$23,
IF(Z226=regle!$G$11,regle!$G$23,
IF(Z226=regle!$H$11,regle!$H$23,
IF(Z226=regle!$I$11,regle!$I$23,
IF(Z226=regle!$J$11,regle!$J$23,
IF(Z226=regle!$K$11,regle!$K$23,0))))))))))))</f>
        <v>0</v>
      </c>
      <c r="AK226" s="16">
        <f>IF(OR(Q226=regle!$J$11,Q226=regle!$K$11),-2,IF(Q226=regle!$B$11,0,IF(AK$1=$AK$1,IF($O226,-1,regle!$B$2-$M226),IF(AJ226=-1,-1,AJ226+1))))</f>
        <v>11</v>
      </c>
      <c r="AL226" s="16">
        <f>IF(OR(R226=regle!$J$11,R226=regle!$K$11),-2,IF(R226=regle!$B$11,0,IF(AL$1=$AK$1,IF($O226,-1,regle!$B$2-$M226),IF(AK226=-1,-1,AK226+1))))</f>
        <v>12</v>
      </c>
      <c r="AM226" s="16">
        <f>IF(OR(S226=regle!$J$11,S226=regle!$K$11),-2,IF(S226=regle!$B$11,0,IF(AM$1=$AK$1,IF($O226,-1,regle!$B$2-$M226),IF(AL226=-1,-1,AL226+1))))</f>
        <v>13</v>
      </c>
      <c r="AN226" s="16">
        <f>IF(OR(T226=regle!$J$11,T226=regle!$K$11),-2,IF(T226=regle!$B$11,0,IF(AN$1=$AK$1,IF($O226,-1,regle!$B$2-$M226),IF(AM226=-1,-1,AM226+1))))</f>
        <v>14</v>
      </c>
      <c r="AO226" s="16">
        <f>IF(OR(U226=regle!$J$11,U226=regle!$K$11),-2,IF(U226=regle!$B$11,0,IF(AO$1=$AK$1,IF($O226,-1,regle!$B$2-$M226),IF(AN226=-1,-1,AN226+1))))</f>
        <v>15</v>
      </c>
      <c r="AP226" s="16">
        <f>IF(OR(V226=regle!$J$11,V226=regle!$K$11),-2,IF(V226=regle!$B$11,0,IF(AP$1=$AK$1,IF($O226,-1,regle!$B$2-$M226),IF(AO226=-1,-1,AO226+1))))</f>
        <v>16</v>
      </c>
      <c r="AQ226" s="16">
        <f>IF(OR(W226=regle!$J$11,W226=regle!$K$11),-2,IF(W226=regle!$B$11,0,IF(AQ$1=$AK$1,IF($O226,-1,regle!$B$2-$M226),IF(AP226=-1,-1,AP226+1))))</f>
        <v>17</v>
      </c>
      <c r="AR226" s="16">
        <f>IF(OR(X226=regle!$J$11,X226=regle!$K$11),-2,IF(X226=regle!$B$11,0,IF(AR$1=$AK$1,IF($O226,-1,regle!$B$2-$M226),IF(AQ226=-1,-1,AQ226+1))))</f>
        <v>18</v>
      </c>
      <c r="AS226" s="16">
        <f>IF(OR(Y226=regle!$J$11,Y226=regle!$K$11),-2,IF(Y226=regle!$B$11,0,IF(AS$1=$AK$1,IF($O226,-1,regle!$B$2-$M226),IF(AR226=-1,-1,AR226+1))))</f>
        <v>19</v>
      </c>
      <c r="AT226" s="16">
        <f>IF(OR(Z226=regle!$J$11,Z226=regle!$K$11),-2,IF(Z226=regle!$B$11,0,IF(AT$1=$AK$1,IF($O226,-1,regle!$B$2-$M226),IF(AS226=-1,-1,AS226+1))))</f>
        <v>20</v>
      </c>
    </row>
    <row r="227" spans="1:46" x14ac:dyDescent="0.25">
      <c r="A227" t="b">
        <f>modif1!A227</f>
        <v>1</v>
      </c>
      <c r="B227">
        <f>ROW(modif1!B227)</f>
        <v>227</v>
      </c>
      <c r="C227" t="str">
        <f>modif1!C230</f>
        <v>536</v>
      </c>
      <c r="D227" t="str">
        <f>modif1!D227</f>
        <v>MANO</v>
      </c>
      <c r="E227">
        <f>modif1!E227</f>
        <v>17</v>
      </c>
      <c r="F227" t="str">
        <f>modif1!F227</f>
        <v>LANDE DE TABARTON</v>
      </c>
      <c r="G227" t="str">
        <f>modif1!G227</f>
        <v>0B</v>
      </c>
      <c r="H227">
        <f>modif1!H227</f>
        <v>266</v>
      </c>
      <c r="I227" t="str">
        <f>modif1!I227</f>
        <v>j</v>
      </c>
      <c r="J227" s="11">
        <f>modif1!J227</f>
        <v>42.561399999999999</v>
      </c>
      <c r="K227" t="str">
        <f>modif1!K227</f>
        <v>PLA</v>
      </c>
      <c r="L227" t="str">
        <f>modif1!L227</f>
        <v>PM</v>
      </c>
      <c r="M227">
        <f>modif1!M227</f>
        <v>2012</v>
      </c>
      <c r="N227" t="str">
        <f>modif1!N227</f>
        <v>PLA-PM_2012</v>
      </c>
      <c r="O227" t="b">
        <f>modif1!O227</f>
        <v>0</v>
      </c>
      <c r="P227">
        <v>40</v>
      </c>
      <c r="Q227" s="22"/>
      <c r="R227" t="s">
        <v>1803</v>
      </c>
      <c r="V227" t="s">
        <v>1804</v>
      </c>
      <c r="Z227"/>
      <c r="AA227" s="17">
        <f>IF($A227,$J227*(IF(Q227=regle!$B$11,regle!$B$23*IF(AJ227=-2,1+regle!$B$35,1),
IF(Q227=regle!$C$11,regle!$C$23,
IF(Q227=regle!$D$11,regle!$D$23,
IF(Q227=regle!$E$11,regle!$E$23,
IF(Q227=regle!$F$11,regle!$F$23,
IF(Q227=regle!$G$11,regle!$G$23,
IF(Q227=regle!$H$11,regle!$H$23,
IF(Q227=regle!$I$11,regle!$I$23,
IF(Q227=regle!$J$11,regle!$J$23,
IF(Q227=regle!$K$11,regle!$K$23,0))))))))))))</f>
        <v>0</v>
      </c>
      <c r="AB227" s="17">
        <f>IF($A227,$J227*(IF(R227=regle!$B$11,regle!$B$23*IF(AK227=-2,1+regle!$B$35,1),
IF(R227=regle!$C$11,regle!$C$23,
IF(R227=regle!$D$11,regle!$D$23,
IF(R227=regle!$E$11,regle!$E$23,
IF(R227=regle!$F$11,regle!$F$23,
IF(R227=regle!$G$11,regle!$G$23,
IF(R227=regle!$H$11,regle!$H$23,
IF(R227=regle!$I$11,regle!$I$23,
IF(R227=regle!$J$11,regle!$J$23,
IF(R227=regle!$K$11,regle!$K$23,0))))))))))))</f>
        <v>24515.366399999999</v>
      </c>
      <c r="AC227" s="17">
        <f>IF($A227,$J227*(IF(S227=regle!$B$11,regle!$B$23*IF(AL227=-2,1+regle!$B$35,1),
IF(S227=regle!$C$11,regle!$C$23,
IF(S227=regle!$D$11,regle!$D$23,
IF(S227=regle!$E$11,regle!$E$23,
IF(S227=regle!$F$11,regle!$F$23,
IF(S227=regle!$G$11,regle!$G$23,
IF(S227=regle!$H$11,regle!$H$23,
IF(S227=regle!$I$11,regle!$I$23,
IF(S227=regle!$J$11,regle!$J$23,
IF(S227=regle!$K$11,regle!$K$23,0))))))))))))</f>
        <v>0</v>
      </c>
      <c r="AD227" s="17">
        <f>IF($A227,$J227*(IF(T227=regle!$B$11,regle!$B$23*IF(AM227=-2,1+regle!$B$35,1),
IF(T227=regle!$C$11,regle!$C$23,
IF(T227=regle!$D$11,regle!$D$23,
IF(T227=regle!$E$11,regle!$E$23,
IF(T227=regle!$F$11,regle!$F$23,
IF(T227=regle!$G$11,regle!$G$23,
IF(T227=regle!$H$11,regle!$H$23,
IF(T227=regle!$I$11,regle!$I$23,
IF(T227=regle!$J$11,regle!$J$23,
IF(T227=regle!$K$11,regle!$K$23,0))))))))))))</f>
        <v>0</v>
      </c>
      <c r="AE227" s="17">
        <f>IF($A227,$J227*(IF(U227=regle!$B$11,regle!$B$23*IF(AN227=-2,1+regle!$B$35,1),
IF(U227=regle!$C$11,regle!$C$23,
IF(U227=regle!$D$11,regle!$D$23,
IF(U227=regle!$E$11,regle!$E$23,
IF(U227=regle!$F$11,regle!$F$23,
IF(U227=regle!$G$11,regle!$G$23,
IF(U227=regle!$H$11,regle!$H$23,
IF(U227=regle!$I$11,regle!$I$23,
IF(U227=regle!$J$11,regle!$J$23,
IF(U227=regle!$K$11,regle!$K$23,0))))))))))))</f>
        <v>0</v>
      </c>
      <c r="AF227" s="17">
        <f>IF($A227,$J227*(IF(V227=regle!$B$11,regle!$B$23*IF(AO227=-2,1+regle!$B$35,1),
IF(V227=regle!$C$11,regle!$C$23,
IF(V227=regle!$D$11,regle!$D$23,
IF(V227=regle!$E$11,regle!$E$23,
IF(V227=regle!$F$11,regle!$F$23,
IF(V227=regle!$G$11,regle!$G$23,
IF(V227=regle!$H$11,regle!$H$23,
IF(V227=regle!$I$11,regle!$I$23,
IF(V227=regle!$J$11,regle!$J$23,
IF(V227=regle!$K$11,regle!$K$23,0))))))))))))</f>
        <v>35751.576000000001</v>
      </c>
      <c r="AG227" s="17">
        <f>IF($A227,$J227*(IF(W227=regle!$B$11,regle!$B$23*IF(AP227=-2,1+regle!$B$35,1),
IF(W227=regle!$C$11,regle!$C$23,
IF(W227=regle!$D$11,regle!$D$23,
IF(W227=regle!$E$11,regle!$E$23,
IF(W227=regle!$F$11,regle!$F$23,
IF(W227=regle!$G$11,regle!$G$23,
IF(W227=regle!$H$11,regle!$H$23,
IF(W227=regle!$I$11,regle!$I$23,
IF(W227=regle!$J$11,regle!$J$23,
IF(W227=regle!$K$11,regle!$K$23,0))))))))))))</f>
        <v>0</v>
      </c>
      <c r="AH227" s="17">
        <f>IF($A227,$J227*(IF(X227=regle!$B$11,regle!$B$23*IF(AQ227=-2,1+regle!$B$35,1),
IF(X227=regle!$C$11,regle!$C$23,
IF(X227=regle!$D$11,regle!$D$23,
IF(X227=regle!$E$11,regle!$E$23,
IF(X227=regle!$F$11,regle!$F$23,
IF(X227=regle!$G$11,regle!$G$23,
IF(X227=regle!$H$11,regle!$H$23,
IF(X227=regle!$I$11,regle!$I$23,
IF(X227=regle!$J$11,regle!$J$23,
IF(X227=regle!$K$11,regle!$K$23,0))))))))))))</f>
        <v>0</v>
      </c>
      <c r="AI227" s="17">
        <f>IF($A227,$J227*(IF(Y227=regle!$B$11,regle!$B$23*IF(AR227=-2,1+regle!$B$35,1),
IF(Y227=regle!$C$11,regle!$C$23,
IF(Y227=regle!$D$11,regle!$D$23,
IF(Y227=regle!$E$11,regle!$E$23,
IF(Y227=regle!$F$11,regle!$F$23,
IF(Y227=regle!$G$11,regle!$G$23,
IF(Y227=regle!$H$11,regle!$H$23,
IF(Y227=regle!$I$11,regle!$I$23,
IF(Y227=regle!$J$11,regle!$J$23,
IF(Y227=regle!$K$11,regle!$K$23,0))))))))))))</f>
        <v>0</v>
      </c>
      <c r="AJ227" s="17">
        <f>IF($A227,$J227*(IF(Z227=regle!$B$11,regle!$B$23*IF(AS227=-2,1+regle!$B$35,1),
IF(Z227=regle!$C$11,regle!$C$23,
IF(Z227=regle!$D$11,regle!$D$23,
IF(Z227=regle!$E$11,regle!$E$23,
IF(Z227=regle!$F$11,regle!$F$23,
IF(Z227=regle!$G$11,regle!$G$23,
IF(Z227=regle!$H$11,regle!$H$23,
IF(Z227=regle!$I$11,regle!$I$23,
IF(Z227=regle!$J$11,regle!$J$23,
IF(Z227=regle!$K$11,regle!$K$23,0))))))))))))</f>
        <v>0</v>
      </c>
      <c r="AK227" s="16">
        <f>IF(OR(Q227=regle!$J$11,Q227=regle!$K$11),-2,IF(Q227=regle!$B$11,0,IF(AK$1=$AK$1,IF($O227,-1,regle!$B$2-$M227),IF(AJ227=-1,-1,AJ227+1))))</f>
        <v>12</v>
      </c>
      <c r="AL227" s="16">
        <f>IF(OR(R227=regle!$J$11,R227=regle!$K$11),-2,IF(R227=regle!$B$11,0,IF(AL$1=$AK$1,IF($O227,-1,regle!$B$2-$M227),IF(AK227=-1,-1,AK227+1))))</f>
        <v>13</v>
      </c>
      <c r="AM227" s="16">
        <f>IF(OR(S227=regle!$J$11,S227=regle!$K$11),-2,IF(S227=regle!$B$11,0,IF(AM$1=$AK$1,IF($O227,-1,regle!$B$2-$M227),IF(AL227=-1,-1,AL227+1))))</f>
        <v>14</v>
      </c>
      <c r="AN227" s="16">
        <f>IF(OR(T227=regle!$J$11,T227=regle!$K$11),-2,IF(T227=regle!$B$11,0,IF(AN$1=$AK$1,IF($O227,-1,regle!$B$2-$M227),IF(AM227=-1,-1,AM227+1))))</f>
        <v>15</v>
      </c>
      <c r="AO227" s="16">
        <f>IF(OR(U227=regle!$J$11,U227=regle!$K$11),-2,IF(U227=regle!$B$11,0,IF(AO$1=$AK$1,IF($O227,-1,regle!$B$2-$M227),IF(AN227=-1,-1,AN227+1))))</f>
        <v>16</v>
      </c>
      <c r="AP227" s="16">
        <f>IF(OR(V227=regle!$J$11,V227=regle!$K$11),-2,IF(V227=regle!$B$11,0,IF(AP$1=$AK$1,IF($O227,-1,regle!$B$2-$M227),IF(AO227=-1,-1,AO227+1))))</f>
        <v>17</v>
      </c>
      <c r="AQ227" s="16">
        <f>IF(OR(W227=regle!$J$11,W227=regle!$K$11),-2,IF(W227=regle!$B$11,0,IF(AQ$1=$AK$1,IF($O227,-1,regle!$B$2-$M227),IF(AP227=-1,-1,AP227+1))))</f>
        <v>18</v>
      </c>
      <c r="AR227" s="16">
        <f>IF(OR(X227=regle!$J$11,X227=regle!$K$11),-2,IF(X227=regle!$B$11,0,IF(AR$1=$AK$1,IF($O227,-1,regle!$B$2-$M227),IF(AQ227=-1,-1,AQ227+1))))</f>
        <v>19</v>
      </c>
      <c r="AS227" s="16">
        <f>IF(OR(Y227=regle!$J$11,Y227=regle!$K$11),-2,IF(Y227=regle!$B$11,0,IF(AS$1=$AK$1,IF($O227,-1,regle!$B$2-$M227),IF(AR227=-1,-1,AR227+1))))</f>
        <v>20</v>
      </c>
      <c r="AT227" s="16">
        <f>IF(OR(Z227=regle!$J$11,Z227=regle!$K$11),-2,IF(Z227=regle!$B$11,0,IF(AT$1=$AK$1,IF($O227,-1,regle!$B$2-$M227),IF(AS227=-1,-1,AS227+1))))</f>
        <v>21</v>
      </c>
    </row>
    <row r="228" spans="1:46" x14ac:dyDescent="0.25">
      <c r="A228" t="b">
        <f>modif1!A228</f>
        <v>1</v>
      </c>
      <c r="B228">
        <f>ROW(modif1!B228)</f>
        <v>228</v>
      </c>
      <c r="C228" t="str">
        <f>modif1!C231</f>
        <v>536</v>
      </c>
      <c r="D228" t="str">
        <f>modif1!D228</f>
        <v>LE TUZAN</v>
      </c>
      <c r="E228">
        <f>modif1!E228</f>
        <v>21</v>
      </c>
      <c r="F228" t="str">
        <f>modif1!F228</f>
        <v>METAIRIES DE TABARTON</v>
      </c>
      <c r="G228" t="str">
        <f>modif1!G228</f>
        <v>0A</v>
      </c>
      <c r="H228">
        <f>modif1!H228</f>
        <v>523</v>
      </c>
      <c r="I228" t="str">
        <f>modif1!I228</f>
        <v>o</v>
      </c>
      <c r="J228" s="11">
        <f>modif1!J228</f>
        <v>19.309999999999999</v>
      </c>
      <c r="K228" t="str">
        <f>modif1!K228</f>
        <v>PLA</v>
      </c>
      <c r="L228" t="str">
        <f>modif1!L228</f>
        <v>PM</v>
      </c>
      <c r="M228">
        <f>modif1!M228</f>
        <v>2012</v>
      </c>
      <c r="N228" t="str">
        <f>modif1!N228</f>
        <v>PLA-PM_2012</v>
      </c>
      <c r="O228" t="b">
        <f>modif1!O228</f>
        <v>0</v>
      </c>
      <c r="P228">
        <v>40</v>
      </c>
      <c r="Q228" s="22"/>
      <c r="R228" t="s">
        <v>1803</v>
      </c>
      <c r="V228" t="s">
        <v>1804</v>
      </c>
      <c r="Z228"/>
      <c r="AA228" s="17">
        <f>IF($A228,$J228*(IF(Q228=regle!$B$11,regle!$B$23*IF(AJ228=-2,1+regle!$B$35,1),
IF(Q228=regle!$C$11,regle!$C$23,
IF(Q228=regle!$D$11,regle!$D$23,
IF(Q228=regle!$E$11,regle!$E$23,
IF(Q228=regle!$F$11,regle!$F$23,
IF(Q228=regle!$G$11,regle!$G$23,
IF(Q228=regle!$H$11,regle!$H$23,
IF(Q228=regle!$I$11,regle!$I$23,
IF(Q228=regle!$J$11,regle!$J$23,
IF(Q228=regle!$K$11,regle!$K$23,0))))))))))))</f>
        <v>0</v>
      </c>
      <c r="AB228" s="17">
        <f>IF($A228,$J228*(IF(R228=regle!$B$11,regle!$B$23*IF(AK228=-2,1+regle!$B$35,1),
IF(R228=regle!$C$11,regle!$C$23,
IF(R228=regle!$D$11,regle!$D$23,
IF(R228=regle!$E$11,regle!$E$23,
IF(R228=regle!$F$11,regle!$F$23,
IF(R228=regle!$G$11,regle!$G$23,
IF(R228=regle!$H$11,regle!$H$23,
IF(R228=regle!$I$11,regle!$I$23,
IF(R228=regle!$J$11,regle!$J$23,
IF(R228=regle!$K$11,regle!$K$23,0))))))))))))</f>
        <v>11122.56</v>
      </c>
      <c r="AC228" s="17">
        <f>IF($A228,$J228*(IF(S228=regle!$B$11,regle!$B$23*IF(AL228=-2,1+regle!$B$35,1),
IF(S228=regle!$C$11,regle!$C$23,
IF(S228=regle!$D$11,regle!$D$23,
IF(S228=regle!$E$11,regle!$E$23,
IF(S228=regle!$F$11,regle!$F$23,
IF(S228=regle!$G$11,regle!$G$23,
IF(S228=regle!$H$11,regle!$H$23,
IF(S228=regle!$I$11,regle!$I$23,
IF(S228=regle!$J$11,regle!$J$23,
IF(S228=regle!$K$11,regle!$K$23,0))))))))))))</f>
        <v>0</v>
      </c>
      <c r="AD228" s="17">
        <f>IF($A228,$J228*(IF(T228=regle!$B$11,regle!$B$23*IF(AM228=-2,1+regle!$B$35,1),
IF(T228=regle!$C$11,regle!$C$23,
IF(T228=regle!$D$11,regle!$D$23,
IF(T228=regle!$E$11,regle!$E$23,
IF(T228=regle!$F$11,regle!$F$23,
IF(T228=regle!$G$11,regle!$G$23,
IF(T228=regle!$H$11,regle!$H$23,
IF(T228=regle!$I$11,regle!$I$23,
IF(T228=regle!$J$11,regle!$J$23,
IF(T228=regle!$K$11,regle!$K$23,0))))))))))))</f>
        <v>0</v>
      </c>
      <c r="AE228" s="17">
        <f>IF($A228,$J228*(IF(U228=regle!$B$11,regle!$B$23*IF(AN228=-2,1+regle!$B$35,1),
IF(U228=regle!$C$11,regle!$C$23,
IF(U228=regle!$D$11,regle!$D$23,
IF(U228=regle!$E$11,regle!$E$23,
IF(U228=regle!$F$11,regle!$F$23,
IF(U228=regle!$G$11,regle!$G$23,
IF(U228=regle!$H$11,regle!$H$23,
IF(U228=regle!$I$11,regle!$I$23,
IF(U228=regle!$J$11,regle!$J$23,
IF(U228=regle!$K$11,regle!$K$23,0))))))))))))</f>
        <v>0</v>
      </c>
      <c r="AF228" s="17">
        <f>IF($A228,$J228*(IF(V228=regle!$B$11,regle!$B$23*IF(AO228=-2,1+regle!$B$35,1),
IF(V228=regle!$C$11,regle!$C$23,
IF(V228=regle!$D$11,regle!$D$23,
IF(V228=regle!$E$11,regle!$E$23,
IF(V228=regle!$F$11,regle!$F$23,
IF(V228=regle!$G$11,regle!$G$23,
IF(V228=regle!$H$11,regle!$H$23,
IF(V228=regle!$I$11,regle!$I$23,
IF(V228=regle!$J$11,regle!$J$23,
IF(V228=regle!$K$11,regle!$K$23,0))))))))))))</f>
        <v>16220.4</v>
      </c>
      <c r="AG228" s="17">
        <f>IF($A228,$J228*(IF(W228=regle!$B$11,regle!$B$23*IF(AP228=-2,1+regle!$B$35,1),
IF(W228=regle!$C$11,regle!$C$23,
IF(W228=regle!$D$11,regle!$D$23,
IF(W228=regle!$E$11,regle!$E$23,
IF(W228=regle!$F$11,regle!$F$23,
IF(W228=regle!$G$11,regle!$G$23,
IF(W228=regle!$H$11,regle!$H$23,
IF(W228=regle!$I$11,regle!$I$23,
IF(W228=regle!$J$11,regle!$J$23,
IF(W228=regle!$K$11,regle!$K$23,0))))))))))))</f>
        <v>0</v>
      </c>
      <c r="AH228" s="17">
        <f>IF($A228,$J228*(IF(X228=regle!$B$11,regle!$B$23*IF(AQ228=-2,1+regle!$B$35,1),
IF(X228=regle!$C$11,regle!$C$23,
IF(X228=regle!$D$11,regle!$D$23,
IF(X228=regle!$E$11,regle!$E$23,
IF(X228=regle!$F$11,regle!$F$23,
IF(X228=regle!$G$11,regle!$G$23,
IF(X228=regle!$H$11,regle!$H$23,
IF(X228=regle!$I$11,regle!$I$23,
IF(X228=regle!$J$11,regle!$J$23,
IF(X228=regle!$K$11,regle!$K$23,0))))))))))))</f>
        <v>0</v>
      </c>
      <c r="AI228" s="17">
        <f>IF($A228,$J228*(IF(Y228=regle!$B$11,regle!$B$23*IF(AR228=-2,1+regle!$B$35,1),
IF(Y228=regle!$C$11,regle!$C$23,
IF(Y228=regle!$D$11,regle!$D$23,
IF(Y228=regle!$E$11,regle!$E$23,
IF(Y228=regle!$F$11,regle!$F$23,
IF(Y228=regle!$G$11,regle!$G$23,
IF(Y228=regle!$H$11,regle!$H$23,
IF(Y228=regle!$I$11,regle!$I$23,
IF(Y228=regle!$J$11,regle!$J$23,
IF(Y228=regle!$K$11,regle!$K$23,0))))))))))))</f>
        <v>0</v>
      </c>
      <c r="AJ228" s="17">
        <f>IF($A228,$J228*(IF(Z228=regle!$B$11,regle!$B$23*IF(AS228=-2,1+regle!$B$35,1),
IF(Z228=regle!$C$11,regle!$C$23,
IF(Z228=regle!$D$11,regle!$D$23,
IF(Z228=regle!$E$11,regle!$E$23,
IF(Z228=regle!$F$11,regle!$F$23,
IF(Z228=regle!$G$11,regle!$G$23,
IF(Z228=regle!$H$11,regle!$H$23,
IF(Z228=regle!$I$11,regle!$I$23,
IF(Z228=regle!$J$11,regle!$J$23,
IF(Z228=regle!$K$11,regle!$K$23,0))))))))))))</f>
        <v>0</v>
      </c>
      <c r="AK228" s="16">
        <f>IF(OR(Q228=regle!$J$11,Q228=regle!$K$11),-2,IF(Q228=regle!$B$11,0,IF(AK$1=$AK$1,IF($O228,-1,regle!$B$2-$M228),IF(AJ228=-1,-1,AJ228+1))))</f>
        <v>12</v>
      </c>
      <c r="AL228" s="16">
        <f>IF(OR(R228=regle!$J$11,R228=regle!$K$11),-2,IF(R228=regle!$B$11,0,IF(AL$1=$AK$1,IF($O228,-1,regle!$B$2-$M228),IF(AK228=-1,-1,AK228+1))))</f>
        <v>13</v>
      </c>
      <c r="AM228" s="16">
        <f>IF(OR(S228=regle!$J$11,S228=regle!$K$11),-2,IF(S228=regle!$B$11,0,IF(AM$1=$AK$1,IF($O228,-1,regle!$B$2-$M228),IF(AL228=-1,-1,AL228+1))))</f>
        <v>14</v>
      </c>
      <c r="AN228" s="16">
        <f>IF(OR(T228=regle!$J$11,T228=regle!$K$11),-2,IF(T228=regle!$B$11,0,IF(AN$1=$AK$1,IF($O228,-1,regle!$B$2-$M228),IF(AM228=-1,-1,AM228+1))))</f>
        <v>15</v>
      </c>
      <c r="AO228" s="16">
        <f>IF(OR(U228=regle!$J$11,U228=regle!$K$11),-2,IF(U228=regle!$B$11,0,IF(AO$1=$AK$1,IF($O228,-1,regle!$B$2-$M228),IF(AN228=-1,-1,AN228+1))))</f>
        <v>16</v>
      </c>
      <c r="AP228" s="16">
        <f>IF(OR(V228=regle!$J$11,V228=regle!$K$11),-2,IF(V228=regle!$B$11,0,IF(AP$1=$AK$1,IF($O228,-1,regle!$B$2-$M228),IF(AO228=-1,-1,AO228+1))))</f>
        <v>17</v>
      </c>
      <c r="AQ228" s="16">
        <f>IF(OR(W228=regle!$J$11,W228=regle!$K$11),-2,IF(W228=regle!$B$11,0,IF(AQ$1=$AK$1,IF($O228,-1,regle!$B$2-$M228),IF(AP228=-1,-1,AP228+1))))</f>
        <v>18</v>
      </c>
      <c r="AR228" s="16">
        <f>IF(OR(X228=regle!$J$11,X228=regle!$K$11),-2,IF(X228=regle!$B$11,0,IF(AR$1=$AK$1,IF($O228,-1,regle!$B$2-$M228),IF(AQ228=-1,-1,AQ228+1))))</f>
        <v>19</v>
      </c>
      <c r="AS228" s="16">
        <f>IF(OR(Y228=regle!$J$11,Y228=regle!$K$11),-2,IF(Y228=regle!$B$11,0,IF(AS$1=$AK$1,IF($O228,-1,regle!$B$2-$M228),IF(AR228=-1,-1,AR228+1))))</f>
        <v>20</v>
      </c>
      <c r="AT228" s="16">
        <f>IF(OR(Z228=regle!$J$11,Z228=regle!$K$11),-2,IF(Z228=regle!$B$11,0,IF(AT$1=$AK$1,IF($O228,-1,regle!$B$2-$M228),IF(AS228=-1,-1,AS228+1))))</f>
        <v>21</v>
      </c>
    </row>
    <row r="229" spans="1:46" x14ac:dyDescent="0.25">
      <c r="A229" t="b">
        <f>modif1!A229</f>
        <v>1</v>
      </c>
      <c r="B229">
        <f>ROW(modif1!B229)</f>
        <v>229</v>
      </c>
      <c r="C229" t="str">
        <f>modif1!C232</f>
        <v>536</v>
      </c>
      <c r="D229" t="str">
        <f>modif1!D229</f>
        <v>LE TUZAN</v>
      </c>
      <c r="E229">
        <f>modif1!E229</f>
        <v>21</v>
      </c>
      <c r="F229" t="str">
        <f>modif1!F229</f>
        <v>METAIRIES DE TABARTON</v>
      </c>
      <c r="G229" t="str">
        <f>modif1!G229</f>
        <v>0A</v>
      </c>
      <c r="H229">
        <f>modif1!H229</f>
        <v>523</v>
      </c>
      <c r="I229" t="str">
        <f>modif1!I229</f>
        <v>m</v>
      </c>
      <c r="J229" s="11">
        <f>modif1!J229</f>
        <v>14.470599999999999</v>
      </c>
      <c r="K229" t="str">
        <f>modif1!K229</f>
        <v>PLA</v>
      </c>
      <c r="L229" t="str">
        <f>modif1!L229</f>
        <v>PM</v>
      </c>
      <c r="M229">
        <f>modif1!M229</f>
        <v>2012</v>
      </c>
      <c r="N229" t="str">
        <f>modif1!N229</f>
        <v>PLA-PM_2012</v>
      </c>
      <c r="O229" t="b">
        <f>modif1!O229</f>
        <v>0</v>
      </c>
      <c r="P229">
        <v>40</v>
      </c>
      <c r="Q229" s="22"/>
      <c r="R229" t="s">
        <v>1803</v>
      </c>
      <c r="V229" t="s">
        <v>1804</v>
      </c>
      <c r="Z229"/>
      <c r="AA229" s="17">
        <f>IF($A229,$J229*(IF(Q229=regle!$B$11,regle!$B$23*IF(AJ229=-2,1+regle!$B$35,1),
IF(Q229=regle!$C$11,regle!$C$23,
IF(Q229=regle!$D$11,regle!$D$23,
IF(Q229=regle!$E$11,regle!$E$23,
IF(Q229=regle!$F$11,regle!$F$23,
IF(Q229=regle!$G$11,regle!$G$23,
IF(Q229=regle!$H$11,regle!$H$23,
IF(Q229=regle!$I$11,regle!$I$23,
IF(Q229=regle!$J$11,regle!$J$23,
IF(Q229=regle!$K$11,regle!$K$23,0))))))))))))</f>
        <v>0</v>
      </c>
      <c r="AB229" s="17">
        <f>IF($A229,$J229*(IF(R229=regle!$B$11,regle!$B$23*IF(AK229=-2,1+regle!$B$35,1),
IF(R229=regle!$C$11,regle!$C$23,
IF(R229=regle!$D$11,regle!$D$23,
IF(R229=regle!$E$11,regle!$E$23,
IF(R229=regle!$F$11,regle!$F$23,
IF(R229=regle!$G$11,regle!$G$23,
IF(R229=regle!$H$11,regle!$H$23,
IF(R229=regle!$I$11,regle!$I$23,
IF(R229=regle!$J$11,regle!$J$23,
IF(R229=regle!$K$11,regle!$K$23,0))))))))))))</f>
        <v>8335.0655999999999</v>
      </c>
      <c r="AC229" s="17">
        <f>IF($A229,$J229*(IF(S229=regle!$B$11,regle!$B$23*IF(AL229=-2,1+regle!$B$35,1),
IF(S229=regle!$C$11,regle!$C$23,
IF(S229=regle!$D$11,regle!$D$23,
IF(S229=regle!$E$11,regle!$E$23,
IF(S229=regle!$F$11,regle!$F$23,
IF(S229=regle!$G$11,regle!$G$23,
IF(S229=regle!$H$11,regle!$H$23,
IF(S229=regle!$I$11,regle!$I$23,
IF(S229=regle!$J$11,regle!$J$23,
IF(S229=regle!$K$11,regle!$K$23,0))))))))))))</f>
        <v>0</v>
      </c>
      <c r="AD229" s="17">
        <f>IF($A229,$J229*(IF(T229=regle!$B$11,regle!$B$23*IF(AM229=-2,1+regle!$B$35,1),
IF(T229=regle!$C$11,regle!$C$23,
IF(T229=regle!$D$11,regle!$D$23,
IF(T229=regle!$E$11,regle!$E$23,
IF(T229=regle!$F$11,regle!$F$23,
IF(T229=regle!$G$11,regle!$G$23,
IF(T229=regle!$H$11,regle!$H$23,
IF(T229=regle!$I$11,regle!$I$23,
IF(T229=regle!$J$11,regle!$J$23,
IF(T229=regle!$K$11,regle!$K$23,0))))))))))))</f>
        <v>0</v>
      </c>
      <c r="AE229" s="17">
        <f>IF($A229,$J229*(IF(U229=regle!$B$11,regle!$B$23*IF(AN229=-2,1+regle!$B$35,1),
IF(U229=regle!$C$11,regle!$C$23,
IF(U229=regle!$D$11,regle!$D$23,
IF(U229=regle!$E$11,regle!$E$23,
IF(U229=regle!$F$11,regle!$F$23,
IF(U229=regle!$G$11,regle!$G$23,
IF(U229=regle!$H$11,regle!$H$23,
IF(U229=regle!$I$11,regle!$I$23,
IF(U229=regle!$J$11,regle!$J$23,
IF(U229=regle!$K$11,regle!$K$23,0))))))))))))</f>
        <v>0</v>
      </c>
      <c r="AF229" s="17">
        <f>IF($A229,$J229*(IF(V229=regle!$B$11,regle!$B$23*IF(AO229=-2,1+regle!$B$35,1),
IF(V229=regle!$C$11,regle!$C$23,
IF(V229=regle!$D$11,regle!$D$23,
IF(V229=regle!$E$11,regle!$E$23,
IF(V229=regle!$F$11,regle!$F$23,
IF(V229=regle!$G$11,regle!$G$23,
IF(V229=regle!$H$11,regle!$H$23,
IF(V229=regle!$I$11,regle!$I$23,
IF(V229=regle!$J$11,regle!$J$23,
IF(V229=regle!$K$11,regle!$K$23,0))))))))))))</f>
        <v>12155.304</v>
      </c>
      <c r="AG229" s="17">
        <f>IF($A229,$J229*(IF(W229=regle!$B$11,regle!$B$23*IF(AP229=-2,1+regle!$B$35,1),
IF(W229=regle!$C$11,regle!$C$23,
IF(W229=regle!$D$11,regle!$D$23,
IF(W229=regle!$E$11,regle!$E$23,
IF(W229=regle!$F$11,regle!$F$23,
IF(W229=regle!$G$11,regle!$G$23,
IF(W229=regle!$H$11,regle!$H$23,
IF(W229=regle!$I$11,regle!$I$23,
IF(W229=regle!$J$11,regle!$J$23,
IF(W229=regle!$K$11,regle!$K$23,0))))))))))))</f>
        <v>0</v>
      </c>
      <c r="AH229" s="17">
        <f>IF($A229,$J229*(IF(X229=regle!$B$11,regle!$B$23*IF(AQ229=-2,1+regle!$B$35,1),
IF(X229=regle!$C$11,regle!$C$23,
IF(X229=regle!$D$11,regle!$D$23,
IF(X229=regle!$E$11,regle!$E$23,
IF(X229=regle!$F$11,regle!$F$23,
IF(X229=regle!$G$11,regle!$G$23,
IF(X229=regle!$H$11,regle!$H$23,
IF(X229=regle!$I$11,regle!$I$23,
IF(X229=regle!$J$11,regle!$J$23,
IF(X229=regle!$K$11,regle!$K$23,0))))))))))))</f>
        <v>0</v>
      </c>
      <c r="AI229" s="17">
        <f>IF($A229,$J229*(IF(Y229=regle!$B$11,regle!$B$23*IF(AR229=-2,1+regle!$B$35,1),
IF(Y229=regle!$C$11,regle!$C$23,
IF(Y229=regle!$D$11,regle!$D$23,
IF(Y229=regle!$E$11,regle!$E$23,
IF(Y229=regle!$F$11,regle!$F$23,
IF(Y229=regle!$G$11,regle!$G$23,
IF(Y229=regle!$H$11,regle!$H$23,
IF(Y229=regle!$I$11,regle!$I$23,
IF(Y229=regle!$J$11,regle!$J$23,
IF(Y229=regle!$K$11,regle!$K$23,0))))))))))))</f>
        <v>0</v>
      </c>
      <c r="AJ229" s="17">
        <f>IF($A229,$J229*(IF(Z229=regle!$B$11,regle!$B$23*IF(AS229=-2,1+regle!$B$35,1),
IF(Z229=regle!$C$11,regle!$C$23,
IF(Z229=regle!$D$11,regle!$D$23,
IF(Z229=regle!$E$11,regle!$E$23,
IF(Z229=regle!$F$11,regle!$F$23,
IF(Z229=regle!$G$11,regle!$G$23,
IF(Z229=regle!$H$11,regle!$H$23,
IF(Z229=regle!$I$11,regle!$I$23,
IF(Z229=regle!$J$11,regle!$J$23,
IF(Z229=regle!$K$11,regle!$K$23,0))))))))))))</f>
        <v>0</v>
      </c>
      <c r="AK229" s="16">
        <f>IF(OR(Q229=regle!$J$11,Q229=regle!$K$11),-2,IF(Q229=regle!$B$11,0,IF(AK$1=$AK$1,IF($O229,-1,regle!$B$2-$M229),IF(AJ229=-1,-1,AJ229+1))))</f>
        <v>12</v>
      </c>
      <c r="AL229" s="16">
        <f>IF(OR(R229=regle!$J$11,R229=regle!$K$11),-2,IF(R229=regle!$B$11,0,IF(AL$1=$AK$1,IF($O229,-1,regle!$B$2-$M229),IF(AK229=-1,-1,AK229+1))))</f>
        <v>13</v>
      </c>
      <c r="AM229" s="16">
        <f>IF(OR(S229=regle!$J$11,S229=regle!$K$11),-2,IF(S229=regle!$B$11,0,IF(AM$1=$AK$1,IF($O229,-1,regle!$B$2-$M229),IF(AL229=-1,-1,AL229+1))))</f>
        <v>14</v>
      </c>
      <c r="AN229" s="16">
        <f>IF(OR(T229=regle!$J$11,T229=regle!$K$11),-2,IF(T229=regle!$B$11,0,IF(AN$1=$AK$1,IF($O229,-1,regle!$B$2-$M229),IF(AM229=-1,-1,AM229+1))))</f>
        <v>15</v>
      </c>
      <c r="AO229" s="16">
        <f>IF(OR(U229=regle!$J$11,U229=regle!$K$11),-2,IF(U229=regle!$B$11,0,IF(AO$1=$AK$1,IF($O229,-1,regle!$B$2-$M229),IF(AN229=-1,-1,AN229+1))))</f>
        <v>16</v>
      </c>
      <c r="AP229" s="16">
        <f>IF(OR(V229=regle!$J$11,V229=regle!$K$11),-2,IF(V229=regle!$B$11,0,IF(AP$1=$AK$1,IF($O229,-1,regle!$B$2-$M229),IF(AO229=-1,-1,AO229+1))))</f>
        <v>17</v>
      </c>
      <c r="AQ229" s="16">
        <f>IF(OR(W229=regle!$J$11,W229=regle!$K$11),-2,IF(W229=regle!$B$11,0,IF(AQ$1=$AK$1,IF($O229,-1,regle!$B$2-$M229),IF(AP229=-1,-1,AP229+1))))</f>
        <v>18</v>
      </c>
      <c r="AR229" s="16">
        <f>IF(OR(X229=regle!$J$11,X229=regle!$K$11),-2,IF(X229=regle!$B$11,0,IF(AR$1=$AK$1,IF($O229,-1,regle!$B$2-$M229),IF(AQ229=-1,-1,AQ229+1))))</f>
        <v>19</v>
      </c>
      <c r="AS229" s="16">
        <f>IF(OR(Y229=regle!$J$11,Y229=regle!$K$11),-2,IF(Y229=regle!$B$11,0,IF(AS$1=$AK$1,IF($O229,-1,regle!$B$2-$M229),IF(AR229=-1,-1,AR229+1))))</f>
        <v>20</v>
      </c>
      <c r="AT229" s="16">
        <f>IF(OR(Z229=regle!$J$11,Z229=regle!$K$11),-2,IF(Z229=regle!$B$11,0,IF(AT$1=$AK$1,IF($O229,-1,regle!$B$2-$M229),IF(AS229=-1,-1,AS229+1))))</f>
        <v>21</v>
      </c>
    </row>
    <row r="230" spans="1:46" x14ac:dyDescent="0.25">
      <c r="A230" t="b">
        <f>modif1!A230</f>
        <v>1</v>
      </c>
      <c r="B230">
        <f>ROW(modif1!B230)</f>
        <v>230</v>
      </c>
      <c r="C230" t="str">
        <f>modif1!C233</f>
        <v>536</v>
      </c>
      <c r="D230" t="str">
        <f>modif1!D230</f>
        <v>LE TUZAN</v>
      </c>
      <c r="E230">
        <f>modif1!E230</f>
        <v>21</v>
      </c>
      <c r="F230" t="str">
        <f>modif1!F230</f>
        <v>METAIRIES DE TABARTON</v>
      </c>
      <c r="G230" t="str">
        <f>modif1!G230</f>
        <v>0A</v>
      </c>
      <c r="H230">
        <f>modif1!H230</f>
        <v>424</v>
      </c>
      <c r="I230" t="str">
        <f>modif1!I230</f>
        <v>b</v>
      </c>
      <c r="J230" s="11">
        <f>modif1!J230</f>
        <v>1.6608000000000001</v>
      </c>
      <c r="K230" t="str">
        <f>modif1!K230</f>
        <v>PLA</v>
      </c>
      <c r="L230" t="str">
        <f>modif1!L230</f>
        <v>PM</v>
      </c>
      <c r="M230">
        <f>modif1!M230</f>
        <v>2012</v>
      </c>
      <c r="N230" t="str">
        <f>modif1!N230</f>
        <v>PLA-PM_2012</v>
      </c>
      <c r="O230" t="b">
        <f>modif1!O230</f>
        <v>0</v>
      </c>
      <c r="P230">
        <v>40</v>
      </c>
      <c r="Q230" s="22"/>
      <c r="R230" t="s">
        <v>1803</v>
      </c>
      <c r="V230" t="s">
        <v>1804</v>
      </c>
      <c r="Z230"/>
      <c r="AA230" s="17">
        <f>IF($A230,$J230*(IF(Q230=regle!$B$11,regle!$B$23*IF(AJ230=-2,1+regle!$B$35,1),
IF(Q230=regle!$C$11,regle!$C$23,
IF(Q230=regle!$D$11,regle!$D$23,
IF(Q230=regle!$E$11,regle!$E$23,
IF(Q230=regle!$F$11,regle!$F$23,
IF(Q230=regle!$G$11,regle!$G$23,
IF(Q230=regle!$H$11,regle!$H$23,
IF(Q230=regle!$I$11,regle!$I$23,
IF(Q230=regle!$J$11,regle!$J$23,
IF(Q230=regle!$K$11,regle!$K$23,0))))))))))))</f>
        <v>0</v>
      </c>
      <c r="AB230" s="17">
        <f>IF($A230,$J230*(IF(R230=regle!$B$11,regle!$B$23*IF(AK230=-2,1+regle!$B$35,1),
IF(R230=regle!$C$11,regle!$C$23,
IF(R230=regle!$D$11,regle!$D$23,
IF(R230=regle!$E$11,regle!$E$23,
IF(R230=regle!$F$11,regle!$F$23,
IF(R230=regle!$G$11,regle!$G$23,
IF(R230=regle!$H$11,regle!$H$23,
IF(R230=regle!$I$11,regle!$I$23,
IF(R230=regle!$J$11,regle!$J$23,
IF(R230=regle!$K$11,regle!$K$23,0))))))))))))</f>
        <v>956.62080000000003</v>
      </c>
      <c r="AC230" s="17">
        <f>IF($A230,$J230*(IF(S230=regle!$B$11,regle!$B$23*IF(AL230=-2,1+regle!$B$35,1),
IF(S230=regle!$C$11,regle!$C$23,
IF(S230=regle!$D$11,regle!$D$23,
IF(S230=regle!$E$11,regle!$E$23,
IF(S230=regle!$F$11,regle!$F$23,
IF(S230=regle!$G$11,regle!$G$23,
IF(S230=regle!$H$11,regle!$H$23,
IF(S230=regle!$I$11,regle!$I$23,
IF(S230=regle!$J$11,regle!$J$23,
IF(S230=regle!$K$11,regle!$K$23,0))))))))))))</f>
        <v>0</v>
      </c>
      <c r="AD230" s="17">
        <f>IF($A230,$J230*(IF(T230=regle!$B$11,regle!$B$23*IF(AM230=-2,1+regle!$B$35,1),
IF(T230=regle!$C$11,regle!$C$23,
IF(T230=regle!$D$11,regle!$D$23,
IF(T230=regle!$E$11,regle!$E$23,
IF(T230=regle!$F$11,regle!$F$23,
IF(T230=regle!$G$11,regle!$G$23,
IF(T230=regle!$H$11,regle!$H$23,
IF(T230=regle!$I$11,regle!$I$23,
IF(T230=regle!$J$11,regle!$J$23,
IF(T230=regle!$K$11,regle!$K$23,0))))))))))))</f>
        <v>0</v>
      </c>
      <c r="AE230" s="17">
        <f>IF($A230,$J230*(IF(U230=regle!$B$11,regle!$B$23*IF(AN230=-2,1+regle!$B$35,1),
IF(U230=regle!$C$11,regle!$C$23,
IF(U230=regle!$D$11,regle!$D$23,
IF(U230=regle!$E$11,regle!$E$23,
IF(U230=regle!$F$11,regle!$F$23,
IF(U230=regle!$G$11,regle!$G$23,
IF(U230=regle!$H$11,regle!$H$23,
IF(U230=regle!$I$11,regle!$I$23,
IF(U230=regle!$J$11,regle!$J$23,
IF(U230=regle!$K$11,regle!$K$23,0))))))))))))</f>
        <v>0</v>
      </c>
      <c r="AF230" s="17">
        <f>IF($A230,$J230*(IF(V230=regle!$B$11,regle!$B$23*IF(AO230=-2,1+regle!$B$35,1),
IF(V230=regle!$C$11,regle!$C$23,
IF(V230=regle!$D$11,regle!$D$23,
IF(V230=regle!$E$11,regle!$E$23,
IF(V230=regle!$F$11,regle!$F$23,
IF(V230=regle!$G$11,regle!$G$23,
IF(V230=regle!$H$11,regle!$H$23,
IF(V230=regle!$I$11,regle!$I$23,
IF(V230=regle!$J$11,regle!$J$23,
IF(V230=regle!$K$11,regle!$K$23,0))))))))))))</f>
        <v>1395.0720000000001</v>
      </c>
      <c r="AG230" s="17">
        <f>IF($A230,$J230*(IF(W230=regle!$B$11,regle!$B$23*IF(AP230=-2,1+regle!$B$35,1),
IF(W230=regle!$C$11,regle!$C$23,
IF(W230=regle!$D$11,regle!$D$23,
IF(W230=regle!$E$11,regle!$E$23,
IF(W230=regle!$F$11,regle!$F$23,
IF(W230=regle!$G$11,regle!$G$23,
IF(W230=regle!$H$11,regle!$H$23,
IF(W230=regle!$I$11,regle!$I$23,
IF(W230=regle!$J$11,regle!$J$23,
IF(W230=regle!$K$11,regle!$K$23,0))))))))))))</f>
        <v>0</v>
      </c>
      <c r="AH230" s="17">
        <f>IF($A230,$J230*(IF(X230=regle!$B$11,regle!$B$23*IF(AQ230=-2,1+regle!$B$35,1),
IF(X230=regle!$C$11,regle!$C$23,
IF(X230=regle!$D$11,regle!$D$23,
IF(X230=regle!$E$11,regle!$E$23,
IF(X230=regle!$F$11,regle!$F$23,
IF(X230=regle!$G$11,regle!$G$23,
IF(X230=regle!$H$11,regle!$H$23,
IF(X230=regle!$I$11,regle!$I$23,
IF(X230=regle!$J$11,regle!$J$23,
IF(X230=regle!$K$11,regle!$K$23,0))))))))))))</f>
        <v>0</v>
      </c>
      <c r="AI230" s="17">
        <f>IF($A230,$J230*(IF(Y230=regle!$B$11,regle!$B$23*IF(AR230=-2,1+regle!$B$35,1),
IF(Y230=regle!$C$11,regle!$C$23,
IF(Y230=regle!$D$11,regle!$D$23,
IF(Y230=regle!$E$11,regle!$E$23,
IF(Y230=regle!$F$11,regle!$F$23,
IF(Y230=regle!$G$11,regle!$G$23,
IF(Y230=regle!$H$11,regle!$H$23,
IF(Y230=regle!$I$11,regle!$I$23,
IF(Y230=regle!$J$11,regle!$J$23,
IF(Y230=regle!$K$11,regle!$K$23,0))))))))))))</f>
        <v>0</v>
      </c>
      <c r="AJ230" s="17">
        <f>IF($A230,$J230*(IF(Z230=regle!$B$11,regle!$B$23*IF(AS230=-2,1+regle!$B$35,1),
IF(Z230=regle!$C$11,regle!$C$23,
IF(Z230=regle!$D$11,regle!$D$23,
IF(Z230=regle!$E$11,regle!$E$23,
IF(Z230=regle!$F$11,regle!$F$23,
IF(Z230=regle!$G$11,regle!$G$23,
IF(Z230=regle!$H$11,regle!$H$23,
IF(Z230=regle!$I$11,regle!$I$23,
IF(Z230=regle!$J$11,regle!$J$23,
IF(Z230=regle!$K$11,regle!$K$23,0))))))))))))</f>
        <v>0</v>
      </c>
      <c r="AK230" s="16">
        <f>IF(OR(Q230=regle!$J$11,Q230=regle!$K$11),-2,IF(Q230=regle!$B$11,0,IF(AK$1=$AK$1,IF($O230,-1,regle!$B$2-$M230),IF(AJ230=-1,-1,AJ230+1))))</f>
        <v>12</v>
      </c>
      <c r="AL230" s="16">
        <f>IF(OR(R230=regle!$J$11,R230=regle!$K$11),-2,IF(R230=regle!$B$11,0,IF(AL$1=$AK$1,IF($O230,-1,regle!$B$2-$M230),IF(AK230=-1,-1,AK230+1))))</f>
        <v>13</v>
      </c>
      <c r="AM230" s="16">
        <f>IF(OR(S230=regle!$J$11,S230=regle!$K$11),-2,IF(S230=regle!$B$11,0,IF(AM$1=$AK$1,IF($O230,-1,regle!$B$2-$M230),IF(AL230=-1,-1,AL230+1))))</f>
        <v>14</v>
      </c>
      <c r="AN230" s="16">
        <f>IF(OR(T230=regle!$J$11,T230=regle!$K$11),-2,IF(T230=regle!$B$11,0,IF(AN$1=$AK$1,IF($O230,-1,regle!$B$2-$M230),IF(AM230=-1,-1,AM230+1))))</f>
        <v>15</v>
      </c>
      <c r="AO230" s="16">
        <f>IF(OR(U230=regle!$J$11,U230=regle!$K$11),-2,IF(U230=regle!$B$11,0,IF(AO$1=$AK$1,IF($O230,-1,regle!$B$2-$M230),IF(AN230=-1,-1,AN230+1))))</f>
        <v>16</v>
      </c>
      <c r="AP230" s="16">
        <f>IF(OR(V230=regle!$J$11,V230=regle!$K$11),-2,IF(V230=regle!$B$11,0,IF(AP$1=$AK$1,IF($O230,-1,regle!$B$2-$M230),IF(AO230=-1,-1,AO230+1))))</f>
        <v>17</v>
      </c>
      <c r="AQ230" s="16">
        <f>IF(OR(W230=regle!$J$11,W230=regle!$K$11),-2,IF(W230=regle!$B$11,0,IF(AQ$1=$AK$1,IF($O230,-1,regle!$B$2-$M230),IF(AP230=-1,-1,AP230+1))))</f>
        <v>18</v>
      </c>
      <c r="AR230" s="16">
        <f>IF(OR(X230=regle!$J$11,X230=regle!$K$11),-2,IF(X230=regle!$B$11,0,IF(AR$1=$AK$1,IF($O230,-1,regle!$B$2-$M230),IF(AQ230=-1,-1,AQ230+1))))</f>
        <v>19</v>
      </c>
      <c r="AS230" s="16">
        <f>IF(OR(Y230=regle!$J$11,Y230=regle!$K$11),-2,IF(Y230=regle!$B$11,0,IF(AS$1=$AK$1,IF($O230,-1,regle!$B$2-$M230),IF(AR230=-1,-1,AR230+1))))</f>
        <v>20</v>
      </c>
      <c r="AT230" s="16">
        <f>IF(OR(Z230=regle!$J$11,Z230=regle!$K$11),-2,IF(Z230=regle!$B$11,0,IF(AT$1=$AK$1,IF($O230,-1,regle!$B$2-$M230),IF(AS230=-1,-1,AS230+1))))</f>
        <v>21</v>
      </c>
    </row>
    <row r="231" spans="1:46" x14ac:dyDescent="0.25">
      <c r="A231" t="b">
        <f>modif1!A231</f>
        <v>1</v>
      </c>
      <c r="B231">
        <f>ROW(modif1!B231)</f>
        <v>231</v>
      </c>
      <c r="C231" t="str">
        <f>modif1!C234</f>
        <v>536</v>
      </c>
      <c r="D231" t="str">
        <f>modif1!D231</f>
        <v>LE TUZAN</v>
      </c>
      <c r="E231">
        <f>modif1!E231</f>
        <v>21</v>
      </c>
      <c r="F231" t="str">
        <f>modif1!F231</f>
        <v>METAIRIES DE TABARTON</v>
      </c>
      <c r="G231" t="str">
        <f>modif1!G231</f>
        <v>0A</v>
      </c>
      <c r="H231">
        <f>modif1!H231</f>
        <v>422</v>
      </c>
      <c r="I231" t="str">
        <f>modif1!I231</f>
        <v>a</v>
      </c>
      <c r="J231" s="11">
        <f>modif1!J231</f>
        <v>1.2996000000000001</v>
      </c>
      <c r="K231" t="str">
        <f>modif1!K231</f>
        <v>PLA</v>
      </c>
      <c r="L231" t="str">
        <f>modif1!L231</f>
        <v>PM</v>
      </c>
      <c r="M231">
        <f>modif1!M231</f>
        <v>2012</v>
      </c>
      <c r="N231" t="str">
        <f>modif1!N231</f>
        <v>PLA-PM_2012</v>
      </c>
      <c r="O231" t="b">
        <f>modif1!O231</f>
        <v>0</v>
      </c>
      <c r="P231">
        <v>40</v>
      </c>
      <c r="Q231" s="22"/>
      <c r="R231" t="s">
        <v>1803</v>
      </c>
      <c r="V231" t="s">
        <v>1804</v>
      </c>
      <c r="Z231"/>
      <c r="AA231" s="17">
        <f>IF($A231,$J231*(IF(Q231=regle!$B$11,regle!$B$23*IF(AJ231=-2,1+regle!$B$35,1),
IF(Q231=regle!$C$11,regle!$C$23,
IF(Q231=regle!$D$11,regle!$D$23,
IF(Q231=regle!$E$11,regle!$E$23,
IF(Q231=regle!$F$11,regle!$F$23,
IF(Q231=regle!$G$11,regle!$G$23,
IF(Q231=regle!$H$11,regle!$H$23,
IF(Q231=regle!$I$11,regle!$I$23,
IF(Q231=regle!$J$11,regle!$J$23,
IF(Q231=regle!$K$11,regle!$K$23,0))))))))))))</f>
        <v>0</v>
      </c>
      <c r="AB231" s="17">
        <f>IF($A231,$J231*(IF(R231=regle!$B$11,regle!$B$23*IF(AK231=-2,1+regle!$B$35,1),
IF(R231=regle!$C$11,regle!$C$23,
IF(R231=regle!$D$11,regle!$D$23,
IF(R231=regle!$E$11,regle!$E$23,
IF(R231=regle!$F$11,regle!$F$23,
IF(R231=regle!$G$11,regle!$G$23,
IF(R231=regle!$H$11,regle!$H$23,
IF(R231=regle!$I$11,regle!$I$23,
IF(R231=regle!$J$11,regle!$J$23,
IF(R231=regle!$K$11,regle!$K$23,0))))))))))))</f>
        <v>748.56960000000004</v>
      </c>
      <c r="AC231" s="17">
        <f>IF($A231,$J231*(IF(S231=regle!$B$11,regle!$B$23*IF(AL231=-2,1+regle!$B$35,1),
IF(S231=regle!$C$11,regle!$C$23,
IF(S231=regle!$D$11,regle!$D$23,
IF(S231=regle!$E$11,regle!$E$23,
IF(S231=regle!$F$11,regle!$F$23,
IF(S231=regle!$G$11,regle!$G$23,
IF(S231=regle!$H$11,regle!$H$23,
IF(S231=regle!$I$11,regle!$I$23,
IF(S231=regle!$J$11,regle!$J$23,
IF(S231=regle!$K$11,regle!$K$23,0))))))))))))</f>
        <v>0</v>
      </c>
      <c r="AD231" s="17">
        <f>IF($A231,$J231*(IF(T231=regle!$B$11,regle!$B$23*IF(AM231=-2,1+regle!$B$35,1),
IF(T231=regle!$C$11,regle!$C$23,
IF(T231=regle!$D$11,regle!$D$23,
IF(T231=regle!$E$11,regle!$E$23,
IF(T231=regle!$F$11,regle!$F$23,
IF(T231=regle!$G$11,regle!$G$23,
IF(T231=regle!$H$11,regle!$H$23,
IF(T231=regle!$I$11,regle!$I$23,
IF(T231=regle!$J$11,regle!$J$23,
IF(T231=regle!$K$11,regle!$K$23,0))))))))))))</f>
        <v>0</v>
      </c>
      <c r="AE231" s="17">
        <f>IF($A231,$J231*(IF(U231=regle!$B$11,regle!$B$23*IF(AN231=-2,1+regle!$B$35,1),
IF(U231=regle!$C$11,regle!$C$23,
IF(U231=regle!$D$11,regle!$D$23,
IF(U231=regle!$E$11,regle!$E$23,
IF(U231=regle!$F$11,regle!$F$23,
IF(U231=regle!$G$11,regle!$G$23,
IF(U231=regle!$H$11,regle!$H$23,
IF(U231=regle!$I$11,regle!$I$23,
IF(U231=regle!$J$11,regle!$J$23,
IF(U231=regle!$K$11,regle!$K$23,0))))))))))))</f>
        <v>0</v>
      </c>
      <c r="AF231" s="17">
        <f>IF($A231,$J231*(IF(V231=regle!$B$11,regle!$B$23*IF(AO231=-2,1+regle!$B$35,1),
IF(V231=regle!$C$11,regle!$C$23,
IF(V231=regle!$D$11,regle!$D$23,
IF(V231=regle!$E$11,regle!$E$23,
IF(V231=regle!$F$11,regle!$F$23,
IF(V231=regle!$G$11,regle!$G$23,
IF(V231=regle!$H$11,regle!$H$23,
IF(V231=regle!$I$11,regle!$I$23,
IF(V231=regle!$J$11,regle!$J$23,
IF(V231=regle!$K$11,regle!$K$23,0))))))))))))</f>
        <v>1091.664</v>
      </c>
      <c r="AG231" s="17">
        <f>IF($A231,$J231*(IF(W231=regle!$B$11,regle!$B$23*IF(AP231=-2,1+regle!$B$35,1),
IF(W231=regle!$C$11,regle!$C$23,
IF(W231=regle!$D$11,regle!$D$23,
IF(W231=regle!$E$11,regle!$E$23,
IF(W231=regle!$F$11,regle!$F$23,
IF(W231=regle!$G$11,regle!$G$23,
IF(W231=regle!$H$11,regle!$H$23,
IF(W231=regle!$I$11,regle!$I$23,
IF(W231=regle!$J$11,regle!$J$23,
IF(W231=regle!$K$11,regle!$K$23,0))))))))))))</f>
        <v>0</v>
      </c>
      <c r="AH231" s="17">
        <f>IF($A231,$J231*(IF(X231=regle!$B$11,regle!$B$23*IF(AQ231=-2,1+regle!$B$35,1),
IF(X231=regle!$C$11,regle!$C$23,
IF(X231=regle!$D$11,regle!$D$23,
IF(X231=regle!$E$11,regle!$E$23,
IF(X231=regle!$F$11,regle!$F$23,
IF(X231=regle!$G$11,regle!$G$23,
IF(X231=regle!$H$11,regle!$H$23,
IF(X231=regle!$I$11,regle!$I$23,
IF(X231=regle!$J$11,regle!$J$23,
IF(X231=regle!$K$11,regle!$K$23,0))))))))))))</f>
        <v>0</v>
      </c>
      <c r="AI231" s="17">
        <f>IF($A231,$J231*(IF(Y231=regle!$B$11,regle!$B$23*IF(AR231=-2,1+regle!$B$35,1),
IF(Y231=regle!$C$11,regle!$C$23,
IF(Y231=regle!$D$11,regle!$D$23,
IF(Y231=regle!$E$11,regle!$E$23,
IF(Y231=regle!$F$11,regle!$F$23,
IF(Y231=regle!$G$11,regle!$G$23,
IF(Y231=regle!$H$11,regle!$H$23,
IF(Y231=regle!$I$11,regle!$I$23,
IF(Y231=regle!$J$11,regle!$J$23,
IF(Y231=regle!$K$11,regle!$K$23,0))))))))))))</f>
        <v>0</v>
      </c>
      <c r="AJ231" s="17">
        <f>IF($A231,$J231*(IF(Z231=regle!$B$11,regle!$B$23*IF(AS231=-2,1+regle!$B$35,1),
IF(Z231=regle!$C$11,regle!$C$23,
IF(Z231=regle!$D$11,regle!$D$23,
IF(Z231=regle!$E$11,regle!$E$23,
IF(Z231=regle!$F$11,regle!$F$23,
IF(Z231=regle!$G$11,regle!$G$23,
IF(Z231=regle!$H$11,regle!$H$23,
IF(Z231=regle!$I$11,regle!$I$23,
IF(Z231=regle!$J$11,regle!$J$23,
IF(Z231=regle!$K$11,regle!$K$23,0))))))))))))</f>
        <v>0</v>
      </c>
      <c r="AK231" s="16">
        <f>IF(OR(Q231=regle!$J$11,Q231=regle!$K$11),-2,IF(Q231=regle!$B$11,0,IF(AK$1=$AK$1,IF($O231,-1,regle!$B$2-$M231),IF(AJ231=-1,-1,AJ231+1))))</f>
        <v>12</v>
      </c>
      <c r="AL231" s="16">
        <f>IF(OR(R231=regle!$J$11,R231=regle!$K$11),-2,IF(R231=regle!$B$11,0,IF(AL$1=$AK$1,IF($O231,-1,regle!$B$2-$M231),IF(AK231=-1,-1,AK231+1))))</f>
        <v>13</v>
      </c>
      <c r="AM231" s="16">
        <f>IF(OR(S231=regle!$J$11,S231=regle!$K$11),-2,IF(S231=regle!$B$11,0,IF(AM$1=$AK$1,IF($O231,-1,regle!$B$2-$M231),IF(AL231=-1,-1,AL231+1))))</f>
        <v>14</v>
      </c>
      <c r="AN231" s="16">
        <f>IF(OR(T231=regle!$J$11,T231=regle!$K$11),-2,IF(T231=regle!$B$11,0,IF(AN$1=$AK$1,IF($O231,-1,regle!$B$2-$M231),IF(AM231=-1,-1,AM231+1))))</f>
        <v>15</v>
      </c>
      <c r="AO231" s="16">
        <f>IF(OR(U231=regle!$J$11,U231=regle!$K$11),-2,IF(U231=regle!$B$11,0,IF(AO$1=$AK$1,IF($O231,-1,regle!$B$2-$M231),IF(AN231=-1,-1,AN231+1))))</f>
        <v>16</v>
      </c>
      <c r="AP231" s="16">
        <f>IF(OR(V231=regle!$J$11,V231=regle!$K$11),-2,IF(V231=regle!$B$11,0,IF(AP$1=$AK$1,IF($O231,-1,regle!$B$2-$M231),IF(AO231=-1,-1,AO231+1))))</f>
        <v>17</v>
      </c>
      <c r="AQ231" s="16">
        <f>IF(OR(W231=regle!$J$11,W231=regle!$K$11),-2,IF(W231=regle!$B$11,0,IF(AQ$1=$AK$1,IF($O231,-1,regle!$B$2-$M231),IF(AP231=-1,-1,AP231+1))))</f>
        <v>18</v>
      </c>
      <c r="AR231" s="16">
        <f>IF(OR(X231=regle!$J$11,X231=regle!$K$11),-2,IF(X231=regle!$B$11,0,IF(AR$1=$AK$1,IF($O231,-1,regle!$B$2-$M231),IF(AQ231=-1,-1,AQ231+1))))</f>
        <v>19</v>
      </c>
      <c r="AS231" s="16">
        <f>IF(OR(Y231=regle!$J$11,Y231=regle!$K$11),-2,IF(Y231=regle!$B$11,0,IF(AS$1=$AK$1,IF($O231,-1,regle!$B$2-$M231),IF(AR231=-1,-1,AR231+1))))</f>
        <v>20</v>
      </c>
      <c r="AT231" s="16">
        <f>IF(OR(Z231=regle!$J$11,Z231=regle!$K$11),-2,IF(Z231=regle!$B$11,0,IF(AT$1=$AK$1,IF($O231,-1,regle!$B$2-$M231),IF(AS231=-1,-1,AS231+1))))</f>
        <v>21</v>
      </c>
    </row>
    <row r="232" spans="1:46" x14ac:dyDescent="0.25">
      <c r="A232" t="b">
        <f>modif1!A232</f>
        <v>1</v>
      </c>
      <c r="B232">
        <f>ROW(modif1!B232)</f>
        <v>232</v>
      </c>
      <c r="C232" t="str">
        <f>modif1!C235</f>
        <v>536</v>
      </c>
      <c r="D232" t="str">
        <f>modif1!D232</f>
        <v>LE TUZAN</v>
      </c>
      <c r="E232">
        <f>modif1!E232</f>
        <v>21</v>
      </c>
      <c r="F232" t="str">
        <f>modif1!F232</f>
        <v>METAIRIES DE TABARTON</v>
      </c>
      <c r="G232" t="str">
        <f>modif1!G232</f>
        <v>0A</v>
      </c>
      <c r="H232">
        <f>modif1!H232</f>
        <v>847</v>
      </c>
      <c r="I232" t="str">
        <f>modif1!I232</f>
        <v>ck</v>
      </c>
      <c r="J232" s="11">
        <f>modif1!J232</f>
        <v>1.1826000000000001</v>
      </c>
      <c r="K232" t="str">
        <f>modif1!K232</f>
        <v>PLA</v>
      </c>
      <c r="L232" t="str">
        <f>modif1!L232</f>
        <v>PM</v>
      </c>
      <c r="M232">
        <f>modif1!M232</f>
        <v>2012</v>
      </c>
      <c r="N232" t="str">
        <f>modif1!N232</f>
        <v>PLA-PM_2012</v>
      </c>
      <c r="O232" t="b">
        <f>modif1!O232</f>
        <v>0</v>
      </c>
      <c r="P232">
        <v>40</v>
      </c>
      <c r="Q232" s="22"/>
      <c r="R232" t="s">
        <v>1803</v>
      </c>
      <c r="V232" t="s">
        <v>1804</v>
      </c>
      <c r="Z232"/>
      <c r="AA232" s="17">
        <f>IF($A232,$J232*(IF(Q232=regle!$B$11,regle!$B$23*IF(AJ232=-2,1+regle!$B$35,1),
IF(Q232=regle!$C$11,regle!$C$23,
IF(Q232=regle!$D$11,regle!$D$23,
IF(Q232=regle!$E$11,regle!$E$23,
IF(Q232=regle!$F$11,regle!$F$23,
IF(Q232=regle!$G$11,regle!$G$23,
IF(Q232=regle!$H$11,regle!$H$23,
IF(Q232=regle!$I$11,regle!$I$23,
IF(Q232=regle!$J$11,regle!$J$23,
IF(Q232=regle!$K$11,regle!$K$23,0))))))))))))</f>
        <v>0</v>
      </c>
      <c r="AB232" s="17">
        <f>IF($A232,$J232*(IF(R232=regle!$B$11,regle!$B$23*IF(AK232=-2,1+regle!$B$35,1),
IF(R232=regle!$C$11,regle!$C$23,
IF(R232=regle!$D$11,regle!$D$23,
IF(R232=regle!$E$11,regle!$E$23,
IF(R232=regle!$F$11,regle!$F$23,
IF(R232=regle!$G$11,regle!$G$23,
IF(R232=regle!$H$11,regle!$H$23,
IF(R232=regle!$I$11,regle!$I$23,
IF(R232=regle!$J$11,regle!$J$23,
IF(R232=regle!$K$11,regle!$K$23,0))))))))))))</f>
        <v>681.1776000000001</v>
      </c>
      <c r="AC232" s="17">
        <f>IF($A232,$J232*(IF(S232=regle!$B$11,regle!$B$23*IF(AL232=-2,1+regle!$B$35,1),
IF(S232=regle!$C$11,regle!$C$23,
IF(S232=regle!$D$11,regle!$D$23,
IF(S232=regle!$E$11,regle!$E$23,
IF(S232=regle!$F$11,regle!$F$23,
IF(S232=regle!$G$11,regle!$G$23,
IF(S232=regle!$H$11,regle!$H$23,
IF(S232=regle!$I$11,regle!$I$23,
IF(S232=regle!$J$11,regle!$J$23,
IF(S232=regle!$K$11,regle!$K$23,0))))))))))))</f>
        <v>0</v>
      </c>
      <c r="AD232" s="17">
        <f>IF($A232,$J232*(IF(T232=regle!$B$11,regle!$B$23*IF(AM232=-2,1+regle!$B$35,1),
IF(T232=regle!$C$11,regle!$C$23,
IF(T232=regle!$D$11,regle!$D$23,
IF(T232=regle!$E$11,regle!$E$23,
IF(T232=regle!$F$11,regle!$F$23,
IF(T232=regle!$G$11,regle!$G$23,
IF(T232=regle!$H$11,regle!$H$23,
IF(T232=regle!$I$11,regle!$I$23,
IF(T232=regle!$J$11,regle!$J$23,
IF(T232=regle!$K$11,regle!$K$23,0))))))))))))</f>
        <v>0</v>
      </c>
      <c r="AE232" s="17">
        <f>IF($A232,$J232*(IF(U232=regle!$B$11,regle!$B$23*IF(AN232=-2,1+regle!$B$35,1),
IF(U232=regle!$C$11,regle!$C$23,
IF(U232=regle!$D$11,regle!$D$23,
IF(U232=regle!$E$11,regle!$E$23,
IF(U232=regle!$F$11,regle!$F$23,
IF(U232=regle!$G$11,regle!$G$23,
IF(U232=regle!$H$11,regle!$H$23,
IF(U232=regle!$I$11,regle!$I$23,
IF(U232=regle!$J$11,regle!$J$23,
IF(U232=regle!$K$11,regle!$K$23,0))))))))))))</f>
        <v>0</v>
      </c>
      <c r="AF232" s="17">
        <f>IF($A232,$J232*(IF(V232=regle!$B$11,regle!$B$23*IF(AO232=-2,1+regle!$B$35,1),
IF(V232=regle!$C$11,regle!$C$23,
IF(V232=regle!$D$11,regle!$D$23,
IF(V232=regle!$E$11,regle!$E$23,
IF(V232=regle!$F$11,regle!$F$23,
IF(V232=regle!$G$11,regle!$G$23,
IF(V232=regle!$H$11,regle!$H$23,
IF(V232=regle!$I$11,regle!$I$23,
IF(V232=regle!$J$11,regle!$J$23,
IF(V232=regle!$K$11,regle!$K$23,0))))))))))))</f>
        <v>993.38400000000013</v>
      </c>
      <c r="AG232" s="17">
        <f>IF($A232,$J232*(IF(W232=regle!$B$11,regle!$B$23*IF(AP232=-2,1+regle!$B$35,1),
IF(W232=regle!$C$11,regle!$C$23,
IF(W232=regle!$D$11,regle!$D$23,
IF(W232=regle!$E$11,regle!$E$23,
IF(W232=regle!$F$11,regle!$F$23,
IF(W232=regle!$G$11,regle!$G$23,
IF(W232=regle!$H$11,regle!$H$23,
IF(W232=regle!$I$11,regle!$I$23,
IF(W232=regle!$J$11,regle!$J$23,
IF(W232=regle!$K$11,regle!$K$23,0))))))))))))</f>
        <v>0</v>
      </c>
      <c r="AH232" s="17">
        <f>IF($A232,$J232*(IF(X232=regle!$B$11,regle!$B$23*IF(AQ232=-2,1+regle!$B$35,1),
IF(X232=regle!$C$11,regle!$C$23,
IF(X232=regle!$D$11,regle!$D$23,
IF(X232=regle!$E$11,regle!$E$23,
IF(X232=regle!$F$11,regle!$F$23,
IF(X232=regle!$G$11,regle!$G$23,
IF(X232=regle!$H$11,regle!$H$23,
IF(X232=regle!$I$11,regle!$I$23,
IF(X232=regle!$J$11,regle!$J$23,
IF(X232=regle!$K$11,regle!$K$23,0))))))))))))</f>
        <v>0</v>
      </c>
      <c r="AI232" s="17">
        <f>IF($A232,$J232*(IF(Y232=regle!$B$11,regle!$B$23*IF(AR232=-2,1+regle!$B$35,1),
IF(Y232=regle!$C$11,regle!$C$23,
IF(Y232=regle!$D$11,regle!$D$23,
IF(Y232=regle!$E$11,regle!$E$23,
IF(Y232=regle!$F$11,regle!$F$23,
IF(Y232=regle!$G$11,regle!$G$23,
IF(Y232=regle!$H$11,regle!$H$23,
IF(Y232=regle!$I$11,regle!$I$23,
IF(Y232=regle!$J$11,regle!$J$23,
IF(Y232=regle!$K$11,regle!$K$23,0))))))))))))</f>
        <v>0</v>
      </c>
      <c r="AJ232" s="17">
        <f>IF($A232,$J232*(IF(Z232=regle!$B$11,regle!$B$23*IF(AS232=-2,1+regle!$B$35,1),
IF(Z232=regle!$C$11,regle!$C$23,
IF(Z232=regle!$D$11,regle!$D$23,
IF(Z232=regle!$E$11,regle!$E$23,
IF(Z232=regle!$F$11,regle!$F$23,
IF(Z232=regle!$G$11,regle!$G$23,
IF(Z232=regle!$H$11,regle!$H$23,
IF(Z232=regle!$I$11,regle!$I$23,
IF(Z232=regle!$J$11,regle!$J$23,
IF(Z232=regle!$K$11,regle!$K$23,0))))))))))))</f>
        <v>0</v>
      </c>
      <c r="AK232" s="16">
        <f>IF(OR(Q232=regle!$J$11,Q232=regle!$K$11),-2,IF(Q232=regle!$B$11,0,IF(AK$1=$AK$1,IF($O232,-1,regle!$B$2-$M232),IF(AJ232=-1,-1,AJ232+1))))</f>
        <v>12</v>
      </c>
      <c r="AL232" s="16">
        <f>IF(OR(R232=regle!$J$11,R232=regle!$K$11),-2,IF(R232=regle!$B$11,0,IF(AL$1=$AK$1,IF($O232,-1,regle!$B$2-$M232),IF(AK232=-1,-1,AK232+1))))</f>
        <v>13</v>
      </c>
      <c r="AM232" s="16">
        <f>IF(OR(S232=regle!$J$11,S232=regle!$K$11),-2,IF(S232=regle!$B$11,0,IF(AM$1=$AK$1,IF($O232,-1,regle!$B$2-$M232),IF(AL232=-1,-1,AL232+1))))</f>
        <v>14</v>
      </c>
      <c r="AN232" s="16">
        <f>IF(OR(T232=regle!$J$11,T232=regle!$K$11),-2,IF(T232=regle!$B$11,0,IF(AN$1=$AK$1,IF($O232,-1,regle!$B$2-$M232),IF(AM232=-1,-1,AM232+1))))</f>
        <v>15</v>
      </c>
      <c r="AO232" s="16">
        <f>IF(OR(U232=regle!$J$11,U232=regle!$K$11),-2,IF(U232=regle!$B$11,0,IF(AO$1=$AK$1,IF($O232,-1,regle!$B$2-$M232),IF(AN232=-1,-1,AN232+1))))</f>
        <v>16</v>
      </c>
      <c r="AP232" s="16">
        <f>IF(OR(V232=regle!$J$11,V232=regle!$K$11),-2,IF(V232=regle!$B$11,0,IF(AP$1=$AK$1,IF($O232,-1,regle!$B$2-$M232),IF(AO232=-1,-1,AO232+1))))</f>
        <v>17</v>
      </c>
      <c r="AQ232" s="16">
        <f>IF(OR(W232=regle!$J$11,W232=regle!$K$11),-2,IF(W232=regle!$B$11,0,IF(AQ$1=$AK$1,IF($O232,-1,regle!$B$2-$M232),IF(AP232=-1,-1,AP232+1))))</f>
        <v>18</v>
      </c>
      <c r="AR232" s="16">
        <f>IF(OR(X232=regle!$J$11,X232=regle!$K$11),-2,IF(X232=regle!$B$11,0,IF(AR$1=$AK$1,IF($O232,-1,regle!$B$2-$M232),IF(AQ232=-1,-1,AQ232+1))))</f>
        <v>19</v>
      </c>
      <c r="AS232" s="16">
        <f>IF(OR(Y232=regle!$J$11,Y232=regle!$K$11),-2,IF(Y232=regle!$B$11,0,IF(AS$1=$AK$1,IF($O232,-1,regle!$B$2-$M232),IF(AR232=-1,-1,AR232+1))))</f>
        <v>20</v>
      </c>
      <c r="AT232" s="16">
        <f>IF(OR(Z232=regle!$J$11,Z232=regle!$K$11),-2,IF(Z232=regle!$B$11,0,IF(AT$1=$AK$1,IF($O232,-1,regle!$B$2-$M232),IF(AS232=-1,-1,AS232+1))))</f>
        <v>21</v>
      </c>
    </row>
    <row r="233" spans="1:46" x14ac:dyDescent="0.25">
      <c r="A233" t="b">
        <f>modif1!A233</f>
        <v>1</v>
      </c>
      <c r="B233">
        <f>ROW(modif1!B233)</f>
        <v>233</v>
      </c>
      <c r="C233" t="str">
        <f>modif1!C236</f>
        <v>536</v>
      </c>
      <c r="D233" t="str">
        <f>modif1!D233</f>
        <v>LE TUZAN</v>
      </c>
      <c r="E233">
        <f>modif1!E233</f>
        <v>21</v>
      </c>
      <c r="F233" t="str">
        <f>modif1!F233</f>
        <v>METAIRIES DE TABARTON</v>
      </c>
      <c r="G233" t="str">
        <f>modif1!G233</f>
        <v>0A</v>
      </c>
      <c r="H233">
        <f>modif1!H233</f>
        <v>847</v>
      </c>
      <c r="I233" t="str">
        <f>modif1!I233</f>
        <v>cj</v>
      </c>
      <c r="J233" s="11">
        <f>modif1!J233</f>
        <v>0.78680000000000005</v>
      </c>
      <c r="K233" t="str">
        <f>modif1!K233</f>
        <v>PLA</v>
      </c>
      <c r="L233" t="str">
        <f>modif1!L233</f>
        <v>PM</v>
      </c>
      <c r="M233">
        <f>modif1!M233</f>
        <v>2012</v>
      </c>
      <c r="N233" t="str">
        <f>modif1!N233</f>
        <v>PLA-PM_2012</v>
      </c>
      <c r="O233" t="b">
        <f>modif1!O233</f>
        <v>0</v>
      </c>
      <c r="P233">
        <v>40</v>
      </c>
      <c r="Q233" s="22"/>
      <c r="R233" t="s">
        <v>1803</v>
      </c>
      <c r="V233" t="s">
        <v>1804</v>
      </c>
      <c r="Z233"/>
      <c r="AA233" s="17">
        <f>IF($A233,$J233*(IF(Q233=regle!$B$11,regle!$B$23*IF(AJ233=-2,1+regle!$B$35,1),
IF(Q233=regle!$C$11,regle!$C$23,
IF(Q233=regle!$D$11,regle!$D$23,
IF(Q233=regle!$E$11,regle!$E$23,
IF(Q233=regle!$F$11,regle!$F$23,
IF(Q233=regle!$G$11,regle!$G$23,
IF(Q233=regle!$H$11,regle!$H$23,
IF(Q233=regle!$I$11,regle!$I$23,
IF(Q233=regle!$J$11,regle!$J$23,
IF(Q233=regle!$K$11,regle!$K$23,0))))))))))))</f>
        <v>0</v>
      </c>
      <c r="AB233" s="17">
        <f>IF($A233,$J233*(IF(R233=regle!$B$11,regle!$B$23*IF(AK233=-2,1+regle!$B$35,1),
IF(R233=regle!$C$11,regle!$C$23,
IF(R233=regle!$D$11,regle!$D$23,
IF(R233=regle!$E$11,regle!$E$23,
IF(R233=regle!$F$11,regle!$F$23,
IF(R233=regle!$G$11,regle!$G$23,
IF(R233=regle!$H$11,regle!$H$23,
IF(R233=regle!$I$11,regle!$I$23,
IF(R233=regle!$J$11,regle!$J$23,
IF(R233=regle!$K$11,regle!$K$23,0))))))))))))</f>
        <v>453.19680000000005</v>
      </c>
      <c r="AC233" s="17">
        <f>IF($A233,$J233*(IF(S233=regle!$B$11,regle!$B$23*IF(AL233=-2,1+regle!$B$35,1),
IF(S233=regle!$C$11,regle!$C$23,
IF(S233=regle!$D$11,regle!$D$23,
IF(S233=regle!$E$11,regle!$E$23,
IF(S233=regle!$F$11,regle!$F$23,
IF(S233=regle!$G$11,regle!$G$23,
IF(S233=regle!$H$11,regle!$H$23,
IF(S233=regle!$I$11,regle!$I$23,
IF(S233=regle!$J$11,regle!$J$23,
IF(S233=regle!$K$11,regle!$K$23,0))))))))))))</f>
        <v>0</v>
      </c>
      <c r="AD233" s="17">
        <f>IF($A233,$J233*(IF(T233=regle!$B$11,regle!$B$23*IF(AM233=-2,1+regle!$B$35,1),
IF(T233=regle!$C$11,regle!$C$23,
IF(T233=regle!$D$11,regle!$D$23,
IF(T233=regle!$E$11,regle!$E$23,
IF(T233=regle!$F$11,regle!$F$23,
IF(T233=regle!$G$11,regle!$G$23,
IF(T233=regle!$H$11,regle!$H$23,
IF(T233=regle!$I$11,regle!$I$23,
IF(T233=regle!$J$11,regle!$J$23,
IF(T233=regle!$K$11,regle!$K$23,0))))))))))))</f>
        <v>0</v>
      </c>
      <c r="AE233" s="17">
        <f>IF($A233,$J233*(IF(U233=regle!$B$11,regle!$B$23*IF(AN233=-2,1+regle!$B$35,1),
IF(U233=regle!$C$11,regle!$C$23,
IF(U233=regle!$D$11,regle!$D$23,
IF(U233=regle!$E$11,regle!$E$23,
IF(U233=regle!$F$11,regle!$F$23,
IF(U233=regle!$G$11,regle!$G$23,
IF(U233=regle!$H$11,regle!$H$23,
IF(U233=regle!$I$11,regle!$I$23,
IF(U233=regle!$J$11,regle!$J$23,
IF(U233=regle!$K$11,regle!$K$23,0))))))))))))</f>
        <v>0</v>
      </c>
      <c r="AF233" s="17">
        <f>IF($A233,$J233*(IF(V233=regle!$B$11,regle!$B$23*IF(AO233=-2,1+regle!$B$35,1),
IF(V233=regle!$C$11,regle!$C$23,
IF(V233=regle!$D$11,regle!$D$23,
IF(V233=regle!$E$11,regle!$E$23,
IF(V233=regle!$F$11,regle!$F$23,
IF(V233=regle!$G$11,regle!$G$23,
IF(V233=regle!$H$11,regle!$H$23,
IF(V233=regle!$I$11,regle!$I$23,
IF(V233=regle!$J$11,regle!$J$23,
IF(V233=regle!$K$11,regle!$K$23,0))))))))))))</f>
        <v>660.91200000000003</v>
      </c>
      <c r="AG233" s="17">
        <f>IF($A233,$J233*(IF(W233=regle!$B$11,regle!$B$23*IF(AP233=-2,1+regle!$B$35,1),
IF(W233=regle!$C$11,regle!$C$23,
IF(W233=regle!$D$11,regle!$D$23,
IF(W233=regle!$E$11,regle!$E$23,
IF(W233=regle!$F$11,regle!$F$23,
IF(W233=regle!$G$11,regle!$G$23,
IF(W233=regle!$H$11,regle!$H$23,
IF(W233=regle!$I$11,regle!$I$23,
IF(W233=regle!$J$11,regle!$J$23,
IF(W233=regle!$K$11,regle!$K$23,0))))))))))))</f>
        <v>0</v>
      </c>
      <c r="AH233" s="17">
        <f>IF($A233,$J233*(IF(X233=regle!$B$11,regle!$B$23*IF(AQ233=-2,1+regle!$B$35,1),
IF(X233=regle!$C$11,regle!$C$23,
IF(X233=regle!$D$11,regle!$D$23,
IF(X233=regle!$E$11,regle!$E$23,
IF(X233=regle!$F$11,regle!$F$23,
IF(X233=regle!$G$11,regle!$G$23,
IF(X233=regle!$H$11,regle!$H$23,
IF(X233=regle!$I$11,regle!$I$23,
IF(X233=regle!$J$11,regle!$J$23,
IF(X233=regle!$K$11,regle!$K$23,0))))))))))))</f>
        <v>0</v>
      </c>
      <c r="AI233" s="17">
        <f>IF($A233,$J233*(IF(Y233=regle!$B$11,regle!$B$23*IF(AR233=-2,1+regle!$B$35,1),
IF(Y233=regle!$C$11,regle!$C$23,
IF(Y233=regle!$D$11,regle!$D$23,
IF(Y233=regle!$E$11,regle!$E$23,
IF(Y233=regle!$F$11,regle!$F$23,
IF(Y233=regle!$G$11,regle!$G$23,
IF(Y233=regle!$H$11,regle!$H$23,
IF(Y233=regle!$I$11,regle!$I$23,
IF(Y233=regle!$J$11,regle!$J$23,
IF(Y233=regle!$K$11,regle!$K$23,0))))))))))))</f>
        <v>0</v>
      </c>
      <c r="AJ233" s="17">
        <f>IF($A233,$J233*(IF(Z233=regle!$B$11,regle!$B$23*IF(AS233=-2,1+regle!$B$35,1),
IF(Z233=regle!$C$11,regle!$C$23,
IF(Z233=regle!$D$11,regle!$D$23,
IF(Z233=regle!$E$11,regle!$E$23,
IF(Z233=regle!$F$11,regle!$F$23,
IF(Z233=regle!$G$11,regle!$G$23,
IF(Z233=regle!$H$11,regle!$H$23,
IF(Z233=regle!$I$11,regle!$I$23,
IF(Z233=regle!$J$11,regle!$J$23,
IF(Z233=regle!$K$11,regle!$K$23,0))))))))))))</f>
        <v>0</v>
      </c>
      <c r="AK233" s="16">
        <f>IF(OR(Q233=regle!$J$11,Q233=regle!$K$11),-2,IF(Q233=regle!$B$11,0,IF(AK$1=$AK$1,IF($O233,-1,regle!$B$2-$M233),IF(AJ233=-1,-1,AJ233+1))))</f>
        <v>12</v>
      </c>
      <c r="AL233" s="16">
        <f>IF(OR(R233=regle!$J$11,R233=regle!$K$11),-2,IF(R233=regle!$B$11,0,IF(AL$1=$AK$1,IF($O233,-1,regle!$B$2-$M233),IF(AK233=-1,-1,AK233+1))))</f>
        <v>13</v>
      </c>
      <c r="AM233" s="16">
        <f>IF(OR(S233=regle!$J$11,S233=regle!$K$11),-2,IF(S233=regle!$B$11,0,IF(AM$1=$AK$1,IF($O233,-1,regle!$B$2-$M233),IF(AL233=-1,-1,AL233+1))))</f>
        <v>14</v>
      </c>
      <c r="AN233" s="16">
        <f>IF(OR(T233=regle!$J$11,T233=regle!$K$11),-2,IF(T233=regle!$B$11,0,IF(AN$1=$AK$1,IF($O233,-1,regle!$B$2-$M233),IF(AM233=-1,-1,AM233+1))))</f>
        <v>15</v>
      </c>
      <c r="AO233" s="16">
        <f>IF(OR(U233=regle!$J$11,U233=regle!$K$11),-2,IF(U233=regle!$B$11,0,IF(AO$1=$AK$1,IF($O233,-1,regle!$B$2-$M233),IF(AN233=-1,-1,AN233+1))))</f>
        <v>16</v>
      </c>
      <c r="AP233" s="16">
        <f>IF(OR(V233=regle!$J$11,V233=regle!$K$11),-2,IF(V233=regle!$B$11,0,IF(AP$1=$AK$1,IF($O233,-1,regle!$B$2-$M233),IF(AO233=-1,-1,AO233+1))))</f>
        <v>17</v>
      </c>
      <c r="AQ233" s="16">
        <f>IF(OR(W233=regle!$J$11,W233=regle!$K$11),-2,IF(W233=regle!$B$11,0,IF(AQ$1=$AK$1,IF($O233,-1,regle!$B$2-$M233),IF(AP233=-1,-1,AP233+1))))</f>
        <v>18</v>
      </c>
      <c r="AR233" s="16">
        <f>IF(OR(X233=regle!$J$11,X233=regle!$K$11),-2,IF(X233=regle!$B$11,0,IF(AR$1=$AK$1,IF($O233,-1,regle!$B$2-$M233),IF(AQ233=-1,-1,AQ233+1))))</f>
        <v>19</v>
      </c>
      <c r="AS233" s="16">
        <f>IF(OR(Y233=regle!$J$11,Y233=regle!$K$11),-2,IF(Y233=regle!$B$11,0,IF(AS$1=$AK$1,IF($O233,-1,regle!$B$2-$M233),IF(AR233=-1,-1,AR233+1))))</f>
        <v>20</v>
      </c>
      <c r="AT233" s="16">
        <f>IF(OR(Z233=regle!$J$11,Z233=regle!$K$11),-2,IF(Z233=regle!$B$11,0,IF(AT$1=$AK$1,IF($O233,-1,regle!$B$2-$M233),IF(AS233=-1,-1,AS233+1))))</f>
        <v>21</v>
      </c>
    </row>
    <row r="234" spans="1:46" x14ac:dyDescent="0.25">
      <c r="A234" t="b">
        <f>modif1!A234</f>
        <v>1</v>
      </c>
      <c r="B234">
        <f>ROW(modif1!B234)</f>
        <v>234</v>
      </c>
      <c r="C234" t="str">
        <f>modif1!C237</f>
        <v>077</v>
      </c>
      <c r="D234" t="str">
        <f>modif1!D234</f>
        <v>LE TUZAN</v>
      </c>
      <c r="E234">
        <f>modif1!E234</f>
        <v>21</v>
      </c>
      <c r="F234" t="str">
        <f>modif1!F234</f>
        <v>METAIRIES DE TABARTON</v>
      </c>
      <c r="G234" t="str">
        <f>modif1!G234</f>
        <v>0A</v>
      </c>
      <c r="H234">
        <f>modif1!H234</f>
        <v>419</v>
      </c>
      <c r="I234" t="str">
        <f>modif1!I234</f>
        <v>e</v>
      </c>
      <c r="J234" s="11">
        <f>modif1!J234</f>
        <v>0.49619999999999997</v>
      </c>
      <c r="K234" t="str">
        <f>modif1!K234</f>
        <v>PLA</v>
      </c>
      <c r="L234" t="str">
        <f>modif1!L234</f>
        <v>PM</v>
      </c>
      <c r="M234">
        <f>modif1!M234</f>
        <v>2012</v>
      </c>
      <c r="N234" t="str">
        <f>modif1!N234</f>
        <v>PLA-PM_2012</v>
      </c>
      <c r="O234" t="b">
        <f>modif1!O234</f>
        <v>0</v>
      </c>
      <c r="P234">
        <v>40</v>
      </c>
      <c r="Q234" s="22"/>
      <c r="R234" t="s">
        <v>1803</v>
      </c>
      <c r="V234" t="s">
        <v>1804</v>
      </c>
      <c r="Z234"/>
      <c r="AA234" s="17">
        <f>IF($A234,$J234*(IF(Q234=regle!$B$11,regle!$B$23*IF(AJ234=-2,1+regle!$B$35,1),
IF(Q234=regle!$C$11,regle!$C$23,
IF(Q234=regle!$D$11,regle!$D$23,
IF(Q234=regle!$E$11,regle!$E$23,
IF(Q234=regle!$F$11,regle!$F$23,
IF(Q234=regle!$G$11,regle!$G$23,
IF(Q234=regle!$H$11,regle!$H$23,
IF(Q234=regle!$I$11,regle!$I$23,
IF(Q234=regle!$J$11,regle!$J$23,
IF(Q234=regle!$K$11,regle!$K$23,0))))))))))))</f>
        <v>0</v>
      </c>
      <c r="AB234" s="17">
        <f>IF($A234,$J234*(IF(R234=regle!$B$11,regle!$B$23*IF(AK234=-2,1+regle!$B$35,1),
IF(R234=regle!$C$11,regle!$C$23,
IF(R234=regle!$D$11,regle!$D$23,
IF(R234=regle!$E$11,regle!$E$23,
IF(R234=regle!$F$11,regle!$F$23,
IF(R234=regle!$G$11,regle!$G$23,
IF(R234=regle!$H$11,regle!$H$23,
IF(R234=regle!$I$11,regle!$I$23,
IF(R234=regle!$J$11,regle!$J$23,
IF(R234=regle!$K$11,regle!$K$23,0))))))))))))</f>
        <v>285.81119999999999</v>
      </c>
      <c r="AC234" s="17">
        <f>IF($A234,$J234*(IF(S234=regle!$B$11,regle!$B$23*IF(AL234=-2,1+regle!$B$35,1),
IF(S234=regle!$C$11,regle!$C$23,
IF(S234=regle!$D$11,regle!$D$23,
IF(S234=regle!$E$11,regle!$E$23,
IF(S234=regle!$F$11,regle!$F$23,
IF(S234=regle!$G$11,regle!$G$23,
IF(S234=regle!$H$11,regle!$H$23,
IF(S234=regle!$I$11,regle!$I$23,
IF(S234=regle!$J$11,regle!$J$23,
IF(S234=regle!$K$11,regle!$K$23,0))))))))))))</f>
        <v>0</v>
      </c>
      <c r="AD234" s="17">
        <f>IF($A234,$J234*(IF(T234=regle!$B$11,regle!$B$23*IF(AM234=-2,1+regle!$B$35,1),
IF(T234=regle!$C$11,regle!$C$23,
IF(T234=regle!$D$11,regle!$D$23,
IF(T234=regle!$E$11,regle!$E$23,
IF(T234=regle!$F$11,regle!$F$23,
IF(T234=regle!$G$11,regle!$G$23,
IF(T234=regle!$H$11,regle!$H$23,
IF(T234=regle!$I$11,regle!$I$23,
IF(T234=regle!$J$11,regle!$J$23,
IF(T234=regle!$K$11,regle!$K$23,0))))))))))))</f>
        <v>0</v>
      </c>
      <c r="AE234" s="17">
        <f>IF($A234,$J234*(IF(U234=regle!$B$11,regle!$B$23*IF(AN234=-2,1+regle!$B$35,1),
IF(U234=regle!$C$11,regle!$C$23,
IF(U234=regle!$D$11,regle!$D$23,
IF(U234=regle!$E$11,regle!$E$23,
IF(U234=regle!$F$11,regle!$F$23,
IF(U234=regle!$G$11,regle!$G$23,
IF(U234=regle!$H$11,regle!$H$23,
IF(U234=regle!$I$11,regle!$I$23,
IF(U234=regle!$J$11,regle!$J$23,
IF(U234=regle!$K$11,regle!$K$23,0))))))))))))</f>
        <v>0</v>
      </c>
      <c r="AF234" s="17">
        <f>IF($A234,$J234*(IF(V234=regle!$B$11,regle!$B$23*IF(AO234=-2,1+regle!$B$35,1),
IF(V234=regle!$C$11,regle!$C$23,
IF(V234=regle!$D$11,regle!$D$23,
IF(V234=regle!$E$11,regle!$E$23,
IF(V234=regle!$F$11,regle!$F$23,
IF(V234=regle!$G$11,regle!$G$23,
IF(V234=regle!$H$11,regle!$H$23,
IF(V234=regle!$I$11,regle!$I$23,
IF(V234=regle!$J$11,regle!$J$23,
IF(V234=regle!$K$11,regle!$K$23,0))))))))))))</f>
        <v>416.80799999999999</v>
      </c>
      <c r="AG234" s="17">
        <f>IF($A234,$J234*(IF(W234=regle!$B$11,regle!$B$23*IF(AP234=-2,1+regle!$B$35,1),
IF(W234=regle!$C$11,regle!$C$23,
IF(W234=regle!$D$11,regle!$D$23,
IF(W234=regle!$E$11,regle!$E$23,
IF(W234=regle!$F$11,regle!$F$23,
IF(W234=regle!$G$11,regle!$G$23,
IF(W234=regle!$H$11,regle!$H$23,
IF(W234=regle!$I$11,regle!$I$23,
IF(W234=regle!$J$11,regle!$J$23,
IF(W234=regle!$K$11,regle!$K$23,0))))))))))))</f>
        <v>0</v>
      </c>
      <c r="AH234" s="17">
        <f>IF($A234,$J234*(IF(X234=regle!$B$11,regle!$B$23*IF(AQ234=-2,1+regle!$B$35,1),
IF(X234=regle!$C$11,regle!$C$23,
IF(X234=regle!$D$11,regle!$D$23,
IF(X234=regle!$E$11,regle!$E$23,
IF(X234=regle!$F$11,regle!$F$23,
IF(X234=regle!$G$11,regle!$G$23,
IF(X234=regle!$H$11,regle!$H$23,
IF(X234=regle!$I$11,regle!$I$23,
IF(X234=regle!$J$11,regle!$J$23,
IF(X234=regle!$K$11,regle!$K$23,0))))))))))))</f>
        <v>0</v>
      </c>
      <c r="AI234" s="17">
        <f>IF($A234,$J234*(IF(Y234=regle!$B$11,regle!$B$23*IF(AR234=-2,1+regle!$B$35,1),
IF(Y234=regle!$C$11,regle!$C$23,
IF(Y234=regle!$D$11,regle!$D$23,
IF(Y234=regle!$E$11,regle!$E$23,
IF(Y234=regle!$F$11,regle!$F$23,
IF(Y234=regle!$G$11,regle!$G$23,
IF(Y234=regle!$H$11,regle!$H$23,
IF(Y234=regle!$I$11,regle!$I$23,
IF(Y234=regle!$J$11,regle!$J$23,
IF(Y234=regle!$K$11,regle!$K$23,0))))))))))))</f>
        <v>0</v>
      </c>
      <c r="AJ234" s="17">
        <f>IF($A234,$J234*(IF(Z234=regle!$B$11,regle!$B$23*IF(AS234=-2,1+regle!$B$35,1),
IF(Z234=regle!$C$11,regle!$C$23,
IF(Z234=regle!$D$11,regle!$D$23,
IF(Z234=regle!$E$11,regle!$E$23,
IF(Z234=regle!$F$11,regle!$F$23,
IF(Z234=regle!$G$11,regle!$G$23,
IF(Z234=regle!$H$11,regle!$H$23,
IF(Z234=regle!$I$11,regle!$I$23,
IF(Z234=regle!$J$11,regle!$J$23,
IF(Z234=regle!$K$11,regle!$K$23,0))))))))))))</f>
        <v>0</v>
      </c>
      <c r="AK234" s="16">
        <f>IF(OR(Q234=regle!$J$11,Q234=regle!$K$11),-2,IF(Q234=regle!$B$11,0,IF(AK$1=$AK$1,IF($O234,-1,regle!$B$2-$M234),IF(AJ234=-1,-1,AJ234+1))))</f>
        <v>12</v>
      </c>
      <c r="AL234" s="16">
        <f>IF(OR(R234=regle!$J$11,R234=regle!$K$11),-2,IF(R234=regle!$B$11,0,IF(AL$1=$AK$1,IF($O234,-1,regle!$B$2-$M234),IF(AK234=-1,-1,AK234+1))))</f>
        <v>13</v>
      </c>
      <c r="AM234" s="16">
        <f>IF(OR(S234=regle!$J$11,S234=regle!$K$11),-2,IF(S234=regle!$B$11,0,IF(AM$1=$AK$1,IF($O234,-1,regle!$B$2-$M234),IF(AL234=-1,-1,AL234+1))))</f>
        <v>14</v>
      </c>
      <c r="AN234" s="16">
        <f>IF(OR(T234=regle!$J$11,T234=regle!$K$11),-2,IF(T234=regle!$B$11,0,IF(AN$1=$AK$1,IF($O234,-1,regle!$B$2-$M234),IF(AM234=-1,-1,AM234+1))))</f>
        <v>15</v>
      </c>
      <c r="AO234" s="16">
        <f>IF(OR(U234=regle!$J$11,U234=regle!$K$11),-2,IF(U234=regle!$B$11,0,IF(AO$1=$AK$1,IF($O234,-1,regle!$B$2-$M234),IF(AN234=-1,-1,AN234+1))))</f>
        <v>16</v>
      </c>
      <c r="AP234" s="16">
        <f>IF(OR(V234=regle!$J$11,V234=regle!$K$11),-2,IF(V234=regle!$B$11,0,IF(AP$1=$AK$1,IF($O234,-1,regle!$B$2-$M234),IF(AO234=-1,-1,AO234+1))))</f>
        <v>17</v>
      </c>
      <c r="AQ234" s="16">
        <f>IF(OR(W234=regle!$J$11,W234=regle!$K$11),-2,IF(W234=regle!$B$11,0,IF(AQ$1=$AK$1,IF($O234,-1,regle!$B$2-$M234),IF(AP234=-1,-1,AP234+1))))</f>
        <v>18</v>
      </c>
      <c r="AR234" s="16">
        <f>IF(OR(X234=regle!$J$11,X234=regle!$K$11),-2,IF(X234=regle!$B$11,0,IF(AR$1=$AK$1,IF($O234,-1,regle!$B$2-$M234),IF(AQ234=-1,-1,AQ234+1))))</f>
        <v>19</v>
      </c>
      <c r="AS234" s="16">
        <f>IF(OR(Y234=regle!$J$11,Y234=regle!$K$11),-2,IF(Y234=regle!$B$11,0,IF(AS$1=$AK$1,IF($O234,-1,regle!$B$2-$M234),IF(AR234=-1,-1,AR234+1))))</f>
        <v>20</v>
      </c>
      <c r="AT234" s="16">
        <f>IF(OR(Z234=regle!$J$11,Z234=regle!$K$11),-2,IF(Z234=regle!$B$11,0,IF(AT$1=$AK$1,IF($O234,-1,regle!$B$2-$M234),IF(AS234=-1,-1,AS234+1))))</f>
        <v>21</v>
      </c>
    </row>
    <row r="235" spans="1:46" x14ac:dyDescent="0.25">
      <c r="A235" t="b">
        <f>modif1!A235</f>
        <v>1</v>
      </c>
      <c r="B235">
        <f>ROW(modif1!B235)</f>
        <v>235</v>
      </c>
      <c r="C235" t="str">
        <f>modif1!C238</f>
        <v>197</v>
      </c>
      <c r="D235" t="str">
        <f>modif1!D235</f>
        <v>LE TUZAN</v>
      </c>
      <c r="E235">
        <f>modif1!E235</f>
        <v>21</v>
      </c>
      <c r="F235" t="str">
        <f>modif1!F235</f>
        <v>METAIRIES DE TABARTON</v>
      </c>
      <c r="G235" t="str">
        <f>modif1!G235</f>
        <v>0A</v>
      </c>
      <c r="H235">
        <f>modif1!H235</f>
        <v>421</v>
      </c>
      <c r="I235" t="str">
        <f>modif1!I235</f>
        <v>c</v>
      </c>
      <c r="J235" s="11">
        <f>modif1!J235</f>
        <v>0.2412</v>
      </c>
      <c r="K235" t="str">
        <f>modif1!K235</f>
        <v>PLA</v>
      </c>
      <c r="L235" t="str">
        <f>modif1!L235</f>
        <v>PM</v>
      </c>
      <c r="M235">
        <f>modif1!M235</f>
        <v>2012</v>
      </c>
      <c r="N235" t="str">
        <f>modif1!N235</f>
        <v>PLA-PM_2012</v>
      </c>
      <c r="O235" t="b">
        <f>modif1!O235</f>
        <v>0</v>
      </c>
      <c r="P235">
        <v>40</v>
      </c>
      <c r="Q235" s="22"/>
      <c r="R235" t="s">
        <v>1803</v>
      </c>
      <c r="V235" t="s">
        <v>1804</v>
      </c>
      <c r="Z235"/>
      <c r="AA235" s="17">
        <f>IF($A235,$J235*(IF(Q235=regle!$B$11,regle!$B$23*IF(AJ235=-2,1+regle!$B$35,1),
IF(Q235=regle!$C$11,regle!$C$23,
IF(Q235=regle!$D$11,regle!$D$23,
IF(Q235=regle!$E$11,regle!$E$23,
IF(Q235=regle!$F$11,regle!$F$23,
IF(Q235=regle!$G$11,regle!$G$23,
IF(Q235=regle!$H$11,regle!$H$23,
IF(Q235=regle!$I$11,regle!$I$23,
IF(Q235=regle!$J$11,regle!$J$23,
IF(Q235=regle!$K$11,regle!$K$23,0))))))))))))</f>
        <v>0</v>
      </c>
      <c r="AB235" s="17">
        <f>IF($A235,$J235*(IF(R235=regle!$B$11,regle!$B$23*IF(AK235=-2,1+regle!$B$35,1),
IF(R235=regle!$C$11,regle!$C$23,
IF(R235=regle!$D$11,regle!$D$23,
IF(R235=regle!$E$11,regle!$E$23,
IF(R235=regle!$F$11,regle!$F$23,
IF(R235=regle!$G$11,regle!$G$23,
IF(R235=regle!$H$11,regle!$H$23,
IF(R235=regle!$I$11,regle!$I$23,
IF(R235=regle!$J$11,regle!$J$23,
IF(R235=regle!$K$11,regle!$K$23,0))))))))))))</f>
        <v>138.93119999999999</v>
      </c>
      <c r="AC235" s="17">
        <f>IF($A235,$J235*(IF(S235=regle!$B$11,regle!$B$23*IF(AL235=-2,1+regle!$B$35,1),
IF(S235=regle!$C$11,regle!$C$23,
IF(S235=regle!$D$11,regle!$D$23,
IF(S235=regle!$E$11,regle!$E$23,
IF(S235=regle!$F$11,regle!$F$23,
IF(S235=regle!$G$11,regle!$G$23,
IF(S235=regle!$H$11,regle!$H$23,
IF(S235=regle!$I$11,regle!$I$23,
IF(S235=regle!$J$11,regle!$J$23,
IF(S235=regle!$K$11,regle!$K$23,0))))))))))))</f>
        <v>0</v>
      </c>
      <c r="AD235" s="17">
        <f>IF($A235,$J235*(IF(T235=regle!$B$11,regle!$B$23*IF(AM235=-2,1+regle!$B$35,1),
IF(T235=regle!$C$11,regle!$C$23,
IF(T235=regle!$D$11,regle!$D$23,
IF(T235=regle!$E$11,regle!$E$23,
IF(T235=regle!$F$11,regle!$F$23,
IF(T235=regle!$G$11,regle!$G$23,
IF(T235=regle!$H$11,regle!$H$23,
IF(T235=regle!$I$11,regle!$I$23,
IF(T235=regle!$J$11,regle!$J$23,
IF(T235=regle!$K$11,regle!$K$23,0))))))))))))</f>
        <v>0</v>
      </c>
      <c r="AE235" s="17">
        <f>IF($A235,$J235*(IF(U235=regle!$B$11,regle!$B$23*IF(AN235=-2,1+regle!$B$35,1),
IF(U235=regle!$C$11,regle!$C$23,
IF(U235=regle!$D$11,regle!$D$23,
IF(U235=regle!$E$11,regle!$E$23,
IF(U235=regle!$F$11,regle!$F$23,
IF(U235=regle!$G$11,regle!$G$23,
IF(U235=regle!$H$11,regle!$H$23,
IF(U235=regle!$I$11,regle!$I$23,
IF(U235=regle!$J$11,regle!$J$23,
IF(U235=regle!$K$11,regle!$K$23,0))))))))))))</f>
        <v>0</v>
      </c>
      <c r="AF235" s="17">
        <f>IF($A235,$J235*(IF(V235=regle!$B$11,regle!$B$23*IF(AO235=-2,1+regle!$B$35,1),
IF(V235=regle!$C$11,regle!$C$23,
IF(V235=regle!$D$11,regle!$D$23,
IF(V235=regle!$E$11,regle!$E$23,
IF(V235=regle!$F$11,regle!$F$23,
IF(V235=regle!$G$11,regle!$G$23,
IF(V235=regle!$H$11,regle!$H$23,
IF(V235=regle!$I$11,regle!$I$23,
IF(V235=regle!$J$11,regle!$J$23,
IF(V235=regle!$K$11,regle!$K$23,0))))))))))))</f>
        <v>202.608</v>
      </c>
      <c r="AG235" s="17">
        <f>IF($A235,$J235*(IF(W235=regle!$B$11,regle!$B$23*IF(AP235=-2,1+regle!$B$35,1),
IF(W235=regle!$C$11,regle!$C$23,
IF(W235=regle!$D$11,regle!$D$23,
IF(W235=regle!$E$11,regle!$E$23,
IF(W235=regle!$F$11,regle!$F$23,
IF(W235=regle!$G$11,regle!$G$23,
IF(W235=regle!$H$11,regle!$H$23,
IF(W235=regle!$I$11,regle!$I$23,
IF(W235=regle!$J$11,regle!$J$23,
IF(W235=regle!$K$11,regle!$K$23,0))))))))))))</f>
        <v>0</v>
      </c>
      <c r="AH235" s="17">
        <f>IF($A235,$J235*(IF(X235=regle!$B$11,regle!$B$23*IF(AQ235=-2,1+regle!$B$35,1),
IF(X235=regle!$C$11,regle!$C$23,
IF(X235=regle!$D$11,regle!$D$23,
IF(X235=regle!$E$11,regle!$E$23,
IF(X235=regle!$F$11,regle!$F$23,
IF(X235=regle!$G$11,regle!$G$23,
IF(X235=regle!$H$11,regle!$H$23,
IF(X235=regle!$I$11,regle!$I$23,
IF(X235=regle!$J$11,regle!$J$23,
IF(X235=regle!$K$11,regle!$K$23,0))))))))))))</f>
        <v>0</v>
      </c>
      <c r="AI235" s="17">
        <f>IF($A235,$J235*(IF(Y235=regle!$B$11,regle!$B$23*IF(AR235=-2,1+regle!$B$35,1),
IF(Y235=regle!$C$11,regle!$C$23,
IF(Y235=regle!$D$11,regle!$D$23,
IF(Y235=regle!$E$11,regle!$E$23,
IF(Y235=regle!$F$11,regle!$F$23,
IF(Y235=regle!$G$11,regle!$G$23,
IF(Y235=regle!$H$11,regle!$H$23,
IF(Y235=regle!$I$11,regle!$I$23,
IF(Y235=regle!$J$11,regle!$J$23,
IF(Y235=regle!$K$11,regle!$K$23,0))))))))))))</f>
        <v>0</v>
      </c>
      <c r="AJ235" s="17">
        <f>IF($A235,$J235*(IF(Z235=regle!$B$11,regle!$B$23*IF(AS235=-2,1+regle!$B$35,1),
IF(Z235=regle!$C$11,regle!$C$23,
IF(Z235=regle!$D$11,regle!$D$23,
IF(Z235=regle!$E$11,regle!$E$23,
IF(Z235=regle!$F$11,regle!$F$23,
IF(Z235=regle!$G$11,regle!$G$23,
IF(Z235=regle!$H$11,regle!$H$23,
IF(Z235=regle!$I$11,regle!$I$23,
IF(Z235=regle!$J$11,regle!$J$23,
IF(Z235=regle!$K$11,regle!$K$23,0))))))))))))</f>
        <v>0</v>
      </c>
      <c r="AK235" s="16">
        <f>IF(OR(Q235=regle!$J$11,Q235=regle!$K$11),-2,IF(Q235=regle!$B$11,0,IF(AK$1=$AK$1,IF($O235,-1,regle!$B$2-$M235),IF(AJ235=-1,-1,AJ235+1))))</f>
        <v>12</v>
      </c>
      <c r="AL235" s="16">
        <f>IF(OR(R235=regle!$J$11,R235=regle!$K$11),-2,IF(R235=regle!$B$11,0,IF(AL$1=$AK$1,IF($O235,-1,regle!$B$2-$M235),IF(AK235=-1,-1,AK235+1))))</f>
        <v>13</v>
      </c>
      <c r="AM235" s="16">
        <f>IF(OR(S235=regle!$J$11,S235=regle!$K$11),-2,IF(S235=regle!$B$11,0,IF(AM$1=$AK$1,IF($O235,-1,regle!$B$2-$M235),IF(AL235=-1,-1,AL235+1))))</f>
        <v>14</v>
      </c>
      <c r="AN235" s="16">
        <f>IF(OR(T235=regle!$J$11,T235=regle!$K$11),-2,IF(T235=regle!$B$11,0,IF(AN$1=$AK$1,IF($O235,-1,regle!$B$2-$M235),IF(AM235=-1,-1,AM235+1))))</f>
        <v>15</v>
      </c>
      <c r="AO235" s="16">
        <f>IF(OR(U235=regle!$J$11,U235=regle!$K$11),-2,IF(U235=regle!$B$11,0,IF(AO$1=$AK$1,IF($O235,-1,regle!$B$2-$M235),IF(AN235=-1,-1,AN235+1))))</f>
        <v>16</v>
      </c>
      <c r="AP235" s="16">
        <f>IF(OR(V235=regle!$J$11,V235=regle!$K$11),-2,IF(V235=regle!$B$11,0,IF(AP$1=$AK$1,IF($O235,-1,regle!$B$2-$M235),IF(AO235=-1,-1,AO235+1))))</f>
        <v>17</v>
      </c>
      <c r="AQ235" s="16">
        <f>IF(OR(W235=regle!$J$11,W235=regle!$K$11),-2,IF(W235=regle!$B$11,0,IF(AQ$1=$AK$1,IF($O235,-1,regle!$B$2-$M235),IF(AP235=-1,-1,AP235+1))))</f>
        <v>18</v>
      </c>
      <c r="AR235" s="16">
        <f>IF(OR(X235=regle!$J$11,X235=regle!$K$11),-2,IF(X235=regle!$B$11,0,IF(AR$1=$AK$1,IF($O235,-1,regle!$B$2-$M235),IF(AQ235=-1,-1,AQ235+1))))</f>
        <v>19</v>
      </c>
      <c r="AS235" s="16">
        <f>IF(OR(Y235=regle!$J$11,Y235=regle!$K$11),-2,IF(Y235=regle!$B$11,0,IF(AS$1=$AK$1,IF($O235,-1,regle!$B$2-$M235),IF(AR235=-1,-1,AR235+1))))</f>
        <v>20</v>
      </c>
      <c r="AT235" s="16">
        <f>IF(OR(Z235=regle!$J$11,Z235=regle!$K$11),-2,IF(Z235=regle!$B$11,0,IF(AT$1=$AK$1,IF($O235,-1,regle!$B$2-$M235),IF(AS235=-1,-1,AS235+1))))</f>
        <v>21</v>
      </c>
    </row>
    <row r="236" spans="1:46" x14ac:dyDescent="0.25">
      <c r="A236" t="b">
        <f>modif1!A236</f>
        <v>1</v>
      </c>
      <c r="B236">
        <f>ROW(modif1!B236)</f>
        <v>236</v>
      </c>
      <c r="C236" t="str">
        <f>modif1!C239</f>
        <v>077</v>
      </c>
      <c r="D236" t="str">
        <f>modif1!D236</f>
        <v>LE TUZAN</v>
      </c>
      <c r="E236">
        <f>modif1!E236</f>
        <v>21</v>
      </c>
      <c r="F236" t="str">
        <f>modif1!F236</f>
        <v>METAIRIES DE TABARTON</v>
      </c>
      <c r="G236" t="str">
        <f>modif1!G236</f>
        <v>0A</v>
      </c>
      <c r="H236">
        <f>modif1!H236</f>
        <v>420</v>
      </c>
      <c r="I236" t="str">
        <f>modif1!I236</f>
        <v>c</v>
      </c>
      <c r="J236" s="11">
        <f>modif1!J236</f>
        <v>0.19120000000000001</v>
      </c>
      <c r="K236" t="str">
        <f>modif1!K236</f>
        <v>PLA</v>
      </c>
      <c r="L236" t="str">
        <f>modif1!L236</f>
        <v>PM</v>
      </c>
      <c r="M236">
        <f>modif1!M236</f>
        <v>2012</v>
      </c>
      <c r="N236" t="str">
        <f>modif1!N236</f>
        <v>PLA-PM_2012</v>
      </c>
      <c r="O236" t="b">
        <f>modif1!O236</f>
        <v>0</v>
      </c>
      <c r="P236">
        <v>40</v>
      </c>
      <c r="Q236" s="22"/>
      <c r="R236" t="s">
        <v>1803</v>
      </c>
      <c r="V236" t="s">
        <v>1804</v>
      </c>
      <c r="Z236"/>
      <c r="AA236" s="17">
        <f>IF($A236,$J236*(IF(Q236=regle!$B$11,regle!$B$23*IF(AJ236=-2,1+regle!$B$35,1),
IF(Q236=regle!$C$11,regle!$C$23,
IF(Q236=regle!$D$11,regle!$D$23,
IF(Q236=regle!$E$11,regle!$E$23,
IF(Q236=regle!$F$11,regle!$F$23,
IF(Q236=regle!$G$11,regle!$G$23,
IF(Q236=regle!$H$11,regle!$H$23,
IF(Q236=regle!$I$11,regle!$I$23,
IF(Q236=regle!$J$11,regle!$J$23,
IF(Q236=regle!$K$11,regle!$K$23,0))))))))))))</f>
        <v>0</v>
      </c>
      <c r="AB236" s="17">
        <f>IF($A236,$J236*(IF(R236=regle!$B$11,regle!$B$23*IF(AK236=-2,1+regle!$B$35,1),
IF(R236=regle!$C$11,regle!$C$23,
IF(R236=regle!$D$11,regle!$D$23,
IF(R236=regle!$E$11,regle!$E$23,
IF(R236=regle!$F$11,regle!$F$23,
IF(R236=regle!$G$11,regle!$G$23,
IF(R236=regle!$H$11,regle!$H$23,
IF(R236=regle!$I$11,regle!$I$23,
IF(R236=regle!$J$11,regle!$J$23,
IF(R236=regle!$K$11,regle!$K$23,0))))))))))))</f>
        <v>110.13120000000001</v>
      </c>
      <c r="AC236" s="17">
        <f>IF($A236,$J236*(IF(S236=regle!$B$11,regle!$B$23*IF(AL236=-2,1+regle!$B$35,1),
IF(S236=regle!$C$11,regle!$C$23,
IF(S236=regle!$D$11,regle!$D$23,
IF(S236=regle!$E$11,regle!$E$23,
IF(S236=regle!$F$11,regle!$F$23,
IF(S236=regle!$G$11,regle!$G$23,
IF(S236=regle!$H$11,regle!$H$23,
IF(S236=regle!$I$11,regle!$I$23,
IF(S236=regle!$J$11,regle!$J$23,
IF(S236=regle!$K$11,regle!$K$23,0))))))))))))</f>
        <v>0</v>
      </c>
      <c r="AD236" s="17">
        <f>IF($A236,$J236*(IF(T236=regle!$B$11,regle!$B$23*IF(AM236=-2,1+regle!$B$35,1),
IF(T236=regle!$C$11,regle!$C$23,
IF(T236=regle!$D$11,regle!$D$23,
IF(T236=regle!$E$11,regle!$E$23,
IF(T236=regle!$F$11,regle!$F$23,
IF(T236=regle!$G$11,regle!$G$23,
IF(T236=regle!$H$11,regle!$H$23,
IF(T236=regle!$I$11,regle!$I$23,
IF(T236=regle!$J$11,regle!$J$23,
IF(T236=regle!$K$11,regle!$K$23,0))))))))))))</f>
        <v>0</v>
      </c>
      <c r="AE236" s="17">
        <f>IF($A236,$J236*(IF(U236=regle!$B$11,regle!$B$23*IF(AN236=-2,1+regle!$B$35,1),
IF(U236=regle!$C$11,regle!$C$23,
IF(U236=regle!$D$11,regle!$D$23,
IF(U236=regle!$E$11,regle!$E$23,
IF(U236=regle!$F$11,regle!$F$23,
IF(U236=regle!$G$11,regle!$G$23,
IF(U236=regle!$H$11,regle!$H$23,
IF(U236=regle!$I$11,regle!$I$23,
IF(U236=regle!$J$11,regle!$J$23,
IF(U236=regle!$K$11,regle!$K$23,0))))))))))))</f>
        <v>0</v>
      </c>
      <c r="AF236" s="17">
        <f>IF($A236,$J236*(IF(V236=regle!$B$11,regle!$B$23*IF(AO236=-2,1+regle!$B$35,1),
IF(V236=regle!$C$11,regle!$C$23,
IF(V236=regle!$D$11,regle!$D$23,
IF(V236=regle!$E$11,regle!$E$23,
IF(V236=regle!$F$11,regle!$F$23,
IF(V236=regle!$G$11,regle!$G$23,
IF(V236=regle!$H$11,regle!$H$23,
IF(V236=regle!$I$11,regle!$I$23,
IF(V236=regle!$J$11,regle!$J$23,
IF(V236=regle!$K$11,regle!$K$23,0))))))))))))</f>
        <v>160.608</v>
      </c>
      <c r="AG236" s="17">
        <f>IF($A236,$J236*(IF(W236=regle!$B$11,regle!$B$23*IF(AP236=-2,1+regle!$B$35,1),
IF(W236=regle!$C$11,regle!$C$23,
IF(W236=regle!$D$11,regle!$D$23,
IF(W236=regle!$E$11,regle!$E$23,
IF(W236=regle!$F$11,regle!$F$23,
IF(W236=regle!$G$11,regle!$G$23,
IF(W236=regle!$H$11,regle!$H$23,
IF(W236=regle!$I$11,regle!$I$23,
IF(W236=regle!$J$11,regle!$J$23,
IF(W236=regle!$K$11,regle!$K$23,0))))))))))))</f>
        <v>0</v>
      </c>
      <c r="AH236" s="17">
        <f>IF($A236,$J236*(IF(X236=regle!$B$11,regle!$B$23*IF(AQ236=-2,1+regle!$B$35,1),
IF(X236=regle!$C$11,regle!$C$23,
IF(X236=regle!$D$11,regle!$D$23,
IF(X236=regle!$E$11,regle!$E$23,
IF(X236=regle!$F$11,regle!$F$23,
IF(X236=regle!$G$11,regle!$G$23,
IF(X236=regle!$H$11,regle!$H$23,
IF(X236=regle!$I$11,regle!$I$23,
IF(X236=regle!$J$11,regle!$J$23,
IF(X236=regle!$K$11,regle!$K$23,0))))))))))))</f>
        <v>0</v>
      </c>
      <c r="AI236" s="17">
        <f>IF($A236,$J236*(IF(Y236=regle!$B$11,regle!$B$23*IF(AR236=-2,1+regle!$B$35,1),
IF(Y236=regle!$C$11,regle!$C$23,
IF(Y236=regle!$D$11,regle!$D$23,
IF(Y236=regle!$E$11,regle!$E$23,
IF(Y236=regle!$F$11,regle!$F$23,
IF(Y236=regle!$G$11,regle!$G$23,
IF(Y236=regle!$H$11,regle!$H$23,
IF(Y236=regle!$I$11,regle!$I$23,
IF(Y236=regle!$J$11,regle!$J$23,
IF(Y236=regle!$K$11,regle!$K$23,0))))))))))))</f>
        <v>0</v>
      </c>
      <c r="AJ236" s="17">
        <f>IF($A236,$J236*(IF(Z236=regle!$B$11,regle!$B$23*IF(AS236=-2,1+regle!$B$35,1),
IF(Z236=regle!$C$11,regle!$C$23,
IF(Z236=regle!$D$11,regle!$D$23,
IF(Z236=regle!$E$11,regle!$E$23,
IF(Z236=regle!$F$11,regle!$F$23,
IF(Z236=regle!$G$11,regle!$G$23,
IF(Z236=regle!$H$11,regle!$H$23,
IF(Z236=regle!$I$11,regle!$I$23,
IF(Z236=regle!$J$11,regle!$J$23,
IF(Z236=regle!$K$11,regle!$K$23,0))))))))))))</f>
        <v>0</v>
      </c>
      <c r="AK236" s="16">
        <f>IF(OR(Q236=regle!$J$11,Q236=regle!$K$11),-2,IF(Q236=regle!$B$11,0,IF(AK$1=$AK$1,IF($O236,-1,regle!$B$2-$M236),IF(AJ236=-1,-1,AJ236+1))))</f>
        <v>12</v>
      </c>
      <c r="AL236" s="16">
        <f>IF(OR(R236=regle!$J$11,R236=regle!$K$11),-2,IF(R236=regle!$B$11,0,IF(AL$1=$AK$1,IF($O236,-1,regle!$B$2-$M236),IF(AK236=-1,-1,AK236+1))))</f>
        <v>13</v>
      </c>
      <c r="AM236" s="16">
        <f>IF(OR(S236=regle!$J$11,S236=regle!$K$11),-2,IF(S236=regle!$B$11,0,IF(AM$1=$AK$1,IF($O236,-1,regle!$B$2-$M236),IF(AL236=-1,-1,AL236+1))))</f>
        <v>14</v>
      </c>
      <c r="AN236" s="16">
        <f>IF(OR(T236=regle!$J$11,T236=regle!$K$11),-2,IF(T236=regle!$B$11,0,IF(AN$1=$AK$1,IF($O236,-1,regle!$B$2-$M236),IF(AM236=-1,-1,AM236+1))))</f>
        <v>15</v>
      </c>
      <c r="AO236" s="16">
        <f>IF(OR(U236=regle!$J$11,U236=regle!$K$11),-2,IF(U236=regle!$B$11,0,IF(AO$1=$AK$1,IF($O236,-1,regle!$B$2-$M236),IF(AN236=-1,-1,AN236+1))))</f>
        <v>16</v>
      </c>
      <c r="AP236" s="16">
        <f>IF(OR(V236=regle!$J$11,V236=regle!$K$11),-2,IF(V236=regle!$B$11,0,IF(AP$1=$AK$1,IF($O236,-1,regle!$B$2-$M236),IF(AO236=-1,-1,AO236+1))))</f>
        <v>17</v>
      </c>
      <c r="AQ236" s="16">
        <f>IF(OR(W236=regle!$J$11,W236=regle!$K$11),-2,IF(W236=regle!$B$11,0,IF(AQ$1=$AK$1,IF($O236,-1,regle!$B$2-$M236),IF(AP236=-1,-1,AP236+1))))</f>
        <v>18</v>
      </c>
      <c r="AR236" s="16">
        <f>IF(OR(X236=regle!$J$11,X236=regle!$K$11),-2,IF(X236=regle!$B$11,0,IF(AR$1=$AK$1,IF($O236,-1,regle!$B$2-$M236),IF(AQ236=-1,-1,AQ236+1))))</f>
        <v>19</v>
      </c>
      <c r="AS236" s="16">
        <f>IF(OR(Y236=regle!$J$11,Y236=regle!$K$11),-2,IF(Y236=regle!$B$11,0,IF(AS$1=$AK$1,IF($O236,-1,regle!$B$2-$M236),IF(AR236=-1,-1,AR236+1))))</f>
        <v>20</v>
      </c>
      <c r="AT236" s="16">
        <f>IF(OR(Z236=regle!$J$11,Z236=regle!$K$11),-2,IF(Z236=regle!$B$11,0,IF(AT$1=$AK$1,IF($O236,-1,regle!$B$2-$M236),IF(AS236=-1,-1,AS236+1))))</f>
        <v>21</v>
      </c>
    </row>
    <row r="237" spans="1:46" x14ac:dyDescent="0.25">
      <c r="A237" t="b">
        <f>modif1!A237</f>
        <v>1</v>
      </c>
      <c r="B237">
        <f>ROW(modif1!B237)</f>
        <v>237</v>
      </c>
      <c r="C237" t="str">
        <f>modif1!C240</f>
        <v>202</v>
      </c>
      <c r="D237" t="str">
        <f>modif1!D237</f>
        <v>CABANAC-ET-VILLAGRAINS</v>
      </c>
      <c r="E237">
        <f>modif1!E237</f>
        <v>13</v>
      </c>
      <c r="F237" t="str">
        <f>modif1!F237</f>
        <v>LAGUNE LONGUE</v>
      </c>
      <c r="G237" t="str">
        <f>modif1!G237</f>
        <v>0D</v>
      </c>
      <c r="H237">
        <f>modif1!H237</f>
        <v>1510</v>
      </c>
      <c r="I237" t="str">
        <f>modif1!I237</f>
        <v>j</v>
      </c>
      <c r="J237" s="11">
        <f>modif1!J237</f>
        <v>6.6933999999999996</v>
      </c>
      <c r="K237" t="str">
        <f>modif1!K237</f>
        <v>PLA</v>
      </c>
      <c r="L237" t="str">
        <f>modif1!L237</f>
        <v>PM</v>
      </c>
      <c r="M237">
        <f>modif1!M237</f>
        <v>2010</v>
      </c>
      <c r="N237" t="str">
        <f>modif1!N237</f>
        <v>PLA-PM_2010</v>
      </c>
      <c r="O237" t="b">
        <f>modif1!O237</f>
        <v>0</v>
      </c>
      <c r="P237">
        <v>40</v>
      </c>
      <c r="T237" t="s">
        <v>1804</v>
      </c>
      <c r="Y237" s="22"/>
      <c r="Z237" t="s">
        <v>1805</v>
      </c>
      <c r="AA237" s="17">
        <f>IF($A237,$J237*(IF(Q237=regle!$B$11,regle!$B$23*IF(AJ237=-2,1+regle!$B$35,1),
IF(Q237=regle!$C$11,regle!$C$23,
IF(Q237=regle!$D$11,regle!$D$23,
IF(Q237=regle!$E$11,regle!$E$23,
IF(Q237=regle!$F$11,regle!$F$23,
IF(Q237=regle!$G$11,regle!$G$23,
IF(Q237=regle!$H$11,regle!$H$23,
IF(Q237=regle!$I$11,regle!$I$23,
IF(Q237=regle!$J$11,regle!$J$23,
IF(Q237=regle!$K$11,regle!$K$23,0))))))))))))</f>
        <v>0</v>
      </c>
      <c r="AB237" s="17">
        <f>IF($A237,$J237*(IF(R237=regle!$B$11,regle!$B$23*IF(AK237=-2,1+regle!$B$35,1),
IF(R237=regle!$C$11,regle!$C$23,
IF(R237=regle!$D$11,regle!$D$23,
IF(R237=regle!$E$11,regle!$E$23,
IF(R237=regle!$F$11,regle!$F$23,
IF(R237=regle!$G$11,regle!$G$23,
IF(R237=regle!$H$11,regle!$H$23,
IF(R237=regle!$I$11,regle!$I$23,
IF(R237=regle!$J$11,regle!$J$23,
IF(R237=regle!$K$11,regle!$K$23,0))))))))))))</f>
        <v>0</v>
      </c>
      <c r="AC237" s="17">
        <f>IF($A237,$J237*(IF(S237=regle!$B$11,regle!$B$23*IF(AL237=-2,1+regle!$B$35,1),
IF(S237=regle!$C$11,regle!$C$23,
IF(S237=regle!$D$11,regle!$D$23,
IF(S237=regle!$E$11,regle!$E$23,
IF(S237=regle!$F$11,regle!$F$23,
IF(S237=regle!$G$11,regle!$G$23,
IF(S237=regle!$H$11,regle!$H$23,
IF(S237=regle!$I$11,regle!$I$23,
IF(S237=regle!$J$11,regle!$J$23,
IF(S237=regle!$K$11,regle!$K$23,0))))))))))))</f>
        <v>0</v>
      </c>
      <c r="AD237" s="17">
        <f>IF($A237,$J237*(IF(T237=regle!$B$11,regle!$B$23*IF(AM237=-2,1+regle!$B$35,1),
IF(T237=regle!$C$11,regle!$C$23,
IF(T237=regle!$D$11,regle!$D$23,
IF(T237=regle!$E$11,regle!$E$23,
IF(T237=regle!$F$11,regle!$F$23,
IF(T237=regle!$G$11,regle!$G$23,
IF(T237=regle!$H$11,regle!$H$23,
IF(T237=regle!$I$11,regle!$I$23,
IF(T237=regle!$J$11,regle!$J$23,
IF(T237=regle!$K$11,regle!$K$23,0))))))))))))</f>
        <v>5622.4559999999992</v>
      </c>
      <c r="AE237" s="17">
        <f>IF($A237,$J237*(IF(U237=regle!$B$11,regle!$B$23*IF(AN237=-2,1+regle!$B$35,1),
IF(U237=regle!$C$11,regle!$C$23,
IF(U237=regle!$D$11,regle!$D$23,
IF(U237=regle!$E$11,regle!$E$23,
IF(U237=regle!$F$11,regle!$F$23,
IF(U237=regle!$G$11,regle!$G$23,
IF(U237=regle!$H$11,regle!$H$23,
IF(U237=regle!$I$11,regle!$I$23,
IF(U237=regle!$J$11,regle!$J$23,
IF(U237=regle!$K$11,regle!$K$23,0))))))))))))</f>
        <v>0</v>
      </c>
      <c r="AF237" s="17">
        <f>IF($A237,$J237*(IF(V237=regle!$B$11,regle!$B$23*IF(AO237=-2,1+regle!$B$35,1),
IF(V237=regle!$C$11,regle!$C$23,
IF(V237=regle!$D$11,regle!$D$23,
IF(V237=regle!$E$11,regle!$E$23,
IF(V237=regle!$F$11,regle!$F$23,
IF(V237=regle!$G$11,regle!$G$23,
IF(V237=regle!$H$11,regle!$H$23,
IF(V237=regle!$I$11,regle!$I$23,
IF(V237=regle!$J$11,regle!$J$23,
IF(V237=regle!$K$11,regle!$K$23,0))))))))))))</f>
        <v>0</v>
      </c>
      <c r="AG237" s="17">
        <f>IF($A237,$J237*(IF(W237=regle!$B$11,regle!$B$23*IF(AP237=-2,1+regle!$B$35,1),
IF(W237=regle!$C$11,regle!$C$23,
IF(W237=regle!$D$11,regle!$D$23,
IF(W237=regle!$E$11,regle!$E$23,
IF(W237=regle!$F$11,regle!$F$23,
IF(W237=regle!$G$11,regle!$G$23,
IF(W237=regle!$H$11,regle!$H$23,
IF(W237=regle!$I$11,regle!$I$23,
IF(W237=regle!$J$11,regle!$J$23,
IF(W237=regle!$K$11,regle!$K$23,0))))))))))))</f>
        <v>0</v>
      </c>
      <c r="AH237" s="17">
        <f>IF($A237,$J237*(IF(X237=regle!$B$11,regle!$B$23*IF(AQ237=-2,1+regle!$B$35,1),
IF(X237=regle!$C$11,regle!$C$23,
IF(X237=regle!$D$11,regle!$D$23,
IF(X237=regle!$E$11,regle!$E$23,
IF(X237=regle!$F$11,regle!$F$23,
IF(X237=regle!$G$11,regle!$G$23,
IF(X237=regle!$H$11,regle!$H$23,
IF(X237=regle!$I$11,regle!$I$23,
IF(X237=regle!$J$11,regle!$J$23,
IF(X237=regle!$K$11,regle!$K$23,0))))))))))))</f>
        <v>0</v>
      </c>
      <c r="AI237" s="17">
        <f>IF($A237,$J237*(IF(Y237=regle!$B$11,regle!$B$23*IF(AR237=-2,1+regle!$B$35,1),
IF(Y237=regle!$C$11,regle!$C$23,
IF(Y237=regle!$D$11,regle!$D$23,
IF(Y237=regle!$E$11,regle!$E$23,
IF(Y237=regle!$F$11,regle!$F$23,
IF(Y237=regle!$G$11,regle!$G$23,
IF(Y237=regle!$H$11,regle!$H$23,
IF(Y237=regle!$I$11,regle!$I$23,
IF(Y237=regle!$J$11,regle!$J$23,
IF(Y237=regle!$K$11,regle!$K$23,0))))))))))))</f>
        <v>0</v>
      </c>
      <c r="AJ237" s="17">
        <f>IF($A237,$J237*(IF(Z237=regle!$B$11,regle!$B$23*IF(AS237=-2,1+regle!$B$35,1),
IF(Z237=regle!$C$11,regle!$C$23,
IF(Z237=regle!$D$11,regle!$D$23,
IF(Z237=regle!$E$11,regle!$E$23,
IF(Z237=regle!$F$11,regle!$F$23,
IF(Z237=regle!$G$11,regle!$G$23,
IF(Z237=regle!$H$11,regle!$H$23,
IF(Z237=regle!$I$11,regle!$I$23,
IF(Z237=regle!$J$11,regle!$J$23,
IF(Z237=regle!$K$11,regle!$K$23,0))))))))))))</f>
        <v>9424.3071999999993</v>
      </c>
      <c r="AK237" s="16">
        <f>IF(OR(Q237=regle!$J$11,Q237=regle!$K$11),-2,IF(Q237=regle!$B$11,0,IF(AK$1=$AK$1,IF($O237,-1,regle!$B$2-$M237),IF(AJ237=-1,-1,AJ237+1))))</f>
        <v>14</v>
      </c>
      <c r="AL237" s="16">
        <f>IF(OR(R237=regle!$J$11,R237=regle!$K$11),-2,IF(R237=regle!$B$11,0,IF(AL$1=$AK$1,IF($O237,-1,regle!$B$2-$M237),IF(AK237=-1,-1,AK237+1))))</f>
        <v>15</v>
      </c>
      <c r="AM237" s="16">
        <f>IF(OR(S237=regle!$J$11,S237=regle!$K$11),-2,IF(S237=regle!$B$11,0,IF(AM$1=$AK$1,IF($O237,-1,regle!$B$2-$M237),IF(AL237=-1,-1,AL237+1))))</f>
        <v>16</v>
      </c>
      <c r="AN237" s="16">
        <f>IF(OR(T237=regle!$J$11,T237=regle!$K$11),-2,IF(T237=regle!$B$11,0,IF(AN$1=$AK$1,IF($O237,-1,regle!$B$2-$M237),IF(AM237=-1,-1,AM237+1))))</f>
        <v>17</v>
      </c>
      <c r="AO237" s="16">
        <f>IF(OR(U237=regle!$J$11,U237=regle!$K$11),-2,IF(U237=regle!$B$11,0,IF(AO$1=$AK$1,IF($O237,-1,regle!$B$2-$M237),IF(AN237=-1,-1,AN237+1))))</f>
        <v>18</v>
      </c>
      <c r="AP237" s="16">
        <f>IF(OR(V237=regle!$J$11,V237=regle!$K$11),-2,IF(V237=regle!$B$11,0,IF(AP$1=$AK$1,IF($O237,-1,regle!$B$2-$M237),IF(AO237=-1,-1,AO237+1))))</f>
        <v>19</v>
      </c>
      <c r="AQ237" s="16">
        <f>IF(OR(W237=regle!$J$11,W237=regle!$K$11),-2,IF(W237=regle!$B$11,0,IF(AQ$1=$AK$1,IF($O237,-1,regle!$B$2-$M237),IF(AP237=-1,-1,AP237+1))))</f>
        <v>20</v>
      </c>
      <c r="AR237" s="16">
        <f>IF(OR(X237=regle!$J$11,X237=regle!$K$11),-2,IF(X237=regle!$B$11,0,IF(AR$1=$AK$1,IF($O237,-1,regle!$B$2-$M237),IF(AQ237=-1,-1,AQ237+1))))</f>
        <v>21</v>
      </c>
      <c r="AS237" s="16">
        <f>IF(OR(Y237=regle!$J$11,Y237=regle!$K$11),-2,IF(Y237=regle!$B$11,0,IF(AS$1=$AK$1,IF($O237,-1,regle!$B$2-$M237),IF(AR237=-1,-1,AR237+1))))</f>
        <v>22</v>
      </c>
      <c r="AT237" s="16">
        <f>IF(OR(Z237=regle!$J$11,Z237=regle!$K$11),-2,IF(Z237=regle!$B$11,0,IF(AT$1=$AK$1,IF($O237,-1,regle!$B$2-$M237),IF(AS237=-1,-1,AS237+1))))</f>
        <v>23</v>
      </c>
    </row>
    <row r="238" spans="1:46" x14ac:dyDescent="0.25">
      <c r="A238" t="b">
        <f>modif1!A238</f>
        <v>1</v>
      </c>
      <c r="B238">
        <f>ROW(modif1!B238)</f>
        <v>238</v>
      </c>
      <c r="C238" t="str">
        <f>modif1!C241</f>
        <v>077</v>
      </c>
      <c r="D238" t="str">
        <f>modif1!D238</f>
        <v>GUILLOS</v>
      </c>
      <c r="E238">
        <f>modif1!E238</f>
        <v>22</v>
      </c>
      <c r="F238" t="str">
        <f>modif1!F238</f>
        <v>LE TRETIN DES JEANNOTS</v>
      </c>
      <c r="G238" t="str">
        <f>modif1!G238</f>
        <v>0A</v>
      </c>
      <c r="H238">
        <f>modif1!H238</f>
        <v>878</v>
      </c>
      <c r="I238" t="str">
        <f>modif1!I238</f>
        <v>k</v>
      </c>
      <c r="J238" s="11">
        <f>modif1!J238</f>
        <v>2.4525999999999999</v>
      </c>
      <c r="K238" t="str">
        <f>modif1!K238</f>
        <v>PLA</v>
      </c>
      <c r="L238" t="str">
        <f>modif1!L238</f>
        <v>PM</v>
      </c>
      <c r="M238">
        <f>modif1!M238</f>
        <v>2010</v>
      </c>
      <c r="N238" t="str">
        <f>modif1!N238</f>
        <v>PLA-PM_2010</v>
      </c>
      <c r="O238" t="b">
        <f>modif1!O238</f>
        <v>0</v>
      </c>
      <c r="P238">
        <v>40</v>
      </c>
      <c r="T238" t="s">
        <v>1804</v>
      </c>
      <c r="Y238" t="s">
        <v>1805</v>
      </c>
      <c r="Z238"/>
      <c r="AA238" s="17">
        <f>IF($A238,$J238*(IF(Q238=regle!$B$11,regle!$B$23*IF(AJ238=-2,1+regle!$B$35,1),
IF(Q238=regle!$C$11,regle!$C$23,
IF(Q238=regle!$D$11,regle!$D$23,
IF(Q238=regle!$E$11,regle!$E$23,
IF(Q238=regle!$F$11,regle!$F$23,
IF(Q238=regle!$G$11,regle!$G$23,
IF(Q238=regle!$H$11,regle!$H$23,
IF(Q238=regle!$I$11,regle!$I$23,
IF(Q238=regle!$J$11,regle!$J$23,
IF(Q238=regle!$K$11,regle!$K$23,0))))))))))))</f>
        <v>0</v>
      </c>
      <c r="AB238" s="17">
        <f>IF($A238,$J238*(IF(R238=regle!$B$11,regle!$B$23*IF(AK238=-2,1+regle!$B$35,1),
IF(R238=regle!$C$11,regle!$C$23,
IF(R238=regle!$D$11,regle!$D$23,
IF(R238=regle!$E$11,regle!$E$23,
IF(R238=regle!$F$11,regle!$F$23,
IF(R238=regle!$G$11,regle!$G$23,
IF(R238=regle!$H$11,regle!$H$23,
IF(R238=regle!$I$11,regle!$I$23,
IF(R238=regle!$J$11,regle!$J$23,
IF(R238=regle!$K$11,regle!$K$23,0))))))))))))</f>
        <v>0</v>
      </c>
      <c r="AC238" s="17">
        <f>IF($A238,$J238*(IF(S238=regle!$B$11,regle!$B$23*IF(AL238=-2,1+regle!$B$35,1),
IF(S238=regle!$C$11,regle!$C$23,
IF(S238=regle!$D$11,regle!$D$23,
IF(S238=regle!$E$11,regle!$E$23,
IF(S238=regle!$F$11,regle!$F$23,
IF(S238=regle!$G$11,regle!$G$23,
IF(S238=regle!$H$11,regle!$H$23,
IF(S238=regle!$I$11,regle!$I$23,
IF(S238=regle!$J$11,regle!$J$23,
IF(S238=regle!$K$11,regle!$K$23,0))))))))))))</f>
        <v>0</v>
      </c>
      <c r="AD238" s="17">
        <f>IF($A238,$J238*(IF(T238=regle!$B$11,regle!$B$23*IF(AM238=-2,1+regle!$B$35,1),
IF(T238=regle!$C$11,regle!$C$23,
IF(T238=regle!$D$11,regle!$D$23,
IF(T238=regle!$E$11,regle!$E$23,
IF(T238=regle!$F$11,regle!$F$23,
IF(T238=regle!$G$11,regle!$G$23,
IF(T238=regle!$H$11,regle!$H$23,
IF(T238=regle!$I$11,regle!$I$23,
IF(T238=regle!$J$11,regle!$J$23,
IF(T238=regle!$K$11,regle!$K$23,0))))))))))))</f>
        <v>2060.1839999999997</v>
      </c>
      <c r="AE238" s="17">
        <f>IF($A238,$J238*(IF(U238=regle!$B$11,regle!$B$23*IF(AN238=-2,1+regle!$B$35,1),
IF(U238=regle!$C$11,regle!$C$23,
IF(U238=regle!$D$11,regle!$D$23,
IF(U238=regle!$E$11,regle!$E$23,
IF(U238=regle!$F$11,regle!$F$23,
IF(U238=regle!$G$11,regle!$G$23,
IF(U238=regle!$H$11,regle!$H$23,
IF(U238=regle!$I$11,regle!$I$23,
IF(U238=regle!$J$11,regle!$J$23,
IF(U238=regle!$K$11,regle!$K$23,0))))))))))))</f>
        <v>0</v>
      </c>
      <c r="AF238" s="17">
        <f>IF($A238,$J238*(IF(V238=regle!$B$11,regle!$B$23*IF(AO238=-2,1+regle!$B$35,1),
IF(V238=regle!$C$11,regle!$C$23,
IF(V238=regle!$D$11,regle!$D$23,
IF(V238=regle!$E$11,regle!$E$23,
IF(V238=regle!$F$11,regle!$F$23,
IF(V238=regle!$G$11,regle!$G$23,
IF(V238=regle!$H$11,regle!$H$23,
IF(V238=regle!$I$11,regle!$I$23,
IF(V238=regle!$J$11,regle!$J$23,
IF(V238=regle!$K$11,regle!$K$23,0))))))))))))</f>
        <v>0</v>
      </c>
      <c r="AG238" s="17">
        <f>IF($A238,$J238*(IF(W238=regle!$B$11,regle!$B$23*IF(AP238=-2,1+regle!$B$35,1),
IF(W238=regle!$C$11,regle!$C$23,
IF(W238=regle!$D$11,regle!$D$23,
IF(W238=regle!$E$11,regle!$E$23,
IF(W238=regle!$F$11,regle!$F$23,
IF(W238=regle!$G$11,regle!$G$23,
IF(W238=regle!$H$11,regle!$H$23,
IF(W238=regle!$I$11,regle!$I$23,
IF(W238=regle!$J$11,regle!$J$23,
IF(W238=regle!$K$11,regle!$K$23,0))))))))))))</f>
        <v>0</v>
      </c>
      <c r="AH238" s="17">
        <f>IF($A238,$J238*(IF(X238=regle!$B$11,regle!$B$23*IF(AQ238=-2,1+regle!$B$35,1),
IF(X238=regle!$C$11,regle!$C$23,
IF(X238=regle!$D$11,regle!$D$23,
IF(X238=regle!$E$11,regle!$E$23,
IF(X238=regle!$F$11,regle!$F$23,
IF(X238=regle!$G$11,regle!$G$23,
IF(X238=regle!$H$11,regle!$H$23,
IF(X238=regle!$I$11,regle!$I$23,
IF(X238=regle!$J$11,regle!$J$23,
IF(X238=regle!$K$11,regle!$K$23,0))))))))))))</f>
        <v>0</v>
      </c>
      <c r="AI238" s="17">
        <f>IF($A238,$J238*(IF(Y238=regle!$B$11,regle!$B$23*IF(AR238=-2,1+regle!$B$35,1),
IF(Y238=regle!$C$11,regle!$C$23,
IF(Y238=regle!$D$11,regle!$D$23,
IF(Y238=regle!$E$11,regle!$E$23,
IF(Y238=regle!$F$11,regle!$F$23,
IF(Y238=regle!$G$11,regle!$G$23,
IF(Y238=regle!$H$11,regle!$H$23,
IF(Y238=regle!$I$11,regle!$I$23,
IF(Y238=regle!$J$11,regle!$J$23,
IF(Y238=regle!$K$11,regle!$K$23,0))))))))))))</f>
        <v>3453.2608</v>
      </c>
      <c r="AJ238" s="17">
        <f>IF($A238,$J238*(IF(Z238=regle!$B$11,regle!$B$23*IF(AS238=-2,1+regle!$B$35,1),
IF(Z238=regle!$C$11,regle!$C$23,
IF(Z238=regle!$D$11,regle!$D$23,
IF(Z238=regle!$E$11,regle!$E$23,
IF(Z238=regle!$F$11,regle!$F$23,
IF(Z238=regle!$G$11,regle!$G$23,
IF(Z238=regle!$H$11,regle!$H$23,
IF(Z238=regle!$I$11,regle!$I$23,
IF(Z238=regle!$J$11,regle!$J$23,
IF(Z238=regle!$K$11,regle!$K$23,0))))))))))))</f>
        <v>0</v>
      </c>
      <c r="AK238" s="16">
        <f>IF(OR(Q238=regle!$J$11,Q238=regle!$K$11),-2,IF(Q238=regle!$B$11,0,IF(AK$1=$AK$1,IF($O238,-1,regle!$B$2-$M238),IF(AJ238=-1,-1,AJ238+1))))</f>
        <v>14</v>
      </c>
      <c r="AL238" s="16">
        <f>IF(OR(R238=regle!$J$11,R238=regle!$K$11),-2,IF(R238=regle!$B$11,0,IF(AL$1=$AK$1,IF($O238,-1,regle!$B$2-$M238),IF(AK238=-1,-1,AK238+1))))</f>
        <v>15</v>
      </c>
      <c r="AM238" s="16">
        <f>IF(OR(S238=regle!$J$11,S238=regle!$K$11),-2,IF(S238=regle!$B$11,0,IF(AM$1=$AK$1,IF($O238,-1,regle!$B$2-$M238),IF(AL238=-1,-1,AL238+1))))</f>
        <v>16</v>
      </c>
      <c r="AN238" s="16">
        <f>IF(OR(T238=regle!$J$11,T238=regle!$K$11),-2,IF(T238=regle!$B$11,0,IF(AN$1=$AK$1,IF($O238,-1,regle!$B$2-$M238),IF(AM238=-1,-1,AM238+1))))</f>
        <v>17</v>
      </c>
      <c r="AO238" s="16">
        <f>IF(OR(U238=regle!$J$11,U238=regle!$K$11),-2,IF(U238=regle!$B$11,0,IF(AO$1=$AK$1,IF($O238,-1,regle!$B$2-$M238),IF(AN238=-1,-1,AN238+1))))</f>
        <v>18</v>
      </c>
      <c r="AP238" s="16">
        <f>IF(OR(V238=regle!$J$11,V238=regle!$K$11),-2,IF(V238=regle!$B$11,0,IF(AP$1=$AK$1,IF($O238,-1,regle!$B$2-$M238),IF(AO238=-1,-1,AO238+1))))</f>
        <v>19</v>
      </c>
      <c r="AQ238" s="16">
        <f>IF(OR(W238=regle!$J$11,W238=regle!$K$11),-2,IF(W238=regle!$B$11,0,IF(AQ$1=$AK$1,IF($O238,-1,regle!$B$2-$M238),IF(AP238=-1,-1,AP238+1))))</f>
        <v>20</v>
      </c>
      <c r="AR238" s="16">
        <f>IF(OR(X238=regle!$J$11,X238=regle!$K$11),-2,IF(X238=regle!$B$11,0,IF(AR$1=$AK$1,IF($O238,-1,regle!$B$2-$M238),IF(AQ238=-1,-1,AQ238+1))))</f>
        <v>21</v>
      </c>
      <c r="AS238" s="16">
        <f>IF(OR(Y238=regle!$J$11,Y238=regle!$K$11),-2,IF(Y238=regle!$B$11,0,IF(AS$1=$AK$1,IF($O238,-1,regle!$B$2-$M238),IF(AR238=-1,-1,AR238+1))))</f>
        <v>22</v>
      </c>
      <c r="AT238" s="16">
        <f>IF(OR(Z238=regle!$J$11,Z238=regle!$K$11),-2,IF(Z238=regle!$B$11,0,IF(AT$1=$AK$1,IF($O238,-1,regle!$B$2-$M238),IF(AS238=-1,-1,AS238+1))))</f>
        <v>23</v>
      </c>
    </row>
    <row r="239" spans="1:46" x14ac:dyDescent="0.25">
      <c r="A239" t="b">
        <f>modif1!A239</f>
        <v>1</v>
      </c>
      <c r="B239">
        <f>ROW(modif1!B239)</f>
        <v>239</v>
      </c>
      <c r="C239" t="str">
        <f>modif1!C242</f>
        <v>536</v>
      </c>
      <c r="D239" t="str">
        <f>modif1!D239</f>
        <v>CABANAC-ET-VILLAGRAINS</v>
      </c>
      <c r="E239">
        <f>modif1!E239</f>
        <v>13</v>
      </c>
      <c r="F239" t="str">
        <f>modif1!F239</f>
        <v>LAGUNE LONGUE</v>
      </c>
      <c r="G239" t="str">
        <f>modif1!G239</f>
        <v>0D</v>
      </c>
      <c r="H239">
        <f>modif1!H239</f>
        <v>1511</v>
      </c>
      <c r="I239" t="str">
        <f>modif1!I239</f>
        <v>j</v>
      </c>
      <c r="J239" s="11">
        <f>modif1!J239</f>
        <v>2.1859999999999999</v>
      </c>
      <c r="K239" t="str">
        <f>modif1!K239</f>
        <v>PLA</v>
      </c>
      <c r="L239" t="str">
        <f>modif1!L239</f>
        <v>PM</v>
      </c>
      <c r="M239">
        <f>modif1!M239</f>
        <v>2010</v>
      </c>
      <c r="N239" t="str">
        <f>modif1!N239</f>
        <v>PLA-PM_2010</v>
      </c>
      <c r="O239" t="b">
        <f>modif1!O239</f>
        <v>0</v>
      </c>
      <c r="P239">
        <v>40</v>
      </c>
      <c r="T239" t="s">
        <v>1804</v>
      </c>
      <c r="Y239" t="s">
        <v>1805</v>
      </c>
      <c r="Z239"/>
      <c r="AA239" s="17">
        <f>IF($A239,$J239*(IF(Q239=regle!$B$11,regle!$B$23*IF(AJ239=-2,1+regle!$B$35,1),
IF(Q239=regle!$C$11,regle!$C$23,
IF(Q239=regle!$D$11,regle!$D$23,
IF(Q239=regle!$E$11,regle!$E$23,
IF(Q239=regle!$F$11,regle!$F$23,
IF(Q239=regle!$G$11,regle!$G$23,
IF(Q239=regle!$H$11,regle!$H$23,
IF(Q239=regle!$I$11,regle!$I$23,
IF(Q239=regle!$J$11,regle!$J$23,
IF(Q239=regle!$K$11,regle!$K$23,0))))))))))))</f>
        <v>0</v>
      </c>
      <c r="AB239" s="17">
        <f>IF($A239,$J239*(IF(R239=regle!$B$11,regle!$B$23*IF(AK239=-2,1+regle!$B$35,1),
IF(R239=regle!$C$11,regle!$C$23,
IF(R239=regle!$D$11,regle!$D$23,
IF(R239=regle!$E$11,regle!$E$23,
IF(R239=regle!$F$11,regle!$F$23,
IF(R239=regle!$G$11,regle!$G$23,
IF(R239=regle!$H$11,regle!$H$23,
IF(R239=regle!$I$11,regle!$I$23,
IF(R239=regle!$J$11,regle!$J$23,
IF(R239=regle!$K$11,regle!$K$23,0))))))))))))</f>
        <v>0</v>
      </c>
      <c r="AC239" s="17">
        <f>IF($A239,$J239*(IF(S239=regle!$B$11,regle!$B$23*IF(AL239=-2,1+regle!$B$35,1),
IF(S239=regle!$C$11,regle!$C$23,
IF(S239=regle!$D$11,regle!$D$23,
IF(S239=regle!$E$11,regle!$E$23,
IF(S239=regle!$F$11,regle!$F$23,
IF(S239=regle!$G$11,regle!$G$23,
IF(S239=regle!$H$11,regle!$H$23,
IF(S239=regle!$I$11,regle!$I$23,
IF(S239=regle!$J$11,regle!$J$23,
IF(S239=regle!$K$11,regle!$K$23,0))))))))))))</f>
        <v>0</v>
      </c>
      <c r="AD239" s="17">
        <f>IF($A239,$J239*(IF(T239=regle!$B$11,regle!$B$23*IF(AM239=-2,1+regle!$B$35,1),
IF(T239=regle!$C$11,regle!$C$23,
IF(T239=regle!$D$11,regle!$D$23,
IF(T239=regle!$E$11,regle!$E$23,
IF(T239=regle!$F$11,regle!$F$23,
IF(T239=regle!$G$11,regle!$G$23,
IF(T239=regle!$H$11,regle!$H$23,
IF(T239=regle!$I$11,regle!$I$23,
IF(T239=regle!$J$11,regle!$J$23,
IF(T239=regle!$K$11,regle!$K$23,0))))))))))))</f>
        <v>1836.24</v>
      </c>
      <c r="AE239" s="17">
        <f>IF($A239,$J239*(IF(U239=regle!$B$11,regle!$B$23*IF(AN239=-2,1+regle!$B$35,1),
IF(U239=regle!$C$11,regle!$C$23,
IF(U239=regle!$D$11,regle!$D$23,
IF(U239=regle!$E$11,regle!$E$23,
IF(U239=regle!$F$11,regle!$F$23,
IF(U239=regle!$G$11,regle!$G$23,
IF(U239=regle!$H$11,regle!$H$23,
IF(U239=regle!$I$11,regle!$I$23,
IF(U239=regle!$J$11,regle!$J$23,
IF(U239=regle!$K$11,regle!$K$23,0))))))))))))</f>
        <v>0</v>
      </c>
      <c r="AF239" s="17">
        <f>IF($A239,$J239*(IF(V239=regle!$B$11,regle!$B$23*IF(AO239=-2,1+regle!$B$35,1),
IF(V239=regle!$C$11,regle!$C$23,
IF(V239=regle!$D$11,regle!$D$23,
IF(V239=regle!$E$11,regle!$E$23,
IF(V239=regle!$F$11,regle!$F$23,
IF(V239=regle!$G$11,regle!$G$23,
IF(V239=regle!$H$11,regle!$H$23,
IF(V239=regle!$I$11,regle!$I$23,
IF(V239=regle!$J$11,regle!$J$23,
IF(V239=regle!$K$11,regle!$K$23,0))))))))))))</f>
        <v>0</v>
      </c>
      <c r="AG239" s="17">
        <f>IF($A239,$J239*(IF(W239=regle!$B$11,regle!$B$23*IF(AP239=-2,1+regle!$B$35,1),
IF(W239=regle!$C$11,regle!$C$23,
IF(W239=regle!$D$11,regle!$D$23,
IF(W239=regle!$E$11,regle!$E$23,
IF(W239=regle!$F$11,regle!$F$23,
IF(W239=regle!$G$11,regle!$G$23,
IF(W239=regle!$H$11,regle!$H$23,
IF(W239=regle!$I$11,regle!$I$23,
IF(W239=regle!$J$11,regle!$J$23,
IF(W239=regle!$K$11,regle!$K$23,0))))))))))))</f>
        <v>0</v>
      </c>
      <c r="AH239" s="17">
        <f>IF($A239,$J239*(IF(X239=regle!$B$11,regle!$B$23*IF(AQ239=-2,1+regle!$B$35,1),
IF(X239=regle!$C$11,regle!$C$23,
IF(X239=regle!$D$11,regle!$D$23,
IF(X239=regle!$E$11,regle!$E$23,
IF(X239=regle!$F$11,regle!$F$23,
IF(X239=regle!$G$11,regle!$G$23,
IF(X239=regle!$H$11,regle!$H$23,
IF(X239=regle!$I$11,regle!$I$23,
IF(X239=regle!$J$11,regle!$J$23,
IF(X239=regle!$K$11,regle!$K$23,0))))))))))))</f>
        <v>0</v>
      </c>
      <c r="AI239" s="17">
        <f>IF($A239,$J239*(IF(Y239=regle!$B$11,regle!$B$23*IF(AR239=-2,1+regle!$B$35,1),
IF(Y239=regle!$C$11,regle!$C$23,
IF(Y239=regle!$D$11,regle!$D$23,
IF(Y239=regle!$E$11,regle!$E$23,
IF(Y239=regle!$F$11,regle!$F$23,
IF(Y239=regle!$G$11,regle!$G$23,
IF(Y239=regle!$H$11,regle!$H$23,
IF(Y239=regle!$I$11,regle!$I$23,
IF(Y239=regle!$J$11,regle!$J$23,
IF(Y239=regle!$K$11,regle!$K$23,0))))))))))))</f>
        <v>3077.8879999999999</v>
      </c>
      <c r="AJ239" s="17">
        <f>IF($A239,$J239*(IF(Z239=regle!$B$11,regle!$B$23*IF(AS239=-2,1+regle!$B$35,1),
IF(Z239=regle!$C$11,regle!$C$23,
IF(Z239=regle!$D$11,regle!$D$23,
IF(Z239=regle!$E$11,regle!$E$23,
IF(Z239=regle!$F$11,regle!$F$23,
IF(Z239=regle!$G$11,regle!$G$23,
IF(Z239=regle!$H$11,regle!$H$23,
IF(Z239=regle!$I$11,regle!$I$23,
IF(Z239=regle!$J$11,regle!$J$23,
IF(Z239=regle!$K$11,regle!$K$23,0))))))))))))</f>
        <v>0</v>
      </c>
      <c r="AK239" s="16">
        <f>IF(OR(Q239=regle!$J$11,Q239=regle!$K$11),-2,IF(Q239=regle!$B$11,0,IF(AK$1=$AK$1,IF($O239,-1,regle!$B$2-$M239),IF(AJ239=-1,-1,AJ239+1))))</f>
        <v>14</v>
      </c>
      <c r="AL239" s="16">
        <f>IF(OR(R239=regle!$J$11,R239=regle!$K$11),-2,IF(R239=regle!$B$11,0,IF(AL$1=$AK$1,IF($O239,-1,regle!$B$2-$M239),IF(AK239=-1,-1,AK239+1))))</f>
        <v>15</v>
      </c>
      <c r="AM239" s="16">
        <f>IF(OR(S239=regle!$J$11,S239=regle!$K$11),-2,IF(S239=regle!$B$11,0,IF(AM$1=$AK$1,IF($O239,-1,regle!$B$2-$M239),IF(AL239=-1,-1,AL239+1))))</f>
        <v>16</v>
      </c>
      <c r="AN239" s="16">
        <f>IF(OR(T239=regle!$J$11,T239=regle!$K$11),-2,IF(T239=regle!$B$11,0,IF(AN$1=$AK$1,IF($O239,-1,regle!$B$2-$M239),IF(AM239=-1,-1,AM239+1))))</f>
        <v>17</v>
      </c>
      <c r="AO239" s="16">
        <f>IF(OR(U239=regle!$J$11,U239=regle!$K$11),-2,IF(U239=regle!$B$11,0,IF(AO$1=$AK$1,IF($O239,-1,regle!$B$2-$M239),IF(AN239=-1,-1,AN239+1))))</f>
        <v>18</v>
      </c>
      <c r="AP239" s="16">
        <f>IF(OR(V239=regle!$J$11,V239=regle!$K$11),-2,IF(V239=regle!$B$11,0,IF(AP$1=$AK$1,IF($O239,-1,regle!$B$2-$M239),IF(AO239=-1,-1,AO239+1))))</f>
        <v>19</v>
      </c>
      <c r="AQ239" s="16">
        <f>IF(OR(W239=regle!$J$11,W239=regle!$K$11),-2,IF(W239=regle!$B$11,0,IF(AQ$1=$AK$1,IF($O239,-1,regle!$B$2-$M239),IF(AP239=-1,-1,AP239+1))))</f>
        <v>20</v>
      </c>
      <c r="AR239" s="16">
        <f>IF(OR(X239=regle!$J$11,X239=regle!$K$11),-2,IF(X239=regle!$B$11,0,IF(AR$1=$AK$1,IF($O239,-1,regle!$B$2-$M239),IF(AQ239=-1,-1,AQ239+1))))</f>
        <v>21</v>
      </c>
      <c r="AS239" s="16">
        <f>IF(OR(Y239=regle!$J$11,Y239=regle!$K$11),-2,IF(Y239=regle!$B$11,0,IF(AS$1=$AK$1,IF($O239,-1,regle!$B$2-$M239),IF(AR239=-1,-1,AR239+1))))</f>
        <v>22</v>
      </c>
      <c r="AT239" s="16">
        <f>IF(OR(Z239=regle!$J$11,Z239=regle!$K$11),-2,IF(Z239=regle!$B$11,0,IF(AT$1=$AK$1,IF($O239,-1,regle!$B$2-$M239),IF(AS239=-1,-1,AS239+1))))</f>
        <v>23</v>
      </c>
    </row>
    <row r="240" spans="1:46" x14ac:dyDescent="0.25">
      <c r="A240" t="b">
        <f>modif1!A240</f>
        <v>1</v>
      </c>
      <c r="B240">
        <f>ROW(modif1!B240)</f>
        <v>240</v>
      </c>
      <c r="C240" t="str">
        <f>modif1!C243</f>
        <v>536</v>
      </c>
      <c r="D240" t="str">
        <f>modif1!D240</f>
        <v>HOSTENS</v>
      </c>
      <c r="E240">
        <f>modif1!E240</f>
        <v>11</v>
      </c>
      <c r="F240" t="str">
        <f>modif1!F240</f>
        <v>LES CAZALAS</v>
      </c>
      <c r="G240" t="str">
        <f>modif1!G240</f>
        <v>0B</v>
      </c>
      <c r="H240">
        <f>modif1!H240</f>
        <v>1145</v>
      </c>
      <c r="I240" t="str">
        <f>modif1!I240</f>
        <v>j</v>
      </c>
      <c r="J240" s="11">
        <f>modif1!J240</f>
        <v>1.1646000000000001</v>
      </c>
      <c r="K240" t="str">
        <f>modif1!K240</f>
        <v>SN</v>
      </c>
      <c r="L240" t="str">
        <f>modif1!L240</f>
        <v>PM</v>
      </c>
      <c r="M240">
        <f>modif1!M240</f>
        <v>2010</v>
      </c>
      <c r="N240" t="str">
        <f>modif1!N240</f>
        <v>SN-PM_2010</v>
      </c>
      <c r="O240" t="b">
        <f>modif1!O240</f>
        <v>0</v>
      </c>
      <c r="P240">
        <v>40</v>
      </c>
      <c r="T240" t="s">
        <v>1804</v>
      </c>
      <c r="Y240" t="s">
        <v>1805</v>
      </c>
      <c r="Z240"/>
      <c r="AA240" s="17">
        <f>IF($A240,$J240*(IF(Q240=regle!$B$11,regle!$B$23*IF(AJ240=-2,1+regle!$B$35,1),
IF(Q240=regle!$C$11,regle!$C$23,
IF(Q240=regle!$D$11,regle!$D$23,
IF(Q240=regle!$E$11,regle!$E$23,
IF(Q240=regle!$F$11,regle!$F$23,
IF(Q240=regle!$G$11,regle!$G$23,
IF(Q240=regle!$H$11,regle!$H$23,
IF(Q240=regle!$I$11,regle!$I$23,
IF(Q240=regle!$J$11,regle!$J$23,
IF(Q240=regle!$K$11,regle!$K$23,0))))))))))))</f>
        <v>0</v>
      </c>
      <c r="AB240" s="17">
        <f>IF($A240,$J240*(IF(R240=regle!$B$11,regle!$B$23*IF(AK240=-2,1+regle!$B$35,1),
IF(R240=regle!$C$11,regle!$C$23,
IF(R240=regle!$D$11,regle!$D$23,
IF(R240=regle!$E$11,regle!$E$23,
IF(R240=regle!$F$11,regle!$F$23,
IF(R240=regle!$G$11,regle!$G$23,
IF(R240=regle!$H$11,regle!$H$23,
IF(R240=regle!$I$11,regle!$I$23,
IF(R240=regle!$J$11,regle!$J$23,
IF(R240=regle!$K$11,regle!$K$23,0))))))))))))</f>
        <v>0</v>
      </c>
      <c r="AC240" s="17">
        <f>IF($A240,$J240*(IF(S240=regle!$B$11,regle!$B$23*IF(AL240=-2,1+regle!$B$35,1),
IF(S240=regle!$C$11,regle!$C$23,
IF(S240=regle!$D$11,regle!$D$23,
IF(S240=regle!$E$11,regle!$E$23,
IF(S240=regle!$F$11,regle!$F$23,
IF(S240=regle!$G$11,regle!$G$23,
IF(S240=regle!$H$11,regle!$H$23,
IF(S240=regle!$I$11,regle!$I$23,
IF(S240=regle!$J$11,regle!$J$23,
IF(S240=regle!$K$11,regle!$K$23,0))))))))))))</f>
        <v>0</v>
      </c>
      <c r="AD240" s="17">
        <f>IF($A240,$J240*(IF(T240=regle!$B$11,regle!$B$23*IF(AM240=-2,1+regle!$B$35,1),
IF(T240=regle!$C$11,regle!$C$23,
IF(T240=regle!$D$11,regle!$D$23,
IF(T240=regle!$E$11,regle!$E$23,
IF(T240=regle!$F$11,regle!$F$23,
IF(T240=regle!$G$11,regle!$G$23,
IF(T240=regle!$H$11,regle!$H$23,
IF(T240=regle!$I$11,regle!$I$23,
IF(T240=regle!$J$11,regle!$J$23,
IF(T240=regle!$K$11,regle!$K$23,0))))))))))))</f>
        <v>978.26400000000012</v>
      </c>
      <c r="AE240" s="17">
        <f>IF($A240,$J240*(IF(U240=regle!$B$11,regle!$B$23*IF(AN240=-2,1+regle!$B$35,1),
IF(U240=regle!$C$11,regle!$C$23,
IF(U240=regle!$D$11,regle!$D$23,
IF(U240=regle!$E$11,regle!$E$23,
IF(U240=regle!$F$11,regle!$F$23,
IF(U240=regle!$G$11,regle!$G$23,
IF(U240=regle!$H$11,regle!$H$23,
IF(U240=regle!$I$11,regle!$I$23,
IF(U240=regle!$J$11,regle!$J$23,
IF(U240=regle!$K$11,regle!$K$23,0))))))))))))</f>
        <v>0</v>
      </c>
      <c r="AF240" s="17">
        <f>IF($A240,$J240*(IF(V240=regle!$B$11,regle!$B$23*IF(AO240=-2,1+regle!$B$35,1),
IF(V240=regle!$C$11,regle!$C$23,
IF(V240=regle!$D$11,regle!$D$23,
IF(V240=regle!$E$11,regle!$E$23,
IF(V240=regle!$F$11,regle!$F$23,
IF(V240=regle!$G$11,regle!$G$23,
IF(V240=regle!$H$11,regle!$H$23,
IF(V240=regle!$I$11,regle!$I$23,
IF(V240=regle!$J$11,regle!$J$23,
IF(V240=regle!$K$11,regle!$K$23,0))))))))))))</f>
        <v>0</v>
      </c>
      <c r="AG240" s="17">
        <f>IF($A240,$J240*(IF(W240=regle!$B$11,regle!$B$23*IF(AP240=-2,1+regle!$B$35,1),
IF(W240=regle!$C$11,regle!$C$23,
IF(W240=regle!$D$11,regle!$D$23,
IF(W240=regle!$E$11,regle!$E$23,
IF(W240=regle!$F$11,regle!$F$23,
IF(W240=regle!$G$11,regle!$G$23,
IF(W240=regle!$H$11,regle!$H$23,
IF(W240=regle!$I$11,regle!$I$23,
IF(W240=regle!$J$11,regle!$J$23,
IF(W240=regle!$K$11,regle!$K$23,0))))))))))))</f>
        <v>0</v>
      </c>
      <c r="AH240" s="17">
        <f>IF($A240,$J240*(IF(X240=regle!$B$11,regle!$B$23*IF(AQ240=-2,1+regle!$B$35,1),
IF(X240=regle!$C$11,regle!$C$23,
IF(X240=regle!$D$11,regle!$D$23,
IF(X240=regle!$E$11,regle!$E$23,
IF(X240=regle!$F$11,regle!$F$23,
IF(X240=regle!$G$11,regle!$G$23,
IF(X240=regle!$H$11,regle!$H$23,
IF(X240=regle!$I$11,regle!$I$23,
IF(X240=regle!$J$11,regle!$J$23,
IF(X240=regle!$K$11,regle!$K$23,0))))))))))))</f>
        <v>0</v>
      </c>
      <c r="AI240" s="17">
        <f>IF($A240,$J240*(IF(Y240=regle!$B$11,regle!$B$23*IF(AR240=-2,1+regle!$B$35,1),
IF(Y240=regle!$C$11,regle!$C$23,
IF(Y240=regle!$D$11,regle!$D$23,
IF(Y240=regle!$E$11,regle!$E$23,
IF(Y240=regle!$F$11,regle!$F$23,
IF(Y240=regle!$G$11,regle!$G$23,
IF(Y240=regle!$H$11,regle!$H$23,
IF(Y240=regle!$I$11,regle!$I$23,
IF(Y240=regle!$J$11,regle!$J$23,
IF(Y240=regle!$K$11,regle!$K$23,0))))))))))))</f>
        <v>1639.7568000000001</v>
      </c>
      <c r="AJ240" s="17">
        <f>IF($A240,$J240*(IF(Z240=regle!$B$11,regle!$B$23*IF(AS240=-2,1+regle!$B$35,1),
IF(Z240=regle!$C$11,regle!$C$23,
IF(Z240=regle!$D$11,regle!$D$23,
IF(Z240=regle!$E$11,regle!$E$23,
IF(Z240=regle!$F$11,regle!$F$23,
IF(Z240=regle!$G$11,regle!$G$23,
IF(Z240=regle!$H$11,regle!$H$23,
IF(Z240=regle!$I$11,regle!$I$23,
IF(Z240=regle!$J$11,regle!$J$23,
IF(Z240=regle!$K$11,regle!$K$23,0))))))))))))</f>
        <v>0</v>
      </c>
      <c r="AK240" s="16">
        <f>IF(OR(Q240=regle!$J$11,Q240=regle!$K$11),-2,IF(Q240=regle!$B$11,0,IF(AK$1=$AK$1,IF($O240,-1,regle!$B$2-$M240),IF(AJ240=-1,-1,AJ240+1))))</f>
        <v>14</v>
      </c>
      <c r="AL240" s="16">
        <f>IF(OR(R240=regle!$J$11,R240=regle!$K$11),-2,IF(R240=regle!$B$11,0,IF(AL$1=$AK$1,IF($O240,-1,regle!$B$2-$M240),IF(AK240=-1,-1,AK240+1))))</f>
        <v>15</v>
      </c>
      <c r="AM240" s="16">
        <f>IF(OR(S240=regle!$J$11,S240=regle!$K$11),-2,IF(S240=regle!$B$11,0,IF(AM$1=$AK$1,IF($O240,-1,regle!$B$2-$M240),IF(AL240=-1,-1,AL240+1))))</f>
        <v>16</v>
      </c>
      <c r="AN240" s="16">
        <f>IF(OR(T240=regle!$J$11,T240=regle!$K$11),-2,IF(T240=regle!$B$11,0,IF(AN$1=$AK$1,IF($O240,-1,regle!$B$2-$M240),IF(AM240=-1,-1,AM240+1))))</f>
        <v>17</v>
      </c>
      <c r="AO240" s="16">
        <f>IF(OR(U240=regle!$J$11,U240=regle!$K$11),-2,IF(U240=regle!$B$11,0,IF(AO$1=$AK$1,IF($O240,-1,regle!$B$2-$M240),IF(AN240=-1,-1,AN240+1))))</f>
        <v>18</v>
      </c>
      <c r="AP240" s="16">
        <f>IF(OR(V240=regle!$J$11,V240=regle!$K$11),-2,IF(V240=regle!$B$11,0,IF(AP$1=$AK$1,IF($O240,-1,regle!$B$2-$M240),IF(AO240=-1,-1,AO240+1))))</f>
        <v>19</v>
      </c>
      <c r="AQ240" s="16">
        <f>IF(OR(W240=regle!$J$11,W240=regle!$K$11),-2,IF(W240=regle!$B$11,0,IF(AQ$1=$AK$1,IF($O240,-1,regle!$B$2-$M240),IF(AP240=-1,-1,AP240+1))))</f>
        <v>20</v>
      </c>
      <c r="AR240" s="16">
        <f>IF(OR(X240=regle!$J$11,X240=regle!$K$11),-2,IF(X240=regle!$B$11,0,IF(AR$1=$AK$1,IF($O240,-1,regle!$B$2-$M240),IF(AQ240=-1,-1,AQ240+1))))</f>
        <v>21</v>
      </c>
      <c r="AS240" s="16">
        <f>IF(OR(Y240=regle!$J$11,Y240=regle!$K$11),-2,IF(Y240=regle!$B$11,0,IF(AS$1=$AK$1,IF($O240,-1,regle!$B$2-$M240),IF(AR240=-1,-1,AR240+1))))</f>
        <v>22</v>
      </c>
      <c r="AT240" s="16">
        <f>IF(OR(Z240=regle!$J$11,Z240=regle!$K$11),-2,IF(Z240=regle!$B$11,0,IF(AT$1=$AK$1,IF($O240,-1,regle!$B$2-$M240),IF(AS240=-1,-1,AS240+1))))</f>
        <v>23</v>
      </c>
    </row>
    <row r="241" spans="1:46" x14ac:dyDescent="0.25">
      <c r="A241" t="b">
        <f>modif1!A241</f>
        <v>1</v>
      </c>
      <c r="B241">
        <f>ROW(modif1!B241)</f>
        <v>241</v>
      </c>
      <c r="C241" t="str">
        <f>modif1!C244</f>
        <v>536</v>
      </c>
      <c r="D241" t="str">
        <f>modif1!D241</f>
        <v>CABANAC-ET-VILLAGRAINS</v>
      </c>
      <c r="E241">
        <f>modif1!E241</f>
        <v>13</v>
      </c>
      <c r="F241" t="str">
        <f>modif1!F241</f>
        <v>LAGUNE LONGUE</v>
      </c>
      <c r="G241" t="str">
        <f>modif1!G241</f>
        <v>0D</v>
      </c>
      <c r="H241">
        <f>modif1!H241</f>
        <v>1511</v>
      </c>
      <c r="I241" t="str">
        <f>modif1!I241</f>
        <v>o</v>
      </c>
      <c r="J241" s="11">
        <f>modif1!J241</f>
        <v>0.33829999999999999</v>
      </c>
      <c r="K241" t="str">
        <f>modif1!K241</f>
        <v>PLA</v>
      </c>
      <c r="L241" t="str">
        <f>modif1!L241</f>
        <v>PM</v>
      </c>
      <c r="M241">
        <f>modif1!M241</f>
        <v>2010</v>
      </c>
      <c r="N241" t="str">
        <f>modif1!N241</f>
        <v>PLA-PM_2010</v>
      </c>
      <c r="O241" t="b">
        <f>modif1!O241</f>
        <v>0</v>
      </c>
      <c r="P241">
        <v>40</v>
      </c>
      <c r="T241" t="s">
        <v>1804</v>
      </c>
      <c r="Y241" t="s">
        <v>1805</v>
      </c>
      <c r="Z241"/>
      <c r="AA241" s="17">
        <f>IF($A241,$J241*(IF(Q241=regle!$B$11,regle!$B$23*IF(AJ241=-2,1+regle!$B$35,1),
IF(Q241=regle!$C$11,regle!$C$23,
IF(Q241=regle!$D$11,regle!$D$23,
IF(Q241=regle!$E$11,regle!$E$23,
IF(Q241=regle!$F$11,regle!$F$23,
IF(Q241=regle!$G$11,regle!$G$23,
IF(Q241=regle!$H$11,regle!$H$23,
IF(Q241=regle!$I$11,regle!$I$23,
IF(Q241=regle!$J$11,regle!$J$23,
IF(Q241=regle!$K$11,regle!$K$23,0))))))))))))</f>
        <v>0</v>
      </c>
      <c r="AB241" s="17">
        <f>IF($A241,$J241*(IF(R241=regle!$B$11,regle!$B$23*IF(AK241=-2,1+regle!$B$35,1),
IF(R241=regle!$C$11,regle!$C$23,
IF(R241=regle!$D$11,regle!$D$23,
IF(R241=regle!$E$11,regle!$E$23,
IF(R241=regle!$F$11,regle!$F$23,
IF(R241=regle!$G$11,regle!$G$23,
IF(R241=regle!$H$11,regle!$H$23,
IF(R241=regle!$I$11,regle!$I$23,
IF(R241=regle!$J$11,regle!$J$23,
IF(R241=regle!$K$11,regle!$K$23,0))))))))))))</f>
        <v>0</v>
      </c>
      <c r="AC241" s="17">
        <f>IF($A241,$J241*(IF(S241=regle!$B$11,regle!$B$23*IF(AL241=-2,1+regle!$B$35,1),
IF(S241=regle!$C$11,regle!$C$23,
IF(S241=regle!$D$11,regle!$D$23,
IF(S241=regle!$E$11,regle!$E$23,
IF(S241=regle!$F$11,regle!$F$23,
IF(S241=regle!$G$11,regle!$G$23,
IF(S241=regle!$H$11,regle!$H$23,
IF(S241=regle!$I$11,regle!$I$23,
IF(S241=regle!$J$11,regle!$J$23,
IF(S241=regle!$K$11,regle!$K$23,0))))))))))))</f>
        <v>0</v>
      </c>
      <c r="AD241" s="17">
        <f>IF($A241,$J241*(IF(T241=regle!$B$11,regle!$B$23*IF(AM241=-2,1+regle!$B$35,1),
IF(T241=regle!$C$11,regle!$C$23,
IF(T241=regle!$D$11,regle!$D$23,
IF(T241=regle!$E$11,regle!$E$23,
IF(T241=regle!$F$11,regle!$F$23,
IF(T241=regle!$G$11,regle!$G$23,
IF(T241=regle!$H$11,regle!$H$23,
IF(T241=regle!$I$11,regle!$I$23,
IF(T241=regle!$J$11,regle!$J$23,
IF(T241=regle!$K$11,regle!$K$23,0))))))))))))</f>
        <v>284.17199999999997</v>
      </c>
      <c r="AE241" s="17">
        <f>IF($A241,$J241*(IF(U241=regle!$B$11,regle!$B$23*IF(AN241=-2,1+regle!$B$35,1),
IF(U241=regle!$C$11,regle!$C$23,
IF(U241=regle!$D$11,regle!$D$23,
IF(U241=regle!$E$11,regle!$E$23,
IF(U241=regle!$F$11,regle!$F$23,
IF(U241=regle!$G$11,regle!$G$23,
IF(U241=regle!$H$11,regle!$H$23,
IF(U241=regle!$I$11,regle!$I$23,
IF(U241=regle!$J$11,regle!$J$23,
IF(U241=regle!$K$11,regle!$K$23,0))))))))))))</f>
        <v>0</v>
      </c>
      <c r="AF241" s="17">
        <f>IF($A241,$J241*(IF(V241=regle!$B$11,regle!$B$23*IF(AO241=-2,1+regle!$B$35,1),
IF(V241=regle!$C$11,regle!$C$23,
IF(V241=regle!$D$11,regle!$D$23,
IF(V241=regle!$E$11,regle!$E$23,
IF(V241=regle!$F$11,regle!$F$23,
IF(V241=regle!$G$11,regle!$G$23,
IF(V241=regle!$H$11,regle!$H$23,
IF(V241=regle!$I$11,regle!$I$23,
IF(V241=regle!$J$11,regle!$J$23,
IF(V241=regle!$K$11,regle!$K$23,0))))))))))))</f>
        <v>0</v>
      </c>
      <c r="AG241" s="17">
        <f>IF($A241,$J241*(IF(W241=regle!$B$11,regle!$B$23*IF(AP241=-2,1+regle!$B$35,1),
IF(W241=regle!$C$11,regle!$C$23,
IF(W241=regle!$D$11,regle!$D$23,
IF(W241=regle!$E$11,regle!$E$23,
IF(W241=regle!$F$11,regle!$F$23,
IF(W241=regle!$G$11,regle!$G$23,
IF(W241=regle!$H$11,regle!$H$23,
IF(W241=regle!$I$11,regle!$I$23,
IF(W241=regle!$J$11,regle!$J$23,
IF(W241=regle!$K$11,regle!$K$23,0))))))))))))</f>
        <v>0</v>
      </c>
      <c r="AH241" s="17">
        <f>IF($A241,$J241*(IF(X241=regle!$B$11,regle!$B$23*IF(AQ241=-2,1+regle!$B$35,1),
IF(X241=regle!$C$11,regle!$C$23,
IF(X241=regle!$D$11,regle!$D$23,
IF(X241=regle!$E$11,regle!$E$23,
IF(X241=regle!$F$11,regle!$F$23,
IF(X241=regle!$G$11,regle!$G$23,
IF(X241=regle!$H$11,regle!$H$23,
IF(X241=regle!$I$11,regle!$I$23,
IF(X241=regle!$J$11,regle!$J$23,
IF(X241=regle!$K$11,regle!$K$23,0))))))))))))</f>
        <v>0</v>
      </c>
      <c r="AI241" s="17">
        <f>IF($A241,$J241*(IF(Y241=regle!$B$11,regle!$B$23*IF(AR241=-2,1+regle!$B$35,1),
IF(Y241=regle!$C$11,regle!$C$23,
IF(Y241=regle!$D$11,regle!$D$23,
IF(Y241=regle!$E$11,regle!$E$23,
IF(Y241=regle!$F$11,regle!$F$23,
IF(Y241=regle!$G$11,regle!$G$23,
IF(Y241=regle!$H$11,regle!$H$23,
IF(Y241=regle!$I$11,regle!$I$23,
IF(Y241=regle!$J$11,regle!$J$23,
IF(Y241=regle!$K$11,regle!$K$23,0))))))))))))</f>
        <v>476.32639999999998</v>
      </c>
      <c r="AJ241" s="17">
        <f>IF($A241,$J241*(IF(Z241=regle!$B$11,regle!$B$23*IF(AS241=-2,1+regle!$B$35,1),
IF(Z241=regle!$C$11,regle!$C$23,
IF(Z241=regle!$D$11,regle!$D$23,
IF(Z241=regle!$E$11,regle!$E$23,
IF(Z241=regle!$F$11,regle!$F$23,
IF(Z241=regle!$G$11,regle!$G$23,
IF(Z241=regle!$H$11,regle!$H$23,
IF(Z241=regle!$I$11,regle!$I$23,
IF(Z241=regle!$J$11,regle!$J$23,
IF(Z241=regle!$K$11,regle!$K$23,0))))))))))))</f>
        <v>0</v>
      </c>
      <c r="AK241" s="16">
        <f>IF(OR(Q241=regle!$J$11,Q241=regle!$K$11),-2,IF(Q241=regle!$B$11,0,IF(AK$1=$AK$1,IF($O241,-1,regle!$B$2-$M241),IF(AJ241=-1,-1,AJ241+1))))</f>
        <v>14</v>
      </c>
      <c r="AL241" s="16">
        <f>IF(OR(R241=regle!$J$11,R241=regle!$K$11),-2,IF(R241=regle!$B$11,0,IF(AL$1=$AK$1,IF($O241,-1,regle!$B$2-$M241),IF(AK241=-1,-1,AK241+1))))</f>
        <v>15</v>
      </c>
      <c r="AM241" s="16">
        <f>IF(OR(S241=regle!$J$11,S241=regle!$K$11),-2,IF(S241=regle!$B$11,0,IF(AM$1=$AK$1,IF($O241,-1,regle!$B$2-$M241),IF(AL241=-1,-1,AL241+1))))</f>
        <v>16</v>
      </c>
      <c r="AN241" s="16">
        <f>IF(OR(T241=regle!$J$11,T241=regle!$K$11),-2,IF(T241=regle!$B$11,0,IF(AN$1=$AK$1,IF($O241,-1,regle!$B$2-$M241),IF(AM241=-1,-1,AM241+1))))</f>
        <v>17</v>
      </c>
      <c r="AO241" s="16">
        <f>IF(OR(U241=regle!$J$11,U241=regle!$K$11),-2,IF(U241=regle!$B$11,0,IF(AO$1=$AK$1,IF($O241,-1,regle!$B$2-$M241),IF(AN241=-1,-1,AN241+1))))</f>
        <v>18</v>
      </c>
      <c r="AP241" s="16">
        <f>IF(OR(V241=regle!$J$11,V241=regle!$K$11),-2,IF(V241=regle!$B$11,0,IF(AP$1=$AK$1,IF($O241,-1,regle!$B$2-$M241),IF(AO241=-1,-1,AO241+1))))</f>
        <v>19</v>
      </c>
      <c r="AQ241" s="16">
        <f>IF(OR(W241=regle!$J$11,W241=regle!$K$11),-2,IF(W241=regle!$B$11,0,IF(AQ$1=$AK$1,IF($O241,-1,regle!$B$2-$M241),IF(AP241=-1,-1,AP241+1))))</f>
        <v>20</v>
      </c>
      <c r="AR241" s="16">
        <f>IF(OR(X241=regle!$J$11,X241=regle!$K$11),-2,IF(X241=regle!$B$11,0,IF(AR$1=$AK$1,IF($O241,-1,regle!$B$2-$M241),IF(AQ241=-1,-1,AQ241+1))))</f>
        <v>21</v>
      </c>
      <c r="AS241" s="16">
        <f>IF(OR(Y241=regle!$J$11,Y241=regle!$K$11),-2,IF(Y241=regle!$B$11,0,IF(AS$1=$AK$1,IF($O241,-1,regle!$B$2-$M241),IF(AR241=-1,-1,AR241+1))))</f>
        <v>22</v>
      </c>
      <c r="AT241" s="16">
        <f>IF(OR(Z241=regle!$J$11,Z241=regle!$K$11),-2,IF(Z241=regle!$B$11,0,IF(AT$1=$AK$1,IF($O241,-1,regle!$B$2-$M241),IF(AS241=-1,-1,AS241+1))))</f>
        <v>23</v>
      </c>
    </row>
    <row r="242" spans="1:46" x14ac:dyDescent="0.25">
      <c r="A242" t="b">
        <f>modif1!A242</f>
        <v>1</v>
      </c>
      <c r="B242">
        <f>ROW(modif1!B242)</f>
        <v>242</v>
      </c>
      <c r="C242" t="str">
        <f>modif1!C245</f>
        <v>536</v>
      </c>
      <c r="D242" t="str">
        <f>modif1!D242</f>
        <v>LE TUZAN</v>
      </c>
      <c r="E242">
        <f>modif1!E242</f>
        <v>21</v>
      </c>
      <c r="F242" t="str">
        <f>modif1!F242</f>
        <v>METAIRIES DE TABARTON</v>
      </c>
      <c r="G242" t="str">
        <f>modif1!G242</f>
        <v>0A</v>
      </c>
      <c r="H242">
        <f>modif1!H242</f>
        <v>460</v>
      </c>
      <c r="I242" t="str">
        <f>modif1!I242</f>
        <v>k</v>
      </c>
      <c r="J242" s="11">
        <f>modif1!J242</f>
        <v>0.18060000000000001</v>
      </c>
      <c r="K242" t="str">
        <f>modif1!K242</f>
        <v>PLA</v>
      </c>
      <c r="L242" t="str">
        <f>modif1!L242</f>
        <v>PM</v>
      </c>
      <c r="M242">
        <f>modif1!M242</f>
        <v>2010</v>
      </c>
      <c r="N242" t="str">
        <f>modif1!N242</f>
        <v>PLA-PM_2010</v>
      </c>
      <c r="O242" t="b">
        <f>modif1!O242</f>
        <v>0</v>
      </c>
      <c r="P242">
        <v>40</v>
      </c>
      <c r="T242" t="s">
        <v>1804</v>
      </c>
      <c r="Y242" t="s">
        <v>1805</v>
      </c>
      <c r="Z242"/>
      <c r="AA242" s="17">
        <f>IF($A242,$J242*(IF(Q242=regle!$B$11,regle!$B$23*IF(AJ242=-2,1+regle!$B$35,1),
IF(Q242=regle!$C$11,regle!$C$23,
IF(Q242=regle!$D$11,regle!$D$23,
IF(Q242=regle!$E$11,regle!$E$23,
IF(Q242=regle!$F$11,regle!$F$23,
IF(Q242=regle!$G$11,regle!$G$23,
IF(Q242=regle!$H$11,regle!$H$23,
IF(Q242=regle!$I$11,regle!$I$23,
IF(Q242=regle!$J$11,regle!$J$23,
IF(Q242=regle!$K$11,regle!$K$23,0))))))))))))</f>
        <v>0</v>
      </c>
      <c r="AB242" s="17">
        <f>IF($A242,$J242*(IF(R242=regle!$B$11,regle!$B$23*IF(AK242=-2,1+regle!$B$35,1),
IF(R242=regle!$C$11,regle!$C$23,
IF(R242=regle!$D$11,regle!$D$23,
IF(R242=regle!$E$11,regle!$E$23,
IF(R242=regle!$F$11,regle!$F$23,
IF(R242=regle!$G$11,regle!$G$23,
IF(R242=regle!$H$11,regle!$H$23,
IF(R242=regle!$I$11,regle!$I$23,
IF(R242=regle!$J$11,regle!$J$23,
IF(R242=regle!$K$11,regle!$K$23,0))))))))))))</f>
        <v>0</v>
      </c>
      <c r="AC242" s="17">
        <f>IF($A242,$J242*(IF(S242=regle!$B$11,regle!$B$23*IF(AL242=-2,1+regle!$B$35,1),
IF(S242=regle!$C$11,regle!$C$23,
IF(S242=regle!$D$11,regle!$D$23,
IF(S242=regle!$E$11,regle!$E$23,
IF(S242=regle!$F$11,regle!$F$23,
IF(S242=regle!$G$11,regle!$G$23,
IF(S242=regle!$H$11,regle!$H$23,
IF(S242=regle!$I$11,regle!$I$23,
IF(S242=regle!$J$11,regle!$J$23,
IF(S242=regle!$K$11,regle!$K$23,0))))))))))))</f>
        <v>0</v>
      </c>
      <c r="AD242" s="17">
        <f>IF($A242,$J242*(IF(T242=regle!$B$11,regle!$B$23*IF(AM242=-2,1+regle!$B$35,1),
IF(T242=regle!$C$11,regle!$C$23,
IF(T242=regle!$D$11,regle!$D$23,
IF(T242=regle!$E$11,regle!$E$23,
IF(T242=regle!$F$11,regle!$F$23,
IF(T242=regle!$G$11,regle!$G$23,
IF(T242=regle!$H$11,regle!$H$23,
IF(T242=regle!$I$11,regle!$I$23,
IF(T242=regle!$J$11,regle!$J$23,
IF(T242=regle!$K$11,regle!$K$23,0))))))))))))</f>
        <v>151.70400000000001</v>
      </c>
      <c r="AE242" s="17">
        <f>IF($A242,$J242*(IF(U242=regle!$B$11,regle!$B$23*IF(AN242=-2,1+regle!$B$35,1),
IF(U242=regle!$C$11,regle!$C$23,
IF(U242=regle!$D$11,regle!$D$23,
IF(U242=regle!$E$11,regle!$E$23,
IF(U242=regle!$F$11,regle!$F$23,
IF(U242=regle!$G$11,regle!$G$23,
IF(U242=regle!$H$11,regle!$H$23,
IF(U242=regle!$I$11,regle!$I$23,
IF(U242=regle!$J$11,regle!$J$23,
IF(U242=regle!$K$11,regle!$K$23,0))))))))))))</f>
        <v>0</v>
      </c>
      <c r="AF242" s="17">
        <f>IF($A242,$J242*(IF(V242=regle!$B$11,regle!$B$23*IF(AO242=-2,1+regle!$B$35,1),
IF(V242=regle!$C$11,regle!$C$23,
IF(V242=regle!$D$11,regle!$D$23,
IF(V242=regle!$E$11,regle!$E$23,
IF(V242=regle!$F$11,regle!$F$23,
IF(V242=regle!$G$11,regle!$G$23,
IF(V242=regle!$H$11,regle!$H$23,
IF(V242=regle!$I$11,regle!$I$23,
IF(V242=regle!$J$11,regle!$J$23,
IF(V242=regle!$K$11,regle!$K$23,0))))))))))))</f>
        <v>0</v>
      </c>
      <c r="AG242" s="17">
        <f>IF($A242,$J242*(IF(W242=regle!$B$11,regle!$B$23*IF(AP242=-2,1+regle!$B$35,1),
IF(W242=regle!$C$11,regle!$C$23,
IF(W242=regle!$D$11,regle!$D$23,
IF(W242=regle!$E$11,regle!$E$23,
IF(W242=regle!$F$11,regle!$F$23,
IF(W242=regle!$G$11,regle!$G$23,
IF(W242=regle!$H$11,regle!$H$23,
IF(W242=regle!$I$11,regle!$I$23,
IF(W242=regle!$J$11,regle!$J$23,
IF(W242=regle!$K$11,regle!$K$23,0))))))))))))</f>
        <v>0</v>
      </c>
      <c r="AH242" s="17">
        <f>IF($A242,$J242*(IF(X242=regle!$B$11,regle!$B$23*IF(AQ242=-2,1+regle!$B$35,1),
IF(X242=regle!$C$11,regle!$C$23,
IF(X242=regle!$D$11,regle!$D$23,
IF(X242=regle!$E$11,regle!$E$23,
IF(X242=regle!$F$11,regle!$F$23,
IF(X242=regle!$G$11,regle!$G$23,
IF(X242=regle!$H$11,regle!$H$23,
IF(X242=regle!$I$11,regle!$I$23,
IF(X242=regle!$J$11,regle!$J$23,
IF(X242=regle!$K$11,regle!$K$23,0))))))))))))</f>
        <v>0</v>
      </c>
      <c r="AI242" s="17">
        <f>IF($A242,$J242*(IF(Y242=regle!$B$11,regle!$B$23*IF(AR242=-2,1+regle!$B$35,1),
IF(Y242=regle!$C$11,regle!$C$23,
IF(Y242=regle!$D$11,regle!$D$23,
IF(Y242=regle!$E$11,regle!$E$23,
IF(Y242=regle!$F$11,regle!$F$23,
IF(Y242=regle!$G$11,regle!$G$23,
IF(Y242=regle!$H$11,regle!$H$23,
IF(Y242=regle!$I$11,regle!$I$23,
IF(Y242=regle!$J$11,regle!$J$23,
IF(Y242=regle!$K$11,regle!$K$23,0))))))))))))</f>
        <v>254.28480000000002</v>
      </c>
      <c r="AJ242" s="17">
        <f>IF($A242,$J242*(IF(Z242=regle!$B$11,regle!$B$23*IF(AS242=-2,1+regle!$B$35,1),
IF(Z242=regle!$C$11,regle!$C$23,
IF(Z242=regle!$D$11,regle!$D$23,
IF(Z242=regle!$E$11,regle!$E$23,
IF(Z242=regle!$F$11,regle!$F$23,
IF(Z242=regle!$G$11,regle!$G$23,
IF(Z242=regle!$H$11,regle!$H$23,
IF(Z242=regle!$I$11,regle!$I$23,
IF(Z242=regle!$J$11,regle!$J$23,
IF(Z242=regle!$K$11,regle!$K$23,0))))))))))))</f>
        <v>0</v>
      </c>
      <c r="AK242" s="16">
        <f>IF(OR(Q242=regle!$J$11,Q242=regle!$K$11),-2,IF(Q242=regle!$B$11,0,IF(AK$1=$AK$1,IF($O242,-1,regle!$B$2-$M242),IF(AJ242=-1,-1,AJ242+1))))</f>
        <v>14</v>
      </c>
      <c r="AL242" s="16">
        <f>IF(OR(R242=regle!$J$11,R242=regle!$K$11),-2,IF(R242=regle!$B$11,0,IF(AL$1=$AK$1,IF($O242,-1,regle!$B$2-$M242),IF(AK242=-1,-1,AK242+1))))</f>
        <v>15</v>
      </c>
      <c r="AM242" s="16">
        <f>IF(OR(S242=regle!$J$11,S242=regle!$K$11),-2,IF(S242=regle!$B$11,0,IF(AM$1=$AK$1,IF($O242,-1,regle!$B$2-$M242),IF(AL242=-1,-1,AL242+1))))</f>
        <v>16</v>
      </c>
      <c r="AN242" s="16">
        <f>IF(OR(T242=regle!$J$11,T242=regle!$K$11),-2,IF(T242=regle!$B$11,0,IF(AN$1=$AK$1,IF($O242,-1,regle!$B$2-$M242),IF(AM242=-1,-1,AM242+1))))</f>
        <v>17</v>
      </c>
      <c r="AO242" s="16">
        <f>IF(OR(U242=regle!$J$11,U242=regle!$K$11),-2,IF(U242=regle!$B$11,0,IF(AO$1=$AK$1,IF($O242,-1,regle!$B$2-$M242),IF(AN242=-1,-1,AN242+1))))</f>
        <v>18</v>
      </c>
      <c r="AP242" s="16">
        <f>IF(OR(V242=regle!$J$11,V242=regle!$K$11),-2,IF(V242=regle!$B$11,0,IF(AP$1=$AK$1,IF($O242,-1,regle!$B$2-$M242),IF(AO242=-1,-1,AO242+1))))</f>
        <v>19</v>
      </c>
      <c r="AQ242" s="16">
        <f>IF(OR(W242=regle!$J$11,W242=regle!$K$11),-2,IF(W242=regle!$B$11,0,IF(AQ$1=$AK$1,IF($O242,-1,regle!$B$2-$M242),IF(AP242=-1,-1,AP242+1))))</f>
        <v>20</v>
      </c>
      <c r="AR242" s="16">
        <f>IF(OR(X242=regle!$J$11,X242=regle!$K$11),-2,IF(X242=regle!$B$11,0,IF(AR$1=$AK$1,IF($O242,-1,regle!$B$2-$M242),IF(AQ242=-1,-1,AQ242+1))))</f>
        <v>21</v>
      </c>
      <c r="AS242" s="16">
        <f>IF(OR(Y242=regle!$J$11,Y242=regle!$K$11),-2,IF(Y242=regle!$B$11,0,IF(AS$1=$AK$1,IF($O242,-1,regle!$B$2-$M242),IF(AR242=-1,-1,AR242+1))))</f>
        <v>22</v>
      </c>
      <c r="AT242" s="16">
        <f>IF(OR(Z242=regle!$J$11,Z242=regle!$K$11),-2,IF(Z242=regle!$B$11,0,IF(AT$1=$AK$1,IF($O242,-1,regle!$B$2-$M242),IF(AS242=-1,-1,AS242+1))))</f>
        <v>23</v>
      </c>
    </row>
    <row r="243" spans="1:46" x14ac:dyDescent="0.25">
      <c r="A243" t="b">
        <f>modif1!A243</f>
        <v>1</v>
      </c>
      <c r="B243">
        <f>ROW(modif1!B243)</f>
        <v>243</v>
      </c>
      <c r="C243" t="str">
        <f>modif1!C246</f>
        <v>536</v>
      </c>
      <c r="D243" t="str">
        <f>modif1!D243</f>
        <v>LE TUZAN</v>
      </c>
      <c r="E243">
        <f>modif1!E243</f>
        <v>21</v>
      </c>
      <c r="F243" t="str">
        <f>modif1!F243</f>
        <v>METAIRIES DE TABARTON</v>
      </c>
      <c r="G243" t="str">
        <f>modif1!G243</f>
        <v>0A</v>
      </c>
      <c r="H243">
        <f>modif1!H243</f>
        <v>523</v>
      </c>
      <c r="I243" t="str">
        <f>modif1!I243</f>
        <v>p</v>
      </c>
      <c r="J243" s="11">
        <f>modif1!J243</f>
        <v>17.198599999999999</v>
      </c>
      <c r="K243" t="str">
        <f>modif1!K243</f>
        <v>PLA</v>
      </c>
      <c r="L243" t="str">
        <f>modif1!L243</f>
        <v>PM</v>
      </c>
      <c r="M243">
        <f>modif1!M243</f>
        <v>2009</v>
      </c>
      <c r="N243" t="str">
        <f>modif1!N243</f>
        <v>PLA-PM_2009</v>
      </c>
      <c r="O243" t="b">
        <f>modif1!O243</f>
        <v>0</v>
      </c>
      <c r="P243">
        <v>40</v>
      </c>
      <c r="S243" t="s">
        <v>1804</v>
      </c>
      <c r="X243" t="s">
        <v>1805</v>
      </c>
      <c r="Z243"/>
      <c r="AA243" s="17">
        <f>IF($A243,$J243*(IF(Q243=regle!$B$11,regle!$B$23*IF(AJ243=-2,1+regle!$B$35,1),
IF(Q243=regle!$C$11,regle!$C$23,
IF(Q243=regle!$D$11,regle!$D$23,
IF(Q243=regle!$E$11,regle!$E$23,
IF(Q243=regle!$F$11,regle!$F$23,
IF(Q243=regle!$G$11,regle!$G$23,
IF(Q243=regle!$H$11,regle!$H$23,
IF(Q243=regle!$I$11,regle!$I$23,
IF(Q243=regle!$J$11,regle!$J$23,
IF(Q243=regle!$K$11,regle!$K$23,0))))))))))))</f>
        <v>0</v>
      </c>
      <c r="AB243" s="17">
        <f>IF($A243,$J243*(IF(R243=regle!$B$11,regle!$B$23*IF(AK243=-2,1+regle!$B$35,1),
IF(R243=regle!$C$11,regle!$C$23,
IF(R243=regle!$D$11,regle!$D$23,
IF(R243=regle!$E$11,regle!$E$23,
IF(R243=regle!$F$11,regle!$F$23,
IF(R243=regle!$G$11,regle!$G$23,
IF(R243=regle!$H$11,regle!$H$23,
IF(R243=regle!$I$11,regle!$I$23,
IF(R243=regle!$J$11,regle!$J$23,
IF(R243=regle!$K$11,regle!$K$23,0))))))))))))</f>
        <v>0</v>
      </c>
      <c r="AC243" s="17">
        <f>IF($A243,$J243*(IF(S243=regle!$B$11,regle!$B$23*IF(AL243=-2,1+regle!$B$35,1),
IF(S243=regle!$C$11,regle!$C$23,
IF(S243=regle!$D$11,regle!$D$23,
IF(S243=regle!$E$11,regle!$E$23,
IF(S243=regle!$F$11,regle!$F$23,
IF(S243=regle!$G$11,regle!$G$23,
IF(S243=regle!$H$11,regle!$H$23,
IF(S243=regle!$I$11,regle!$I$23,
IF(S243=regle!$J$11,regle!$J$23,
IF(S243=regle!$K$11,regle!$K$23,0))))))))))))</f>
        <v>14446.823999999999</v>
      </c>
      <c r="AD243" s="17">
        <f>IF($A243,$J243*(IF(T243=regle!$B$11,regle!$B$23*IF(AM243=-2,1+regle!$B$35,1),
IF(T243=regle!$C$11,regle!$C$23,
IF(T243=regle!$D$11,regle!$D$23,
IF(T243=regle!$E$11,regle!$E$23,
IF(T243=regle!$F$11,regle!$F$23,
IF(T243=regle!$G$11,regle!$G$23,
IF(T243=regle!$H$11,regle!$H$23,
IF(T243=regle!$I$11,regle!$I$23,
IF(T243=regle!$J$11,regle!$J$23,
IF(T243=regle!$K$11,regle!$K$23,0))))))))))))</f>
        <v>0</v>
      </c>
      <c r="AE243" s="17">
        <f>IF($A243,$J243*(IF(U243=regle!$B$11,regle!$B$23*IF(AN243=-2,1+regle!$B$35,1),
IF(U243=regle!$C$11,regle!$C$23,
IF(U243=regle!$D$11,regle!$D$23,
IF(U243=regle!$E$11,regle!$E$23,
IF(U243=regle!$F$11,regle!$F$23,
IF(U243=regle!$G$11,regle!$G$23,
IF(U243=regle!$H$11,regle!$H$23,
IF(U243=regle!$I$11,regle!$I$23,
IF(U243=regle!$J$11,regle!$J$23,
IF(U243=regle!$K$11,regle!$K$23,0))))))))))))</f>
        <v>0</v>
      </c>
      <c r="AF243" s="17">
        <f>IF($A243,$J243*(IF(V243=regle!$B$11,regle!$B$23*IF(AO243=-2,1+regle!$B$35,1),
IF(V243=regle!$C$11,regle!$C$23,
IF(V243=regle!$D$11,regle!$D$23,
IF(V243=regle!$E$11,regle!$E$23,
IF(V243=regle!$F$11,regle!$F$23,
IF(V243=regle!$G$11,regle!$G$23,
IF(V243=regle!$H$11,regle!$H$23,
IF(V243=regle!$I$11,regle!$I$23,
IF(V243=regle!$J$11,regle!$J$23,
IF(V243=regle!$K$11,regle!$K$23,0))))))))))))</f>
        <v>0</v>
      </c>
      <c r="AG243" s="17">
        <f>IF($A243,$J243*(IF(W243=regle!$B$11,regle!$B$23*IF(AP243=-2,1+regle!$B$35,1),
IF(W243=regle!$C$11,regle!$C$23,
IF(W243=regle!$D$11,regle!$D$23,
IF(W243=regle!$E$11,regle!$E$23,
IF(W243=regle!$F$11,regle!$F$23,
IF(W243=regle!$G$11,regle!$G$23,
IF(W243=regle!$H$11,regle!$H$23,
IF(W243=regle!$I$11,regle!$I$23,
IF(W243=regle!$J$11,regle!$J$23,
IF(W243=regle!$K$11,regle!$K$23,0))))))))))))</f>
        <v>0</v>
      </c>
      <c r="AH243" s="17">
        <f>IF($A243,$J243*(IF(X243=regle!$B$11,regle!$B$23*IF(AQ243=-2,1+regle!$B$35,1),
IF(X243=regle!$C$11,regle!$C$23,
IF(X243=regle!$D$11,regle!$D$23,
IF(X243=regle!$E$11,regle!$E$23,
IF(X243=regle!$F$11,regle!$F$23,
IF(X243=regle!$G$11,regle!$G$23,
IF(X243=regle!$H$11,regle!$H$23,
IF(X243=regle!$I$11,regle!$I$23,
IF(X243=regle!$J$11,regle!$J$23,
IF(X243=regle!$K$11,regle!$K$23,0))))))))))))</f>
        <v>24215.628799999999</v>
      </c>
      <c r="AI243" s="17">
        <f>IF($A243,$J243*(IF(Y243=regle!$B$11,regle!$B$23*IF(AR243=-2,1+regle!$B$35,1),
IF(Y243=regle!$C$11,regle!$C$23,
IF(Y243=regle!$D$11,regle!$D$23,
IF(Y243=regle!$E$11,regle!$E$23,
IF(Y243=regle!$F$11,regle!$F$23,
IF(Y243=regle!$G$11,regle!$G$23,
IF(Y243=regle!$H$11,regle!$H$23,
IF(Y243=regle!$I$11,regle!$I$23,
IF(Y243=regle!$J$11,regle!$J$23,
IF(Y243=regle!$K$11,regle!$K$23,0))))))))))))</f>
        <v>0</v>
      </c>
      <c r="AJ243" s="17">
        <f>IF($A243,$J243*(IF(Z243=regle!$B$11,regle!$B$23*IF(AS243=-2,1+regle!$B$35,1),
IF(Z243=regle!$C$11,regle!$C$23,
IF(Z243=regle!$D$11,regle!$D$23,
IF(Z243=regle!$E$11,regle!$E$23,
IF(Z243=regle!$F$11,regle!$F$23,
IF(Z243=regle!$G$11,regle!$G$23,
IF(Z243=regle!$H$11,regle!$H$23,
IF(Z243=regle!$I$11,regle!$I$23,
IF(Z243=regle!$J$11,regle!$J$23,
IF(Z243=regle!$K$11,regle!$K$23,0))))))))))))</f>
        <v>0</v>
      </c>
      <c r="AK243" s="16">
        <f>IF(OR(Q243=regle!$J$11,Q243=regle!$K$11),-2,IF(Q243=regle!$B$11,0,IF(AK$1=$AK$1,IF($O243,-1,regle!$B$2-$M243),IF(AJ243=-1,-1,AJ243+1))))</f>
        <v>15</v>
      </c>
      <c r="AL243" s="16">
        <f>IF(OR(R243=regle!$J$11,R243=regle!$K$11),-2,IF(R243=regle!$B$11,0,IF(AL$1=$AK$1,IF($O243,-1,regle!$B$2-$M243),IF(AK243=-1,-1,AK243+1))))</f>
        <v>16</v>
      </c>
      <c r="AM243" s="16">
        <f>IF(OR(S243=regle!$J$11,S243=regle!$K$11),-2,IF(S243=regle!$B$11,0,IF(AM$1=$AK$1,IF($O243,-1,regle!$B$2-$M243),IF(AL243=-1,-1,AL243+1))))</f>
        <v>17</v>
      </c>
      <c r="AN243" s="16">
        <f>IF(OR(T243=regle!$J$11,T243=regle!$K$11),-2,IF(T243=regle!$B$11,0,IF(AN$1=$AK$1,IF($O243,-1,regle!$B$2-$M243),IF(AM243=-1,-1,AM243+1))))</f>
        <v>18</v>
      </c>
      <c r="AO243" s="16">
        <f>IF(OR(U243=regle!$J$11,U243=regle!$K$11),-2,IF(U243=regle!$B$11,0,IF(AO$1=$AK$1,IF($O243,-1,regle!$B$2-$M243),IF(AN243=-1,-1,AN243+1))))</f>
        <v>19</v>
      </c>
      <c r="AP243" s="16">
        <f>IF(OR(V243=regle!$J$11,V243=regle!$K$11),-2,IF(V243=regle!$B$11,0,IF(AP$1=$AK$1,IF($O243,-1,regle!$B$2-$M243),IF(AO243=-1,-1,AO243+1))))</f>
        <v>20</v>
      </c>
      <c r="AQ243" s="16">
        <f>IF(OR(W243=regle!$J$11,W243=regle!$K$11),-2,IF(W243=regle!$B$11,0,IF(AQ$1=$AK$1,IF($O243,-1,regle!$B$2-$M243),IF(AP243=-1,-1,AP243+1))))</f>
        <v>21</v>
      </c>
      <c r="AR243" s="16">
        <f>IF(OR(X243=regle!$J$11,X243=regle!$K$11),-2,IF(X243=regle!$B$11,0,IF(AR$1=$AK$1,IF($O243,-1,regle!$B$2-$M243),IF(AQ243=-1,-1,AQ243+1))))</f>
        <v>22</v>
      </c>
      <c r="AS243" s="16">
        <f>IF(OR(Y243=regle!$J$11,Y243=regle!$K$11),-2,IF(Y243=regle!$B$11,0,IF(AS$1=$AK$1,IF($O243,-1,regle!$B$2-$M243),IF(AR243=-1,-1,AR243+1))))</f>
        <v>23</v>
      </c>
      <c r="AT243" s="16">
        <f>IF(OR(Z243=regle!$J$11,Z243=regle!$K$11),-2,IF(Z243=regle!$B$11,0,IF(AT$1=$AK$1,IF($O243,-1,regle!$B$2-$M243),IF(AS243=-1,-1,AS243+1))))</f>
        <v>24</v>
      </c>
    </row>
    <row r="244" spans="1:46" x14ac:dyDescent="0.25">
      <c r="A244" t="b">
        <f>modif1!A244</f>
        <v>1</v>
      </c>
      <c r="B244">
        <f>ROW(modif1!B244)</f>
        <v>244</v>
      </c>
      <c r="C244" t="str">
        <f>modif1!C247</f>
        <v>202</v>
      </c>
      <c r="D244" t="str">
        <f>modif1!D244</f>
        <v>LE TUZAN</v>
      </c>
      <c r="E244">
        <f>modif1!E244</f>
        <v>21</v>
      </c>
      <c r="F244" t="str">
        <f>modif1!F244</f>
        <v>METAIRIES DE TABARTON</v>
      </c>
      <c r="G244" t="str">
        <f>modif1!G244</f>
        <v>0A</v>
      </c>
      <c r="H244">
        <f>modif1!H244</f>
        <v>416</v>
      </c>
      <c r="I244" t="str">
        <f>modif1!I244</f>
        <v>kj</v>
      </c>
      <c r="J244" s="11">
        <f>modif1!J244</f>
        <v>7.5682999999999998</v>
      </c>
      <c r="K244" t="str">
        <f>modif1!K244</f>
        <v>PLA</v>
      </c>
      <c r="L244" t="str">
        <f>modif1!L244</f>
        <v>PM</v>
      </c>
      <c r="M244">
        <f>modif1!M244</f>
        <v>2009</v>
      </c>
      <c r="N244" t="str">
        <f>modif1!N244</f>
        <v>PLA-PM_2009</v>
      </c>
      <c r="O244" t="b">
        <f>modif1!O244</f>
        <v>0</v>
      </c>
      <c r="P244">
        <v>40</v>
      </c>
      <c r="S244" t="s">
        <v>1804</v>
      </c>
      <c r="X244" t="s">
        <v>1805</v>
      </c>
      <c r="Z244"/>
      <c r="AA244" s="17">
        <f>IF($A244,$J244*(IF(Q244=regle!$B$11,regle!$B$23*IF(AJ244=-2,1+regle!$B$35,1),
IF(Q244=regle!$C$11,regle!$C$23,
IF(Q244=regle!$D$11,regle!$D$23,
IF(Q244=regle!$E$11,regle!$E$23,
IF(Q244=regle!$F$11,regle!$F$23,
IF(Q244=regle!$G$11,regle!$G$23,
IF(Q244=regle!$H$11,regle!$H$23,
IF(Q244=regle!$I$11,regle!$I$23,
IF(Q244=regle!$J$11,regle!$J$23,
IF(Q244=regle!$K$11,regle!$K$23,0))))))))))))</f>
        <v>0</v>
      </c>
      <c r="AB244" s="17">
        <f>IF($A244,$J244*(IF(R244=regle!$B$11,regle!$B$23*IF(AK244=-2,1+regle!$B$35,1),
IF(R244=regle!$C$11,regle!$C$23,
IF(R244=regle!$D$11,regle!$D$23,
IF(R244=regle!$E$11,regle!$E$23,
IF(R244=regle!$F$11,regle!$F$23,
IF(R244=regle!$G$11,regle!$G$23,
IF(R244=regle!$H$11,regle!$H$23,
IF(R244=regle!$I$11,regle!$I$23,
IF(R244=regle!$J$11,regle!$J$23,
IF(R244=regle!$K$11,regle!$K$23,0))))))))))))</f>
        <v>0</v>
      </c>
      <c r="AC244" s="17">
        <f>IF($A244,$J244*(IF(S244=regle!$B$11,regle!$B$23*IF(AL244=-2,1+regle!$B$35,1),
IF(S244=regle!$C$11,regle!$C$23,
IF(S244=regle!$D$11,regle!$D$23,
IF(S244=regle!$E$11,regle!$E$23,
IF(S244=regle!$F$11,regle!$F$23,
IF(S244=regle!$G$11,regle!$G$23,
IF(S244=regle!$H$11,regle!$H$23,
IF(S244=regle!$I$11,regle!$I$23,
IF(S244=regle!$J$11,regle!$J$23,
IF(S244=regle!$K$11,regle!$K$23,0))))))))))))</f>
        <v>6357.3719999999994</v>
      </c>
      <c r="AD244" s="17">
        <f>IF($A244,$J244*(IF(T244=regle!$B$11,regle!$B$23*IF(AM244=-2,1+regle!$B$35,1),
IF(T244=regle!$C$11,regle!$C$23,
IF(T244=regle!$D$11,regle!$D$23,
IF(T244=regle!$E$11,regle!$E$23,
IF(T244=regle!$F$11,regle!$F$23,
IF(T244=regle!$G$11,regle!$G$23,
IF(T244=regle!$H$11,regle!$H$23,
IF(T244=regle!$I$11,regle!$I$23,
IF(T244=regle!$J$11,regle!$J$23,
IF(T244=regle!$K$11,regle!$K$23,0))))))))))))</f>
        <v>0</v>
      </c>
      <c r="AE244" s="17">
        <f>IF($A244,$J244*(IF(U244=regle!$B$11,regle!$B$23*IF(AN244=-2,1+regle!$B$35,1),
IF(U244=regle!$C$11,regle!$C$23,
IF(U244=regle!$D$11,regle!$D$23,
IF(U244=regle!$E$11,regle!$E$23,
IF(U244=regle!$F$11,regle!$F$23,
IF(U244=regle!$G$11,regle!$G$23,
IF(U244=regle!$H$11,regle!$H$23,
IF(U244=regle!$I$11,regle!$I$23,
IF(U244=regle!$J$11,regle!$J$23,
IF(U244=regle!$K$11,regle!$K$23,0))))))))))))</f>
        <v>0</v>
      </c>
      <c r="AF244" s="17">
        <f>IF($A244,$J244*(IF(V244=regle!$B$11,regle!$B$23*IF(AO244=-2,1+regle!$B$35,1),
IF(V244=regle!$C$11,regle!$C$23,
IF(V244=regle!$D$11,regle!$D$23,
IF(V244=regle!$E$11,regle!$E$23,
IF(V244=regle!$F$11,regle!$F$23,
IF(V244=regle!$G$11,regle!$G$23,
IF(V244=regle!$H$11,regle!$H$23,
IF(V244=regle!$I$11,regle!$I$23,
IF(V244=regle!$J$11,regle!$J$23,
IF(V244=regle!$K$11,regle!$K$23,0))))))))))))</f>
        <v>0</v>
      </c>
      <c r="AG244" s="17">
        <f>IF($A244,$J244*(IF(W244=regle!$B$11,regle!$B$23*IF(AP244=-2,1+regle!$B$35,1),
IF(W244=regle!$C$11,regle!$C$23,
IF(W244=regle!$D$11,regle!$D$23,
IF(W244=regle!$E$11,regle!$E$23,
IF(W244=regle!$F$11,regle!$F$23,
IF(W244=regle!$G$11,regle!$G$23,
IF(W244=regle!$H$11,regle!$H$23,
IF(W244=regle!$I$11,regle!$I$23,
IF(W244=regle!$J$11,regle!$J$23,
IF(W244=regle!$K$11,regle!$K$23,0))))))))))))</f>
        <v>0</v>
      </c>
      <c r="AH244" s="17">
        <f>IF($A244,$J244*(IF(X244=regle!$B$11,regle!$B$23*IF(AQ244=-2,1+regle!$B$35,1),
IF(X244=regle!$C$11,regle!$C$23,
IF(X244=regle!$D$11,regle!$D$23,
IF(X244=regle!$E$11,regle!$E$23,
IF(X244=regle!$F$11,regle!$F$23,
IF(X244=regle!$G$11,regle!$G$23,
IF(X244=regle!$H$11,regle!$H$23,
IF(X244=regle!$I$11,regle!$I$23,
IF(X244=regle!$J$11,regle!$J$23,
IF(X244=regle!$K$11,regle!$K$23,0))))))))))))</f>
        <v>10656.1664</v>
      </c>
      <c r="AI244" s="17">
        <f>IF($A244,$J244*(IF(Y244=regle!$B$11,regle!$B$23*IF(AR244=-2,1+regle!$B$35,1),
IF(Y244=regle!$C$11,regle!$C$23,
IF(Y244=regle!$D$11,regle!$D$23,
IF(Y244=regle!$E$11,regle!$E$23,
IF(Y244=regle!$F$11,regle!$F$23,
IF(Y244=regle!$G$11,regle!$G$23,
IF(Y244=regle!$H$11,regle!$H$23,
IF(Y244=regle!$I$11,regle!$I$23,
IF(Y244=regle!$J$11,regle!$J$23,
IF(Y244=regle!$K$11,regle!$K$23,0))))))))))))</f>
        <v>0</v>
      </c>
      <c r="AJ244" s="17">
        <f>IF($A244,$J244*(IF(Z244=regle!$B$11,regle!$B$23*IF(AS244=-2,1+regle!$B$35,1),
IF(Z244=regle!$C$11,regle!$C$23,
IF(Z244=regle!$D$11,regle!$D$23,
IF(Z244=regle!$E$11,regle!$E$23,
IF(Z244=regle!$F$11,regle!$F$23,
IF(Z244=regle!$G$11,regle!$G$23,
IF(Z244=regle!$H$11,regle!$H$23,
IF(Z244=regle!$I$11,regle!$I$23,
IF(Z244=regle!$J$11,regle!$J$23,
IF(Z244=regle!$K$11,regle!$K$23,0))))))))))))</f>
        <v>0</v>
      </c>
      <c r="AK244" s="16">
        <f>IF(OR(Q244=regle!$J$11,Q244=regle!$K$11),-2,IF(Q244=regle!$B$11,0,IF(AK$1=$AK$1,IF($O244,-1,regle!$B$2-$M244),IF(AJ244=-1,-1,AJ244+1))))</f>
        <v>15</v>
      </c>
      <c r="AL244" s="16">
        <f>IF(OR(R244=regle!$J$11,R244=regle!$K$11),-2,IF(R244=regle!$B$11,0,IF(AL$1=$AK$1,IF($O244,-1,regle!$B$2-$M244),IF(AK244=-1,-1,AK244+1))))</f>
        <v>16</v>
      </c>
      <c r="AM244" s="16">
        <f>IF(OR(S244=regle!$J$11,S244=regle!$K$11),-2,IF(S244=regle!$B$11,0,IF(AM$1=$AK$1,IF($O244,-1,regle!$B$2-$M244),IF(AL244=-1,-1,AL244+1))))</f>
        <v>17</v>
      </c>
      <c r="AN244" s="16">
        <f>IF(OR(T244=regle!$J$11,T244=regle!$K$11),-2,IF(T244=regle!$B$11,0,IF(AN$1=$AK$1,IF($O244,-1,regle!$B$2-$M244),IF(AM244=-1,-1,AM244+1))))</f>
        <v>18</v>
      </c>
      <c r="AO244" s="16">
        <f>IF(OR(U244=regle!$J$11,U244=regle!$K$11),-2,IF(U244=regle!$B$11,0,IF(AO$1=$AK$1,IF($O244,-1,regle!$B$2-$M244),IF(AN244=-1,-1,AN244+1))))</f>
        <v>19</v>
      </c>
      <c r="AP244" s="16">
        <f>IF(OR(V244=regle!$J$11,V244=regle!$K$11),-2,IF(V244=regle!$B$11,0,IF(AP$1=$AK$1,IF($O244,-1,regle!$B$2-$M244),IF(AO244=-1,-1,AO244+1))))</f>
        <v>20</v>
      </c>
      <c r="AQ244" s="16">
        <f>IF(OR(W244=regle!$J$11,W244=regle!$K$11),-2,IF(W244=regle!$B$11,0,IF(AQ$1=$AK$1,IF($O244,-1,regle!$B$2-$M244),IF(AP244=-1,-1,AP244+1))))</f>
        <v>21</v>
      </c>
      <c r="AR244" s="16">
        <f>IF(OR(X244=regle!$J$11,X244=regle!$K$11),-2,IF(X244=regle!$B$11,0,IF(AR$1=$AK$1,IF($O244,-1,regle!$B$2-$M244),IF(AQ244=-1,-1,AQ244+1))))</f>
        <v>22</v>
      </c>
      <c r="AS244" s="16">
        <f>IF(OR(Y244=regle!$J$11,Y244=regle!$K$11),-2,IF(Y244=regle!$B$11,0,IF(AS$1=$AK$1,IF($O244,-1,regle!$B$2-$M244),IF(AR244=-1,-1,AR244+1))))</f>
        <v>23</v>
      </c>
      <c r="AT244" s="16">
        <f>IF(OR(Z244=regle!$J$11,Z244=regle!$K$11),-2,IF(Z244=regle!$B$11,0,IF(AT$1=$AK$1,IF($O244,-1,regle!$B$2-$M244),IF(AS244=-1,-1,AS244+1))))</f>
        <v>24</v>
      </c>
    </row>
    <row r="245" spans="1:46" x14ac:dyDescent="0.25">
      <c r="A245" t="b">
        <f>modif1!A245</f>
        <v>1</v>
      </c>
      <c r="B245">
        <f>ROW(modif1!B245)</f>
        <v>245</v>
      </c>
      <c r="C245" t="str">
        <f>modif1!C248</f>
        <v>202</v>
      </c>
      <c r="D245" t="str">
        <f>modif1!D245</f>
        <v>LE TUZAN</v>
      </c>
      <c r="E245">
        <f>modif1!E245</f>
        <v>11</v>
      </c>
      <c r="F245" t="str">
        <f>modif1!F245</f>
        <v>LA HONTEYRE</v>
      </c>
      <c r="G245" t="str">
        <f>modif1!G245</f>
        <v>0A</v>
      </c>
      <c r="H245">
        <f>modif1!H245</f>
        <v>259</v>
      </c>
      <c r="I245" t="str">
        <f>modif1!I245</f>
        <v/>
      </c>
      <c r="J245" s="11">
        <f>modif1!J245</f>
        <v>1.891</v>
      </c>
      <c r="K245" t="str">
        <f>modif1!K245</f>
        <v>SN</v>
      </c>
      <c r="L245" t="str">
        <f>modif1!L245</f>
        <v>PM</v>
      </c>
      <c r="M245">
        <f>modif1!M245</f>
        <v>2009</v>
      </c>
      <c r="N245" t="str">
        <f>modif1!N245</f>
        <v>SN-PM_2009</v>
      </c>
      <c r="O245" t="b">
        <f>modif1!O245</f>
        <v>0</v>
      </c>
      <c r="P245">
        <v>40</v>
      </c>
      <c r="S245" t="s">
        <v>1804</v>
      </c>
      <c r="X245" t="s">
        <v>1805</v>
      </c>
      <c r="Z245"/>
      <c r="AA245" s="17">
        <f>IF($A245,$J245*(IF(Q245=regle!$B$11,regle!$B$23*IF(AJ245=-2,1+regle!$B$35,1),
IF(Q245=regle!$C$11,regle!$C$23,
IF(Q245=regle!$D$11,regle!$D$23,
IF(Q245=regle!$E$11,regle!$E$23,
IF(Q245=regle!$F$11,regle!$F$23,
IF(Q245=regle!$G$11,regle!$G$23,
IF(Q245=regle!$H$11,regle!$H$23,
IF(Q245=regle!$I$11,regle!$I$23,
IF(Q245=regle!$J$11,regle!$J$23,
IF(Q245=regle!$K$11,regle!$K$23,0))))))))))))</f>
        <v>0</v>
      </c>
      <c r="AB245" s="17">
        <f>IF($A245,$J245*(IF(R245=regle!$B$11,regle!$B$23*IF(AK245=-2,1+regle!$B$35,1),
IF(R245=regle!$C$11,regle!$C$23,
IF(R245=regle!$D$11,regle!$D$23,
IF(R245=regle!$E$11,regle!$E$23,
IF(R245=regle!$F$11,regle!$F$23,
IF(R245=regle!$G$11,regle!$G$23,
IF(R245=regle!$H$11,regle!$H$23,
IF(R245=regle!$I$11,regle!$I$23,
IF(R245=regle!$J$11,regle!$J$23,
IF(R245=regle!$K$11,regle!$K$23,0))))))))))))</f>
        <v>0</v>
      </c>
      <c r="AC245" s="17">
        <f>IF($A245,$J245*(IF(S245=regle!$B$11,regle!$B$23*IF(AL245=-2,1+regle!$B$35,1),
IF(S245=regle!$C$11,regle!$C$23,
IF(S245=regle!$D$11,regle!$D$23,
IF(S245=regle!$E$11,regle!$E$23,
IF(S245=regle!$F$11,regle!$F$23,
IF(S245=regle!$G$11,regle!$G$23,
IF(S245=regle!$H$11,regle!$H$23,
IF(S245=regle!$I$11,regle!$I$23,
IF(S245=regle!$J$11,regle!$J$23,
IF(S245=regle!$K$11,regle!$K$23,0))))))))))))</f>
        <v>1588.44</v>
      </c>
      <c r="AD245" s="17">
        <f>IF($A245,$J245*(IF(T245=regle!$B$11,regle!$B$23*IF(AM245=-2,1+regle!$B$35,1),
IF(T245=regle!$C$11,regle!$C$23,
IF(T245=regle!$D$11,regle!$D$23,
IF(T245=regle!$E$11,regle!$E$23,
IF(T245=regle!$F$11,regle!$F$23,
IF(T245=regle!$G$11,regle!$G$23,
IF(T245=regle!$H$11,regle!$H$23,
IF(T245=regle!$I$11,regle!$I$23,
IF(T245=regle!$J$11,regle!$J$23,
IF(T245=regle!$K$11,regle!$K$23,0))))))))))))</f>
        <v>0</v>
      </c>
      <c r="AE245" s="17">
        <f>IF($A245,$J245*(IF(U245=regle!$B$11,regle!$B$23*IF(AN245=-2,1+regle!$B$35,1),
IF(U245=regle!$C$11,regle!$C$23,
IF(U245=regle!$D$11,regle!$D$23,
IF(U245=regle!$E$11,regle!$E$23,
IF(U245=regle!$F$11,regle!$F$23,
IF(U245=regle!$G$11,regle!$G$23,
IF(U245=regle!$H$11,regle!$H$23,
IF(U245=regle!$I$11,regle!$I$23,
IF(U245=regle!$J$11,regle!$J$23,
IF(U245=regle!$K$11,regle!$K$23,0))))))))))))</f>
        <v>0</v>
      </c>
      <c r="AF245" s="17">
        <f>IF($A245,$J245*(IF(V245=regle!$B$11,regle!$B$23*IF(AO245=-2,1+regle!$B$35,1),
IF(V245=regle!$C$11,regle!$C$23,
IF(V245=regle!$D$11,regle!$D$23,
IF(V245=regle!$E$11,regle!$E$23,
IF(V245=regle!$F$11,regle!$F$23,
IF(V245=regle!$G$11,regle!$G$23,
IF(V245=regle!$H$11,regle!$H$23,
IF(V245=regle!$I$11,regle!$I$23,
IF(V245=regle!$J$11,regle!$J$23,
IF(V245=regle!$K$11,regle!$K$23,0))))))))))))</f>
        <v>0</v>
      </c>
      <c r="AG245" s="17">
        <f>IF($A245,$J245*(IF(W245=regle!$B$11,regle!$B$23*IF(AP245=-2,1+regle!$B$35,1),
IF(W245=regle!$C$11,regle!$C$23,
IF(W245=regle!$D$11,regle!$D$23,
IF(W245=regle!$E$11,regle!$E$23,
IF(W245=regle!$F$11,regle!$F$23,
IF(W245=regle!$G$11,regle!$G$23,
IF(W245=regle!$H$11,regle!$H$23,
IF(W245=regle!$I$11,regle!$I$23,
IF(W245=regle!$J$11,regle!$J$23,
IF(W245=regle!$K$11,regle!$K$23,0))))))))))))</f>
        <v>0</v>
      </c>
      <c r="AH245" s="17">
        <f>IF($A245,$J245*(IF(X245=regle!$B$11,regle!$B$23*IF(AQ245=-2,1+regle!$B$35,1),
IF(X245=regle!$C$11,regle!$C$23,
IF(X245=regle!$D$11,regle!$D$23,
IF(X245=regle!$E$11,regle!$E$23,
IF(X245=regle!$F$11,regle!$F$23,
IF(X245=regle!$G$11,regle!$G$23,
IF(X245=regle!$H$11,regle!$H$23,
IF(X245=regle!$I$11,regle!$I$23,
IF(X245=regle!$J$11,regle!$J$23,
IF(X245=regle!$K$11,regle!$K$23,0))))))))))))</f>
        <v>2662.5280000000002</v>
      </c>
      <c r="AI245" s="17">
        <f>IF($A245,$J245*(IF(Y245=regle!$B$11,regle!$B$23*IF(AR245=-2,1+regle!$B$35,1),
IF(Y245=regle!$C$11,regle!$C$23,
IF(Y245=regle!$D$11,regle!$D$23,
IF(Y245=regle!$E$11,regle!$E$23,
IF(Y245=regle!$F$11,regle!$F$23,
IF(Y245=regle!$G$11,regle!$G$23,
IF(Y245=regle!$H$11,regle!$H$23,
IF(Y245=regle!$I$11,regle!$I$23,
IF(Y245=regle!$J$11,regle!$J$23,
IF(Y245=regle!$K$11,regle!$K$23,0))))))))))))</f>
        <v>0</v>
      </c>
      <c r="AJ245" s="17">
        <f>IF($A245,$J245*(IF(Z245=regle!$B$11,regle!$B$23*IF(AS245=-2,1+regle!$B$35,1),
IF(Z245=regle!$C$11,regle!$C$23,
IF(Z245=regle!$D$11,regle!$D$23,
IF(Z245=regle!$E$11,regle!$E$23,
IF(Z245=regle!$F$11,regle!$F$23,
IF(Z245=regle!$G$11,regle!$G$23,
IF(Z245=regle!$H$11,regle!$H$23,
IF(Z245=regle!$I$11,regle!$I$23,
IF(Z245=regle!$J$11,regle!$J$23,
IF(Z245=regle!$K$11,regle!$K$23,0))))))))))))</f>
        <v>0</v>
      </c>
      <c r="AK245" s="16">
        <f>IF(OR(Q245=regle!$J$11,Q245=regle!$K$11),-2,IF(Q245=regle!$B$11,0,IF(AK$1=$AK$1,IF($O245,-1,regle!$B$2-$M245),IF(AJ245=-1,-1,AJ245+1))))</f>
        <v>15</v>
      </c>
      <c r="AL245" s="16">
        <f>IF(OR(R245=regle!$J$11,R245=regle!$K$11),-2,IF(R245=regle!$B$11,0,IF(AL$1=$AK$1,IF($O245,-1,regle!$B$2-$M245),IF(AK245=-1,-1,AK245+1))))</f>
        <v>16</v>
      </c>
      <c r="AM245" s="16">
        <f>IF(OR(S245=regle!$J$11,S245=regle!$K$11),-2,IF(S245=regle!$B$11,0,IF(AM$1=$AK$1,IF($O245,-1,regle!$B$2-$M245),IF(AL245=-1,-1,AL245+1))))</f>
        <v>17</v>
      </c>
      <c r="AN245" s="16">
        <f>IF(OR(T245=regle!$J$11,T245=regle!$K$11),-2,IF(T245=regle!$B$11,0,IF(AN$1=$AK$1,IF($O245,-1,regle!$B$2-$M245),IF(AM245=-1,-1,AM245+1))))</f>
        <v>18</v>
      </c>
      <c r="AO245" s="16">
        <f>IF(OR(U245=regle!$J$11,U245=regle!$K$11),-2,IF(U245=regle!$B$11,0,IF(AO$1=$AK$1,IF($O245,-1,regle!$B$2-$M245),IF(AN245=-1,-1,AN245+1))))</f>
        <v>19</v>
      </c>
      <c r="AP245" s="16">
        <f>IF(OR(V245=regle!$J$11,V245=regle!$K$11),-2,IF(V245=regle!$B$11,0,IF(AP$1=$AK$1,IF($O245,-1,regle!$B$2-$M245),IF(AO245=-1,-1,AO245+1))))</f>
        <v>20</v>
      </c>
      <c r="AQ245" s="16">
        <f>IF(OR(W245=regle!$J$11,W245=regle!$K$11),-2,IF(W245=regle!$B$11,0,IF(AQ$1=$AK$1,IF($O245,-1,regle!$B$2-$M245),IF(AP245=-1,-1,AP245+1))))</f>
        <v>21</v>
      </c>
      <c r="AR245" s="16">
        <f>IF(OR(X245=regle!$J$11,X245=regle!$K$11),-2,IF(X245=regle!$B$11,0,IF(AR$1=$AK$1,IF($O245,-1,regle!$B$2-$M245),IF(AQ245=-1,-1,AQ245+1))))</f>
        <v>22</v>
      </c>
      <c r="AS245" s="16">
        <f>IF(OR(Y245=regle!$J$11,Y245=regle!$K$11),-2,IF(Y245=regle!$B$11,0,IF(AS$1=$AK$1,IF($O245,-1,regle!$B$2-$M245),IF(AR245=-1,-1,AR245+1))))</f>
        <v>23</v>
      </c>
      <c r="AT245" s="16">
        <f>IF(OR(Z245=regle!$J$11,Z245=regle!$K$11),-2,IF(Z245=regle!$B$11,0,IF(AT$1=$AK$1,IF($O245,-1,regle!$B$2-$M245),IF(AS245=-1,-1,AS245+1))))</f>
        <v>24</v>
      </c>
    </row>
    <row r="246" spans="1:46" x14ac:dyDescent="0.25">
      <c r="A246" t="b">
        <f>modif1!A246</f>
        <v>1</v>
      </c>
      <c r="B246">
        <f>ROW(modif1!B246)</f>
        <v>246</v>
      </c>
      <c r="C246" t="str">
        <f>modif1!C249</f>
        <v>200</v>
      </c>
      <c r="D246" t="str">
        <f>modif1!D246</f>
        <v>LE TUZAN</v>
      </c>
      <c r="E246">
        <f>modif1!E246</f>
        <v>21</v>
      </c>
      <c r="F246" t="str">
        <f>modif1!F246</f>
        <v>METAIRIES DE TABARTON</v>
      </c>
      <c r="G246" t="str">
        <f>modif1!G246</f>
        <v>0A</v>
      </c>
      <c r="H246">
        <f>modif1!H246</f>
        <v>418</v>
      </c>
      <c r="I246" t="str">
        <f>modif1!I246</f>
        <v/>
      </c>
      <c r="J246" s="11">
        <f>modif1!J246</f>
        <v>1.0900000000000001</v>
      </c>
      <c r="K246" t="str">
        <f>modif1!K246</f>
        <v>PLA</v>
      </c>
      <c r="L246" t="str">
        <f>modif1!L246</f>
        <v>PM</v>
      </c>
      <c r="M246">
        <f>modif1!M246</f>
        <v>2009</v>
      </c>
      <c r="N246" t="str">
        <f>modif1!N246</f>
        <v>PLA-PM_2009</v>
      </c>
      <c r="O246" t="b">
        <f>modif1!O246</f>
        <v>0</v>
      </c>
      <c r="P246">
        <v>40</v>
      </c>
      <c r="S246" t="s">
        <v>1804</v>
      </c>
      <c r="X246" t="s">
        <v>1805</v>
      </c>
      <c r="Z246"/>
      <c r="AA246" s="17">
        <f>IF($A246,$J246*(IF(Q246=regle!$B$11,regle!$B$23*IF(AJ246=-2,1+regle!$B$35,1),
IF(Q246=regle!$C$11,regle!$C$23,
IF(Q246=regle!$D$11,regle!$D$23,
IF(Q246=regle!$E$11,regle!$E$23,
IF(Q246=regle!$F$11,regle!$F$23,
IF(Q246=regle!$G$11,regle!$G$23,
IF(Q246=regle!$H$11,regle!$H$23,
IF(Q246=regle!$I$11,regle!$I$23,
IF(Q246=regle!$J$11,regle!$J$23,
IF(Q246=regle!$K$11,regle!$K$23,0))))))))))))</f>
        <v>0</v>
      </c>
      <c r="AB246" s="17">
        <f>IF($A246,$J246*(IF(R246=regle!$B$11,regle!$B$23*IF(AK246=-2,1+regle!$B$35,1),
IF(R246=regle!$C$11,regle!$C$23,
IF(R246=regle!$D$11,regle!$D$23,
IF(R246=regle!$E$11,regle!$E$23,
IF(R246=regle!$F$11,regle!$F$23,
IF(R246=regle!$G$11,regle!$G$23,
IF(R246=regle!$H$11,regle!$H$23,
IF(R246=regle!$I$11,regle!$I$23,
IF(R246=regle!$J$11,regle!$J$23,
IF(R246=regle!$K$11,regle!$K$23,0))))))))))))</f>
        <v>0</v>
      </c>
      <c r="AC246" s="17">
        <f>IF($A246,$J246*(IF(S246=regle!$B$11,regle!$B$23*IF(AL246=-2,1+regle!$B$35,1),
IF(S246=regle!$C$11,regle!$C$23,
IF(S246=regle!$D$11,regle!$D$23,
IF(S246=regle!$E$11,regle!$E$23,
IF(S246=regle!$F$11,regle!$F$23,
IF(S246=regle!$G$11,regle!$G$23,
IF(S246=regle!$H$11,regle!$H$23,
IF(S246=regle!$I$11,regle!$I$23,
IF(S246=regle!$J$11,regle!$J$23,
IF(S246=regle!$K$11,regle!$K$23,0))))))))))))</f>
        <v>915.6</v>
      </c>
      <c r="AD246" s="17">
        <f>IF($A246,$J246*(IF(T246=regle!$B$11,regle!$B$23*IF(AM246=-2,1+regle!$B$35,1),
IF(T246=regle!$C$11,regle!$C$23,
IF(T246=regle!$D$11,regle!$D$23,
IF(T246=regle!$E$11,regle!$E$23,
IF(T246=regle!$F$11,regle!$F$23,
IF(T246=regle!$G$11,regle!$G$23,
IF(T246=regle!$H$11,regle!$H$23,
IF(T246=regle!$I$11,regle!$I$23,
IF(T246=regle!$J$11,regle!$J$23,
IF(T246=regle!$K$11,regle!$K$23,0))))))))))))</f>
        <v>0</v>
      </c>
      <c r="AE246" s="17">
        <f>IF($A246,$J246*(IF(U246=regle!$B$11,regle!$B$23*IF(AN246=-2,1+regle!$B$35,1),
IF(U246=regle!$C$11,regle!$C$23,
IF(U246=regle!$D$11,regle!$D$23,
IF(U246=regle!$E$11,regle!$E$23,
IF(U246=regle!$F$11,regle!$F$23,
IF(U246=regle!$G$11,regle!$G$23,
IF(U246=regle!$H$11,regle!$H$23,
IF(U246=regle!$I$11,regle!$I$23,
IF(U246=regle!$J$11,regle!$J$23,
IF(U246=regle!$K$11,regle!$K$23,0))))))))))))</f>
        <v>0</v>
      </c>
      <c r="AF246" s="17">
        <f>IF($A246,$J246*(IF(V246=regle!$B$11,regle!$B$23*IF(AO246=-2,1+regle!$B$35,1),
IF(V246=regle!$C$11,regle!$C$23,
IF(V246=regle!$D$11,regle!$D$23,
IF(V246=regle!$E$11,regle!$E$23,
IF(V246=regle!$F$11,regle!$F$23,
IF(V246=regle!$G$11,regle!$G$23,
IF(V246=regle!$H$11,regle!$H$23,
IF(V246=regle!$I$11,regle!$I$23,
IF(V246=regle!$J$11,regle!$J$23,
IF(V246=regle!$K$11,regle!$K$23,0))))))))))))</f>
        <v>0</v>
      </c>
      <c r="AG246" s="17">
        <f>IF($A246,$J246*(IF(W246=regle!$B$11,regle!$B$23*IF(AP246=-2,1+regle!$B$35,1),
IF(W246=regle!$C$11,regle!$C$23,
IF(W246=regle!$D$11,regle!$D$23,
IF(W246=regle!$E$11,regle!$E$23,
IF(W246=regle!$F$11,regle!$F$23,
IF(W246=regle!$G$11,regle!$G$23,
IF(W246=regle!$H$11,regle!$H$23,
IF(W246=regle!$I$11,regle!$I$23,
IF(W246=regle!$J$11,regle!$J$23,
IF(W246=regle!$K$11,regle!$K$23,0))))))))))))</f>
        <v>0</v>
      </c>
      <c r="AH246" s="17">
        <f>IF($A246,$J246*(IF(X246=regle!$B$11,regle!$B$23*IF(AQ246=-2,1+regle!$B$35,1),
IF(X246=regle!$C$11,regle!$C$23,
IF(X246=regle!$D$11,regle!$D$23,
IF(X246=regle!$E$11,regle!$E$23,
IF(X246=regle!$F$11,regle!$F$23,
IF(X246=regle!$G$11,regle!$G$23,
IF(X246=regle!$H$11,regle!$H$23,
IF(X246=regle!$I$11,regle!$I$23,
IF(X246=regle!$J$11,regle!$J$23,
IF(X246=regle!$K$11,regle!$K$23,0))))))))))))</f>
        <v>1534.72</v>
      </c>
      <c r="AI246" s="17">
        <f>IF($A246,$J246*(IF(Y246=regle!$B$11,regle!$B$23*IF(AR246=-2,1+regle!$B$35,1),
IF(Y246=regle!$C$11,regle!$C$23,
IF(Y246=regle!$D$11,regle!$D$23,
IF(Y246=regle!$E$11,regle!$E$23,
IF(Y246=regle!$F$11,regle!$F$23,
IF(Y246=regle!$G$11,regle!$G$23,
IF(Y246=regle!$H$11,regle!$H$23,
IF(Y246=regle!$I$11,regle!$I$23,
IF(Y246=regle!$J$11,regle!$J$23,
IF(Y246=regle!$K$11,regle!$K$23,0))))))))))))</f>
        <v>0</v>
      </c>
      <c r="AJ246" s="17">
        <f>IF($A246,$J246*(IF(Z246=regle!$B$11,regle!$B$23*IF(AS246=-2,1+regle!$B$35,1),
IF(Z246=regle!$C$11,regle!$C$23,
IF(Z246=regle!$D$11,regle!$D$23,
IF(Z246=regle!$E$11,regle!$E$23,
IF(Z246=regle!$F$11,regle!$F$23,
IF(Z246=regle!$G$11,regle!$G$23,
IF(Z246=regle!$H$11,regle!$H$23,
IF(Z246=regle!$I$11,regle!$I$23,
IF(Z246=regle!$J$11,regle!$J$23,
IF(Z246=regle!$K$11,regle!$K$23,0))))))))))))</f>
        <v>0</v>
      </c>
      <c r="AK246" s="16">
        <f>IF(OR(Q246=regle!$J$11,Q246=regle!$K$11),-2,IF(Q246=regle!$B$11,0,IF(AK$1=$AK$1,IF($O246,-1,regle!$B$2-$M246),IF(AJ246=-1,-1,AJ246+1))))</f>
        <v>15</v>
      </c>
      <c r="AL246" s="16">
        <f>IF(OR(R246=regle!$J$11,R246=regle!$K$11),-2,IF(R246=regle!$B$11,0,IF(AL$1=$AK$1,IF($O246,-1,regle!$B$2-$M246),IF(AK246=-1,-1,AK246+1))))</f>
        <v>16</v>
      </c>
      <c r="AM246" s="16">
        <f>IF(OR(S246=regle!$J$11,S246=regle!$K$11),-2,IF(S246=regle!$B$11,0,IF(AM$1=$AK$1,IF($O246,-1,regle!$B$2-$M246),IF(AL246=-1,-1,AL246+1))))</f>
        <v>17</v>
      </c>
      <c r="AN246" s="16">
        <f>IF(OR(T246=regle!$J$11,T246=regle!$K$11),-2,IF(T246=regle!$B$11,0,IF(AN$1=$AK$1,IF($O246,-1,regle!$B$2-$M246),IF(AM246=-1,-1,AM246+1))))</f>
        <v>18</v>
      </c>
      <c r="AO246" s="16">
        <f>IF(OR(U246=regle!$J$11,U246=regle!$K$11),-2,IF(U246=regle!$B$11,0,IF(AO$1=$AK$1,IF($O246,-1,regle!$B$2-$M246),IF(AN246=-1,-1,AN246+1))))</f>
        <v>19</v>
      </c>
      <c r="AP246" s="16">
        <f>IF(OR(V246=regle!$J$11,V246=regle!$K$11),-2,IF(V246=regle!$B$11,0,IF(AP$1=$AK$1,IF($O246,-1,regle!$B$2-$M246),IF(AO246=-1,-1,AO246+1))))</f>
        <v>20</v>
      </c>
      <c r="AQ246" s="16">
        <f>IF(OR(W246=regle!$J$11,W246=regle!$K$11),-2,IF(W246=regle!$B$11,0,IF(AQ$1=$AK$1,IF($O246,-1,regle!$B$2-$M246),IF(AP246=-1,-1,AP246+1))))</f>
        <v>21</v>
      </c>
      <c r="AR246" s="16">
        <f>IF(OR(X246=regle!$J$11,X246=regle!$K$11),-2,IF(X246=regle!$B$11,0,IF(AR$1=$AK$1,IF($O246,-1,regle!$B$2-$M246),IF(AQ246=-1,-1,AQ246+1))))</f>
        <v>22</v>
      </c>
      <c r="AS246" s="16">
        <f>IF(OR(Y246=regle!$J$11,Y246=regle!$K$11),-2,IF(Y246=regle!$B$11,0,IF(AS$1=$AK$1,IF($O246,-1,regle!$B$2-$M246),IF(AR246=-1,-1,AR246+1))))</f>
        <v>23</v>
      </c>
      <c r="AT246" s="16">
        <f>IF(OR(Z246=regle!$J$11,Z246=regle!$K$11),-2,IF(Z246=regle!$B$11,0,IF(AT$1=$AK$1,IF($O246,-1,regle!$B$2-$M246),IF(AS246=-1,-1,AS246+1))))</f>
        <v>24</v>
      </c>
    </row>
    <row r="247" spans="1:46" x14ac:dyDescent="0.25">
      <c r="A247" t="b">
        <f>modif1!A247</f>
        <v>1</v>
      </c>
      <c r="B247">
        <f>ROW(modif1!B247)</f>
        <v>247</v>
      </c>
      <c r="C247" t="str">
        <f>modif1!C250</f>
        <v>202</v>
      </c>
      <c r="D247" t="str">
        <f>modif1!D247</f>
        <v>HOSTENS</v>
      </c>
      <c r="E247">
        <f>modif1!E247</f>
        <v>13</v>
      </c>
      <c r="F247" t="str">
        <f>modif1!F247</f>
        <v>LA BROUSTETTE</v>
      </c>
      <c r="G247" t="str">
        <f>modif1!G247</f>
        <v>0B</v>
      </c>
      <c r="H247">
        <f>modif1!H247</f>
        <v>1249</v>
      </c>
      <c r="I247" t="str">
        <f>modif1!I247</f>
        <v>j</v>
      </c>
      <c r="J247" s="11">
        <f>modif1!J247</f>
        <v>5.2428999999999997</v>
      </c>
      <c r="K247" t="str">
        <f>modif1!K247</f>
        <v>PLA</v>
      </c>
      <c r="L247" t="str">
        <f>modif1!L247</f>
        <v>PM</v>
      </c>
      <c r="M247">
        <f>modif1!M247</f>
        <v>2008</v>
      </c>
      <c r="N247" t="str">
        <f>modif1!N247</f>
        <v>PLA-PM_2008</v>
      </c>
      <c r="O247" t="b">
        <f>modif1!O247</f>
        <v>0</v>
      </c>
      <c r="P247">
        <v>40</v>
      </c>
      <c r="Z247" t="s">
        <v>1181</v>
      </c>
      <c r="AA247" s="17">
        <f>IF($A247,$J247*(IF(Q247=regle!$B$11,regle!$B$23*IF(AJ247=-2,1+regle!$B$35,1),
IF(Q247=regle!$C$11,regle!$C$23,
IF(Q247=regle!$D$11,regle!$D$23,
IF(Q247=regle!$E$11,regle!$E$23,
IF(Q247=regle!$F$11,regle!$F$23,
IF(Q247=regle!$G$11,regle!$G$23,
IF(Q247=regle!$H$11,regle!$H$23,
IF(Q247=regle!$I$11,regle!$I$23,
IF(Q247=regle!$J$11,regle!$J$23,
IF(Q247=regle!$K$11,regle!$K$23,0))))))))))))</f>
        <v>0</v>
      </c>
      <c r="AB247" s="17">
        <f>IF($A247,$J247*(IF(R247=regle!$B$11,regle!$B$23*IF(AK247=-2,1+regle!$B$35,1),
IF(R247=regle!$C$11,regle!$C$23,
IF(R247=regle!$D$11,regle!$D$23,
IF(R247=regle!$E$11,regle!$E$23,
IF(R247=regle!$F$11,regle!$F$23,
IF(R247=regle!$G$11,regle!$G$23,
IF(R247=regle!$H$11,regle!$H$23,
IF(R247=regle!$I$11,regle!$I$23,
IF(R247=regle!$J$11,regle!$J$23,
IF(R247=regle!$K$11,regle!$K$23,0))))))))))))</f>
        <v>0</v>
      </c>
      <c r="AC247" s="17">
        <f>IF($A247,$J247*(IF(S247=regle!$B$11,regle!$B$23*IF(AL247=-2,1+regle!$B$35,1),
IF(S247=regle!$C$11,regle!$C$23,
IF(S247=regle!$D$11,regle!$D$23,
IF(S247=regle!$E$11,regle!$E$23,
IF(S247=regle!$F$11,regle!$F$23,
IF(S247=regle!$G$11,regle!$G$23,
IF(S247=regle!$H$11,regle!$H$23,
IF(S247=regle!$I$11,regle!$I$23,
IF(S247=regle!$J$11,regle!$J$23,
IF(S247=regle!$K$11,regle!$K$23,0))))))))))))</f>
        <v>0</v>
      </c>
      <c r="AD247" s="17">
        <f>IF($A247,$J247*(IF(T247=regle!$B$11,regle!$B$23*IF(AM247=-2,1+regle!$B$35,1),
IF(T247=regle!$C$11,regle!$C$23,
IF(T247=regle!$D$11,regle!$D$23,
IF(T247=regle!$E$11,regle!$E$23,
IF(T247=regle!$F$11,regle!$F$23,
IF(T247=regle!$G$11,regle!$G$23,
IF(T247=regle!$H$11,regle!$H$23,
IF(T247=regle!$I$11,regle!$I$23,
IF(T247=regle!$J$11,regle!$J$23,
IF(T247=regle!$K$11,regle!$K$23,0))))))))))))</f>
        <v>0</v>
      </c>
      <c r="AE247" s="17">
        <f>IF($A247,$J247*(IF(U247=regle!$B$11,regle!$B$23*IF(AN247=-2,1+regle!$B$35,1),
IF(U247=regle!$C$11,regle!$C$23,
IF(U247=regle!$D$11,regle!$D$23,
IF(U247=regle!$E$11,regle!$E$23,
IF(U247=regle!$F$11,regle!$F$23,
IF(U247=regle!$G$11,regle!$G$23,
IF(U247=regle!$H$11,regle!$H$23,
IF(U247=regle!$I$11,regle!$I$23,
IF(U247=regle!$J$11,regle!$J$23,
IF(U247=regle!$K$11,regle!$K$23,0))))))))))))</f>
        <v>0</v>
      </c>
      <c r="AF247" s="17">
        <f>IF($A247,$J247*(IF(V247=regle!$B$11,regle!$B$23*IF(AO247=-2,1+regle!$B$35,1),
IF(V247=regle!$C$11,regle!$C$23,
IF(V247=regle!$D$11,regle!$D$23,
IF(V247=regle!$E$11,regle!$E$23,
IF(V247=regle!$F$11,regle!$F$23,
IF(V247=regle!$G$11,regle!$G$23,
IF(V247=regle!$H$11,regle!$H$23,
IF(V247=regle!$I$11,regle!$I$23,
IF(V247=regle!$J$11,regle!$J$23,
IF(V247=regle!$K$11,regle!$K$23,0))))))))))))</f>
        <v>0</v>
      </c>
      <c r="AG247" s="17">
        <f>IF($A247,$J247*(IF(W247=regle!$B$11,regle!$B$23*IF(AP247=-2,1+regle!$B$35,1),
IF(W247=regle!$C$11,regle!$C$23,
IF(W247=regle!$D$11,regle!$D$23,
IF(W247=regle!$E$11,regle!$E$23,
IF(W247=regle!$F$11,regle!$F$23,
IF(W247=regle!$G$11,regle!$G$23,
IF(W247=regle!$H$11,regle!$H$23,
IF(W247=regle!$I$11,regle!$I$23,
IF(W247=regle!$J$11,regle!$J$23,
IF(W247=regle!$K$11,regle!$K$23,0))))))))))))</f>
        <v>0</v>
      </c>
      <c r="AH247" s="17">
        <f>IF($A247,$J247*(IF(X247=regle!$B$11,regle!$B$23*IF(AQ247=-2,1+regle!$B$35,1),
IF(X247=regle!$C$11,regle!$C$23,
IF(X247=regle!$D$11,regle!$D$23,
IF(X247=regle!$E$11,regle!$E$23,
IF(X247=regle!$F$11,regle!$F$23,
IF(X247=regle!$G$11,regle!$G$23,
IF(X247=regle!$H$11,regle!$H$23,
IF(X247=regle!$I$11,regle!$I$23,
IF(X247=regle!$J$11,regle!$J$23,
IF(X247=regle!$K$11,regle!$K$23,0))))))))))))</f>
        <v>0</v>
      </c>
      <c r="AI247" s="17">
        <f>IF($A247,$J247*(IF(Y247=regle!$B$11,regle!$B$23*IF(AR247=-2,1+regle!$B$35,1),
IF(Y247=regle!$C$11,regle!$C$23,
IF(Y247=regle!$D$11,regle!$D$23,
IF(Y247=regle!$E$11,regle!$E$23,
IF(Y247=regle!$F$11,regle!$F$23,
IF(Y247=regle!$G$11,regle!$G$23,
IF(Y247=regle!$H$11,regle!$H$23,
IF(Y247=regle!$I$11,regle!$I$23,
IF(Y247=regle!$J$11,regle!$J$23,
IF(Y247=regle!$K$11,regle!$K$23,0))))))))))))</f>
        <v>0</v>
      </c>
      <c r="AJ247" s="17">
        <f>IF($A247,$J247*(IF(Z247=regle!$B$11,regle!$B$23*IF(AS247=-2,1+regle!$B$35,1),
IF(Z247=regle!$C$11,regle!$C$23,
IF(Z247=regle!$D$11,regle!$D$23,
IF(Z247=regle!$E$11,regle!$E$23,
IF(Z247=regle!$F$11,regle!$F$23,
IF(Z247=regle!$G$11,regle!$G$23,
IF(Z247=regle!$H$11,regle!$H$23,
IF(Z247=regle!$I$11,regle!$I$23,
IF(Z247=regle!$J$11,regle!$J$23,
IF(Z247=regle!$K$11,regle!$K$23,0))))))))))))</f>
        <v>27263.079999999998</v>
      </c>
      <c r="AK247" s="16">
        <f>IF(OR(Q247=regle!$J$11,Q247=regle!$K$11),-2,IF(Q247=regle!$B$11,0,IF(AK$1=$AK$1,IF($O247,-1,regle!$B$2-$M247),IF(AJ247=-1,-1,AJ247+1))))</f>
        <v>16</v>
      </c>
      <c r="AL247" s="16">
        <f>IF(OR(R247=regle!$J$11,R247=regle!$K$11),-2,IF(R247=regle!$B$11,0,IF(AL$1=$AK$1,IF($O247,-1,regle!$B$2-$M247),IF(AK247=-1,-1,AK247+1))))</f>
        <v>17</v>
      </c>
      <c r="AM247" s="16">
        <f>IF(OR(S247=regle!$J$11,S247=regle!$K$11),-2,IF(S247=regle!$B$11,0,IF(AM$1=$AK$1,IF($O247,-1,regle!$B$2-$M247),IF(AL247=-1,-1,AL247+1))))</f>
        <v>18</v>
      </c>
      <c r="AN247" s="16">
        <f>IF(OR(T247=regle!$J$11,T247=regle!$K$11),-2,IF(T247=regle!$B$11,0,IF(AN$1=$AK$1,IF($O247,-1,regle!$B$2-$M247),IF(AM247=-1,-1,AM247+1))))</f>
        <v>19</v>
      </c>
      <c r="AO247" s="16">
        <f>IF(OR(U247=regle!$J$11,U247=regle!$K$11),-2,IF(U247=regle!$B$11,0,IF(AO$1=$AK$1,IF($O247,-1,regle!$B$2-$M247),IF(AN247=-1,-1,AN247+1))))</f>
        <v>20</v>
      </c>
      <c r="AP247" s="16">
        <f>IF(OR(V247=regle!$J$11,V247=regle!$K$11),-2,IF(V247=regle!$B$11,0,IF(AP$1=$AK$1,IF($O247,-1,regle!$B$2-$M247),IF(AO247=-1,-1,AO247+1))))</f>
        <v>21</v>
      </c>
      <c r="AQ247" s="16">
        <f>IF(OR(W247=regle!$J$11,W247=regle!$K$11),-2,IF(W247=regle!$B$11,0,IF(AQ$1=$AK$1,IF($O247,-1,regle!$B$2-$M247),IF(AP247=-1,-1,AP247+1))))</f>
        <v>22</v>
      </c>
      <c r="AR247" s="16">
        <f>IF(OR(X247=regle!$J$11,X247=regle!$K$11),-2,IF(X247=regle!$B$11,0,IF(AR$1=$AK$1,IF($O247,-1,regle!$B$2-$M247),IF(AQ247=-1,-1,AQ247+1))))</f>
        <v>23</v>
      </c>
      <c r="AS247" s="16">
        <f>IF(OR(Y247=regle!$J$11,Y247=regle!$K$11),-2,IF(Y247=regle!$B$11,0,IF(AS$1=$AK$1,IF($O247,-1,regle!$B$2-$M247),IF(AR247=-1,-1,AR247+1))))</f>
        <v>24</v>
      </c>
      <c r="AT247" s="16">
        <f>IF(OR(Z247=regle!$J$11,Z247=regle!$K$11),-2,IF(Z247=regle!$B$11,0,IF(AT$1=$AK$1,IF($O247,-1,regle!$B$2-$M247),IF(AS247=-1,-1,AS247+1))))</f>
        <v>-2</v>
      </c>
    </row>
    <row r="248" spans="1:46" x14ac:dyDescent="0.25">
      <c r="A248" t="b">
        <f>modif1!A248</f>
        <v>1</v>
      </c>
      <c r="B248">
        <f>ROW(modif1!B248)</f>
        <v>248</v>
      </c>
      <c r="C248" t="str">
        <f>modif1!C251</f>
        <v>202</v>
      </c>
      <c r="D248" t="str">
        <f>modif1!D248</f>
        <v>HOSTENS</v>
      </c>
      <c r="E248">
        <f>modif1!E248</f>
        <v>13</v>
      </c>
      <c r="F248" t="str">
        <f>modif1!F248</f>
        <v>LA BROUSTETTE</v>
      </c>
      <c r="G248" t="str">
        <f>modif1!G248</f>
        <v>0B</v>
      </c>
      <c r="H248">
        <f>modif1!H248</f>
        <v>1244</v>
      </c>
      <c r="I248" t="str">
        <f>modif1!I248</f>
        <v>j</v>
      </c>
      <c r="J248" s="11">
        <f>modif1!J248</f>
        <v>1.3512</v>
      </c>
      <c r="K248" t="str">
        <f>modif1!K248</f>
        <v>PLA</v>
      </c>
      <c r="L248" t="str">
        <f>modif1!L248</f>
        <v>PM</v>
      </c>
      <c r="M248">
        <f>modif1!M248</f>
        <v>2008</v>
      </c>
      <c r="N248" t="str">
        <f>modif1!N248</f>
        <v>PLA-PM_2008</v>
      </c>
      <c r="O248" t="b">
        <f>modif1!O248</f>
        <v>0</v>
      </c>
      <c r="P248">
        <v>40</v>
      </c>
      <c r="Z248" t="s">
        <v>1181</v>
      </c>
      <c r="AA248" s="17">
        <f>IF($A248,$J248*(IF(Q248=regle!$B$11,regle!$B$23*IF(AJ248=-2,1+regle!$B$35,1),
IF(Q248=regle!$C$11,regle!$C$23,
IF(Q248=regle!$D$11,regle!$D$23,
IF(Q248=regle!$E$11,regle!$E$23,
IF(Q248=regle!$F$11,regle!$F$23,
IF(Q248=regle!$G$11,regle!$G$23,
IF(Q248=regle!$H$11,regle!$H$23,
IF(Q248=regle!$I$11,regle!$I$23,
IF(Q248=regle!$J$11,regle!$J$23,
IF(Q248=regle!$K$11,regle!$K$23,0))))))))))))</f>
        <v>0</v>
      </c>
      <c r="AB248" s="17">
        <f>IF($A248,$J248*(IF(R248=regle!$B$11,regle!$B$23*IF(AK248=-2,1+regle!$B$35,1),
IF(R248=regle!$C$11,regle!$C$23,
IF(R248=regle!$D$11,regle!$D$23,
IF(R248=regle!$E$11,regle!$E$23,
IF(R248=regle!$F$11,regle!$F$23,
IF(R248=regle!$G$11,regle!$G$23,
IF(R248=regle!$H$11,regle!$H$23,
IF(R248=regle!$I$11,regle!$I$23,
IF(R248=regle!$J$11,regle!$J$23,
IF(R248=regle!$K$11,regle!$K$23,0))))))))))))</f>
        <v>0</v>
      </c>
      <c r="AC248" s="17">
        <f>IF($A248,$J248*(IF(S248=regle!$B$11,regle!$B$23*IF(AL248=-2,1+regle!$B$35,1),
IF(S248=regle!$C$11,regle!$C$23,
IF(S248=regle!$D$11,regle!$D$23,
IF(S248=regle!$E$11,regle!$E$23,
IF(S248=regle!$F$11,regle!$F$23,
IF(S248=regle!$G$11,regle!$G$23,
IF(S248=regle!$H$11,regle!$H$23,
IF(S248=regle!$I$11,regle!$I$23,
IF(S248=regle!$J$11,regle!$J$23,
IF(S248=regle!$K$11,regle!$K$23,0))))))))))))</f>
        <v>0</v>
      </c>
      <c r="AD248" s="17">
        <f>IF($A248,$J248*(IF(T248=regle!$B$11,regle!$B$23*IF(AM248=-2,1+regle!$B$35,1),
IF(T248=regle!$C$11,regle!$C$23,
IF(T248=regle!$D$11,regle!$D$23,
IF(T248=regle!$E$11,regle!$E$23,
IF(T248=regle!$F$11,regle!$F$23,
IF(T248=regle!$G$11,regle!$G$23,
IF(T248=regle!$H$11,regle!$H$23,
IF(T248=regle!$I$11,regle!$I$23,
IF(T248=regle!$J$11,regle!$J$23,
IF(T248=regle!$K$11,regle!$K$23,0))))))))))))</f>
        <v>0</v>
      </c>
      <c r="AE248" s="17">
        <f>IF($A248,$J248*(IF(U248=regle!$B$11,regle!$B$23*IF(AN248=-2,1+regle!$B$35,1),
IF(U248=regle!$C$11,regle!$C$23,
IF(U248=regle!$D$11,regle!$D$23,
IF(U248=regle!$E$11,regle!$E$23,
IF(U248=regle!$F$11,regle!$F$23,
IF(U248=regle!$G$11,regle!$G$23,
IF(U248=regle!$H$11,regle!$H$23,
IF(U248=regle!$I$11,regle!$I$23,
IF(U248=regle!$J$11,regle!$J$23,
IF(U248=regle!$K$11,regle!$K$23,0))))))))))))</f>
        <v>0</v>
      </c>
      <c r="AF248" s="17">
        <f>IF($A248,$J248*(IF(V248=regle!$B$11,regle!$B$23*IF(AO248=-2,1+regle!$B$35,1),
IF(V248=regle!$C$11,regle!$C$23,
IF(V248=regle!$D$11,regle!$D$23,
IF(V248=regle!$E$11,regle!$E$23,
IF(V248=regle!$F$11,regle!$F$23,
IF(V248=regle!$G$11,regle!$G$23,
IF(V248=regle!$H$11,regle!$H$23,
IF(V248=regle!$I$11,regle!$I$23,
IF(V248=regle!$J$11,regle!$J$23,
IF(V248=regle!$K$11,regle!$K$23,0))))))))))))</f>
        <v>0</v>
      </c>
      <c r="AG248" s="17">
        <f>IF($A248,$J248*(IF(W248=regle!$B$11,regle!$B$23*IF(AP248=-2,1+regle!$B$35,1),
IF(W248=regle!$C$11,regle!$C$23,
IF(W248=regle!$D$11,regle!$D$23,
IF(W248=regle!$E$11,regle!$E$23,
IF(W248=regle!$F$11,regle!$F$23,
IF(W248=regle!$G$11,regle!$G$23,
IF(W248=regle!$H$11,regle!$H$23,
IF(W248=regle!$I$11,regle!$I$23,
IF(W248=regle!$J$11,regle!$J$23,
IF(W248=regle!$K$11,regle!$K$23,0))))))))))))</f>
        <v>0</v>
      </c>
      <c r="AH248" s="17">
        <f>IF($A248,$J248*(IF(X248=regle!$B$11,regle!$B$23*IF(AQ248=-2,1+regle!$B$35,1),
IF(X248=regle!$C$11,regle!$C$23,
IF(X248=regle!$D$11,regle!$D$23,
IF(X248=regle!$E$11,regle!$E$23,
IF(X248=regle!$F$11,regle!$F$23,
IF(X248=regle!$G$11,regle!$G$23,
IF(X248=regle!$H$11,regle!$H$23,
IF(X248=regle!$I$11,regle!$I$23,
IF(X248=regle!$J$11,regle!$J$23,
IF(X248=regle!$K$11,regle!$K$23,0))))))))))))</f>
        <v>0</v>
      </c>
      <c r="AI248" s="17">
        <f>IF($A248,$J248*(IF(Y248=regle!$B$11,regle!$B$23*IF(AR248=-2,1+regle!$B$35,1),
IF(Y248=regle!$C$11,regle!$C$23,
IF(Y248=regle!$D$11,regle!$D$23,
IF(Y248=regle!$E$11,regle!$E$23,
IF(Y248=regle!$F$11,regle!$F$23,
IF(Y248=regle!$G$11,regle!$G$23,
IF(Y248=regle!$H$11,regle!$H$23,
IF(Y248=regle!$I$11,regle!$I$23,
IF(Y248=regle!$J$11,regle!$J$23,
IF(Y248=regle!$K$11,regle!$K$23,0))))))))))))</f>
        <v>0</v>
      </c>
      <c r="AJ248" s="17">
        <f>IF($A248,$J248*(IF(Z248=regle!$B$11,regle!$B$23*IF(AS248=-2,1+regle!$B$35,1),
IF(Z248=regle!$C$11,regle!$C$23,
IF(Z248=regle!$D$11,regle!$D$23,
IF(Z248=regle!$E$11,regle!$E$23,
IF(Z248=regle!$F$11,regle!$F$23,
IF(Z248=regle!$G$11,regle!$G$23,
IF(Z248=regle!$H$11,regle!$H$23,
IF(Z248=regle!$I$11,regle!$I$23,
IF(Z248=regle!$J$11,regle!$J$23,
IF(Z248=regle!$K$11,regle!$K$23,0))))))))))))</f>
        <v>7026.24</v>
      </c>
      <c r="AK248" s="16">
        <f>IF(OR(Q248=regle!$J$11,Q248=regle!$K$11),-2,IF(Q248=regle!$B$11,0,IF(AK$1=$AK$1,IF($O248,-1,regle!$B$2-$M248),IF(AJ248=-1,-1,AJ248+1))))</f>
        <v>16</v>
      </c>
      <c r="AL248" s="16">
        <f>IF(OR(R248=regle!$J$11,R248=regle!$K$11),-2,IF(R248=regle!$B$11,0,IF(AL$1=$AK$1,IF($O248,-1,regle!$B$2-$M248),IF(AK248=-1,-1,AK248+1))))</f>
        <v>17</v>
      </c>
      <c r="AM248" s="16">
        <f>IF(OR(S248=regle!$J$11,S248=regle!$K$11),-2,IF(S248=regle!$B$11,0,IF(AM$1=$AK$1,IF($O248,-1,regle!$B$2-$M248),IF(AL248=-1,-1,AL248+1))))</f>
        <v>18</v>
      </c>
      <c r="AN248" s="16">
        <f>IF(OR(T248=regle!$J$11,T248=regle!$K$11),-2,IF(T248=regle!$B$11,0,IF(AN$1=$AK$1,IF($O248,-1,regle!$B$2-$M248),IF(AM248=-1,-1,AM248+1))))</f>
        <v>19</v>
      </c>
      <c r="AO248" s="16">
        <f>IF(OR(U248=regle!$J$11,U248=regle!$K$11),-2,IF(U248=regle!$B$11,0,IF(AO$1=$AK$1,IF($O248,-1,regle!$B$2-$M248),IF(AN248=-1,-1,AN248+1))))</f>
        <v>20</v>
      </c>
      <c r="AP248" s="16">
        <f>IF(OR(V248=regle!$J$11,V248=regle!$K$11),-2,IF(V248=regle!$B$11,0,IF(AP$1=$AK$1,IF($O248,-1,regle!$B$2-$M248),IF(AO248=-1,-1,AO248+1))))</f>
        <v>21</v>
      </c>
      <c r="AQ248" s="16">
        <f>IF(OR(W248=regle!$J$11,W248=regle!$K$11),-2,IF(W248=regle!$B$11,0,IF(AQ$1=$AK$1,IF($O248,-1,regle!$B$2-$M248),IF(AP248=-1,-1,AP248+1))))</f>
        <v>22</v>
      </c>
      <c r="AR248" s="16">
        <f>IF(OR(X248=regle!$J$11,X248=regle!$K$11),-2,IF(X248=regle!$B$11,0,IF(AR$1=$AK$1,IF($O248,-1,regle!$B$2-$M248),IF(AQ248=-1,-1,AQ248+1))))</f>
        <v>23</v>
      </c>
      <c r="AS248" s="16">
        <f>IF(OR(Y248=regle!$J$11,Y248=regle!$K$11),-2,IF(Y248=regle!$B$11,0,IF(AS$1=$AK$1,IF($O248,-1,regle!$B$2-$M248),IF(AR248=-1,-1,AR248+1))))</f>
        <v>24</v>
      </c>
      <c r="AT248" s="16">
        <f>IF(OR(Z248=regle!$J$11,Z248=regle!$K$11),-2,IF(Z248=regle!$B$11,0,IF(AT$1=$AK$1,IF($O248,-1,regle!$B$2-$M248),IF(AS248=-1,-1,AS248+1))))</f>
        <v>-2</v>
      </c>
    </row>
    <row r="249" spans="1:46" x14ac:dyDescent="0.25">
      <c r="A249" t="b">
        <f>modif1!A249</f>
        <v>1</v>
      </c>
      <c r="B249">
        <f>ROW(modif1!B249)</f>
        <v>249</v>
      </c>
      <c r="C249" t="str">
        <f>modif1!C252</f>
        <v>202</v>
      </c>
      <c r="D249" t="str">
        <f>modif1!D249</f>
        <v>MOUSTEY</v>
      </c>
      <c r="E249">
        <f>modif1!E249</f>
        <v>12</v>
      </c>
      <c r="F249" t="str">
        <f>modif1!F249</f>
        <v>Lesbarreyres</v>
      </c>
      <c r="G249" t="str">
        <f>modif1!G249</f>
        <v>0M</v>
      </c>
      <c r="H249">
        <f>modif1!H249</f>
        <v>66</v>
      </c>
      <c r="I249" t="str">
        <f>modif1!I249</f>
        <v>a</v>
      </c>
      <c r="J249" s="11">
        <f>modif1!J249</f>
        <v>0.57279999999999998</v>
      </c>
      <c r="K249" t="str">
        <f>modif1!K249</f>
        <v>PLA</v>
      </c>
      <c r="L249" t="str">
        <f>modif1!L249</f>
        <v>PM</v>
      </c>
      <c r="M249">
        <f>modif1!M249</f>
        <v>2008</v>
      </c>
      <c r="N249" t="str">
        <f>modif1!N249</f>
        <v>PLA-PM_2008</v>
      </c>
      <c r="O249" t="b">
        <f>modif1!O249</f>
        <v>0</v>
      </c>
      <c r="P249">
        <v>40</v>
      </c>
      <c r="Z249" t="s">
        <v>1181</v>
      </c>
      <c r="AA249" s="17">
        <f>IF($A249,$J249*(IF(Q249=regle!$B$11,regle!$B$23*IF(AJ249=-2,1+regle!$B$35,1),
IF(Q249=regle!$C$11,regle!$C$23,
IF(Q249=regle!$D$11,regle!$D$23,
IF(Q249=regle!$E$11,regle!$E$23,
IF(Q249=regle!$F$11,regle!$F$23,
IF(Q249=regle!$G$11,regle!$G$23,
IF(Q249=regle!$H$11,regle!$H$23,
IF(Q249=regle!$I$11,regle!$I$23,
IF(Q249=regle!$J$11,regle!$J$23,
IF(Q249=regle!$K$11,regle!$K$23,0))))))))))))</f>
        <v>0</v>
      </c>
      <c r="AB249" s="17">
        <f>IF($A249,$J249*(IF(R249=regle!$B$11,regle!$B$23*IF(AK249=-2,1+regle!$B$35,1),
IF(R249=regle!$C$11,regle!$C$23,
IF(R249=regle!$D$11,regle!$D$23,
IF(R249=regle!$E$11,regle!$E$23,
IF(R249=regle!$F$11,regle!$F$23,
IF(R249=regle!$G$11,regle!$G$23,
IF(R249=regle!$H$11,regle!$H$23,
IF(R249=regle!$I$11,regle!$I$23,
IF(R249=regle!$J$11,regle!$J$23,
IF(R249=regle!$K$11,regle!$K$23,0))))))))))))</f>
        <v>0</v>
      </c>
      <c r="AC249" s="17">
        <f>IF($A249,$J249*(IF(S249=regle!$B$11,regle!$B$23*IF(AL249=-2,1+regle!$B$35,1),
IF(S249=regle!$C$11,regle!$C$23,
IF(S249=regle!$D$11,regle!$D$23,
IF(S249=regle!$E$11,regle!$E$23,
IF(S249=regle!$F$11,regle!$F$23,
IF(S249=regle!$G$11,regle!$G$23,
IF(S249=regle!$H$11,regle!$H$23,
IF(S249=regle!$I$11,regle!$I$23,
IF(S249=regle!$J$11,regle!$J$23,
IF(S249=regle!$K$11,regle!$K$23,0))))))))))))</f>
        <v>0</v>
      </c>
      <c r="AD249" s="17">
        <f>IF($A249,$J249*(IF(T249=regle!$B$11,regle!$B$23*IF(AM249=-2,1+regle!$B$35,1),
IF(T249=regle!$C$11,regle!$C$23,
IF(T249=regle!$D$11,regle!$D$23,
IF(T249=regle!$E$11,regle!$E$23,
IF(T249=regle!$F$11,regle!$F$23,
IF(T249=regle!$G$11,regle!$G$23,
IF(T249=regle!$H$11,regle!$H$23,
IF(T249=regle!$I$11,regle!$I$23,
IF(T249=regle!$J$11,regle!$J$23,
IF(T249=regle!$K$11,regle!$K$23,0))))))))))))</f>
        <v>0</v>
      </c>
      <c r="AE249" s="17">
        <f>IF($A249,$J249*(IF(U249=regle!$B$11,regle!$B$23*IF(AN249=-2,1+regle!$B$35,1),
IF(U249=regle!$C$11,regle!$C$23,
IF(U249=regle!$D$11,regle!$D$23,
IF(U249=regle!$E$11,regle!$E$23,
IF(U249=regle!$F$11,regle!$F$23,
IF(U249=regle!$G$11,regle!$G$23,
IF(U249=regle!$H$11,regle!$H$23,
IF(U249=regle!$I$11,regle!$I$23,
IF(U249=regle!$J$11,regle!$J$23,
IF(U249=regle!$K$11,regle!$K$23,0))))))))))))</f>
        <v>0</v>
      </c>
      <c r="AF249" s="17">
        <f>IF($A249,$J249*(IF(V249=regle!$B$11,regle!$B$23*IF(AO249=-2,1+regle!$B$35,1),
IF(V249=regle!$C$11,regle!$C$23,
IF(V249=regle!$D$11,regle!$D$23,
IF(V249=regle!$E$11,regle!$E$23,
IF(V249=regle!$F$11,regle!$F$23,
IF(V249=regle!$G$11,regle!$G$23,
IF(V249=regle!$H$11,regle!$H$23,
IF(V249=regle!$I$11,regle!$I$23,
IF(V249=regle!$J$11,regle!$J$23,
IF(V249=regle!$K$11,regle!$K$23,0))))))))))))</f>
        <v>0</v>
      </c>
      <c r="AG249" s="17">
        <f>IF($A249,$J249*(IF(W249=regle!$B$11,regle!$B$23*IF(AP249=-2,1+regle!$B$35,1),
IF(W249=regle!$C$11,regle!$C$23,
IF(W249=regle!$D$11,regle!$D$23,
IF(W249=regle!$E$11,regle!$E$23,
IF(W249=regle!$F$11,regle!$F$23,
IF(W249=regle!$G$11,regle!$G$23,
IF(W249=regle!$H$11,regle!$H$23,
IF(W249=regle!$I$11,regle!$I$23,
IF(W249=regle!$J$11,regle!$J$23,
IF(W249=regle!$K$11,regle!$K$23,0))))))))))))</f>
        <v>0</v>
      </c>
      <c r="AH249" s="17">
        <f>IF($A249,$J249*(IF(X249=regle!$B$11,regle!$B$23*IF(AQ249=-2,1+regle!$B$35,1),
IF(X249=regle!$C$11,regle!$C$23,
IF(X249=regle!$D$11,regle!$D$23,
IF(X249=regle!$E$11,regle!$E$23,
IF(X249=regle!$F$11,regle!$F$23,
IF(X249=regle!$G$11,regle!$G$23,
IF(X249=regle!$H$11,regle!$H$23,
IF(X249=regle!$I$11,regle!$I$23,
IF(X249=regle!$J$11,regle!$J$23,
IF(X249=regle!$K$11,regle!$K$23,0))))))))))))</f>
        <v>0</v>
      </c>
      <c r="AI249" s="17">
        <f>IF($A249,$J249*(IF(Y249=regle!$B$11,regle!$B$23*IF(AR249=-2,1+regle!$B$35,1),
IF(Y249=regle!$C$11,regle!$C$23,
IF(Y249=regle!$D$11,regle!$D$23,
IF(Y249=regle!$E$11,regle!$E$23,
IF(Y249=regle!$F$11,regle!$F$23,
IF(Y249=regle!$G$11,regle!$G$23,
IF(Y249=regle!$H$11,regle!$H$23,
IF(Y249=regle!$I$11,regle!$I$23,
IF(Y249=regle!$J$11,regle!$J$23,
IF(Y249=regle!$K$11,regle!$K$23,0))))))))))))</f>
        <v>0</v>
      </c>
      <c r="AJ249" s="17">
        <f>IF($A249,$J249*(IF(Z249=regle!$B$11,regle!$B$23*IF(AS249=-2,1+regle!$B$35,1),
IF(Z249=regle!$C$11,regle!$C$23,
IF(Z249=regle!$D$11,regle!$D$23,
IF(Z249=regle!$E$11,regle!$E$23,
IF(Z249=regle!$F$11,regle!$F$23,
IF(Z249=regle!$G$11,regle!$G$23,
IF(Z249=regle!$H$11,regle!$H$23,
IF(Z249=regle!$I$11,regle!$I$23,
IF(Z249=regle!$J$11,regle!$J$23,
IF(Z249=regle!$K$11,regle!$K$23,0))))))))))))</f>
        <v>2978.56</v>
      </c>
      <c r="AK249" s="16">
        <f>IF(OR(Q249=regle!$J$11,Q249=regle!$K$11),-2,IF(Q249=regle!$B$11,0,IF(AK$1=$AK$1,IF($O249,-1,regle!$B$2-$M249),IF(AJ249=-1,-1,AJ249+1))))</f>
        <v>16</v>
      </c>
      <c r="AL249" s="16">
        <f>IF(OR(R249=regle!$J$11,R249=regle!$K$11),-2,IF(R249=regle!$B$11,0,IF(AL$1=$AK$1,IF($O249,-1,regle!$B$2-$M249),IF(AK249=-1,-1,AK249+1))))</f>
        <v>17</v>
      </c>
      <c r="AM249" s="16">
        <f>IF(OR(S249=regle!$J$11,S249=regle!$K$11),-2,IF(S249=regle!$B$11,0,IF(AM$1=$AK$1,IF($O249,-1,regle!$B$2-$M249),IF(AL249=-1,-1,AL249+1))))</f>
        <v>18</v>
      </c>
      <c r="AN249" s="16">
        <f>IF(OR(T249=regle!$J$11,T249=regle!$K$11),-2,IF(T249=regle!$B$11,0,IF(AN$1=$AK$1,IF($O249,-1,regle!$B$2-$M249),IF(AM249=-1,-1,AM249+1))))</f>
        <v>19</v>
      </c>
      <c r="AO249" s="16">
        <f>IF(OR(U249=regle!$J$11,U249=regle!$K$11),-2,IF(U249=regle!$B$11,0,IF(AO$1=$AK$1,IF($O249,-1,regle!$B$2-$M249),IF(AN249=-1,-1,AN249+1))))</f>
        <v>20</v>
      </c>
      <c r="AP249" s="16">
        <f>IF(OR(V249=regle!$J$11,V249=regle!$K$11),-2,IF(V249=regle!$B$11,0,IF(AP$1=$AK$1,IF($O249,-1,regle!$B$2-$M249),IF(AO249=-1,-1,AO249+1))))</f>
        <v>21</v>
      </c>
      <c r="AQ249" s="16">
        <f>IF(OR(W249=regle!$J$11,W249=regle!$K$11),-2,IF(W249=regle!$B$11,0,IF(AQ$1=$AK$1,IF($O249,-1,regle!$B$2-$M249),IF(AP249=-1,-1,AP249+1))))</f>
        <v>22</v>
      </c>
      <c r="AR249" s="16">
        <f>IF(OR(X249=regle!$J$11,X249=regle!$K$11),-2,IF(X249=regle!$B$11,0,IF(AR$1=$AK$1,IF($O249,-1,regle!$B$2-$M249),IF(AQ249=-1,-1,AQ249+1))))</f>
        <v>23</v>
      </c>
      <c r="AS249" s="16">
        <f>IF(OR(Y249=regle!$J$11,Y249=regle!$K$11),-2,IF(Y249=regle!$B$11,0,IF(AS$1=$AK$1,IF($O249,-1,regle!$B$2-$M249),IF(AR249=-1,-1,AR249+1))))</f>
        <v>24</v>
      </c>
      <c r="AT249" s="16">
        <f>IF(OR(Z249=regle!$J$11,Z249=regle!$K$11),-2,IF(Z249=regle!$B$11,0,IF(AT$1=$AK$1,IF($O249,-1,regle!$B$2-$M249),IF(AS249=-1,-1,AS249+1))))</f>
        <v>-2</v>
      </c>
    </row>
    <row r="250" spans="1:46" x14ac:dyDescent="0.25">
      <c r="A250" t="b">
        <f>modif1!A250</f>
        <v>1</v>
      </c>
      <c r="B250">
        <f>ROW(modif1!B250)</f>
        <v>250</v>
      </c>
      <c r="C250" t="str">
        <f>modif1!C253</f>
        <v>202</v>
      </c>
      <c r="D250" t="str">
        <f>modif1!D250</f>
        <v>HOSTENS</v>
      </c>
      <c r="E250">
        <f>modif1!E250</f>
        <v>13</v>
      </c>
      <c r="F250" t="str">
        <f>modif1!F250</f>
        <v>LA BROUSTETTE</v>
      </c>
      <c r="G250" t="str">
        <f>modif1!G250</f>
        <v>0B</v>
      </c>
      <c r="H250">
        <f>modif1!H250</f>
        <v>1246</v>
      </c>
      <c r="I250" t="str">
        <f>modif1!I250</f>
        <v>j</v>
      </c>
      <c r="J250" s="11">
        <f>modif1!J250</f>
        <v>0.3987</v>
      </c>
      <c r="K250" t="str">
        <f>modif1!K250</f>
        <v>PLA</v>
      </c>
      <c r="L250" t="str">
        <f>modif1!L250</f>
        <v>PM</v>
      </c>
      <c r="M250">
        <f>modif1!M250</f>
        <v>2008</v>
      </c>
      <c r="N250" t="str">
        <f>modif1!N250</f>
        <v>PLA-PM_2008</v>
      </c>
      <c r="O250" t="b">
        <f>modif1!O250</f>
        <v>0</v>
      </c>
      <c r="P250">
        <v>40</v>
      </c>
      <c r="R250" t="s">
        <v>1804</v>
      </c>
      <c r="W250" t="s">
        <v>1805</v>
      </c>
      <c r="Z250"/>
      <c r="AA250" s="17">
        <f>IF($A250,$J250*(IF(Q250=regle!$B$11,regle!$B$23*IF(AJ250=-2,1+regle!$B$35,1),
IF(Q250=regle!$C$11,regle!$C$23,
IF(Q250=regle!$D$11,regle!$D$23,
IF(Q250=regle!$E$11,regle!$E$23,
IF(Q250=regle!$F$11,regle!$F$23,
IF(Q250=regle!$G$11,regle!$G$23,
IF(Q250=regle!$H$11,regle!$H$23,
IF(Q250=regle!$I$11,regle!$I$23,
IF(Q250=regle!$J$11,regle!$J$23,
IF(Q250=regle!$K$11,regle!$K$23,0))))))))))))</f>
        <v>0</v>
      </c>
      <c r="AB250" s="17">
        <f>IF($A250,$J250*(IF(R250=regle!$B$11,regle!$B$23*IF(AK250=-2,1+regle!$B$35,1),
IF(R250=regle!$C$11,regle!$C$23,
IF(R250=regle!$D$11,regle!$D$23,
IF(R250=regle!$E$11,regle!$E$23,
IF(R250=regle!$F$11,regle!$F$23,
IF(R250=regle!$G$11,regle!$G$23,
IF(R250=regle!$H$11,regle!$H$23,
IF(R250=regle!$I$11,regle!$I$23,
IF(R250=regle!$J$11,regle!$J$23,
IF(R250=regle!$K$11,regle!$K$23,0))))))))))))</f>
        <v>334.90800000000002</v>
      </c>
      <c r="AC250" s="17">
        <f>IF($A250,$J250*(IF(S250=regle!$B$11,regle!$B$23*IF(AL250=-2,1+regle!$B$35,1),
IF(S250=regle!$C$11,regle!$C$23,
IF(S250=regle!$D$11,regle!$D$23,
IF(S250=regle!$E$11,regle!$E$23,
IF(S250=regle!$F$11,regle!$F$23,
IF(S250=regle!$G$11,regle!$G$23,
IF(S250=regle!$H$11,regle!$H$23,
IF(S250=regle!$I$11,regle!$I$23,
IF(S250=regle!$J$11,regle!$J$23,
IF(S250=regle!$K$11,regle!$K$23,0))))))))))))</f>
        <v>0</v>
      </c>
      <c r="AD250" s="17">
        <f>IF($A250,$J250*(IF(T250=regle!$B$11,regle!$B$23*IF(AM250=-2,1+regle!$B$35,1),
IF(T250=regle!$C$11,regle!$C$23,
IF(T250=regle!$D$11,regle!$D$23,
IF(T250=regle!$E$11,regle!$E$23,
IF(T250=regle!$F$11,regle!$F$23,
IF(T250=regle!$G$11,regle!$G$23,
IF(T250=regle!$H$11,regle!$H$23,
IF(T250=regle!$I$11,regle!$I$23,
IF(T250=regle!$J$11,regle!$J$23,
IF(T250=regle!$K$11,regle!$K$23,0))))))))))))</f>
        <v>0</v>
      </c>
      <c r="AE250" s="17">
        <f>IF($A250,$J250*(IF(U250=regle!$B$11,regle!$B$23*IF(AN250=-2,1+regle!$B$35,1),
IF(U250=regle!$C$11,regle!$C$23,
IF(U250=regle!$D$11,regle!$D$23,
IF(U250=regle!$E$11,regle!$E$23,
IF(U250=regle!$F$11,regle!$F$23,
IF(U250=regle!$G$11,regle!$G$23,
IF(U250=regle!$H$11,regle!$H$23,
IF(U250=regle!$I$11,regle!$I$23,
IF(U250=regle!$J$11,regle!$J$23,
IF(U250=regle!$K$11,regle!$K$23,0))))))))))))</f>
        <v>0</v>
      </c>
      <c r="AF250" s="17">
        <f>IF($A250,$J250*(IF(V250=regle!$B$11,regle!$B$23*IF(AO250=-2,1+regle!$B$35,1),
IF(V250=regle!$C$11,regle!$C$23,
IF(V250=regle!$D$11,regle!$D$23,
IF(V250=regle!$E$11,regle!$E$23,
IF(V250=regle!$F$11,regle!$F$23,
IF(V250=regle!$G$11,regle!$G$23,
IF(V250=regle!$H$11,regle!$H$23,
IF(V250=regle!$I$11,regle!$I$23,
IF(V250=regle!$J$11,regle!$J$23,
IF(V250=regle!$K$11,regle!$K$23,0))))))))))))</f>
        <v>0</v>
      </c>
      <c r="AG250" s="17">
        <f>IF($A250,$J250*(IF(W250=regle!$B$11,regle!$B$23*IF(AP250=-2,1+regle!$B$35,1),
IF(W250=regle!$C$11,regle!$C$23,
IF(W250=regle!$D$11,regle!$D$23,
IF(W250=regle!$E$11,regle!$E$23,
IF(W250=regle!$F$11,regle!$F$23,
IF(W250=regle!$G$11,regle!$G$23,
IF(W250=regle!$H$11,regle!$H$23,
IF(W250=regle!$I$11,regle!$I$23,
IF(W250=regle!$J$11,regle!$J$23,
IF(W250=regle!$K$11,regle!$K$23,0))))))))))))</f>
        <v>561.36959999999999</v>
      </c>
      <c r="AH250" s="17">
        <f>IF($A250,$J250*(IF(X250=regle!$B$11,regle!$B$23*IF(AQ250=-2,1+regle!$B$35,1),
IF(X250=regle!$C$11,regle!$C$23,
IF(X250=regle!$D$11,regle!$D$23,
IF(X250=regle!$E$11,regle!$E$23,
IF(X250=regle!$F$11,regle!$F$23,
IF(X250=regle!$G$11,regle!$G$23,
IF(X250=regle!$H$11,regle!$H$23,
IF(X250=regle!$I$11,regle!$I$23,
IF(X250=regle!$J$11,regle!$J$23,
IF(X250=regle!$K$11,regle!$K$23,0))))))))))))</f>
        <v>0</v>
      </c>
      <c r="AI250" s="17">
        <f>IF($A250,$J250*(IF(Y250=regle!$B$11,regle!$B$23*IF(AR250=-2,1+regle!$B$35,1),
IF(Y250=regle!$C$11,regle!$C$23,
IF(Y250=regle!$D$11,regle!$D$23,
IF(Y250=regle!$E$11,regle!$E$23,
IF(Y250=regle!$F$11,regle!$F$23,
IF(Y250=regle!$G$11,regle!$G$23,
IF(Y250=regle!$H$11,regle!$H$23,
IF(Y250=regle!$I$11,regle!$I$23,
IF(Y250=regle!$J$11,regle!$J$23,
IF(Y250=regle!$K$11,regle!$K$23,0))))))))))))</f>
        <v>0</v>
      </c>
      <c r="AJ250" s="17">
        <f>IF($A250,$J250*(IF(Z250=regle!$B$11,regle!$B$23*IF(AS250=-2,1+regle!$B$35,1),
IF(Z250=regle!$C$11,regle!$C$23,
IF(Z250=regle!$D$11,regle!$D$23,
IF(Z250=regle!$E$11,regle!$E$23,
IF(Z250=regle!$F$11,regle!$F$23,
IF(Z250=regle!$G$11,regle!$G$23,
IF(Z250=regle!$H$11,regle!$H$23,
IF(Z250=regle!$I$11,regle!$I$23,
IF(Z250=regle!$J$11,regle!$J$23,
IF(Z250=regle!$K$11,regle!$K$23,0))))))))))))</f>
        <v>0</v>
      </c>
      <c r="AK250" s="16">
        <f>IF(OR(Q250=regle!$J$11,Q250=regle!$K$11),-2,IF(Q250=regle!$B$11,0,IF(AK$1=$AK$1,IF($O250,-1,regle!$B$2-$M250),IF(AJ250=-1,-1,AJ250+1))))</f>
        <v>16</v>
      </c>
      <c r="AL250" s="16">
        <f>IF(OR(R250=regle!$J$11,R250=regle!$K$11),-2,IF(R250=regle!$B$11,0,IF(AL$1=$AK$1,IF($O250,-1,regle!$B$2-$M250),IF(AK250=-1,-1,AK250+1))))</f>
        <v>17</v>
      </c>
      <c r="AM250" s="16">
        <f>IF(OR(S250=regle!$J$11,S250=regle!$K$11),-2,IF(S250=regle!$B$11,0,IF(AM$1=$AK$1,IF($O250,-1,regle!$B$2-$M250),IF(AL250=-1,-1,AL250+1))))</f>
        <v>18</v>
      </c>
      <c r="AN250" s="16">
        <f>IF(OR(T250=regle!$J$11,T250=regle!$K$11),-2,IF(T250=regle!$B$11,0,IF(AN$1=$AK$1,IF($O250,-1,regle!$B$2-$M250),IF(AM250=-1,-1,AM250+1))))</f>
        <v>19</v>
      </c>
      <c r="AO250" s="16">
        <f>IF(OR(U250=regle!$J$11,U250=regle!$K$11),-2,IF(U250=regle!$B$11,0,IF(AO$1=$AK$1,IF($O250,-1,regle!$B$2-$M250),IF(AN250=-1,-1,AN250+1))))</f>
        <v>20</v>
      </c>
      <c r="AP250" s="16">
        <f>IF(OR(V250=regle!$J$11,V250=regle!$K$11),-2,IF(V250=regle!$B$11,0,IF(AP$1=$AK$1,IF($O250,-1,regle!$B$2-$M250),IF(AO250=-1,-1,AO250+1))))</f>
        <v>21</v>
      </c>
      <c r="AQ250" s="16">
        <f>IF(OR(W250=regle!$J$11,W250=regle!$K$11),-2,IF(W250=regle!$B$11,0,IF(AQ$1=$AK$1,IF($O250,-1,regle!$B$2-$M250),IF(AP250=-1,-1,AP250+1))))</f>
        <v>22</v>
      </c>
      <c r="AR250" s="16">
        <f>IF(OR(X250=regle!$J$11,X250=regle!$K$11),-2,IF(X250=regle!$B$11,0,IF(AR$1=$AK$1,IF($O250,-1,regle!$B$2-$M250),IF(AQ250=-1,-1,AQ250+1))))</f>
        <v>23</v>
      </c>
      <c r="AS250" s="16">
        <f>IF(OR(Y250=regle!$J$11,Y250=regle!$K$11),-2,IF(Y250=regle!$B$11,0,IF(AS$1=$AK$1,IF($O250,-1,regle!$B$2-$M250),IF(AR250=-1,-1,AR250+1))))</f>
        <v>24</v>
      </c>
      <c r="AT250" s="16">
        <f>IF(OR(Z250=regle!$J$11,Z250=regle!$K$11),-2,IF(Z250=regle!$B$11,0,IF(AT$1=$AK$1,IF($O250,-1,regle!$B$2-$M250),IF(AS250=-1,-1,AS250+1))))</f>
        <v>25</v>
      </c>
    </row>
    <row r="251" spans="1:46" x14ac:dyDescent="0.25">
      <c r="A251" t="b">
        <f>modif1!A251</f>
        <v>1</v>
      </c>
      <c r="B251">
        <f>ROW(modif1!B251)</f>
        <v>251</v>
      </c>
      <c r="C251" t="str">
        <f>modif1!C254</f>
        <v>202</v>
      </c>
      <c r="D251" t="str">
        <f>modif1!D251</f>
        <v>HOSTENS</v>
      </c>
      <c r="E251">
        <f>modif1!E251</f>
        <v>13</v>
      </c>
      <c r="F251" t="str">
        <f>modif1!F251</f>
        <v>LA BROUSTETTE</v>
      </c>
      <c r="G251" t="str">
        <f>modif1!G251</f>
        <v>0B</v>
      </c>
      <c r="H251">
        <f>modif1!H251</f>
        <v>1245</v>
      </c>
      <c r="I251" t="str">
        <f>modif1!I251</f>
        <v/>
      </c>
      <c r="J251" s="11">
        <f>modif1!J251</f>
        <v>0.2555</v>
      </c>
      <c r="K251" t="str">
        <f>modif1!K251</f>
        <v>PLA</v>
      </c>
      <c r="L251" t="str">
        <f>modif1!L251</f>
        <v>PM</v>
      </c>
      <c r="M251">
        <f>modif1!M251</f>
        <v>2008</v>
      </c>
      <c r="N251" t="str">
        <f>modif1!N251</f>
        <v>PLA-PM_2008</v>
      </c>
      <c r="O251" t="b">
        <f>modif1!O251</f>
        <v>0</v>
      </c>
      <c r="P251">
        <v>40</v>
      </c>
      <c r="R251" t="s">
        <v>1804</v>
      </c>
      <c r="W251" t="s">
        <v>1805</v>
      </c>
      <c r="Z251"/>
      <c r="AA251" s="17">
        <f>IF($A251,$J251*(IF(Q251=regle!$B$11,regle!$B$23*IF(AJ251=-2,1+regle!$B$35,1),
IF(Q251=regle!$C$11,regle!$C$23,
IF(Q251=regle!$D$11,regle!$D$23,
IF(Q251=regle!$E$11,regle!$E$23,
IF(Q251=regle!$F$11,regle!$F$23,
IF(Q251=regle!$G$11,regle!$G$23,
IF(Q251=regle!$H$11,regle!$H$23,
IF(Q251=regle!$I$11,regle!$I$23,
IF(Q251=regle!$J$11,regle!$J$23,
IF(Q251=regle!$K$11,regle!$K$23,0))))))))))))</f>
        <v>0</v>
      </c>
      <c r="AB251" s="17">
        <f>IF($A251,$J251*(IF(R251=regle!$B$11,regle!$B$23*IF(AK251=-2,1+regle!$B$35,1),
IF(R251=regle!$C$11,regle!$C$23,
IF(R251=regle!$D$11,regle!$D$23,
IF(R251=regle!$E$11,regle!$E$23,
IF(R251=regle!$F$11,regle!$F$23,
IF(R251=regle!$G$11,regle!$G$23,
IF(R251=regle!$H$11,regle!$H$23,
IF(R251=regle!$I$11,regle!$I$23,
IF(R251=regle!$J$11,regle!$J$23,
IF(R251=regle!$K$11,regle!$K$23,0))))))))))))</f>
        <v>214.62</v>
      </c>
      <c r="AC251" s="17">
        <f>IF($A251,$J251*(IF(S251=regle!$B$11,regle!$B$23*IF(AL251=-2,1+regle!$B$35,1),
IF(S251=regle!$C$11,regle!$C$23,
IF(S251=regle!$D$11,regle!$D$23,
IF(S251=regle!$E$11,regle!$E$23,
IF(S251=regle!$F$11,regle!$F$23,
IF(S251=regle!$G$11,regle!$G$23,
IF(S251=regle!$H$11,regle!$H$23,
IF(S251=regle!$I$11,regle!$I$23,
IF(S251=regle!$J$11,regle!$J$23,
IF(S251=regle!$K$11,regle!$K$23,0))))))))))))</f>
        <v>0</v>
      </c>
      <c r="AD251" s="17">
        <f>IF($A251,$J251*(IF(T251=regle!$B$11,regle!$B$23*IF(AM251=-2,1+regle!$B$35,1),
IF(T251=regle!$C$11,regle!$C$23,
IF(T251=regle!$D$11,regle!$D$23,
IF(T251=regle!$E$11,regle!$E$23,
IF(T251=regle!$F$11,regle!$F$23,
IF(T251=regle!$G$11,regle!$G$23,
IF(T251=regle!$H$11,regle!$H$23,
IF(T251=regle!$I$11,regle!$I$23,
IF(T251=regle!$J$11,regle!$J$23,
IF(T251=regle!$K$11,regle!$K$23,0))))))))))))</f>
        <v>0</v>
      </c>
      <c r="AE251" s="17">
        <f>IF($A251,$J251*(IF(U251=regle!$B$11,regle!$B$23*IF(AN251=-2,1+regle!$B$35,1),
IF(U251=regle!$C$11,regle!$C$23,
IF(U251=regle!$D$11,regle!$D$23,
IF(U251=regle!$E$11,regle!$E$23,
IF(U251=regle!$F$11,regle!$F$23,
IF(U251=regle!$G$11,regle!$G$23,
IF(U251=regle!$H$11,regle!$H$23,
IF(U251=regle!$I$11,regle!$I$23,
IF(U251=regle!$J$11,regle!$J$23,
IF(U251=regle!$K$11,regle!$K$23,0))))))))))))</f>
        <v>0</v>
      </c>
      <c r="AF251" s="17">
        <f>IF($A251,$J251*(IF(V251=regle!$B$11,regle!$B$23*IF(AO251=-2,1+regle!$B$35,1),
IF(V251=regle!$C$11,regle!$C$23,
IF(V251=regle!$D$11,regle!$D$23,
IF(V251=regle!$E$11,regle!$E$23,
IF(V251=regle!$F$11,regle!$F$23,
IF(V251=regle!$G$11,regle!$G$23,
IF(V251=regle!$H$11,regle!$H$23,
IF(V251=regle!$I$11,regle!$I$23,
IF(V251=regle!$J$11,regle!$J$23,
IF(V251=regle!$K$11,regle!$K$23,0))))))))))))</f>
        <v>0</v>
      </c>
      <c r="AG251" s="17">
        <f>IF($A251,$J251*(IF(W251=regle!$B$11,regle!$B$23*IF(AP251=-2,1+regle!$B$35,1),
IF(W251=regle!$C$11,regle!$C$23,
IF(W251=regle!$D$11,regle!$D$23,
IF(W251=regle!$E$11,regle!$E$23,
IF(W251=regle!$F$11,regle!$F$23,
IF(W251=regle!$G$11,regle!$G$23,
IF(W251=regle!$H$11,regle!$H$23,
IF(W251=regle!$I$11,regle!$I$23,
IF(W251=regle!$J$11,regle!$J$23,
IF(W251=regle!$K$11,regle!$K$23,0))))))))))))</f>
        <v>359.74400000000003</v>
      </c>
      <c r="AH251" s="17">
        <f>IF($A251,$J251*(IF(X251=regle!$B$11,regle!$B$23*IF(AQ251=-2,1+regle!$B$35,1),
IF(X251=regle!$C$11,regle!$C$23,
IF(X251=regle!$D$11,regle!$D$23,
IF(X251=regle!$E$11,regle!$E$23,
IF(X251=regle!$F$11,regle!$F$23,
IF(X251=regle!$G$11,regle!$G$23,
IF(X251=regle!$H$11,regle!$H$23,
IF(X251=regle!$I$11,regle!$I$23,
IF(X251=regle!$J$11,regle!$J$23,
IF(X251=regle!$K$11,regle!$K$23,0))))))))))))</f>
        <v>0</v>
      </c>
      <c r="AI251" s="17">
        <f>IF($A251,$J251*(IF(Y251=regle!$B$11,regle!$B$23*IF(AR251=-2,1+regle!$B$35,1),
IF(Y251=regle!$C$11,regle!$C$23,
IF(Y251=regle!$D$11,regle!$D$23,
IF(Y251=regle!$E$11,regle!$E$23,
IF(Y251=regle!$F$11,regle!$F$23,
IF(Y251=regle!$G$11,regle!$G$23,
IF(Y251=regle!$H$11,regle!$H$23,
IF(Y251=regle!$I$11,regle!$I$23,
IF(Y251=regle!$J$11,regle!$J$23,
IF(Y251=regle!$K$11,regle!$K$23,0))))))))))))</f>
        <v>0</v>
      </c>
      <c r="AJ251" s="17">
        <f>IF($A251,$J251*(IF(Z251=regle!$B$11,regle!$B$23*IF(AS251=-2,1+regle!$B$35,1),
IF(Z251=regle!$C$11,regle!$C$23,
IF(Z251=regle!$D$11,regle!$D$23,
IF(Z251=regle!$E$11,regle!$E$23,
IF(Z251=regle!$F$11,regle!$F$23,
IF(Z251=regle!$G$11,regle!$G$23,
IF(Z251=regle!$H$11,regle!$H$23,
IF(Z251=regle!$I$11,regle!$I$23,
IF(Z251=regle!$J$11,regle!$J$23,
IF(Z251=regle!$K$11,regle!$K$23,0))))))))))))</f>
        <v>0</v>
      </c>
      <c r="AK251" s="16">
        <f>IF(OR(Q251=regle!$J$11,Q251=regle!$K$11),-2,IF(Q251=regle!$B$11,0,IF(AK$1=$AK$1,IF($O251,-1,regle!$B$2-$M251),IF(AJ251=-1,-1,AJ251+1))))</f>
        <v>16</v>
      </c>
      <c r="AL251" s="16">
        <f>IF(OR(R251=regle!$J$11,R251=regle!$K$11),-2,IF(R251=regle!$B$11,0,IF(AL$1=$AK$1,IF($O251,-1,regle!$B$2-$M251),IF(AK251=-1,-1,AK251+1))))</f>
        <v>17</v>
      </c>
      <c r="AM251" s="16">
        <f>IF(OR(S251=regle!$J$11,S251=regle!$K$11),-2,IF(S251=regle!$B$11,0,IF(AM$1=$AK$1,IF($O251,-1,regle!$B$2-$M251),IF(AL251=-1,-1,AL251+1))))</f>
        <v>18</v>
      </c>
      <c r="AN251" s="16">
        <f>IF(OR(T251=regle!$J$11,T251=regle!$K$11),-2,IF(T251=regle!$B$11,0,IF(AN$1=$AK$1,IF($O251,-1,regle!$B$2-$M251),IF(AM251=-1,-1,AM251+1))))</f>
        <v>19</v>
      </c>
      <c r="AO251" s="16">
        <f>IF(OR(U251=regle!$J$11,U251=regle!$K$11),-2,IF(U251=regle!$B$11,0,IF(AO$1=$AK$1,IF($O251,-1,regle!$B$2-$M251),IF(AN251=-1,-1,AN251+1))))</f>
        <v>20</v>
      </c>
      <c r="AP251" s="16">
        <f>IF(OR(V251=regle!$J$11,V251=regle!$K$11),-2,IF(V251=regle!$B$11,0,IF(AP$1=$AK$1,IF($O251,-1,regle!$B$2-$M251),IF(AO251=-1,-1,AO251+1))))</f>
        <v>21</v>
      </c>
      <c r="AQ251" s="16">
        <f>IF(OR(W251=regle!$J$11,W251=regle!$K$11),-2,IF(W251=regle!$B$11,0,IF(AQ$1=$AK$1,IF($O251,-1,regle!$B$2-$M251),IF(AP251=-1,-1,AP251+1))))</f>
        <v>22</v>
      </c>
      <c r="AR251" s="16">
        <f>IF(OR(X251=regle!$J$11,X251=regle!$K$11),-2,IF(X251=regle!$B$11,0,IF(AR$1=$AK$1,IF($O251,-1,regle!$B$2-$M251),IF(AQ251=-1,-1,AQ251+1))))</f>
        <v>23</v>
      </c>
      <c r="AS251" s="16">
        <f>IF(OR(Y251=regle!$J$11,Y251=regle!$K$11),-2,IF(Y251=regle!$B$11,0,IF(AS$1=$AK$1,IF($O251,-1,regle!$B$2-$M251),IF(AR251=-1,-1,AR251+1))))</f>
        <v>24</v>
      </c>
      <c r="AT251" s="16">
        <f>IF(OR(Z251=regle!$J$11,Z251=regle!$K$11),-2,IF(Z251=regle!$B$11,0,IF(AT$1=$AK$1,IF($O251,-1,regle!$B$2-$M251),IF(AS251=-1,-1,AS251+1))))</f>
        <v>25</v>
      </c>
    </row>
    <row r="252" spans="1:46" x14ac:dyDescent="0.25">
      <c r="A252" t="b">
        <f>modif1!A252</f>
        <v>1</v>
      </c>
      <c r="B252">
        <f>ROW(modif1!B252)</f>
        <v>252</v>
      </c>
      <c r="C252" t="str">
        <f>modif1!C255</f>
        <v>202</v>
      </c>
      <c r="D252" t="str">
        <f>modif1!D252</f>
        <v>HOSTENS</v>
      </c>
      <c r="E252">
        <f>modif1!E252</f>
        <v>13</v>
      </c>
      <c r="F252" t="str">
        <f>modif1!F252</f>
        <v>LA BROUSTETTE</v>
      </c>
      <c r="G252" t="str">
        <f>modif1!G252</f>
        <v>0B</v>
      </c>
      <c r="H252">
        <f>modif1!H252</f>
        <v>1244</v>
      </c>
      <c r="I252" t="str">
        <f>modif1!I252</f>
        <v>l</v>
      </c>
      <c r="J252" s="11">
        <f>modif1!J252</f>
        <v>4.7600000000000003E-2</v>
      </c>
      <c r="K252" t="str">
        <f>modif1!K252</f>
        <v>PLA</v>
      </c>
      <c r="L252" t="str">
        <f>modif1!L252</f>
        <v>PM</v>
      </c>
      <c r="M252">
        <f>modif1!M252</f>
        <v>2008</v>
      </c>
      <c r="N252" t="str">
        <f>modif1!N252</f>
        <v>PLA-PM_2008</v>
      </c>
      <c r="O252" t="b">
        <f>modif1!O252</f>
        <v>0</v>
      </c>
      <c r="P252">
        <v>40</v>
      </c>
      <c r="R252" t="s">
        <v>1804</v>
      </c>
      <c r="W252" t="s">
        <v>1805</v>
      </c>
      <c r="Z252"/>
      <c r="AA252" s="17">
        <f>IF($A252,$J252*(IF(Q252=regle!$B$11,regle!$B$23*IF(AJ252=-2,1+regle!$B$35,1),
IF(Q252=regle!$C$11,regle!$C$23,
IF(Q252=regle!$D$11,regle!$D$23,
IF(Q252=regle!$E$11,regle!$E$23,
IF(Q252=regle!$F$11,regle!$F$23,
IF(Q252=regle!$G$11,regle!$G$23,
IF(Q252=regle!$H$11,regle!$H$23,
IF(Q252=regle!$I$11,regle!$I$23,
IF(Q252=regle!$J$11,regle!$J$23,
IF(Q252=regle!$K$11,regle!$K$23,0))))))))))))</f>
        <v>0</v>
      </c>
      <c r="AB252" s="17">
        <f>IF($A252,$J252*(IF(R252=regle!$B$11,regle!$B$23*IF(AK252=-2,1+regle!$B$35,1),
IF(R252=regle!$C$11,regle!$C$23,
IF(R252=regle!$D$11,regle!$D$23,
IF(R252=regle!$E$11,regle!$E$23,
IF(R252=regle!$F$11,regle!$F$23,
IF(R252=regle!$G$11,regle!$G$23,
IF(R252=regle!$H$11,regle!$H$23,
IF(R252=regle!$I$11,regle!$I$23,
IF(R252=regle!$J$11,regle!$J$23,
IF(R252=regle!$K$11,regle!$K$23,0))))))))))))</f>
        <v>39.984000000000002</v>
      </c>
      <c r="AC252" s="17">
        <f>IF($A252,$J252*(IF(S252=regle!$B$11,regle!$B$23*IF(AL252=-2,1+regle!$B$35,1),
IF(S252=regle!$C$11,regle!$C$23,
IF(S252=regle!$D$11,regle!$D$23,
IF(S252=regle!$E$11,regle!$E$23,
IF(S252=regle!$F$11,regle!$F$23,
IF(S252=regle!$G$11,regle!$G$23,
IF(S252=regle!$H$11,regle!$H$23,
IF(S252=regle!$I$11,regle!$I$23,
IF(S252=regle!$J$11,regle!$J$23,
IF(S252=regle!$K$11,regle!$K$23,0))))))))))))</f>
        <v>0</v>
      </c>
      <c r="AD252" s="17">
        <f>IF($A252,$J252*(IF(T252=regle!$B$11,regle!$B$23*IF(AM252=-2,1+regle!$B$35,1),
IF(T252=regle!$C$11,regle!$C$23,
IF(T252=regle!$D$11,regle!$D$23,
IF(T252=regle!$E$11,regle!$E$23,
IF(T252=regle!$F$11,regle!$F$23,
IF(T252=regle!$G$11,regle!$G$23,
IF(T252=regle!$H$11,regle!$H$23,
IF(T252=regle!$I$11,regle!$I$23,
IF(T252=regle!$J$11,regle!$J$23,
IF(T252=regle!$K$11,regle!$K$23,0))))))))))))</f>
        <v>0</v>
      </c>
      <c r="AE252" s="17">
        <f>IF($A252,$J252*(IF(U252=regle!$B$11,regle!$B$23*IF(AN252=-2,1+regle!$B$35,1),
IF(U252=regle!$C$11,regle!$C$23,
IF(U252=regle!$D$11,regle!$D$23,
IF(U252=regle!$E$11,regle!$E$23,
IF(U252=regle!$F$11,regle!$F$23,
IF(U252=regle!$G$11,regle!$G$23,
IF(U252=regle!$H$11,regle!$H$23,
IF(U252=regle!$I$11,regle!$I$23,
IF(U252=regle!$J$11,regle!$J$23,
IF(U252=regle!$K$11,regle!$K$23,0))))))))))))</f>
        <v>0</v>
      </c>
      <c r="AF252" s="17">
        <f>IF($A252,$J252*(IF(V252=regle!$B$11,regle!$B$23*IF(AO252=-2,1+regle!$B$35,1),
IF(V252=regle!$C$11,regle!$C$23,
IF(V252=regle!$D$11,regle!$D$23,
IF(V252=regle!$E$11,regle!$E$23,
IF(V252=regle!$F$11,regle!$F$23,
IF(V252=regle!$G$11,regle!$G$23,
IF(V252=regle!$H$11,regle!$H$23,
IF(V252=regle!$I$11,regle!$I$23,
IF(V252=regle!$J$11,regle!$J$23,
IF(V252=regle!$K$11,regle!$K$23,0))))))))))))</f>
        <v>0</v>
      </c>
      <c r="AG252" s="17">
        <f>IF($A252,$J252*(IF(W252=regle!$B$11,regle!$B$23*IF(AP252=-2,1+regle!$B$35,1),
IF(W252=regle!$C$11,regle!$C$23,
IF(W252=regle!$D$11,regle!$D$23,
IF(W252=regle!$E$11,regle!$E$23,
IF(W252=regle!$F$11,regle!$F$23,
IF(W252=regle!$G$11,regle!$G$23,
IF(W252=regle!$H$11,regle!$H$23,
IF(W252=regle!$I$11,regle!$I$23,
IF(W252=regle!$J$11,regle!$J$23,
IF(W252=regle!$K$11,regle!$K$23,0))))))))))))</f>
        <v>67.020800000000008</v>
      </c>
      <c r="AH252" s="17">
        <f>IF($A252,$J252*(IF(X252=regle!$B$11,regle!$B$23*IF(AQ252=-2,1+regle!$B$35,1),
IF(X252=regle!$C$11,regle!$C$23,
IF(X252=regle!$D$11,regle!$D$23,
IF(X252=regle!$E$11,regle!$E$23,
IF(X252=regle!$F$11,regle!$F$23,
IF(X252=regle!$G$11,regle!$G$23,
IF(X252=regle!$H$11,regle!$H$23,
IF(X252=regle!$I$11,regle!$I$23,
IF(X252=regle!$J$11,regle!$J$23,
IF(X252=regle!$K$11,regle!$K$23,0))))))))))))</f>
        <v>0</v>
      </c>
      <c r="AI252" s="17">
        <f>IF($A252,$J252*(IF(Y252=regle!$B$11,regle!$B$23*IF(AR252=-2,1+regle!$B$35,1),
IF(Y252=regle!$C$11,regle!$C$23,
IF(Y252=regle!$D$11,regle!$D$23,
IF(Y252=regle!$E$11,regle!$E$23,
IF(Y252=regle!$F$11,regle!$F$23,
IF(Y252=regle!$G$11,regle!$G$23,
IF(Y252=regle!$H$11,regle!$H$23,
IF(Y252=regle!$I$11,regle!$I$23,
IF(Y252=regle!$J$11,regle!$J$23,
IF(Y252=regle!$K$11,regle!$K$23,0))))))))))))</f>
        <v>0</v>
      </c>
      <c r="AJ252" s="17">
        <f>IF($A252,$J252*(IF(Z252=regle!$B$11,regle!$B$23*IF(AS252=-2,1+regle!$B$35,1),
IF(Z252=regle!$C$11,regle!$C$23,
IF(Z252=regle!$D$11,regle!$D$23,
IF(Z252=regle!$E$11,regle!$E$23,
IF(Z252=regle!$F$11,regle!$F$23,
IF(Z252=regle!$G$11,regle!$G$23,
IF(Z252=regle!$H$11,regle!$H$23,
IF(Z252=regle!$I$11,regle!$I$23,
IF(Z252=regle!$J$11,regle!$J$23,
IF(Z252=regle!$K$11,regle!$K$23,0))))))))))))</f>
        <v>0</v>
      </c>
      <c r="AK252" s="16">
        <f>IF(OR(Q252=regle!$J$11,Q252=regle!$K$11),-2,IF(Q252=regle!$B$11,0,IF(AK$1=$AK$1,IF($O252,-1,regle!$B$2-$M252),IF(AJ252=-1,-1,AJ252+1))))</f>
        <v>16</v>
      </c>
      <c r="AL252" s="16">
        <f>IF(OR(R252=regle!$J$11,R252=regle!$K$11),-2,IF(R252=regle!$B$11,0,IF(AL$1=$AK$1,IF($O252,-1,regle!$B$2-$M252),IF(AK252=-1,-1,AK252+1))))</f>
        <v>17</v>
      </c>
      <c r="AM252" s="16">
        <f>IF(OR(S252=regle!$J$11,S252=regle!$K$11),-2,IF(S252=regle!$B$11,0,IF(AM$1=$AK$1,IF($O252,-1,regle!$B$2-$M252),IF(AL252=-1,-1,AL252+1))))</f>
        <v>18</v>
      </c>
      <c r="AN252" s="16">
        <f>IF(OR(T252=regle!$J$11,T252=regle!$K$11),-2,IF(T252=regle!$B$11,0,IF(AN$1=$AK$1,IF($O252,-1,regle!$B$2-$M252),IF(AM252=-1,-1,AM252+1))))</f>
        <v>19</v>
      </c>
      <c r="AO252" s="16">
        <f>IF(OR(U252=regle!$J$11,U252=regle!$K$11),-2,IF(U252=regle!$B$11,0,IF(AO$1=$AK$1,IF($O252,-1,regle!$B$2-$M252),IF(AN252=-1,-1,AN252+1))))</f>
        <v>20</v>
      </c>
      <c r="AP252" s="16">
        <f>IF(OR(V252=regle!$J$11,V252=regle!$K$11),-2,IF(V252=regle!$B$11,0,IF(AP$1=$AK$1,IF($O252,-1,regle!$B$2-$M252),IF(AO252=-1,-1,AO252+1))))</f>
        <v>21</v>
      </c>
      <c r="AQ252" s="16">
        <f>IF(OR(W252=regle!$J$11,W252=regle!$K$11),-2,IF(W252=regle!$B$11,0,IF(AQ$1=$AK$1,IF($O252,-1,regle!$B$2-$M252),IF(AP252=-1,-1,AP252+1))))</f>
        <v>22</v>
      </c>
      <c r="AR252" s="16">
        <f>IF(OR(X252=regle!$J$11,X252=regle!$K$11),-2,IF(X252=regle!$B$11,0,IF(AR$1=$AK$1,IF($O252,-1,regle!$B$2-$M252),IF(AQ252=-1,-1,AQ252+1))))</f>
        <v>23</v>
      </c>
      <c r="AS252" s="16">
        <f>IF(OR(Y252=regle!$J$11,Y252=regle!$K$11),-2,IF(Y252=regle!$B$11,0,IF(AS$1=$AK$1,IF($O252,-1,regle!$B$2-$M252),IF(AR252=-1,-1,AR252+1))))</f>
        <v>24</v>
      </c>
      <c r="AT252" s="16">
        <f>IF(OR(Z252=regle!$J$11,Z252=regle!$K$11),-2,IF(Z252=regle!$B$11,0,IF(AT$1=$AK$1,IF($O252,-1,regle!$B$2-$M252),IF(AS252=-1,-1,AS252+1))))</f>
        <v>25</v>
      </c>
    </row>
    <row r="253" spans="1:46" x14ac:dyDescent="0.25">
      <c r="A253" t="b">
        <f>modif1!A253</f>
        <v>1</v>
      </c>
      <c r="B253">
        <f>ROW(modif1!B253)</f>
        <v>253</v>
      </c>
      <c r="C253" t="str">
        <f>modif1!C256</f>
        <v>202</v>
      </c>
      <c r="D253" t="str">
        <f>modif1!D253</f>
        <v>HOSTENS</v>
      </c>
      <c r="E253">
        <f>modif1!E253</f>
        <v>11</v>
      </c>
      <c r="F253" t="str">
        <f>modif1!F253</f>
        <v>LES CAZALAS</v>
      </c>
      <c r="G253" t="str">
        <f>modif1!G253</f>
        <v>0B</v>
      </c>
      <c r="H253">
        <f>modif1!H253</f>
        <v>1184</v>
      </c>
      <c r="I253" t="str">
        <f>modif1!I253</f>
        <v>j</v>
      </c>
      <c r="J253" s="11">
        <f>modif1!J253</f>
        <v>13.7339</v>
      </c>
      <c r="K253" t="str">
        <f>modif1!K253</f>
        <v>PLA</v>
      </c>
      <c r="L253" t="str">
        <f>modif1!L253</f>
        <v>PM</v>
      </c>
      <c r="M253">
        <f>modif1!M253</f>
        <v>2006</v>
      </c>
      <c r="N253" t="str">
        <f>modif1!N253</f>
        <v>PLA-PM_2006</v>
      </c>
      <c r="O253" t="b">
        <f>modif1!O253</f>
        <v>0</v>
      </c>
      <c r="P253">
        <v>40</v>
      </c>
      <c r="X253" t="s">
        <v>1181</v>
      </c>
      <c r="Y253" t="s">
        <v>1868</v>
      </c>
      <c r="Z253"/>
      <c r="AA253" s="17">
        <f>IF($A253,$J253*(IF(Q253=regle!$B$11,regle!$B$23*IF(AJ253=-2,1+regle!$B$35,1),
IF(Q253=regle!$C$11,regle!$C$23,
IF(Q253=regle!$D$11,regle!$D$23,
IF(Q253=regle!$E$11,regle!$E$23,
IF(Q253=regle!$F$11,regle!$F$23,
IF(Q253=regle!$G$11,regle!$G$23,
IF(Q253=regle!$H$11,regle!$H$23,
IF(Q253=regle!$I$11,regle!$I$23,
IF(Q253=regle!$J$11,regle!$J$23,
IF(Q253=regle!$K$11,regle!$K$23,0))))))))))))</f>
        <v>0</v>
      </c>
      <c r="AB253" s="17">
        <f>IF($A253,$J253*(IF(R253=regle!$B$11,regle!$B$23*IF(AK253=-2,1+regle!$B$35,1),
IF(R253=regle!$C$11,regle!$C$23,
IF(R253=regle!$D$11,regle!$D$23,
IF(R253=regle!$E$11,regle!$E$23,
IF(R253=regle!$F$11,regle!$F$23,
IF(R253=regle!$G$11,regle!$G$23,
IF(R253=regle!$H$11,regle!$H$23,
IF(R253=regle!$I$11,regle!$I$23,
IF(R253=regle!$J$11,regle!$J$23,
IF(R253=regle!$K$11,regle!$K$23,0))))))))))))</f>
        <v>0</v>
      </c>
      <c r="AC253" s="17">
        <f>IF($A253,$J253*(IF(S253=regle!$B$11,regle!$B$23*IF(AL253=-2,1+regle!$B$35,1),
IF(S253=regle!$C$11,regle!$C$23,
IF(S253=regle!$D$11,regle!$D$23,
IF(S253=regle!$E$11,regle!$E$23,
IF(S253=regle!$F$11,regle!$F$23,
IF(S253=regle!$G$11,regle!$G$23,
IF(S253=regle!$H$11,regle!$H$23,
IF(S253=regle!$I$11,regle!$I$23,
IF(S253=regle!$J$11,regle!$J$23,
IF(S253=regle!$K$11,regle!$K$23,0))))))))))))</f>
        <v>0</v>
      </c>
      <c r="AD253" s="17">
        <f>IF($A253,$J253*(IF(T253=regle!$B$11,regle!$B$23*IF(AM253=-2,1+regle!$B$35,1),
IF(T253=regle!$C$11,regle!$C$23,
IF(T253=regle!$D$11,regle!$D$23,
IF(T253=regle!$E$11,regle!$E$23,
IF(T253=regle!$F$11,regle!$F$23,
IF(T253=regle!$G$11,regle!$G$23,
IF(T253=regle!$H$11,regle!$H$23,
IF(T253=regle!$I$11,regle!$I$23,
IF(T253=regle!$J$11,regle!$J$23,
IF(T253=regle!$K$11,regle!$K$23,0))))))))))))</f>
        <v>0</v>
      </c>
      <c r="AE253" s="17">
        <f>IF($A253,$J253*(IF(U253=regle!$B$11,regle!$B$23*IF(AN253=-2,1+regle!$B$35,1),
IF(U253=regle!$C$11,regle!$C$23,
IF(U253=regle!$D$11,regle!$D$23,
IF(U253=regle!$E$11,regle!$E$23,
IF(U253=regle!$F$11,regle!$F$23,
IF(U253=regle!$G$11,regle!$G$23,
IF(U253=regle!$H$11,regle!$H$23,
IF(U253=regle!$I$11,regle!$I$23,
IF(U253=regle!$J$11,regle!$J$23,
IF(U253=regle!$K$11,regle!$K$23,0))))))))))))</f>
        <v>0</v>
      </c>
      <c r="AF253" s="17">
        <f>IF($A253,$J253*(IF(V253=regle!$B$11,regle!$B$23*IF(AO253=-2,1+regle!$B$35,1),
IF(V253=regle!$C$11,regle!$C$23,
IF(V253=regle!$D$11,regle!$D$23,
IF(V253=regle!$E$11,regle!$E$23,
IF(V253=regle!$F$11,regle!$F$23,
IF(V253=regle!$G$11,regle!$G$23,
IF(V253=regle!$H$11,regle!$H$23,
IF(V253=regle!$I$11,regle!$I$23,
IF(V253=regle!$J$11,regle!$J$23,
IF(V253=regle!$K$11,regle!$K$23,0))))))))))))</f>
        <v>0</v>
      </c>
      <c r="AG253" s="17">
        <f>IF($A253,$J253*(IF(W253=regle!$B$11,regle!$B$23*IF(AP253=-2,1+regle!$B$35,1),
IF(W253=regle!$C$11,regle!$C$23,
IF(W253=regle!$D$11,regle!$D$23,
IF(W253=regle!$E$11,regle!$E$23,
IF(W253=regle!$F$11,regle!$F$23,
IF(W253=regle!$G$11,regle!$G$23,
IF(W253=regle!$H$11,regle!$H$23,
IF(W253=regle!$I$11,regle!$I$23,
IF(W253=regle!$J$11,regle!$J$23,
IF(W253=regle!$K$11,regle!$K$23,0))))))))))))</f>
        <v>0</v>
      </c>
      <c r="AH253" s="17">
        <f>IF($A253,$J253*(IF(X253=regle!$B$11,regle!$B$23*IF(AQ253=-2,1+regle!$B$35,1),
IF(X253=regle!$C$11,regle!$C$23,
IF(X253=regle!$D$11,regle!$D$23,
IF(X253=regle!$E$11,regle!$E$23,
IF(X253=regle!$F$11,regle!$F$23,
IF(X253=regle!$G$11,regle!$G$23,
IF(X253=regle!$H$11,regle!$H$23,
IF(X253=regle!$I$11,regle!$I$23,
IF(X253=regle!$J$11,regle!$J$23,
IF(X253=regle!$K$11,regle!$K$23,0))))))))))))</f>
        <v>71416.28</v>
      </c>
      <c r="AI253" s="17">
        <f>IF($A253,$J253*(IF(Y253=regle!$B$11,regle!$B$23*IF(AR253=-2,1+regle!$B$35,1),
IF(Y253=regle!$C$11,regle!$C$23,
IF(Y253=regle!$D$11,regle!$D$23,
IF(Y253=regle!$E$11,regle!$E$23,
IF(Y253=regle!$F$11,regle!$F$23,
IF(Y253=regle!$G$11,regle!$G$23,
IF(Y253=regle!$H$11,regle!$H$23,
IF(Y253=regle!$I$11,regle!$I$23,
IF(Y253=regle!$J$11,regle!$J$23,
IF(Y253=regle!$K$11,regle!$K$23,0))))))))))))</f>
        <v>-25682.393000000004</v>
      </c>
      <c r="AJ253" s="17">
        <f>IF($A253,$J253*(IF(Z253=regle!$B$11,regle!$B$23*IF(AS253=-2,1+regle!$B$35,1),
IF(Z253=regle!$C$11,regle!$C$23,
IF(Z253=regle!$D$11,regle!$D$23,
IF(Z253=regle!$E$11,regle!$E$23,
IF(Z253=regle!$F$11,regle!$F$23,
IF(Z253=regle!$G$11,regle!$G$23,
IF(Z253=regle!$H$11,regle!$H$23,
IF(Z253=regle!$I$11,regle!$I$23,
IF(Z253=regle!$J$11,regle!$J$23,
IF(Z253=regle!$K$11,regle!$K$23,0))))))))))))</f>
        <v>0</v>
      </c>
      <c r="AK253" s="16">
        <f>IF(OR(Q253=regle!$J$11,Q253=regle!$K$11),-2,IF(Q253=regle!$B$11,0,IF(AK$1=$AK$1,IF($O253,-1,regle!$B$2-$M253),IF(AJ253=-1,-1,AJ253+1))))</f>
        <v>18</v>
      </c>
      <c r="AL253" s="16">
        <f>IF(OR(R253=regle!$J$11,R253=regle!$K$11),-2,IF(R253=regle!$B$11,0,IF(AL$1=$AK$1,IF($O253,-1,regle!$B$2-$M253),IF(AK253=-1,-1,AK253+1))))</f>
        <v>19</v>
      </c>
      <c r="AM253" s="16">
        <f>IF(OR(S253=regle!$J$11,S253=regle!$K$11),-2,IF(S253=regle!$B$11,0,IF(AM$1=$AK$1,IF($O253,-1,regle!$B$2-$M253),IF(AL253=-1,-1,AL253+1))))</f>
        <v>20</v>
      </c>
      <c r="AN253" s="16">
        <f>IF(OR(T253=regle!$J$11,T253=regle!$K$11),-2,IF(T253=regle!$B$11,0,IF(AN$1=$AK$1,IF($O253,-1,regle!$B$2-$M253),IF(AM253=-1,-1,AM253+1))))</f>
        <v>21</v>
      </c>
      <c r="AO253" s="16">
        <f>IF(OR(U253=regle!$J$11,U253=regle!$K$11),-2,IF(U253=regle!$B$11,0,IF(AO$1=$AK$1,IF($O253,-1,regle!$B$2-$M253),IF(AN253=-1,-1,AN253+1))))</f>
        <v>22</v>
      </c>
      <c r="AP253" s="16">
        <f>IF(OR(V253=regle!$J$11,V253=regle!$K$11),-2,IF(V253=regle!$B$11,0,IF(AP$1=$AK$1,IF($O253,-1,regle!$B$2-$M253),IF(AO253=-1,-1,AO253+1))))</f>
        <v>23</v>
      </c>
      <c r="AQ253" s="16">
        <f>IF(OR(W253=regle!$J$11,W253=regle!$K$11),-2,IF(W253=regle!$B$11,0,IF(AQ$1=$AK$1,IF($O253,-1,regle!$B$2-$M253),IF(AP253=-1,-1,AP253+1))))</f>
        <v>24</v>
      </c>
      <c r="AR253" s="16">
        <f>IF(OR(X253=regle!$J$11,X253=regle!$K$11),-2,IF(X253=regle!$B$11,0,IF(AR$1=$AK$1,IF($O253,-1,regle!$B$2-$M253),IF(AQ253=-1,-1,AQ253+1))))</f>
        <v>-2</v>
      </c>
      <c r="AS253" s="16">
        <f>IF(OR(Y253=regle!$J$11,Y253=regle!$K$11),-2,IF(Y253=regle!$B$11,0,IF(AS$1=$AK$1,IF($O253,-1,regle!$B$2-$M253),IF(AR253=-1,-1,AR253+1))))</f>
        <v>0</v>
      </c>
      <c r="AT253" s="16">
        <f>IF(OR(Z253=regle!$J$11,Z253=regle!$K$11),-2,IF(Z253=regle!$B$11,0,IF(AT$1=$AK$1,IF($O253,-1,regle!$B$2-$M253),IF(AS253=-1,-1,AS253+1))))</f>
        <v>1</v>
      </c>
    </row>
    <row r="254" spans="1:46" x14ac:dyDescent="0.25">
      <c r="A254" t="b">
        <f>modif1!A254</f>
        <v>1</v>
      </c>
      <c r="B254">
        <f>ROW(modif1!B254)</f>
        <v>254</v>
      </c>
      <c r="C254" t="str">
        <f>modif1!C257</f>
        <v>202</v>
      </c>
      <c r="D254" t="str">
        <f>modif1!D254</f>
        <v>HOSTENS</v>
      </c>
      <c r="E254">
        <f>modif1!E254</f>
        <v>11</v>
      </c>
      <c r="F254" t="str">
        <f>modif1!F254</f>
        <v>LES CAZALAS</v>
      </c>
      <c r="G254" t="str">
        <f>modif1!G254</f>
        <v>0B</v>
      </c>
      <c r="H254">
        <f>modif1!H254</f>
        <v>1161</v>
      </c>
      <c r="I254" t="str">
        <f>modif1!I254</f>
        <v/>
      </c>
      <c r="J254" s="11">
        <f>modif1!J254</f>
        <v>2.911</v>
      </c>
      <c r="K254" t="str">
        <f>modif1!K254</f>
        <v>PLA</v>
      </c>
      <c r="L254" t="str">
        <f>modif1!L254</f>
        <v>PM</v>
      </c>
      <c r="M254">
        <f>modif1!M254</f>
        <v>2006</v>
      </c>
      <c r="N254" t="str">
        <f>modif1!N254</f>
        <v>PLA-PM_2006</v>
      </c>
      <c r="O254" t="b">
        <f>modif1!O254</f>
        <v>0</v>
      </c>
      <c r="P254">
        <v>40</v>
      </c>
      <c r="X254" t="s">
        <v>1181</v>
      </c>
      <c r="Y254" s="22"/>
      <c r="Z254" t="s">
        <v>1868</v>
      </c>
      <c r="AA254" s="17">
        <f>IF($A254,$J254*(IF(Q254=regle!$B$11,regle!$B$23*IF(AJ254=-2,1+regle!$B$35,1),
IF(Q254=regle!$C$11,regle!$C$23,
IF(Q254=regle!$D$11,regle!$D$23,
IF(Q254=regle!$E$11,regle!$E$23,
IF(Q254=regle!$F$11,regle!$F$23,
IF(Q254=regle!$G$11,regle!$G$23,
IF(Q254=regle!$H$11,regle!$H$23,
IF(Q254=regle!$I$11,regle!$I$23,
IF(Q254=regle!$J$11,regle!$J$23,
IF(Q254=regle!$K$11,regle!$K$23,0))))))))))))</f>
        <v>0</v>
      </c>
      <c r="AB254" s="17">
        <f>IF($A254,$J254*(IF(R254=regle!$B$11,regle!$B$23*IF(AK254=-2,1+regle!$B$35,1),
IF(R254=regle!$C$11,regle!$C$23,
IF(R254=regle!$D$11,regle!$D$23,
IF(R254=regle!$E$11,regle!$E$23,
IF(R254=regle!$F$11,regle!$F$23,
IF(R254=regle!$G$11,regle!$G$23,
IF(R254=regle!$H$11,regle!$H$23,
IF(R254=regle!$I$11,regle!$I$23,
IF(R254=regle!$J$11,regle!$J$23,
IF(R254=regle!$K$11,regle!$K$23,0))))))))))))</f>
        <v>0</v>
      </c>
      <c r="AC254" s="17">
        <f>IF($A254,$J254*(IF(S254=regle!$B$11,regle!$B$23*IF(AL254=-2,1+regle!$B$35,1),
IF(S254=regle!$C$11,regle!$C$23,
IF(S254=regle!$D$11,regle!$D$23,
IF(S254=regle!$E$11,regle!$E$23,
IF(S254=regle!$F$11,regle!$F$23,
IF(S254=regle!$G$11,regle!$G$23,
IF(S254=regle!$H$11,regle!$H$23,
IF(S254=regle!$I$11,regle!$I$23,
IF(S254=regle!$J$11,regle!$J$23,
IF(S254=regle!$K$11,regle!$K$23,0))))))))))))</f>
        <v>0</v>
      </c>
      <c r="AD254" s="17">
        <f>IF($A254,$J254*(IF(T254=regle!$B$11,regle!$B$23*IF(AM254=-2,1+regle!$B$35,1),
IF(T254=regle!$C$11,regle!$C$23,
IF(T254=regle!$D$11,regle!$D$23,
IF(T254=regle!$E$11,regle!$E$23,
IF(T254=regle!$F$11,regle!$F$23,
IF(T254=regle!$G$11,regle!$G$23,
IF(T254=regle!$H$11,regle!$H$23,
IF(T254=regle!$I$11,regle!$I$23,
IF(T254=regle!$J$11,regle!$J$23,
IF(T254=regle!$K$11,regle!$K$23,0))))))))))))</f>
        <v>0</v>
      </c>
      <c r="AE254" s="17">
        <f>IF($A254,$J254*(IF(U254=regle!$B$11,regle!$B$23*IF(AN254=-2,1+regle!$B$35,1),
IF(U254=regle!$C$11,regle!$C$23,
IF(U254=regle!$D$11,regle!$D$23,
IF(U254=regle!$E$11,regle!$E$23,
IF(U254=regle!$F$11,regle!$F$23,
IF(U254=regle!$G$11,regle!$G$23,
IF(U254=regle!$H$11,regle!$H$23,
IF(U254=regle!$I$11,regle!$I$23,
IF(U254=regle!$J$11,regle!$J$23,
IF(U254=regle!$K$11,regle!$K$23,0))))))))))))</f>
        <v>0</v>
      </c>
      <c r="AF254" s="17">
        <f>IF($A254,$J254*(IF(V254=regle!$B$11,regle!$B$23*IF(AO254=-2,1+regle!$B$35,1),
IF(V254=regle!$C$11,regle!$C$23,
IF(V254=regle!$D$11,regle!$D$23,
IF(V254=regle!$E$11,regle!$E$23,
IF(V254=regle!$F$11,regle!$F$23,
IF(V254=regle!$G$11,regle!$G$23,
IF(V254=regle!$H$11,regle!$H$23,
IF(V254=regle!$I$11,regle!$I$23,
IF(V254=regle!$J$11,regle!$J$23,
IF(V254=regle!$K$11,regle!$K$23,0))))))))))))</f>
        <v>0</v>
      </c>
      <c r="AG254" s="17">
        <f>IF($A254,$J254*(IF(W254=regle!$B$11,regle!$B$23*IF(AP254=-2,1+regle!$B$35,1),
IF(W254=regle!$C$11,regle!$C$23,
IF(W254=regle!$D$11,regle!$D$23,
IF(W254=regle!$E$11,regle!$E$23,
IF(W254=regle!$F$11,regle!$F$23,
IF(W254=regle!$G$11,regle!$G$23,
IF(W254=regle!$H$11,regle!$H$23,
IF(W254=regle!$I$11,regle!$I$23,
IF(W254=regle!$J$11,regle!$J$23,
IF(W254=regle!$K$11,regle!$K$23,0))))))))))))</f>
        <v>0</v>
      </c>
      <c r="AH254" s="17">
        <f>IF($A254,$J254*(IF(X254=regle!$B$11,regle!$B$23*IF(AQ254=-2,1+regle!$B$35,1),
IF(X254=regle!$C$11,regle!$C$23,
IF(X254=regle!$D$11,regle!$D$23,
IF(X254=regle!$E$11,regle!$E$23,
IF(X254=regle!$F$11,regle!$F$23,
IF(X254=regle!$G$11,regle!$G$23,
IF(X254=regle!$H$11,regle!$H$23,
IF(X254=regle!$I$11,regle!$I$23,
IF(X254=regle!$J$11,regle!$J$23,
IF(X254=regle!$K$11,regle!$K$23,0))))))))))))</f>
        <v>15137.2</v>
      </c>
      <c r="AI254" s="17">
        <f>IF($A254,$J254*(IF(Y254=regle!$B$11,regle!$B$23*IF(AR254=-2,1+regle!$B$35,1),
IF(Y254=regle!$C$11,regle!$C$23,
IF(Y254=regle!$D$11,regle!$D$23,
IF(Y254=regle!$E$11,regle!$E$23,
IF(Y254=regle!$F$11,regle!$F$23,
IF(Y254=regle!$G$11,regle!$G$23,
IF(Y254=regle!$H$11,regle!$H$23,
IF(Y254=regle!$I$11,regle!$I$23,
IF(Y254=regle!$J$11,regle!$J$23,
IF(Y254=regle!$K$11,regle!$K$23,0))))))))))))</f>
        <v>0</v>
      </c>
      <c r="AJ254" s="17">
        <f>IF($A254,$J254*(IF(Z254=regle!$B$11,regle!$B$23*IF(AS254=-2,1+regle!$B$35,1),
IF(Z254=regle!$C$11,regle!$C$23,
IF(Z254=regle!$D$11,regle!$D$23,
IF(Z254=regle!$E$11,regle!$E$23,
IF(Z254=regle!$F$11,regle!$F$23,
IF(Z254=regle!$G$11,regle!$G$23,
IF(Z254=regle!$H$11,regle!$H$23,
IF(Z254=regle!$I$11,regle!$I$23,
IF(Z254=regle!$J$11,regle!$J$23,
IF(Z254=regle!$K$11,regle!$K$23,0))))))))))))</f>
        <v>-4948.7</v>
      </c>
      <c r="AK254" s="16">
        <f>IF(OR(Q254=regle!$J$11,Q254=regle!$K$11),-2,IF(Q254=regle!$B$11,0,IF(AK$1=$AK$1,IF($O254,-1,regle!$B$2-$M254),IF(AJ254=-1,-1,AJ254+1))))</f>
        <v>18</v>
      </c>
      <c r="AL254" s="16">
        <f>IF(OR(R254=regle!$J$11,R254=regle!$K$11),-2,IF(R254=regle!$B$11,0,IF(AL$1=$AK$1,IF($O254,-1,regle!$B$2-$M254),IF(AK254=-1,-1,AK254+1))))</f>
        <v>19</v>
      </c>
      <c r="AM254" s="16">
        <f>IF(OR(S254=regle!$J$11,S254=regle!$K$11),-2,IF(S254=regle!$B$11,0,IF(AM$1=$AK$1,IF($O254,-1,regle!$B$2-$M254),IF(AL254=-1,-1,AL254+1))))</f>
        <v>20</v>
      </c>
      <c r="AN254" s="16">
        <f>IF(OR(T254=regle!$J$11,T254=regle!$K$11),-2,IF(T254=regle!$B$11,0,IF(AN$1=$AK$1,IF($O254,-1,regle!$B$2-$M254),IF(AM254=-1,-1,AM254+1))))</f>
        <v>21</v>
      </c>
      <c r="AO254" s="16">
        <f>IF(OR(U254=regle!$J$11,U254=regle!$K$11),-2,IF(U254=regle!$B$11,0,IF(AO$1=$AK$1,IF($O254,-1,regle!$B$2-$M254),IF(AN254=-1,-1,AN254+1))))</f>
        <v>22</v>
      </c>
      <c r="AP254" s="16">
        <f>IF(OR(V254=regle!$J$11,V254=regle!$K$11),-2,IF(V254=regle!$B$11,0,IF(AP$1=$AK$1,IF($O254,-1,regle!$B$2-$M254),IF(AO254=-1,-1,AO254+1))))</f>
        <v>23</v>
      </c>
      <c r="AQ254" s="16">
        <f>IF(OR(W254=regle!$J$11,W254=regle!$K$11),-2,IF(W254=regle!$B$11,0,IF(AQ$1=$AK$1,IF($O254,-1,regle!$B$2-$M254),IF(AP254=-1,-1,AP254+1))))</f>
        <v>24</v>
      </c>
      <c r="AR254" s="16">
        <f>IF(OR(X254=regle!$J$11,X254=regle!$K$11),-2,IF(X254=regle!$B$11,0,IF(AR$1=$AK$1,IF($O254,-1,regle!$B$2-$M254),IF(AQ254=-1,-1,AQ254+1))))</f>
        <v>-2</v>
      </c>
      <c r="AS254" s="16">
        <f>IF(OR(Y254=regle!$J$11,Y254=regle!$K$11),-2,IF(Y254=regle!$B$11,0,IF(AS$1=$AK$1,IF($O254,-1,regle!$B$2-$M254),IF(AR254=-1,-1,AR254+1))))</f>
        <v>-1</v>
      </c>
      <c r="AT254" s="16">
        <f>IF(OR(Z254=regle!$J$11,Z254=regle!$K$11),-2,IF(Z254=regle!$B$11,0,IF(AT$1=$AK$1,IF($O254,-1,regle!$B$2-$M254),IF(AS254=-1,-1,AS254+1))))</f>
        <v>0</v>
      </c>
    </row>
    <row r="255" spans="1:46" x14ac:dyDescent="0.25">
      <c r="A255" t="b">
        <f>modif1!A255</f>
        <v>1</v>
      </c>
      <c r="B255">
        <f>ROW(modif1!B255)</f>
        <v>255</v>
      </c>
      <c r="C255" t="str">
        <f>modif1!C258</f>
        <v>202</v>
      </c>
      <c r="D255" t="str">
        <f>modif1!D255</f>
        <v>HOSTENS</v>
      </c>
      <c r="E255">
        <f>modif1!E255</f>
        <v>11</v>
      </c>
      <c r="F255" t="str">
        <f>modif1!F255</f>
        <v>LES CAZALAS</v>
      </c>
      <c r="G255" t="str">
        <f>modif1!G255</f>
        <v>0B</v>
      </c>
      <c r="H255">
        <f>modif1!H255</f>
        <v>1146</v>
      </c>
      <c r="I255" t="str">
        <f>modif1!I255</f>
        <v/>
      </c>
      <c r="J255" s="11">
        <f>modif1!J255</f>
        <v>2.4319999999999999</v>
      </c>
      <c r="K255" t="str">
        <f>modif1!K255</f>
        <v>PLA</v>
      </c>
      <c r="L255" t="str">
        <f>modif1!L255</f>
        <v>PM</v>
      </c>
      <c r="M255">
        <f>modif1!M255</f>
        <v>2006</v>
      </c>
      <c r="N255" t="str">
        <f>modif1!N255</f>
        <v>PLA-PM_2006</v>
      </c>
      <c r="O255" t="b">
        <f>modif1!O255</f>
        <v>0</v>
      </c>
      <c r="P255">
        <v>40</v>
      </c>
      <c r="Y255" t="s">
        <v>1181</v>
      </c>
      <c r="Z255" t="s">
        <v>1868</v>
      </c>
      <c r="AA255" s="17">
        <f>IF($A255,$J255*(IF(Q255=regle!$B$11,regle!$B$23*IF(AJ255=-2,1+regle!$B$35,1),
IF(Q255=regle!$C$11,regle!$C$23,
IF(Q255=regle!$D$11,regle!$D$23,
IF(Q255=regle!$E$11,regle!$E$23,
IF(Q255=regle!$F$11,regle!$F$23,
IF(Q255=regle!$G$11,regle!$G$23,
IF(Q255=regle!$H$11,regle!$H$23,
IF(Q255=regle!$I$11,regle!$I$23,
IF(Q255=regle!$J$11,regle!$J$23,
IF(Q255=regle!$K$11,regle!$K$23,0))))))))))))</f>
        <v>0</v>
      </c>
      <c r="AB255" s="17">
        <f>IF($A255,$J255*(IF(R255=regle!$B$11,regle!$B$23*IF(AK255=-2,1+regle!$B$35,1),
IF(R255=regle!$C$11,regle!$C$23,
IF(R255=regle!$D$11,regle!$D$23,
IF(R255=regle!$E$11,regle!$E$23,
IF(R255=regle!$F$11,regle!$F$23,
IF(R255=regle!$G$11,regle!$G$23,
IF(R255=regle!$H$11,regle!$H$23,
IF(R255=regle!$I$11,regle!$I$23,
IF(R255=regle!$J$11,regle!$J$23,
IF(R255=regle!$K$11,regle!$K$23,0))))))))))))</f>
        <v>0</v>
      </c>
      <c r="AC255" s="17">
        <f>IF($A255,$J255*(IF(S255=regle!$B$11,regle!$B$23*IF(AL255=-2,1+regle!$B$35,1),
IF(S255=regle!$C$11,regle!$C$23,
IF(S255=regle!$D$11,regle!$D$23,
IF(S255=regle!$E$11,regle!$E$23,
IF(S255=regle!$F$11,regle!$F$23,
IF(S255=regle!$G$11,regle!$G$23,
IF(S255=regle!$H$11,regle!$H$23,
IF(S255=regle!$I$11,regle!$I$23,
IF(S255=regle!$J$11,regle!$J$23,
IF(S255=regle!$K$11,regle!$K$23,0))))))))))))</f>
        <v>0</v>
      </c>
      <c r="AD255" s="17">
        <f>IF($A255,$J255*(IF(T255=regle!$B$11,regle!$B$23*IF(AM255=-2,1+regle!$B$35,1),
IF(T255=regle!$C$11,regle!$C$23,
IF(T255=regle!$D$11,regle!$D$23,
IF(T255=regle!$E$11,regle!$E$23,
IF(T255=regle!$F$11,regle!$F$23,
IF(T255=regle!$G$11,regle!$G$23,
IF(T255=regle!$H$11,regle!$H$23,
IF(T255=regle!$I$11,regle!$I$23,
IF(T255=regle!$J$11,regle!$J$23,
IF(T255=regle!$K$11,regle!$K$23,0))))))))))))</f>
        <v>0</v>
      </c>
      <c r="AE255" s="17">
        <f>IF($A255,$J255*(IF(U255=regle!$B$11,regle!$B$23*IF(AN255=-2,1+regle!$B$35,1),
IF(U255=regle!$C$11,regle!$C$23,
IF(U255=regle!$D$11,regle!$D$23,
IF(U255=regle!$E$11,regle!$E$23,
IF(U255=regle!$F$11,regle!$F$23,
IF(U255=regle!$G$11,regle!$G$23,
IF(U255=regle!$H$11,regle!$H$23,
IF(U255=regle!$I$11,regle!$I$23,
IF(U255=regle!$J$11,regle!$J$23,
IF(U255=regle!$K$11,regle!$K$23,0))))))))))))</f>
        <v>0</v>
      </c>
      <c r="AF255" s="17">
        <f>IF($A255,$J255*(IF(V255=regle!$B$11,regle!$B$23*IF(AO255=-2,1+regle!$B$35,1),
IF(V255=regle!$C$11,regle!$C$23,
IF(V255=regle!$D$11,regle!$D$23,
IF(V255=regle!$E$11,regle!$E$23,
IF(V255=regle!$F$11,regle!$F$23,
IF(V255=regle!$G$11,regle!$G$23,
IF(V255=regle!$H$11,regle!$H$23,
IF(V255=regle!$I$11,regle!$I$23,
IF(V255=regle!$J$11,regle!$J$23,
IF(V255=regle!$K$11,regle!$K$23,0))))))))))))</f>
        <v>0</v>
      </c>
      <c r="AG255" s="17">
        <f>IF($A255,$J255*(IF(W255=regle!$B$11,regle!$B$23*IF(AP255=-2,1+regle!$B$35,1),
IF(W255=regle!$C$11,regle!$C$23,
IF(W255=regle!$D$11,regle!$D$23,
IF(W255=regle!$E$11,regle!$E$23,
IF(W255=regle!$F$11,regle!$F$23,
IF(W255=regle!$G$11,regle!$G$23,
IF(W255=regle!$H$11,regle!$H$23,
IF(W255=regle!$I$11,regle!$I$23,
IF(W255=regle!$J$11,regle!$J$23,
IF(W255=regle!$K$11,regle!$K$23,0))))))))))))</f>
        <v>0</v>
      </c>
      <c r="AH255" s="17">
        <f>IF($A255,$J255*(IF(X255=regle!$B$11,regle!$B$23*IF(AQ255=-2,1+regle!$B$35,1),
IF(X255=regle!$C$11,regle!$C$23,
IF(X255=regle!$D$11,regle!$D$23,
IF(X255=regle!$E$11,regle!$E$23,
IF(X255=regle!$F$11,regle!$F$23,
IF(X255=regle!$G$11,regle!$G$23,
IF(X255=regle!$H$11,regle!$H$23,
IF(X255=regle!$I$11,regle!$I$23,
IF(X255=regle!$J$11,regle!$J$23,
IF(X255=regle!$K$11,regle!$K$23,0))))))))))))</f>
        <v>0</v>
      </c>
      <c r="AI255" s="17">
        <f>IF($A255,$J255*(IF(Y255=regle!$B$11,regle!$B$23*IF(AR255=-2,1+regle!$B$35,1),
IF(Y255=regle!$C$11,regle!$C$23,
IF(Y255=regle!$D$11,regle!$D$23,
IF(Y255=regle!$E$11,regle!$E$23,
IF(Y255=regle!$F$11,regle!$F$23,
IF(Y255=regle!$G$11,regle!$G$23,
IF(Y255=regle!$H$11,regle!$H$23,
IF(Y255=regle!$I$11,regle!$I$23,
IF(Y255=regle!$J$11,regle!$J$23,
IF(Y255=regle!$K$11,regle!$K$23,0))))))))))))</f>
        <v>12646.4</v>
      </c>
      <c r="AJ255" s="17">
        <f>IF($A255,$J255*(IF(Z255=regle!$B$11,regle!$B$23*IF(AS255=-2,1+regle!$B$35,1),
IF(Z255=regle!$C$11,regle!$C$23,
IF(Z255=regle!$D$11,regle!$D$23,
IF(Z255=regle!$E$11,regle!$E$23,
IF(Z255=regle!$F$11,regle!$F$23,
IF(Z255=regle!$G$11,regle!$G$23,
IF(Z255=regle!$H$11,regle!$H$23,
IF(Z255=regle!$I$11,regle!$I$23,
IF(Z255=regle!$J$11,regle!$J$23,
IF(Z255=regle!$K$11,regle!$K$23,0))))))))))))</f>
        <v>-4547.84</v>
      </c>
      <c r="AK255" s="16">
        <f>IF(OR(Q255=regle!$J$11,Q255=regle!$K$11),-2,IF(Q255=regle!$B$11,0,IF(AK$1=$AK$1,IF($O255,-1,regle!$B$2-$M255),IF(AJ255=-1,-1,AJ255+1))))</f>
        <v>18</v>
      </c>
      <c r="AL255" s="16">
        <f>IF(OR(R255=regle!$J$11,R255=regle!$K$11),-2,IF(R255=regle!$B$11,0,IF(AL$1=$AK$1,IF($O255,-1,regle!$B$2-$M255),IF(AK255=-1,-1,AK255+1))))</f>
        <v>19</v>
      </c>
      <c r="AM255" s="16">
        <f>IF(OR(S255=regle!$J$11,S255=regle!$K$11),-2,IF(S255=regle!$B$11,0,IF(AM$1=$AK$1,IF($O255,-1,regle!$B$2-$M255),IF(AL255=-1,-1,AL255+1))))</f>
        <v>20</v>
      </c>
      <c r="AN255" s="16">
        <f>IF(OR(T255=regle!$J$11,T255=regle!$K$11),-2,IF(T255=regle!$B$11,0,IF(AN$1=$AK$1,IF($O255,-1,regle!$B$2-$M255),IF(AM255=-1,-1,AM255+1))))</f>
        <v>21</v>
      </c>
      <c r="AO255" s="16">
        <f>IF(OR(U255=regle!$J$11,U255=regle!$K$11),-2,IF(U255=regle!$B$11,0,IF(AO$1=$AK$1,IF($O255,-1,regle!$B$2-$M255),IF(AN255=-1,-1,AN255+1))))</f>
        <v>22</v>
      </c>
      <c r="AP255" s="16">
        <f>IF(OR(V255=regle!$J$11,V255=regle!$K$11),-2,IF(V255=regle!$B$11,0,IF(AP$1=$AK$1,IF($O255,-1,regle!$B$2-$M255),IF(AO255=-1,-1,AO255+1))))</f>
        <v>23</v>
      </c>
      <c r="AQ255" s="16">
        <f>IF(OR(W255=regle!$J$11,W255=regle!$K$11),-2,IF(W255=regle!$B$11,0,IF(AQ$1=$AK$1,IF($O255,-1,regle!$B$2-$M255),IF(AP255=-1,-1,AP255+1))))</f>
        <v>24</v>
      </c>
      <c r="AR255" s="16">
        <f>IF(OR(X255=regle!$J$11,X255=regle!$K$11),-2,IF(X255=regle!$B$11,0,IF(AR$1=$AK$1,IF($O255,-1,regle!$B$2-$M255),IF(AQ255=-1,-1,AQ255+1))))</f>
        <v>25</v>
      </c>
      <c r="AS255" s="16">
        <f>IF(OR(Y255=regle!$J$11,Y255=regle!$K$11),-2,IF(Y255=regle!$B$11,0,IF(AS$1=$AK$1,IF($O255,-1,regle!$B$2-$M255),IF(AR255=-1,-1,AR255+1))))</f>
        <v>-2</v>
      </c>
      <c r="AT255" s="16">
        <f>IF(OR(Z255=regle!$J$11,Z255=regle!$K$11),-2,IF(Z255=regle!$B$11,0,IF(AT$1=$AK$1,IF($O255,-1,regle!$B$2-$M255),IF(AS255=-1,-1,AS255+1))))</f>
        <v>0</v>
      </c>
    </row>
    <row r="256" spans="1:46" x14ac:dyDescent="0.25">
      <c r="A256" t="b">
        <f>modif1!A256</f>
        <v>1</v>
      </c>
      <c r="B256">
        <f>ROW(modif1!B256)</f>
        <v>256</v>
      </c>
      <c r="C256" t="str">
        <f>modif1!C259</f>
        <v>202</v>
      </c>
      <c r="D256" t="str">
        <f>modif1!D256</f>
        <v>HOSTENS</v>
      </c>
      <c r="E256">
        <f>modif1!E256</f>
        <v>11</v>
      </c>
      <c r="F256" t="str">
        <f>modif1!F256</f>
        <v>LES CAZALAS</v>
      </c>
      <c r="G256" t="str">
        <f>modif1!G256</f>
        <v>0B</v>
      </c>
      <c r="H256">
        <f>modif1!H256</f>
        <v>1147</v>
      </c>
      <c r="I256" t="str">
        <f>modif1!I256</f>
        <v/>
      </c>
      <c r="J256" s="11">
        <f>modif1!J256</f>
        <v>2.1</v>
      </c>
      <c r="K256" t="str">
        <f>modif1!K256</f>
        <v>PLA</v>
      </c>
      <c r="L256" t="str">
        <f>modif1!L256</f>
        <v>PM</v>
      </c>
      <c r="M256">
        <f>modif1!M256</f>
        <v>2006</v>
      </c>
      <c r="N256" t="str">
        <f>modif1!N256</f>
        <v>PLA-PM_2006</v>
      </c>
      <c r="O256" t="b">
        <f>modif1!O256</f>
        <v>0</v>
      </c>
      <c r="P256">
        <v>40</v>
      </c>
      <c r="Y256" t="s">
        <v>1181</v>
      </c>
      <c r="Z256" t="s">
        <v>1868</v>
      </c>
      <c r="AA256" s="17">
        <f>IF($A256,$J256*(IF(Q256=regle!$B$11,regle!$B$23*IF(AJ256=-2,1+regle!$B$35,1),
IF(Q256=regle!$C$11,regle!$C$23,
IF(Q256=regle!$D$11,regle!$D$23,
IF(Q256=regle!$E$11,regle!$E$23,
IF(Q256=regle!$F$11,regle!$F$23,
IF(Q256=regle!$G$11,regle!$G$23,
IF(Q256=regle!$H$11,regle!$H$23,
IF(Q256=regle!$I$11,regle!$I$23,
IF(Q256=regle!$J$11,regle!$J$23,
IF(Q256=regle!$K$11,regle!$K$23,0))))))))))))</f>
        <v>0</v>
      </c>
      <c r="AB256" s="17">
        <f>IF($A256,$J256*(IF(R256=regle!$B$11,regle!$B$23*IF(AK256=-2,1+regle!$B$35,1),
IF(R256=regle!$C$11,regle!$C$23,
IF(R256=regle!$D$11,regle!$D$23,
IF(R256=regle!$E$11,regle!$E$23,
IF(R256=regle!$F$11,regle!$F$23,
IF(R256=regle!$G$11,regle!$G$23,
IF(R256=regle!$H$11,regle!$H$23,
IF(R256=regle!$I$11,regle!$I$23,
IF(R256=regle!$J$11,regle!$J$23,
IF(R256=regle!$K$11,regle!$K$23,0))))))))))))</f>
        <v>0</v>
      </c>
      <c r="AC256" s="17">
        <f>IF($A256,$J256*(IF(S256=regle!$B$11,regle!$B$23*IF(AL256=-2,1+regle!$B$35,1),
IF(S256=regle!$C$11,regle!$C$23,
IF(S256=regle!$D$11,regle!$D$23,
IF(S256=regle!$E$11,regle!$E$23,
IF(S256=regle!$F$11,regle!$F$23,
IF(S256=regle!$G$11,regle!$G$23,
IF(S256=regle!$H$11,regle!$H$23,
IF(S256=regle!$I$11,regle!$I$23,
IF(S256=regle!$J$11,regle!$J$23,
IF(S256=regle!$K$11,regle!$K$23,0))))))))))))</f>
        <v>0</v>
      </c>
      <c r="AD256" s="17">
        <f>IF($A256,$J256*(IF(T256=regle!$B$11,regle!$B$23*IF(AM256=-2,1+regle!$B$35,1),
IF(T256=regle!$C$11,regle!$C$23,
IF(T256=regle!$D$11,regle!$D$23,
IF(T256=regle!$E$11,regle!$E$23,
IF(T256=regle!$F$11,regle!$F$23,
IF(T256=regle!$G$11,regle!$G$23,
IF(T256=regle!$H$11,regle!$H$23,
IF(T256=regle!$I$11,regle!$I$23,
IF(T256=regle!$J$11,regle!$J$23,
IF(T256=regle!$K$11,regle!$K$23,0))))))))))))</f>
        <v>0</v>
      </c>
      <c r="AE256" s="17">
        <f>IF($A256,$J256*(IF(U256=regle!$B$11,regle!$B$23*IF(AN256=-2,1+regle!$B$35,1),
IF(U256=regle!$C$11,regle!$C$23,
IF(U256=regle!$D$11,regle!$D$23,
IF(U256=regle!$E$11,regle!$E$23,
IF(U256=regle!$F$11,regle!$F$23,
IF(U256=regle!$G$11,regle!$G$23,
IF(U256=regle!$H$11,regle!$H$23,
IF(U256=regle!$I$11,regle!$I$23,
IF(U256=regle!$J$11,regle!$J$23,
IF(U256=regle!$K$11,regle!$K$23,0))))))))))))</f>
        <v>0</v>
      </c>
      <c r="AF256" s="17">
        <f>IF($A256,$J256*(IF(V256=regle!$B$11,regle!$B$23*IF(AO256=-2,1+regle!$B$35,1),
IF(V256=regle!$C$11,regle!$C$23,
IF(V256=regle!$D$11,regle!$D$23,
IF(V256=regle!$E$11,regle!$E$23,
IF(V256=regle!$F$11,regle!$F$23,
IF(V256=regle!$G$11,regle!$G$23,
IF(V256=regle!$H$11,regle!$H$23,
IF(V256=regle!$I$11,regle!$I$23,
IF(V256=regle!$J$11,regle!$J$23,
IF(V256=regle!$K$11,regle!$K$23,0))))))))))))</f>
        <v>0</v>
      </c>
      <c r="AG256" s="17">
        <f>IF($A256,$J256*(IF(W256=regle!$B$11,regle!$B$23*IF(AP256=-2,1+regle!$B$35,1),
IF(W256=regle!$C$11,regle!$C$23,
IF(W256=regle!$D$11,regle!$D$23,
IF(W256=regle!$E$11,regle!$E$23,
IF(W256=regle!$F$11,regle!$F$23,
IF(W256=regle!$G$11,regle!$G$23,
IF(W256=regle!$H$11,regle!$H$23,
IF(W256=regle!$I$11,regle!$I$23,
IF(W256=regle!$J$11,regle!$J$23,
IF(W256=regle!$K$11,regle!$K$23,0))))))))))))</f>
        <v>0</v>
      </c>
      <c r="AH256" s="17">
        <f>IF($A256,$J256*(IF(X256=regle!$B$11,regle!$B$23*IF(AQ256=-2,1+regle!$B$35,1),
IF(X256=regle!$C$11,regle!$C$23,
IF(X256=regle!$D$11,regle!$D$23,
IF(X256=regle!$E$11,regle!$E$23,
IF(X256=regle!$F$11,regle!$F$23,
IF(X256=regle!$G$11,regle!$G$23,
IF(X256=regle!$H$11,regle!$H$23,
IF(X256=regle!$I$11,regle!$I$23,
IF(X256=regle!$J$11,regle!$J$23,
IF(X256=regle!$K$11,regle!$K$23,0))))))))))))</f>
        <v>0</v>
      </c>
      <c r="AI256" s="17">
        <f>IF($A256,$J256*(IF(Y256=regle!$B$11,regle!$B$23*IF(AR256=-2,1+regle!$B$35,1),
IF(Y256=regle!$C$11,regle!$C$23,
IF(Y256=regle!$D$11,regle!$D$23,
IF(Y256=regle!$E$11,regle!$E$23,
IF(Y256=regle!$F$11,regle!$F$23,
IF(Y256=regle!$G$11,regle!$G$23,
IF(Y256=regle!$H$11,regle!$H$23,
IF(Y256=regle!$I$11,regle!$I$23,
IF(Y256=regle!$J$11,regle!$J$23,
IF(Y256=regle!$K$11,regle!$K$23,0))))))))))))</f>
        <v>10920</v>
      </c>
      <c r="AJ256" s="17">
        <f>IF($A256,$J256*(IF(Z256=regle!$B$11,regle!$B$23*IF(AS256=-2,1+regle!$B$35,1),
IF(Z256=regle!$C$11,regle!$C$23,
IF(Z256=regle!$D$11,regle!$D$23,
IF(Z256=regle!$E$11,regle!$E$23,
IF(Z256=regle!$F$11,regle!$F$23,
IF(Z256=regle!$G$11,regle!$G$23,
IF(Z256=regle!$H$11,regle!$H$23,
IF(Z256=regle!$I$11,regle!$I$23,
IF(Z256=regle!$J$11,regle!$J$23,
IF(Z256=regle!$K$11,regle!$K$23,0))))))))))))</f>
        <v>-3927.0000000000005</v>
      </c>
      <c r="AK256" s="16">
        <f>IF(OR(Q256=regle!$J$11,Q256=regle!$K$11),-2,IF(Q256=regle!$B$11,0,IF(AK$1=$AK$1,IF($O256,-1,regle!$B$2-$M256),IF(AJ256=-1,-1,AJ256+1))))</f>
        <v>18</v>
      </c>
      <c r="AL256" s="16">
        <f>IF(OR(R256=regle!$J$11,R256=regle!$K$11),-2,IF(R256=regle!$B$11,0,IF(AL$1=$AK$1,IF($O256,-1,regle!$B$2-$M256),IF(AK256=-1,-1,AK256+1))))</f>
        <v>19</v>
      </c>
      <c r="AM256" s="16">
        <f>IF(OR(S256=regle!$J$11,S256=regle!$K$11),-2,IF(S256=regle!$B$11,0,IF(AM$1=$AK$1,IF($O256,-1,regle!$B$2-$M256),IF(AL256=-1,-1,AL256+1))))</f>
        <v>20</v>
      </c>
      <c r="AN256" s="16">
        <f>IF(OR(T256=regle!$J$11,T256=regle!$K$11),-2,IF(T256=regle!$B$11,0,IF(AN$1=$AK$1,IF($O256,-1,regle!$B$2-$M256),IF(AM256=-1,-1,AM256+1))))</f>
        <v>21</v>
      </c>
      <c r="AO256" s="16">
        <f>IF(OR(U256=regle!$J$11,U256=regle!$K$11),-2,IF(U256=regle!$B$11,0,IF(AO$1=$AK$1,IF($O256,-1,regle!$B$2-$M256),IF(AN256=-1,-1,AN256+1))))</f>
        <v>22</v>
      </c>
      <c r="AP256" s="16">
        <f>IF(OR(V256=regle!$J$11,V256=regle!$K$11),-2,IF(V256=regle!$B$11,0,IF(AP$1=$AK$1,IF($O256,-1,regle!$B$2-$M256),IF(AO256=-1,-1,AO256+1))))</f>
        <v>23</v>
      </c>
      <c r="AQ256" s="16">
        <f>IF(OR(W256=regle!$J$11,W256=regle!$K$11),-2,IF(W256=regle!$B$11,0,IF(AQ$1=$AK$1,IF($O256,-1,regle!$B$2-$M256),IF(AP256=-1,-1,AP256+1))))</f>
        <v>24</v>
      </c>
      <c r="AR256" s="16">
        <f>IF(OR(X256=regle!$J$11,X256=regle!$K$11),-2,IF(X256=regle!$B$11,0,IF(AR$1=$AK$1,IF($O256,-1,regle!$B$2-$M256),IF(AQ256=-1,-1,AQ256+1))))</f>
        <v>25</v>
      </c>
      <c r="AS256" s="16">
        <f>IF(OR(Y256=regle!$J$11,Y256=regle!$K$11),-2,IF(Y256=regle!$B$11,0,IF(AS$1=$AK$1,IF($O256,-1,regle!$B$2-$M256),IF(AR256=-1,-1,AR256+1))))</f>
        <v>-2</v>
      </c>
      <c r="AT256" s="16">
        <f>IF(OR(Z256=regle!$J$11,Z256=regle!$K$11),-2,IF(Z256=regle!$B$11,0,IF(AT$1=$AK$1,IF($O256,-1,regle!$B$2-$M256),IF(AS256=-1,-1,AS256+1))))</f>
        <v>0</v>
      </c>
    </row>
    <row r="257" spans="1:46" x14ac:dyDescent="0.25">
      <c r="A257" t="b">
        <f>modif1!A257</f>
        <v>1</v>
      </c>
      <c r="B257">
        <f>ROW(modif1!B257)</f>
        <v>257</v>
      </c>
      <c r="C257" t="str">
        <f>modif1!C260</f>
        <v>202</v>
      </c>
      <c r="D257" t="str">
        <f>modif1!D257</f>
        <v>HOSTENS</v>
      </c>
      <c r="E257">
        <f>modif1!E257</f>
        <v>11</v>
      </c>
      <c r="F257" t="str">
        <f>modif1!F257</f>
        <v>LES CAZALAS</v>
      </c>
      <c r="G257" t="str">
        <f>modif1!G257</f>
        <v>0B</v>
      </c>
      <c r="H257">
        <f>modif1!H257</f>
        <v>1195</v>
      </c>
      <c r="I257" t="str">
        <f>modif1!I257</f>
        <v>k</v>
      </c>
      <c r="J257" s="11">
        <f>modif1!J257</f>
        <v>1.6983999999999999</v>
      </c>
      <c r="K257" t="str">
        <f>modif1!K257</f>
        <v>PLA</v>
      </c>
      <c r="L257" t="str">
        <f>modif1!L257</f>
        <v>PM</v>
      </c>
      <c r="M257">
        <f>modif1!M257</f>
        <v>2006</v>
      </c>
      <c r="N257" t="str">
        <f>modif1!N257</f>
        <v>PLA-PM_2006</v>
      </c>
      <c r="O257" t="b">
        <f>modif1!O257</f>
        <v>0</v>
      </c>
      <c r="P257">
        <v>40</v>
      </c>
      <c r="Y257" t="s">
        <v>1181</v>
      </c>
      <c r="Z257" t="s">
        <v>1868</v>
      </c>
      <c r="AA257" s="17">
        <f>IF($A257,$J257*(IF(Q257=regle!$B$11,regle!$B$23*IF(AJ257=-2,1+regle!$B$35,1),
IF(Q257=regle!$C$11,regle!$C$23,
IF(Q257=regle!$D$11,regle!$D$23,
IF(Q257=regle!$E$11,regle!$E$23,
IF(Q257=regle!$F$11,regle!$F$23,
IF(Q257=regle!$G$11,regle!$G$23,
IF(Q257=regle!$H$11,regle!$H$23,
IF(Q257=regle!$I$11,regle!$I$23,
IF(Q257=regle!$J$11,regle!$J$23,
IF(Q257=regle!$K$11,regle!$K$23,0))))))))))))</f>
        <v>0</v>
      </c>
      <c r="AB257" s="17">
        <f>IF($A257,$J257*(IF(R257=regle!$B$11,regle!$B$23*IF(AK257=-2,1+regle!$B$35,1),
IF(R257=regle!$C$11,regle!$C$23,
IF(R257=regle!$D$11,regle!$D$23,
IF(R257=regle!$E$11,regle!$E$23,
IF(R257=regle!$F$11,regle!$F$23,
IF(R257=regle!$G$11,regle!$G$23,
IF(R257=regle!$H$11,regle!$H$23,
IF(R257=regle!$I$11,regle!$I$23,
IF(R257=regle!$J$11,regle!$J$23,
IF(R257=regle!$K$11,regle!$K$23,0))))))))))))</f>
        <v>0</v>
      </c>
      <c r="AC257" s="17">
        <f>IF($A257,$J257*(IF(S257=regle!$B$11,regle!$B$23*IF(AL257=-2,1+regle!$B$35,1),
IF(S257=regle!$C$11,regle!$C$23,
IF(S257=regle!$D$11,regle!$D$23,
IF(S257=regle!$E$11,regle!$E$23,
IF(S257=regle!$F$11,regle!$F$23,
IF(S257=regle!$G$11,regle!$G$23,
IF(S257=regle!$H$11,regle!$H$23,
IF(S257=regle!$I$11,regle!$I$23,
IF(S257=regle!$J$11,regle!$J$23,
IF(S257=regle!$K$11,regle!$K$23,0))))))))))))</f>
        <v>0</v>
      </c>
      <c r="AD257" s="17">
        <f>IF($A257,$J257*(IF(T257=regle!$B$11,regle!$B$23*IF(AM257=-2,1+regle!$B$35,1),
IF(T257=regle!$C$11,regle!$C$23,
IF(T257=regle!$D$11,regle!$D$23,
IF(T257=regle!$E$11,regle!$E$23,
IF(T257=regle!$F$11,regle!$F$23,
IF(T257=regle!$G$11,regle!$G$23,
IF(T257=regle!$H$11,regle!$H$23,
IF(T257=regle!$I$11,regle!$I$23,
IF(T257=regle!$J$11,regle!$J$23,
IF(T257=regle!$K$11,regle!$K$23,0))))))))))))</f>
        <v>0</v>
      </c>
      <c r="AE257" s="17">
        <f>IF($A257,$J257*(IF(U257=regle!$B$11,regle!$B$23*IF(AN257=-2,1+regle!$B$35,1),
IF(U257=regle!$C$11,regle!$C$23,
IF(U257=regle!$D$11,regle!$D$23,
IF(U257=regle!$E$11,regle!$E$23,
IF(U257=regle!$F$11,regle!$F$23,
IF(U257=regle!$G$11,regle!$G$23,
IF(U257=regle!$H$11,regle!$H$23,
IF(U257=regle!$I$11,regle!$I$23,
IF(U257=regle!$J$11,regle!$J$23,
IF(U257=regle!$K$11,regle!$K$23,0))))))))))))</f>
        <v>0</v>
      </c>
      <c r="AF257" s="17">
        <f>IF($A257,$J257*(IF(V257=regle!$B$11,regle!$B$23*IF(AO257=-2,1+regle!$B$35,1),
IF(V257=regle!$C$11,regle!$C$23,
IF(V257=regle!$D$11,regle!$D$23,
IF(V257=regle!$E$11,regle!$E$23,
IF(V257=regle!$F$11,regle!$F$23,
IF(V257=regle!$G$11,regle!$G$23,
IF(V257=regle!$H$11,regle!$H$23,
IF(V257=regle!$I$11,regle!$I$23,
IF(V257=regle!$J$11,regle!$J$23,
IF(V257=regle!$K$11,regle!$K$23,0))))))))))))</f>
        <v>0</v>
      </c>
      <c r="AG257" s="17">
        <f>IF($A257,$J257*(IF(W257=regle!$B$11,regle!$B$23*IF(AP257=-2,1+regle!$B$35,1),
IF(W257=regle!$C$11,regle!$C$23,
IF(W257=regle!$D$11,regle!$D$23,
IF(W257=regle!$E$11,regle!$E$23,
IF(W257=regle!$F$11,regle!$F$23,
IF(W257=regle!$G$11,regle!$G$23,
IF(W257=regle!$H$11,regle!$H$23,
IF(W257=regle!$I$11,regle!$I$23,
IF(W257=regle!$J$11,regle!$J$23,
IF(W257=regle!$K$11,regle!$K$23,0))))))))))))</f>
        <v>0</v>
      </c>
      <c r="AH257" s="17">
        <f>IF($A257,$J257*(IF(X257=regle!$B$11,regle!$B$23*IF(AQ257=-2,1+regle!$B$35,1),
IF(X257=regle!$C$11,regle!$C$23,
IF(X257=regle!$D$11,regle!$D$23,
IF(X257=regle!$E$11,regle!$E$23,
IF(X257=regle!$F$11,regle!$F$23,
IF(X257=regle!$G$11,regle!$G$23,
IF(X257=regle!$H$11,regle!$H$23,
IF(X257=regle!$I$11,regle!$I$23,
IF(X257=regle!$J$11,regle!$J$23,
IF(X257=regle!$K$11,regle!$K$23,0))))))))))))</f>
        <v>0</v>
      </c>
      <c r="AI257" s="17">
        <f>IF($A257,$J257*(IF(Y257=regle!$B$11,regle!$B$23*IF(AR257=-2,1+regle!$B$35,1),
IF(Y257=regle!$C$11,regle!$C$23,
IF(Y257=regle!$D$11,regle!$D$23,
IF(Y257=regle!$E$11,regle!$E$23,
IF(Y257=regle!$F$11,regle!$F$23,
IF(Y257=regle!$G$11,regle!$G$23,
IF(Y257=regle!$H$11,regle!$H$23,
IF(Y257=regle!$I$11,regle!$I$23,
IF(Y257=regle!$J$11,regle!$J$23,
IF(Y257=regle!$K$11,regle!$K$23,0))))))))))))</f>
        <v>8831.68</v>
      </c>
      <c r="AJ257" s="17">
        <f>IF($A257,$J257*(IF(Z257=regle!$B$11,regle!$B$23*IF(AS257=-2,1+regle!$B$35,1),
IF(Z257=regle!$C$11,regle!$C$23,
IF(Z257=regle!$D$11,regle!$D$23,
IF(Z257=regle!$E$11,regle!$E$23,
IF(Z257=regle!$F$11,regle!$F$23,
IF(Z257=regle!$G$11,regle!$G$23,
IF(Z257=regle!$H$11,regle!$H$23,
IF(Z257=regle!$I$11,regle!$I$23,
IF(Z257=regle!$J$11,regle!$J$23,
IF(Z257=regle!$K$11,regle!$K$23,0))))))))))))</f>
        <v>-3176.0080000000003</v>
      </c>
      <c r="AK257" s="16">
        <f>IF(OR(Q257=regle!$J$11,Q257=regle!$K$11),-2,IF(Q257=regle!$B$11,0,IF(AK$1=$AK$1,IF($O257,-1,regle!$B$2-$M257),IF(AJ257=-1,-1,AJ257+1))))</f>
        <v>18</v>
      </c>
      <c r="AL257" s="16">
        <f>IF(OR(R257=regle!$J$11,R257=regle!$K$11),-2,IF(R257=regle!$B$11,0,IF(AL$1=$AK$1,IF($O257,-1,regle!$B$2-$M257),IF(AK257=-1,-1,AK257+1))))</f>
        <v>19</v>
      </c>
      <c r="AM257" s="16">
        <f>IF(OR(S257=regle!$J$11,S257=regle!$K$11),-2,IF(S257=regle!$B$11,0,IF(AM$1=$AK$1,IF($O257,-1,regle!$B$2-$M257),IF(AL257=-1,-1,AL257+1))))</f>
        <v>20</v>
      </c>
      <c r="AN257" s="16">
        <f>IF(OR(T257=regle!$J$11,T257=regle!$K$11),-2,IF(T257=regle!$B$11,0,IF(AN$1=$AK$1,IF($O257,-1,regle!$B$2-$M257),IF(AM257=-1,-1,AM257+1))))</f>
        <v>21</v>
      </c>
      <c r="AO257" s="16">
        <f>IF(OR(U257=regle!$J$11,U257=regle!$K$11),-2,IF(U257=regle!$B$11,0,IF(AO$1=$AK$1,IF($O257,-1,regle!$B$2-$M257),IF(AN257=-1,-1,AN257+1))))</f>
        <v>22</v>
      </c>
      <c r="AP257" s="16">
        <f>IF(OR(V257=regle!$J$11,V257=regle!$K$11),-2,IF(V257=regle!$B$11,0,IF(AP$1=$AK$1,IF($O257,-1,regle!$B$2-$M257),IF(AO257=-1,-1,AO257+1))))</f>
        <v>23</v>
      </c>
      <c r="AQ257" s="16">
        <f>IF(OR(W257=regle!$J$11,W257=regle!$K$11),-2,IF(W257=regle!$B$11,0,IF(AQ$1=$AK$1,IF($O257,-1,regle!$B$2-$M257),IF(AP257=-1,-1,AP257+1))))</f>
        <v>24</v>
      </c>
      <c r="AR257" s="16">
        <f>IF(OR(X257=regle!$J$11,X257=regle!$K$11),-2,IF(X257=regle!$B$11,0,IF(AR$1=$AK$1,IF($O257,-1,regle!$B$2-$M257),IF(AQ257=-1,-1,AQ257+1))))</f>
        <v>25</v>
      </c>
      <c r="AS257" s="16">
        <f>IF(OR(Y257=regle!$J$11,Y257=regle!$K$11),-2,IF(Y257=regle!$B$11,0,IF(AS$1=$AK$1,IF($O257,-1,regle!$B$2-$M257),IF(AR257=-1,-1,AR257+1))))</f>
        <v>-2</v>
      </c>
      <c r="AT257" s="16">
        <f>IF(OR(Z257=regle!$J$11,Z257=regle!$K$11),-2,IF(Z257=regle!$B$11,0,IF(AT$1=$AK$1,IF($O257,-1,regle!$B$2-$M257),IF(AS257=-1,-1,AS257+1))))</f>
        <v>0</v>
      </c>
    </row>
    <row r="258" spans="1:46" x14ac:dyDescent="0.25">
      <c r="A258" t="b">
        <f>modif1!A258</f>
        <v>1</v>
      </c>
      <c r="B258">
        <f>ROW(modif1!B258)</f>
        <v>258</v>
      </c>
      <c r="C258" t="str">
        <f>modif1!C261</f>
        <v>202</v>
      </c>
      <c r="D258" t="str">
        <f>modif1!D258</f>
        <v>HOSTENS</v>
      </c>
      <c r="E258">
        <f>modif1!E258</f>
        <v>11</v>
      </c>
      <c r="F258" t="str">
        <f>modif1!F258</f>
        <v>LES CAZALAS</v>
      </c>
      <c r="G258" t="str">
        <f>modif1!G258</f>
        <v>0B</v>
      </c>
      <c r="H258">
        <f>modif1!H258</f>
        <v>1578</v>
      </c>
      <c r="I258" t="str">
        <f>modif1!I258</f>
        <v>k</v>
      </c>
      <c r="J258" s="11">
        <f>modif1!J258</f>
        <v>1.3549</v>
      </c>
      <c r="K258" t="str">
        <f>modif1!K258</f>
        <v>PLA</v>
      </c>
      <c r="L258" t="str">
        <f>modif1!L258</f>
        <v>PM</v>
      </c>
      <c r="M258">
        <f>modif1!M258</f>
        <v>2006</v>
      </c>
      <c r="N258" t="str">
        <f>modif1!N258</f>
        <v>PLA-PM_2006</v>
      </c>
      <c r="O258" t="b">
        <f>modif1!O258</f>
        <v>0</v>
      </c>
      <c r="P258">
        <v>40</v>
      </c>
      <c r="Y258" t="s">
        <v>1181</v>
      </c>
      <c r="Z258" t="s">
        <v>1868</v>
      </c>
      <c r="AA258" s="17">
        <f>IF($A258,$J258*(IF(Q258=regle!$B$11,regle!$B$23*IF(AJ258=-2,1+regle!$B$35,1),
IF(Q258=regle!$C$11,regle!$C$23,
IF(Q258=regle!$D$11,regle!$D$23,
IF(Q258=regle!$E$11,regle!$E$23,
IF(Q258=regle!$F$11,regle!$F$23,
IF(Q258=regle!$G$11,regle!$G$23,
IF(Q258=regle!$H$11,regle!$H$23,
IF(Q258=regle!$I$11,regle!$I$23,
IF(Q258=regle!$J$11,regle!$J$23,
IF(Q258=regle!$K$11,regle!$K$23,0))))))))))))</f>
        <v>0</v>
      </c>
      <c r="AB258" s="17">
        <f>IF($A258,$J258*(IF(R258=regle!$B$11,regle!$B$23*IF(AK258=-2,1+regle!$B$35,1),
IF(R258=regle!$C$11,regle!$C$23,
IF(R258=regle!$D$11,regle!$D$23,
IF(R258=regle!$E$11,regle!$E$23,
IF(R258=regle!$F$11,regle!$F$23,
IF(R258=regle!$G$11,regle!$G$23,
IF(R258=regle!$H$11,regle!$H$23,
IF(R258=regle!$I$11,regle!$I$23,
IF(R258=regle!$J$11,regle!$J$23,
IF(R258=regle!$K$11,regle!$K$23,0))))))))))))</f>
        <v>0</v>
      </c>
      <c r="AC258" s="17">
        <f>IF($A258,$J258*(IF(S258=regle!$B$11,regle!$B$23*IF(AL258=-2,1+regle!$B$35,1),
IF(S258=regle!$C$11,regle!$C$23,
IF(S258=regle!$D$11,regle!$D$23,
IF(S258=regle!$E$11,regle!$E$23,
IF(S258=regle!$F$11,regle!$F$23,
IF(S258=regle!$G$11,regle!$G$23,
IF(S258=regle!$H$11,regle!$H$23,
IF(S258=regle!$I$11,regle!$I$23,
IF(S258=regle!$J$11,regle!$J$23,
IF(S258=regle!$K$11,regle!$K$23,0))))))))))))</f>
        <v>0</v>
      </c>
      <c r="AD258" s="17">
        <f>IF($A258,$J258*(IF(T258=regle!$B$11,regle!$B$23*IF(AM258=-2,1+regle!$B$35,1),
IF(T258=regle!$C$11,regle!$C$23,
IF(T258=regle!$D$11,regle!$D$23,
IF(T258=regle!$E$11,regle!$E$23,
IF(T258=regle!$F$11,regle!$F$23,
IF(T258=regle!$G$11,regle!$G$23,
IF(T258=regle!$H$11,regle!$H$23,
IF(T258=regle!$I$11,regle!$I$23,
IF(T258=regle!$J$11,regle!$J$23,
IF(T258=regle!$K$11,regle!$K$23,0))))))))))))</f>
        <v>0</v>
      </c>
      <c r="AE258" s="17">
        <f>IF($A258,$J258*(IF(U258=regle!$B$11,regle!$B$23*IF(AN258=-2,1+regle!$B$35,1),
IF(U258=regle!$C$11,regle!$C$23,
IF(U258=regle!$D$11,regle!$D$23,
IF(U258=regle!$E$11,regle!$E$23,
IF(U258=regle!$F$11,regle!$F$23,
IF(U258=regle!$G$11,regle!$G$23,
IF(U258=regle!$H$11,regle!$H$23,
IF(U258=regle!$I$11,regle!$I$23,
IF(U258=regle!$J$11,regle!$J$23,
IF(U258=regle!$K$11,regle!$K$23,0))))))))))))</f>
        <v>0</v>
      </c>
      <c r="AF258" s="17">
        <f>IF($A258,$J258*(IF(V258=regle!$B$11,regle!$B$23*IF(AO258=-2,1+regle!$B$35,1),
IF(V258=regle!$C$11,regle!$C$23,
IF(V258=regle!$D$11,regle!$D$23,
IF(V258=regle!$E$11,regle!$E$23,
IF(V258=regle!$F$11,regle!$F$23,
IF(V258=regle!$G$11,regle!$G$23,
IF(V258=regle!$H$11,regle!$H$23,
IF(V258=regle!$I$11,regle!$I$23,
IF(V258=regle!$J$11,regle!$J$23,
IF(V258=regle!$K$11,regle!$K$23,0))))))))))))</f>
        <v>0</v>
      </c>
      <c r="AG258" s="17">
        <f>IF($A258,$J258*(IF(W258=regle!$B$11,regle!$B$23*IF(AP258=-2,1+regle!$B$35,1),
IF(W258=regle!$C$11,regle!$C$23,
IF(W258=regle!$D$11,regle!$D$23,
IF(W258=regle!$E$11,regle!$E$23,
IF(W258=regle!$F$11,regle!$F$23,
IF(W258=regle!$G$11,regle!$G$23,
IF(W258=regle!$H$11,regle!$H$23,
IF(W258=regle!$I$11,regle!$I$23,
IF(W258=regle!$J$11,regle!$J$23,
IF(W258=regle!$K$11,regle!$K$23,0))))))))))))</f>
        <v>0</v>
      </c>
      <c r="AH258" s="17">
        <f>IF($A258,$J258*(IF(X258=regle!$B$11,regle!$B$23*IF(AQ258=-2,1+regle!$B$35,1),
IF(X258=regle!$C$11,regle!$C$23,
IF(X258=regle!$D$11,regle!$D$23,
IF(X258=regle!$E$11,regle!$E$23,
IF(X258=regle!$F$11,regle!$F$23,
IF(X258=regle!$G$11,regle!$G$23,
IF(X258=regle!$H$11,regle!$H$23,
IF(X258=regle!$I$11,regle!$I$23,
IF(X258=regle!$J$11,regle!$J$23,
IF(X258=regle!$K$11,regle!$K$23,0))))))))))))</f>
        <v>0</v>
      </c>
      <c r="AI258" s="17">
        <f>IF($A258,$J258*(IF(Y258=regle!$B$11,regle!$B$23*IF(AR258=-2,1+regle!$B$35,1),
IF(Y258=regle!$C$11,regle!$C$23,
IF(Y258=regle!$D$11,regle!$D$23,
IF(Y258=regle!$E$11,regle!$E$23,
IF(Y258=regle!$F$11,regle!$F$23,
IF(Y258=regle!$G$11,regle!$G$23,
IF(Y258=regle!$H$11,regle!$H$23,
IF(Y258=regle!$I$11,regle!$I$23,
IF(Y258=regle!$J$11,regle!$J$23,
IF(Y258=regle!$K$11,regle!$K$23,0))))))))))))</f>
        <v>7045.48</v>
      </c>
      <c r="AJ258" s="17">
        <f>IF($A258,$J258*(IF(Z258=regle!$B$11,regle!$B$23*IF(AS258=-2,1+regle!$B$35,1),
IF(Z258=regle!$C$11,regle!$C$23,
IF(Z258=regle!$D$11,regle!$D$23,
IF(Z258=regle!$E$11,regle!$E$23,
IF(Z258=regle!$F$11,regle!$F$23,
IF(Z258=regle!$G$11,regle!$G$23,
IF(Z258=regle!$H$11,regle!$H$23,
IF(Z258=regle!$I$11,regle!$I$23,
IF(Z258=regle!$J$11,regle!$J$23,
IF(Z258=regle!$K$11,regle!$K$23,0))))))))))))</f>
        <v>-2533.6630000000005</v>
      </c>
      <c r="AK258" s="16">
        <f>IF(OR(Q258=regle!$J$11,Q258=regle!$K$11),-2,IF(Q258=regle!$B$11,0,IF(AK$1=$AK$1,IF($O258,-1,regle!$B$2-$M258),IF(AJ258=-1,-1,AJ258+1))))</f>
        <v>18</v>
      </c>
      <c r="AL258" s="16">
        <f>IF(OR(R258=regle!$J$11,R258=regle!$K$11),-2,IF(R258=regle!$B$11,0,IF(AL$1=$AK$1,IF($O258,-1,regle!$B$2-$M258),IF(AK258=-1,-1,AK258+1))))</f>
        <v>19</v>
      </c>
      <c r="AM258" s="16">
        <f>IF(OR(S258=regle!$J$11,S258=regle!$K$11),-2,IF(S258=regle!$B$11,0,IF(AM$1=$AK$1,IF($O258,-1,regle!$B$2-$M258),IF(AL258=-1,-1,AL258+1))))</f>
        <v>20</v>
      </c>
      <c r="AN258" s="16">
        <f>IF(OR(T258=regle!$J$11,T258=regle!$K$11),-2,IF(T258=regle!$B$11,0,IF(AN$1=$AK$1,IF($O258,-1,regle!$B$2-$M258),IF(AM258=-1,-1,AM258+1))))</f>
        <v>21</v>
      </c>
      <c r="AO258" s="16">
        <f>IF(OR(U258=regle!$J$11,U258=regle!$K$11),-2,IF(U258=regle!$B$11,0,IF(AO$1=$AK$1,IF($O258,-1,regle!$B$2-$M258),IF(AN258=-1,-1,AN258+1))))</f>
        <v>22</v>
      </c>
      <c r="AP258" s="16">
        <f>IF(OR(V258=regle!$J$11,V258=regle!$K$11),-2,IF(V258=regle!$B$11,0,IF(AP$1=$AK$1,IF($O258,-1,regle!$B$2-$M258),IF(AO258=-1,-1,AO258+1))))</f>
        <v>23</v>
      </c>
      <c r="AQ258" s="16">
        <f>IF(OR(W258=regle!$J$11,W258=regle!$K$11),-2,IF(W258=regle!$B$11,0,IF(AQ$1=$AK$1,IF($O258,-1,regle!$B$2-$M258),IF(AP258=-1,-1,AP258+1))))</f>
        <v>24</v>
      </c>
      <c r="AR258" s="16">
        <f>IF(OR(X258=regle!$J$11,X258=regle!$K$11),-2,IF(X258=regle!$B$11,0,IF(AR$1=$AK$1,IF($O258,-1,regle!$B$2-$M258),IF(AQ258=-1,-1,AQ258+1))))</f>
        <v>25</v>
      </c>
      <c r="AS258" s="16">
        <f>IF(OR(Y258=regle!$J$11,Y258=regle!$K$11),-2,IF(Y258=regle!$B$11,0,IF(AS$1=$AK$1,IF($O258,-1,regle!$B$2-$M258),IF(AR258=-1,-1,AR258+1))))</f>
        <v>-2</v>
      </c>
      <c r="AT258" s="16">
        <f>IF(OR(Z258=regle!$J$11,Z258=regle!$K$11),-2,IF(Z258=regle!$B$11,0,IF(AT$1=$AK$1,IF($O258,-1,regle!$B$2-$M258),IF(AS258=-1,-1,AS258+1))))</f>
        <v>0</v>
      </c>
    </row>
    <row r="259" spans="1:46" x14ac:dyDescent="0.25">
      <c r="A259" t="b">
        <f>modif1!A259</f>
        <v>1</v>
      </c>
      <c r="B259">
        <f>ROW(modif1!B259)</f>
        <v>259</v>
      </c>
      <c r="C259" t="str">
        <f>modif1!C262</f>
        <v>202</v>
      </c>
      <c r="D259" t="str">
        <f>modif1!D259</f>
        <v>HOSTENS</v>
      </c>
      <c r="E259">
        <f>modif1!E259</f>
        <v>11</v>
      </c>
      <c r="F259" t="str">
        <f>modif1!F259</f>
        <v>LES CAZALAS</v>
      </c>
      <c r="G259" t="str">
        <f>modif1!G259</f>
        <v>0B</v>
      </c>
      <c r="H259">
        <f>modif1!H259</f>
        <v>1181</v>
      </c>
      <c r="I259" t="str">
        <f>modif1!I259</f>
        <v/>
      </c>
      <c r="J259" s="11">
        <f>modif1!J259</f>
        <v>0.75</v>
      </c>
      <c r="K259" t="str">
        <f>modif1!K259</f>
        <v>PLA</v>
      </c>
      <c r="L259" t="str">
        <f>modif1!L259</f>
        <v>PM</v>
      </c>
      <c r="M259">
        <f>modif1!M259</f>
        <v>2006</v>
      </c>
      <c r="N259" t="str">
        <f>modif1!N259</f>
        <v>PLA-PM_2006</v>
      </c>
      <c r="O259" t="b">
        <f>modif1!O259</f>
        <v>0</v>
      </c>
      <c r="P259">
        <v>40</v>
      </c>
      <c r="Y259" t="s">
        <v>1181</v>
      </c>
      <c r="Z259" t="s">
        <v>1868</v>
      </c>
      <c r="AA259" s="17">
        <f>IF($A259,$J259*(IF(Q259=regle!$B$11,regle!$B$23*IF(AJ259=-2,1+regle!$B$35,1),
IF(Q259=regle!$C$11,regle!$C$23,
IF(Q259=regle!$D$11,regle!$D$23,
IF(Q259=regle!$E$11,regle!$E$23,
IF(Q259=regle!$F$11,regle!$F$23,
IF(Q259=regle!$G$11,regle!$G$23,
IF(Q259=regle!$H$11,regle!$H$23,
IF(Q259=regle!$I$11,regle!$I$23,
IF(Q259=regle!$J$11,regle!$J$23,
IF(Q259=regle!$K$11,regle!$K$23,0))))))))))))</f>
        <v>0</v>
      </c>
      <c r="AB259" s="17">
        <f>IF($A259,$J259*(IF(R259=regle!$B$11,regle!$B$23*IF(AK259=-2,1+regle!$B$35,1),
IF(R259=regle!$C$11,regle!$C$23,
IF(R259=regle!$D$11,regle!$D$23,
IF(R259=regle!$E$11,regle!$E$23,
IF(R259=regle!$F$11,regle!$F$23,
IF(R259=regle!$G$11,regle!$G$23,
IF(R259=regle!$H$11,regle!$H$23,
IF(R259=regle!$I$11,regle!$I$23,
IF(R259=regle!$J$11,regle!$J$23,
IF(R259=regle!$K$11,regle!$K$23,0))))))))))))</f>
        <v>0</v>
      </c>
      <c r="AC259" s="17">
        <f>IF($A259,$J259*(IF(S259=regle!$B$11,regle!$B$23*IF(AL259=-2,1+regle!$B$35,1),
IF(S259=regle!$C$11,regle!$C$23,
IF(S259=regle!$D$11,regle!$D$23,
IF(S259=regle!$E$11,regle!$E$23,
IF(S259=regle!$F$11,regle!$F$23,
IF(S259=regle!$G$11,regle!$G$23,
IF(S259=regle!$H$11,regle!$H$23,
IF(S259=regle!$I$11,regle!$I$23,
IF(S259=regle!$J$11,regle!$J$23,
IF(S259=regle!$K$11,regle!$K$23,0))))))))))))</f>
        <v>0</v>
      </c>
      <c r="AD259" s="17">
        <f>IF($A259,$J259*(IF(T259=regle!$B$11,regle!$B$23*IF(AM259=-2,1+regle!$B$35,1),
IF(T259=regle!$C$11,regle!$C$23,
IF(T259=regle!$D$11,regle!$D$23,
IF(T259=regle!$E$11,regle!$E$23,
IF(T259=regle!$F$11,regle!$F$23,
IF(T259=regle!$G$11,regle!$G$23,
IF(T259=regle!$H$11,regle!$H$23,
IF(T259=regle!$I$11,regle!$I$23,
IF(T259=regle!$J$11,regle!$J$23,
IF(T259=regle!$K$11,regle!$K$23,0))))))))))))</f>
        <v>0</v>
      </c>
      <c r="AE259" s="17">
        <f>IF($A259,$J259*(IF(U259=regle!$B$11,regle!$B$23*IF(AN259=-2,1+regle!$B$35,1),
IF(U259=regle!$C$11,regle!$C$23,
IF(U259=regle!$D$11,regle!$D$23,
IF(U259=regle!$E$11,regle!$E$23,
IF(U259=regle!$F$11,regle!$F$23,
IF(U259=regle!$G$11,regle!$G$23,
IF(U259=regle!$H$11,regle!$H$23,
IF(U259=regle!$I$11,regle!$I$23,
IF(U259=regle!$J$11,regle!$J$23,
IF(U259=regle!$K$11,regle!$K$23,0))))))))))))</f>
        <v>0</v>
      </c>
      <c r="AF259" s="17">
        <f>IF($A259,$J259*(IF(V259=regle!$B$11,regle!$B$23*IF(AO259=-2,1+regle!$B$35,1),
IF(V259=regle!$C$11,regle!$C$23,
IF(V259=regle!$D$11,regle!$D$23,
IF(V259=regle!$E$11,regle!$E$23,
IF(V259=regle!$F$11,regle!$F$23,
IF(V259=regle!$G$11,regle!$G$23,
IF(V259=regle!$H$11,regle!$H$23,
IF(V259=regle!$I$11,regle!$I$23,
IF(V259=regle!$J$11,regle!$J$23,
IF(V259=regle!$K$11,regle!$K$23,0))))))))))))</f>
        <v>0</v>
      </c>
      <c r="AG259" s="17">
        <f>IF($A259,$J259*(IF(W259=regle!$B$11,regle!$B$23*IF(AP259=-2,1+regle!$B$35,1),
IF(W259=regle!$C$11,regle!$C$23,
IF(W259=regle!$D$11,regle!$D$23,
IF(W259=regle!$E$11,regle!$E$23,
IF(W259=regle!$F$11,regle!$F$23,
IF(W259=regle!$G$11,regle!$G$23,
IF(W259=regle!$H$11,regle!$H$23,
IF(W259=regle!$I$11,regle!$I$23,
IF(W259=regle!$J$11,regle!$J$23,
IF(W259=regle!$K$11,regle!$K$23,0))))))))))))</f>
        <v>0</v>
      </c>
      <c r="AH259" s="17">
        <f>IF($A259,$J259*(IF(X259=regle!$B$11,regle!$B$23*IF(AQ259=-2,1+regle!$B$35,1),
IF(X259=regle!$C$11,regle!$C$23,
IF(X259=regle!$D$11,regle!$D$23,
IF(X259=regle!$E$11,regle!$E$23,
IF(X259=regle!$F$11,regle!$F$23,
IF(X259=regle!$G$11,regle!$G$23,
IF(X259=regle!$H$11,regle!$H$23,
IF(X259=regle!$I$11,regle!$I$23,
IF(X259=regle!$J$11,regle!$J$23,
IF(X259=regle!$K$11,regle!$K$23,0))))))))))))</f>
        <v>0</v>
      </c>
      <c r="AI259" s="17">
        <f>IF($A259,$J259*(IF(Y259=regle!$B$11,regle!$B$23*IF(AR259=-2,1+regle!$B$35,1),
IF(Y259=regle!$C$11,regle!$C$23,
IF(Y259=regle!$D$11,regle!$D$23,
IF(Y259=regle!$E$11,regle!$E$23,
IF(Y259=regle!$F$11,regle!$F$23,
IF(Y259=regle!$G$11,regle!$G$23,
IF(Y259=regle!$H$11,regle!$H$23,
IF(Y259=regle!$I$11,regle!$I$23,
IF(Y259=regle!$J$11,regle!$J$23,
IF(Y259=regle!$K$11,regle!$K$23,0))))))))))))</f>
        <v>3900</v>
      </c>
      <c r="AJ259" s="17">
        <f>IF($A259,$J259*(IF(Z259=regle!$B$11,regle!$B$23*IF(AS259=-2,1+regle!$B$35,1),
IF(Z259=regle!$C$11,regle!$C$23,
IF(Z259=regle!$D$11,regle!$D$23,
IF(Z259=regle!$E$11,regle!$E$23,
IF(Z259=regle!$F$11,regle!$F$23,
IF(Z259=regle!$G$11,regle!$G$23,
IF(Z259=regle!$H$11,regle!$H$23,
IF(Z259=regle!$I$11,regle!$I$23,
IF(Z259=regle!$J$11,regle!$J$23,
IF(Z259=regle!$K$11,regle!$K$23,0))))))))))))</f>
        <v>-1402.5000000000002</v>
      </c>
      <c r="AK259" s="16">
        <f>IF(OR(Q259=regle!$J$11,Q259=regle!$K$11),-2,IF(Q259=regle!$B$11,0,IF(AK$1=$AK$1,IF($O259,-1,regle!$B$2-$M259),IF(AJ259=-1,-1,AJ259+1))))</f>
        <v>18</v>
      </c>
      <c r="AL259" s="16">
        <f>IF(OR(R259=regle!$J$11,R259=regle!$K$11),-2,IF(R259=regle!$B$11,0,IF(AL$1=$AK$1,IF($O259,-1,regle!$B$2-$M259),IF(AK259=-1,-1,AK259+1))))</f>
        <v>19</v>
      </c>
      <c r="AM259" s="16">
        <f>IF(OR(S259=regle!$J$11,S259=regle!$K$11),-2,IF(S259=regle!$B$11,0,IF(AM$1=$AK$1,IF($O259,-1,regle!$B$2-$M259),IF(AL259=-1,-1,AL259+1))))</f>
        <v>20</v>
      </c>
      <c r="AN259" s="16">
        <f>IF(OR(T259=regle!$J$11,T259=regle!$K$11),-2,IF(T259=regle!$B$11,0,IF(AN$1=$AK$1,IF($O259,-1,regle!$B$2-$M259),IF(AM259=-1,-1,AM259+1))))</f>
        <v>21</v>
      </c>
      <c r="AO259" s="16">
        <f>IF(OR(U259=regle!$J$11,U259=regle!$K$11),-2,IF(U259=regle!$B$11,0,IF(AO$1=$AK$1,IF($O259,-1,regle!$B$2-$M259),IF(AN259=-1,-1,AN259+1))))</f>
        <v>22</v>
      </c>
      <c r="AP259" s="16">
        <f>IF(OR(V259=regle!$J$11,V259=regle!$K$11),-2,IF(V259=regle!$B$11,0,IF(AP$1=$AK$1,IF($O259,-1,regle!$B$2-$M259),IF(AO259=-1,-1,AO259+1))))</f>
        <v>23</v>
      </c>
      <c r="AQ259" s="16">
        <f>IF(OR(W259=regle!$J$11,W259=regle!$K$11),-2,IF(W259=regle!$B$11,0,IF(AQ$1=$AK$1,IF($O259,-1,regle!$B$2-$M259),IF(AP259=-1,-1,AP259+1))))</f>
        <v>24</v>
      </c>
      <c r="AR259" s="16">
        <f>IF(OR(X259=regle!$J$11,X259=regle!$K$11),-2,IF(X259=regle!$B$11,0,IF(AR$1=$AK$1,IF($O259,-1,regle!$B$2-$M259),IF(AQ259=-1,-1,AQ259+1))))</f>
        <v>25</v>
      </c>
      <c r="AS259" s="16">
        <f>IF(OR(Y259=regle!$J$11,Y259=regle!$K$11),-2,IF(Y259=regle!$B$11,0,IF(AS$1=$AK$1,IF($O259,-1,regle!$B$2-$M259),IF(AR259=-1,-1,AR259+1))))</f>
        <v>-2</v>
      </c>
      <c r="AT259" s="16">
        <f>IF(OR(Z259=regle!$J$11,Z259=regle!$K$11),-2,IF(Z259=regle!$B$11,0,IF(AT$1=$AK$1,IF($O259,-1,regle!$B$2-$M259),IF(AS259=-1,-1,AS259+1))))</f>
        <v>0</v>
      </c>
    </row>
    <row r="260" spans="1:46" x14ac:dyDescent="0.25">
      <c r="A260" t="b">
        <f>modif1!A260</f>
        <v>1</v>
      </c>
      <c r="B260">
        <f>ROW(modif1!B260)</f>
        <v>260</v>
      </c>
      <c r="C260" t="str">
        <f>modif1!C263</f>
        <v>202</v>
      </c>
      <c r="D260" t="str">
        <f>modif1!D260</f>
        <v>HOSTENS</v>
      </c>
      <c r="E260">
        <f>modif1!E260</f>
        <v>11</v>
      </c>
      <c r="F260" t="str">
        <f>modif1!F260</f>
        <v>LES CAZALAS</v>
      </c>
      <c r="G260" t="str">
        <f>modif1!G260</f>
        <v>0B</v>
      </c>
      <c r="H260">
        <f>modif1!H260</f>
        <v>1150</v>
      </c>
      <c r="I260" t="str">
        <f>modif1!I260</f>
        <v>j</v>
      </c>
      <c r="J260" s="11">
        <f>modif1!J260</f>
        <v>0.72170000000000001</v>
      </c>
      <c r="K260" t="str">
        <f>modif1!K260</f>
        <v>PLA</v>
      </c>
      <c r="L260" t="str">
        <f>modif1!L260</f>
        <v>PM</v>
      </c>
      <c r="M260">
        <f>modif1!M260</f>
        <v>2006</v>
      </c>
      <c r="N260" t="str">
        <f>modif1!N260</f>
        <v>PLA-PM_2006</v>
      </c>
      <c r="O260" t="b">
        <f>modif1!O260</f>
        <v>0</v>
      </c>
      <c r="P260">
        <v>40</v>
      </c>
      <c r="Y260" t="s">
        <v>1181</v>
      </c>
      <c r="Z260" t="s">
        <v>1868</v>
      </c>
      <c r="AA260" s="17">
        <f>IF($A260,$J260*(IF(Q260=regle!$B$11,regle!$B$23*IF(AJ260=-2,1+regle!$B$35,1),
IF(Q260=regle!$C$11,regle!$C$23,
IF(Q260=regle!$D$11,regle!$D$23,
IF(Q260=regle!$E$11,regle!$E$23,
IF(Q260=regle!$F$11,regle!$F$23,
IF(Q260=regle!$G$11,regle!$G$23,
IF(Q260=regle!$H$11,regle!$H$23,
IF(Q260=regle!$I$11,regle!$I$23,
IF(Q260=regle!$J$11,regle!$J$23,
IF(Q260=regle!$K$11,regle!$K$23,0))))))))))))</f>
        <v>0</v>
      </c>
      <c r="AB260" s="17">
        <f>IF($A260,$J260*(IF(R260=regle!$B$11,regle!$B$23*IF(AK260=-2,1+regle!$B$35,1),
IF(R260=regle!$C$11,regle!$C$23,
IF(R260=regle!$D$11,regle!$D$23,
IF(R260=regle!$E$11,regle!$E$23,
IF(R260=regle!$F$11,regle!$F$23,
IF(R260=regle!$G$11,regle!$G$23,
IF(R260=regle!$H$11,regle!$H$23,
IF(R260=regle!$I$11,regle!$I$23,
IF(R260=regle!$J$11,regle!$J$23,
IF(R260=regle!$K$11,regle!$K$23,0))))))))))))</f>
        <v>0</v>
      </c>
      <c r="AC260" s="17">
        <f>IF($A260,$J260*(IF(S260=regle!$B$11,regle!$B$23*IF(AL260=-2,1+regle!$B$35,1),
IF(S260=regle!$C$11,regle!$C$23,
IF(S260=regle!$D$11,regle!$D$23,
IF(S260=regle!$E$11,regle!$E$23,
IF(S260=regle!$F$11,regle!$F$23,
IF(S260=regle!$G$11,regle!$G$23,
IF(S260=regle!$H$11,regle!$H$23,
IF(S260=regle!$I$11,regle!$I$23,
IF(S260=regle!$J$11,regle!$J$23,
IF(S260=regle!$K$11,regle!$K$23,0))))))))))))</f>
        <v>0</v>
      </c>
      <c r="AD260" s="17">
        <f>IF($A260,$J260*(IF(T260=regle!$B$11,regle!$B$23*IF(AM260=-2,1+regle!$B$35,1),
IF(T260=regle!$C$11,regle!$C$23,
IF(T260=regle!$D$11,regle!$D$23,
IF(T260=regle!$E$11,regle!$E$23,
IF(T260=regle!$F$11,regle!$F$23,
IF(T260=regle!$G$11,regle!$G$23,
IF(T260=regle!$H$11,regle!$H$23,
IF(T260=regle!$I$11,regle!$I$23,
IF(T260=regle!$J$11,regle!$J$23,
IF(T260=regle!$K$11,regle!$K$23,0))))))))))))</f>
        <v>0</v>
      </c>
      <c r="AE260" s="17">
        <f>IF($A260,$J260*(IF(U260=regle!$B$11,regle!$B$23*IF(AN260=-2,1+regle!$B$35,1),
IF(U260=regle!$C$11,regle!$C$23,
IF(U260=regle!$D$11,regle!$D$23,
IF(U260=regle!$E$11,regle!$E$23,
IF(U260=regle!$F$11,regle!$F$23,
IF(U260=regle!$G$11,regle!$G$23,
IF(U260=regle!$H$11,regle!$H$23,
IF(U260=regle!$I$11,regle!$I$23,
IF(U260=regle!$J$11,regle!$J$23,
IF(U260=regle!$K$11,regle!$K$23,0))))))))))))</f>
        <v>0</v>
      </c>
      <c r="AF260" s="17">
        <f>IF($A260,$J260*(IF(V260=regle!$B$11,regle!$B$23*IF(AO260=-2,1+regle!$B$35,1),
IF(V260=regle!$C$11,regle!$C$23,
IF(V260=regle!$D$11,regle!$D$23,
IF(V260=regle!$E$11,regle!$E$23,
IF(V260=regle!$F$11,regle!$F$23,
IF(V260=regle!$G$11,regle!$G$23,
IF(V260=regle!$H$11,regle!$H$23,
IF(V260=regle!$I$11,regle!$I$23,
IF(V260=regle!$J$11,regle!$J$23,
IF(V260=regle!$K$11,regle!$K$23,0))))))))))))</f>
        <v>0</v>
      </c>
      <c r="AG260" s="17">
        <f>IF($A260,$J260*(IF(W260=regle!$B$11,regle!$B$23*IF(AP260=-2,1+regle!$B$35,1),
IF(W260=regle!$C$11,regle!$C$23,
IF(W260=regle!$D$11,regle!$D$23,
IF(W260=regle!$E$11,regle!$E$23,
IF(W260=regle!$F$11,regle!$F$23,
IF(W260=regle!$G$11,regle!$G$23,
IF(W260=regle!$H$11,regle!$H$23,
IF(W260=regle!$I$11,regle!$I$23,
IF(W260=regle!$J$11,regle!$J$23,
IF(W260=regle!$K$11,regle!$K$23,0))))))))))))</f>
        <v>0</v>
      </c>
      <c r="AH260" s="17">
        <f>IF($A260,$J260*(IF(X260=regle!$B$11,regle!$B$23*IF(AQ260=-2,1+regle!$B$35,1),
IF(X260=regle!$C$11,regle!$C$23,
IF(X260=regle!$D$11,regle!$D$23,
IF(X260=regle!$E$11,regle!$E$23,
IF(X260=regle!$F$11,regle!$F$23,
IF(X260=regle!$G$11,regle!$G$23,
IF(X260=regle!$H$11,regle!$H$23,
IF(X260=regle!$I$11,regle!$I$23,
IF(X260=regle!$J$11,regle!$J$23,
IF(X260=regle!$K$11,regle!$K$23,0))))))))))))</f>
        <v>0</v>
      </c>
      <c r="AI260" s="17">
        <f>IF($A260,$J260*(IF(Y260=regle!$B$11,regle!$B$23*IF(AR260=-2,1+regle!$B$35,1),
IF(Y260=regle!$C$11,regle!$C$23,
IF(Y260=regle!$D$11,regle!$D$23,
IF(Y260=regle!$E$11,regle!$E$23,
IF(Y260=regle!$F$11,regle!$F$23,
IF(Y260=regle!$G$11,regle!$G$23,
IF(Y260=regle!$H$11,regle!$H$23,
IF(Y260=regle!$I$11,regle!$I$23,
IF(Y260=regle!$J$11,regle!$J$23,
IF(Y260=regle!$K$11,regle!$K$23,0))))))))))))</f>
        <v>3752.84</v>
      </c>
      <c r="AJ260" s="17">
        <f>IF($A260,$J260*(IF(Z260=regle!$B$11,regle!$B$23*IF(AS260=-2,1+regle!$B$35,1),
IF(Z260=regle!$C$11,regle!$C$23,
IF(Z260=regle!$D$11,regle!$D$23,
IF(Z260=regle!$E$11,regle!$E$23,
IF(Z260=regle!$F$11,regle!$F$23,
IF(Z260=regle!$G$11,regle!$G$23,
IF(Z260=regle!$H$11,regle!$H$23,
IF(Z260=regle!$I$11,regle!$I$23,
IF(Z260=regle!$J$11,regle!$J$23,
IF(Z260=regle!$K$11,regle!$K$23,0))))))))))))</f>
        <v>-1349.5790000000002</v>
      </c>
      <c r="AK260" s="16">
        <f>IF(OR(Q260=regle!$J$11,Q260=regle!$K$11),-2,IF(Q260=regle!$B$11,0,IF(AK$1=$AK$1,IF($O260,-1,regle!$B$2-$M260),IF(AJ260=-1,-1,AJ260+1))))</f>
        <v>18</v>
      </c>
      <c r="AL260" s="16">
        <f>IF(OR(R260=regle!$J$11,R260=regle!$K$11),-2,IF(R260=regle!$B$11,0,IF(AL$1=$AK$1,IF($O260,-1,regle!$B$2-$M260),IF(AK260=-1,-1,AK260+1))))</f>
        <v>19</v>
      </c>
      <c r="AM260" s="16">
        <f>IF(OR(S260=regle!$J$11,S260=regle!$K$11),-2,IF(S260=regle!$B$11,0,IF(AM$1=$AK$1,IF($O260,-1,regle!$B$2-$M260),IF(AL260=-1,-1,AL260+1))))</f>
        <v>20</v>
      </c>
      <c r="AN260" s="16">
        <f>IF(OR(T260=regle!$J$11,T260=regle!$K$11),-2,IF(T260=regle!$B$11,0,IF(AN$1=$AK$1,IF($O260,-1,regle!$B$2-$M260),IF(AM260=-1,-1,AM260+1))))</f>
        <v>21</v>
      </c>
      <c r="AO260" s="16">
        <f>IF(OR(U260=regle!$J$11,U260=regle!$K$11),-2,IF(U260=regle!$B$11,0,IF(AO$1=$AK$1,IF($O260,-1,regle!$B$2-$M260),IF(AN260=-1,-1,AN260+1))))</f>
        <v>22</v>
      </c>
      <c r="AP260" s="16">
        <f>IF(OR(V260=regle!$J$11,V260=regle!$K$11),-2,IF(V260=regle!$B$11,0,IF(AP$1=$AK$1,IF($O260,-1,regle!$B$2-$M260),IF(AO260=-1,-1,AO260+1))))</f>
        <v>23</v>
      </c>
      <c r="AQ260" s="16">
        <f>IF(OR(W260=regle!$J$11,W260=regle!$K$11),-2,IF(W260=regle!$B$11,0,IF(AQ$1=$AK$1,IF($O260,-1,regle!$B$2-$M260),IF(AP260=-1,-1,AP260+1))))</f>
        <v>24</v>
      </c>
      <c r="AR260" s="16">
        <f>IF(OR(X260=regle!$J$11,X260=regle!$K$11),-2,IF(X260=regle!$B$11,0,IF(AR$1=$AK$1,IF($O260,-1,regle!$B$2-$M260),IF(AQ260=-1,-1,AQ260+1))))</f>
        <v>25</v>
      </c>
      <c r="AS260" s="16">
        <f>IF(OR(Y260=regle!$J$11,Y260=regle!$K$11),-2,IF(Y260=regle!$B$11,0,IF(AS$1=$AK$1,IF($O260,-1,regle!$B$2-$M260),IF(AR260=-1,-1,AR260+1))))</f>
        <v>-2</v>
      </c>
      <c r="AT260" s="16">
        <f>IF(OR(Z260=regle!$J$11,Z260=regle!$K$11),-2,IF(Z260=regle!$B$11,0,IF(AT$1=$AK$1,IF($O260,-1,regle!$B$2-$M260),IF(AS260=-1,-1,AS260+1))))</f>
        <v>0</v>
      </c>
    </row>
    <row r="261" spans="1:46" x14ac:dyDescent="0.25">
      <c r="A261" t="b">
        <f>modif1!A261</f>
        <v>1</v>
      </c>
      <c r="B261">
        <f>ROW(modif1!B261)</f>
        <v>261</v>
      </c>
      <c r="C261" t="str">
        <f>modif1!C264</f>
        <v>202</v>
      </c>
      <c r="D261" t="str">
        <f>modif1!D261</f>
        <v>HOSTENS</v>
      </c>
      <c r="E261">
        <f>modif1!E261</f>
        <v>11</v>
      </c>
      <c r="F261" t="str">
        <f>modif1!F261</f>
        <v>LES CAZALAS</v>
      </c>
      <c r="G261" t="str">
        <f>modif1!G261</f>
        <v>0B</v>
      </c>
      <c r="H261">
        <f>modif1!H261</f>
        <v>1579</v>
      </c>
      <c r="I261" t="str">
        <f>modif1!I261</f>
        <v/>
      </c>
      <c r="J261" s="11">
        <f>modif1!J261</f>
        <v>0.66790000000000005</v>
      </c>
      <c r="K261" t="str">
        <f>modif1!K261</f>
        <v>PLA</v>
      </c>
      <c r="L261" t="str">
        <f>modif1!L261</f>
        <v>PM</v>
      </c>
      <c r="M261">
        <f>modif1!M261</f>
        <v>2006</v>
      </c>
      <c r="N261" t="str">
        <f>modif1!N261</f>
        <v>PLA-PM_2006</v>
      </c>
      <c r="O261" t="b">
        <f>modif1!O261</f>
        <v>0</v>
      </c>
      <c r="P261">
        <v>40</v>
      </c>
      <c r="Y261" s="22"/>
      <c r="Z261" t="s">
        <v>1181</v>
      </c>
      <c r="AA261" s="17">
        <f>IF($A261,$J261*(IF(Q261=regle!$B$11,regle!$B$23*IF(AJ261=-2,1+regle!$B$35,1),
IF(Q261=regle!$C$11,regle!$C$23,
IF(Q261=regle!$D$11,regle!$D$23,
IF(Q261=regle!$E$11,regle!$E$23,
IF(Q261=regle!$F$11,regle!$F$23,
IF(Q261=regle!$G$11,regle!$G$23,
IF(Q261=regle!$H$11,regle!$H$23,
IF(Q261=regle!$I$11,regle!$I$23,
IF(Q261=regle!$J$11,regle!$J$23,
IF(Q261=regle!$K$11,regle!$K$23,0))))))))))))</f>
        <v>0</v>
      </c>
      <c r="AB261" s="17">
        <f>IF($A261,$J261*(IF(R261=regle!$B$11,regle!$B$23*IF(AK261=-2,1+regle!$B$35,1),
IF(R261=regle!$C$11,regle!$C$23,
IF(R261=regle!$D$11,regle!$D$23,
IF(R261=regle!$E$11,regle!$E$23,
IF(R261=regle!$F$11,regle!$F$23,
IF(R261=regle!$G$11,regle!$G$23,
IF(R261=regle!$H$11,regle!$H$23,
IF(R261=regle!$I$11,regle!$I$23,
IF(R261=regle!$J$11,regle!$J$23,
IF(R261=regle!$K$11,regle!$K$23,0))))))))))))</f>
        <v>0</v>
      </c>
      <c r="AC261" s="17">
        <f>IF($A261,$J261*(IF(S261=regle!$B$11,regle!$B$23*IF(AL261=-2,1+regle!$B$35,1),
IF(S261=regle!$C$11,regle!$C$23,
IF(S261=regle!$D$11,regle!$D$23,
IF(S261=regle!$E$11,regle!$E$23,
IF(S261=regle!$F$11,regle!$F$23,
IF(S261=regle!$G$11,regle!$G$23,
IF(S261=regle!$H$11,regle!$H$23,
IF(S261=regle!$I$11,regle!$I$23,
IF(S261=regle!$J$11,regle!$J$23,
IF(S261=regle!$K$11,regle!$K$23,0))))))))))))</f>
        <v>0</v>
      </c>
      <c r="AD261" s="17">
        <f>IF($A261,$J261*(IF(T261=regle!$B$11,regle!$B$23*IF(AM261=-2,1+regle!$B$35,1),
IF(T261=regle!$C$11,regle!$C$23,
IF(T261=regle!$D$11,regle!$D$23,
IF(T261=regle!$E$11,regle!$E$23,
IF(T261=regle!$F$11,regle!$F$23,
IF(T261=regle!$G$11,regle!$G$23,
IF(T261=regle!$H$11,regle!$H$23,
IF(T261=regle!$I$11,regle!$I$23,
IF(T261=regle!$J$11,regle!$J$23,
IF(T261=regle!$K$11,regle!$K$23,0))))))))))))</f>
        <v>0</v>
      </c>
      <c r="AE261" s="17">
        <f>IF($A261,$J261*(IF(U261=regle!$B$11,regle!$B$23*IF(AN261=-2,1+regle!$B$35,1),
IF(U261=regle!$C$11,regle!$C$23,
IF(U261=regle!$D$11,regle!$D$23,
IF(U261=regle!$E$11,regle!$E$23,
IF(U261=regle!$F$11,regle!$F$23,
IF(U261=regle!$G$11,regle!$G$23,
IF(U261=regle!$H$11,regle!$H$23,
IF(U261=regle!$I$11,regle!$I$23,
IF(U261=regle!$J$11,regle!$J$23,
IF(U261=regle!$K$11,regle!$K$23,0))))))))))))</f>
        <v>0</v>
      </c>
      <c r="AF261" s="17">
        <f>IF($A261,$J261*(IF(V261=regle!$B$11,regle!$B$23*IF(AO261=-2,1+regle!$B$35,1),
IF(V261=regle!$C$11,regle!$C$23,
IF(V261=regle!$D$11,regle!$D$23,
IF(V261=regle!$E$11,regle!$E$23,
IF(V261=regle!$F$11,regle!$F$23,
IF(V261=regle!$G$11,regle!$G$23,
IF(V261=regle!$H$11,regle!$H$23,
IF(V261=regle!$I$11,regle!$I$23,
IF(V261=regle!$J$11,regle!$J$23,
IF(V261=regle!$K$11,regle!$K$23,0))))))))))))</f>
        <v>0</v>
      </c>
      <c r="AG261" s="17">
        <f>IF($A261,$J261*(IF(W261=regle!$B$11,regle!$B$23*IF(AP261=-2,1+regle!$B$35,1),
IF(W261=regle!$C$11,regle!$C$23,
IF(W261=regle!$D$11,regle!$D$23,
IF(W261=regle!$E$11,regle!$E$23,
IF(W261=regle!$F$11,regle!$F$23,
IF(W261=regle!$G$11,regle!$G$23,
IF(W261=regle!$H$11,regle!$H$23,
IF(W261=regle!$I$11,regle!$I$23,
IF(W261=regle!$J$11,regle!$J$23,
IF(W261=regle!$K$11,regle!$K$23,0))))))))))))</f>
        <v>0</v>
      </c>
      <c r="AH261" s="17">
        <f>IF($A261,$J261*(IF(X261=regle!$B$11,regle!$B$23*IF(AQ261=-2,1+regle!$B$35,1),
IF(X261=regle!$C$11,regle!$C$23,
IF(X261=regle!$D$11,regle!$D$23,
IF(X261=regle!$E$11,regle!$E$23,
IF(X261=regle!$F$11,regle!$F$23,
IF(X261=regle!$G$11,regle!$G$23,
IF(X261=regle!$H$11,regle!$H$23,
IF(X261=regle!$I$11,regle!$I$23,
IF(X261=regle!$J$11,regle!$J$23,
IF(X261=regle!$K$11,regle!$K$23,0))))))))))))</f>
        <v>0</v>
      </c>
      <c r="AI261" s="17">
        <f>IF($A261,$J261*(IF(Y261=regle!$B$11,regle!$B$23*IF(AR261=-2,1+regle!$B$35,1),
IF(Y261=regle!$C$11,regle!$C$23,
IF(Y261=regle!$D$11,regle!$D$23,
IF(Y261=regle!$E$11,regle!$E$23,
IF(Y261=regle!$F$11,regle!$F$23,
IF(Y261=regle!$G$11,regle!$G$23,
IF(Y261=regle!$H$11,regle!$H$23,
IF(Y261=regle!$I$11,regle!$I$23,
IF(Y261=regle!$J$11,regle!$J$23,
IF(Y261=regle!$K$11,regle!$K$23,0))))))))))))</f>
        <v>0</v>
      </c>
      <c r="AJ261" s="17">
        <f>IF($A261,$J261*(IF(Z261=regle!$B$11,regle!$B$23*IF(AS261=-2,1+regle!$B$35,1),
IF(Z261=regle!$C$11,regle!$C$23,
IF(Z261=regle!$D$11,regle!$D$23,
IF(Z261=regle!$E$11,regle!$E$23,
IF(Z261=regle!$F$11,regle!$F$23,
IF(Z261=regle!$G$11,regle!$G$23,
IF(Z261=regle!$H$11,regle!$H$23,
IF(Z261=regle!$I$11,regle!$I$23,
IF(Z261=regle!$J$11,regle!$J$23,
IF(Z261=regle!$K$11,regle!$K$23,0))))))))))))</f>
        <v>3473.0800000000004</v>
      </c>
      <c r="AK261" s="16">
        <f>IF(OR(Q261=regle!$J$11,Q261=regle!$K$11),-2,IF(Q261=regle!$B$11,0,IF(AK$1=$AK$1,IF($O261,-1,regle!$B$2-$M261),IF(AJ261=-1,-1,AJ261+1))))</f>
        <v>18</v>
      </c>
      <c r="AL261" s="16">
        <f>IF(OR(R261=regle!$J$11,R261=regle!$K$11),-2,IF(R261=regle!$B$11,0,IF(AL$1=$AK$1,IF($O261,-1,regle!$B$2-$M261),IF(AK261=-1,-1,AK261+1))))</f>
        <v>19</v>
      </c>
      <c r="AM261" s="16">
        <f>IF(OR(S261=regle!$J$11,S261=regle!$K$11),-2,IF(S261=regle!$B$11,0,IF(AM$1=$AK$1,IF($O261,-1,regle!$B$2-$M261),IF(AL261=-1,-1,AL261+1))))</f>
        <v>20</v>
      </c>
      <c r="AN261" s="16">
        <f>IF(OR(T261=regle!$J$11,T261=regle!$K$11),-2,IF(T261=regle!$B$11,0,IF(AN$1=$AK$1,IF($O261,-1,regle!$B$2-$M261),IF(AM261=-1,-1,AM261+1))))</f>
        <v>21</v>
      </c>
      <c r="AO261" s="16">
        <f>IF(OR(U261=regle!$J$11,U261=regle!$K$11),-2,IF(U261=regle!$B$11,0,IF(AO$1=$AK$1,IF($O261,-1,regle!$B$2-$M261),IF(AN261=-1,-1,AN261+1))))</f>
        <v>22</v>
      </c>
      <c r="AP261" s="16">
        <f>IF(OR(V261=regle!$J$11,V261=regle!$K$11),-2,IF(V261=regle!$B$11,0,IF(AP$1=$AK$1,IF($O261,-1,regle!$B$2-$M261),IF(AO261=-1,-1,AO261+1))))</f>
        <v>23</v>
      </c>
      <c r="AQ261" s="16">
        <f>IF(OR(W261=regle!$J$11,W261=regle!$K$11),-2,IF(W261=regle!$B$11,0,IF(AQ$1=$AK$1,IF($O261,-1,regle!$B$2-$M261),IF(AP261=-1,-1,AP261+1))))</f>
        <v>24</v>
      </c>
      <c r="AR261" s="16">
        <f>IF(OR(X261=regle!$J$11,X261=regle!$K$11),-2,IF(X261=regle!$B$11,0,IF(AR$1=$AK$1,IF($O261,-1,regle!$B$2-$M261),IF(AQ261=-1,-1,AQ261+1))))</f>
        <v>25</v>
      </c>
      <c r="AS261" s="16">
        <f>IF(OR(Y261=regle!$J$11,Y261=regle!$K$11),-2,IF(Y261=regle!$B$11,0,IF(AS$1=$AK$1,IF($O261,-1,regle!$B$2-$M261),IF(AR261=-1,-1,AR261+1))))</f>
        <v>26</v>
      </c>
      <c r="AT261" s="16">
        <f>IF(OR(Z261=regle!$J$11,Z261=regle!$K$11),-2,IF(Z261=regle!$B$11,0,IF(AT$1=$AK$1,IF($O261,-1,regle!$B$2-$M261),IF(AS261=-1,-1,AS261+1))))</f>
        <v>-2</v>
      </c>
    </row>
    <row r="262" spans="1:46" x14ac:dyDescent="0.25">
      <c r="A262" t="b">
        <f>modif1!A262</f>
        <v>1</v>
      </c>
      <c r="B262">
        <f>ROW(modif1!B262)</f>
        <v>262</v>
      </c>
      <c r="C262" t="str">
        <f>modif1!C265</f>
        <v>202</v>
      </c>
      <c r="D262" t="str">
        <f>modif1!D262</f>
        <v>HOSTENS</v>
      </c>
      <c r="E262">
        <f>modif1!E262</f>
        <v>11</v>
      </c>
      <c r="F262" t="str">
        <f>modif1!F262</f>
        <v>LES CAZALAS</v>
      </c>
      <c r="G262" t="str">
        <f>modif1!G262</f>
        <v>0B</v>
      </c>
      <c r="H262">
        <f>modif1!H262</f>
        <v>1178</v>
      </c>
      <c r="I262" t="str">
        <f>modif1!I262</f>
        <v/>
      </c>
      <c r="J262" s="11">
        <f>modif1!J262</f>
        <v>0.65649999999999997</v>
      </c>
      <c r="K262" t="str">
        <f>modif1!K262</f>
        <v>PLA</v>
      </c>
      <c r="L262" t="str">
        <f>modif1!L262</f>
        <v>PM</v>
      </c>
      <c r="M262">
        <f>modif1!M262</f>
        <v>2006</v>
      </c>
      <c r="N262" t="str">
        <f>modif1!N262</f>
        <v>PLA-PM_2006</v>
      </c>
      <c r="O262" t="b">
        <f>modif1!O262</f>
        <v>0</v>
      </c>
      <c r="P262">
        <v>40</v>
      </c>
      <c r="Y262" t="s">
        <v>1181</v>
      </c>
      <c r="Z262" t="s">
        <v>1868</v>
      </c>
      <c r="AA262" s="17">
        <f>IF($A262,$J262*(IF(Q262=regle!$B$11,regle!$B$23*IF(AJ262=-2,1+regle!$B$35,1),
IF(Q262=regle!$C$11,regle!$C$23,
IF(Q262=regle!$D$11,regle!$D$23,
IF(Q262=regle!$E$11,regle!$E$23,
IF(Q262=regle!$F$11,regle!$F$23,
IF(Q262=regle!$G$11,regle!$G$23,
IF(Q262=regle!$H$11,regle!$H$23,
IF(Q262=regle!$I$11,regle!$I$23,
IF(Q262=regle!$J$11,regle!$J$23,
IF(Q262=regle!$K$11,regle!$K$23,0))))))))))))</f>
        <v>0</v>
      </c>
      <c r="AB262" s="17">
        <f>IF($A262,$J262*(IF(R262=regle!$B$11,regle!$B$23*IF(AK262=-2,1+regle!$B$35,1),
IF(R262=regle!$C$11,regle!$C$23,
IF(R262=regle!$D$11,regle!$D$23,
IF(R262=regle!$E$11,regle!$E$23,
IF(R262=regle!$F$11,regle!$F$23,
IF(R262=regle!$G$11,regle!$G$23,
IF(R262=regle!$H$11,regle!$H$23,
IF(R262=regle!$I$11,regle!$I$23,
IF(R262=regle!$J$11,regle!$J$23,
IF(R262=regle!$K$11,regle!$K$23,0))))))))))))</f>
        <v>0</v>
      </c>
      <c r="AC262" s="17">
        <f>IF($A262,$J262*(IF(S262=regle!$B$11,regle!$B$23*IF(AL262=-2,1+regle!$B$35,1),
IF(S262=regle!$C$11,regle!$C$23,
IF(S262=regle!$D$11,regle!$D$23,
IF(S262=regle!$E$11,regle!$E$23,
IF(S262=regle!$F$11,regle!$F$23,
IF(S262=regle!$G$11,regle!$G$23,
IF(S262=regle!$H$11,regle!$H$23,
IF(S262=regle!$I$11,regle!$I$23,
IF(S262=regle!$J$11,regle!$J$23,
IF(S262=regle!$K$11,regle!$K$23,0))))))))))))</f>
        <v>0</v>
      </c>
      <c r="AD262" s="17">
        <f>IF($A262,$J262*(IF(T262=regle!$B$11,regle!$B$23*IF(AM262=-2,1+regle!$B$35,1),
IF(T262=regle!$C$11,regle!$C$23,
IF(T262=regle!$D$11,regle!$D$23,
IF(T262=regle!$E$11,regle!$E$23,
IF(T262=regle!$F$11,regle!$F$23,
IF(T262=regle!$G$11,regle!$G$23,
IF(T262=regle!$H$11,regle!$H$23,
IF(T262=regle!$I$11,regle!$I$23,
IF(T262=regle!$J$11,regle!$J$23,
IF(T262=regle!$K$11,regle!$K$23,0))))))))))))</f>
        <v>0</v>
      </c>
      <c r="AE262" s="17">
        <f>IF($A262,$J262*(IF(U262=regle!$B$11,regle!$B$23*IF(AN262=-2,1+regle!$B$35,1),
IF(U262=regle!$C$11,regle!$C$23,
IF(U262=regle!$D$11,regle!$D$23,
IF(U262=regle!$E$11,regle!$E$23,
IF(U262=regle!$F$11,regle!$F$23,
IF(U262=regle!$G$11,regle!$G$23,
IF(U262=regle!$H$11,regle!$H$23,
IF(U262=regle!$I$11,regle!$I$23,
IF(U262=regle!$J$11,regle!$J$23,
IF(U262=regle!$K$11,regle!$K$23,0))))))))))))</f>
        <v>0</v>
      </c>
      <c r="AF262" s="17">
        <f>IF($A262,$J262*(IF(V262=regle!$B$11,regle!$B$23*IF(AO262=-2,1+regle!$B$35,1),
IF(V262=regle!$C$11,regle!$C$23,
IF(V262=regle!$D$11,regle!$D$23,
IF(V262=regle!$E$11,regle!$E$23,
IF(V262=regle!$F$11,regle!$F$23,
IF(V262=regle!$G$11,regle!$G$23,
IF(V262=regle!$H$11,regle!$H$23,
IF(V262=regle!$I$11,regle!$I$23,
IF(V262=regle!$J$11,regle!$J$23,
IF(V262=regle!$K$11,regle!$K$23,0))))))))))))</f>
        <v>0</v>
      </c>
      <c r="AG262" s="17">
        <f>IF($A262,$J262*(IF(W262=regle!$B$11,regle!$B$23*IF(AP262=-2,1+regle!$B$35,1),
IF(W262=regle!$C$11,regle!$C$23,
IF(W262=regle!$D$11,regle!$D$23,
IF(W262=regle!$E$11,regle!$E$23,
IF(W262=regle!$F$11,regle!$F$23,
IF(W262=regle!$G$11,regle!$G$23,
IF(W262=regle!$H$11,regle!$H$23,
IF(W262=regle!$I$11,regle!$I$23,
IF(W262=regle!$J$11,regle!$J$23,
IF(W262=regle!$K$11,regle!$K$23,0))))))))))))</f>
        <v>0</v>
      </c>
      <c r="AH262" s="17">
        <f>IF($A262,$J262*(IF(X262=regle!$B$11,regle!$B$23*IF(AQ262=-2,1+regle!$B$35,1),
IF(X262=regle!$C$11,regle!$C$23,
IF(X262=regle!$D$11,regle!$D$23,
IF(X262=regle!$E$11,regle!$E$23,
IF(X262=regle!$F$11,regle!$F$23,
IF(X262=regle!$G$11,regle!$G$23,
IF(X262=regle!$H$11,regle!$H$23,
IF(X262=regle!$I$11,regle!$I$23,
IF(X262=regle!$J$11,regle!$J$23,
IF(X262=regle!$K$11,regle!$K$23,0))))))))))))</f>
        <v>0</v>
      </c>
      <c r="AI262" s="17">
        <f>IF($A262,$J262*(IF(Y262=regle!$B$11,regle!$B$23*IF(AR262=-2,1+regle!$B$35,1),
IF(Y262=regle!$C$11,regle!$C$23,
IF(Y262=regle!$D$11,regle!$D$23,
IF(Y262=regle!$E$11,regle!$E$23,
IF(Y262=regle!$F$11,regle!$F$23,
IF(Y262=regle!$G$11,regle!$G$23,
IF(Y262=regle!$H$11,regle!$H$23,
IF(Y262=regle!$I$11,regle!$I$23,
IF(Y262=regle!$J$11,regle!$J$23,
IF(Y262=regle!$K$11,regle!$K$23,0))))))))))))</f>
        <v>3413.7999999999997</v>
      </c>
      <c r="AJ262" s="17">
        <f>IF($A262,$J262*(IF(Z262=regle!$B$11,regle!$B$23*IF(AS262=-2,1+regle!$B$35,1),
IF(Z262=regle!$C$11,regle!$C$23,
IF(Z262=regle!$D$11,regle!$D$23,
IF(Z262=regle!$E$11,regle!$E$23,
IF(Z262=regle!$F$11,regle!$F$23,
IF(Z262=regle!$G$11,regle!$G$23,
IF(Z262=regle!$H$11,regle!$H$23,
IF(Z262=regle!$I$11,regle!$I$23,
IF(Z262=regle!$J$11,regle!$J$23,
IF(Z262=regle!$K$11,regle!$K$23,0))))))))))))</f>
        <v>-1227.6550000000002</v>
      </c>
      <c r="AK262" s="16">
        <f>IF(OR(Q262=regle!$J$11,Q262=regle!$K$11),-2,IF(Q262=regle!$B$11,0,IF(AK$1=$AK$1,IF($O262,-1,regle!$B$2-$M262),IF(AJ262=-1,-1,AJ262+1))))</f>
        <v>18</v>
      </c>
      <c r="AL262" s="16">
        <f>IF(OR(R262=regle!$J$11,R262=regle!$K$11),-2,IF(R262=regle!$B$11,0,IF(AL$1=$AK$1,IF($O262,-1,regle!$B$2-$M262),IF(AK262=-1,-1,AK262+1))))</f>
        <v>19</v>
      </c>
      <c r="AM262" s="16">
        <f>IF(OR(S262=regle!$J$11,S262=regle!$K$11),-2,IF(S262=regle!$B$11,0,IF(AM$1=$AK$1,IF($O262,-1,regle!$B$2-$M262),IF(AL262=-1,-1,AL262+1))))</f>
        <v>20</v>
      </c>
      <c r="AN262" s="16">
        <f>IF(OR(T262=regle!$J$11,T262=regle!$K$11),-2,IF(T262=regle!$B$11,0,IF(AN$1=$AK$1,IF($O262,-1,regle!$B$2-$M262),IF(AM262=-1,-1,AM262+1))))</f>
        <v>21</v>
      </c>
      <c r="AO262" s="16">
        <f>IF(OR(U262=regle!$J$11,U262=regle!$K$11),-2,IF(U262=regle!$B$11,0,IF(AO$1=$AK$1,IF($O262,-1,regle!$B$2-$M262),IF(AN262=-1,-1,AN262+1))))</f>
        <v>22</v>
      </c>
      <c r="AP262" s="16">
        <f>IF(OR(V262=regle!$J$11,V262=regle!$K$11),-2,IF(V262=regle!$B$11,0,IF(AP$1=$AK$1,IF($O262,-1,regle!$B$2-$M262),IF(AO262=-1,-1,AO262+1))))</f>
        <v>23</v>
      </c>
      <c r="AQ262" s="16">
        <f>IF(OR(W262=regle!$J$11,W262=regle!$K$11),-2,IF(W262=regle!$B$11,0,IF(AQ$1=$AK$1,IF($O262,-1,regle!$B$2-$M262),IF(AP262=-1,-1,AP262+1))))</f>
        <v>24</v>
      </c>
      <c r="AR262" s="16">
        <f>IF(OR(X262=regle!$J$11,X262=regle!$K$11),-2,IF(X262=regle!$B$11,0,IF(AR$1=$AK$1,IF($O262,-1,regle!$B$2-$M262),IF(AQ262=-1,-1,AQ262+1))))</f>
        <v>25</v>
      </c>
      <c r="AS262" s="16">
        <f>IF(OR(Y262=regle!$J$11,Y262=regle!$K$11),-2,IF(Y262=regle!$B$11,0,IF(AS$1=$AK$1,IF($O262,-1,regle!$B$2-$M262),IF(AR262=-1,-1,AR262+1))))</f>
        <v>-2</v>
      </c>
      <c r="AT262" s="16">
        <f>IF(OR(Z262=regle!$J$11,Z262=regle!$K$11),-2,IF(Z262=regle!$B$11,0,IF(AT$1=$AK$1,IF($O262,-1,regle!$B$2-$M262),IF(AS262=-1,-1,AS262+1))))</f>
        <v>0</v>
      </c>
    </row>
    <row r="263" spans="1:46" x14ac:dyDescent="0.25">
      <c r="A263" t="b">
        <f>modif1!A263</f>
        <v>1</v>
      </c>
      <c r="B263">
        <f>ROW(modif1!B263)</f>
        <v>263</v>
      </c>
      <c r="C263" t="str">
        <f>modif1!C266</f>
        <v>202</v>
      </c>
      <c r="D263" t="str">
        <f>modif1!D263</f>
        <v>HOSTENS</v>
      </c>
      <c r="E263">
        <f>modif1!E263</f>
        <v>11</v>
      </c>
      <c r="F263" t="str">
        <f>modif1!F263</f>
        <v>LES CAZALAS</v>
      </c>
      <c r="G263" t="str">
        <f>modif1!G263</f>
        <v>0B</v>
      </c>
      <c r="H263">
        <f>modif1!H263</f>
        <v>1156</v>
      </c>
      <c r="I263" t="str">
        <f>modif1!I263</f>
        <v>j</v>
      </c>
      <c r="J263" s="11">
        <f>modif1!J263</f>
        <v>0.65549999999999997</v>
      </c>
      <c r="K263" t="str">
        <f>modif1!K263</f>
        <v>PLA</v>
      </c>
      <c r="L263" t="str">
        <f>modif1!L263</f>
        <v>PM</v>
      </c>
      <c r="M263">
        <f>modif1!M263</f>
        <v>2006</v>
      </c>
      <c r="N263" t="str">
        <f>modif1!N263</f>
        <v>PLA-PM_2006</v>
      </c>
      <c r="O263" t="b">
        <f>modif1!O263</f>
        <v>0</v>
      </c>
      <c r="P263">
        <v>40</v>
      </c>
      <c r="Y263" t="s">
        <v>1181</v>
      </c>
      <c r="Z263" t="s">
        <v>1868</v>
      </c>
      <c r="AA263" s="17">
        <f>IF($A263,$J263*(IF(Q263=regle!$B$11,regle!$B$23*IF(AJ263=-2,1+regle!$B$35,1),
IF(Q263=regle!$C$11,regle!$C$23,
IF(Q263=regle!$D$11,regle!$D$23,
IF(Q263=regle!$E$11,regle!$E$23,
IF(Q263=regle!$F$11,regle!$F$23,
IF(Q263=regle!$G$11,regle!$G$23,
IF(Q263=regle!$H$11,regle!$H$23,
IF(Q263=regle!$I$11,regle!$I$23,
IF(Q263=regle!$J$11,regle!$J$23,
IF(Q263=regle!$K$11,regle!$K$23,0))))))))))))</f>
        <v>0</v>
      </c>
      <c r="AB263" s="17">
        <f>IF($A263,$J263*(IF(R263=regle!$B$11,regle!$B$23*IF(AK263=-2,1+regle!$B$35,1),
IF(R263=regle!$C$11,regle!$C$23,
IF(R263=regle!$D$11,regle!$D$23,
IF(R263=regle!$E$11,regle!$E$23,
IF(R263=regle!$F$11,regle!$F$23,
IF(R263=regle!$G$11,regle!$G$23,
IF(R263=regle!$H$11,regle!$H$23,
IF(R263=regle!$I$11,regle!$I$23,
IF(R263=regle!$J$11,regle!$J$23,
IF(R263=regle!$K$11,regle!$K$23,0))))))))))))</f>
        <v>0</v>
      </c>
      <c r="AC263" s="17">
        <f>IF($A263,$J263*(IF(S263=regle!$B$11,regle!$B$23*IF(AL263=-2,1+regle!$B$35,1),
IF(S263=regle!$C$11,regle!$C$23,
IF(S263=regle!$D$11,regle!$D$23,
IF(S263=regle!$E$11,regle!$E$23,
IF(S263=regle!$F$11,regle!$F$23,
IF(S263=regle!$G$11,regle!$G$23,
IF(S263=regle!$H$11,regle!$H$23,
IF(S263=regle!$I$11,regle!$I$23,
IF(S263=regle!$J$11,regle!$J$23,
IF(S263=regle!$K$11,regle!$K$23,0))))))))))))</f>
        <v>0</v>
      </c>
      <c r="AD263" s="17">
        <f>IF($A263,$J263*(IF(T263=regle!$B$11,regle!$B$23*IF(AM263=-2,1+regle!$B$35,1),
IF(T263=regle!$C$11,regle!$C$23,
IF(T263=regle!$D$11,regle!$D$23,
IF(T263=regle!$E$11,regle!$E$23,
IF(T263=regle!$F$11,regle!$F$23,
IF(T263=regle!$G$11,regle!$G$23,
IF(T263=regle!$H$11,regle!$H$23,
IF(T263=regle!$I$11,regle!$I$23,
IF(T263=regle!$J$11,regle!$J$23,
IF(T263=regle!$K$11,regle!$K$23,0))))))))))))</f>
        <v>0</v>
      </c>
      <c r="AE263" s="17">
        <f>IF($A263,$J263*(IF(U263=regle!$B$11,regle!$B$23*IF(AN263=-2,1+regle!$B$35,1),
IF(U263=regle!$C$11,regle!$C$23,
IF(U263=regle!$D$11,regle!$D$23,
IF(U263=regle!$E$11,regle!$E$23,
IF(U263=regle!$F$11,regle!$F$23,
IF(U263=regle!$G$11,regle!$G$23,
IF(U263=regle!$H$11,regle!$H$23,
IF(U263=regle!$I$11,regle!$I$23,
IF(U263=regle!$J$11,regle!$J$23,
IF(U263=regle!$K$11,regle!$K$23,0))))))))))))</f>
        <v>0</v>
      </c>
      <c r="AF263" s="17">
        <f>IF($A263,$J263*(IF(V263=regle!$B$11,regle!$B$23*IF(AO263=-2,1+regle!$B$35,1),
IF(V263=regle!$C$11,regle!$C$23,
IF(V263=regle!$D$11,regle!$D$23,
IF(V263=regle!$E$11,regle!$E$23,
IF(V263=regle!$F$11,regle!$F$23,
IF(V263=regle!$G$11,regle!$G$23,
IF(V263=regle!$H$11,regle!$H$23,
IF(V263=regle!$I$11,regle!$I$23,
IF(V263=regle!$J$11,regle!$J$23,
IF(V263=regle!$K$11,regle!$K$23,0))))))))))))</f>
        <v>0</v>
      </c>
      <c r="AG263" s="17">
        <f>IF($A263,$J263*(IF(W263=regle!$B$11,regle!$B$23*IF(AP263=-2,1+regle!$B$35,1),
IF(W263=regle!$C$11,regle!$C$23,
IF(W263=regle!$D$11,regle!$D$23,
IF(W263=regle!$E$11,regle!$E$23,
IF(W263=regle!$F$11,regle!$F$23,
IF(W263=regle!$G$11,regle!$G$23,
IF(W263=regle!$H$11,regle!$H$23,
IF(W263=regle!$I$11,regle!$I$23,
IF(W263=regle!$J$11,regle!$J$23,
IF(W263=regle!$K$11,regle!$K$23,0))))))))))))</f>
        <v>0</v>
      </c>
      <c r="AH263" s="17">
        <f>IF($A263,$J263*(IF(X263=regle!$B$11,regle!$B$23*IF(AQ263=-2,1+regle!$B$35,1),
IF(X263=regle!$C$11,regle!$C$23,
IF(X263=regle!$D$11,regle!$D$23,
IF(X263=regle!$E$11,regle!$E$23,
IF(X263=regle!$F$11,regle!$F$23,
IF(X263=regle!$G$11,regle!$G$23,
IF(X263=regle!$H$11,regle!$H$23,
IF(X263=regle!$I$11,regle!$I$23,
IF(X263=regle!$J$11,regle!$J$23,
IF(X263=regle!$K$11,regle!$K$23,0))))))))))))</f>
        <v>0</v>
      </c>
      <c r="AI263" s="17">
        <f>IF($A263,$J263*(IF(Y263=regle!$B$11,regle!$B$23*IF(AR263=-2,1+regle!$B$35,1),
IF(Y263=regle!$C$11,regle!$C$23,
IF(Y263=regle!$D$11,regle!$D$23,
IF(Y263=regle!$E$11,regle!$E$23,
IF(Y263=regle!$F$11,regle!$F$23,
IF(Y263=regle!$G$11,regle!$G$23,
IF(Y263=regle!$H$11,regle!$H$23,
IF(Y263=regle!$I$11,regle!$I$23,
IF(Y263=regle!$J$11,regle!$J$23,
IF(Y263=regle!$K$11,regle!$K$23,0))))))))))))</f>
        <v>3408.6</v>
      </c>
      <c r="AJ263" s="17">
        <f>IF($A263,$J263*(IF(Z263=regle!$B$11,regle!$B$23*IF(AS263=-2,1+regle!$B$35,1),
IF(Z263=regle!$C$11,regle!$C$23,
IF(Z263=regle!$D$11,regle!$D$23,
IF(Z263=regle!$E$11,regle!$E$23,
IF(Z263=regle!$F$11,regle!$F$23,
IF(Z263=regle!$G$11,regle!$G$23,
IF(Z263=regle!$H$11,regle!$H$23,
IF(Z263=regle!$I$11,regle!$I$23,
IF(Z263=regle!$J$11,regle!$J$23,
IF(Z263=regle!$K$11,regle!$K$23,0))))))))))))</f>
        <v>-1225.7850000000001</v>
      </c>
      <c r="AK263" s="16">
        <f>IF(OR(Q263=regle!$J$11,Q263=regle!$K$11),-2,IF(Q263=regle!$B$11,0,IF(AK$1=$AK$1,IF($O263,-1,regle!$B$2-$M263),IF(AJ263=-1,-1,AJ263+1))))</f>
        <v>18</v>
      </c>
      <c r="AL263" s="16">
        <f>IF(OR(R263=regle!$J$11,R263=regle!$K$11),-2,IF(R263=regle!$B$11,0,IF(AL$1=$AK$1,IF($O263,-1,regle!$B$2-$M263),IF(AK263=-1,-1,AK263+1))))</f>
        <v>19</v>
      </c>
      <c r="AM263" s="16">
        <f>IF(OR(S263=regle!$J$11,S263=regle!$K$11),-2,IF(S263=regle!$B$11,0,IF(AM$1=$AK$1,IF($O263,-1,regle!$B$2-$M263),IF(AL263=-1,-1,AL263+1))))</f>
        <v>20</v>
      </c>
      <c r="AN263" s="16">
        <f>IF(OR(T263=regle!$J$11,T263=regle!$K$11),-2,IF(T263=regle!$B$11,0,IF(AN$1=$AK$1,IF($O263,-1,regle!$B$2-$M263),IF(AM263=-1,-1,AM263+1))))</f>
        <v>21</v>
      </c>
      <c r="AO263" s="16">
        <f>IF(OR(U263=regle!$J$11,U263=regle!$K$11),-2,IF(U263=regle!$B$11,0,IF(AO$1=$AK$1,IF($O263,-1,regle!$B$2-$M263),IF(AN263=-1,-1,AN263+1))))</f>
        <v>22</v>
      </c>
      <c r="AP263" s="16">
        <f>IF(OR(V263=regle!$J$11,V263=regle!$K$11),-2,IF(V263=regle!$B$11,0,IF(AP$1=$AK$1,IF($O263,-1,regle!$B$2-$M263),IF(AO263=-1,-1,AO263+1))))</f>
        <v>23</v>
      </c>
      <c r="AQ263" s="16">
        <f>IF(OR(W263=regle!$J$11,W263=regle!$K$11),-2,IF(W263=regle!$B$11,0,IF(AQ$1=$AK$1,IF($O263,-1,regle!$B$2-$M263),IF(AP263=-1,-1,AP263+1))))</f>
        <v>24</v>
      </c>
      <c r="AR263" s="16">
        <f>IF(OR(X263=regle!$J$11,X263=regle!$K$11),-2,IF(X263=regle!$B$11,0,IF(AR$1=$AK$1,IF($O263,-1,regle!$B$2-$M263),IF(AQ263=-1,-1,AQ263+1))))</f>
        <v>25</v>
      </c>
      <c r="AS263" s="16">
        <f>IF(OR(Y263=regle!$J$11,Y263=regle!$K$11),-2,IF(Y263=regle!$B$11,0,IF(AS$1=$AK$1,IF($O263,-1,regle!$B$2-$M263),IF(AR263=-1,-1,AR263+1))))</f>
        <v>-2</v>
      </c>
      <c r="AT263" s="16">
        <f>IF(OR(Z263=regle!$J$11,Z263=regle!$K$11),-2,IF(Z263=regle!$B$11,0,IF(AT$1=$AK$1,IF($O263,-1,regle!$B$2-$M263),IF(AS263=-1,-1,AS263+1))))</f>
        <v>0</v>
      </c>
    </row>
    <row r="264" spans="1:46" x14ac:dyDescent="0.25">
      <c r="A264" t="b">
        <f>modif1!A264</f>
        <v>1</v>
      </c>
      <c r="B264">
        <f>ROW(modif1!B264)</f>
        <v>264</v>
      </c>
      <c r="C264" t="str">
        <f>modif1!C267</f>
        <v>202</v>
      </c>
      <c r="D264" t="str">
        <f>modif1!D264</f>
        <v>HOSTENS</v>
      </c>
      <c r="E264">
        <f>modif1!E264</f>
        <v>11</v>
      </c>
      <c r="F264" t="str">
        <f>modif1!F264</f>
        <v>LES CAZALAS</v>
      </c>
      <c r="G264" t="str">
        <f>modif1!G264</f>
        <v>0B</v>
      </c>
      <c r="H264">
        <f>modif1!H264</f>
        <v>1174</v>
      </c>
      <c r="I264" t="str">
        <f>modif1!I264</f>
        <v/>
      </c>
      <c r="J264" s="11">
        <f>modif1!J264</f>
        <v>0.48949999999999999</v>
      </c>
      <c r="K264" t="str">
        <f>modif1!K264</f>
        <v>PLA</v>
      </c>
      <c r="L264" t="str">
        <f>modif1!L264</f>
        <v>PM</v>
      </c>
      <c r="M264">
        <f>modif1!M264</f>
        <v>2006</v>
      </c>
      <c r="N264" t="str">
        <f>modif1!N264</f>
        <v>PLA-PM_2006</v>
      </c>
      <c r="O264" t="b">
        <f>modif1!O264</f>
        <v>0</v>
      </c>
      <c r="P264">
        <v>40</v>
      </c>
      <c r="Q264" s="22"/>
      <c r="R264" t="s">
        <v>1804</v>
      </c>
      <c r="V264" t="s">
        <v>1805</v>
      </c>
      <c r="Z264" t="s">
        <v>1806</v>
      </c>
      <c r="AA264" s="17">
        <f>IF($A264,$J264*(IF(Q264=regle!$B$11,regle!$B$23*IF(AJ264=-2,1+regle!$B$35,1),
IF(Q264=regle!$C$11,regle!$C$23,
IF(Q264=regle!$D$11,regle!$D$23,
IF(Q264=regle!$E$11,regle!$E$23,
IF(Q264=regle!$F$11,regle!$F$23,
IF(Q264=regle!$G$11,regle!$G$23,
IF(Q264=regle!$H$11,regle!$H$23,
IF(Q264=regle!$I$11,regle!$I$23,
IF(Q264=regle!$J$11,regle!$J$23,
IF(Q264=regle!$K$11,regle!$K$23,0))))))))))))</f>
        <v>0</v>
      </c>
      <c r="AB264" s="17">
        <f>IF($A264,$J264*(IF(R264=regle!$B$11,regle!$B$23*IF(AK264=-2,1+regle!$B$35,1),
IF(R264=regle!$C$11,regle!$C$23,
IF(R264=regle!$D$11,regle!$D$23,
IF(R264=regle!$E$11,regle!$E$23,
IF(R264=regle!$F$11,regle!$F$23,
IF(R264=regle!$G$11,regle!$G$23,
IF(R264=regle!$H$11,regle!$H$23,
IF(R264=regle!$I$11,regle!$I$23,
IF(R264=regle!$J$11,regle!$J$23,
IF(R264=regle!$K$11,regle!$K$23,0))))))))))))</f>
        <v>411.18</v>
      </c>
      <c r="AC264" s="17">
        <f>IF($A264,$J264*(IF(S264=regle!$B$11,regle!$B$23*IF(AL264=-2,1+regle!$B$35,1),
IF(S264=regle!$C$11,regle!$C$23,
IF(S264=regle!$D$11,regle!$D$23,
IF(S264=regle!$E$11,regle!$E$23,
IF(S264=regle!$F$11,regle!$F$23,
IF(S264=regle!$G$11,regle!$G$23,
IF(S264=regle!$H$11,regle!$H$23,
IF(S264=regle!$I$11,regle!$I$23,
IF(S264=regle!$J$11,regle!$J$23,
IF(S264=regle!$K$11,regle!$K$23,0))))))))))))</f>
        <v>0</v>
      </c>
      <c r="AD264" s="17">
        <f>IF($A264,$J264*(IF(T264=regle!$B$11,regle!$B$23*IF(AM264=-2,1+regle!$B$35,1),
IF(T264=regle!$C$11,regle!$C$23,
IF(T264=regle!$D$11,regle!$D$23,
IF(T264=regle!$E$11,regle!$E$23,
IF(T264=regle!$F$11,regle!$F$23,
IF(T264=regle!$G$11,regle!$G$23,
IF(T264=regle!$H$11,regle!$H$23,
IF(T264=regle!$I$11,regle!$I$23,
IF(T264=regle!$J$11,regle!$J$23,
IF(T264=regle!$K$11,regle!$K$23,0))))))))))))</f>
        <v>0</v>
      </c>
      <c r="AE264" s="17">
        <f>IF($A264,$J264*(IF(U264=regle!$B$11,regle!$B$23*IF(AN264=-2,1+regle!$B$35,1),
IF(U264=regle!$C$11,regle!$C$23,
IF(U264=regle!$D$11,regle!$D$23,
IF(U264=regle!$E$11,regle!$E$23,
IF(U264=regle!$F$11,regle!$F$23,
IF(U264=regle!$G$11,regle!$G$23,
IF(U264=regle!$H$11,regle!$H$23,
IF(U264=regle!$I$11,regle!$I$23,
IF(U264=regle!$J$11,regle!$J$23,
IF(U264=regle!$K$11,regle!$K$23,0))))))))))))</f>
        <v>0</v>
      </c>
      <c r="AF264" s="17">
        <f>IF($A264,$J264*(IF(V264=regle!$B$11,regle!$B$23*IF(AO264=-2,1+regle!$B$35,1),
IF(V264=regle!$C$11,regle!$C$23,
IF(V264=regle!$D$11,regle!$D$23,
IF(V264=regle!$E$11,regle!$E$23,
IF(V264=regle!$F$11,regle!$F$23,
IF(V264=regle!$G$11,regle!$G$23,
IF(V264=regle!$H$11,regle!$H$23,
IF(V264=regle!$I$11,regle!$I$23,
IF(V264=regle!$J$11,regle!$J$23,
IF(V264=regle!$K$11,regle!$K$23,0))))))))))))</f>
        <v>689.21600000000001</v>
      </c>
      <c r="AG264" s="17">
        <f>IF($A264,$J264*(IF(W264=regle!$B$11,regle!$B$23*IF(AP264=-2,1+regle!$B$35,1),
IF(W264=regle!$C$11,regle!$C$23,
IF(W264=regle!$D$11,regle!$D$23,
IF(W264=regle!$E$11,regle!$E$23,
IF(W264=regle!$F$11,regle!$F$23,
IF(W264=regle!$G$11,regle!$G$23,
IF(W264=regle!$H$11,regle!$H$23,
IF(W264=regle!$I$11,regle!$I$23,
IF(W264=regle!$J$11,regle!$J$23,
IF(W264=regle!$K$11,regle!$K$23,0))))))))))))</f>
        <v>0</v>
      </c>
      <c r="AH264" s="17">
        <f>IF($A264,$J264*(IF(X264=regle!$B$11,regle!$B$23*IF(AQ264=-2,1+regle!$B$35,1),
IF(X264=regle!$C$11,regle!$C$23,
IF(X264=regle!$D$11,regle!$D$23,
IF(X264=regle!$E$11,regle!$E$23,
IF(X264=regle!$F$11,regle!$F$23,
IF(X264=regle!$G$11,regle!$G$23,
IF(X264=regle!$H$11,regle!$H$23,
IF(X264=regle!$I$11,regle!$I$23,
IF(X264=regle!$J$11,regle!$J$23,
IF(X264=regle!$K$11,regle!$K$23,0))))))))))))</f>
        <v>0</v>
      </c>
      <c r="AI264" s="17">
        <f>IF($A264,$J264*(IF(Y264=regle!$B$11,regle!$B$23*IF(AR264=-2,1+regle!$B$35,1),
IF(Y264=regle!$C$11,regle!$C$23,
IF(Y264=regle!$D$11,regle!$D$23,
IF(Y264=regle!$E$11,regle!$E$23,
IF(Y264=regle!$F$11,regle!$F$23,
IF(Y264=regle!$G$11,regle!$G$23,
IF(Y264=regle!$H$11,regle!$H$23,
IF(Y264=regle!$I$11,regle!$I$23,
IF(Y264=regle!$J$11,regle!$J$23,
IF(Y264=regle!$K$11,regle!$K$23,0))))))))))))</f>
        <v>0</v>
      </c>
      <c r="AJ264" s="17">
        <f>IF($A264,$J264*(IF(Z264=regle!$B$11,regle!$B$23*IF(AS264=-2,1+regle!$B$35,1),
IF(Z264=regle!$C$11,regle!$C$23,
IF(Z264=regle!$D$11,regle!$D$23,
IF(Z264=regle!$E$11,regle!$E$23,
IF(Z264=regle!$F$11,regle!$F$23,
IF(Z264=regle!$G$11,regle!$G$23,
IF(Z264=regle!$H$11,regle!$H$23,
IF(Z264=regle!$I$11,regle!$I$23,
IF(Z264=regle!$J$11,regle!$J$23,
IF(Z264=regle!$K$11,regle!$K$23,0))))))))))))</f>
        <v>626.55999999999995</v>
      </c>
      <c r="AK264" s="16">
        <f>IF(OR(Q264=regle!$J$11,Q264=regle!$K$11),-2,IF(Q264=regle!$B$11,0,IF(AK$1=$AK$1,IF($O264,-1,regle!$B$2-$M264),IF(AJ264=-1,-1,AJ264+1))))</f>
        <v>18</v>
      </c>
      <c r="AL264" s="16">
        <f>IF(OR(R264=regle!$J$11,R264=regle!$K$11),-2,IF(R264=regle!$B$11,0,IF(AL$1=$AK$1,IF($O264,-1,regle!$B$2-$M264),IF(AK264=-1,-1,AK264+1))))</f>
        <v>19</v>
      </c>
      <c r="AM264" s="16">
        <f>IF(OR(S264=regle!$J$11,S264=regle!$K$11),-2,IF(S264=regle!$B$11,0,IF(AM$1=$AK$1,IF($O264,-1,regle!$B$2-$M264),IF(AL264=-1,-1,AL264+1))))</f>
        <v>20</v>
      </c>
      <c r="AN264" s="16">
        <f>IF(OR(T264=regle!$J$11,T264=regle!$K$11),-2,IF(T264=regle!$B$11,0,IF(AN$1=$AK$1,IF($O264,-1,regle!$B$2-$M264),IF(AM264=-1,-1,AM264+1))))</f>
        <v>21</v>
      </c>
      <c r="AO264" s="16">
        <f>IF(OR(U264=regle!$J$11,U264=regle!$K$11),-2,IF(U264=regle!$B$11,0,IF(AO$1=$AK$1,IF($O264,-1,regle!$B$2-$M264),IF(AN264=-1,-1,AN264+1))))</f>
        <v>22</v>
      </c>
      <c r="AP264" s="16">
        <f>IF(OR(V264=regle!$J$11,V264=regle!$K$11),-2,IF(V264=regle!$B$11,0,IF(AP$1=$AK$1,IF($O264,-1,regle!$B$2-$M264),IF(AO264=-1,-1,AO264+1))))</f>
        <v>23</v>
      </c>
      <c r="AQ264" s="16">
        <f>IF(OR(W264=regle!$J$11,W264=regle!$K$11),-2,IF(W264=regle!$B$11,0,IF(AQ$1=$AK$1,IF($O264,-1,regle!$B$2-$M264),IF(AP264=-1,-1,AP264+1))))</f>
        <v>24</v>
      </c>
      <c r="AR264" s="16">
        <f>IF(OR(X264=regle!$J$11,X264=regle!$K$11),-2,IF(X264=regle!$B$11,0,IF(AR$1=$AK$1,IF($O264,-1,regle!$B$2-$M264),IF(AQ264=-1,-1,AQ264+1))))</f>
        <v>25</v>
      </c>
      <c r="AS264" s="16">
        <f>IF(OR(Y264=regle!$J$11,Y264=regle!$K$11),-2,IF(Y264=regle!$B$11,0,IF(AS$1=$AK$1,IF($O264,-1,regle!$B$2-$M264),IF(AR264=-1,-1,AR264+1))))</f>
        <v>26</v>
      </c>
      <c r="AT264" s="16">
        <f>IF(OR(Z264=regle!$J$11,Z264=regle!$K$11),-2,IF(Z264=regle!$B$11,0,IF(AT$1=$AK$1,IF($O264,-1,regle!$B$2-$M264),IF(AS264=-1,-1,AS264+1))))</f>
        <v>27</v>
      </c>
    </row>
    <row r="265" spans="1:46" x14ac:dyDescent="0.25">
      <c r="A265" t="b">
        <f>modif1!A265</f>
        <v>1</v>
      </c>
      <c r="B265">
        <f>ROW(modif1!B265)</f>
        <v>265</v>
      </c>
      <c r="C265" t="str">
        <f>modif1!C268</f>
        <v>202</v>
      </c>
      <c r="D265" t="str">
        <f>modif1!D265</f>
        <v>HOSTENS</v>
      </c>
      <c r="E265">
        <f>modif1!E265</f>
        <v>11</v>
      </c>
      <c r="F265" t="str">
        <f>modif1!F265</f>
        <v>LES CAZALAS</v>
      </c>
      <c r="G265" t="str">
        <f>modif1!G265</f>
        <v>0B</v>
      </c>
      <c r="H265">
        <f>modif1!H265</f>
        <v>1168</v>
      </c>
      <c r="I265" t="str">
        <f>modif1!I265</f>
        <v/>
      </c>
      <c r="J265" s="11">
        <f>modif1!J265</f>
        <v>0.40799999999999997</v>
      </c>
      <c r="K265" t="str">
        <f>modif1!K265</f>
        <v>PLA</v>
      </c>
      <c r="L265" t="str">
        <f>modif1!L265</f>
        <v>PM</v>
      </c>
      <c r="M265">
        <f>modif1!M265</f>
        <v>2006</v>
      </c>
      <c r="N265" t="str">
        <f>modif1!N265</f>
        <v>PLA-PM_2006</v>
      </c>
      <c r="O265" t="b">
        <f>modif1!O265</f>
        <v>0</v>
      </c>
      <c r="P265">
        <v>40</v>
      </c>
      <c r="Q265" s="22"/>
      <c r="R265" t="s">
        <v>1804</v>
      </c>
      <c r="V265" t="s">
        <v>1805</v>
      </c>
      <c r="Z265" t="s">
        <v>1806</v>
      </c>
      <c r="AA265" s="17">
        <f>IF($A265,$J265*(IF(Q265=regle!$B$11,regle!$B$23*IF(AJ265=-2,1+regle!$B$35,1),
IF(Q265=regle!$C$11,regle!$C$23,
IF(Q265=regle!$D$11,regle!$D$23,
IF(Q265=regle!$E$11,regle!$E$23,
IF(Q265=regle!$F$11,regle!$F$23,
IF(Q265=regle!$G$11,regle!$G$23,
IF(Q265=regle!$H$11,regle!$H$23,
IF(Q265=regle!$I$11,regle!$I$23,
IF(Q265=regle!$J$11,regle!$J$23,
IF(Q265=regle!$K$11,regle!$K$23,0))))))))))))</f>
        <v>0</v>
      </c>
      <c r="AB265" s="17">
        <f>IF($A265,$J265*(IF(R265=regle!$B$11,regle!$B$23*IF(AK265=-2,1+regle!$B$35,1),
IF(R265=regle!$C$11,regle!$C$23,
IF(R265=regle!$D$11,regle!$D$23,
IF(R265=regle!$E$11,regle!$E$23,
IF(R265=regle!$F$11,regle!$F$23,
IF(R265=regle!$G$11,regle!$G$23,
IF(R265=regle!$H$11,regle!$H$23,
IF(R265=regle!$I$11,regle!$I$23,
IF(R265=regle!$J$11,regle!$J$23,
IF(R265=regle!$K$11,regle!$K$23,0))))))))))))</f>
        <v>342.71999999999997</v>
      </c>
      <c r="AC265" s="17">
        <f>IF($A265,$J265*(IF(S265=regle!$B$11,regle!$B$23*IF(AL265=-2,1+regle!$B$35,1),
IF(S265=regle!$C$11,regle!$C$23,
IF(S265=regle!$D$11,regle!$D$23,
IF(S265=regle!$E$11,regle!$E$23,
IF(S265=regle!$F$11,regle!$F$23,
IF(S265=regle!$G$11,regle!$G$23,
IF(S265=regle!$H$11,regle!$H$23,
IF(S265=regle!$I$11,regle!$I$23,
IF(S265=regle!$J$11,regle!$J$23,
IF(S265=regle!$K$11,regle!$K$23,0))))))))))))</f>
        <v>0</v>
      </c>
      <c r="AD265" s="17">
        <f>IF($A265,$J265*(IF(T265=regle!$B$11,regle!$B$23*IF(AM265=-2,1+regle!$B$35,1),
IF(T265=regle!$C$11,regle!$C$23,
IF(T265=regle!$D$11,regle!$D$23,
IF(T265=regle!$E$11,regle!$E$23,
IF(T265=regle!$F$11,regle!$F$23,
IF(T265=regle!$G$11,regle!$G$23,
IF(T265=regle!$H$11,regle!$H$23,
IF(T265=regle!$I$11,regle!$I$23,
IF(T265=regle!$J$11,regle!$J$23,
IF(T265=regle!$K$11,regle!$K$23,0))))))))))))</f>
        <v>0</v>
      </c>
      <c r="AE265" s="17">
        <f>IF($A265,$J265*(IF(U265=regle!$B$11,regle!$B$23*IF(AN265=-2,1+regle!$B$35,1),
IF(U265=regle!$C$11,regle!$C$23,
IF(U265=regle!$D$11,regle!$D$23,
IF(U265=regle!$E$11,regle!$E$23,
IF(U265=regle!$F$11,regle!$F$23,
IF(U265=regle!$G$11,regle!$G$23,
IF(U265=regle!$H$11,regle!$H$23,
IF(U265=regle!$I$11,regle!$I$23,
IF(U265=regle!$J$11,regle!$J$23,
IF(U265=regle!$K$11,regle!$K$23,0))))))))))))</f>
        <v>0</v>
      </c>
      <c r="AF265" s="17">
        <f>IF($A265,$J265*(IF(V265=regle!$B$11,regle!$B$23*IF(AO265=-2,1+regle!$B$35,1),
IF(V265=regle!$C$11,regle!$C$23,
IF(V265=regle!$D$11,regle!$D$23,
IF(V265=regle!$E$11,regle!$E$23,
IF(V265=regle!$F$11,regle!$F$23,
IF(V265=regle!$G$11,regle!$G$23,
IF(V265=regle!$H$11,regle!$H$23,
IF(V265=regle!$I$11,regle!$I$23,
IF(V265=regle!$J$11,regle!$J$23,
IF(V265=regle!$K$11,regle!$K$23,0))))))))))))</f>
        <v>574.46399999999994</v>
      </c>
      <c r="AG265" s="17">
        <f>IF($A265,$J265*(IF(W265=regle!$B$11,regle!$B$23*IF(AP265=-2,1+regle!$B$35,1),
IF(W265=regle!$C$11,regle!$C$23,
IF(W265=regle!$D$11,regle!$D$23,
IF(W265=regle!$E$11,regle!$E$23,
IF(W265=regle!$F$11,regle!$F$23,
IF(W265=regle!$G$11,regle!$G$23,
IF(W265=regle!$H$11,regle!$H$23,
IF(W265=regle!$I$11,regle!$I$23,
IF(W265=regle!$J$11,regle!$J$23,
IF(W265=regle!$K$11,regle!$K$23,0))))))))))))</f>
        <v>0</v>
      </c>
      <c r="AH265" s="17">
        <f>IF($A265,$J265*(IF(X265=regle!$B$11,regle!$B$23*IF(AQ265=-2,1+regle!$B$35,1),
IF(X265=regle!$C$11,regle!$C$23,
IF(X265=regle!$D$11,regle!$D$23,
IF(X265=regle!$E$11,regle!$E$23,
IF(X265=regle!$F$11,regle!$F$23,
IF(X265=regle!$G$11,regle!$G$23,
IF(X265=regle!$H$11,regle!$H$23,
IF(X265=regle!$I$11,regle!$I$23,
IF(X265=regle!$J$11,regle!$J$23,
IF(X265=regle!$K$11,regle!$K$23,0))))))))))))</f>
        <v>0</v>
      </c>
      <c r="AI265" s="17">
        <f>IF($A265,$J265*(IF(Y265=regle!$B$11,regle!$B$23*IF(AR265=-2,1+regle!$B$35,1),
IF(Y265=regle!$C$11,regle!$C$23,
IF(Y265=regle!$D$11,regle!$D$23,
IF(Y265=regle!$E$11,regle!$E$23,
IF(Y265=regle!$F$11,regle!$F$23,
IF(Y265=regle!$G$11,regle!$G$23,
IF(Y265=regle!$H$11,regle!$H$23,
IF(Y265=regle!$I$11,regle!$I$23,
IF(Y265=regle!$J$11,regle!$J$23,
IF(Y265=regle!$K$11,regle!$K$23,0))))))))))))</f>
        <v>0</v>
      </c>
      <c r="AJ265" s="17">
        <f>IF($A265,$J265*(IF(Z265=regle!$B$11,regle!$B$23*IF(AS265=-2,1+regle!$B$35,1),
IF(Z265=regle!$C$11,regle!$C$23,
IF(Z265=regle!$D$11,regle!$D$23,
IF(Z265=regle!$E$11,regle!$E$23,
IF(Z265=regle!$F$11,regle!$F$23,
IF(Z265=regle!$G$11,regle!$G$23,
IF(Z265=regle!$H$11,regle!$H$23,
IF(Z265=regle!$I$11,regle!$I$23,
IF(Z265=regle!$J$11,regle!$J$23,
IF(Z265=regle!$K$11,regle!$K$23,0))))))))))))</f>
        <v>522.24</v>
      </c>
      <c r="AK265" s="16">
        <f>IF(OR(Q265=regle!$J$11,Q265=regle!$K$11),-2,IF(Q265=regle!$B$11,0,IF(AK$1=$AK$1,IF($O265,-1,regle!$B$2-$M265),IF(AJ265=-1,-1,AJ265+1))))</f>
        <v>18</v>
      </c>
      <c r="AL265" s="16">
        <f>IF(OR(R265=regle!$J$11,R265=regle!$K$11),-2,IF(R265=regle!$B$11,0,IF(AL$1=$AK$1,IF($O265,-1,regle!$B$2-$M265),IF(AK265=-1,-1,AK265+1))))</f>
        <v>19</v>
      </c>
      <c r="AM265" s="16">
        <f>IF(OR(S265=regle!$J$11,S265=regle!$K$11),-2,IF(S265=regle!$B$11,0,IF(AM$1=$AK$1,IF($O265,-1,regle!$B$2-$M265),IF(AL265=-1,-1,AL265+1))))</f>
        <v>20</v>
      </c>
      <c r="AN265" s="16">
        <f>IF(OR(T265=regle!$J$11,T265=regle!$K$11),-2,IF(T265=regle!$B$11,0,IF(AN$1=$AK$1,IF($O265,-1,regle!$B$2-$M265),IF(AM265=-1,-1,AM265+1))))</f>
        <v>21</v>
      </c>
      <c r="AO265" s="16">
        <f>IF(OR(U265=regle!$J$11,U265=regle!$K$11),-2,IF(U265=regle!$B$11,0,IF(AO$1=$AK$1,IF($O265,-1,regle!$B$2-$M265),IF(AN265=-1,-1,AN265+1))))</f>
        <v>22</v>
      </c>
      <c r="AP265" s="16">
        <f>IF(OR(V265=regle!$J$11,V265=regle!$K$11),-2,IF(V265=regle!$B$11,0,IF(AP$1=$AK$1,IF($O265,-1,regle!$B$2-$M265),IF(AO265=-1,-1,AO265+1))))</f>
        <v>23</v>
      </c>
      <c r="AQ265" s="16">
        <f>IF(OR(W265=regle!$J$11,W265=regle!$K$11),-2,IF(W265=regle!$B$11,0,IF(AQ$1=$AK$1,IF($O265,-1,regle!$B$2-$M265),IF(AP265=-1,-1,AP265+1))))</f>
        <v>24</v>
      </c>
      <c r="AR265" s="16">
        <f>IF(OR(X265=regle!$J$11,X265=regle!$K$11),-2,IF(X265=regle!$B$11,0,IF(AR$1=$AK$1,IF($O265,-1,regle!$B$2-$M265),IF(AQ265=-1,-1,AQ265+1))))</f>
        <v>25</v>
      </c>
      <c r="AS265" s="16">
        <f>IF(OR(Y265=regle!$J$11,Y265=regle!$K$11),-2,IF(Y265=regle!$B$11,0,IF(AS$1=$AK$1,IF($O265,-1,regle!$B$2-$M265),IF(AR265=-1,-1,AR265+1))))</f>
        <v>26</v>
      </c>
      <c r="AT265" s="16">
        <f>IF(OR(Z265=regle!$J$11,Z265=regle!$K$11),-2,IF(Z265=regle!$B$11,0,IF(AT$1=$AK$1,IF($O265,-1,regle!$B$2-$M265),IF(AS265=-1,-1,AS265+1))))</f>
        <v>27</v>
      </c>
    </row>
    <row r="266" spans="1:46" x14ac:dyDescent="0.25">
      <c r="A266" t="b">
        <f>modif1!A266</f>
        <v>1</v>
      </c>
      <c r="B266">
        <f>ROW(modif1!B266)</f>
        <v>266</v>
      </c>
      <c r="C266" t="str">
        <f>modif1!C269</f>
        <v>202</v>
      </c>
      <c r="D266" t="str">
        <f>modif1!D266</f>
        <v>HOSTENS</v>
      </c>
      <c r="E266">
        <f>modif1!E266</f>
        <v>11</v>
      </c>
      <c r="F266" t="str">
        <f>modif1!F266</f>
        <v>LES CAZALAS</v>
      </c>
      <c r="G266" t="str">
        <f>modif1!G266</f>
        <v>0B</v>
      </c>
      <c r="H266">
        <f>modif1!H266</f>
        <v>1175</v>
      </c>
      <c r="I266" t="str">
        <f>modif1!I266</f>
        <v/>
      </c>
      <c r="J266" s="11">
        <f>modif1!J266</f>
        <v>0.35199999999999998</v>
      </c>
      <c r="K266" t="str">
        <f>modif1!K266</f>
        <v>PLA</v>
      </c>
      <c r="L266" t="str">
        <f>modif1!L266</f>
        <v>PM</v>
      </c>
      <c r="M266">
        <f>modif1!M266</f>
        <v>2006</v>
      </c>
      <c r="N266" t="str">
        <f>modif1!N266</f>
        <v>PLA-PM_2006</v>
      </c>
      <c r="O266" t="b">
        <f>modif1!O266</f>
        <v>0</v>
      </c>
      <c r="P266">
        <v>40</v>
      </c>
      <c r="Q266" s="22"/>
      <c r="R266" t="s">
        <v>1804</v>
      </c>
      <c r="V266" t="s">
        <v>1805</v>
      </c>
      <c r="Z266" t="s">
        <v>1806</v>
      </c>
      <c r="AA266" s="17">
        <f>IF($A266,$J266*(IF(Q266=regle!$B$11,regle!$B$23*IF(AJ266=-2,1+regle!$B$35,1),
IF(Q266=regle!$C$11,regle!$C$23,
IF(Q266=regle!$D$11,regle!$D$23,
IF(Q266=regle!$E$11,regle!$E$23,
IF(Q266=regle!$F$11,regle!$F$23,
IF(Q266=regle!$G$11,regle!$G$23,
IF(Q266=regle!$H$11,regle!$H$23,
IF(Q266=regle!$I$11,regle!$I$23,
IF(Q266=regle!$J$11,regle!$J$23,
IF(Q266=regle!$K$11,regle!$K$23,0))))))))))))</f>
        <v>0</v>
      </c>
      <c r="AB266" s="17">
        <f>IF($A266,$J266*(IF(R266=regle!$B$11,regle!$B$23*IF(AK266=-2,1+regle!$B$35,1),
IF(R266=regle!$C$11,regle!$C$23,
IF(R266=regle!$D$11,regle!$D$23,
IF(R266=regle!$E$11,regle!$E$23,
IF(R266=regle!$F$11,regle!$F$23,
IF(R266=regle!$G$11,regle!$G$23,
IF(R266=regle!$H$11,regle!$H$23,
IF(R266=regle!$I$11,regle!$I$23,
IF(R266=regle!$J$11,regle!$J$23,
IF(R266=regle!$K$11,regle!$K$23,0))))))))))))</f>
        <v>295.68</v>
      </c>
      <c r="AC266" s="17">
        <f>IF($A266,$J266*(IF(S266=regle!$B$11,regle!$B$23*IF(AL266=-2,1+regle!$B$35,1),
IF(S266=regle!$C$11,regle!$C$23,
IF(S266=regle!$D$11,regle!$D$23,
IF(S266=regle!$E$11,regle!$E$23,
IF(S266=regle!$F$11,regle!$F$23,
IF(S266=regle!$G$11,regle!$G$23,
IF(S266=regle!$H$11,regle!$H$23,
IF(S266=regle!$I$11,regle!$I$23,
IF(S266=regle!$J$11,regle!$J$23,
IF(S266=regle!$K$11,regle!$K$23,0))))))))))))</f>
        <v>0</v>
      </c>
      <c r="AD266" s="17">
        <f>IF($A266,$J266*(IF(T266=regle!$B$11,regle!$B$23*IF(AM266=-2,1+regle!$B$35,1),
IF(T266=regle!$C$11,regle!$C$23,
IF(T266=regle!$D$11,regle!$D$23,
IF(T266=regle!$E$11,regle!$E$23,
IF(T266=regle!$F$11,regle!$F$23,
IF(T266=regle!$G$11,regle!$G$23,
IF(T266=regle!$H$11,regle!$H$23,
IF(T266=regle!$I$11,regle!$I$23,
IF(T266=regle!$J$11,regle!$J$23,
IF(T266=regle!$K$11,regle!$K$23,0))))))))))))</f>
        <v>0</v>
      </c>
      <c r="AE266" s="17">
        <f>IF($A266,$J266*(IF(U266=regle!$B$11,regle!$B$23*IF(AN266=-2,1+regle!$B$35,1),
IF(U266=regle!$C$11,regle!$C$23,
IF(U266=regle!$D$11,regle!$D$23,
IF(U266=regle!$E$11,regle!$E$23,
IF(U266=regle!$F$11,regle!$F$23,
IF(U266=regle!$G$11,regle!$G$23,
IF(U266=regle!$H$11,regle!$H$23,
IF(U266=regle!$I$11,regle!$I$23,
IF(U266=regle!$J$11,regle!$J$23,
IF(U266=regle!$K$11,regle!$K$23,0))))))))))))</f>
        <v>0</v>
      </c>
      <c r="AF266" s="17">
        <f>IF($A266,$J266*(IF(V266=regle!$B$11,regle!$B$23*IF(AO266=-2,1+regle!$B$35,1),
IF(V266=regle!$C$11,regle!$C$23,
IF(V266=regle!$D$11,regle!$D$23,
IF(V266=regle!$E$11,regle!$E$23,
IF(V266=regle!$F$11,regle!$F$23,
IF(V266=regle!$G$11,regle!$G$23,
IF(V266=regle!$H$11,regle!$H$23,
IF(V266=regle!$I$11,regle!$I$23,
IF(V266=regle!$J$11,regle!$J$23,
IF(V266=regle!$K$11,regle!$K$23,0))))))))))))</f>
        <v>495.61599999999999</v>
      </c>
      <c r="AG266" s="17">
        <f>IF($A266,$J266*(IF(W266=regle!$B$11,regle!$B$23*IF(AP266=-2,1+regle!$B$35,1),
IF(W266=regle!$C$11,regle!$C$23,
IF(W266=regle!$D$11,regle!$D$23,
IF(W266=regle!$E$11,regle!$E$23,
IF(W266=regle!$F$11,regle!$F$23,
IF(W266=regle!$G$11,regle!$G$23,
IF(W266=regle!$H$11,regle!$H$23,
IF(W266=regle!$I$11,regle!$I$23,
IF(W266=regle!$J$11,regle!$J$23,
IF(W266=regle!$K$11,regle!$K$23,0))))))))))))</f>
        <v>0</v>
      </c>
      <c r="AH266" s="17">
        <f>IF($A266,$J266*(IF(X266=regle!$B$11,regle!$B$23*IF(AQ266=-2,1+regle!$B$35,1),
IF(X266=regle!$C$11,regle!$C$23,
IF(X266=regle!$D$11,regle!$D$23,
IF(X266=regle!$E$11,regle!$E$23,
IF(X266=regle!$F$11,regle!$F$23,
IF(X266=regle!$G$11,regle!$G$23,
IF(X266=regle!$H$11,regle!$H$23,
IF(X266=regle!$I$11,regle!$I$23,
IF(X266=regle!$J$11,regle!$J$23,
IF(X266=regle!$K$11,regle!$K$23,0))))))))))))</f>
        <v>0</v>
      </c>
      <c r="AI266" s="17">
        <f>IF($A266,$J266*(IF(Y266=regle!$B$11,regle!$B$23*IF(AR266=-2,1+regle!$B$35,1),
IF(Y266=regle!$C$11,regle!$C$23,
IF(Y266=regle!$D$11,regle!$D$23,
IF(Y266=regle!$E$11,regle!$E$23,
IF(Y266=regle!$F$11,regle!$F$23,
IF(Y266=regle!$G$11,regle!$G$23,
IF(Y266=regle!$H$11,regle!$H$23,
IF(Y266=regle!$I$11,regle!$I$23,
IF(Y266=regle!$J$11,regle!$J$23,
IF(Y266=regle!$K$11,regle!$K$23,0))))))))))))</f>
        <v>0</v>
      </c>
      <c r="AJ266" s="17">
        <f>IF($A266,$J266*(IF(Z266=regle!$B$11,regle!$B$23*IF(AS266=-2,1+regle!$B$35,1),
IF(Z266=regle!$C$11,regle!$C$23,
IF(Z266=regle!$D$11,regle!$D$23,
IF(Z266=regle!$E$11,regle!$E$23,
IF(Z266=regle!$F$11,regle!$F$23,
IF(Z266=regle!$G$11,regle!$G$23,
IF(Z266=regle!$H$11,regle!$H$23,
IF(Z266=regle!$I$11,regle!$I$23,
IF(Z266=regle!$J$11,regle!$J$23,
IF(Z266=regle!$K$11,regle!$K$23,0))))))))))))</f>
        <v>450.55999999999995</v>
      </c>
      <c r="AK266" s="16">
        <f>IF(OR(Q266=regle!$J$11,Q266=regle!$K$11),-2,IF(Q266=regle!$B$11,0,IF(AK$1=$AK$1,IF($O266,-1,regle!$B$2-$M266),IF(AJ266=-1,-1,AJ266+1))))</f>
        <v>18</v>
      </c>
      <c r="AL266" s="16">
        <f>IF(OR(R266=regle!$J$11,R266=regle!$K$11),-2,IF(R266=regle!$B$11,0,IF(AL$1=$AK$1,IF($O266,-1,regle!$B$2-$M266),IF(AK266=-1,-1,AK266+1))))</f>
        <v>19</v>
      </c>
      <c r="AM266" s="16">
        <f>IF(OR(S266=regle!$J$11,S266=regle!$K$11),-2,IF(S266=regle!$B$11,0,IF(AM$1=$AK$1,IF($O266,-1,regle!$B$2-$M266),IF(AL266=-1,-1,AL266+1))))</f>
        <v>20</v>
      </c>
      <c r="AN266" s="16">
        <f>IF(OR(T266=regle!$J$11,T266=regle!$K$11),-2,IF(T266=regle!$B$11,0,IF(AN$1=$AK$1,IF($O266,-1,regle!$B$2-$M266),IF(AM266=-1,-1,AM266+1))))</f>
        <v>21</v>
      </c>
      <c r="AO266" s="16">
        <f>IF(OR(U266=regle!$J$11,U266=regle!$K$11),-2,IF(U266=regle!$B$11,0,IF(AO$1=$AK$1,IF($O266,-1,regle!$B$2-$M266),IF(AN266=-1,-1,AN266+1))))</f>
        <v>22</v>
      </c>
      <c r="AP266" s="16">
        <f>IF(OR(V266=regle!$J$11,V266=regle!$K$11),-2,IF(V266=regle!$B$11,0,IF(AP$1=$AK$1,IF($O266,-1,regle!$B$2-$M266),IF(AO266=-1,-1,AO266+1))))</f>
        <v>23</v>
      </c>
      <c r="AQ266" s="16">
        <f>IF(OR(W266=regle!$J$11,W266=regle!$K$11),-2,IF(W266=regle!$B$11,0,IF(AQ$1=$AK$1,IF($O266,-1,regle!$B$2-$M266),IF(AP266=-1,-1,AP266+1))))</f>
        <v>24</v>
      </c>
      <c r="AR266" s="16">
        <f>IF(OR(X266=regle!$J$11,X266=regle!$K$11),-2,IF(X266=regle!$B$11,0,IF(AR$1=$AK$1,IF($O266,-1,regle!$B$2-$M266),IF(AQ266=-1,-1,AQ266+1))))</f>
        <v>25</v>
      </c>
      <c r="AS266" s="16">
        <f>IF(OR(Y266=regle!$J$11,Y266=regle!$K$11),-2,IF(Y266=regle!$B$11,0,IF(AS$1=$AK$1,IF($O266,-1,regle!$B$2-$M266),IF(AR266=-1,-1,AR266+1))))</f>
        <v>26</v>
      </c>
      <c r="AT266" s="16">
        <f>IF(OR(Z266=regle!$J$11,Z266=regle!$K$11),-2,IF(Z266=regle!$B$11,0,IF(AT$1=$AK$1,IF($O266,-1,regle!$B$2-$M266),IF(AS266=-1,-1,AS266+1))))</f>
        <v>27</v>
      </c>
    </row>
    <row r="267" spans="1:46" x14ac:dyDescent="0.25">
      <c r="A267" t="b">
        <f>modif1!A267</f>
        <v>1</v>
      </c>
      <c r="B267">
        <f>ROW(modif1!B267)</f>
        <v>267</v>
      </c>
      <c r="C267" t="str">
        <f>modif1!C270</f>
        <v>202</v>
      </c>
      <c r="D267" t="str">
        <f>modif1!D267</f>
        <v>HOSTENS</v>
      </c>
      <c r="E267">
        <f>modif1!E267</f>
        <v>11</v>
      </c>
      <c r="F267" t="str">
        <f>modif1!F267</f>
        <v>LES CAZALAS</v>
      </c>
      <c r="G267" t="str">
        <f>modif1!G267</f>
        <v>0B</v>
      </c>
      <c r="H267">
        <f>modif1!H267</f>
        <v>1169</v>
      </c>
      <c r="I267" t="str">
        <f>modif1!I267</f>
        <v/>
      </c>
      <c r="J267" s="11">
        <f>modif1!J267</f>
        <v>0.33600000000000002</v>
      </c>
      <c r="K267" t="str">
        <f>modif1!K267</f>
        <v>PLA</v>
      </c>
      <c r="L267" t="str">
        <f>modif1!L267</f>
        <v>PM</v>
      </c>
      <c r="M267">
        <f>modif1!M267</f>
        <v>2006</v>
      </c>
      <c r="N267" t="str">
        <f>modif1!N267</f>
        <v>PLA-PM_2006</v>
      </c>
      <c r="O267" t="b">
        <f>modif1!O267</f>
        <v>0</v>
      </c>
      <c r="P267">
        <v>40</v>
      </c>
      <c r="Q267" s="22"/>
      <c r="R267" t="s">
        <v>1804</v>
      </c>
      <c r="V267" t="s">
        <v>1805</v>
      </c>
      <c r="Z267" t="s">
        <v>1806</v>
      </c>
      <c r="AA267" s="17">
        <f>IF($A267,$J267*(IF(Q267=regle!$B$11,regle!$B$23*IF(AJ267=-2,1+regle!$B$35,1),
IF(Q267=regle!$C$11,regle!$C$23,
IF(Q267=regle!$D$11,regle!$D$23,
IF(Q267=regle!$E$11,regle!$E$23,
IF(Q267=regle!$F$11,regle!$F$23,
IF(Q267=regle!$G$11,regle!$G$23,
IF(Q267=regle!$H$11,regle!$H$23,
IF(Q267=regle!$I$11,regle!$I$23,
IF(Q267=regle!$J$11,regle!$J$23,
IF(Q267=regle!$K$11,regle!$K$23,0))))))))))))</f>
        <v>0</v>
      </c>
      <c r="AB267" s="17">
        <f>IF($A267,$J267*(IF(R267=regle!$B$11,regle!$B$23*IF(AK267=-2,1+regle!$B$35,1),
IF(R267=regle!$C$11,regle!$C$23,
IF(R267=regle!$D$11,regle!$D$23,
IF(R267=regle!$E$11,regle!$E$23,
IF(R267=regle!$F$11,regle!$F$23,
IF(R267=regle!$G$11,regle!$G$23,
IF(R267=regle!$H$11,regle!$H$23,
IF(R267=regle!$I$11,regle!$I$23,
IF(R267=regle!$J$11,regle!$J$23,
IF(R267=regle!$K$11,regle!$K$23,0))))))))))))</f>
        <v>282.24</v>
      </c>
      <c r="AC267" s="17">
        <f>IF($A267,$J267*(IF(S267=regle!$B$11,regle!$B$23*IF(AL267=-2,1+regle!$B$35,1),
IF(S267=regle!$C$11,regle!$C$23,
IF(S267=regle!$D$11,regle!$D$23,
IF(S267=regle!$E$11,regle!$E$23,
IF(S267=regle!$F$11,regle!$F$23,
IF(S267=regle!$G$11,regle!$G$23,
IF(S267=regle!$H$11,regle!$H$23,
IF(S267=regle!$I$11,regle!$I$23,
IF(S267=regle!$J$11,regle!$J$23,
IF(S267=regle!$K$11,regle!$K$23,0))))))))))))</f>
        <v>0</v>
      </c>
      <c r="AD267" s="17">
        <f>IF($A267,$J267*(IF(T267=regle!$B$11,regle!$B$23*IF(AM267=-2,1+regle!$B$35,1),
IF(T267=regle!$C$11,regle!$C$23,
IF(T267=regle!$D$11,regle!$D$23,
IF(T267=regle!$E$11,regle!$E$23,
IF(T267=regle!$F$11,regle!$F$23,
IF(T267=regle!$G$11,regle!$G$23,
IF(T267=regle!$H$11,regle!$H$23,
IF(T267=regle!$I$11,regle!$I$23,
IF(T267=regle!$J$11,regle!$J$23,
IF(T267=regle!$K$11,regle!$K$23,0))))))))))))</f>
        <v>0</v>
      </c>
      <c r="AE267" s="17">
        <f>IF($A267,$J267*(IF(U267=regle!$B$11,regle!$B$23*IF(AN267=-2,1+regle!$B$35,1),
IF(U267=regle!$C$11,regle!$C$23,
IF(U267=regle!$D$11,regle!$D$23,
IF(U267=regle!$E$11,regle!$E$23,
IF(U267=regle!$F$11,regle!$F$23,
IF(U267=regle!$G$11,regle!$G$23,
IF(U267=regle!$H$11,regle!$H$23,
IF(U267=regle!$I$11,regle!$I$23,
IF(U267=regle!$J$11,regle!$J$23,
IF(U267=regle!$K$11,regle!$K$23,0))))))))))))</f>
        <v>0</v>
      </c>
      <c r="AF267" s="17">
        <f>IF($A267,$J267*(IF(V267=regle!$B$11,regle!$B$23*IF(AO267=-2,1+regle!$B$35,1),
IF(V267=regle!$C$11,regle!$C$23,
IF(V267=regle!$D$11,regle!$D$23,
IF(V267=regle!$E$11,regle!$E$23,
IF(V267=regle!$F$11,regle!$F$23,
IF(V267=regle!$G$11,regle!$G$23,
IF(V267=regle!$H$11,regle!$H$23,
IF(V267=regle!$I$11,regle!$I$23,
IF(V267=regle!$J$11,regle!$J$23,
IF(V267=regle!$K$11,regle!$K$23,0))))))))))))</f>
        <v>473.08800000000002</v>
      </c>
      <c r="AG267" s="17">
        <f>IF($A267,$J267*(IF(W267=regle!$B$11,regle!$B$23*IF(AP267=-2,1+regle!$B$35,1),
IF(W267=regle!$C$11,regle!$C$23,
IF(W267=regle!$D$11,regle!$D$23,
IF(W267=regle!$E$11,regle!$E$23,
IF(W267=regle!$F$11,regle!$F$23,
IF(W267=regle!$G$11,regle!$G$23,
IF(W267=regle!$H$11,regle!$H$23,
IF(W267=regle!$I$11,regle!$I$23,
IF(W267=regle!$J$11,regle!$J$23,
IF(W267=regle!$K$11,regle!$K$23,0))))))))))))</f>
        <v>0</v>
      </c>
      <c r="AH267" s="17">
        <f>IF($A267,$J267*(IF(X267=regle!$B$11,regle!$B$23*IF(AQ267=-2,1+regle!$B$35,1),
IF(X267=regle!$C$11,regle!$C$23,
IF(X267=regle!$D$11,regle!$D$23,
IF(X267=regle!$E$11,regle!$E$23,
IF(X267=regle!$F$11,regle!$F$23,
IF(X267=regle!$G$11,regle!$G$23,
IF(X267=regle!$H$11,regle!$H$23,
IF(X267=regle!$I$11,regle!$I$23,
IF(X267=regle!$J$11,regle!$J$23,
IF(X267=regle!$K$11,regle!$K$23,0))))))))))))</f>
        <v>0</v>
      </c>
      <c r="AI267" s="17">
        <f>IF($A267,$J267*(IF(Y267=regle!$B$11,regle!$B$23*IF(AR267=-2,1+regle!$B$35,1),
IF(Y267=regle!$C$11,regle!$C$23,
IF(Y267=regle!$D$11,regle!$D$23,
IF(Y267=regle!$E$11,regle!$E$23,
IF(Y267=regle!$F$11,regle!$F$23,
IF(Y267=regle!$G$11,regle!$G$23,
IF(Y267=regle!$H$11,regle!$H$23,
IF(Y267=regle!$I$11,regle!$I$23,
IF(Y267=regle!$J$11,regle!$J$23,
IF(Y267=regle!$K$11,regle!$K$23,0))))))))))))</f>
        <v>0</v>
      </c>
      <c r="AJ267" s="17">
        <f>IF($A267,$J267*(IF(Z267=regle!$B$11,regle!$B$23*IF(AS267=-2,1+regle!$B$35,1),
IF(Z267=regle!$C$11,regle!$C$23,
IF(Z267=regle!$D$11,regle!$D$23,
IF(Z267=regle!$E$11,regle!$E$23,
IF(Z267=regle!$F$11,regle!$F$23,
IF(Z267=regle!$G$11,regle!$G$23,
IF(Z267=regle!$H$11,regle!$H$23,
IF(Z267=regle!$I$11,regle!$I$23,
IF(Z267=regle!$J$11,regle!$J$23,
IF(Z267=regle!$K$11,regle!$K$23,0))))))))))))</f>
        <v>430.08000000000004</v>
      </c>
      <c r="AK267" s="16">
        <f>IF(OR(Q267=regle!$J$11,Q267=regle!$K$11),-2,IF(Q267=regle!$B$11,0,IF(AK$1=$AK$1,IF($O267,-1,regle!$B$2-$M267),IF(AJ267=-1,-1,AJ267+1))))</f>
        <v>18</v>
      </c>
      <c r="AL267" s="16">
        <f>IF(OR(R267=regle!$J$11,R267=regle!$K$11),-2,IF(R267=regle!$B$11,0,IF(AL$1=$AK$1,IF($O267,-1,regle!$B$2-$M267),IF(AK267=-1,-1,AK267+1))))</f>
        <v>19</v>
      </c>
      <c r="AM267" s="16">
        <f>IF(OR(S267=regle!$J$11,S267=regle!$K$11),-2,IF(S267=regle!$B$11,0,IF(AM$1=$AK$1,IF($O267,-1,regle!$B$2-$M267),IF(AL267=-1,-1,AL267+1))))</f>
        <v>20</v>
      </c>
      <c r="AN267" s="16">
        <f>IF(OR(T267=regle!$J$11,T267=regle!$K$11),-2,IF(T267=regle!$B$11,0,IF(AN$1=$AK$1,IF($O267,-1,regle!$B$2-$M267),IF(AM267=-1,-1,AM267+1))))</f>
        <v>21</v>
      </c>
      <c r="AO267" s="16">
        <f>IF(OR(U267=regle!$J$11,U267=regle!$K$11),-2,IF(U267=regle!$B$11,0,IF(AO$1=$AK$1,IF($O267,-1,regle!$B$2-$M267),IF(AN267=-1,-1,AN267+1))))</f>
        <v>22</v>
      </c>
      <c r="AP267" s="16">
        <f>IF(OR(V267=regle!$J$11,V267=regle!$K$11),-2,IF(V267=regle!$B$11,0,IF(AP$1=$AK$1,IF($O267,-1,regle!$B$2-$M267),IF(AO267=-1,-1,AO267+1))))</f>
        <v>23</v>
      </c>
      <c r="AQ267" s="16">
        <f>IF(OR(W267=regle!$J$11,W267=regle!$K$11),-2,IF(W267=regle!$B$11,0,IF(AQ$1=$AK$1,IF($O267,-1,regle!$B$2-$M267),IF(AP267=-1,-1,AP267+1))))</f>
        <v>24</v>
      </c>
      <c r="AR267" s="16">
        <f>IF(OR(X267=regle!$J$11,X267=regle!$K$11),-2,IF(X267=regle!$B$11,0,IF(AR$1=$AK$1,IF($O267,-1,regle!$B$2-$M267),IF(AQ267=-1,-1,AQ267+1))))</f>
        <v>25</v>
      </c>
      <c r="AS267" s="16">
        <f>IF(OR(Y267=regle!$J$11,Y267=regle!$K$11),-2,IF(Y267=regle!$B$11,0,IF(AS$1=$AK$1,IF($O267,-1,regle!$B$2-$M267),IF(AR267=-1,-1,AR267+1))))</f>
        <v>26</v>
      </c>
      <c r="AT267" s="16">
        <f>IF(OR(Z267=regle!$J$11,Z267=regle!$K$11),-2,IF(Z267=regle!$B$11,0,IF(AT$1=$AK$1,IF($O267,-1,regle!$B$2-$M267),IF(AS267=-1,-1,AS267+1))))</f>
        <v>27</v>
      </c>
    </row>
    <row r="268" spans="1:46" x14ac:dyDescent="0.25">
      <c r="A268" t="b">
        <f>modif1!A268</f>
        <v>1</v>
      </c>
      <c r="B268">
        <f>ROW(modif1!B268)</f>
        <v>268</v>
      </c>
      <c r="C268" t="str">
        <f>modif1!C271</f>
        <v>202</v>
      </c>
      <c r="D268" t="str">
        <f>modif1!D268</f>
        <v>HOSTENS</v>
      </c>
      <c r="E268">
        <f>modif1!E268</f>
        <v>11</v>
      </c>
      <c r="F268" t="str">
        <f>modif1!F268</f>
        <v>LES CAZALAS</v>
      </c>
      <c r="G268" t="str">
        <f>modif1!G268</f>
        <v>0B</v>
      </c>
      <c r="H268">
        <f>modif1!H268</f>
        <v>1160</v>
      </c>
      <c r="I268" t="str">
        <f>modif1!I268</f>
        <v>j</v>
      </c>
      <c r="J268" s="11">
        <f>modif1!J268</f>
        <v>0.30790000000000001</v>
      </c>
      <c r="K268" t="str">
        <f>modif1!K268</f>
        <v>PLA</v>
      </c>
      <c r="L268" t="str">
        <f>modif1!L268</f>
        <v>PM</v>
      </c>
      <c r="M268">
        <f>modif1!M268</f>
        <v>2006</v>
      </c>
      <c r="N268" t="str">
        <f>modif1!N268</f>
        <v>PLA-PM_2006</v>
      </c>
      <c r="O268" t="b">
        <f>modif1!O268</f>
        <v>0</v>
      </c>
      <c r="P268">
        <v>40</v>
      </c>
      <c r="Q268" s="22"/>
      <c r="R268" t="s">
        <v>1804</v>
      </c>
      <c r="V268" t="s">
        <v>1805</v>
      </c>
      <c r="Z268" t="s">
        <v>1806</v>
      </c>
      <c r="AA268" s="17">
        <f>IF($A268,$J268*(IF(Q268=regle!$B$11,regle!$B$23*IF(AJ268=-2,1+regle!$B$35,1),
IF(Q268=regle!$C$11,regle!$C$23,
IF(Q268=regle!$D$11,regle!$D$23,
IF(Q268=regle!$E$11,regle!$E$23,
IF(Q268=regle!$F$11,regle!$F$23,
IF(Q268=regle!$G$11,regle!$G$23,
IF(Q268=regle!$H$11,regle!$H$23,
IF(Q268=regle!$I$11,regle!$I$23,
IF(Q268=regle!$J$11,regle!$J$23,
IF(Q268=regle!$K$11,regle!$K$23,0))))))))))))</f>
        <v>0</v>
      </c>
      <c r="AB268" s="17">
        <f>IF($A268,$J268*(IF(R268=regle!$B$11,regle!$B$23*IF(AK268=-2,1+regle!$B$35,1),
IF(R268=regle!$C$11,regle!$C$23,
IF(R268=regle!$D$11,regle!$D$23,
IF(R268=regle!$E$11,regle!$E$23,
IF(R268=regle!$F$11,regle!$F$23,
IF(R268=regle!$G$11,regle!$G$23,
IF(R268=regle!$H$11,regle!$H$23,
IF(R268=regle!$I$11,regle!$I$23,
IF(R268=regle!$J$11,regle!$J$23,
IF(R268=regle!$K$11,regle!$K$23,0))))))))))))</f>
        <v>258.63600000000002</v>
      </c>
      <c r="AC268" s="17">
        <f>IF($A268,$J268*(IF(S268=regle!$B$11,regle!$B$23*IF(AL268=-2,1+regle!$B$35,1),
IF(S268=regle!$C$11,regle!$C$23,
IF(S268=regle!$D$11,regle!$D$23,
IF(S268=regle!$E$11,regle!$E$23,
IF(S268=regle!$F$11,regle!$F$23,
IF(S268=regle!$G$11,regle!$G$23,
IF(S268=regle!$H$11,regle!$H$23,
IF(S268=regle!$I$11,regle!$I$23,
IF(S268=regle!$J$11,regle!$J$23,
IF(S268=regle!$K$11,regle!$K$23,0))))))))))))</f>
        <v>0</v>
      </c>
      <c r="AD268" s="17">
        <f>IF($A268,$J268*(IF(T268=regle!$B$11,regle!$B$23*IF(AM268=-2,1+regle!$B$35,1),
IF(T268=regle!$C$11,regle!$C$23,
IF(T268=regle!$D$11,regle!$D$23,
IF(T268=regle!$E$11,regle!$E$23,
IF(T268=regle!$F$11,regle!$F$23,
IF(T268=regle!$G$11,regle!$G$23,
IF(T268=regle!$H$11,regle!$H$23,
IF(T268=regle!$I$11,regle!$I$23,
IF(T268=regle!$J$11,regle!$J$23,
IF(T268=regle!$K$11,regle!$K$23,0))))))))))))</f>
        <v>0</v>
      </c>
      <c r="AE268" s="17">
        <f>IF($A268,$J268*(IF(U268=regle!$B$11,regle!$B$23*IF(AN268=-2,1+regle!$B$35,1),
IF(U268=regle!$C$11,regle!$C$23,
IF(U268=regle!$D$11,regle!$D$23,
IF(U268=regle!$E$11,regle!$E$23,
IF(U268=regle!$F$11,regle!$F$23,
IF(U268=regle!$G$11,regle!$G$23,
IF(U268=regle!$H$11,regle!$H$23,
IF(U268=regle!$I$11,regle!$I$23,
IF(U268=regle!$J$11,regle!$J$23,
IF(U268=regle!$K$11,regle!$K$23,0))))))))))))</f>
        <v>0</v>
      </c>
      <c r="AF268" s="17">
        <f>IF($A268,$J268*(IF(V268=regle!$B$11,regle!$B$23*IF(AO268=-2,1+regle!$B$35,1),
IF(V268=regle!$C$11,regle!$C$23,
IF(V268=regle!$D$11,regle!$D$23,
IF(V268=regle!$E$11,regle!$E$23,
IF(V268=regle!$F$11,regle!$F$23,
IF(V268=regle!$G$11,regle!$G$23,
IF(V268=regle!$H$11,regle!$H$23,
IF(V268=regle!$I$11,regle!$I$23,
IF(V268=regle!$J$11,regle!$J$23,
IF(V268=regle!$K$11,regle!$K$23,0))))))))))))</f>
        <v>433.52320000000003</v>
      </c>
      <c r="AG268" s="17">
        <f>IF($A268,$J268*(IF(W268=regle!$B$11,regle!$B$23*IF(AP268=-2,1+regle!$B$35,1),
IF(W268=regle!$C$11,regle!$C$23,
IF(W268=regle!$D$11,regle!$D$23,
IF(W268=regle!$E$11,regle!$E$23,
IF(W268=regle!$F$11,regle!$F$23,
IF(W268=regle!$G$11,regle!$G$23,
IF(W268=regle!$H$11,regle!$H$23,
IF(W268=regle!$I$11,regle!$I$23,
IF(W268=regle!$J$11,regle!$J$23,
IF(W268=regle!$K$11,regle!$K$23,0))))))))))))</f>
        <v>0</v>
      </c>
      <c r="AH268" s="17">
        <f>IF($A268,$J268*(IF(X268=regle!$B$11,regle!$B$23*IF(AQ268=-2,1+regle!$B$35,1),
IF(X268=regle!$C$11,regle!$C$23,
IF(X268=regle!$D$11,regle!$D$23,
IF(X268=regle!$E$11,regle!$E$23,
IF(X268=regle!$F$11,regle!$F$23,
IF(X268=regle!$G$11,regle!$G$23,
IF(X268=regle!$H$11,regle!$H$23,
IF(X268=regle!$I$11,regle!$I$23,
IF(X268=regle!$J$11,regle!$J$23,
IF(X268=regle!$K$11,regle!$K$23,0))))))))))))</f>
        <v>0</v>
      </c>
      <c r="AI268" s="17">
        <f>IF($A268,$J268*(IF(Y268=regle!$B$11,regle!$B$23*IF(AR268=-2,1+regle!$B$35,1),
IF(Y268=regle!$C$11,regle!$C$23,
IF(Y268=regle!$D$11,regle!$D$23,
IF(Y268=regle!$E$11,regle!$E$23,
IF(Y268=regle!$F$11,regle!$F$23,
IF(Y268=regle!$G$11,regle!$G$23,
IF(Y268=regle!$H$11,regle!$H$23,
IF(Y268=regle!$I$11,regle!$I$23,
IF(Y268=regle!$J$11,regle!$J$23,
IF(Y268=regle!$K$11,regle!$K$23,0))))))))))))</f>
        <v>0</v>
      </c>
      <c r="AJ268" s="17">
        <f>IF($A268,$J268*(IF(Z268=regle!$B$11,regle!$B$23*IF(AS268=-2,1+regle!$B$35,1),
IF(Z268=regle!$C$11,regle!$C$23,
IF(Z268=regle!$D$11,regle!$D$23,
IF(Z268=regle!$E$11,regle!$E$23,
IF(Z268=regle!$F$11,regle!$F$23,
IF(Z268=regle!$G$11,regle!$G$23,
IF(Z268=regle!$H$11,regle!$H$23,
IF(Z268=regle!$I$11,regle!$I$23,
IF(Z268=regle!$J$11,regle!$J$23,
IF(Z268=regle!$K$11,regle!$K$23,0))))))))))))</f>
        <v>394.11200000000002</v>
      </c>
      <c r="AK268" s="16">
        <f>IF(OR(Q268=regle!$J$11,Q268=regle!$K$11),-2,IF(Q268=regle!$B$11,0,IF(AK$1=$AK$1,IF($O268,-1,regle!$B$2-$M268),IF(AJ268=-1,-1,AJ268+1))))</f>
        <v>18</v>
      </c>
      <c r="AL268" s="16">
        <f>IF(OR(R268=regle!$J$11,R268=regle!$K$11),-2,IF(R268=regle!$B$11,0,IF(AL$1=$AK$1,IF($O268,-1,regle!$B$2-$M268),IF(AK268=-1,-1,AK268+1))))</f>
        <v>19</v>
      </c>
      <c r="AM268" s="16">
        <f>IF(OR(S268=regle!$J$11,S268=regle!$K$11),-2,IF(S268=regle!$B$11,0,IF(AM$1=$AK$1,IF($O268,-1,regle!$B$2-$M268),IF(AL268=-1,-1,AL268+1))))</f>
        <v>20</v>
      </c>
      <c r="AN268" s="16">
        <f>IF(OR(T268=regle!$J$11,T268=regle!$K$11),-2,IF(T268=regle!$B$11,0,IF(AN$1=$AK$1,IF($O268,-1,regle!$B$2-$M268),IF(AM268=-1,-1,AM268+1))))</f>
        <v>21</v>
      </c>
      <c r="AO268" s="16">
        <f>IF(OR(U268=regle!$J$11,U268=regle!$K$11),-2,IF(U268=regle!$B$11,0,IF(AO$1=$AK$1,IF($O268,-1,regle!$B$2-$M268),IF(AN268=-1,-1,AN268+1))))</f>
        <v>22</v>
      </c>
      <c r="AP268" s="16">
        <f>IF(OR(V268=regle!$J$11,V268=regle!$K$11),-2,IF(V268=regle!$B$11,0,IF(AP$1=$AK$1,IF($O268,-1,regle!$B$2-$M268),IF(AO268=-1,-1,AO268+1))))</f>
        <v>23</v>
      </c>
      <c r="AQ268" s="16">
        <f>IF(OR(W268=regle!$J$11,W268=regle!$K$11),-2,IF(W268=regle!$B$11,0,IF(AQ$1=$AK$1,IF($O268,-1,regle!$B$2-$M268),IF(AP268=-1,-1,AP268+1))))</f>
        <v>24</v>
      </c>
      <c r="AR268" s="16">
        <f>IF(OR(X268=regle!$J$11,X268=regle!$K$11),-2,IF(X268=regle!$B$11,0,IF(AR$1=$AK$1,IF($O268,-1,regle!$B$2-$M268),IF(AQ268=-1,-1,AQ268+1))))</f>
        <v>25</v>
      </c>
      <c r="AS268" s="16">
        <f>IF(OR(Y268=regle!$J$11,Y268=regle!$K$11),-2,IF(Y268=regle!$B$11,0,IF(AS$1=$AK$1,IF($O268,-1,regle!$B$2-$M268),IF(AR268=-1,-1,AR268+1))))</f>
        <v>26</v>
      </c>
      <c r="AT268" s="16">
        <f>IF(OR(Z268=regle!$J$11,Z268=regle!$K$11),-2,IF(Z268=regle!$B$11,0,IF(AT$1=$AK$1,IF($O268,-1,regle!$B$2-$M268),IF(AS268=-1,-1,AS268+1))))</f>
        <v>27</v>
      </c>
    </row>
    <row r="269" spans="1:46" x14ac:dyDescent="0.25">
      <c r="A269" t="b">
        <f>modif1!A269</f>
        <v>1</v>
      </c>
      <c r="B269">
        <f>ROW(modif1!B269)</f>
        <v>269</v>
      </c>
      <c r="C269" t="str">
        <f>modif1!C272</f>
        <v>202</v>
      </c>
      <c r="D269" t="str">
        <f>modif1!D269</f>
        <v>HOSTENS</v>
      </c>
      <c r="E269">
        <f>modif1!E269</f>
        <v>11</v>
      </c>
      <c r="F269" t="str">
        <f>modif1!F269</f>
        <v>LES CAZALAS</v>
      </c>
      <c r="G269" t="str">
        <f>modif1!G269</f>
        <v>0B</v>
      </c>
      <c r="H269">
        <f>modif1!H269</f>
        <v>1200</v>
      </c>
      <c r="I269" t="str">
        <f>modif1!I269</f>
        <v>k</v>
      </c>
      <c r="J269" s="11">
        <f>modif1!J269</f>
        <v>0.2928</v>
      </c>
      <c r="K269" t="str">
        <f>modif1!K269</f>
        <v>PLA</v>
      </c>
      <c r="L269" t="str">
        <f>modif1!L269</f>
        <v>PM</v>
      </c>
      <c r="M269">
        <f>modif1!M269</f>
        <v>2006</v>
      </c>
      <c r="N269" t="str">
        <f>modif1!N269</f>
        <v>PLA-PM_2006</v>
      </c>
      <c r="O269" t="b">
        <f>modif1!O269</f>
        <v>0</v>
      </c>
      <c r="P269">
        <v>40</v>
      </c>
      <c r="Q269" s="22"/>
      <c r="R269" t="s">
        <v>1804</v>
      </c>
      <c r="V269" t="s">
        <v>1805</v>
      </c>
      <c r="Z269" t="s">
        <v>1806</v>
      </c>
      <c r="AA269" s="17">
        <f>IF($A269,$J269*(IF(Q269=regle!$B$11,regle!$B$23*IF(AJ269=-2,1+regle!$B$35,1),
IF(Q269=regle!$C$11,regle!$C$23,
IF(Q269=regle!$D$11,regle!$D$23,
IF(Q269=regle!$E$11,regle!$E$23,
IF(Q269=regle!$F$11,regle!$F$23,
IF(Q269=regle!$G$11,regle!$G$23,
IF(Q269=regle!$H$11,regle!$H$23,
IF(Q269=regle!$I$11,regle!$I$23,
IF(Q269=regle!$J$11,regle!$J$23,
IF(Q269=regle!$K$11,regle!$K$23,0))))))))))))</f>
        <v>0</v>
      </c>
      <c r="AB269" s="17">
        <f>IF($A269,$J269*(IF(R269=regle!$B$11,regle!$B$23*IF(AK269=-2,1+regle!$B$35,1),
IF(R269=regle!$C$11,regle!$C$23,
IF(R269=regle!$D$11,regle!$D$23,
IF(R269=regle!$E$11,regle!$E$23,
IF(R269=regle!$F$11,regle!$F$23,
IF(R269=regle!$G$11,regle!$G$23,
IF(R269=regle!$H$11,regle!$H$23,
IF(R269=regle!$I$11,regle!$I$23,
IF(R269=regle!$J$11,regle!$J$23,
IF(R269=regle!$K$11,regle!$K$23,0))))))))))))</f>
        <v>245.952</v>
      </c>
      <c r="AC269" s="17">
        <f>IF($A269,$J269*(IF(S269=regle!$B$11,regle!$B$23*IF(AL269=-2,1+regle!$B$35,1),
IF(S269=regle!$C$11,regle!$C$23,
IF(S269=regle!$D$11,regle!$D$23,
IF(S269=regle!$E$11,regle!$E$23,
IF(S269=regle!$F$11,regle!$F$23,
IF(S269=regle!$G$11,regle!$G$23,
IF(S269=regle!$H$11,regle!$H$23,
IF(S269=regle!$I$11,regle!$I$23,
IF(S269=regle!$J$11,regle!$J$23,
IF(S269=regle!$K$11,regle!$K$23,0))))))))))))</f>
        <v>0</v>
      </c>
      <c r="AD269" s="17">
        <f>IF($A269,$J269*(IF(T269=regle!$B$11,regle!$B$23*IF(AM269=-2,1+regle!$B$35,1),
IF(T269=regle!$C$11,regle!$C$23,
IF(T269=regle!$D$11,regle!$D$23,
IF(T269=regle!$E$11,regle!$E$23,
IF(T269=regle!$F$11,regle!$F$23,
IF(T269=regle!$G$11,regle!$G$23,
IF(T269=regle!$H$11,regle!$H$23,
IF(T269=regle!$I$11,regle!$I$23,
IF(T269=regle!$J$11,regle!$J$23,
IF(T269=regle!$K$11,regle!$K$23,0))))))))))))</f>
        <v>0</v>
      </c>
      <c r="AE269" s="17">
        <f>IF($A269,$J269*(IF(U269=regle!$B$11,regle!$B$23*IF(AN269=-2,1+regle!$B$35,1),
IF(U269=regle!$C$11,regle!$C$23,
IF(U269=regle!$D$11,regle!$D$23,
IF(U269=regle!$E$11,regle!$E$23,
IF(U269=regle!$F$11,regle!$F$23,
IF(U269=regle!$G$11,regle!$G$23,
IF(U269=regle!$H$11,regle!$H$23,
IF(U269=regle!$I$11,regle!$I$23,
IF(U269=regle!$J$11,regle!$J$23,
IF(U269=regle!$K$11,regle!$K$23,0))))))))))))</f>
        <v>0</v>
      </c>
      <c r="AF269" s="17">
        <f>IF($A269,$J269*(IF(V269=regle!$B$11,regle!$B$23*IF(AO269=-2,1+regle!$B$35,1),
IF(V269=regle!$C$11,regle!$C$23,
IF(V269=regle!$D$11,regle!$D$23,
IF(V269=regle!$E$11,regle!$E$23,
IF(V269=regle!$F$11,regle!$F$23,
IF(V269=regle!$G$11,regle!$G$23,
IF(V269=regle!$H$11,regle!$H$23,
IF(V269=regle!$I$11,regle!$I$23,
IF(V269=regle!$J$11,regle!$J$23,
IF(V269=regle!$K$11,regle!$K$23,0))))))))))))</f>
        <v>412.26240000000001</v>
      </c>
      <c r="AG269" s="17">
        <f>IF($A269,$J269*(IF(W269=regle!$B$11,regle!$B$23*IF(AP269=-2,1+regle!$B$35,1),
IF(W269=regle!$C$11,regle!$C$23,
IF(W269=regle!$D$11,regle!$D$23,
IF(W269=regle!$E$11,regle!$E$23,
IF(W269=regle!$F$11,regle!$F$23,
IF(W269=regle!$G$11,regle!$G$23,
IF(W269=regle!$H$11,regle!$H$23,
IF(W269=regle!$I$11,regle!$I$23,
IF(W269=regle!$J$11,regle!$J$23,
IF(W269=regle!$K$11,regle!$K$23,0))))))))))))</f>
        <v>0</v>
      </c>
      <c r="AH269" s="17">
        <f>IF($A269,$J269*(IF(X269=regle!$B$11,regle!$B$23*IF(AQ269=-2,1+regle!$B$35,1),
IF(X269=regle!$C$11,regle!$C$23,
IF(X269=regle!$D$11,regle!$D$23,
IF(X269=regle!$E$11,regle!$E$23,
IF(X269=regle!$F$11,regle!$F$23,
IF(X269=regle!$G$11,regle!$G$23,
IF(X269=regle!$H$11,regle!$H$23,
IF(X269=regle!$I$11,regle!$I$23,
IF(X269=regle!$J$11,regle!$J$23,
IF(X269=regle!$K$11,regle!$K$23,0))))))))))))</f>
        <v>0</v>
      </c>
      <c r="AI269" s="17">
        <f>IF($A269,$J269*(IF(Y269=regle!$B$11,regle!$B$23*IF(AR269=-2,1+regle!$B$35,1),
IF(Y269=regle!$C$11,regle!$C$23,
IF(Y269=regle!$D$11,regle!$D$23,
IF(Y269=regle!$E$11,regle!$E$23,
IF(Y269=regle!$F$11,regle!$F$23,
IF(Y269=regle!$G$11,regle!$G$23,
IF(Y269=regle!$H$11,regle!$H$23,
IF(Y269=regle!$I$11,regle!$I$23,
IF(Y269=regle!$J$11,regle!$J$23,
IF(Y269=regle!$K$11,regle!$K$23,0))))))))))))</f>
        <v>0</v>
      </c>
      <c r="AJ269" s="17">
        <f>IF($A269,$J269*(IF(Z269=regle!$B$11,regle!$B$23*IF(AS269=-2,1+regle!$B$35,1),
IF(Z269=regle!$C$11,regle!$C$23,
IF(Z269=regle!$D$11,regle!$D$23,
IF(Z269=regle!$E$11,regle!$E$23,
IF(Z269=regle!$F$11,regle!$F$23,
IF(Z269=regle!$G$11,regle!$G$23,
IF(Z269=regle!$H$11,regle!$H$23,
IF(Z269=regle!$I$11,regle!$I$23,
IF(Z269=regle!$J$11,regle!$J$23,
IF(Z269=regle!$K$11,regle!$K$23,0))))))))))))</f>
        <v>374.78399999999999</v>
      </c>
      <c r="AK269" s="16">
        <f>IF(OR(Q269=regle!$J$11,Q269=regle!$K$11),-2,IF(Q269=regle!$B$11,0,IF(AK$1=$AK$1,IF($O269,-1,regle!$B$2-$M269),IF(AJ269=-1,-1,AJ269+1))))</f>
        <v>18</v>
      </c>
      <c r="AL269" s="16">
        <f>IF(OR(R269=regle!$J$11,R269=regle!$K$11),-2,IF(R269=regle!$B$11,0,IF(AL$1=$AK$1,IF($O269,-1,regle!$B$2-$M269),IF(AK269=-1,-1,AK269+1))))</f>
        <v>19</v>
      </c>
      <c r="AM269" s="16">
        <f>IF(OR(S269=regle!$J$11,S269=regle!$K$11),-2,IF(S269=regle!$B$11,0,IF(AM$1=$AK$1,IF($O269,-1,regle!$B$2-$M269),IF(AL269=-1,-1,AL269+1))))</f>
        <v>20</v>
      </c>
      <c r="AN269" s="16">
        <f>IF(OR(T269=regle!$J$11,T269=regle!$K$11),-2,IF(T269=regle!$B$11,0,IF(AN$1=$AK$1,IF($O269,-1,regle!$B$2-$M269),IF(AM269=-1,-1,AM269+1))))</f>
        <v>21</v>
      </c>
      <c r="AO269" s="16">
        <f>IF(OR(U269=regle!$J$11,U269=regle!$K$11),-2,IF(U269=regle!$B$11,0,IF(AO$1=$AK$1,IF($O269,-1,regle!$B$2-$M269),IF(AN269=-1,-1,AN269+1))))</f>
        <v>22</v>
      </c>
      <c r="AP269" s="16">
        <f>IF(OR(V269=regle!$J$11,V269=regle!$K$11),-2,IF(V269=regle!$B$11,0,IF(AP$1=$AK$1,IF($O269,-1,regle!$B$2-$M269),IF(AO269=-1,-1,AO269+1))))</f>
        <v>23</v>
      </c>
      <c r="AQ269" s="16">
        <f>IF(OR(W269=regle!$J$11,W269=regle!$K$11),-2,IF(W269=regle!$B$11,0,IF(AQ$1=$AK$1,IF($O269,-1,regle!$B$2-$M269),IF(AP269=-1,-1,AP269+1))))</f>
        <v>24</v>
      </c>
      <c r="AR269" s="16">
        <f>IF(OR(X269=regle!$J$11,X269=regle!$K$11),-2,IF(X269=regle!$B$11,0,IF(AR$1=$AK$1,IF($O269,-1,regle!$B$2-$M269),IF(AQ269=-1,-1,AQ269+1))))</f>
        <v>25</v>
      </c>
      <c r="AS269" s="16">
        <f>IF(OR(Y269=regle!$J$11,Y269=regle!$K$11),-2,IF(Y269=regle!$B$11,0,IF(AS$1=$AK$1,IF($O269,-1,regle!$B$2-$M269),IF(AR269=-1,-1,AR269+1))))</f>
        <v>26</v>
      </c>
      <c r="AT269" s="16">
        <f>IF(OR(Z269=regle!$J$11,Z269=regle!$K$11),-2,IF(Z269=regle!$B$11,0,IF(AT$1=$AK$1,IF($O269,-1,regle!$B$2-$M269),IF(AS269=-1,-1,AS269+1))))</f>
        <v>27</v>
      </c>
    </row>
    <row r="270" spans="1:46" x14ac:dyDescent="0.25">
      <c r="A270" t="b">
        <f>modif1!A270</f>
        <v>1</v>
      </c>
      <c r="B270">
        <f>ROW(modif1!B270)</f>
        <v>270</v>
      </c>
      <c r="C270" t="str">
        <f>modif1!C273</f>
        <v>202</v>
      </c>
      <c r="D270" t="str">
        <f>modif1!D270</f>
        <v>HOSTENS</v>
      </c>
      <c r="E270">
        <f>modif1!E270</f>
        <v>11</v>
      </c>
      <c r="F270" t="str">
        <f>modif1!F270</f>
        <v>LES CAZALAS</v>
      </c>
      <c r="G270" t="str">
        <f>modif1!G270</f>
        <v>0B</v>
      </c>
      <c r="H270">
        <f>modif1!H270</f>
        <v>1182</v>
      </c>
      <c r="I270" t="str">
        <f>modif1!I270</f>
        <v/>
      </c>
      <c r="J270" s="11">
        <f>modif1!J270</f>
        <v>0.28899999999999998</v>
      </c>
      <c r="K270" t="str">
        <f>modif1!K270</f>
        <v>PLA</v>
      </c>
      <c r="L270" t="str">
        <f>modif1!L270</f>
        <v>PM</v>
      </c>
      <c r="M270">
        <f>modif1!M270</f>
        <v>2006</v>
      </c>
      <c r="N270" t="str">
        <f>modif1!N270</f>
        <v>PLA-PM_2006</v>
      </c>
      <c r="O270" t="b">
        <f>modif1!O270</f>
        <v>0</v>
      </c>
      <c r="P270">
        <v>40</v>
      </c>
      <c r="Q270" s="22"/>
      <c r="R270" t="s">
        <v>1804</v>
      </c>
      <c r="V270" t="s">
        <v>1805</v>
      </c>
      <c r="Z270" t="s">
        <v>1806</v>
      </c>
      <c r="AA270" s="17">
        <f>IF($A270,$J270*(IF(Q270=regle!$B$11,regle!$B$23*IF(AJ270=-2,1+regle!$B$35,1),
IF(Q270=regle!$C$11,regle!$C$23,
IF(Q270=regle!$D$11,regle!$D$23,
IF(Q270=regle!$E$11,regle!$E$23,
IF(Q270=regle!$F$11,regle!$F$23,
IF(Q270=regle!$G$11,regle!$G$23,
IF(Q270=regle!$H$11,regle!$H$23,
IF(Q270=regle!$I$11,regle!$I$23,
IF(Q270=regle!$J$11,regle!$J$23,
IF(Q270=regle!$K$11,regle!$K$23,0))))))))))))</f>
        <v>0</v>
      </c>
      <c r="AB270" s="17">
        <f>IF($A270,$J270*(IF(R270=regle!$B$11,regle!$B$23*IF(AK270=-2,1+regle!$B$35,1),
IF(R270=regle!$C$11,regle!$C$23,
IF(R270=regle!$D$11,regle!$D$23,
IF(R270=regle!$E$11,regle!$E$23,
IF(R270=regle!$F$11,regle!$F$23,
IF(R270=regle!$G$11,regle!$G$23,
IF(R270=regle!$H$11,regle!$H$23,
IF(R270=regle!$I$11,regle!$I$23,
IF(R270=regle!$J$11,regle!$J$23,
IF(R270=regle!$K$11,regle!$K$23,0))))))))))))</f>
        <v>242.76</v>
      </c>
      <c r="AC270" s="17">
        <f>IF($A270,$J270*(IF(S270=regle!$B$11,regle!$B$23*IF(AL270=-2,1+regle!$B$35,1),
IF(S270=regle!$C$11,regle!$C$23,
IF(S270=regle!$D$11,regle!$D$23,
IF(S270=regle!$E$11,regle!$E$23,
IF(S270=regle!$F$11,regle!$F$23,
IF(S270=regle!$G$11,regle!$G$23,
IF(S270=regle!$H$11,regle!$H$23,
IF(S270=regle!$I$11,regle!$I$23,
IF(S270=regle!$J$11,regle!$J$23,
IF(S270=regle!$K$11,regle!$K$23,0))))))))))))</f>
        <v>0</v>
      </c>
      <c r="AD270" s="17">
        <f>IF($A270,$J270*(IF(T270=regle!$B$11,regle!$B$23*IF(AM270=-2,1+regle!$B$35,1),
IF(T270=regle!$C$11,regle!$C$23,
IF(T270=regle!$D$11,regle!$D$23,
IF(T270=regle!$E$11,regle!$E$23,
IF(T270=regle!$F$11,regle!$F$23,
IF(T270=regle!$G$11,regle!$G$23,
IF(T270=regle!$H$11,regle!$H$23,
IF(T270=regle!$I$11,regle!$I$23,
IF(T270=regle!$J$11,regle!$J$23,
IF(T270=regle!$K$11,regle!$K$23,0))))))))))))</f>
        <v>0</v>
      </c>
      <c r="AE270" s="17">
        <f>IF($A270,$J270*(IF(U270=regle!$B$11,regle!$B$23*IF(AN270=-2,1+regle!$B$35,1),
IF(U270=regle!$C$11,regle!$C$23,
IF(U270=regle!$D$11,regle!$D$23,
IF(U270=regle!$E$11,regle!$E$23,
IF(U270=regle!$F$11,regle!$F$23,
IF(U270=regle!$G$11,regle!$G$23,
IF(U270=regle!$H$11,regle!$H$23,
IF(U270=regle!$I$11,regle!$I$23,
IF(U270=regle!$J$11,regle!$J$23,
IF(U270=regle!$K$11,regle!$K$23,0))))))))))))</f>
        <v>0</v>
      </c>
      <c r="AF270" s="17">
        <f>IF($A270,$J270*(IF(V270=regle!$B$11,regle!$B$23*IF(AO270=-2,1+regle!$B$35,1),
IF(V270=regle!$C$11,regle!$C$23,
IF(V270=regle!$D$11,regle!$D$23,
IF(V270=regle!$E$11,regle!$E$23,
IF(V270=regle!$F$11,regle!$F$23,
IF(V270=regle!$G$11,regle!$G$23,
IF(V270=regle!$H$11,regle!$H$23,
IF(V270=regle!$I$11,regle!$I$23,
IF(V270=regle!$J$11,regle!$J$23,
IF(V270=regle!$K$11,regle!$K$23,0))))))))))))</f>
        <v>406.91199999999998</v>
      </c>
      <c r="AG270" s="17">
        <f>IF($A270,$J270*(IF(W270=regle!$B$11,regle!$B$23*IF(AP270=-2,1+regle!$B$35,1),
IF(W270=regle!$C$11,regle!$C$23,
IF(W270=regle!$D$11,regle!$D$23,
IF(W270=regle!$E$11,regle!$E$23,
IF(W270=regle!$F$11,regle!$F$23,
IF(W270=regle!$G$11,regle!$G$23,
IF(W270=regle!$H$11,regle!$H$23,
IF(W270=regle!$I$11,regle!$I$23,
IF(W270=regle!$J$11,regle!$J$23,
IF(W270=regle!$K$11,regle!$K$23,0))))))))))))</f>
        <v>0</v>
      </c>
      <c r="AH270" s="17">
        <f>IF($A270,$J270*(IF(X270=regle!$B$11,regle!$B$23*IF(AQ270=-2,1+regle!$B$35,1),
IF(X270=regle!$C$11,regle!$C$23,
IF(X270=regle!$D$11,regle!$D$23,
IF(X270=regle!$E$11,regle!$E$23,
IF(X270=regle!$F$11,regle!$F$23,
IF(X270=regle!$G$11,regle!$G$23,
IF(X270=regle!$H$11,regle!$H$23,
IF(X270=regle!$I$11,regle!$I$23,
IF(X270=regle!$J$11,regle!$J$23,
IF(X270=regle!$K$11,regle!$K$23,0))))))))))))</f>
        <v>0</v>
      </c>
      <c r="AI270" s="17">
        <f>IF($A270,$J270*(IF(Y270=regle!$B$11,regle!$B$23*IF(AR270=-2,1+regle!$B$35,1),
IF(Y270=regle!$C$11,regle!$C$23,
IF(Y270=regle!$D$11,regle!$D$23,
IF(Y270=regle!$E$11,regle!$E$23,
IF(Y270=regle!$F$11,regle!$F$23,
IF(Y270=regle!$G$11,regle!$G$23,
IF(Y270=regle!$H$11,regle!$H$23,
IF(Y270=regle!$I$11,regle!$I$23,
IF(Y270=regle!$J$11,regle!$J$23,
IF(Y270=regle!$K$11,regle!$K$23,0))))))))))))</f>
        <v>0</v>
      </c>
      <c r="AJ270" s="17">
        <f>IF($A270,$J270*(IF(Z270=regle!$B$11,regle!$B$23*IF(AS270=-2,1+regle!$B$35,1),
IF(Z270=regle!$C$11,regle!$C$23,
IF(Z270=regle!$D$11,regle!$D$23,
IF(Z270=regle!$E$11,regle!$E$23,
IF(Z270=regle!$F$11,regle!$F$23,
IF(Z270=regle!$G$11,regle!$G$23,
IF(Z270=regle!$H$11,regle!$H$23,
IF(Z270=regle!$I$11,regle!$I$23,
IF(Z270=regle!$J$11,regle!$J$23,
IF(Z270=regle!$K$11,regle!$K$23,0))))))))))))</f>
        <v>369.91999999999996</v>
      </c>
      <c r="AK270" s="16">
        <f>IF(OR(Q270=regle!$J$11,Q270=regle!$K$11),-2,IF(Q270=regle!$B$11,0,IF(AK$1=$AK$1,IF($O270,-1,regle!$B$2-$M270),IF(AJ270=-1,-1,AJ270+1))))</f>
        <v>18</v>
      </c>
      <c r="AL270" s="16">
        <f>IF(OR(R270=regle!$J$11,R270=regle!$K$11),-2,IF(R270=regle!$B$11,0,IF(AL$1=$AK$1,IF($O270,-1,regle!$B$2-$M270),IF(AK270=-1,-1,AK270+1))))</f>
        <v>19</v>
      </c>
      <c r="AM270" s="16">
        <f>IF(OR(S270=regle!$J$11,S270=regle!$K$11),-2,IF(S270=regle!$B$11,0,IF(AM$1=$AK$1,IF($O270,-1,regle!$B$2-$M270),IF(AL270=-1,-1,AL270+1))))</f>
        <v>20</v>
      </c>
      <c r="AN270" s="16">
        <f>IF(OR(T270=regle!$J$11,T270=regle!$K$11),-2,IF(T270=regle!$B$11,0,IF(AN$1=$AK$1,IF($O270,-1,regle!$B$2-$M270),IF(AM270=-1,-1,AM270+1))))</f>
        <v>21</v>
      </c>
      <c r="AO270" s="16">
        <f>IF(OR(U270=regle!$J$11,U270=regle!$K$11),-2,IF(U270=regle!$B$11,0,IF(AO$1=$AK$1,IF($O270,-1,regle!$B$2-$M270),IF(AN270=-1,-1,AN270+1))))</f>
        <v>22</v>
      </c>
      <c r="AP270" s="16">
        <f>IF(OR(V270=regle!$J$11,V270=regle!$K$11),-2,IF(V270=regle!$B$11,0,IF(AP$1=$AK$1,IF($O270,-1,regle!$B$2-$M270),IF(AO270=-1,-1,AO270+1))))</f>
        <v>23</v>
      </c>
      <c r="AQ270" s="16">
        <f>IF(OR(W270=regle!$J$11,W270=regle!$K$11),-2,IF(W270=regle!$B$11,0,IF(AQ$1=$AK$1,IF($O270,-1,regle!$B$2-$M270),IF(AP270=-1,-1,AP270+1))))</f>
        <v>24</v>
      </c>
      <c r="AR270" s="16">
        <f>IF(OR(X270=regle!$J$11,X270=regle!$K$11),-2,IF(X270=regle!$B$11,0,IF(AR$1=$AK$1,IF($O270,-1,regle!$B$2-$M270),IF(AQ270=-1,-1,AQ270+1))))</f>
        <v>25</v>
      </c>
      <c r="AS270" s="16">
        <f>IF(OR(Y270=regle!$J$11,Y270=regle!$K$11),-2,IF(Y270=regle!$B$11,0,IF(AS$1=$AK$1,IF($O270,-1,regle!$B$2-$M270),IF(AR270=-1,-1,AR270+1))))</f>
        <v>26</v>
      </c>
      <c r="AT270" s="16">
        <f>IF(OR(Z270=regle!$J$11,Z270=regle!$K$11),-2,IF(Z270=regle!$B$11,0,IF(AT$1=$AK$1,IF($O270,-1,regle!$B$2-$M270),IF(AS270=-1,-1,AS270+1))))</f>
        <v>27</v>
      </c>
    </row>
    <row r="271" spans="1:46" x14ac:dyDescent="0.25">
      <c r="A271" t="b">
        <f>modif1!A271</f>
        <v>1</v>
      </c>
      <c r="B271">
        <f>ROW(modif1!B271)</f>
        <v>271</v>
      </c>
      <c r="C271" t="str">
        <f>modif1!C274</f>
        <v>202</v>
      </c>
      <c r="D271" t="str">
        <f>modif1!D271</f>
        <v>HOSTENS</v>
      </c>
      <c r="E271">
        <f>modif1!E271</f>
        <v>11</v>
      </c>
      <c r="F271" t="str">
        <f>modif1!F271</f>
        <v>LES CAZALAS</v>
      </c>
      <c r="G271" t="str">
        <f>modif1!G271</f>
        <v>0B</v>
      </c>
      <c r="H271">
        <f>modif1!H271</f>
        <v>1166</v>
      </c>
      <c r="I271" t="str">
        <f>modif1!I271</f>
        <v/>
      </c>
      <c r="J271" s="11">
        <f>modif1!J271</f>
        <v>0.24</v>
      </c>
      <c r="K271" t="str">
        <f>modif1!K271</f>
        <v>PLA</v>
      </c>
      <c r="L271" t="str">
        <f>modif1!L271</f>
        <v>PM</v>
      </c>
      <c r="M271">
        <f>modif1!M271</f>
        <v>2006</v>
      </c>
      <c r="N271" t="str">
        <f>modif1!N271</f>
        <v>PLA-PM_2006</v>
      </c>
      <c r="O271" t="b">
        <f>modif1!O271</f>
        <v>0</v>
      </c>
      <c r="P271">
        <v>40</v>
      </c>
      <c r="Q271" s="22"/>
      <c r="R271" t="s">
        <v>1804</v>
      </c>
      <c r="V271" t="s">
        <v>1805</v>
      </c>
      <c r="Z271" t="s">
        <v>1806</v>
      </c>
      <c r="AA271" s="17">
        <f>IF($A271,$J271*(IF(Q271=regle!$B$11,regle!$B$23*IF(AJ271=-2,1+regle!$B$35,1),
IF(Q271=regle!$C$11,regle!$C$23,
IF(Q271=regle!$D$11,regle!$D$23,
IF(Q271=regle!$E$11,regle!$E$23,
IF(Q271=regle!$F$11,regle!$F$23,
IF(Q271=regle!$G$11,regle!$G$23,
IF(Q271=regle!$H$11,regle!$H$23,
IF(Q271=regle!$I$11,regle!$I$23,
IF(Q271=regle!$J$11,regle!$J$23,
IF(Q271=regle!$K$11,regle!$K$23,0))))))))))))</f>
        <v>0</v>
      </c>
      <c r="AB271" s="17">
        <f>IF($A271,$J271*(IF(R271=regle!$B$11,regle!$B$23*IF(AK271=-2,1+regle!$B$35,1),
IF(R271=regle!$C$11,regle!$C$23,
IF(R271=regle!$D$11,regle!$D$23,
IF(R271=regle!$E$11,regle!$E$23,
IF(R271=regle!$F$11,regle!$F$23,
IF(R271=regle!$G$11,regle!$G$23,
IF(R271=regle!$H$11,regle!$H$23,
IF(R271=regle!$I$11,regle!$I$23,
IF(R271=regle!$J$11,regle!$J$23,
IF(R271=regle!$K$11,regle!$K$23,0))))))))))))</f>
        <v>201.6</v>
      </c>
      <c r="AC271" s="17">
        <f>IF($A271,$J271*(IF(S271=regle!$B$11,regle!$B$23*IF(AL271=-2,1+regle!$B$35,1),
IF(S271=regle!$C$11,regle!$C$23,
IF(S271=regle!$D$11,regle!$D$23,
IF(S271=regle!$E$11,regle!$E$23,
IF(S271=regle!$F$11,regle!$F$23,
IF(S271=regle!$G$11,regle!$G$23,
IF(S271=regle!$H$11,regle!$H$23,
IF(S271=regle!$I$11,regle!$I$23,
IF(S271=regle!$J$11,regle!$J$23,
IF(S271=regle!$K$11,regle!$K$23,0))))))))))))</f>
        <v>0</v>
      </c>
      <c r="AD271" s="17">
        <f>IF($A271,$J271*(IF(T271=regle!$B$11,regle!$B$23*IF(AM271=-2,1+regle!$B$35,1),
IF(T271=regle!$C$11,regle!$C$23,
IF(T271=regle!$D$11,regle!$D$23,
IF(T271=regle!$E$11,regle!$E$23,
IF(T271=regle!$F$11,regle!$F$23,
IF(T271=regle!$G$11,regle!$G$23,
IF(T271=regle!$H$11,regle!$H$23,
IF(T271=regle!$I$11,regle!$I$23,
IF(T271=regle!$J$11,regle!$J$23,
IF(T271=regle!$K$11,regle!$K$23,0))))))))))))</f>
        <v>0</v>
      </c>
      <c r="AE271" s="17">
        <f>IF($A271,$J271*(IF(U271=regle!$B$11,regle!$B$23*IF(AN271=-2,1+regle!$B$35,1),
IF(U271=regle!$C$11,regle!$C$23,
IF(U271=regle!$D$11,regle!$D$23,
IF(U271=regle!$E$11,regle!$E$23,
IF(U271=regle!$F$11,regle!$F$23,
IF(U271=regle!$G$11,regle!$G$23,
IF(U271=regle!$H$11,regle!$H$23,
IF(U271=regle!$I$11,regle!$I$23,
IF(U271=regle!$J$11,regle!$J$23,
IF(U271=regle!$K$11,regle!$K$23,0))))))))))))</f>
        <v>0</v>
      </c>
      <c r="AF271" s="17">
        <f>IF($A271,$J271*(IF(V271=regle!$B$11,regle!$B$23*IF(AO271=-2,1+regle!$B$35,1),
IF(V271=regle!$C$11,regle!$C$23,
IF(V271=regle!$D$11,regle!$D$23,
IF(V271=regle!$E$11,regle!$E$23,
IF(V271=regle!$F$11,regle!$F$23,
IF(V271=regle!$G$11,regle!$G$23,
IF(V271=regle!$H$11,regle!$H$23,
IF(V271=regle!$I$11,regle!$I$23,
IF(V271=regle!$J$11,regle!$J$23,
IF(V271=regle!$K$11,regle!$K$23,0))))))))))))</f>
        <v>337.91999999999996</v>
      </c>
      <c r="AG271" s="17">
        <f>IF($A271,$J271*(IF(W271=regle!$B$11,regle!$B$23*IF(AP271=-2,1+regle!$B$35,1),
IF(W271=regle!$C$11,regle!$C$23,
IF(W271=regle!$D$11,regle!$D$23,
IF(W271=regle!$E$11,regle!$E$23,
IF(W271=regle!$F$11,regle!$F$23,
IF(W271=regle!$G$11,regle!$G$23,
IF(W271=regle!$H$11,regle!$H$23,
IF(W271=regle!$I$11,regle!$I$23,
IF(W271=regle!$J$11,regle!$J$23,
IF(W271=regle!$K$11,regle!$K$23,0))))))))))))</f>
        <v>0</v>
      </c>
      <c r="AH271" s="17">
        <f>IF($A271,$J271*(IF(X271=regle!$B$11,regle!$B$23*IF(AQ271=-2,1+regle!$B$35,1),
IF(X271=regle!$C$11,regle!$C$23,
IF(X271=regle!$D$11,regle!$D$23,
IF(X271=regle!$E$11,regle!$E$23,
IF(X271=regle!$F$11,regle!$F$23,
IF(X271=regle!$G$11,regle!$G$23,
IF(X271=regle!$H$11,regle!$H$23,
IF(X271=regle!$I$11,regle!$I$23,
IF(X271=regle!$J$11,regle!$J$23,
IF(X271=regle!$K$11,regle!$K$23,0))))))))))))</f>
        <v>0</v>
      </c>
      <c r="AI271" s="17">
        <f>IF($A271,$J271*(IF(Y271=regle!$B$11,regle!$B$23*IF(AR271=-2,1+regle!$B$35,1),
IF(Y271=regle!$C$11,regle!$C$23,
IF(Y271=regle!$D$11,regle!$D$23,
IF(Y271=regle!$E$11,regle!$E$23,
IF(Y271=regle!$F$11,regle!$F$23,
IF(Y271=regle!$G$11,regle!$G$23,
IF(Y271=regle!$H$11,regle!$H$23,
IF(Y271=regle!$I$11,regle!$I$23,
IF(Y271=regle!$J$11,regle!$J$23,
IF(Y271=regle!$K$11,regle!$K$23,0))))))))))))</f>
        <v>0</v>
      </c>
      <c r="AJ271" s="17">
        <f>IF($A271,$J271*(IF(Z271=regle!$B$11,regle!$B$23*IF(AS271=-2,1+regle!$B$35,1),
IF(Z271=regle!$C$11,regle!$C$23,
IF(Z271=regle!$D$11,regle!$D$23,
IF(Z271=regle!$E$11,regle!$E$23,
IF(Z271=regle!$F$11,regle!$F$23,
IF(Z271=regle!$G$11,regle!$G$23,
IF(Z271=regle!$H$11,regle!$H$23,
IF(Z271=regle!$I$11,regle!$I$23,
IF(Z271=regle!$J$11,regle!$J$23,
IF(Z271=regle!$K$11,regle!$K$23,0))))))))))))</f>
        <v>307.2</v>
      </c>
      <c r="AK271" s="16">
        <f>IF(OR(Q271=regle!$J$11,Q271=regle!$K$11),-2,IF(Q271=regle!$B$11,0,IF(AK$1=$AK$1,IF($O271,-1,regle!$B$2-$M271),IF(AJ271=-1,-1,AJ271+1))))</f>
        <v>18</v>
      </c>
      <c r="AL271" s="16">
        <f>IF(OR(R271=regle!$J$11,R271=regle!$K$11),-2,IF(R271=regle!$B$11,0,IF(AL$1=$AK$1,IF($O271,-1,regle!$B$2-$M271),IF(AK271=-1,-1,AK271+1))))</f>
        <v>19</v>
      </c>
      <c r="AM271" s="16">
        <f>IF(OR(S271=regle!$J$11,S271=regle!$K$11),-2,IF(S271=regle!$B$11,0,IF(AM$1=$AK$1,IF($O271,-1,regle!$B$2-$M271),IF(AL271=-1,-1,AL271+1))))</f>
        <v>20</v>
      </c>
      <c r="AN271" s="16">
        <f>IF(OR(T271=regle!$J$11,T271=regle!$K$11),-2,IF(T271=regle!$B$11,0,IF(AN$1=$AK$1,IF($O271,-1,regle!$B$2-$M271),IF(AM271=-1,-1,AM271+1))))</f>
        <v>21</v>
      </c>
      <c r="AO271" s="16">
        <f>IF(OR(U271=regle!$J$11,U271=regle!$K$11),-2,IF(U271=regle!$B$11,0,IF(AO$1=$AK$1,IF($O271,-1,regle!$B$2-$M271),IF(AN271=-1,-1,AN271+1))))</f>
        <v>22</v>
      </c>
      <c r="AP271" s="16">
        <f>IF(OR(V271=regle!$J$11,V271=regle!$K$11),-2,IF(V271=regle!$B$11,0,IF(AP$1=$AK$1,IF($O271,-1,regle!$B$2-$M271),IF(AO271=-1,-1,AO271+1))))</f>
        <v>23</v>
      </c>
      <c r="AQ271" s="16">
        <f>IF(OR(W271=regle!$J$11,W271=regle!$K$11),-2,IF(W271=regle!$B$11,0,IF(AQ$1=$AK$1,IF($O271,-1,regle!$B$2-$M271),IF(AP271=-1,-1,AP271+1))))</f>
        <v>24</v>
      </c>
      <c r="AR271" s="16">
        <f>IF(OR(X271=regle!$J$11,X271=regle!$K$11),-2,IF(X271=regle!$B$11,0,IF(AR$1=$AK$1,IF($O271,-1,regle!$B$2-$M271),IF(AQ271=-1,-1,AQ271+1))))</f>
        <v>25</v>
      </c>
      <c r="AS271" s="16">
        <f>IF(OR(Y271=regle!$J$11,Y271=regle!$K$11),-2,IF(Y271=regle!$B$11,0,IF(AS$1=$AK$1,IF($O271,-1,regle!$B$2-$M271),IF(AR271=-1,-1,AR271+1))))</f>
        <v>26</v>
      </c>
      <c r="AT271" s="16">
        <f>IF(OR(Z271=regle!$J$11,Z271=regle!$K$11),-2,IF(Z271=regle!$B$11,0,IF(AT$1=$AK$1,IF($O271,-1,regle!$B$2-$M271),IF(AS271=-1,-1,AS271+1))))</f>
        <v>27</v>
      </c>
    </row>
    <row r="272" spans="1:46" x14ac:dyDescent="0.25">
      <c r="A272" t="b">
        <f>modif1!A272</f>
        <v>1</v>
      </c>
      <c r="B272">
        <f>ROW(modif1!B272)</f>
        <v>272</v>
      </c>
      <c r="C272" t="str">
        <f>modif1!C275</f>
        <v>202</v>
      </c>
      <c r="D272" t="str">
        <f>modif1!D272</f>
        <v>HOSTENS</v>
      </c>
      <c r="E272">
        <f>modif1!E272</f>
        <v>11</v>
      </c>
      <c r="F272" t="str">
        <f>modif1!F272</f>
        <v>LES CAZALAS</v>
      </c>
      <c r="G272" t="str">
        <f>modif1!G272</f>
        <v>0B</v>
      </c>
      <c r="H272">
        <f>modif1!H272</f>
        <v>1172</v>
      </c>
      <c r="I272" t="str">
        <f>modif1!I272</f>
        <v/>
      </c>
      <c r="J272" s="11">
        <f>modif1!J272</f>
        <v>0.24</v>
      </c>
      <c r="K272" t="str">
        <f>modif1!K272</f>
        <v>PLA</v>
      </c>
      <c r="L272" t="str">
        <f>modif1!L272</f>
        <v>PM</v>
      </c>
      <c r="M272">
        <f>modif1!M272</f>
        <v>2006</v>
      </c>
      <c r="N272" t="str">
        <f>modif1!N272</f>
        <v>PLA-PM_2006</v>
      </c>
      <c r="O272" t="b">
        <f>modif1!O272</f>
        <v>0</v>
      </c>
      <c r="P272">
        <v>40</v>
      </c>
      <c r="Q272" s="22"/>
      <c r="R272" t="s">
        <v>1804</v>
      </c>
      <c r="V272" t="s">
        <v>1805</v>
      </c>
      <c r="Z272" t="s">
        <v>1806</v>
      </c>
      <c r="AA272" s="17">
        <f>IF($A272,$J272*(IF(Q272=regle!$B$11,regle!$B$23*IF(AJ272=-2,1+regle!$B$35,1),
IF(Q272=regle!$C$11,regle!$C$23,
IF(Q272=regle!$D$11,regle!$D$23,
IF(Q272=regle!$E$11,regle!$E$23,
IF(Q272=regle!$F$11,regle!$F$23,
IF(Q272=regle!$G$11,regle!$G$23,
IF(Q272=regle!$H$11,regle!$H$23,
IF(Q272=regle!$I$11,regle!$I$23,
IF(Q272=regle!$J$11,regle!$J$23,
IF(Q272=regle!$K$11,regle!$K$23,0))))))))))))</f>
        <v>0</v>
      </c>
      <c r="AB272" s="17">
        <f>IF($A272,$J272*(IF(R272=regle!$B$11,regle!$B$23*IF(AK272=-2,1+regle!$B$35,1),
IF(R272=regle!$C$11,regle!$C$23,
IF(R272=regle!$D$11,regle!$D$23,
IF(R272=regle!$E$11,regle!$E$23,
IF(R272=regle!$F$11,regle!$F$23,
IF(R272=regle!$G$11,regle!$G$23,
IF(R272=regle!$H$11,regle!$H$23,
IF(R272=regle!$I$11,regle!$I$23,
IF(R272=regle!$J$11,regle!$J$23,
IF(R272=regle!$K$11,regle!$K$23,0))))))))))))</f>
        <v>201.6</v>
      </c>
      <c r="AC272" s="17">
        <f>IF($A272,$J272*(IF(S272=regle!$B$11,regle!$B$23*IF(AL272=-2,1+regle!$B$35,1),
IF(S272=regle!$C$11,regle!$C$23,
IF(S272=regle!$D$11,regle!$D$23,
IF(S272=regle!$E$11,regle!$E$23,
IF(S272=regle!$F$11,regle!$F$23,
IF(S272=regle!$G$11,regle!$G$23,
IF(S272=regle!$H$11,regle!$H$23,
IF(S272=regle!$I$11,regle!$I$23,
IF(S272=regle!$J$11,regle!$J$23,
IF(S272=regle!$K$11,regle!$K$23,0))))))))))))</f>
        <v>0</v>
      </c>
      <c r="AD272" s="17">
        <f>IF($A272,$J272*(IF(T272=regle!$B$11,regle!$B$23*IF(AM272=-2,1+regle!$B$35,1),
IF(T272=regle!$C$11,regle!$C$23,
IF(T272=regle!$D$11,regle!$D$23,
IF(T272=regle!$E$11,regle!$E$23,
IF(T272=regle!$F$11,regle!$F$23,
IF(T272=regle!$G$11,regle!$G$23,
IF(T272=regle!$H$11,regle!$H$23,
IF(T272=regle!$I$11,regle!$I$23,
IF(T272=regle!$J$11,regle!$J$23,
IF(T272=regle!$K$11,regle!$K$23,0))))))))))))</f>
        <v>0</v>
      </c>
      <c r="AE272" s="17">
        <f>IF($A272,$J272*(IF(U272=regle!$B$11,regle!$B$23*IF(AN272=-2,1+regle!$B$35,1),
IF(U272=regle!$C$11,regle!$C$23,
IF(U272=regle!$D$11,regle!$D$23,
IF(U272=regle!$E$11,regle!$E$23,
IF(U272=regle!$F$11,regle!$F$23,
IF(U272=regle!$G$11,regle!$G$23,
IF(U272=regle!$H$11,regle!$H$23,
IF(U272=regle!$I$11,regle!$I$23,
IF(U272=regle!$J$11,regle!$J$23,
IF(U272=regle!$K$11,regle!$K$23,0))))))))))))</f>
        <v>0</v>
      </c>
      <c r="AF272" s="17">
        <f>IF($A272,$J272*(IF(V272=regle!$B$11,regle!$B$23*IF(AO272=-2,1+regle!$B$35,1),
IF(V272=regle!$C$11,regle!$C$23,
IF(V272=regle!$D$11,regle!$D$23,
IF(V272=regle!$E$11,regle!$E$23,
IF(V272=regle!$F$11,regle!$F$23,
IF(V272=regle!$G$11,regle!$G$23,
IF(V272=regle!$H$11,regle!$H$23,
IF(V272=regle!$I$11,regle!$I$23,
IF(V272=regle!$J$11,regle!$J$23,
IF(V272=regle!$K$11,regle!$K$23,0))))))))))))</f>
        <v>337.91999999999996</v>
      </c>
      <c r="AG272" s="17">
        <f>IF($A272,$J272*(IF(W272=regle!$B$11,regle!$B$23*IF(AP272=-2,1+regle!$B$35,1),
IF(W272=regle!$C$11,regle!$C$23,
IF(W272=regle!$D$11,regle!$D$23,
IF(W272=regle!$E$11,regle!$E$23,
IF(W272=regle!$F$11,regle!$F$23,
IF(W272=regle!$G$11,regle!$G$23,
IF(W272=regle!$H$11,regle!$H$23,
IF(W272=regle!$I$11,regle!$I$23,
IF(W272=regle!$J$11,regle!$J$23,
IF(W272=regle!$K$11,regle!$K$23,0))))))))))))</f>
        <v>0</v>
      </c>
      <c r="AH272" s="17">
        <f>IF($A272,$J272*(IF(X272=regle!$B$11,regle!$B$23*IF(AQ272=-2,1+regle!$B$35,1),
IF(X272=regle!$C$11,regle!$C$23,
IF(X272=regle!$D$11,regle!$D$23,
IF(X272=regle!$E$11,regle!$E$23,
IF(X272=regle!$F$11,regle!$F$23,
IF(X272=regle!$G$11,regle!$G$23,
IF(X272=regle!$H$11,regle!$H$23,
IF(X272=regle!$I$11,regle!$I$23,
IF(X272=regle!$J$11,regle!$J$23,
IF(X272=regle!$K$11,regle!$K$23,0))))))))))))</f>
        <v>0</v>
      </c>
      <c r="AI272" s="17">
        <f>IF($A272,$J272*(IF(Y272=regle!$B$11,regle!$B$23*IF(AR272=-2,1+regle!$B$35,1),
IF(Y272=regle!$C$11,regle!$C$23,
IF(Y272=regle!$D$11,regle!$D$23,
IF(Y272=regle!$E$11,regle!$E$23,
IF(Y272=regle!$F$11,regle!$F$23,
IF(Y272=regle!$G$11,regle!$G$23,
IF(Y272=regle!$H$11,regle!$H$23,
IF(Y272=regle!$I$11,regle!$I$23,
IF(Y272=regle!$J$11,regle!$J$23,
IF(Y272=regle!$K$11,regle!$K$23,0))))))))))))</f>
        <v>0</v>
      </c>
      <c r="AJ272" s="17">
        <f>IF($A272,$J272*(IF(Z272=regle!$B$11,regle!$B$23*IF(AS272=-2,1+regle!$B$35,1),
IF(Z272=regle!$C$11,regle!$C$23,
IF(Z272=regle!$D$11,regle!$D$23,
IF(Z272=regle!$E$11,regle!$E$23,
IF(Z272=regle!$F$11,regle!$F$23,
IF(Z272=regle!$G$11,regle!$G$23,
IF(Z272=regle!$H$11,regle!$H$23,
IF(Z272=regle!$I$11,regle!$I$23,
IF(Z272=regle!$J$11,regle!$J$23,
IF(Z272=regle!$K$11,regle!$K$23,0))))))))))))</f>
        <v>307.2</v>
      </c>
      <c r="AK272" s="16">
        <f>IF(OR(Q272=regle!$J$11,Q272=regle!$K$11),-2,IF(Q272=regle!$B$11,0,IF(AK$1=$AK$1,IF($O272,-1,regle!$B$2-$M272),IF(AJ272=-1,-1,AJ272+1))))</f>
        <v>18</v>
      </c>
      <c r="AL272" s="16">
        <f>IF(OR(R272=regle!$J$11,R272=regle!$K$11),-2,IF(R272=regle!$B$11,0,IF(AL$1=$AK$1,IF($O272,-1,regle!$B$2-$M272),IF(AK272=-1,-1,AK272+1))))</f>
        <v>19</v>
      </c>
      <c r="AM272" s="16">
        <f>IF(OR(S272=regle!$J$11,S272=regle!$K$11),-2,IF(S272=regle!$B$11,0,IF(AM$1=$AK$1,IF($O272,-1,regle!$B$2-$M272),IF(AL272=-1,-1,AL272+1))))</f>
        <v>20</v>
      </c>
      <c r="AN272" s="16">
        <f>IF(OR(T272=regle!$J$11,T272=regle!$K$11),-2,IF(T272=regle!$B$11,0,IF(AN$1=$AK$1,IF($O272,-1,regle!$B$2-$M272),IF(AM272=-1,-1,AM272+1))))</f>
        <v>21</v>
      </c>
      <c r="AO272" s="16">
        <f>IF(OR(U272=regle!$J$11,U272=regle!$K$11),-2,IF(U272=regle!$B$11,0,IF(AO$1=$AK$1,IF($O272,-1,regle!$B$2-$M272),IF(AN272=-1,-1,AN272+1))))</f>
        <v>22</v>
      </c>
      <c r="AP272" s="16">
        <f>IF(OR(V272=regle!$J$11,V272=regle!$K$11),-2,IF(V272=regle!$B$11,0,IF(AP$1=$AK$1,IF($O272,-1,regle!$B$2-$M272),IF(AO272=-1,-1,AO272+1))))</f>
        <v>23</v>
      </c>
      <c r="AQ272" s="16">
        <f>IF(OR(W272=regle!$J$11,W272=regle!$K$11),-2,IF(W272=regle!$B$11,0,IF(AQ$1=$AK$1,IF($O272,-1,regle!$B$2-$M272),IF(AP272=-1,-1,AP272+1))))</f>
        <v>24</v>
      </c>
      <c r="AR272" s="16">
        <f>IF(OR(X272=regle!$J$11,X272=regle!$K$11),-2,IF(X272=regle!$B$11,0,IF(AR$1=$AK$1,IF($O272,-1,regle!$B$2-$M272),IF(AQ272=-1,-1,AQ272+1))))</f>
        <v>25</v>
      </c>
      <c r="AS272" s="16">
        <f>IF(OR(Y272=regle!$J$11,Y272=regle!$K$11),-2,IF(Y272=regle!$B$11,0,IF(AS$1=$AK$1,IF($O272,-1,regle!$B$2-$M272),IF(AR272=-1,-1,AR272+1))))</f>
        <v>26</v>
      </c>
      <c r="AT272" s="16">
        <f>IF(OR(Z272=regle!$J$11,Z272=regle!$K$11),-2,IF(Z272=regle!$B$11,0,IF(AT$1=$AK$1,IF($O272,-1,regle!$B$2-$M272),IF(AS272=-1,-1,AS272+1))))</f>
        <v>27</v>
      </c>
    </row>
    <row r="273" spans="1:46" x14ac:dyDescent="0.25">
      <c r="A273" t="b">
        <f>modif1!A273</f>
        <v>1</v>
      </c>
      <c r="B273">
        <f>ROW(modif1!B273)</f>
        <v>273</v>
      </c>
      <c r="C273" t="str">
        <f>modif1!C276</f>
        <v>202</v>
      </c>
      <c r="D273" t="str">
        <f>modif1!D273</f>
        <v>HOSTENS</v>
      </c>
      <c r="E273">
        <f>modif1!E273</f>
        <v>11</v>
      </c>
      <c r="F273" t="str">
        <f>modif1!F273</f>
        <v>LES CAZALAS</v>
      </c>
      <c r="G273" t="str">
        <f>modif1!G273</f>
        <v>0B</v>
      </c>
      <c r="H273">
        <f>modif1!H273</f>
        <v>1177</v>
      </c>
      <c r="I273" t="str">
        <f>modif1!I273</f>
        <v/>
      </c>
      <c r="J273" s="11">
        <f>modif1!J273</f>
        <v>0.224</v>
      </c>
      <c r="K273" t="str">
        <f>modif1!K273</f>
        <v>PLA</v>
      </c>
      <c r="L273" t="str">
        <f>modif1!L273</f>
        <v>PM</v>
      </c>
      <c r="M273">
        <f>modif1!M273</f>
        <v>2006</v>
      </c>
      <c r="N273" t="str">
        <f>modif1!N273</f>
        <v>PLA-PM_2006</v>
      </c>
      <c r="O273" t="b">
        <f>modif1!O273</f>
        <v>0</v>
      </c>
      <c r="P273">
        <v>40</v>
      </c>
      <c r="Q273" s="22"/>
      <c r="R273" t="s">
        <v>1804</v>
      </c>
      <c r="V273" t="s">
        <v>1805</v>
      </c>
      <c r="Z273" t="s">
        <v>1806</v>
      </c>
      <c r="AA273" s="17">
        <f>IF($A273,$J273*(IF(Q273=regle!$B$11,regle!$B$23*IF(AJ273=-2,1+regle!$B$35,1),
IF(Q273=regle!$C$11,regle!$C$23,
IF(Q273=regle!$D$11,regle!$D$23,
IF(Q273=regle!$E$11,regle!$E$23,
IF(Q273=regle!$F$11,regle!$F$23,
IF(Q273=regle!$G$11,regle!$G$23,
IF(Q273=regle!$H$11,regle!$H$23,
IF(Q273=regle!$I$11,regle!$I$23,
IF(Q273=regle!$J$11,regle!$J$23,
IF(Q273=regle!$K$11,regle!$K$23,0))))))))))))</f>
        <v>0</v>
      </c>
      <c r="AB273" s="17">
        <f>IF($A273,$J273*(IF(R273=regle!$B$11,regle!$B$23*IF(AK273=-2,1+regle!$B$35,1),
IF(R273=regle!$C$11,regle!$C$23,
IF(R273=regle!$D$11,regle!$D$23,
IF(R273=regle!$E$11,regle!$E$23,
IF(R273=regle!$F$11,regle!$F$23,
IF(R273=regle!$G$11,regle!$G$23,
IF(R273=regle!$H$11,regle!$H$23,
IF(R273=regle!$I$11,regle!$I$23,
IF(R273=regle!$J$11,regle!$J$23,
IF(R273=regle!$K$11,regle!$K$23,0))))))))))))</f>
        <v>188.16</v>
      </c>
      <c r="AC273" s="17">
        <f>IF($A273,$J273*(IF(S273=regle!$B$11,regle!$B$23*IF(AL273=-2,1+regle!$B$35,1),
IF(S273=regle!$C$11,regle!$C$23,
IF(S273=regle!$D$11,regle!$D$23,
IF(S273=regle!$E$11,regle!$E$23,
IF(S273=regle!$F$11,regle!$F$23,
IF(S273=regle!$G$11,regle!$G$23,
IF(S273=regle!$H$11,regle!$H$23,
IF(S273=regle!$I$11,regle!$I$23,
IF(S273=regle!$J$11,regle!$J$23,
IF(S273=regle!$K$11,regle!$K$23,0))))))))))))</f>
        <v>0</v>
      </c>
      <c r="AD273" s="17">
        <f>IF($A273,$J273*(IF(T273=regle!$B$11,regle!$B$23*IF(AM273=-2,1+regle!$B$35,1),
IF(T273=regle!$C$11,regle!$C$23,
IF(T273=regle!$D$11,regle!$D$23,
IF(T273=regle!$E$11,regle!$E$23,
IF(T273=regle!$F$11,regle!$F$23,
IF(T273=regle!$G$11,regle!$G$23,
IF(T273=regle!$H$11,regle!$H$23,
IF(T273=regle!$I$11,regle!$I$23,
IF(T273=regle!$J$11,regle!$J$23,
IF(T273=regle!$K$11,regle!$K$23,0))))))))))))</f>
        <v>0</v>
      </c>
      <c r="AE273" s="17">
        <f>IF($A273,$J273*(IF(U273=regle!$B$11,regle!$B$23*IF(AN273=-2,1+regle!$B$35,1),
IF(U273=regle!$C$11,regle!$C$23,
IF(U273=regle!$D$11,regle!$D$23,
IF(U273=regle!$E$11,regle!$E$23,
IF(U273=regle!$F$11,regle!$F$23,
IF(U273=regle!$G$11,regle!$G$23,
IF(U273=regle!$H$11,regle!$H$23,
IF(U273=regle!$I$11,regle!$I$23,
IF(U273=regle!$J$11,regle!$J$23,
IF(U273=regle!$K$11,regle!$K$23,0))))))))))))</f>
        <v>0</v>
      </c>
      <c r="AF273" s="17">
        <f>IF($A273,$J273*(IF(V273=regle!$B$11,regle!$B$23*IF(AO273=-2,1+regle!$B$35,1),
IF(V273=regle!$C$11,regle!$C$23,
IF(V273=regle!$D$11,regle!$D$23,
IF(V273=regle!$E$11,regle!$E$23,
IF(V273=regle!$F$11,regle!$F$23,
IF(V273=regle!$G$11,regle!$G$23,
IF(V273=regle!$H$11,regle!$H$23,
IF(V273=regle!$I$11,regle!$I$23,
IF(V273=regle!$J$11,regle!$J$23,
IF(V273=regle!$K$11,regle!$K$23,0))))))))))))</f>
        <v>315.392</v>
      </c>
      <c r="AG273" s="17">
        <f>IF($A273,$J273*(IF(W273=regle!$B$11,regle!$B$23*IF(AP273=-2,1+regle!$B$35,1),
IF(W273=regle!$C$11,regle!$C$23,
IF(W273=regle!$D$11,regle!$D$23,
IF(W273=regle!$E$11,regle!$E$23,
IF(W273=regle!$F$11,regle!$F$23,
IF(W273=regle!$G$11,regle!$G$23,
IF(W273=regle!$H$11,regle!$H$23,
IF(W273=regle!$I$11,regle!$I$23,
IF(W273=regle!$J$11,regle!$J$23,
IF(W273=regle!$K$11,regle!$K$23,0))))))))))))</f>
        <v>0</v>
      </c>
      <c r="AH273" s="17">
        <f>IF($A273,$J273*(IF(X273=regle!$B$11,regle!$B$23*IF(AQ273=-2,1+regle!$B$35,1),
IF(X273=regle!$C$11,regle!$C$23,
IF(X273=regle!$D$11,regle!$D$23,
IF(X273=regle!$E$11,regle!$E$23,
IF(X273=regle!$F$11,regle!$F$23,
IF(X273=regle!$G$11,regle!$G$23,
IF(X273=regle!$H$11,regle!$H$23,
IF(X273=regle!$I$11,regle!$I$23,
IF(X273=regle!$J$11,regle!$J$23,
IF(X273=regle!$K$11,regle!$K$23,0))))))))))))</f>
        <v>0</v>
      </c>
      <c r="AI273" s="17">
        <f>IF($A273,$J273*(IF(Y273=regle!$B$11,regle!$B$23*IF(AR273=-2,1+regle!$B$35,1),
IF(Y273=regle!$C$11,regle!$C$23,
IF(Y273=regle!$D$11,regle!$D$23,
IF(Y273=regle!$E$11,regle!$E$23,
IF(Y273=regle!$F$11,regle!$F$23,
IF(Y273=regle!$G$11,regle!$G$23,
IF(Y273=regle!$H$11,regle!$H$23,
IF(Y273=regle!$I$11,regle!$I$23,
IF(Y273=regle!$J$11,regle!$J$23,
IF(Y273=regle!$K$11,regle!$K$23,0))))))))))))</f>
        <v>0</v>
      </c>
      <c r="AJ273" s="17">
        <f>IF($A273,$J273*(IF(Z273=regle!$B$11,regle!$B$23*IF(AS273=-2,1+regle!$B$35,1),
IF(Z273=regle!$C$11,regle!$C$23,
IF(Z273=regle!$D$11,regle!$D$23,
IF(Z273=regle!$E$11,regle!$E$23,
IF(Z273=regle!$F$11,regle!$F$23,
IF(Z273=regle!$G$11,regle!$G$23,
IF(Z273=regle!$H$11,regle!$H$23,
IF(Z273=regle!$I$11,regle!$I$23,
IF(Z273=regle!$J$11,regle!$J$23,
IF(Z273=regle!$K$11,regle!$K$23,0))))))))))))</f>
        <v>286.72000000000003</v>
      </c>
      <c r="AK273" s="16">
        <f>IF(OR(Q273=regle!$J$11,Q273=regle!$K$11),-2,IF(Q273=regle!$B$11,0,IF(AK$1=$AK$1,IF($O273,-1,regle!$B$2-$M273),IF(AJ273=-1,-1,AJ273+1))))</f>
        <v>18</v>
      </c>
      <c r="AL273" s="16">
        <f>IF(OR(R273=regle!$J$11,R273=regle!$K$11),-2,IF(R273=regle!$B$11,0,IF(AL$1=$AK$1,IF($O273,-1,regle!$B$2-$M273),IF(AK273=-1,-1,AK273+1))))</f>
        <v>19</v>
      </c>
      <c r="AM273" s="16">
        <f>IF(OR(S273=regle!$J$11,S273=regle!$K$11),-2,IF(S273=regle!$B$11,0,IF(AM$1=$AK$1,IF($O273,-1,regle!$B$2-$M273),IF(AL273=-1,-1,AL273+1))))</f>
        <v>20</v>
      </c>
      <c r="AN273" s="16">
        <f>IF(OR(T273=regle!$J$11,T273=regle!$K$11),-2,IF(T273=regle!$B$11,0,IF(AN$1=$AK$1,IF($O273,-1,regle!$B$2-$M273),IF(AM273=-1,-1,AM273+1))))</f>
        <v>21</v>
      </c>
      <c r="AO273" s="16">
        <f>IF(OR(U273=regle!$J$11,U273=regle!$K$11),-2,IF(U273=regle!$B$11,0,IF(AO$1=$AK$1,IF($O273,-1,regle!$B$2-$M273),IF(AN273=-1,-1,AN273+1))))</f>
        <v>22</v>
      </c>
      <c r="AP273" s="16">
        <f>IF(OR(V273=regle!$J$11,V273=regle!$K$11),-2,IF(V273=regle!$B$11,0,IF(AP$1=$AK$1,IF($O273,-1,regle!$B$2-$M273),IF(AO273=-1,-1,AO273+1))))</f>
        <v>23</v>
      </c>
      <c r="AQ273" s="16">
        <f>IF(OR(W273=regle!$J$11,W273=regle!$K$11),-2,IF(W273=regle!$B$11,0,IF(AQ$1=$AK$1,IF($O273,-1,regle!$B$2-$M273),IF(AP273=-1,-1,AP273+1))))</f>
        <v>24</v>
      </c>
      <c r="AR273" s="16">
        <f>IF(OR(X273=regle!$J$11,X273=regle!$K$11),-2,IF(X273=regle!$B$11,0,IF(AR$1=$AK$1,IF($O273,-1,regle!$B$2-$M273),IF(AQ273=-1,-1,AQ273+1))))</f>
        <v>25</v>
      </c>
      <c r="AS273" s="16">
        <f>IF(OR(Y273=regle!$J$11,Y273=regle!$K$11),-2,IF(Y273=regle!$B$11,0,IF(AS$1=$AK$1,IF($O273,-1,regle!$B$2-$M273),IF(AR273=-1,-1,AR273+1))))</f>
        <v>26</v>
      </c>
      <c r="AT273" s="16">
        <f>IF(OR(Z273=regle!$J$11,Z273=regle!$K$11),-2,IF(Z273=regle!$B$11,0,IF(AT$1=$AK$1,IF($O273,-1,regle!$B$2-$M273),IF(AS273=-1,-1,AS273+1))))</f>
        <v>27</v>
      </c>
    </row>
    <row r="274" spans="1:46" x14ac:dyDescent="0.25">
      <c r="A274" t="b">
        <f>modif1!A274</f>
        <v>1</v>
      </c>
      <c r="B274">
        <f>ROW(modif1!B274)</f>
        <v>274</v>
      </c>
      <c r="C274" t="str">
        <f>modif1!C277</f>
        <v>202</v>
      </c>
      <c r="D274" t="str">
        <f>modif1!D274</f>
        <v>HOSTENS</v>
      </c>
      <c r="E274">
        <f>modif1!E274</f>
        <v>11</v>
      </c>
      <c r="F274" t="str">
        <f>modif1!F274</f>
        <v>LES CAZALAS</v>
      </c>
      <c r="G274" t="str">
        <f>modif1!G274</f>
        <v>0B</v>
      </c>
      <c r="H274">
        <f>modif1!H274</f>
        <v>1155</v>
      </c>
      <c r="I274" t="str">
        <f>modif1!I274</f>
        <v>j</v>
      </c>
      <c r="J274" s="11">
        <f>modif1!J274</f>
        <v>0.21179999999999999</v>
      </c>
      <c r="K274" t="str">
        <f>modif1!K274</f>
        <v>PLA</v>
      </c>
      <c r="L274" t="str">
        <f>modif1!L274</f>
        <v>PM</v>
      </c>
      <c r="M274">
        <f>modif1!M274</f>
        <v>2006</v>
      </c>
      <c r="N274" t="str">
        <f>modif1!N274</f>
        <v>PLA-PM_2006</v>
      </c>
      <c r="O274" t="b">
        <f>modif1!O274</f>
        <v>0</v>
      </c>
      <c r="P274">
        <v>40</v>
      </c>
      <c r="Q274" s="22"/>
      <c r="R274" t="s">
        <v>1804</v>
      </c>
      <c r="V274" t="s">
        <v>1805</v>
      </c>
      <c r="Z274" t="s">
        <v>1806</v>
      </c>
      <c r="AA274" s="17">
        <f>IF($A274,$J274*(IF(Q274=regle!$B$11,regle!$B$23*IF(AJ274=-2,1+regle!$B$35,1),
IF(Q274=regle!$C$11,regle!$C$23,
IF(Q274=regle!$D$11,regle!$D$23,
IF(Q274=regle!$E$11,regle!$E$23,
IF(Q274=regle!$F$11,regle!$F$23,
IF(Q274=regle!$G$11,regle!$G$23,
IF(Q274=regle!$H$11,regle!$H$23,
IF(Q274=regle!$I$11,regle!$I$23,
IF(Q274=regle!$J$11,regle!$J$23,
IF(Q274=regle!$K$11,regle!$K$23,0))))))))))))</f>
        <v>0</v>
      </c>
      <c r="AB274" s="17">
        <f>IF($A274,$J274*(IF(R274=regle!$B$11,regle!$B$23*IF(AK274=-2,1+regle!$B$35,1),
IF(R274=regle!$C$11,regle!$C$23,
IF(R274=regle!$D$11,regle!$D$23,
IF(R274=regle!$E$11,regle!$E$23,
IF(R274=regle!$F$11,regle!$F$23,
IF(R274=regle!$G$11,regle!$G$23,
IF(R274=regle!$H$11,regle!$H$23,
IF(R274=regle!$I$11,regle!$I$23,
IF(R274=regle!$J$11,regle!$J$23,
IF(R274=regle!$K$11,regle!$K$23,0))))))))))))</f>
        <v>177.91199999999998</v>
      </c>
      <c r="AC274" s="17">
        <f>IF($A274,$J274*(IF(S274=regle!$B$11,regle!$B$23*IF(AL274=-2,1+regle!$B$35,1),
IF(S274=regle!$C$11,regle!$C$23,
IF(S274=regle!$D$11,regle!$D$23,
IF(S274=regle!$E$11,regle!$E$23,
IF(S274=regle!$F$11,regle!$F$23,
IF(S274=regle!$G$11,regle!$G$23,
IF(S274=regle!$H$11,regle!$H$23,
IF(S274=regle!$I$11,regle!$I$23,
IF(S274=regle!$J$11,regle!$J$23,
IF(S274=regle!$K$11,regle!$K$23,0))))))))))))</f>
        <v>0</v>
      </c>
      <c r="AD274" s="17">
        <f>IF($A274,$J274*(IF(T274=regle!$B$11,regle!$B$23*IF(AM274=-2,1+regle!$B$35,1),
IF(T274=regle!$C$11,regle!$C$23,
IF(T274=regle!$D$11,regle!$D$23,
IF(T274=regle!$E$11,regle!$E$23,
IF(T274=regle!$F$11,regle!$F$23,
IF(T274=regle!$G$11,regle!$G$23,
IF(T274=regle!$H$11,regle!$H$23,
IF(T274=regle!$I$11,regle!$I$23,
IF(T274=regle!$J$11,regle!$J$23,
IF(T274=regle!$K$11,regle!$K$23,0))))))))))))</f>
        <v>0</v>
      </c>
      <c r="AE274" s="17">
        <f>IF($A274,$J274*(IF(U274=regle!$B$11,regle!$B$23*IF(AN274=-2,1+regle!$B$35,1),
IF(U274=regle!$C$11,regle!$C$23,
IF(U274=regle!$D$11,regle!$D$23,
IF(U274=regle!$E$11,regle!$E$23,
IF(U274=regle!$F$11,regle!$F$23,
IF(U274=regle!$G$11,regle!$G$23,
IF(U274=regle!$H$11,regle!$H$23,
IF(U274=regle!$I$11,regle!$I$23,
IF(U274=regle!$J$11,regle!$J$23,
IF(U274=regle!$K$11,regle!$K$23,0))))))))))))</f>
        <v>0</v>
      </c>
      <c r="AF274" s="17">
        <f>IF($A274,$J274*(IF(V274=regle!$B$11,regle!$B$23*IF(AO274=-2,1+regle!$B$35,1),
IF(V274=regle!$C$11,regle!$C$23,
IF(V274=regle!$D$11,regle!$D$23,
IF(V274=regle!$E$11,regle!$E$23,
IF(V274=regle!$F$11,regle!$F$23,
IF(V274=regle!$G$11,regle!$G$23,
IF(V274=regle!$H$11,regle!$H$23,
IF(V274=regle!$I$11,regle!$I$23,
IF(V274=regle!$J$11,regle!$J$23,
IF(V274=regle!$K$11,regle!$K$23,0))))))))))))</f>
        <v>298.21439999999996</v>
      </c>
      <c r="AG274" s="17">
        <f>IF($A274,$J274*(IF(W274=regle!$B$11,regle!$B$23*IF(AP274=-2,1+regle!$B$35,1),
IF(W274=regle!$C$11,regle!$C$23,
IF(W274=regle!$D$11,regle!$D$23,
IF(W274=regle!$E$11,regle!$E$23,
IF(W274=regle!$F$11,regle!$F$23,
IF(W274=regle!$G$11,regle!$G$23,
IF(W274=regle!$H$11,regle!$H$23,
IF(W274=regle!$I$11,regle!$I$23,
IF(W274=regle!$J$11,regle!$J$23,
IF(W274=regle!$K$11,regle!$K$23,0))))))))))))</f>
        <v>0</v>
      </c>
      <c r="AH274" s="17">
        <f>IF($A274,$J274*(IF(X274=regle!$B$11,regle!$B$23*IF(AQ274=-2,1+regle!$B$35,1),
IF(X274=regle!$C$11,regle!$C$23,
IF(X274=regle!$D$11,regle!$D$23,
IF(X274=regle!$E$11,regle!$E$23,
IF(X274=regle!$F$11,regle!$F$23,
IF(X274=regle!$G$11,regle!$G$23,
IF(X274=regle!$H$11,regle!$H$23,
IF(X274=regle!$I$11,regle!$I$23,
IF(X274=regle!$J$11,regle!$J$23,
IF(X274=regle!$K$11,regle!$K$23,0))))))))))))</f>
        <v>0</v>
      </c>
      <c r="AI274" s="17">
        <f>IF($A274,$J274*(IF(Y274=regle!$B$11,regle!$B$23*IF(AR274=-2,1+regle!$B$35,1),
IF(Y274=regle!$C$11,regle!$C$23,
IF(Y274=regle!$D$11,regle!$D$23,
IF(Y274=regle!$E$11,regle!$E$23,
IF(Y274=regle!$F$11,regle!$F$23,
IF(Y274=regle!$G$11,regle!$G$23,
IF(Y274=regle!$H$11,regle!$H$23,
IF(Y274=regle!$I$11,regle!$I$23,
IF(Y274=regle!$J$11,regle!$J$23,
IF(Y274=regle!$K$11,regle!$K$23,0))))))))))))</f>
        <v>0</v>
      </c>
      <c r="AJ274" s="17">
        <f>IF($A274,$J274*(IF(Z274=regle!$B$11,regle!$B$23*IF(AS274=-2,1+regle!$B$35,1),
IF(Z274=regle!$C$11,regle!$C$23,
IF(Z274=regle!$D$11,regle!$D$23,
IF(Z274=regle!$E$11,regle!$E$23,
IF(Z274=regle!$F$11,regle!$F$23,
IF(Z274=regle!$G$11,regle!$G$23,
IF(Z274=regle!$H$11,regle!$H$23,
IF(Z274=regle!$I$11,regle!$I$23,
IF(Z274=regle!$J$11,regle!$J$23,
IF(Z274=regle!$K$11,regle!$K$23,0))))))))))))</f>
        <v>271.10399999999998</v>
      </c>
      <c r="AK274" s="16">
        <f>IF(OR(Q274=regle!$J$11,Q274=regle!$K$11),-2,IF(Q274=regle!$B$11,0,IF(AK$1=$AK$1,IF($O274,-1,regle!$B$2-$M274),IF(AJ274=-1,-1,AJ274+1))))</f>
        <v>18</v>
      </c>
      <c r="AL274" s="16">
        <f>IF(OR(R274=regle!$J$11,R274=regle!$K$11),-2,IF(R274=regle!$B$11,0,IF(AL$1=$AK$1,IF($O274,-1,regle!$B$2-$M274),IF(AK274=-1,-1,AK274+1))))</f>
        <v>19</v>
      </c>
      <c r="AM274" s="16">
        <f>IF(OR(S274=regle!$J$11,S274=regle!$K$11),-2,IF(S274=regle!$B$11,0,IF(AM$1=$AK$1,IF($O274,-1,regle!$B$2-$M274),IF(AL274=-1,-1,AL274+1))))</f>
        <v>20</v>
      </c>
      <c r="AN274" s="16">
        <f>IF(OR(T274=regle!$J$11,T274=regle!$K$11),-2,IF(T274=regle!$B$11,0,IF(AN$1=$AK$1,IF($O274,-1,regle!$B$2-$M274),IF(AM274=-1,-1,AM274+1))))</f>
        <v>21</v>
      </c>
      <c r="AO274" s="16">
        <f>IF(OR(U274=regle!$J$11,U274=regle!$K$11),-2,IF(U274=regle!$B$11,0,IF(AO$1=$AK$1,IF($O274,-1,regle!$B$2-$M274),IF(AN274=-1,-1,AN274+1))))</f>
        <v>22</v>
      </c>
      <c r="AP274" s="16">
        <f>IF(OR(V274=regle!$J$11,V274=regle!$K$11),-2,IF(V274=regle!$B$11,0,IF(AP$1=$AK$1,IF($O274,-1,regle!$B$2-$M274),IF(AO274=-1,-1,AO274+1))))</f>
        <v>23</v>
      </c>
      <c r="AQ274" s="16">
        <f>IF(OR(W274=regle!$J$11,W274=regle!$K$11),-2,IF(W274=regle!$B$11,0,IF(AQ$1=$AK$1,IF($O274,-1,regle!$B$2-$M274),IF(AP274=-1,-1,AP274+1))))</f>
        <v>24</v>
      </c>
      <c r="AR274" s="16">
        <f>IF(OR(X274=regle!$J$11,X274=regle!$K$11),-2,IF(X274=regle!$B$11,0,IF(AR$1=$AK$1,IF($O274,-1,regle!$B$2-$M274),IF(AQ274=-1,-1,AQ274+1))))</f>
        <v>25</v>
      </c>
      <c r="AS274" s="16">
        <f>IF(OR(Y274=regle!$J$11,Y274=regle!$K$11),-2,IF(Y274=regle!$B$11,0,IF(AS$1=$AK$1,IF($O274,-1,regle!$B$2-$M274),IF(AR274=-1,-1,AR274+1))))</f>
        <v>26</v>
      </c>
      <c r="AT274" s="16">
        <f>IF(OR(Z274=regle!$J$11,Z274=regle!$K$11),-2,IF(Z274=regle!$B$11,0,IF(AT$1=$AK$1,IF($O274,-1,regle!$B$2-$M274),IF(AS274=-1,-1,AS274+1))))</f>
        <v>27</v>
      </c>
    </row>
    <row r="275" spans="1:46" x14ac:dyDescent="0.25">
      <c r="A275" t="b">
        <f>modif1!A275</f>
        <v>1</v>
      </c>
      <c r="B275">
        <f>ROW(modif1!B275)</f>
        <v>275</v>
      </c>
      <c r="C275" t="str">
        <f>modif1!C278</f>
        <v>202</v>
      </c>
      <c r="D275" t="str">
        <f>modif1!D275</f>
        <v>HOSTENS</v>
      </c>
      <c r="E275">
        <f>modif1!E275</f>
        <v>11</v>
      </c>
      <c r="F275" t="str">
        <f>modif1!F275</f>
        <v>LES CAZALAS</v>
      </c>
      <c r="G275" t="str">
        <f>modif1!G275</f>
        <v>0B</v>
      </c>
      <c r="H275">
        <f>modif1!H275</f>
        <v>1170</v>
      </c>
      <c r="I275" t="str">
        <f>modif1!I275</f>
        <v/>
      </c>
      <c r="J275" s="11">
        <f>modif1!J275</f>
        <v>0.20399999999999999</v>
      </c>
      <c r="K275" t="str">
        <f>modif1!K275</f>
        <v>PLA</v>
      </c>
      <c r="L275" t="str">
        <f>modif1!L275</f>
        <v>PM</v>
      </c>
      <c r="M275">
        <f>modif1!M275</f>
        <v>2006</v>
      </c>
      <c r="N275" t="str">
        <f>modif1!N275</f>
        <v>PLA-PM_2006</v>
      </c>
      <c r="O275" t="b">
        <f>modif1!O275</f>
        <v>0</v>
      </c>
      <c r="P275">
        <v>40</v>
      </c>
      <c r="Q275" s="22"/>
      <c r="R275" t="s">
        <v>1804</v>
      </c>
      <c r="V275" t="s">
        <v>1805</v>
      </c>
      <c r="Z275" t="s">
        <v>1806</v>
      </c>
      <c r="AA275" s="17">
        <f>IF($A275,$J275*(IF(Q275=regle!$B$11,regle!$B$23*IF(AJ275=-2,1+regle!$B$35,1),
IF(Q275=regle!$C$11,regle!$C$23,
IF(Q275=regle!$D$11,regle!$D$23,
IF(Q275=regle!$E$11,regle!$E$23,
IF(Q275=regle!$F$11,regle!$F$23,
IF(Q275=regle!$G$11,regle!$G$23,
IF(Q275=regle!$H$11,regle!$H$23,
IF(Q275=regle!$I$11,regle!$I$23,
IF(Q275=regle!$J$11,regle!$J$23,
IF(Q275=regle!$K$11,regle!$K$23,0))))))))))))</f>
        <v>0</v>
      </c>
      <c r="AB275" s="17">
        <f>IF($A275,$J275*(IF(R275=regle!$B$11,regle!$B$23*IF(AK275=-2,1+regle!$B$35,1),
IF(R275=regle!$C$11,regle!$C$23,
IF(R275=regle!$D$11,regle!$D$23,
IF(R275=regle!$E$11,regle!$E$23,
IF(R275=regle!$F$11,regle!$F$23,
IF(R275=regle!$G$11,regle!$G$23,
IF(R275=regle!$H$11,regle!$H$23,
IF(R275=regle!$I$11,regle!$I$23,
IF(R275=regle!$J$11,regle!$J$23,
IF(R275=regle!$K$11,regle!$K$23,0))))))))))))</f>
        <v>171.35999999999999</v>
      </c>
      <c r="AC275" s="17">
        <f>IF($A275,$J275*(IF(S275=regle!$B$11,regle!$B$23*IF(AL275=-2,1+regle!$B$35,1),
IF(S275=regle!$C$11,regle!$C$23,
IF(S275=regle!$D$11,regle!$D$23,
IF(S275=regle!$E$11,regle!$E$23,
IF(S275=regle!$F$11,regle!$F$23,
IF(S275=regle!$G$11,regle!$G$23,
IF(S275=regle!$H$11,regle!$H$23,
IF(S275=regle!$I$11,regle!$I$23,
IF(S275=regle!$J$11,regle!$J$23,
IF(S275=regle!$K$11,regle!$K$23,0))))))))))))</f>
        <v>0</v>
      </c>
      <c r="AD275" s="17">
        <f>IF($A275,$J275*(IF(T275=regle!$B$11,regle!$B$23*IF(AM275=-2,1+regle!$B$35,1),
IF(T275=regle!$C$11,regle!$C$23,
IF(T275=regle!$D$11,regle!$D$23,
IF(T275=regle!$E$11,regle!$E$23,
IF(T275=regle!$F$11,regle!$F$23,
IF(T275=regle!$G$11,regle!$G$23,
IF(T275=regle!$H$11,regle!$H$23,
IF(T275=regle!$I$11,regle!$I$23,
IF(T275=regle!$J$11,regle!$J$23,
IF(T275=regle!$K$11,regle!$K$23,0))))))))))))</f>
        <v>0</v>
      </c>
      <c r="AE275" s="17">
        <f>IF($A275,$J275*(IF(U275=regle!$B$11,regle!$B$23*IF(AN275=-2,1+regle!$B$35,1),
IF(U275=regle!$C$11,regle!$C$23,
IF(U275=regle!$D$11,regle!$D$23,
IF(U275=regle!$E$11,regle!$E$23,
IF(U275=regle!$F$11,regle!$F$23,
IF(U275=regle!$G$11,regle!$G$23,
IF(U275=regle!$H$11,regle!$H$23,
IF(U275=regle!$I$11,regle!$I$23,
IF(U275=regle!$J$11,regle!$J$23,
IF(U275=regle!$K$11,regle!$K$23,0))))))))))))</f>
        <v>0</v>
      </c>
      <c r="AF275" s="17">
        <f>IF($A275,$J275*(IF(V275=regle!$B$11,regle!$B$23*IF(AO275=-2,1+regle!$B$35,1),
IF(V275=regle!$C$11,regle!$C$23,
IF(V275=regle!$D$11,regle!$D$23,
IF(V275=regle!$E$11,regle!$E$23,
IF(V275=regle!$F$11,regle!$F$23,
IF(V275=regle!$G$11,regle!$G$23,
IF(V275=regle!$H$11,regle!$H$23,
IF(V275=regle!$I$11,regle!$I$23,
IF(V275=regle!$J$11,regle!$J$23,
IF(V275=regle!$K$11,regle!$K$23,0))))))))))))</f>
        <v>287.23199999999997</v>
      </c>
      <c r="AG275" s="17">
        <f>IF($A275,$J275*(IF(W275=regle!$B$11,regle!$B$23*IF(AP275=-2,1+regle!$B$35,1),
IF(W275=regle!$C$11,regle!$C$23,
IF(W275=regle!$D$11,regle!$D$23,
IF(W275=regle!$E$11,regle!$E$23,
IF(W275=regle!$F$11,regle!$F$23,
IF(W275=regle!$G$11,regle!$G$23,
IF(W275=regle!$H$11,regle!$H$23,
IF(W275=regle!$I$11,regle!$I$23,
IF(W275=regle!$J$11,regle!$J$23,
IF(W275=regle!$K$11,regle!$K$23,0))))))))))))</f>
        <v>0</v>
      </c>
      <c r="AH275" s="17">
        <f>IF($A275,$J275*(IF(X275=regle!$B$11,regle!$B$23*IF(AQ275=-2,1+regle!$B$35,1),
IF(X275=regle!$C$11,regle!$C$23,
IF(X275=regle!$D$11,regle!$D$23,
IF(X275=regle!$E$11,regle!$E$23,
IF(X275=regle!$F$11,regle!$F$23,
IF(X275=regle!$G$11,regle!$G$23,
IF(X275=regle!$H$11,regle!$H$23,
IF(X275=regle!$I$11,regle!$I$23,
IF(X275=regle!$J$11,regle!$J$23,
IF(X275=regle!$K$11,regle!$K$23,0))))))))))))</f>
        <v>0</v>
      </c>
      <c r="AI275" s="17">
        <f>IF($A275,$J275*(IF(Y275=regle!$B$11,regle!$B$23*IF(AR275=-2,1+regle!$B$35,1),
IF(Y275=regle!$C$11,regle!$C$23,
IF(Y275=regle!$D$11,regle!$D$23,
IF(Y275=regle!$E$11,regle!$E$23,
IF(Y275=regle!$F$11,regle!$F$23,
IF(Y275=regle!$G$11,regle!$G$23,
IF(Y275=regle!$H$11,regle!$H$23,
IF(Y275=regle!$I$11,regle!$I$23,
IF(Y275=regle!$J$11,regle!$J$23,
IF(Y275=regle!$K$11,regle!$K$23,0))))))))))))</f>
        <v>0</v>
      </c>
      <c r="AJ275" s="17">
        <f>IF($A275,$J275*(IF(Z275=regle!$B$11,regle!$B$23*IF(AS275=-2,1+regle!$B$35,1),
IF(Z275=regle!$C$11,regle!$C$23,
IF(Z275=regle!$D$11,regle!$D$23,
IF(Z275=regle!$E$11,regle!$E$23,
IF(Z275=regle!$F$11,regle!$F$23,
IF(Z275=regle!$G$11,regle!$G$23,
IF(Z275=regle!$H$11,regle!$H$23,
IF(Z275=regle!$I$11,regle!$I$23,
IF(Z275=regle!$J$11,regle!$J$23,
IF(Z275=regle!$K$11,regle!$K$23,0))))))))))))</f>
        <v>261.12</v>
      </c>
      <c r="AK275" s="16">
        <f>IF(OR(Q275=regle!$J$11,Q275=regle!$K$11),-2,IF(Q275=regle!$B$11,0,IF(AK$1=$AK$1,IF($O275,-1,regle!$B$2-$M275),IF(AJ275=-1,-1,AJ275+1))))</f>
        <v>18</v>
      </c>
      <c r="AL275" s="16">
        <f>IF(OR(R275=regle!$J$11,R275=regle!$K$11),-2,IF(R275=regle!$B$11,0,IF(AL$1=$AK$1,IF($O275,-1,regle!$B$2-$M275),IF(AK275=-1,-1,AK275+1))))</f>
        <v>19</v>
      </c>
      <c r="AM275" s="16">
        <f>IF(OR(S275=regle!$J$11,S275=regle!$K$11),-2,IF(S275=regle!$B$11,0,IF(AM$1=$AK$1,IF($O275,-1,regle!$B$2-$M275),IF(AL275=-1,-1,AL275+1))))</f>
        <v>20</v>
      </c>
      <c r="AN275" s="16">
        <f>IF(OR(T275=regle!$J$11,T275=regle!$K$11),-2,IF(T275=regle!$B$11,0,IF(AN$1=$AK$1,IF($O275,-1,regle!$B$2-$M275),IF(AM275=-1,-1,AM275+1))))</f>
        <v>21</v>
      </c>
      <c r="AO275" s="16">
        <f>IF(OR(U275=regle!$J$11,U275=regle!$K$11),-2,IF(U275=regle!$B$11,0,IF(AO$1=$AK$1,IF($O275,-1,regle!$B$2-$M275),IF(AN275=-1,-1,AN275+1))))</f>
        <v>22</v>
      </c>
      <c r="AP275" s="16">
        <f>IF(OR(V275=regle!$J$11,V275=regle!$K$11),-2,IF(V275=regle!$B$11,0,IF(AP$1=$AK$1,IF($O275,-1,regle!$B$2-$M275),IF(AO275=-1,-1,AO275+1))))</f>
        <v>23</v>
      </c>
      <c r="AQ275" s="16">
        <f>IF(OR(W275=regle!$J$11,W275=regle!$K$11),-2,IF(W275=regle!$B$11,0,IF(AQ$1=$AK$1,IF($O275,-1,regle!$B$2-$M275),IF(AP275=-1,-1,AP275+1))))</f>
        <v>24</v>
      </c>
      <c r="AR275" s="16">
        <f>IF(OR(X275=regle!$J$11,X275=regle!$K$11),-2,IF(X275=regle!$B$11,0,IF(AR$1=$AK$1,IF($O275,-1,regle!$B$2-$M275),IF(AQ275=-1,-1,AQ275+1))))</f>
        <v>25</v>
      </c>
      <c r="AS275" s="16">
        <f>IF(OR(Y275=regle!$J$11,Y275=regle!$K$11),-2,IF(Y275=regle!$B$11,0,IF(AS$1=$AK$1,IF($O275,-1,regle!$B$2-$M275),IF(AR275=-1,-1,AR275+1))))</f>
        <v>26</v>
      </c>
      <c r="AT275" s="16">
        <f>IF(OR(Z275=regle!$J$11,Z275=regle!$K$11),-2,IF(Z275=regle!$B$11,0,IF(AT$1=$AK$1,IF($O275,-1,regle!$B$2-$M275),IF(AS275=-1,-1,AS275+1))))</f>
        <v>27</v>
      </c>
    </row>
    <row r="276" spans="1:46" x14ac:dyDescent="0.25">
      <c r="A276" t="b">
        <f>modif1!A276</f>
        <v>1</v>
      </c>
      <c r="B276">
        <f>ROW(modif1!B276)</f>
        <v>276</v>
      </c>
      <c r="C276" t="str">
        <f>modif1!C279</f>
        <v>202</v>
      </c>
      <c r="D276" t="str">
        <f>modif1!D276</f>
        <v>HOSTENS</v>
      </c>
      <c r="E276">
        <f>modif1!E276</f>
        <v>11</v>
      </c>
      <c r="F276" t="str">
        <f>modif1!F276</f>
        <v>LES CAZALAS</v>
      </c>
      <c r="G276" t="str">
        <f>modif1!G276</f>
        <v>0B</v>
      </c>
      <c r="H276">
        <f>modif1!H276</f>
        <v>1183</v>
      </c>
      <c r="I276" t="str">
        <f>modif1!I276</f>
        <v/>
      </c>
      <c r="J276" s="11">
        <f>modif1!J276</f>
        <v>0.18099999999999999</v>
      </c>
      <c r="K276" t="str">
        <f>modif1!K276</f>
        <v>PLA</v>
      </c>
      <c r="L276" t="str">
        <f>modif1!L276</f>
        <v>PM</v>
      </c>
      <c r="M276">
        <f>modif1!M276</f>
        <v>2006</v>
      </c>
      <c r="N276" t="str">
        <f>modif1!N276</f>
        <v>PLA-PM_2006</v>
      </c>
      <c r="O276" t="b">
        <f>modif1!O276</f>
        <v>0</v>
      </c>
      <c r="P276">
        <v>40</v>
      </c>
      <c r="Q276" s="22"/>
      <c r="R276" t="s">
        <v>1804</v>
      </c>
      <c r="V276" t="s">
        <v>1805</v>
      </c>
      <c r="Z276" t="s">
        <v>1806</v>
      </c>
      <c r="AA276" s="17">
        <f>IF($A276,$J276*(IF(Q276=regle!$B$11,regle!$B$23*IF(AJ276=-2,1+regle!$B$35,1),
IF(Q276=regle!$C$11,regle!$C$23,
IF(Q276=regle!$D$11,regle!$D$23,
IF(Q276=regle!$E$11,regle!$E$23,
IF(Q276=regle!$F$11,regle!$F$23,
IF(Q276=regle!$G$11,regle!$G$23,
IF(Q276=regle!$H$11,regle!$H$23,
IF(Q276=regle!$I$11,regle!$I$23,
IF(Q276=regle!$J$11,regle!$J$23,
IF(Q276=regle!$K$11,regle!$K$23,0))))))))))))</f>
        <v>0</v>
      </c>
      <c r="AB276" s="17">
        <f>IF($A276,$J276*(IF(R276=regle!$B$11,regle!$B$23*IF(AK276=-2,1+regle!$B$35,1),
IF(R276=regle!$C$11,regle!$C$23,
IF(R276=regle!$D$11,regle!$D$23,
IF(R276=regle!$E$11,regle!$E$23,
IF(R276=regle!$F$11,regle!$F$23,
IF(R276=regle!$G$11,regle!$G$23,
IF(R276=regle!$H$11,regle!$H$23,
IF(R276=regle!$I$11,regle!$I$23,
IF(R276=regle!$J$11,regle!$J$23,
IF(R276=regle!$K$11,regle!$K$23,0))))))))))))</f>
        <v>152.04</v>
      </c>
      <c r="AC276" s="17">
        <f>IF($A276,$J276*(IF(S276=regle!$B$11,regle!$B$23*IF(AL276=-2,1+regle!$B$35,1),
IF(S276=regle!$C$11,regle!$C$23,
IF(S276=regle!$D$11,regle!$D$23,
IF(S276=regle!$E$11,regle!$E$23,
IF(S276=regle!$F$11,regle!$F$23,
IF(S276=regle!$G$11,regle!$G$23,
IF(S276=regle!$H$11,regle!$H$23,
IF(S276=regle!$I$11,regle!$I$23,
IF(S276=regle!$J$11,regle!$J$23,
IF(S276=regle!$K$11,regle!$K$23,0))))))))))))</f>
        <v>0</v>
      </c>
      <c r="AD276" s="17">
        <f>IF($A276,$J276*(IF(T276=regle!$B$11,regle!$B$23*IF(AM276=-2,1+regle!$B$35,1),
IF(T276=regle!$C$11,regle!$C$23,
IF(T276=regle!$D$11,regle!$D$23,
IF(T276=regle!$E$11,regle!$E$23,
IF(T276=regle!$F$11,regle!$F$23,
IF(T276=regle!$G$11,regle!$G$23,
IF(T276=regle!$H$11,regle!$H$23,
IF(T276=regle!$I$11,regle!$I$23,
IF(T276=regle!$J$11,regle!$J$23,
IF(T276=regle!$K$11,regle!$K$23,0))))))))))))</f>
        <v>0</v>
      </c>
      <c r="AE276" s="17">
        <f>IF($A276,$J276*(IF(U276=regle!$B$11,regle!$B$23*IF(AN276=-2,1+regle!$B$35,1),
IF(U276=regle!$C$11,regle!$C$23,
IF(U276=regle!$D$11,regle!$D$23,
IF(U276=regle!$E$11,regle!$E$23,
IF(U276=regle!$F$11,regle!$F$23,
IF(U276=regle!$G$11,regle!$G$23,
IF(U276=regle!$H$11,regle!$H$23,
IF(U276=regle!$I$11,regle!$I$23,
IF(U276=regle!$J$11,regle!$J$23,
IF(U276=regle!$K$11,regle!$K$23,0))))))))))))</f>
        <v>0</v>
      </c>
      <c r="AF276" s="17">
        <f>IF($A276,$J276*(IF(V276=regle!$B$11,regle!$B$23*IF(AO276=-2,1+regle!$B$35,1),
IF(V276=regle!$C$11,regle!$C$23,
IF(V276=regle!$D$11,regle!$D$23,
IF(V276=regle!$E$11,regle!$E$23,
IF(V276=regle!$F$11,regle!$F$23,
IF(V276=regle!$G$11,regle!$G$23,
IF(V276=regle!$H$11,regle!$H$23,
IF(V276=regle!$I$11,regle!$I$23,
IF(V276=regle!$J$11,regle!$J$23,
IF(V276=regle!$K$11,regle!$K$23,0))))))))))))</f>
        <v>254.84799999999998</v>
      </c>
      <c r="AG276" s="17">
        <f>IF($A276,$J276*(IF(W276=regle!$B$11,regle!$B$23*IF(AP276=-2,1+regle!$B$35,1),
IF(W276=regle!$C$11,regle!$C$23,
IF(W276=regle!$D$11,regle!$D$23,
IF(W276=regle!$E$11,regle!$E$23,
IF(W276=regle!$F$11,regle!$F$23,
IF(W276=regle!$G$11,regle!$G$23,
IF(W276=regle!$H$11,regle!$H$23,
IF(W276=regle!$I$11,regle!$I$23,
IF(W276=regle!$J$11,regle!$J$23,
IF(W276=regle!$K$11,regle!$K$23,0))))))))))))</f>
        <v>0</v>
      </c>
      <c r="AH276" s="17">
        <f>IF($A276,$J276*(IF(X276=regle!$B$11,regle!$B$23*IF(AQ276=-2,1+regle!$B$35,1),
IF(X276=regle!$C$11,regle!$C$23,
IF(X276=regle!$D$11,regle!$D$23,
IF(X276=regle!$E$11,regle!$E$23,
IF(X276=regle!$F$11,regle!$F$23,
IF(X276=regle!$G$11,regle!$G$23,
IF(X276=regle!$H$11,regle!$H$23,
IF(X276=regle!$I$11,regle!$I$23,
IF(X276=regle!$J$11,regle!$J$23,
IF(X276=regle!$K$11,regle!$K$23,0))))))))))))</f>
        <v>0</v>
      </c>
      <c r="AI276" s="17">
        <f>IF($A276,$J276*(IF(Y276=regle!$B$11,regle!$B$23*IF(AR276=-2,1+regle!$B$35,1),
IF(Y276=regle!$C$11,regle!$C$23,
IF(Y276=regle!$D$11,regle!$D$23,
IF(Y276=regle!$E$11,regle!$E$23,
IF(Y276=regle!$F$11,regle!$F$23,
IF(Y276=regle!$G$11,regle!$G$23,
IF(Y276=regle!$H$11,regle!$H$23,
IF(Y276=regle!$I$11,regle!$I$23,
IF(Y276=regle!$J$11,regle!$J$23,
IF(Y276=regle!$K$11,regle!$K$23,0))))))))))))</f>
        <v>0</v>
      </c>
      <c r="AJ276" s="17">
        <f>IF($A276,$J276*(IF(Z276=regle!$B$11,regle!$B$23*IF(AS276=-2,1+regle!$B$35,1),
IF(Z276=regle!$C$11,regle!$C$23,
IF(Z276=regle!$D$11,regle!$D$23,
IF(Z276=regle!$E$11,regle!$E$23,
IF(Z276=regle!$F$11,regle!$F$23,
IF(Z276=regle!$G$11,regle!$G$23,
IF(Z276=regle!$H$11,regle!$H$23,
IF(Z276=regle!$I$11,regle!$I$23,
IF(Z276=regle!$J$11,regle!$J$23,
IF(Z276=regle!$K$11,regle!$K$23,0))))))))))))</f>
        <v>231.68</v>
      </c>
      <c r="AK276" s="16">
        <f>IF(OR(Q276=regle!$J$11,Q276=regle!$K$11),-2,IF(Q276=regle!$B$11,0,IF(AK$1=$AK$1,IF($O276,-1,regle!$B$2-$M276),IF(AJ276=-1,-1,AJ276+1))))</f>
        <v>18</v>
      </c>
      <c r="AL276" s="16">
        <f>IF(OR(R276=regle!$J$11,R276=regle!$K$11),-2,IF(R276=regle!$B$11,0,IF(AL$1=$AK$1,IF($O276,-1,regle!$B$2-$M276),IF(AK276=-1,-1,AK276+1))))</f>
        <v>19</v>
      </c>
      <c r="AM276" s="16">
        <f>IF(OR(S276=regle!$J$11,S276=regle!$K$11),-2,IF(S276=regle!$B$11,0,IF(AM$1=$AK$1,IF($O276,-1,regle!$B$2-$M276),IF(AL276=-1,-1,AL276+1))))</f>
        <v>20</v>
      </c>
      <c r="AN276" s="16">
        <f>IF(OR(T276=regle!$J$11,T276=regle!$K$11),-2,IF(T276=regle!$B$11,0,IF(AN$1=$AK$1,IF($O276,-1,regle!$B$2-$M276),IF(AM276=-1,-1,AM276+1))))</f>
        <v>21</v>
      </c>
      <c r="AO276" s="16">
        <f>IF(OR(U276=regle!$J$11,U276=regle!$K$11),-2,IF(U276=regle!$B$11,0,IF(AO$1=$AK$1,IF($O276,-1,regle!$B$2-$M276),IF(AN276=-1,-1,AN276+1))))</f>
        <v>22</v>
      </c>
      <c r="AP276" s="16">
        <f>IF(OR(V276=regle!$J$11,V276=regle!$K$11),-2,IF(V276=regle!$B$11,0,IF(AP$1=$AK$1,IF($O276,-1,regle!$B$2-$M276),IF(AO276=-1,-1,AO276+1))))</f>
        <v>23</v>
      </c>
      <c r="AQ276" s="16">
        <f>IF(OR(W276=regle!$J$11,W276=regle!$K$11),-2,IF(W276=regle!$B$11,0,IF(AQ$1=$AK$1,IF($O276,-1,regle!$B$2-$M276),IF(AP276=-1,-1,AP276+1))))</f>
        <v>24</v>
      </c>
      <c r="AR276" s="16">
        <f>IF(OR(X276=regle!$J$11,X276=regle!$K$11),-2,IF(X276=regle!$B$11,0,IF(AR$1=$AK$1,IF($O276,-1,regle!$B$2-$M276),IF(AQ276=-1,-1,AQ276+1))))</f>
        <v>25</v>
      </c>
      <c r="AS276" s="16">
        <f>IF(OR(Y276=regle!$J$11,Y276=regle!$K$11),-2,IF(Y276=regle!$B$11,0,IF(AS$1=$AK$1,IF($O276,-1,regle!$B$2-$M276),IF(AR276=-1,-1,AR276+1))))</f>
        <v>26</v>
      </c>
      <c r="AT276" s="16">
        <f>IF(OR(Z276=regle!$J$11,Z276=regle!$K$11),-2,IF(Z276=regle!$B$11,0,IF(AT$1=$AK$1,IF($O276,-1,regle!$B$2-$M276),IF(AS276=-1,-1,AS276+1))))</f>
        <v>27</v>
      </c>
    </row>
    <row r="277" spans="1:46" x14ac:dyDescent="0.25">
      <c r="A277" t="b">
        <f>modif1!A277</f>
        <v>1</v>
      </c>
      <c r="B277">
        <f>ROW(modif1!B277)</f>
        <v>277</v>
      </c>
      <c r="C277" t="str">
        <f>modif1!C280</f>
        <v>202</v>
      </c>
      <c r="D277" t="str">
        <f>modif1!D277</f>
        <v>HOSTENS</v>
      </c>
      <c r="E277">
        <f>modif1!E277</f>
        <v>11</v>
      </c>
      <c r="F277" t="str">
        <f>modif1!F277</f>
        <v>LES CAZALAS</v>
      </c>
      <c r="G277" t="str">
        <f>modif1!G277</f>
        <v>0B</v>
      </c>
      <c r="H277">
        <f>modif1!H277</f>
        <v>1162</v>
      </c>
      <c r="I277" t="str">
        <f>modif1!I277</f>
        <v/>
      </c>
      <c r="J277" s="11">
        <f>modif1!J277</f>
        <v>0.16800000000000001</v>
      </c>
      <c r="K277" t="str">
        <f>modif1!K277</f>
        <v>PLA</v>
      </c>
      <c r="L277" t="str">
        <f>modif1!L277</f>
        <v>PM</v>
      </c>
      <c r="M277">
        <f>modif1!M277</f>
        <v>2006</v>
      </c>
      <c r="N277" t="str">
        <f>modif1!N277</f>
        <v>PLA-PM_2006</v>
      </c>
      <c r="O277" t="b">
        <f>modif1!O277</f>
        <v>0</v>
      </c>
      <c r="P277">
        <v>40</v>
      </c>
      <c r="Q277" s="22"/>
      <c r="R277" t="s">
        <v>1804</v>
      </c>
      <c r="V277" t="s">
        <v>1805</v>
      </c>
      <c r="Z277" t="s">
        <v>1806</v>
      </c>
      <c r="AA277" s="17">
        <f>IF($A277,$J277*(IF(Q277=regle!$B$11,regle!$B$23*IF(AJ277=-2,1+regle!$B$35,1),
IF(Q277=regle!$C$11,regle!$C$23,
IF(Q277=regle!$D$11,regle!$D$23,
IF(Q277=regle!$E$11,regle!$E$23,
IF(Q277=regle!$F$11,regle!$F$23,
IF(Q277=regle!$G$11,regle!$G$23,
IF(Q277=regle!$H$11,regle!$H$23,
IF(Q277=regle!$I$11,regle!$I$23,
IF(Q277=regle!$J$11,regle!$J$23,
IF(Q277=regle!$K$11,regle!$K$23,0))))))))))))</f>
        <v>0</v>
      </c>
      <c r="AB277" s="17">
        <f>IF($A277,$J277*(IF(R277=regle!$B$11,regle!$B$23*IF(AK277=-2,1+regle!$B$35,1),
IF(R277=regle!$C$11,regle!$C$23,
IF(R277=regle!$D$11,regle!$D$23,
IF(R277=regle!$E$11,regle!$E$23,
IF(R277=regle!$F$11,regle!$F$23,
IF(R277=regle!$G$11,regle!$G$23,
IF(R277=regle!$H$11,regle!$H$23,
IF(R277=regle!$I$11,regle!$I$23,
IF(R277=regle!$J$11,regle!$J$23,
IF(R277=regle!$K$11,regle!$K$23,0))))))))))))</f>
        <v>141.12</v>
      </c>
      <c r="AC277" s="17">
        <f>IF($A277,$J277*(IF(S277=regle!$B$11,regle!$B$23*IF(AL277=-2,1+regle!$B$35,1),
IF(S277=regle!$C$11,regle!$C$23,
IF(S277=regle!$D$11,regle!$D$23,
IF(S277=regle!$E$11,regle!$E$23,
IF(S277=regle!$F$11,regle!$F$23,
IF(S277=regle!$G$11,regle!$G$23,
IF(S277=regle!$H$11,regle!$H$23,
IF(S277=regle!$I$11,regle!$I$23,
IF(S277=regle!$J$11,regle!$J$23,
IF(S277=regle!$K$11,regle!$K$23,0))))))))))))</f>
        <v>0</v>
      </c>
      <c r="AD277" s="17">
        <f>IF($A277,$J277*(IF(T277=regle!$B$11,regle!$B$23*IF(AM277=-2,1+regle!$B$35,1),
IF(T277=regle!$C$11,regle!$C$23,
IF(T277=regle!$D$11,regle!$D$23,
IF(T277=regle!$E$11,regle!$E$23,
IF(T277=regle!$F$11,regle!$F$23,
IF(T277=regle!$G$11,regle!$G$23,
IF(T277=regle!$H$11,regle!$H$23,
IF(T277=regle!$I$11,regle!$I$23,
IF(T277=regle!$J$11,regle!$J$23,
IF(T277=regle!$K$11,regle!$K$23,0))))))))))))</f>
        <v>0</v>
      </c>
      <c r="AE277" s="17">
        <f>IF($A277,$J277*(IF(U277=regle!$B$11,regle!$B$23*IF(AN277=-2,1+regle!$B$35,1),
IF(U277=regle!$C$11,regle!$C$23,
IF(U277=regle!$D$11,regle!$D$23,
IF(U277=regle!$E$11,regle!$E$23,
IF(U277=regle!$F$11,regle!$F$23,
IF(U277=regle!$G$11,regle!$G$23,
IF(U277=regle!$H$11,regle!$H$23,
IF(U277=regle!$I$11,regle!$I$23,
IF(U277=regle!$J$11,regle!$J$23,
IF(U277=regle!$K$11,regle!$K$23,0))))))))))))</f>
        <v>0</v>
      </c>
      <c r="AF277" s="17">
        <f>IF($A277,$J277*(IF(V277=regle!$B$11,regle!$B$23*IF(AO277=-2,1+regle!$B$35,1),
IF(V277=regle!$C$11,regle!$C$23,
IF(V277=regle!$D$11,regle!$D$23,
IF(V277=regle!$E$11,regle!$E$23,
IF(V277=regle!$F$11,regle!$F$23,
IF(V277=regle!$G$11,regle!$G$23,
IF(V277=regle!$H$11,regle!$H$23,
IF(V277=regle!$I$11,regle!$I$23,
IF(V277=regle!$J$11,regle!$J$23,
IF(V277=regle!$K$11,regle!$K$23,0))))))))))))</f>
        <v>236.54400000000001</v>
      </c>
      <c r="AG277" s="17">
        <f>IF($A277,$J277*(IF(W277=regle!$B$11,regle!$B$23*IF(AP277=-2,1+regle!$B$35,1),
IF(W277=regle!$C$11,regle!$C$23,
IF(W277=regle!$D$11,regle!$D$23,
IF(W277=regle!$E$11,regle!$E$23,
IF(W277=regle!$F$11,regle!$F$23,
IF(W277=regle!$G$11,regle!$G$23,
IF(W277=regle!$H$11,regle!$H$23,
IF(W277=regle!$I$11,regle!$I$23,
IF(W277=regle!$J$11,regle!$J$23,
IF(W277=regle!$K$11,regle!$K$23,0))))))))))))</f>
        <v>0</v>
      </c>
      <c r="AH277" s="17">
        <f>IF($A277,$J277*(IF(X277=regle!$B$11,regle!$B$23*IF(AQ277=-2,1+regle!$B$35,1),
IF(X277=regle!$C$11,regle!$C$23,
IF(X277=regle!$D$11,regle!$D$23,
IF(X277=regle!$E$11,regle!$E$23,
IF(X277=regle!$F$11,regle!$F$23,
IF(X277=regle!$G$11,regle!$G$23,
IF(X277=regle!$H$11,regle!$H$23,
IF(X277=regle!$I$11,regle!$I$23,
IF(X277=regle!$J$11,regle!$J$23,
IF(X277=regle!$K$11,regle!$K$23,0))))))))))))</f>
        <v>0</v>
      </c>
      <c r="AI277" s="17">
        <f>IF($A277,$J277*(IF(Y277=regle!$B$11,regle!$B$23*IF(AR277=-2,1+regle!$B$35,1),
IF(Y277=regle!$C$11,regle!$C$23,
IF(Y277=regle!$D$11,regle!$D$23,
IF(Y277=regle!$E$11,regle!$E$23,
IF(Y277=regle!$F$11,regle!$F$23,
IF(Y277=regle!$G$11,regle!$G$23,
IF(Y277=regle!$H$11,regle!$H$23,
IF(Y277=regle!$I$11,regle!$I$23,
IF(Y277=regle!$J$11,regle!$J$23,
IF(Y277=regle!$K$11,regle!$K$23,0))))))))))))</f>
        <v>0</v>
      </c>
      <c r="AJ277" s="17">
        <f>IF($A277,$J277*(IF(Z277=regle!$B$11,regle!$B$23*IF(AS277=-2,1+regle!$B$35,1),
IF(Z277=regle!$C$11,regle!$C$23,
IF(Z277=regle!$D$11,regle!$D$23,
IF(Z277=regle!$E$11,regle!$E$23,
IF(Z277=regle!$F$11,regle!$F$23,
IF(Z277=regle!$G$11,regle!$G$23,
IF(Z277=regle!$H$11,regle!$H$23,
IF(Z277=regle!$I$11,regle!$I$23,
IF(Z277=regle!$J$11,regle!$J$23,
IF(Z277=regle!$K$11,regle!$K$23,0))))))))))))</f>
        <v>215.04000000000002</v>
      </c>
      <c r="AK277" s="16">
        <f>IF(OR(Q277=regle!$J$11,Q277=regle!$K$11),-2,IF(Q277=regle!$B$11,0,IF(AK$1=$AK$1,IF($O277,-1,regle!$B$2-$M277),IF(AJ277=-1,-1,AJ277+1))))</f>
        <v>18</v>
      </c>
      <c r="AL277" s="16">
        <f>IF(OR(R277=regle!$J$11,R277=regle!$K$11),-2,IF(R277=regle!$B$11,0,IF(AL$1=$AK$1,IF($O277,-1,regle!$B$2-$M277),IF(AK277=-1,-1,AK277+1))))</f>
        <v>19</v>
      </c>
      <c r="AM277" s="16">
        <f>IF(OR(S277=regle!$J$11,S277=regle!$K$11),-2,IF(S277=regle!$B$11,0,IF(AM$1=$AK$1,IF($O277,-1,regle!$B$2-$M277),IF(AL277=-1,-1,AL277+1))))</f>
        <v>20</v>
      </c>
      <c r="AN277" s="16">
        <f>IF(OR(T277=regle!$J$11,T277=regle!$K$11),-2,IF(T277=regle!$B$11,0,IF(AN$1=$AK$1,IF($O277,-1,regle!$B$2-$M277),IF(AM277=-1,-1,AM277+1))))</f>
        <v>21</v>
      </c>
      <c r="AO277" s="16">
        <f>IF(OR(U277=regle!$J$11,U277=regle!$K$11),-2,IF(U277=regle!$B$11,0,IF(AO$1=$AK$1,IF($O277,-1,regle!$B$2-$M277),IF(AN277=-1,-1,AN277+1))))</f>
        <v>22</v>
      </c>
      <c r="AP277" s="16">
        <f>IF(OR(V277=regle!$J$11,V277=regle!$K$11),-2,IF(V277=regle!$B$11,0,IF(AP$1=$AK$1,IF($O277,-1,regle!$B$2-$M277),IF(AO277=-1,-1,AO277+1))))</f>
        <v>23</v>
      </c>
      <c r="AQ277" s="16">
        <f>IF(OR(W277=regle!$J$11,W277=regle!$K$11),-2,IF(W277=regle!$B$11,0,IF(AQ$1=$AK$1,IF($O277,-1,regle!$B$2-$M277),IF(AP277=-1,-1,AP277+1))))</f>
        <v>24</v>
      </c>
      <c r="AR277" s="16">
        <f>IF(OR(X277=regle!$J$11,X277=regle!$K$11),-2,IF(X277=regle!$B$11,0,IF(AR$1=$AK$1,IF($O277,-1,regle!$B$2-$M277),IF(AQ277=-1,-1,AQ277+1))))</f>
        <v>25</v>
      </c>
      <c r="AS277" s="16">
        <f>IF(OR(Y277=regle!$J$11,Y277=regle!$K$11),-2,IF(Y277=regle!$B$11,0,IF(AS$1=$AK$1,IF($O277,-1,regle!$B$2-$M277),IF(AR277=-1,-1,AR277+1))))</f>
        <v>26</v>
      </c>
      <c r="AT277" s="16">
        <f>IF(OR(Z277=regle!$J$11,Z277=regle!$K$11),-2,IF(Z277=regle!$B$11,0,IF(AT$1=$AK$1,IF($O277,-1,regle!$B$2-$M277),IF(AS277=-1,-1,AS277+1))))</f>
        <v>27</v>
      </c>
    </row>
    <row r="278" spans="1:46" x14ac:dyDescent="0.25">
      <c r="A278" t="b">
        <f>modif1!A278</f>
        <v>1</v>
      </c>
      <c r="B278">
        <f>ROW(modif1!B278)</f>
        <v>278</v>
      </c>
      <c r="C278" t="str">
        <f>modif1!C281</f>
        <v>202</v>
      </c>
      <c r="D278" t="str">
        <f>modif1!D278</f>
        <v>HOSTENS</v>
      </c>
      <c r="E278">
        <f>modif1!E278</f>
        <v>11</v>
      </c>
      <c r="F278" t="str">
        <f>modif1!F278</f>
        <v>LES CAZALAS</v>
      </c>
      <c r="G278" t="str">
        <f>modif1!G278</f>
        <v>0B</v>
      </c>
      <c r="H278">
        <f>modif1!H278</f>
        <v>1167</v>
      </c>
      <c r="I278" t="str">
        <f>modif1!I278</f>
        <v/>
      </c>
      <c r="J278" s="11">
        <f>modif1!J278</f>
        <v>0.156</v>
      </c>
      <c r="K278" t="str">
        <f>modif1!K278</f>
        <v>PLA</v>
      </c>
      <c r="L278" t="str">
        <f>modif1!L278</f>
        <v>PM</v>
      </c>
      <c r="M278">
        <f>modif1!M278</f>
        <v>2006</v>
      </c>
      <c r="N278" t="str">
        <f>modif1!N278</f>
        <v>PLA-PM_2006</v>
      </c>
      <c r="O278" t="b">
        <f>modif1!O278</f>
        <v>0</v>
      </c>
      <c r="P278">
        <v>40</v>
      </c>
      <c r="Q278" s="22"/>
      <c r="R278" t="s">
        <v>1804</v>
      </c>
      <c r="V278" t="s">
        <v>1805</v>
      </c>
      <c r="Z278" t="s">
        <v>1806</v>
      </c>
      <c r="AA278" s="17">
        <f>IF($A278,$J278*(IF(Q278=regle!$B$11,regle!$B$23*IF(AJ278=-2,1+regle!$B$35,1),
IF(Q278=regle!$C$11,regle!$C$23,
IF(Q278=regle!$D$11,regle!$D$23,
IF(Q278=regle!$E$11,regle!$E$23,
IF(Q278=regle!$F$11,regle!$F$23,
IF(Q278=regle!$G$11,regle!$G$23,
IF(Q278=regle!$H$11,regle!$H$23,
IF(Q278=regle!$I$11,regle!$I$23,
IF(Q278=regle!$J$11,regle!$J$23,
IF(Q278=regle!$K$11,regle!$K$23,0))))))))))))</f>
        <v>0</v>
      </c>
      <c r="AB278" s="17">
        <f>IF($A278,$J278*(IF(R278=regle!$B$11,regle!$B$23*IF(AK278=-2,1+regle!$B$35,1),
IF(R278=regle!$C$11,regle!$C$23,
IF(R278=regle!$D$11,regle!$D$23,
IF(R278=regle!$E$11,regle!$E$23,
IF(R278=regle!$F$11,regle!$F$23,
IF(R278=regle!$G$11,regle!$G$23,
IF(R278=regle!$H$11,regle!$H$23,
IF(R278=regle!$I$11,regle!$I$23,
IF(R278=regle!$J$11,regle!$J$23,
IF(R278=regle!$K$11,regle!$K$23,0))))))))))))</f>
        <v>131.04</v>
      </c>
      <c r="AC278" s="17">
        <f>IF($A278,$J278*(IF(S278=regle!$B$11,regle!$B$23*IF(AL278=-2,1+regle!$B$35,1),
IF(S278=regle!$C$11,regle!$C$23,
IF(S278=regle!$D$11,regle!$D$23,
IF(S278=regle!$E$11,regle!$E$23,
IF(S278=regle!$F$11,regle!$F$23,
IF(S278=regle!$G$11,regle!$G$23,
IF(S278=regle!$H$11,regle!$H$23,
IF(S278=regle!$I$11,regle!$I$23,
IF(S278=regle!$J$11,regle!$J$23,
IF(S278=regle!$K$11,regle!$K$23,0))))))))))))</f>
        <v>0</v>
      </c>
      <c r="AD278" s="17">
        <f>IF($A278,$J278*(IF(T278=regle!$B$11,regle!$B$23*IF(AM278=-2,1+regle!$B$35,1),
IF(T278=regle!$C$11,regle!$C$23,
IF(T278=regle!$D$11,regle!$D$23,
IF(T278=regle!$E$11,regle!$E$23,
IF(T278=regle!$F$11,regle!$F$23,
IF(T278=regle!$G$11,regle!$G$23,
IF(T278=regle!$H$11,regle!$H$23,
IF(T278=regle!$I$11,regle!$I$23,
IF(T278=regle!$J$11,regle!$J$23,
IF(T278=regle!$K$11,regle!$K$23,0))))))))))))</f>
        <v>0</v>
      </c>
      <c r="AE278" s="17">
        <f>IF($A278,$J278*(IF(U278=regle!$B$11,regle!$B$23*IF(AN278=-2,1+regle!$B$35,1),
IF(U278=regle!$C$11,regle!$C$23,
IF(U278=regle!$D$11,regle!$D$23,
IF(U278=regle!$E$11,regle!$E$23,
IF(U278=regle!$F$11,regle!$F$23,
IF(U278=regle!$G$11,regle!$G$23,
IF(U278=regle!$H$11,regle!$H$23,
IF(U278=regle!$I$11,regle!$I$23,
IF(U278=regle!$J$11,regle!$J$23,
IF(U278=regle!$K$11,regle!$K$23,0))))))))))))</f>
        <v>0</v>
      </c>
      <c r="AF278" s="17">
        <f>IF($A278,$J278*(IF(V278=regle!$B$11,regle!$B$23*IF(AO278=-2,1+regle!$B$35,1),
IF(V278=regle!$C$11,regle!$C$23,
IF(V278=regle!$D$11,regle!$D$23,
IF(V278=regle!$E$11,regle!$E$23,
IF(V278=regle!$F$11,regle!$F$23,
IF(V278=regle!$G$11,regle!$G$23,
IF(V278=regle!$H$11,regle!$H$23,
IF(V278=regle!$I$11,regle!$I$23,
IF(V278=regle!$J$11,regle!$J$23,
IF(V278=regle!$K$11,regle!$K$23,0))))))))))))</f>
        <v>219.648</v>
      </c>
      <c r="AG278" s="17">
        <f>IF($A278,$J278*(IF(W278=regle!$B$11,regle!$B$23*IF(AP278=-2,1+regle!$B$35,1),
IF(W278=regle!$C$11,regle!$C$23,
IF(W278=regle!$D$11,regle!$D$23,
IF(W278=regle!$E$11,regle!$E$23,
IF(W278=regle!$F$11,regle!$F$23,
IF(W278=regle!$G$11,regle!$G$23,
IF(W278=regle!$H$11,regle!$H$23,
IF(W278=regle!$I$11,regle!$I$23,
IF(W278=regle!$J$11,regle!$J$23,
IF(W278=regle!$K$11,regle!$K$23,0))))))))))))</f>
        <v>0</v>
      </c>
      <c r="AH278" s="17">
        <f>IF($A278,$J278*(IF(X278=regle!$B$11,regle!$B$23*IF(AQ278=-2,1+regle!$B$35,1),
IF(X278=regle!$C$11,regle!$C$23,
IF(X278=regle!$D$11,regle!$D$23,
IF(X278=regle!$E$11,regle!$E$23,
IF(X278=regle!$F$11,regle!$F$23,
IF(X278=regle!$G$11,regle!$G$23,
IF(X278=regle!$H$11,regle!$H$23,
IF(X278=regle!$I$11,regle!$I$23,
IF(X278=regle!$J$11,regle!$J$23,
IF(X278=regle!$K$11,regle!$K$23,0))))))))))))</f>
        <v>0</v>
      </c>
      <c r="AI278" s="17">
        <f>IF($A278,$J278*(IF(Y278=regle!$B$11,regle!$B$23*IF(AR278=-2,1+regle!$B$35,1),
IF(Y278=regle!$C$11,regle!$C$23,
IF(Y278=regle!$D$11,regle!$D$23,
IF(Y278=regle!$E$11,regle!$E$23,
IF(Y278=regle!$F$11,regle!$F$23,
IF(Y278=regle!$G$11,regle!$G$23,
IF(Y278=regle!$H$11,regle!$H$23,
IF(Y278=regle!$I$11,regle!$I$23,
IF(Y278=regle!$J$11,regle!$J$23,
IF(Y278=regle!$K$11,regle!$K$23,0))))))))))))</f>
        <v>0</v>
      </c>
      <c r="AJ278" s="17">
        <f>IF($A278,$J278*(IF(Z278=regle!$B$11,regle!$B$23*IF(AS278=-2,1+regle!$B$35,1),
IF(Z278=regle!$C$11,regle!$C$23,
IF(Z278=regle!$D$11,regle!$D$23,
IF(Z278=regle!$E$11,regle!$E$23,
IF(Z278=regle!$F$11,regle!$F$23,
IF(Z278=regle!$G$11,regle!$G$23,
IF(Z278=regle!$H$11,regle!$H$23,
IF(Z278=regle!$I$11,regle!$I$23,
IF(Z278=regle!$J$11,regle!$J$23,
IF(Z278=regle!$K$11,regle!$K$23,0))))))))))))</f>
        <v>199.68</v>
      </c>
      <c r="AK278" s="16">
        <f>IF(OR(Q278=regle!$J$11,Q278=regle!$K$11),-2,IF(Q278=regle!$B$11,0,IF(AK$1=$AK$1,IF($O278,-1,regle!$B$2-$M278),IF(AJ278=-1,-1,AJ278+1))))</f>
        <v>18</v>
      </c>
      <c r="AL278" s="16">
        <f>IF(OR(R278=regle!$J$11,R278=regle!$K$11),-2,IF(R278=regle!$B$11,0,IF(AL$1=$AK$1,IF($O278,-1,regle!$B$2-$M278),IF(AK278=-1,-1,AK278+1))))</f>
        <v>19</v>
      </c>
      <c r="AM278" s="16">
        <f>IF(OR(S278=regle!$J$11,S278=regle!$K$11),-2,IF(S278=regle!$B$11,0,IF(AM$1=$AK$1,IF($O278,-1,regle!$B$2-$M278),IF(AL278=-1,-1,AL278+1))))</f>
        <v>20</v>
      </c>
      <c r="AN278" s="16">
        <f>IF(OR(T278=regle!$J$11,T278=regle!$K$11),-2,IF(T278=regle!$B$11,0,IF(AN$1=$AK$1,IF($O278,-1,regle!$B$2-$M278),IF(AM278=-1,-1,AM278+1))))</f>
        <v>21</v>
      </c>
      <c r="AO278" s="16">
        <f>IF(OR(U278=regle!$J$11,U278=regle!$K$11),-2,IF(U278=regle!$B$11,0,IF(AO$1=$AK$1,IF($O278,-1,regle!$B$2-$M278),IF(AN278=-1,-1,AN278+1))))</f>
        <v>22</v>
      </c>
      <c r="AP278" s="16">
        <f>IF(OR(V278=regle!$J$11,V278=regle!$K$11),-2,IF(V278=regle!$B$11,0,IF(AP$1=$AK$1,IF($O278,-1,regle!$B$2-$M278),IF(AO278=-1,-1,AO278+1))))</f>
        <v>23</v>
      </c>
      <c r="AQ278" s="16">
        <f>IF(OR(W278=regle!$J$11,W278=regle!$K$11),-2,IF(W278=regle!$B$11,0,IF(AQ$1=$AK$1,IF($O278,-1,regle!$B$2-$M278),IF(AP278=-1,-1,AP278+1))))</f>
        <v>24</v>
      </c>
      <c r="AR278" s="16">
        <f>IF(OR(X278=regle!$J$11,X278=regle!$K$11),-2,IF(X278=regle!$B$11,0,IF(AR$1=$AK$1,IF($O278,-1,regle!$B$2-$M278),IF(AQ278=-1,-1,AQ278+1))))</f>
        <v>25</v>
      </c>
      <c r="AS278" s="16">
        <f>IF(OR(Y278=regle!$J$11,Y278=regle!$K$11),-2,IF(Y278=regle!$B$11,0,IF(AS$1=$AK$1,IF($O278,-1,regle!$B$2-$M278),IF(AR278=-1,-1,AR278+1))))</f>
        <v>26</v>
      </c>
      <c r="AT278" s="16">
        <f>IF(OR(Z278=regle!$J$11,Z278=regle!$K$11),-2,IF(Z278=regle!$B$11,0,IF(AT$1=$AK$1,IF($O278,-1,regle!$B$2-$M278),IF(AS278=-1,-1,AS278+1))))</f>
        <v>27</v>
      </c>
    </row>
    <row r="279" spans="1:46" x14ac:dyDescent="0.25">
      <c r="A279" t="b">
        <f>modif1!A279</f>
        <v>1</v>
      </c>
      <c r="B279">
        <f>ROW(modif1!B279)</f>
        <v>279</v>
      </c>
      <c r="C279" t="str">
        <f>modif1!C282</f>
        <v>202</v>
      </c>
      <c r="D279" t="str">
        <f>modif1!D279</f>
        <v>HOSTENS</v>
      </c>
      <c r="E279">
        <f>modif1!E279</f>
        <v>11</v>
      </c>
      <c r="F279" t="str">
        <f>modif1!F279</f>
        <v>LES CAZALAS</v>
      </c>
      <c r="G279" t="str">
        <f>modif1!G279</f>
        <v>0B</v>
      </c>
      <c r="H279">
        <f>modif1!H279</f>
        <v>1173</v>
      </c>
      <c r="I279" t="str">
        <f>modif1!I279</f>
        <v/>
      </c>
      <c r="J279" s="11">
        <f>modif1!J279</f>
        <v>0.156</v>
      </c>
      <c r="K279" t="str">
        <f>modif1!K279</f>
        <v>PLA</v>
      </c>
      <c r="L279" t="str">
        <f>modif1!L279</f>
        <v>PM</v>
      </c>
      <c r="M279">
        <f>modif1!M279</f>
        <v>2006</v>
      </c>
      <c r="N279" t="str">
        <f>modif1!N279</f>
        <v>PLA-PM_2006</v>
      </c>
      <c r="O279" t="b">
        <f>modif1!O279</f>
        <v>0</v>
      </c>
      <c r="P279">
        <v>40</v>
      </c>
      <c r="Q279" s="22"/>
      <c r="R279" t="s">
        <v>1804</v>
      </c>
      <c r="V279" t="s">
        <v>1805</v>
      </c>
      <c r="Z279" t="s">
        <v>1806</v>
      </c>
      <c r="AA279" s="17">
        <f>IF($A279,$J279*(IF(Q279=regle!$B$11,regle!$B$23*IF(AJ279=-2,1+regle!$B$35,1),
IF(Q279=regle!$C$11,regle!$C$23,
IF(Q279=regle!$D$11,regle!$D$23,
IF(Q279=regle!$E$11,regle!$E$23,
IF(Q279=regle!$F$11,regle!$F$23,
IF(Q279=regle!$G$11,regle!$G$23,
IF(Q279=regle!$H$11,regle!$H$23,
IF(Q279=regle!$I$11,regle!$I$23,
IF(Q279=regle!$J$11,regle!$J$23,
IF(Q279=regle!$K$11,regle!$K$23,0))))))))))))</f>
        <v>0</v>
      </c>
      <c r="AB279" s="17">
        <f>IF($A279,$J279*(IF(R279=regle!$B$11,regle!$B$23*IF(AK279=-2,1+regle!$B$35,1),
IF(R279=regle!$C$11,regle!$C$23,
IF(R279=regle!$D$11,regle!$D$23,
IF(R279=regle!$E$11,regle!$E$23,
IF(R279=regle!$F$11,regle!$F$23,
IF(R279=regle!$G$11,regle!$G$23,
IF(R279=regle!$H$11,regle!$H$23,
IF(R279=regle!$I$11,regle!$I$23,
IF(R279=regle!$J$11,regle!$J$23,
IF(R279=regle!$K$11,regle!$K$23,0))))))))))))</f>
        <v>131.04</v>
      </c>
      <c r="AC279" s="17">
        <f>IF($A279,$J279*(IF(S279=regle!$B$11,regle!$B$23*IF(AL279=-2,1+regle!$B$35,1),
IF(S279=regle!$C$11,regle!$C$23,
IF(S279=regle!$D$11,regle!$D$23,
IF(S279=regle!$E$11,regle!$E$23,
IF(S279=regle!$F$11,regle!$F$23,
IF(S279=regle!$G$11,regle!$G$23,
IF(S279=regle!$H$11,regle!$H$23,
IF(S279=regle!$I$11,regle!$I$23,
IF(S279=regle!$J$11,regle!$J$23,
IF(S279=regle!$K$11,regle!$K$23,0))))))))))))</f>
        <v>0</v>
      </c>
      <c r="AD279" s="17">
        <f>IF($A279,$J279*(IF(T279=regle!$B$11,regle!$B$23*IF(AM279=-2,1+regle!$B$35,1),
IF(T279=regle!$C$11,regle!$C$23,
IF(T279=regle!$D$11,regle!$D$23,
IF(T279=regle!$E$11,regle!$E$23,
IF(T279=regle!$F$11,regle!$F$23,
IF(T279=regle!$G$11,regle!$G$23,
IF(T279=regle!$H$11,regle!$H$23,
IF(T279=regle!$I$11,regle!$I$23,
IF(T279=regle!$J$11,regle!$J$23,
IF(T279=regle!$K$11,regle!$K$23,0))))))))))))</f>
        <v>0</v>
      </c>
      <c r="AE279" s="17">
        <f>IF($A279,$J279*(IF(U279=regle!$B$11,regle!$B$23*IF(AN279=-2,1+regle!$B$35,1),
IF(U279=regle!$C$11,regle!$C$23,
IF(U279=regle!$D$11,regle!$D$23,
IF(U279=regle!$E$11,regle!$E$23,
IF(U279=regle!$F$11,regle!$F$23,
IF(U279=regle!$G$11,regle!$G$23,
IF(U279=regle!$H$11,regle!$H$23,
IF(U279=regle!$I$11,regle!$I$23,
IF(U279=regle!$J$11,regle!$J$23,
IF(U279=regle!$K$11,regle!$K$23,0))))))))))))</f>
        <v>0</v>
      </c>
      <c r="AF279" s="17">
        <f>IF($A279,$J279*(IF(V279=regle!$B$11,regle!$B$23*IF(AO279=-2,1+regle!$B$35,1),
IF(V279=regle!$C$11,regle!$C$23,
IF(V279=regle!$D$11,regle!$D$23,
IF(V279=regle!$E$11,regle!$E$23,
IF(V279=regle!$F$11,regle!$F$23,
IF(V279=regle!$G$11,regle!$G$23,
IF(V279=regle!$H$11,regle!$H$23,
IF(V279=regle!$I$11,regle!$I$23,
IF(V279=regle!$J$11,regle!$J$23,
IF(V279=regle!$K$11,regle!$K$23,0))))))))))))</f>
        <v>219.648</v>
      </c>
      <c r="AG279" s="17">
        <f>IF($A279,$J279*(IF(W279=regle!$B$11,regle!$B$23*IF(AP279=-2,1+regle!$B$35,1),
IF(W279=regle!$C$11,regle!$C$23,
IF(W279=regle!$D$11,regle!$D$23,
IF(W279=regle!$E$11,regle!$E$23,
IF(W279=regle!$F$11,regle!$F$23,
IF(W279=regle!$G$11,regle!$G$23,
IF(W279=regle!$H$11,regle!$H$23,
IF(W279=regle!$I$11,regle!$I$23,
IF(W279=regle!$J$11,regle!$J$23,
IF(W279=regle!$K$11,regle!$K$23,0))))))))))))</f>
        <v>0</v>
      </c>
      <c r="AH279" s="17">
        <f>IF($A279,$J279*(IF(X279=regle!$B$11,regle!$B$23*IF(AQ279=-2,1+regle!$B$35,1),
IF(X279=regle!$C$11,regle!$C$23,
IF(X279=regle!$D$11,regle!$D$23,
IF(X279=regle!$E$11,regle!$E$23,
IF(X279=regle!$F$11,regle!$F$23,
IF(X279=regle!$G$11,regle!$G$23,
IF(X279=regle!$H$11,regle!$H$23,
IF(X279=regle!$I$11,regle!$I$23,
IF(X279=regle!$J$11,regle!$J$23,
IF(X279=regle!$K$11,regle!$K$23,0))))))))))))</f>
        <v>0</v>
      </c>
      <c r="AI279" s="17">
        <f>IF($A279,$J279*(IF(Y279=regle!$B$11,regle!$B$23*IF(AR279=-2,1+regle!$B$35,1),
IF(Y279=regle!$C$11,regle!$C$23,
IF(Y279=regle!$D$11,regle!$D$23,
IF(Y279=regle!$E$11,regle!$E$23,
IF(Y279=regle!$F$11,regle!$F$23,
IF(Y279=regle!$G$11,regle!$G$23,
IF(Y279=regle!$H$11,regle!$H$23,
IF(Y279=regle!$I$11,regle!$I$23,
IF(Y279=regle!$J$11,regle!$J$23,
IF(Y279=regle!$K$11,regle!$K$23,0))))))))))))</f>
        <v>0</v>
      </c>
      <c r="AJ279" s="17">
        <f>IF($A279,$J279*(IF(Z279=regle!$B$11,regle!$B$23*IF(AS279=-2,1+regle!$B$35,1),
IF(Z279=regle!$C$11,regle!$C$23,
IF(Z279=regle!$D$11,regle!$D$23,
IF(Z279=regle!$E$11,regle!$E$23,
IF(Z279=regle!$F$11,regle!$F$23,
IF(Z279=regle!$G$11,regle!$G$23,
IF(Z279=regle!$H$11,regle!$H$23,
IF(Z279=regle!$I$11,regle!$I$23,
IF(Z279=regle!$J$11,regle!$J$23,
IF(Z279=regle!$K$11,regle!$K$23,0))))))))))))</f>
        <v>199.68</v>
      </c>
      <c r="AK279" s="16">
        <f>IF(OR(Q279=regle!$J$11,Q279=regle!$K$11),-2,IF(Q279=regle!$B$11,0,IF(AK$1=$AK$1,IF($O279,-1,regle!$B$2-$M279),IF(AJ279=-1,-1,AJ279+1))))</f>
        <v>18</v>
      </c>
      <c r="AL279" s="16">
        <f>IF(OR(R279=regle!$J$11,R279=regle!$K$11),-2,IF(R279=regle!$B$11,0,IF(AL$1=$AK$1,IF($O279,-1,regle!$B$2-$M279),IF(AK279=-1,-1,AK279+1))))</f>
        <v>19</v>
      </c>
      <c r="AM279" s="16">
        <f>IF(OR(S279=regle!$J$11,S279=regle!$K$11),-2,IF(S279=regle!$B$11,0,IF(AM$1=$AK$1,IF($O279,-1,regle!$B$2-$M279),IF(AL279=-1,-1,AL279+1))))</f>
        <v>20</v>
      </c>
      <c r="AN279" s="16">
        <f>IF(OR(T279=regle!$J$11,T279=regle!$K$11),-2,IF(T279=regle!$B$11,0,IF(AN$1=$AK$1,IF($O279,-1,regle!$B$2-$M279),IF(AM279=-1,-1,AM279+1))))</f>
        <v>21</v>
      </c>
      <c r="AO279" s="16">
        <f>IF(OR(U279=regle!$J$11,U279=regle!$K$11),-2,IF(U279=regle!$B$11,0,IF(AO$1=$AK$1,IF($O279,-1,regle!$B$2-$M279),IF(AN279=-1,-1,AN279+1))))</f>
        <v>22</v>
      </c>
      <c r="AP279" s="16">
        <f>IF(OR(V279=regle!$J$11,V279=regle!$K$11),-2,IF(V279=regle!$B$11,0,IF(AP$1=$AK$1,IF($O279,-1,regle!$B$2-$M279),IF(AO279=-1,-1,AO279+1))))</f>
        <v>23</v>
      </c>
      <c r="AQ279" s="16">
        <f>IF(OR(W279=regle!$J$11,W279=regle!$K$11),-2,IF(W279=regle!$B$11,0,IF(AQ$1=$AK$1,IF($O279,-1,regle!$B$2-$M279),IF(AP279=-1,-1,AP279+1))))</f>
        <v>24</v>
      </c>
      <c r="AR279" s="16">
        <f>IF(OR(X279=regle!$J$11,X279=regle!$K$11),-2,IF(X279=regle!$B$11,0,IF(AR$1=$AK$1,IF($O279,-1,regle!$B$2-$M279),IF(AQ279=-1,-1,AQ279+1))))</f>
        <v>25</v>
      </c>
      <c r="AS279" s="16">
        <f>IF(OR(Y279=regle!$J$11,Y279=regle!$K$11),-2,IF(Y279=regle!$B$11,0,IF(AS$1=$AK$1,IF($O279,-1,regle!$B$2-$M279),IF(AR279=-1,-1,AR279+1))))</f>
        <v>26</v>
      </c>
      <c r="AT279" s="16">
        <f>IF(OR(Z279=regle!$J$11,Z279=regle!$K$11),-2,IF(Z279=regle!$B$11,0,IF(AT$1=$AK$1,IF($O279,-1,regle!$B$2-$M279),IF(AS279=-1,-1,AS279+1))))</f>
        <v>27</v>
      </c>
    </row>
    <row r="280" spans="1:46" x14ac:dyDescent="0.25">
      <c r="A280" t="b">
        <f>modif1!A280</f>
        <v>1</v>
      </c>
      <c r="B280">
        <f>ROW(modif1!B280)</f>
        <v>280</v>
      </c>
      <c r="C280" t="str">
        <f>modif1!C283</f>
        <v>202</v>
      </c>
      <c r="D280" t="str">
        <f>modif1!D280</f>
        <v>HOSTENS</v>
      </c>
      <c r="E280">
        <f>modif1!E280</f>
        <v>11</v>
      </c>
      <c r="F280" t="str">
        <f>modif1!F280</f>
        <v>LES CAZALAS</v>
      </c>
      <c r="G280" t="str">
        <f>modif1!G280</f>
        <v>0B</v>
      </c>
      <c r="H280">
        <f>modif1!H280</f>
        <v>1149</v>
      </c>
      <c r="I280" t="str">
        <f>modif1!I280</f>
        <v>j</v>
      </c>
      <c r="J280" s="11">
        <f>modif1!J280</f>
        <v>0.15079999999999999</v>
      </c>
      <c r="K280" t="str">
        <f>modif1!K280</f>
        <v>PLA</v>
      </c>
      <c r="L280" t="str">
        <f>modif1!L280</f>
        <v>PM</v>
      </c>
      <c r="M280">
        <f>modif1!M280</f>
        <v>2006</v>
      </c>
      <c r="N280" t="str">
        <f>modif1!N280</f>
        <v>PLA-PM_2006</v>
      </c>
      <c r="O280" t="b">
        <f>modif1!O280</f>
        <v>0</v>
      </c>
      <c r="P280">
        <v>40</v>
      </c>
      <c r="Q280" s="22"/>
      <c r="R280" t="s">
        <v>1804</v>
      </c>
      <c r="V280" t="s">
        <v>1805</v>
      </c>
      <c r="Z280" t="s">
        <v>1806</v>
      </c>
      <c r="AA280" s="17">
        <f>IF($A280,$J280*(IF(Q280=regle!$B$11,regle!$B$23*IF(AJ280=-2,1+regle!$B$35,1),
IF(Q280=regle!$C$11,regle!$C$23,
IF(Q280=regle!$D$11,regle!$D$23,
IF(Q280=regle!$E$11,regle!$E$23,
IF(Q280=regle!$F$11,regle!$F$23,
IF(Q280=regle!$G$11,regle!$G$23,
IF(Q280=regle!$H$11,regle!$H$23,
IF(Q280=regle!$I$11,regle!$I$23,
IF(Q280=regle!$J$11,regle!$J$23,
IF(Q280=regle!$K$11,regle!$K$23,0))))))))))))</f>
        <v>0</v>
      </c>
      <c r="AB280" s="17">
        <f>IF($A280,$J280*(IF(R280=regle!$B$11,regle!$B$23*IF(AK280=-2,1+regle!$B$35,1),
IF(R280=regle!$C$11,regle!$C$23,
IF(R280=regle!$D$11,regle!$D$23,
IF(R280=regle!$E$11,regle!$E$23,
IF(R280=regle!$F$11,regle!$F$23,
IF(R280=regle!$G$11,regle!$G$23,
IF(R280=regle!$H$11,regle!$H$23,
IF(R280=regle!$I$11,regle!$I$23,
IF(R280=regle!$J$11,regle!$J$23,
IF(R280=regle!$K$11,regle!$K$23,0))))))))))))</f>
        <v>126.672</v>
      </c>
      <c r="AC280" s="17">
        <f>IF($A280,$J280*(IF(S280=regle!$B$11,regle!$B$23*IF(AL280=-2,1+regle!$B$35,1),
IF(S280=regle!$C$11,regle!$C$23,
IF(S280=regle!$D$11,regle!$D$23,
IF(S280=regle!$E$11,regle!$E$23,
IF(S280=regle!$F$11,regle!$F$23,
IF(S280=regle!$G$11,regle!$G$23,
IF(S280=regle!$H$11,regle!$H$23,
IF(S280=regle!$I$11,regle!$I$23,
IF(S280=regle!$J$11,regle!$J$23,
IF(S280=regle!$K$11,regle!$K$23,0))))))))))))</f>
        <v>0</v>
      </c>
      <c r="AD280" s="17">
        <f>IF($A280,$J280*(IF(T280=regle!$B$11,regle!$B$23*IF(AM280=-2,1+regle!$B$35,1),
IF(T280=regle!$C$11,regle!$C$23,
IF(T280=regle!$D$11,regle!$D$23,
IF(T280=regle!$E$11,regle!$E$23,
IF(T280=regle!$F$11,regle!$F$23,
IF(T280=regle!$G$11,regle!$G$23,
IF(T280=regle!$H$11,regle!$H$23,
IF(T280=regle!$I$11,regle!$I$23,
IF(T280=regle!$J$11,regle!$J$23,
IF(T280=regle!$K$11,regle!$K$23,0))))))))))))</f>
        <v>0</v>
      </c>
      <c r="AE280" s="17">
        <f>IF($A280,$J280*(IF(U280=regle!$B$11,regle!$B$23*IF(AN280=-2,1+regle!$B$35,1),
IF(U280=regle!$C$11,regle!$C$23,
IF(U280=regle!$D$11,regle!$D$23,
IF(U280=regle!$E$11,regle!$E$23,
IF(U280=regle!$F$11,regle!$F$23,
IF(U280=regle!$G$11,regle!$G$23,
IF(U280=regle!$H$11,regle!$H$23,
IF(U280=regle!$I$11,regle!$I$23,
IF(U280=regle!$J$11,regle!$J$23,
IF(U280=regle!$K$11,regle!$K$23,0))))))))))))</f>
        <v>0</v>
      </c>
      <c r="AF280" s="17">
        <f>IF($A280,$J280*(IF(V280=regle!$B$11,regle!$B$23*IF(AO280=-2,1+regle!$B$35,1),
IF(V280=regle!$C$11,regle!$C$23,
IF(V280=regle!$D$11,regle!$D$23,
IF(V280=regle!$E$11,regle!$E$23,
IF(V280=regle!$F$11,regle!$F$23,
IF(V280=regle!$G$11,regle!$G$23,
IF(V280=regle!$H$11,regle!$H$23,
IF(V280=regle!$I$11,regle!$I$23,
IF(V280=regle!$J$11,regle!$J$23,
IF(V280=regle!$K$11,regle!$K$23,0))))))))))))</f>
        <v>212.32639999999998</v>
      </c>
      <c r="AG280" s="17">
        <f>IF($A280,$J280*(IF(W280=regle!$B$11,regle!$B$23*IF(AP280=-2,1+regle!$B$35,1),
IF(W280=regle!$C$11,regle!$C$23,
IF(W280=regle!$D$11,regle!$D$23,
IF(W280=regle!$E$11,regle!$E$23,
IF(W280=regle!$F$11,regle!$F$23,
IF(W280=regle!$G$11,regle!$G$23,
IF(W280=regle!$H$11,regle!$H$23,
IF(W280=regle!$I$11,regle!$I$23,
IF(W280=regle!$J$11,regle!$J$23,
IF(W280=regle!$K$11,regle!$K$23,0))))))))))))</f>
        <v>0</v>
      </c>
      <c r="AH280" s="17">
        <f>IF($A280,$J280*(IF(X280=regle!$B$11,regle!$B$23*IF(AQ280=-2,1+regle!$B$35,1),
IF(X280=regle!$C$11,regle!$C$23,
IF(X280=regle!$D$11,regle!$D$23,
IF(X280=regle!$E$11,regle!$E$23,
IF(X280=regle!$F$11,regle!$F$23,
IF(X280=regle!$G$11,regle!$G$23,
IF(X280=regle!$H$11,regle!$H$23,
IF(X280=regle!$I$11,regle!$I$23,
IF(X280=regle!$J$11,regle!$J$23,
IF(X280=regle!$K$11,regle!$K$23,0))))))))))))</f>
        <v>0</v>
      </c>
      <c r="AI280" s="17">
        <f>IF($A280,$J280*(IF(Y280=regle!$B$11,regle!$B$23*IF(AR280=-2,1+regle!$B$35,1),
IF(Y280=regle!$C$11,regle!$C$23,
IF(Y280=regle!$D$11,regle!$D$23,
IF(Y280=regle!$E$11,regle!$E$23,
IF(Y280=regle!$F$11,regle!$F$23,
IF(Y280=regle!$G$11,regle!$G$23,
IF(Y280=regle!$H$11,regle!$H$23,
IF(Y280=regle!$I$11,regle!$I$23,
IF(Y280=regle!$J$11,regle!$J$23,
IF(Y280=regle!$K$11,regle!$K$23,0))))))))))))</f>
        <v>0</v>
      </c>
      <c r="AJ280" s="17">
        <f>IF($A280,$J280*(IF(Z280=regle!$B$11,regle!$B$23*IF(AS280=-2,1+regle!$B$35,1),
IF(Z280=regle!$C$11,regle!$C$23,
IF(Z280=regle!$D$11,regle!$D$23,
IF(Z280=regle!$E$11,regle!$E$23,
IF(Z280=regle!$F$11,regle!$F$23,
IF(Z280=regle!$G$11,regle!$G$23,
IF(Z280=regle!$H$11,regle!$H$23,
IF(Z280=regle!$I$11,regle!$I$23,
IF(Z280=regle!$J$11,regle!$J$23,
IF(Z280=regle!$K$11,regle!$K$23,0))))))))))))</f>
        <v>193.024</v>
      </c>
      <c r="AK280" s="16">
        <f>IF(OR(Q280=regle!$J$11,Q280=regle!$K$11),-2,IF(Q280=regle!$B$11,0,IF(AK$1=$AK$1,IF($O280,-1,regle!$B$2-$M280),IF(AJ280=-1,-1,AJ280+1))))</f>
        <v>18</v>
      </c>
      <c r="AL280" s="16">
        <f>IF(OR(R280=regle!$J$11,R280=regle!$K$11),-2,IF(R280=regle!$B$11,0,IF(AL$1=$AK$1,IF($O280,-1,regle!$B$2-$M280),IF(AK280=-1,-1,AK280+1))))</f>
        <v>19</v>
      </c>
      <c r="AM280" s="16">
        <f>IF(OR(S280=regle!$J$11,S280=regle!$K$11),-2,IF(S280=regle!$B$11,0,IF(AM$1=$AK$1,IF($O280,-1,regle!$B$2-$M280),IF(AL280=-1,-1,AL280+1))))</f>
        <v>20</v>
      </c>
      <c r="AN280" s="16">
        <f>IF(OR(T280=regle!$J$11,T280=regle!$K$11),-2,IF(T280=regle!$B$11,0,IF(AN$1=$AK$1,IF($O280,-1,regle!$B$2-$M280),IF(AM280=-1,-1,AM280+1))))</f>
        <v>21</v>
      </c>
      <c r="AO280" s="16">
        <f>IF(OR(U280=regle!$J$11,U280=regle!$K$11),-2,IF(U280=regle!$B$11,0,IF(AO$1=$AK$1,IF($O280,-1,regle!$B$2-$M280),IF(AN280=-1,-1,AN280+1))))</f>
        <v>22</v>
      </c>
      <c r="AP280" s="16">
        <f>IF(OR(V280=regle!$J$11,V280=regle!$K$11),-2,IF(V280=regle!$B$11,0,IF(AP$1=$AK$1,IF($O280,-1,regle!$B$2-$M280),IF(AO280=-1,-1,AO280+1))))</f>
        <v>23</v>
      </c>
      <c r="AQ280" s="16">
        <f>IF(OR(W280=regle!$J$11,W280=regle!$K$11),-2,IF(W280=regle!$B$11,0,IF(AQ$1=$AK$1,IF($O280,-1,regle!$B$2-$M280),IF(AP280=-1,-1,AP280+1))))</f>
        <v>24</v>
      </c>
      <c r="AR280" s="16">
        <f>IF(OR(X280=regle!$J$11,X280=regle!$K$11),-2,IF(X280=regle!$B$11,0,IF(AR$1=$AK$1,IF($O280,-1,regle!$B$2-$M280),IF(AQ280=-1,-1,AQ280+1))))</f>
        <v>25</v>
      </c>
      <c r="AS280" s="16">
        <f>IF(OR(Y280=regle!$J$11,Y280=regle!$K$11),-2,IF(Y280=regle!$B$11,0,IF(AS$1=$AK$1,IF($O280,-1,regle!$B$2-$M280),IF(AR280=-1,-1,AR280+1))))</f>
        <v>26</v>
      </c>
      <c r="AT280" s="16">
        <f>IF(OR(Z280=regle!$J$11,Z280=regle!$K$11),-2,IF(Z280=regle!$B$11,0,IF(AT$1=$AK$1,IF($O280,-1,regle!$B$2-$M280),IF(AS280=-1,-1,AS280+1))))</f>
        <v>27</v>
      </c>
    </row>
    <row r="281" spans="1:46" x14ac:dyDescent="0.25">
      <c r="A281" t="b">
        <f>modif1!A281</f>
        <v>1</v>
      </c>
      <c r="B281">
        <f>ROW(modif1!B281)</f>
        <v>281</v>
      </c>
      <c r="C281" t="str">
        <f>modif1!C284</f>
        <v>536</v>
      </c>
      <c r="D281" t="str">
        <f>modif1!D281</f>
        <v>HOSTENS</v>
      </c>
      <c r="E281">
        <f>modif1!E281</f>
        <v>11</v>
      </c>
      <c r="F281" t="str">
        <f>modif1!F281</f>
        <v>LES CAZALAS</v>
      </c>
      <c r="G281" t="str">
        <f>modif1!G281</f>
        <v>0B</v>
      </c>
      <c r="H281">
        <f>modif1!H281</f>
        <v>1201</v>
      </c>
      <c r="I281" t="str">
        <f>modif1!I281</f>
        <v>j</v>
      </c>
      <c r="J281" s="11">
        <f>modif1!J281</f>
        <v>0.1205</v>
      </c>
      <c r="K281" t="str">
        <f>modif1!K281</f>
        <v>PLA</v>
      </c>
      <c r="L281" t="str">
        <f>modif1!L281</f>
        <v>PM</v>
      </c>
      <c r="M281">
        <f>modif1!M281</f>
        <v>2006</v>
      </c>
      <c r="N281" t="str">
        <f>modif1!N281</f>
        <v>PLA-PM_2006</v>
      </c>
      <c r="O281" t="b">
        <f>modif1!O281</f>
        <v>0</v>
      </c>
      <c r="P281">
        <v>40</v>
      </c>
      <c r="Q281" s="22"/>
      <c r="R281" t="s">
        <v>1804</v>
      </c>
      <c r="V281" t="s">
        <v>1805</v>
      </c>
      <c r="Z281" t="s">
        <v>1806</v>
      </c>
      <c r="AA281" s="17">
        <f>IF($A281,$J281*(IF(Q281=regle!$B$11,regle!$B$23*IF(AJ281=-2,1+regle!$B$35,1),
IF(Q281=regle!$C$11,regle!$C$23,
IF(Q281=regle!$D$11,regle!$D$23,
IF(Q281=regle!$E$11,regle!$E$23,
IF(Q281=regle!$F$11,regle!$F$23,
IF(Q281=regle!$G$11,regle!$G$23,
IF(Q281=regle!$H$11,regle!$H$23,
IF(Q281=regle!$I$11,regle!$I$23,
IF(Q281=regle!$J$11,regle!$J$23,
IF(Q281=regle!$K$11,regle!$K$23,0))))))))))))</f>
        <v>0</v>
      </c>
      <c r="AB281" s="17">
        <f>IF($A281,$J281*(IF(R281=regle!$B$11,regle!$B$23*IF(AK281=-2,1+regle!$B$35,1),
IF(R281=regle!$C$11,regle!$C$23,
IF(R281=regle!$D$11,regle!$D$23,
IF(R281=regle!$E$11,regle!$E$23,
IF(R281=regle!$F$11,regle!$F$23,
IF(R281=regle!$G$11,regle!$G$23,
IF(R281=regle!$H$11,regle!$H$23,
IF(R281=regle!$I$11,regle!$I$23,
IF(R281=regle!$J$11,regle!$J$23,
IF(R281=regle!$K$11,regle!$K$23,0))))))))))))</f>
        <v>101.22</v>
      </c>
      <c r="AC281" s="17">
        <f>IF($A281,$J281*(IF(S281=regle!$B$11,regle!$B$23*IF(AL281=-2,1+regle!$B$35,1),
IF(S281=regle!$C$11,regle!$C$23,
IF(S281=regle!$D$11,regle!$D$23,
IF(S281=regle!$E$11,regle!$E$23,
IF(S281=regle!$F$11,regle!$F$23,
IF(S281=regle!$G$11,regle!$G$23,
IF(S281=regle!$H$11,regle!$H$23,
IF(S281=regle!$I$11,regle!$I$23,
IF(S281=regle!$J$11,regle!$J$23,
IF(S281=regle!$K$11,regle!$K$23,0))))))))))))</f>
        <v>0</v>
      </c>
      <c r="AD281" s="17">
        <f>IF($A281,$J281*(IF(T281=regle!$B$11,regle!$B$23*IF(AM281=-2,1+regle!$B$35,1),
IF(T281=regle!$C$11,regle!$C$23,
IF(T281=regle!$D$11,regle!$D$23,
IF(T281=regle!$E$11,regle!$E$23,
IF(T281=regle!$F$11,regle!$F$23,
IF(T281=regle!$G$11,regle!$G$23,
IF(T281=regle!$H$11,regle!$H$23,
IF(T281=regle!$I$11,regle!$I$23,
IF(T281=regle!$J$11,regle!$J$23,
IF(T281=regle!$K$11,regle!$K$23,0))))))))))))</f>
        <v>0</v>
      </c>
      <c r="AE281" s="17">
        <f>IF($A281,$J281*(IF(U281=regle!$B$11,regle!$B$23*IF(AN281=-2,1+regle!$B$35,1),
IF(U281=regle!$C$11,regle!$C$23,
IF(U281=regle!$D$11,regle!$D$23,
IF(U281=regle!$E$11,regle!$E$23,
IF(U281=regle!$F$11,regle!$F$23,
IF(U281=regle!$G$11,regle!$G$23,
IF(U281=regle!$H$11,regle!$H$23,
IF(U281=regle!$I$11,regle!$I$23,
IF(U281=regle!$J$11,regle!$J$23,
IF(U281=regle!$K$11,regle!$K$23,0))))))))))))</f>
        <v>0</v>
      </c>
      <c r="AF281" s="17">
        <f>IF($A281,$J281*(IF(V281=regle!$B$11,regle!$B$23*IF(AO281=-2,1+regle!$B$35,1),
IF(V281=regle!$C$11,regle!$C$23,
IF(V281=regle!$D$11,regle!$D$23,
IF(V281=regle!$E$11,regle!$E$23,
IF(V281=regle!$F$11,regle!$F$23,
IF(V281=regle!$G$11,regle!$G$23,
IF(V281=regle!$H$11,regle!$H$23,
IF(V281=regle!$I$11,regle!$I$23,
IF(V281=regle!$J$11,regle!$J$23,
IF(V281=regle!$K$11,regle!$K$23,0))))))))))))</f>
        <v>169.66399999999999</v>
      </c>
      <c r="AG281" s="17">
        <f>IF($A281,$J281*(IF(W281=regle!$B$11,regle!$B$23*IF(AP281=-2,1+regle!$B$35,1),
IF(W281=regle!$C$11,regle!$C$23,
IF(W281=regle!$D$11,regle!$D$23,
IF(W281=regle!$E$11,regle!$E$23,
IF(W281=regle!$F$11,regle!$F$23,
IF(W281=regle!$G$11,regle!$G$23,
IF(W281=regle!$H$11,regle!$H$23,
IF(W281=regle!$I$11,regle!$I$23,
IF(W281=regle!$J$11,regle!$J$23,
IF(W281=regle!$K$11,regle!$K$23,0))))))))))))</f>
        <v>0</v>
      </c>
      <c r="AH281" s="17">
        <f>IF($A281,$J281*(IF(X281=regle!$B$11,regle!$B$23*IF(AQ281=-2,1+regle!$B$35,1),
IF(X281=regle!$C$11,regle!$C$23,
IF(X281=regle!$D$11,regle!$D$23,
IF(X281=regle!$E$11,regle!$E$23,
IF(X281=regle!$F$11,regle!$F$23,
IF(X281=regle!$G$11,regle!$G$23,
IF(X281=regle!$H$11,regle!$H$23,
IF(X281=regle!$I$11,regle!$I$23,
IF(X281=regle!$J$11,regle!$J$23,
IF(X281=regle!$K$11,regle!$K$23,0))))))))))))</f>
        <v>0</v>
      </c>
      <c r="AI281" s="17">
        <f>IF($A281,$J281*(IF(Y281=regle!$B$11,regle!$B$23*IF(AR281=-2,1+regle!$B$35,1),
IF(Y281=regle!$C$11,regle!$C$23,
IF(Y281=regle!$D$11,regle!$D$23,
IF(Y281=regle!$E$11,regle!$E$23,
IF(Y281=regle!$F$11,regle!$F$23,
IF(Y281=regle!$G$11,regle!$G$23,
IF(Y281=regle!$H$11,regle!$H$23,
IF(Y281=regle!$I$11,regle!$I$23,
IF(Y281=regle!$J$11,regle!$J$23,
IF(Y281=regle!$K$11,regle!$K$23,0))))))))))))</f>
        <v>0</v>
      </c>
      <c r="AJ281" s="17">
        <f>IF($A281,$J281*(IF(Z281=regle!$B$11,regle!$B$23*IF(AS281=-2,1+regle!$B$35,1),
IF(Z281=regle!$C$11,regle!$C$23,
IF(Z281=regle!$D$11,regle!$D$23,
IF(Z281=regle!$E$11,regle!$E$23,
IF(Z281=regle!$F$11,regle!$F$23,
IF(Z281=regle!$G$11,regle!$G$23,
IF(Z281=regle!$H$11,regle!$H$23,
IF(Z281=regle!$I$11,regle!$I$23,
IF(Z281=regle!$J$11,regle!$J$23,
IF(Z281=regle!$K$11,regle!$K$23,0))))))))))))</f>
        <v>154.24</v>
      </c>
      <c r="AK281" s="16">
        <f>IF(OR(Q281=regle!$J$11,Q281=regle!$K$11),-2,IF(Q281=regle!$B$11,0,IF(AK$1=$AK$1,IF($O281,-1,regle!$B$2-$M281),IF(AJ281=-1,-1,AJ281+1))))</f>
        <v>18</v>
      </c>
      <c r="AL281" s="16">
        <f>IF(OR(R281=regle!$J$11,R281=regle!$K$11),-2,IF(R281=regle!$B$11,0,IF(AL$1=$AK$1,IF($O281,-1,regle!$B$2-$M281),IF(AK281=-1,-1,AK281+1))))</f>
        <v>19</v>
      </c>
      <c r="AM281" s="16">
        <f>IF(OR(S281=regle!$J$11,S281=regle!$K$11),-2,IF(S281=regle!$B$11,0,IF(AM$1=$AK$1,IF($O281,-1,regle!$B$2-$M281),IF(AL281=-1,-1,AL281+1))))</f>
        <v>20</v>
      </c>
      <c r="AN281" s="16">
        <f>IF(OR(T281=regle!$J$11,T281=regle!$K$11),-2,IF(T281=regle!$B$11,0,IF(AN$1=$AK$1,IF($O281,-1,regle!$B$2-$M281),IF(AM281=-1,-1,AM281+1))))</f>
        <v>21</v>
      </c>
      <c r="AO281" s="16">
        <f>IF(OR(U281=regle!$J$11,U281=regle!$K$11),-2,IF(U281=regle!$B$11,0,IF(AO$1=$AK$1,IF($O281,-1,regle!$B$2-$M281),IF(AN281=-1,-1,AN281+1))))</f>
        <v>22</v>
      </c>
      <c r="AP281" s="16">
        <f>IF(OR(V281=regle!$J$11,V281=regle!$K$11),-2,IF(V281=regle!$B$11,0,IF(AP$1=$AK$1,IF($O281,-1,regle!$B$2-$M281),IF(AO281=-1,-1,AO281+1))))</f>
        <v>23</v>
      </c>
      <c r="AQ281" s="16">
        <f>IF(OR(W281=regle!$J$11,W281=regle!$K$11),-2,IF(W281=regle!$B$11,0,IF(AQ$1=$AK$1,IF($O281,-1,regle!$B$2-$M281),IF(AP281=-1,-1,AP281+1))))</f>
        <v>24</v>
      </c>
      <c r="AR281" s="16">
        <f>IF(OR(X281=regle!$J$11,X281=regle!$K$11),-2,IF(X281=regle!$B$11,0,IF(AR$1=$AK$1,IF($O281,-1,regle!$B$2-$M281),IF(AQ281=-1,-1,AQ281+1))))</f>
        <v>25</v>
      </c>
      <c r="AS281" s="16">
        <f>IF(OR(Y281=regle!$J$11,Y281=regle!$K$11),-2,IF(Y281=regle!$B$11,0,IF(AS$1=$AK$1,IF($O281,-1,regle!$B$2-$M281),IF(AR281=-1,-1,AR281+1))))</f>
        <v>26</v>
      </c>
      <c r="AT281" s="16">
        <f>IF(OR(Z281=regle!$J$11,Z281=regle!$K$11),-2,IF(Z281=regle!$B$11,0,IF(AT$1=$AK$1,IF($O281,-1,regle!$B$2-$M281),IF(AS281=-1,-1,AS281+1))))</f>
        <v>27</v>
      </c>
    </row>
    <row r="282" spans="1:46" x14ac:dyDescent="0.25">
      <c r="A282" t="b">
        <f>modif1!A282</f>
        <v>1</v>
      </c>
      <c r="B282">
        <f>ROW(modif1!B282)</f>
        <v>282</v>
      </c>
      <c r="C282" t="str">
        <f>modif1!C285</f>
        <v>171</v>
      </c>
      <c r="D282" t="str">
        <f>modif1!D282</f>
        <v>HOSTENS</v>
      </c>
      <c r="E282">
        <f>modif1!E282</f>
        <v>11</v>
      </c>
      <c r="F282" t="str">
        <f>modif1!F282</f>
        <v>LES CAZALAS</v>
      </c>
      <c r="G282" t="str">
        <f>modif1!G282</f>
        <v>0B</v>
      </c>
      <c r="H282">
        <f>modif1!H282</f>
        <v>1171</v>
      </c>
      <c r="I282" t="str">
        <f>modif1!I282</f>
        <v/>
      </c>
      <c r="J282" s="11">
        <f>modif1!J282</f>
        <v>9.7500000000000003E-2</v>
      </c>
      <c r="K282" t="str">
        <f>modif1!K282</f>
        <v>PLA</v>
      </c>
      <c r="L282" t="str">
        <f>modif1!L282</f>
        <v>PM</v>
      </c>
      <c r="M282">
        <f>modif1!M282</f>
        <v>2006</v>
      </c>
      <c r="N282" t="str">
        <f>modif1!N282</f>
        <v>PLA-PM_2006</v>
      </c>
      <c r="O282" t="b">
        <f>modif1!O282</f>
        <v>0</v>
      </c>
      <c r="P282">
        <v>40</v>
      </c>
      <c r="Q282" s="22"/>
      <c r="R282" t="s">
        <v>1804</v>
      </c>
      <c r="V282" t="s">
        <v>1805</v>
      </c>
      <c r="Z282" t="s">
        <v>1806</v>
      </c>
      <c r="AA282" s="17">
        <f>IF($A282,$J282*(IF(Q282=regle!$B$11,regle!$B$23*IF(AJ282=-2,1+regle!$B$35,1),
IF(Q282=regle!$C$11,regle!$C$23,
IF(Q282=regle!$D$11,regle!$D$23,
IF(Q282=regle!$E$11,regle!$E$23,
IF(Q282=regle!$F$11,regle!$F$23,
IF(Q282=regle!$G$11,regle!$G$23,
IF(Q282=regle!$H$11,regle!$H$23,
IF(Q282=regle!$I$11,regle!$I$23,
IF(Q282=regle!$J$11,regle!$J$23,
IF(Q282=regle!$K$11,regle!$K$23,0))))))))))))</f>
        <v>0</v>
      </c>
      <c r="AB282" s="17">
        <f>IF($A282,$J282*(IF(R282=regle!$B$11,regle!$B$23*IF(AK282=-2,1+regle!$B$35,1),
IF(R282=regle!$C$11,regle!$C$23,
IF(R282=regle!$D$11,regle!$D$23,
IF(R282=regle!$E$11,regle!$E$23,
IF(R282=regle!$F$11,regle!$F$23,
IF(R282=regle!$G$11,regle!$G$23,
IF(R282=regle!$H$11,regle!$H$23,
IF(R282=regle!$I$11,regle!$I$23,
IF(R282=regle!$J$11,regle!$J$23,
IF(R282=regle!$K$11,regle!$K$23,0))))))))))))</f>
        <v>81.900000000000006</v>
      </c>
      <c r="AC282" s="17">
        <f>IF($A282,$J282*(IF(S282=regle!$B$11,regle!$B$23*IF(AL282=-2,1+regle!$B$35,1),
IF(S282=regle!$C$11,regle!$C$23,
IF(S282=regle!$D$11,regle!$D$23,
IF(S282=regle!$E$11,regle!$E$23,
IF(S282=regle!$F$11,regle!$F$23,
IF(S282=regle!$G$11,regle!$G$23,
IF(S282=regle!$H$11,regle!$H$23,
IF(S282=regle!$I$11,regle!$I$23,
IF(S282=regle!$J$11,regle!$J$23,
IF(S282=regle!$K$11,regle!$K$23,0))))))))))))</f>
        <v>0</v>
      </c>
      <c r="AD282" s="17">
        <f>IF($A282,$J282*(IF(T282=regle!$B$11,regle!$B$23*IF(AM282=-2,1+regle!$B$35,1),
IF(T282=regle!$C$11,regle!$C$23,
IF(T282=regle!$D$11,regle!$D$23,
IF(T282=regle!$E$11,regle!$E$23,
IF(T282=regle!$F$11,regle!$F$23,
IF(T282=regle!$G$11,regle!$G$23,
IF(T282=regle!$H$11,regle!$H$23,
IF(T282=regle!$I$11,regle!$I$23,
IF(T282=regle!$J$11,regle!$J$23,
IF(T282=regle!$K$11,regle!$K$23,0))))))))))))</f>
        <v>0</v>
      </c>
      <c r="AE282" s="17">
        <f>IF($A282,$J282*(IF(U282=regle!$B$11,regle!$B$23*IF(AN282=-2,1+regle!$B$35,1),
IF(U282=regle!$C$11,regle!$C$23,
IF(U282=regle!$D$11,regle!$D$23,
IF(U282=regle!$E$11,regle!$E$23,
IF(U282=regle!$F$11,regle!$F$23,
IF(U282=regle!$G$11,regle!$G$23,
IF(U282=regle!$H$11,regle!$H$23,
IF(U282=regle!$I$11,regle!$I$23,
IF(U282=regle!$J$11,regle!$J$23,
IF(U282=regle!$K$11,regle!$K$23,0))))))))))))</f>
        <v>0</v>
      </c>
      <c r="AF282" s="17">
        <f>IF($A282,$J282*(IF(V282=regle!$B$11,regle!$B$23*IF(AO282=-2,1+regle!$B$35,1),
IF(V282=regle!$C$11,regle!$C$23,
IF(V282=regle!$D$11,regle!$D$23,
IF(V282=regle!$E$11,regle!$E$23,
IF(V282=regle!$F$11,regle!$F$23,
IF(V282=regle!$G$11,regle!$G$23,
IF(V282=regle!$H$11,regle!$H$23,
IF(V282=regle!$I$11,regle!$I$23,
IF(V282=regle!$J$11,regle!$J$23,
IF(V282=regle!$K$11,regle!$K$23,0))))))))))))</f>
        <v>137.28</v>
      </c>
      <c r="AG282" s="17">
        <f>IF($A282,$J282*(IF(W282=regle!$B$11,regle!$B$23*IF(AP282=-2,1+regle!$B$35,1),
IF(W282=regle!$C$11,regle!$C$23,
IF(W282=regle!$D$11,regle!$D$23,
IF(W282=regle!$E$11,regle!$E$23,
IF(W282=regle!$F$11,regle!$F$23,
IF(W282=regle!$G$11,regle!$G$23,
IF(W282=regle!$H$11,regle!$H$23,
IF(W282=regle!$I$11,regle!$I$23,
IF(W282=regle!$J$11,regle!$J$23,
IF(W282=regle!$K$11,regle!$K$23,0))))))))))))</f>
        <v>0</v>
      </c>
      <c r="AH282" s="17">
        <f>IF($A282,$J282*(IF(X282=regle!$B$11,regle!$B$23*IF(AQ282=-2,1+regle!$B$35,1),
IF(X282=regle!$C$11,regle!$C$23,
IF(X282=regle!$D$11,regle!$D$23,
IF(X282=regle!$E$11,regle!$E$23,
IF(X282=regle!$F$11,regle!$F$23,
IF(X282=regle!$G$11,regle!$G$23,
IF(X282=regle!$H$11,regle!$H$23,
IF(X282=regle!$I$11,regle!$I$23,
IF(X282=regle!$J$11,regle!$J$23,
IF(X282=regle!$K$11,regle!$K$23,0))))))))))))</f>
        <v>0</v>
      </c>
      <c r="AI282" s="17">
        <f>IF($A282,$J282*(IF(Y282=regle!$B$11,regle!$B$23*IF(AR282=-2,1+regle!$B$35,1),
IF(Y282=regle!$C$11,regle!$C$23,
IF(Y282=regle!$D$11,regle!$D$23,
IF(Y282=regle!$E$11,regle!$E$23,
IF(Y282=regle!$F$11,regle!$F$23,
IF(Y282=regle!$G$11,regle!$G$23,
IF(Y282=regle!$H$11,regle!$H$23,
IF(Y282=regle!$I$11,regle!$I$23,
IF(Y282=regle!$J$11,regle!$J$23,
IF(Y282=regle!$K$11,regle!$K$23,0))))))))))))</f>
        <v>0</v>
      </c>
      <c r="AJ282" s="17">
        <f>IF($A282,$J282*(IF(Z282=regle!$B$11,regle!$B$23*IF(AS282=-2,1+regle!$B$35,1),
IF(Z282=regle!$C$11,regle!$C$23,
IF(Z282=regle!$D$11,regle!$D$23,
IF(Z282=regle!$E$11,regle!$E$23,
IF(Z282=regle!$F$11,regle!$F$23,
IF(Z282=regle!$G$11,regle!$G$23,
IF(Z282=regle!$H$11,regle!$H$23,
IF(Z282=regle!$I$11,regle!$I$23,
IF(Z282=regle!$J$11,regle!$J$23,
IF(Z282=regle!$K$11,regle!$K$23,0))))))))))))</f>
        <v>124.80000000000001</v>
      </c>
      <c r="AK282" s="16">
        <f>IF(OR(Q282=regle!$J$11,Q282=regle!$K$11),-2,IF(Q282=regle!$B$11,0,IF(AK$1=$AK$1,IF($O282,-1,regle!$B$2-$M282),IF(AJ282=-1,-1,AJ282+1))))</f>
        <v>18</v>
      </c>
      <c r="AL282" s="16">
        <f>IF(OR(R282=regle!$J$11,R282=regle!$K$11),-2,IF(R282=regle!$B$11,0,IF(AL$1=$AK$1,IF($O282,-1,regle!$B$2-$M282),IF(AK282=-1,-1,AK282+1))))</f>
        <v>19</v>
      </c>
      <c r="AM282" s="16">
        <f>IF(OR(S282=regle!$J$11,S282=regle!$K$11),-2,IF(S282=regle!$B$11,0,IF(AM$1=$AK$1,IF($O282,-1,regle!$B$2-$M282),IF(AL282=-1,-1,AL282+1))))</f>
        <v>20</v>
      </c>
      <c r="AN282" s="16">
        <f>IF(OR(T282=regle!$J$11,T282=regle!$K$11),-2,IF(T282=regle!$B$11,0,IF(AN$1=$AK$1,IF($O282,-1,regle!$B$2-$M282),IF(AM282=-1,-1,AM282+1))))</f>
        <v>21</v>
      </c>
      <c r="AO282" s="16">
        <f>IF(OR(U282=regle!$J$11,U282=regle!$K$11),-2,IF(U282=regle!$B$11,0,IF(AO$1=$AK$1,IF($O282,-1,regle!$B$2-$M282),IF(AN282=-1,-1,AN282+1))))</f>
        <v>22</v>
      </c>
      <c r="AP282" s="16">
        <f>IF(OR(V282=regle!$J$11,V282=regle!$K$11),-2,IF(V282=regle!$B$11,0,IF(AP$1=$AK$1,IF($O282,-1,regle!$B$2-$M282),IF(AO282=-1,-1,AO282+1))))</f>
        <v>23</v>
      </c>
      <c r="AQ282" s="16">
        <f>IF(OR(W282=regle!$J$11,W282=regle!$K$11),-2,IF(W282=regle!$B$11,0,IF(AQ$1=$AK$1,IF($O282,-1,regle!$B$2-$M282),IF(AP282=-1,-1,AP282+1))))</f>
        <v>24</v>
      </c>
      <c r="AR282" s="16">
        <f>IF(OR(X282=regle!$J$11,X282=regle!$K$11),-2,IF(X282=regle!$B$11,0,IF(AR$1=$AK$1,IF($O282,-1,regle!$B$2-$M282),IF(AQ282=-1,-1,AQ282+1))))</f>
        <v>25</v>
      </c>
      <c r="AS282" s="16">
        <f>IF(OR(Y282=regle!$J$11,Y282=regle!$K$11),-2,IF(Y282=regle!$B$11,0,IF(AS$1=$AK$1,IF($O282,-1,regle!$B$2-$M282),IF(AR282=-1,-1,AR282+1))))</f>
        <v>26</v>
      </c>
      <c r="AT282" s="16">
        <f>IF(OR(Z282=regle!$J$11,Z282=regle!$K$11),-2,IF(Z282=regle!$B$11,0,IF(AT$1=$AK$1,IF($O282,-1,regle!$B$2-$M282),IF(AS282=-1,-1,AS282+1))))</f>
        <v>27</v>
      </c>
    </row>
    <row r="283" spans="1:46" x14ac:dyDescent="0.25">
      <c r="A283" t="b">
        <f>modif1!A283</f>
        <v>1</v>
      </c>
      <c r="B283">
        <f>ROW(modif1!B283)</f>
        <v>283</v>
      </c>
      <c r="C283" t="str">
        <f>modif1!C286</f>
        <v>536</v>
      </c>
      <c r="D283" t="str">
        <f>modif1!D283</f>
        <v>HOSTENS</v>
      </c>
      <c r="E283">
        <f>modif1!E283</f>
        <v>11</v>
      </c>
      <c r="F283" t="str">
        <f>modif1!F283</f>
        <v>LES CAZALAS</v>
      </c>
      <c r="G283" t="str">
        <f>modif1!G283</f>
        <v>0B</v>
      </c>
      <c r="H283">
        <f>modif1!H283</f>
        <v>1176</v>
      </c>
      <c r="I283" t="str">
        <f>modif1!I283</f>
        <v/>
      </c>
      <c r="J283" s="11">
        <f>modif1!J283</f>
        <v>5.0500000000000003E-2</v>
      </c>
      <c r="K283" t="str">
        <f>modif1!K283</f>
        <v>PLA</v>
      </c>
      <c r="L283" t="str">
        <f>modif1!L283</f>
        <v>PM</v>
      </c>
      <c r="M283">
        <f>modif1!M283</f>
        <v>2006</v>
      </c>
      <c r="N283" t="str">
        <f>modif1!N283</f>
        <v>PLA-PM_2006</v>
      </c>
      <c r="O283" t="b">
        <f>modif1!O283</f>
        <v>0</v>
      </c>
      <c r="P283">
        <v>40</v>
      </c>
      <c r="Q283" s="22"/>
      <c r="R283" t="s">
        <v>1804</v>
      </c>
      <c r="V283" t="s">
        <v>1805</v>
      </c>
      <c r="Z283" t="s">
        <v>1806</v>
      </c>
      <c r="AA283" s="17">
        <f>IF($A283,$J283*(IF(Q283=regle!$B$11,regle!$B$23*IF(AJ283=-2,1+regle!$B$35,1),
IF(Q283=regle!$C$11,regle!$C$23,
IF(Q283=regle!$D$11,regle!$D$23,
IF(Q283=regle!$E$11,regle!$E$23,
IF(Q283=regle!$F$11,regle!$F$23,
IF(Q283=regle!$G$11,regle!$G$23,
IF(Q283=regle!$H$11,regle!$H$23,
IF(Q283=regle!$I$11,regle!$I$23,
IF(Q283=regle!$J$11,regle!$J$23,
IF(Q283=regle!$K$11,regle!$K$23,0))))))))))))</f>
        <v>0</v>
      </c>
      <c r="AB283" s="17">
        <f>IF($A283,$J283*(IF(R283=regle!$B$11,regle!$B$23*IF(AK283=-2,1+regle!$B$35,1),
IF(R283=regle!$C$11,regle!$C$23,
IF(R283=regle!$D$11,regle!$D$23,
IF(R283=regle!$E$11,regle!$E$23,
IF(R283=regle!$F$11,regle!$F$23,
IF(R283=regle!$G$11,regle!$G$23,
IF(R283=regle!$H$11,regle!$H$23,
IF(R283=regle!$I$11,regle!$I$23,
IF(R283=regle!$J$11,regle!$J$23,
IF(R283=regle!$K$11,regle!$K$23,0))))))))))))</f>
        <v>42.42</v>
      </c>
      <c r="AC283" s="17">
        <f>IF($A283,$J283*(IF(S283=regle!$B$11,regle!$B$23*IF(AL283=-2,1+regle!$B$35,1),
IF(S283=regle!$C$11,regle!$C$23,
IF(S283=regle!$D$11,regle!$D$23,
IF(S283=regle!$E$11,regle!$E$23,
IF(S283=regle!$F$11,regle!$F$23,
IF(S283=regle!$G$11,regle!$G$23,
IF(S283=regle!$H$11,regle!$H$23,
IF(S283=regle!$I$11,regle!$I$23,
IF(S283=regle!$J$11,regle!$J$23,
IF(S283=regle!$K$11,regle!$K$23,0))))))))))))</f>
        <v>0</v>
      </c>
      <c r="AD283" s="17">
        <f>IF($A283,$J283*(IF(T283=regle!$B$11,regle!$B$23*IF(AM283=-2,1+regle!$B$35,1),
IF(T283=regle!$C$11,regle!$C$23,
IF(T283=regle!$D$11,regle!$D$23,
IF(T283=regle!$E$11,regle!$E$23,
IF(T283=regle!$F$11,regle!$F$23,
IF(T283=regle!$G$11,regle!$G$23,
IF(T283=regle!$H$11,regle!$H$23,
IF(T283=regle!$I$11,regle!$I$23,
IF(T283=regle!$J$11,regle!$J$23,
IF(T283=regle!$K$11,regle!$K$23,0))))))))))))</f>
        <v>0</v>
      </c>
      <c r="AE283" s="17">
        <f>IF($A283,$J283*(IF(U283=regle!$B$11,regle!$B$23*IF(AN283=-2,1+regle!$B$35,1),
IF(U283=regle!$C$11,regle!$C$23,
IF(U283=regle!$D$11,regle!$D$23,
IF(U283=regle!$E$11,regle!$E$23,
IF(U283=regle!$F$11,regle!$F$23,
IF(U283=regle!$G$11,regle!$G$23,
IF(U283=regle!$H$11,regle!$H$23,
IF(U283=regle!$I$11,regle!$I$23,
IF(U283=regle!$J$11,regle!$J$23,
IF(U283=regle!$K$11,regle!$K$23,0))))))))))))</f>
        <v>0</v>
      </c>
      <c r="AF283" s="17">
        <f>IF($A283,$J283*(IF(V283=regle!$B$11,regle!$B$23*IF(AO283=-2,1+regle!$B$35,1),
IF(V283=regle!$C$11,regle!$C$23,
IF(V283=regle!$D$11,regle!$D$23,
IF(V283=regle!$E$11,regle!$E$23,
IF(V283=regle!$F$11,regle!$F$23,
IF(V283=regle!$G$11,regle!$G$23,
IF(V283=regle!$H$11,regle!$H$23,
IF(V283=regle!$I$11,regle!$I$23,
IF(V283=regle!$J$11,regle!$J$23,
IF(V283=regle!$K$11,regle!$K$23,0))))))))))))</f>
        <v>71.103999999999999</v>
      </c>
      <c r="AG283" s="17">
        <f>IF($A283,$J283*(IF(W283=regle!$B$11,regle!$B$23*IF(AP283=-2,1+regle!$B$35,1),
IF(W283=regle!$C$11,regle!$C$23,
IF(W283=regle!$D$11,regle!$D$23,
IF(W283=regle!$E$11,regle!$E$23,
IF(W283=regle!$F$11,regle!$F$23,
IF(W283=regle!$G$11,regle!$G$23,
IF(W283=regle!$H$11,regle!$H$23,
IF(W283=regle!$I$11,regle!$I$23,
IF(W283=regle!$J$11,regle!$J$23,
IF(W283=regle!$K$11,regle!$K$23,0))))))))))))</f>
        <v>0</v>
      </c>
      <c r="AH283" s="17">
        <f>IF($A283,$J283*(IF(X283=regle!$B$11,regle!$B$23*IF(AQ283=-2,1+regle!$B$35,1),
IF(X283=regle!$C$11,regle!$C$23,
IF(X283=regle!$D$11,regle!$D$23,
IF(X283=regle!$E$11,regle!$E$23,
IF(X283=regle!$F$11,regle!$F$23,
IF(X283=regle!$G$11,regle!$G$23,
IF(X283=regle!$H$11,regle!$H$23,
IF(X283=regle!$I$11,regle!$I$23,
IF(X283=regle!$J$11,regle!$J$23,
IF(X283=regle!$K$11,regle!$K$23,0))))))))))))</f>
        <v>0</v>
      </c>
      <c r="AI283" s="17">
        <f>IF($A283,$J283*(IF(Y283=regle!$B$11,regle!$B$23*IF(AR283=-2,1+regle!$B$35,1),
IF(Y283=regle!$C$11,regle!$C$23,
IF(Y283=regle!$D$11,regle!$D$23,
IF(Y283=regle!$E$11,regle!$E$23,
IF(Y283=regle!$F$11,regle!$F$23,
IF(Y283=regle!$G$11,regle!$G$23,
IF(Y283=regle!$H$11,regle!$H$23,
IF(Y283=regle!$I$11,regle!$I$23,
IF(Y283=regle!$J$11,regle!$J$23,
IF(Y283=regle!$K$11,regle!$K$23,0))))))))))))</f>
        <v>0</v>
      </c>
      <c r="AJ283" s="17">
        <f>IF($A283,$J283*(IF(Z283=regle!$B$11,regle!$B$23*IF(AS283=-2,1+regle!$B$35,1),
IF(Z283=regle!$C$11,regle!$C$23,
IF(Z283=regle!$D$11,regle!$D$23,
IF(Z283=regle!$E$11,regle!$E$23,
IF(Z283=regle!$F$11,regle!$F$23,
IF(Z283=regle!$G$11,regle!$G$23,
IF(Z283=regle!$H$11,regle!$H$23,
IF(Z283=regle!$I$11,regle!$I$23,
IF(Z283=regle!$J$11,regle!$J$23,
IF(Z283=regle!$K$11,regle!$K$23,0))))))))))))</f>
        <v>64.64</v>
      </c>
      <c r="AK283" s="16">
        <f>IF(OR(Q283=regle!$J$11,Q283=regle!$K$11),-2,IF(Q283=regle!$B$11,0,IF(AK$1=$AK$1,IF($O283,-1,regle!$B$2-$M283),IF(AJ283=-1,-1,AJ283+1))))</f>
        <v>18</v>
      </c>
      <c r="AL283" s="16">
        <f>IF(OR(R283=regle!$J$11,R283=regle!$K$11),-2,IF(R283=regle!$B$11,0,IF(AL$1=$AK$1,IF($O283,-1,regle!$B$2-$M283),IF(AK283=-1,-1,AK283+1))))</f>
        <v>19</v>
      </c>
      <c r="AM283" s="16">
        <f>IF(OR(S283=regle!$J$11,S283=regle!$K$11),-2,IF(S283=regle!$B$11,0,IF(AM$1=$AK$1,IF($O283,-1,regle!$B$2-$M283),IF(AL283=-1,-1,AL283+1))))</f>
        <v>20</v>
      </c>
      <c r="AN283" s="16">
        <f>IF(OR(T283=regle!$J$11,T283=regle!$K$11),-2,IF(T283=regle!$B$11,0,IF(AN$1=$AK$1,IF($O283,-1,regle!$B$2-$M283),IF(AM283=-1,-1,AM283+1))))</f>
        <v>21</v>
      </c>
      <c r="AO283" s="16">
        <f>IF(OR(U283=regle!$J$11,U283=regle!$K$11),-2,IF(U283=regle!$B$11,0,IF(AO$1=$AK$1,IF($O283,-1,regle!$B$2-$M283),IF(AN283=-1,-1,AN283+1))))</f>
        <v>22</v>
      </c>
      <c r="AP283" s="16">
        <f>IF(OR(V283=regle!$J$11,V283=regle!$K$11),-2,IF(V283=regle!$B$11,0,IF(AP$1=$AK$1,IF($O283,-1,regle!$B$2-$M283),IF(AO283=-1,-1,AO283+1))))</f>
        <v>23</v>
      </c>
      <c r="AQ283" s="16">
        <f>IF(OR(W283=regle!$J$11,W283=regle!$K$11),-2,IF(W283=regle!$B$11,0,IF(AQ$1=$AK$1,IF($O283,-1,regle!$B$2-$M283),IF(AP283=-1,-1,AP283+1))))</f>
        <v>24</v>
      </c>
      <c r="AR283" s="16">
        <f>IF(OR(X283=regle!$J$11,X283=regle!$K$11),-2,IF(X283=regle!$B$11,0,IF(AR$1=$AK$1,IF($O283,-1,regle!$B$2-$M283),IF(AQ283=-1,-1,AQ283+1))))</f>
        <v>25</v>
      </c>
      <c r="AS283" s="16">
        <f>IF(OR(Y283=regle!$J$11,Y283=regle!$K$11),-2,IF(Y283=regle!$B$11,0,IF(AS$1=$AK$1,IF($O283,-1,regle!$B$2-$M283),IF(AR283=-1,-1,AR283+1))))</f>
        <v>26</v>
      </c>
      <c r="AT283" s="16">
        <f>IF(OR(Z283=regle!$J$11,Z283=regle!$K$11),-2,IF(Z283=regle!$B$11,0,IF(AT$1=$AK$1,IF($O283,-1,regle!$B$2-$M283),IF(AS283=-1,-1,AS283+1))))</f>
        <v>27</v>
      </c>
    </row>
    <row r="284" spans="1:46" x14ac:dyDescent="0.25">
      <c r="A284" t="b">
        <f>modif1!A284</f>
        <v>1</v>
      </c>
      <c r="B284">
        <f>ROW(modif1!B284)</f>
        <v>284</v>
      </c>
      <c r="C284" t="str">
        <f>modif1!C287</f>
        <v>536</v>
      </c>
      <c r="D284" t="str">
        <f>modif1!D284</f>
        <v>LE TUZAN</v>
      </c>
      <c r="E284">
        <f>modif1!E284</f>
        <v>14</v>
      </c>
      <c r="F284" t="str">
        <f>modif1!F284</f>
        <v>TABARTON-OUEST</v>
      </c>
      <c r="G284" t="str">
        <f>modif1!G284</f>
        <v>0B</v>
      </c>
      <c r="H284">
        <f>modif1!H284</f>
        <v>659</v>
      </c>
      <c r="I284" t="str">
        <f>modif1!I284</f>
        <v>j</v>
      </c>
      <c r="J284" s="11">
        <f>modif1!J284</f>
        <v>9.4685000000000006</v>
      </c>
      <c r="K284" t="str">
        <f>modif1!K284</f>
        <v>PLA</v>
      </c>
      <c r="L284" t="str">
        <f>modif1!L284</f>
        <v>PM</v>
      </c>
      <c r="M284">
        <f>modif1!M284</f>
        <v>2005</v>
      </c>
      <c r="N284" t="str">
        <f>modif1!N284</f>
        <v>PLA-PM_2005</v>
      </c>
      <c r="O284" t="b">
        <f>modif1!O284</f>
        <v>0</v>
      </c>
      <c r="P284">
        <v>40</v>
      </c>
      <c r="Z284" t="s">
        <v>1181</v>
      </c>
      <c r="AA284" s="17">
        <f>IF($A284,$J284*(IF(Q284=regle!$B$11,regle!$B$23*IF(AJ284=-2,1+regle!$B$35,1),
IF(Q284=regle!$C$11,regle!$C$23,
IF(Q284=regle!$D$11,regle!$D$23,
IF(Q284=regle!$E$11,regle!$E$23,
IF(Q284=regle!$F$11,regle!$F$23,
IF(Q284=regle!$G$11,regle!$G$23,
IF(Q284=regle!$H$11,regle!$H$23,
IF(Q284=regle!$I$11,regle!$I$23,
IF(Q284=regle!$J$11,regle!$J$23,
IF(Q284=regle!$K$11,regle!$K$23,0))))))))))))</f>
        <v>0</v>
      </c>
      <c r="AB284" s="17">
        <f>IF($A284,$J284*(IF(R284=regle!$B$11,regle!$B$23*IF(AK284=-2,1+regle!$B$35,1),
IF(R284=regle!$C$11,regle!$C$23,
IF(R284=regle!$D$11,regle!$D$23,
IF(R284=regle!$E$11,regle!$E$23,
IF(R284=regle!$F$11,regle!$F$23,
IF(R284=regle!$G$11,regle!$G$23,
IF(R284=regle!$H$11,regle!$H$23,
IF(R284=regle!$I$11,regle!$I$23,
IF(R284=regle!$J$11,regle!$J$23,
IF(R284=regle!$K$11,regle!$K$23,0))))))))))))</f>
        <v>0</v>
      </c>
      <c r="AC284" s="17">
        <f>IF($A284,$J284*(IF(S284=regle!$B$11,regle!$B$23*IF(AL284=-2,1+regle!$B$35,1),
IF(S284=regle!$C$11,regle!$C$23,
IF(S284=regle!$D$11,regle!$D$23,
IF(S284=regle!$E$11,regle!$E$23,
IF(S284=regle!$F$11,regle!$F$23,
IF(S284=regle!$G$11,regle!$G$23,
IF(S284=regle!$H$11,regle!$H$23,
IF(S284=regle!$I$11,regle!$I$23,
IF(S284=regle!$J$11,regle!$J$23,
IF(S284=regle!$K$11,regle!$K$23,0))))))))))))</f>
        <v>0</v>
      </c>
      <c r="AD284" s="17">
        <f>IF($A284,$J284*(IF(T284=regle!$B$11,regle!$B$23*IF(AM284=-2,1+regle!$B$35,1),
IF(T284=regle!$C$11,regle!$C$23,
IF(T284=regle!$D$11,regle!$D$23,
IF(T284=regle!$E$11,regle!$E$23,
IF(T284=regle!$F$11,regle!$F$23,
IF(T284=regle!$G$11,regle!$G$23,
IF(T284=regle!$H$11,regle!$H$23,
IF(T284=regle!$I$11,regle!$I$23,
IF(T284=regle!$J$11,regle!$J$23,
IF(T284=regle!$K$11,regle!$K$23,0))))))))))))</f>
        <v>0</v>
      </c>
      <c r="AE284" s="17">
        <f>IF($A284,$J284*(IF(U284=regle!$B$11,regle!$B$23*IF(AN284=-2,1+regle!$B$35,1),
IF(U284=regle!$C$11,regle!$C$23,
IF(U284=regle!$D$11,regle!$D$23,
IF(U284=regle!$E$11,regle!$E$23,
IF(U284=regle!$F$11,regle!$F$23,
IF(U284=regle!$G$11,regle!$G$23,
IF(U284=regle!$H$11,regle!$H$23,
IF(U284=regle!$I$11,regle!$I$23,
IF(U284=regle!$J$11,regle!$J$23,
IF(U284=regle!$K$11,regle!$K$23,0))))))))))))</f>
        <v>0</v>
      </c>
      <c r="AF284" s="17">
        <f>IF($A284,$J284*(IF(V284=regle!$B$11,regle!$B$23*IF(AO284=-2,1+regle!$B$35,1),
IF(V284=regle!$C$11,regle!$C$23,
IF(V284=regle!$D$11,regle!$D$23,
IF(V284=regle!$E$11,regle!$E$23,
IF(V284=regle!$F$11,regle!$F$23,
IF(V284=regle!$G$11,regle!$G$23,
IF(V284=regle!$H$11,regle!$H$23,
IF(V284=regle!$I$11,regle!$I$23,
IF(V284=regle!$J$11,regle!$J$23,
IF(V284=regle!$K$11,regle!$K$23,0))))))))))))</f>
        <v>0</v>
      </c>
      <c r="AG284" s="17">
        <f>IF($A284,$J284*(IF(W284=regle!$B$11,regle!$B$23*IF(AP284=-2,1+regle!$B$35,1),
IF(W284=regle!$C$11,regle!$C$23,
IF(W284=regle!$D$11,regle!$D$23,
IF(W284=regle!$E$11,regle!$E$23,
IF(W284=regle!$F$11,regle!$F$23,
IF(W284=regle!$G$11,regle!$G$23,
IF(W284=regle!$H$11,regle!$H$23,
IF(W284=regle!$I$11,regle!$I$23,
IF(W284=regle!$J$11,regle!$J$23,
IF(W284=regle!$K$11,regle!$K$23,0))))))))))))</f>
        <v>0</v>
      </c>
      <c r="AH284" s="17">
        <f>IF($A284,$J284*(IF(X284=regle!$B$11,regle!$B$23*IF(AQ284=-2,1+regle!$B$35,1),
IF(X284=regle!$C$11,regle!$C$23,
IF(X284=regle!$D$11,regle!$D$23,
IF(X284=regle!$E$11,regle!$E$23,
IF(X284=regle!$F$11,regle!$F$23,
IF(X284=regle!$G$11,regle!$G$23,
IF(X284=regle!$H$11,regle!$H$23,
IF(X284=regle!$I$11,regle!$I$23,
IF(X284=regle!$J$11,regle!$J$23,
IF(X284=regle!$K$11,regle!$K$23,0))))))))))))</f>
        <v>0</v>
      </c>
      <c r="AI284" s="17">
        <f>IF($A284,$J284*(IF(Y284=regle!$B$11,regle!$B$23*IF(AR284=-2,1+regle!$B$35,1),
IF(Y284=regle!$C$11,regle!$C$23,
IF(Y284=regle!$D$11,regle!$D$23,
IF(Y284=regle!$E$11,regle!$E$23,
IF(Y284=regle!$F$11,regle!$F$23,
IF(Y284=regle!$G$11,regle!$G$23,
IF(Y284=regle!$H$11,regle!$H$23,
IF(Y284=regle!$I$11,regle!$I$23,
IF(Y284=regle!$J$11,regle!$J$23,
IF(Y284=regle!$K$11,regle!$K$23,0))))))))))))</f>
        <v>0</v>
      </c>
      <c r="AJ284" s="17">
        <f>IF($A284,$J284*(IF(Z284=regle!$B$11,regle!$B$23*IF(AS284=-2,1+regle!$B$35,1),
IF(Z284=regle!$C$11,regle!$C$23,
IF(Z284=regle!$D$11,regle!$D$23,
IF(Z284=regle!$E$11,regle!$E$23,
IF(Z284=regle!$F$11,regle!$F$23,
IF(Z284=regle!$G$11,regle!$G$23,
IF(Z284=regle!$H$11,regle!$H$23,
IF(Z284=regle!$I$11,regle!$I$23,
IF(Z284=regle!$J$11,regle!$J$23,
IF(Z284=regle!$K$11,regle!$K$23,0))))))))))))</f>
        <v>49236.200000000004</v>
      </c>
      <c r="AK284" s="16">
        <f>IF(OR(Q284=regle!$J$11,Q284=regle!$K$11),-2,IF(Q284=regle!$B$11,0,IF(AK$1=$AK$1,IF($O284,-1,regle!$B$2-$M284),IF(AJ284=-1,-1,AJ284+1))))</f>
        <v>19</v>
      </c>
      <c r="AL284" s="16">
        <f>IF(OR(R284=regle!$J$11,R284=regle!$K$11),-2,IF(R284=regle!$B$11,0,IF(AL$1=$AK$1,IF($O284,-1,regle!$B$2-$M284),IF(AK284=-1,-1,AK284+1))))</f>
        <v>20</v>
      </c>
      <c r="AM284" s="16">
        <f>IF(OR(S284=regle!$J$11,S284=regle!$K$11),-2,IF(S284=regle!$B$11,0,IF(AM$1=$AK$1,IF($O284,-1,regle!$B$2-$M284),IF(AL284=-1,-1,AL284+1))))</f>
        <v>21</v>
      </c>
      <c r="AN284" s="16">
        <f>IF(OR(T284=regle!$J$11,T284=regle!$K$11),-2,IF(T284=regle!$B$11,0,IF(AN$1=$AK$1,IF($O284,-1,regle!$B$2-$M284),IF(AM284=-1,-1,AM284+1))))</f>
        <v>22</v>
      </c>
      <c r="AO284" s="16">
        <f>IF(OR(U284=regle!$J$11,U284=regle!$K$11),-2,IF(U284=regle!$B$11,0,IF(AO$1=$AK$1,IF($O284,-1,regle!$B$2-$M284),IF(AN284=-1,-1,AN284+1))))</f>
        <v>23</v>
      </c>
      <c r="AP284" s="16">
        <f>IF(OR(V284=regle!$J$11,V284=regle!$K$11),-2,IF(V284=regle!$B$11,0,IF(AP$1=$AK$1,IF($O284,-1,regle!$B$2-$M284),IF(AO284=-1,-1,AO284+1))))</f>
        <v>24</v>
      </c>
      <c r="AQ284" s="16">
        <f>IF(OR(W284=regle!$J$11,W284=regle!$K$11),-2,IF(W284=regle!$B$11,0,IF(AQ$1=$AK$1,IF($O284,-1,regle!$B$2-$M284),IF(AP284=-1,-1,AP284+1))))</f>
        <v>25</v>
      </c>
      <c r="AR284" s="16">
        <f>IF(OR(X284=regle!$J$11,X284=regle!$K$11),-2,IF(X284=regle!$B$11,0,IF(AR$1=$AK$1,IF($O284,-1,regle!$B$2-$M284),IF(AQ284=-1,-1,AQ284+1))))</f>
        <v>26</v>
      </c>
      <c r="AS284" s="16">
        <f>IF(OR(Y284=regle!$J$11,Y284=regle!$K$11),-2,IF(Y284=regle!$B$11,0,IF(AS$1=$AK$1,IF($O284,-1,regle!$B$2-$M284),IF(AR284=-1,-1,AR284+1))))</f>
        <v>27</v>
      </c>
      <c r="AT284" s="16">
        <f>IF(OR(Z284=regle!$J$11,Z284=regle!$K$11),-2,IF(Z284=regle!$B$11,0,IF(AT$1=$AK$1,IF($O284,-1,regle!$B$2-$M284),IF(AS284=-1,-1,AS284+1))))</f>
        <v>-2</v>
      </c>
    </row>
    <row r="285" spans="1:46" x14ac:dyDescent="0.25">
      <c r="A285" t="b">
        <f>modif1!A285</f>
        <v>1</v>
      </c>
      <c r="B285">
        <f>ROW(modif1!B285)</f>
        <v>285</v>
      </c>
      <c r="C285" t="str">
        <f>modif1!C288</f>
        <v>077</v>
      </c>
      <c r="D285" t="str">
        <f>modif1!D285</f>
        <v>MANO</v>
      </c>
      <c r="E285">
        <f>modif1!E285</f>
        <v>17</v>
      </c>
      <c r="F285" t="str">
        <f>modif1!F285</f>
        <v>LANDE DE TABARTON</v>
      </c>
      <c r="G285" t="str">
        <f>modif1!G285</f>
        <v>0B</v>
      </c>
      <c r="H285">
        <f>modif1!H285</f>
        <v>266</v>
      </c>
      <c r="I285" t="str">
        <f>modif1!I285</f>
        <v>l</v>
      </c>
      <c r="J285" s="11">
        <f>modif1!J285</f>
        <v>8.4014000000000006</v>
      </c>
      <c r="K285" t="str">
        <f>modif1!K285</f>
        <v>PLA</v>
      </c>
      <c r="L285" t="str">
        <f>modif1!L285</f>
        <v>PM</v>
      </c>
      <c r="M285">
        <f>modif1!M285</f>
        <v>2005</v>
      </c>
      <c r="N285" t="str">
        <f>modif1!N285</f>
        <v>PLA-PM_2005</v>
      </c>
      <c r="O285" t="b">
        <f>modif1!O285</f>
        <v>0</v>
      </c>
      <c r="P285">
        <v>40</v>
      </c>
      <c r="T285" t="s">
        <v>1805</v>
      </c>
      <c r="Y285" t="s">
        <v>1806</v>
      </c>
      <c r="Z285"/>
      <c r="AA285" s="17">
        <f>IF($A285,$J285*(IF(Q285=regle!$B$11,regle!$B$23*IF(AJ285=-2,1+regle!$B$35,1),
IF(Q285=regle!$C$11,regle!$C$23,
IF(Q285=regle!$D$11,regle!$D$23,
IF(Q285=regle!$E$11,regle!$E$23,
IF(Q285=regle!$F$11,regle!$F$23,
IF(Q285=regle!$G$11,regle!$G$23,
IF(Q285=regle!$H$11,regle!$H$23,
IF(Q285=regle!$I$11,regle!$I$23,
IF(Q285=regle!$J$11,regle!$J$23,
IF(Q285=regle!$K$11,regle!$K$23,0))))))))))))</f>
        <v>0</v>
      </c>
      <c r="AB285" s="17">
        <f>IF($A285,$J285*(IF(R285=regle!$B$11,regle!$B$23*IF(AK285=-2,1+regle!$B$35,1),
IF(R285=regle!$C$11,regle!$C$23,
IF(R285=regle!$D$11,regle!$D$23,
IF(R285=regle!$E$11,regle!$E$23,
IF(R285=regle!$F$11,regle!$F$23,
IF(R285=regle!$G$11,regle!$G$23,
IF(R285=regle!$H$11,regle!$H$23,
IF(R285=regle!$I$11,regle!$I$23,
IF(R285=regle!$J$11,regle!$J$23,
IF(R285=regle!$K$11,regle!$K$23,0))))))))))))</f>
        <v>0</v>
      </c>
      <c r="AC285" s="17">
        <f>IF($A285,$J285*(IF(S285=regle!$B$11,regle!$B$23*IF(AL285=-2,1+regle!$B$35,1),
IF(S285=regle!$C$11,regle!$C$23,
IF(S285=regle!$D$11,regle!$D$23,
IF(S285=regle!$E$11,regle!$E$23,
IF(S285=regle!$F$11,regle!$F$23,
IF(S285=regle!$G$11,regle!$G$23,
IF(S285=regle!$H$11,regle!$H$23,
IF(S285=regle!$I$11,regle!$I$23,
IF(S285=regle!$J$11,regle!$J$23,
IF(S285=regle!$K$11,regle!$K$23,0))))))))))))</f>
        <v>0</v>
      </c>
      <c r="AD285" s="17">
        <f>IF($A285,$J285*(IF(T285=regle!$B$11,regle!$B$23*IF(AM285=-2,1+regle!$B$35,1),
IF(T285=regle!$C$11,regle!$C$23,
IF(T285=regle!$D$11,regle!$D$23,
IF(T285=regle!$E$11,regle!$E$23,
IF(T285=regle!$F$11,regle!$F$23,
IF(T285=regle!$G$11,regle!$G$23,
IF(T285=regle!$H$11,regle!$H$23,
IF(T285=regle!$I$11,regle!$I$23,
IF(T285=regle!$J$11,regle!$J$23,
IF(T285=regle!$K$11,regle!$K$23,0))))))))))))</f>
        <v>11829.171200000001</v>
      </c>
      <c r="AE285" s="17">
        <f>IF($A285,$J285*(IF(U285=regle!$B$11,regle!$B$23*IF(AN285=-2,1+regle!$B$35,1),
IF(U285=regle!$C$11,regle!$C$23,
IF(U285=regle!$D$11,regle!$D$23,
IF(U285=regle!$E$11,regle!$E$23,
IF(U285=regle!$F$11,regle!$F$23,
IF(U285=regle!$G$11,regle!$G$23,
IF(U285=regle!$H$11,regle!$H$23,
IF(U285=regle!$I$11,regle!$I$23,
IF(U285=regle!$J$11,regle!$J$23,
IF(U285=regle!$K$11,regle!$K$23,0))))))))))))</f>
        <v>0</v>
      </c>
      <c r="AF285" s="17">
        <f>IF($A285,$J285*(IF(V285=regle!$B$11,regle!$B$23*IF(AO285=-2,1+regle!$B$35,1),
IF(V285=regle!$C$11,regle!$C$23,
IF(V285=regle!$D$11,regle!$D$23,
IF(V285=regle!$E$11,regle!$E$23,
IF(V285=regle!$F$11,regle!$F$23,
IF(V285=regle!$G$11,regle!$G$23,
IF(V285=regle!$H$11,regle!$H$23,
IF(V285=regle!$I$11,regle!$I$23,
IF(V285=regle!$J$11,regle!$J$23,
IF(V285=regle!$K$11,regle!$K$23,0))))))))))))</f>
        <v>0</v>
      </c>
      <c r="AG285" s="17">
        <f>IF($A285,$J285*(IF(W285=regle!$B$11,regle!$B$23*IF(AP285=-2,1+regle!$B$35,1),
IF(W285=regle!$C$11,regle!$C$23,
IF(W285=regle!$D$11,regle!$D$23,
IF(W285=regle!$E$11,regle!$E$23,
IF(W285=regle!$F$11,regle!$F$23,
IF(W285=regle!$G$11,regle!$G$23,
IF(W285=regle!$H$11,regle!$H$23,
IF(W285=regle!$I$11,regle!$I$23,
IF(W285=regle!$J$11,regle!$J$23,
IF(W285=regle!$K$11,regle!$K$23,0))))))))))))</f>
        <v>0</v>
      </c>
      <c r="AH285" s="17">
        <f>IF($A285,$J285*(IF(X285=regle!$B$11,regle!$B$23*IF(AQ285=-2,1+regle!$B$35,1),
IF(X285=regle!$C$11,regle!$C$23,
IF(X285=regle!$D$11,regle!$D$23,
IF(X285=regle!$E$11,regle!$E$23,
IF(X285=regle!$F$11,regle!$F$23,
IF(X285=regle!$G$11,regle!$G$23,
IF(X285=regle!$H$11,regle!$H$23,
IF(X285=regle!$I$11,regle!$I$23,
IF(X285=regle!$J$11,regle!$J$23,
IF(X285=regle!$K$11,regle!$K$23,0))))))))))))</f>
        <v>0</v>
      </c>
      <c r="AI285" s="17">
        <f>IF($A285,$J285*(IF(Y285=regle!$B$11,regle!$B$23*IF(AR285=-2,1+regle!$B$35,1),
IF(Y285=regle!$C$11,regle!$C$23,
IF(Y285=regle!$D$11,regle!$D$23,
IF(Y285=regle!$E$11,regle!$E$23,
IF(Y285=regle!$F$11,regle!$F$23,
IF(Y285=regle!$G$11,regle!$G$23,
IF(Y285=regle!$H$11,regle!$H$23,
IF(Y285=regle!$I$11,regle!$I$23,
IF(Y285=regle!$J$11,regle!$J$23,
IF(Y285=regle!$K$11,regle!$K$23,0))))))))))))</f>
        <v>10753.792000000001</v>
      </c>
      <c r="AJ285" s="17">
        <f>IF($A285,$J285*(IF(Z285=regle!$B$11,regle!$B$23*IF(AS285=-2,1+regle!$B$35,1),
IF(Z285=regle!$C$11,regle!$C$23,
IF(Z285=regle!$D$11,regle!$D$23,
IF(Z285=regle!$E$11,regle!$E$23,
IF(Z285=regle!$F$11,regle!$F$23,
IF(Z285=regle!$G$11,regle!$G$23,
IF(Z285=regle!$H$11,regle!$H$23,
IF(Z285=regle!$I$11,regle!$I$23,
IF(Z285=regle!$J$11,regle!$J$23,
IF(Z285=regle!$K$11,regle!$K$23,0))))))))))))</f>
        <v>0</v>
      </c>
      <c r="AK285" s="16">
        <f>IF(OR(Q285=regle!$J$11,Q285=regle!$K$11),-2,IF(Q285=regle!$B$11,0,IF(AK$1=$AK$1,IF($O285,-1,regle!$B$2-$M285),IF(AJ285=-1,-1,AJ285+1))))</f>
        <v>19</v>
      </c>
      <c r="AL285" s="16">
        <f>IF(OR(R285=regle!$J$11,R285=regle!$K$11),-2,IF(R285=regle!$B$11,0,IF(AL$1=$AK$1,IF($O285,-1,regle!$B$2-$M285),IF(AK285=-1,-1,AK285+1))))</f>
        <v>20</v>
      </c>
      <c r="AM285" s="16">
        <f>IF(OR(S285=regle!$J$11,S285=regle!$K$11),-2,IF(S285=regle!$B$11,0,IF(AM$1=$AK$1,IF($O285,-1,regle!$B$2-$M285),IF(AL285=-1,-1,AL285+1))))</f>
        <v>21</v>
      </c>
      <c r="AN285" s="16">
        <f>IF(OR(T285=regle!$J$11,T285=regle!$K$11),-2,IF(T285=regle!$B$11,0,IF(AN$1=$AK$1,IF($O285,-1,regle!$B$2-$M285),IF(AM285=-1,-1,AM285+1))))</f>
        <v>22</v>
      </c>
      <c r="AO285" s="16">
        <f>IF(OR(U285=regle!$J$11,U285=regle!$K$11),-2,IF(U285=regle!$B$11,0,IF(AO$1=$AK$1,IF($O285,-1,regle!$B$2-$M285),IF(AN285=-1,-1,AN285+1))))</f>
        <v>23</v>
      </c>
      <c r="AP285" s="16">
        <f>IF(OR(V285=regle!$J$11,V285=regle!$K$11),-2,IF(V285=regle!$B$11,0,IF(AP$1=$AK$1,IF($O285,-1,regle!$B$2-$M285),IF(AO285=-1,-1,AO285+1))))</f>
        <v>24</v>
      </c>
      <c r="AQ285" s="16">
        <f>IF(OR(W285=regle!$J$11,W285=regle!$K$11),-2,IF(W285=regle!$B$11,0,IF(AQ$1=$AK$1,IF($O285,-1,regle!$B$2-$M285),IF(AP285=-1,-1,AP285+1))))</f>
        <v>25</v>
      </c>
      <c r="AR285" s="16">
        <f>IF(OR(X285=regle!$J$11,X285=regle!$K$11),-2,IF(X285=regle!$B$11,0,IF(AR$1=$AK$1,IF($O285,-1,regle!$B$2-$M285),IF(AQ285=-1,-1,AQ285+1))))</f>
        <v>26</v>
      </c>
      <c r="AS285" s="16">
        <f>IF(OR(Y285=regle!$J$11,Y285=regle!$K$11),-2,IF(Y285=regle!$B$11,0,IF(AS$1=$AK$1,IF($O285,-1,regle!$B$2-$M285),IF(AR285=-1,-1,AR285+1))))</f>
        <v>27</v>
      </c>
      <c r="AT285" s="16">
        <f>IF(OR(Z285=regle!$J$11,Z285=regle!$K$11),-2,IF(Z285=regle!$B$11,0,IF(AT$1=$AK$1,IF($O285,-1,regle!$B$2-$M285),IF(AS285=-1,-1,AS285+1))))</f>
        <v>28</v>
      </c>
    </row>
    <row r="286" spans="1:46" x14ac:dyDescent="0.25">
      <c r="A286" t="b">
        <f>modif1!A286</f>
        <v>1</v>
      </c>
      <c r="B286">
        <f>ROW(modif1!B286)</f>
        <v>286</v>
      </c>
      <c r="C286" t="str">
        <f>modif1!C289</f>
        <v>077</v>
      </c>
      <c r="D286" t="str">
        <f>modif1!D286</f>
        <v>LE TUZAN</v>
      </c>
      <c r="E286">
        <f>modif1!E286</f>
        <v>21</v>
      </c>
      <c r="F286" t="str">
        <f>modif1!F286</f>
        <v>METAIRIES DE TABARTON</v>
      </c>
      <c r="G286" t="str">
        <f>modif1!G286</f>
        <v>0A</v>
      </c>
      <c r="H286">
        <f>modif1!H286</f>
        <v>523</v>
      </c>
      <c r="I286" t="str">
        <f>modif1!I286</f>
        <v>r</v>
      </c>
      <c r="J286" s="11">
        <f>modif1!J286</f>
        <v>7.0640999999999998</v>
      </c>
      <c r="K286" t="str">
        <f>modif1!K286</f>
        <v>PLA</v>
      </c>
      <c r="L286" t="str">
        <f>modif1!L286</f>
        <v>PM</v>
      </c>
      <c r="M286">
        <f>modif1!M286</f>
        <v>2005</v>
      </c>
      <c r="N286" t="str">
        <f>modif1!N286</f>
        <v>PLA-PM_2005</v>
      </c>
      <c r="O286" t="b">
        <f>modif1!O286</f>
        <v>0</v>
      </c>
      <c r="P286">
        <v>40</v>
      </c>
      <c r="T286" t="s">
        <v>1805</v>
      </c>
      <c r="Y286" t="s">
        <v>1806</v>
      </c>
      <c r="Z286"/>
      <c r="AA286" s="17">
        <f>IF($A286,$J286*(IF(Q286=regle!$B$11,regle!$B$23*IF(AJ286=-2,1+regle!$B$35,1),
IF(Q286=regle!$C$11,regle!$C$23,
IF(Q286=regle!$D$11,regle!$D$23,
IF(Q286=regle!$E$11,regle!$E$23,
IF(Q286=regle!$F$11,regle!$F$23,
IF(Q286=regle!$G$11,regle!$G$23,
IF(Q286=regle!$H$11,regle!$H$23,
IF(Q286=regle!$I$11,regle!$I$23,
IF(Q286=regle!$J$11,regle!$J$23,
IF(Q286=regle!$K$11,regle!$K$23,0))))))))))))</f>
        <v>0</v>
      </c>
      <c r="AB286" s="17">
        <f>IF($A286,$J286*(IF(R286=regle!$B$11,regle!$B$23*IF(AK286=-2,1+regle!$B$35,1),
IF(R286=regle!$C$11,regle!$C$23,
IF(R286=regle!$D$11,regle!$D$23,
IF(R286=regle!$E$11,regle!$E$23,
IF(R286=regle!$F$11,regle!$F$23,
IF(R286=regle!$G$11,regle!$G$23,
IF(R286=regle!$H$11,regle!$H$23,
IF(R286=regle!$I$11,regle!$I$23,
IF(R286=regle!$J$11,regle!$J$23,
IF(R286=regle!$K$11,regle!$K$23,0))))))))))))</f>
        <v>0</v>
      </c>
      <c r="AC286" s="17">
        <f>IF($A286,$J286*(IF(S286=regle!$B$11,regle!$B$23*IF(AL286=-2,1+regle!$B$35,1),
IF(S286=regle!$C$11,regle!$C$23,
IF(S286=regle!$D$11,regle!$D$23,
IF(S286=regle!$E$11,regle!$E$23,
IF(S286=regle!$F$11,regle!$F$23,
IF(S286=regle!$G$11,regle!$G$23,
IF(S286=regle!$H$11,regle!$H$23,
IF(S286=regle!$I$11,regle!$I$23,
IF(S286=regle!$J$11,regle!$J$23,
IF(S286=regle!$K$11,regle!$K$23,0))))))))))))</f>
        <v>0</v>
      </c>
      <c r="AD286" s="17">
        <f>IF($A286,$J286*(IF(T286=regle!$B$11,regle!$B$23*IF(AM286=-2,1+regle!$B$35,1),
IF(T286=regle!$C$11,regle!$C$23,
IF(T286=regle!$D$11,regle!$D$23,
IF(T286=regle!$E$11,regle!$E$23,
IF(T286=regle!$F$11,regle!$F$23,
IF(T286=regle!$G$11,regle!$G$23,
IF(T286=regle!$H$11,regle!$H$23,
IF(T286=regle!$I$11,regle!$I$23,
IF(T286=regle!$J$11,regle!$J$23,
IF(T286=regle!$K$11,regle!$K$23,0))))))))))))</f>
        <v>9946.2528000000002</v>
      </c>
      <c r="AE286" s="17">
        <f>IF($A286,$J286*(IF(U286=regle!$B$11,regle!$B$23*IF(AN286=-2,1+regle!$B$35,1),
IF(U286=regle!$C$11,regle!$C$23,
IF(U286=regle!$D$11,regle!$D$23,
IF(U286=regle!$E$11,regle!$E$23,
IF(U286=regle!$F$11,regle!$F$23,
IF(U286=regle!$G$11,regle!$G$23,
IF(U286=regle!$H$11,regle!$H$23,
IF(U286=regle!$I$11,regle!$I$23,
IF(U286=regle!$J$11,regle!$J$23,
IF(U286=regle!$K$11,regle!$K$23,0))))))))))))</f>
        <v>0</v>
      </c>
      <c r="AF286" s="17">
        <f>IF($A286,$J286*(IF(V286=regle!$B$11,regle!$B$23*IF(AO286=-2,1+regle!$B$35,1),
IF(V286=regle!$C$11,regle!$C$23,
IF(V286=regle!$D$11,regle!$D$23,
IF(V286=regle!$E$11,regle!$E$23,
IF(V286=regle!$F$11,regle!$F$23,
IF(V286=regle!$G$11,regle!$G$23,
IF(V286=regle!$H$11,regle!$H$23,
IF(V286=regle!$I$11,regle!$I$23,
IF(V286=regle!$J$11,regle!$J$23,
IF(V286=regle!$K$11,regle!$K$23,0))))))))))))</f>
        <v>0</v>
      </c>
      <c r="AG286" s="17">
        <f>IF($A286,$J286*(IF(W286=regle!$B$11,regle!$B$23*IF(AP286=-2,1+regle!$B$35,1),
IF(W286=regle!$C$11,regle!$C$23,
IF(W286=regle!$D$11,regle!$D$23,
IF(W286=regle!$E$11,regle!$E$23,
IF(W286=regle!$F$11,regle!$F$23,
IF(W286=regle!$G$11,regle!$G$23,
IF(W286=regle!$H$11,regle!$H$23,
IF(W286=regle!$I$11,regle!$I$23,
IF(W286=regle!$J$11,regle!$J$23,
IF(W286=regle!$K$11,regle!$K$23,0))))))))))))</f>
        <v>0</v>
      </c>
      <c r="AH286" s="17">
        <f>IF($A286,$J286*(IF(X286=regle!$B$11,regle!$B$23*IF(AQ286=-2,1+regle!$B$35,1),
IF(X286=regle!$C$11,regle!$C$23,
IF(X286=regle!$D$11,regle!$D$23,
IF(X286=regle!$E$11,regle!$E$23,
IF(X286=regle!$F$11,regle!$F$23,
IF(X286=regle!$G$11,regle!$G$23,
IF(X286=regle!$H$11,regle!$H$23,
IF(X286=regle!$I$11,regle!$I$23,
IF(X286=regle!$J$11,regle!$J$23,
IF(X286=regle!$K$11,regle!$K$23,0))))))))))))</f>
        <v>0</v>
      </c>
      <c r="AI286" s="17">
        <f>IF($A286,$J286*(IF(Y286=regle!$B$11,regle!$B$23*IF(AR286=-2,1+regle!$B$35,1),
IF(Y286=regle!$C$11,regle!$C$23,
IF(Y286=regle!$D$11,regle!$D$23,
IF(Y286=regle!$E$11,regle!$E$23,
IF(Y286=regle!$F$11,regle!$F$23,
IF(Y286=regle!$G$11,regle!$G$23,
IF(Y286=regle!$H$11,regle!$H$23,
IF(Y286=regle!$I$11,regle!$I$23,
IF(Y286=regle!$J$11,regle!$J$23,
IF(Y286=regle!$K$11,regle!$K$23,0))))))))))))</f>
        <v>9042.0479999999989</v>
      </c>
      <c r="AJ286" s="17">
        <f>IF($A286,$J286*(IF(Z286=regle!$B$11,regle!$B$23*IF(AS286=-2,1+regle!$B$35,1),
IF(Z286=regle!$C$11,regle!$C$23,
IF(Z286=regle!$D$11,regle!$D$23,
IF(Z286=regle!$E$11,regle!$E$23,
IF(Z286=regle!$F$11,regle!$F$23,
IF(Z286=regle!$G$11,regle!$G$23,
IF(Z286=regle!$H$11,regle!$H$23,
IF(Z286=regle!$I$11,regle!$I$23,
IF(Z286=regle!$J$11,regle!$J$23,
IF(Z286=regle!$K$11,regle!$K$23,0))))))))))))</f>
        <v>0</v>
      </c>
      <c r="AK286" s="16">
        <f>IF(OR(Q286=regle!$J$11,Q286=regle!$K$11),-2,IF(Q286=regle!$B$11,0,IF(AK$1=$AK$1,IF($O286,-1,regle!$B$2-$M286),IF(AJ286=-1,-1,AJ286+1))))</f>
        <v>19</v>
      </c>
      <c r="AL286" s="16">
        <f>IF(OR(R286=regle!$J$11,R286=regle!$K$11),-2,IF(R286=regle!$B$11,0,IF(AL$1=$AK$1,IF($O286,-1,regle!$B$2-$M286),IF(AK286=-1,-1,AK286+1))))</f>
        <v>20</v>
      </c>
      <c r="AM286" s="16">
        <f>IF(OR(S286=regle!$J$11,S286=regle!$K$11),-2,IF(S286=regle!$B$11,0,IF(AM$1=$AK$1,IF($O286,-1,regle!$B$2-$M286),IF(AL286=-1,-1,AL286+1))))</f>
        <v>21</v>
      </c>
      <c r="AN286" s="16">
        <f>IF(OR(T286=regle!$J$11,T286=regle!$K$11),-2,IF(T286=regle!$B$11,0,IF(AN$1=$AK$1,IF($O286,-1,regle!$B$2-$M286),IF(AM286=-1,-1,AM286+1))))</f>
        <v>22</v>
      </c>
      <c r="AO286" s="16">
        <f>IF(OR(U286=regle!$J$11,U286=regle!$K$11),-2,IF(U286=regle!$B$11,0,IF(AO$1=$AK$1,IF($O286,-1,regle!$B$2-$M286),IF(AN286=-1,-1,AN286+1))))</f>
        <v>23</v>
      </c>
      <c r="AP286" s="16">
        <f>IF(OR(V286=regle!$J$11,V286=regle!$K$11),-2,IF(V286=regle!$B$11,0,IF(AP$1=$AK$1,IF($O286,-1,regle!$B$2-$M286),IF(AO286=-1,-1,AO286+1))))</f>
        <v>24</v>
      </c>
      <c r="AQ286" s="16">
        <f>IF(OR(W286=regle!$J$11,W286=regle!$K$11),-2,IF(W286=regle!$B$11,0,IF(AQ$1=$AK$1,IF($O286,-1,regle!$B$2-$M286),IF(AP286=-1,-1,AP286+1))))</f>
        <v>25</v>
      </c>
      <c r="AR286" s="16">
        <f>IF(OR(X286=regle!$J$11,X286=regle!$K$11),-2,IF(X286=regle!$B$11,0,IF(AR$1=$AK$1,IF($O286,-1,regle!$B$2-$M286),IF(AQ286=-1,-1,AQ286+1))))</f>
        <v>26</v>
      </c>
      <c r="AS286" s="16">
        <f>IF(OR(Y286=regle!$J$11,Y286=regle!$K$11),-2,IF(Y286=regle!$B$11,0,IF(AS$1=$AK$1,IF($O286,-1,regle!$B$2-$M286),IF(AR286=-1,-1,AR286+1))))</f>
        <v>27</v>
      </c>
      <c r="AT286" s="16">
        <f>IF(OR(Z286=regle!$J$11,Z286=regle!$K$11),-2,IF(Z286=regle!$B$11,0,IF(AT$1=$AK$1,IF($O286,-1,regle!$B$2-$M286),IF(AS286=-1,-1,AS286+1))))</f>
        <v>28</v>
      </c>
    </row>
    <row r="287" spans="1:46" x14ac:dyDescent="0.25">
      <c r="A287" t="b">
        <f>modif1!A287</f>
        <v>1</v>
      </c>
      <c r="B287">
        <f>ROW(modif1!B287)</f>
        <v>287</v>
      </c>
      <c r="C287" t="str">
        <f>modif1!C290</f>
        <v>536</v>
      </c>
      <c r="D287" t="str">
        <f>modif1!D287</f>
        <v>LE TUZAN</v>
      </c>
      <c r="E287">
        <f>modif1!E287</f>
        <v>21</v>
      </c>
      <c r="F287" t="str">
        <f>modif1!F287</f>
        <v>METAIRIES DE TABARTON</v>
      </c>
      <c r="G287" t="str">
        <f>modif1!G287</f>
        <v>0A</v>
      </c>
      <c r="H287">
        <f>modif1!H287</f>
        <v>523</v>
      </c>
      <c r="I287" t="str">
        <f>modif1!I287</f>
        <v>q</v>
      </c>
      <c r="J287" s="11">
        <f>modif1!J287</f>
        <v>6.8734999999999999</v>
      </c>
      <c r="K287" t="str">
        <f>modif1!K287</f>
        <v>PLA</v>
      </c>
      <c r="L287" t="str">
        <f>modif1!L287</f>
        <v>PM</v>
      </c>
      <c r="M287">
        <f>modif1!M287</f>
        <v>2005</v>
      </c>
      <c r="N287" t="str">
        <f>modif1!N287</f>
        <v>PLA-PM_2005</v>
      </c>
      <c r="O287" t="b">
        <f>modif1!O287</f>
        <v>0</v>
      </c>
      <c r="P287">
        <v>40</v>
      </c>
      <c r="T287" t="s">
        <v>1805</v>
      </c>
      <c r="Y287" t="s">
        <v>1806</v>
      </c>
      <c r="Z287"/>
      <c r="AA287" s="17">
        <f>IF($A287,$J287*(IF(Q287=regle!$B$11,regle!$B$23*IF(AJ287=-2,1+regle!$B$35,1),
IF(Q287=regle!$C$11,regle!$C$23,
IF(Q287=regle!$D$11,regle!$D$23,
IF(Q287=regle!$E$11,regle!$E$23,
IF(Q287=regle!$F$11,regle!$F$23,
IF(Q287=regle!$G$11,regle!$G$23,
IF(Q287=regle!$H$11,regle!$H$23,
IF(Q287=regle!$I$11,regle!$I$23,
IF(Q287=regle!$J$11,regle!$J$23,
IF(Q287=regle!$K$11,regle!$K$23,0))))))))))))</f>
        <v>0</v>
      </c>
      <c r="AB287" s="17">
        <f>IF($A287,$J287*(IF(R287=regle!$B$11,regle!$B$23*IF(AK287=-2,1+regle!$B$35,1),
IF(R287=regle!$C$11,regle!$C$23,
IF(R287=regle!$D$11,regle!$D$23,
IF(R287=regle!$E$11,regle!$E$23,
IF(R287=regle!$F$11,regle!$F$23,
IF(R287=regle!$G$11,regle!$G$23,
IF(R287=regle!$H$11,regle!$H$23,
IF(R287=regle!$I$11,regle!$I$23,
IF(R287=regle!$J$11,regle!$J$23,
IF(R287=regle!$K$11,regle!$K$23,0))))))))))))</f>
        <v>0</v>
      </c>
      <c r="AC287" s="17">
        <f>IF($A287,$J287*(IF(S287=regle!$B$11,regle!$B$23*IF(AL287=-2,1+regle!$B$35,1),
IF(S287=regle!$C$11,regle!$C$23,
IF(S287=regle!$D$11,regle!$D$23,
IF(S287=regle!$E$11,regle!$E$23,
IF(S287=regle!$F$11,regle!$F$23,
IF(S287=regle!$G$11,regle!$G$23,
IF(S287=regle!$H$11,regle!$H$23,
IF(S287=regle!$I$11,regle!$I$23,
IF(S287=regle!$J$11,regle!$J$23,
IF(S287=regle!$K$11,regle!$K$23,0))))))))))))</f>
        <v>0</v>
      </c>
      <c r="AD287" s="17">
        <f>IF($A287,$J287*(IF(T287=regle!$B$11,regle!$B$23*IF(AM287=-2,1+regle!$B$35,1),
IF(T287=regle!$C$11,regle!$C$23,
IF(T287=regle!$D$11,regle!$D$23,
IF(T287=regle!$E$11,regle!$E$23,
IF(T287=regle!$F$11,regle!$F$23,
IF(T287=regle!$G$11,regle!$G$23,
IF(T287=regle!$H$11,regle!$H$23,
IF(T287=regle!$I$11,regle!$I$23,
IF(T287=regle!$J$11,regle!$J$23,
IF(T287=regle!$K$11,regle!$K$23,0))))))))))))</f>
        <v>9677.887999999999</v>
      </c>
      <c r="AE287" s="17">
        <f>IF($A287,$J287*(IF(U287=regle!$B$11,regle!$B$23*IF(AN287=-2,1+regle!$B$35,1),
IF(U287=regle!$C$11,regle!$C$23,
IF(U287=regle!$D$11,regle!$D$23,
IF(U287=regle!$E$11,regle!$E$23,
IF(U287=regle!$F$11,regle!$F$23,
IF(U287=regle!$G$11,regle!$G$23,
IF(U287=regle!$H$11,regle!$H$23,
IF(U287=regle!$I$11,regle!$I$23,
IF(U287=regle!$J$11,regle!$J$23,
IF(U287=regle!$K$11,regle!$K$23,0))))))))))))</f>
        <v>0</v>
      </c>
      <c r="AF287" s="17">
        <f>IF($A287,$J287*(IF(V287=regle!$B$11,regle!$B$23*IF(AO287=-2,1+regle!$B$35,1),
IF(V287=regle!$C$11,regle!$C$23,
IF(V287=regle!$D$11,regle!$D$23,
IF(V287=regle!$E$11,regle!$E$23,
IF(V287=regle!$F$11,regle!$F$23,
IF(V287=regle!$G$11,regle!$G$23,
IF(V287=regle!$H$11,regle!$H$23,
IF(V287=regle!$I$11,regle!$I$23,
IF(V287=regle!$J$11,regle!$J$23,
IF(V287=regle!$K$11,regle!$K$23,0))))))))))))</f>
        <v>0</v>
      </c>
      <c r="AG287" s="17">
        <f>IF($A287,$J287*(IF(W287=regle!$B$11,regle!$B$23*IF(AP287=-2,1+regle!$B$35,1),
IF(W287=regle!$C$11,regle!$C$23,
IF(W287=regle!$D$11,regle!$D$23,
IF(W287=regle!$E$11,regle!$E$23,
IF(W287=regle!$F$11,regle!$F$23,
IF(W287=regle!$G$11,regle!$G$23,
IF(W287=regle!$H$11,regle!$H$23,
IF(W287=regle!$I$11,regle!$I$23,
IF(W287=regle!$J$11,regle!$J$23,
IF(W287=regle!$K$11,regle!$K$23,0))))))))))))</f>
        <v>0</v>
      </c>
      <c r="AH287" s="17">
        <f>IF($A287,$J287*(IF(X287=regle!$B$11,regle!$B$23*IF(AQ287=-2,1+regle!$B$35,1),
IF(X287=regle!$C$11,regle!$C$23,
IF(X287=regle!$D$11,regle!$D$23,
IF(X287=regle!$E$11,regle!$E$23,
IF(X287=regle!$F$11,regle!$F$23,
IF(X287=regle!$G$11,regle!$G$23,
IF(X287=regle!$H$11,regle!$H$23,
IF(X287=regle!$I$11,regle!$I$23,
IF(X287=regle!$J$11,regle!$J$23,
IF(X287=regle!$K$11,regle!$K$23,0))))))))))))</f>
        <v>0</v>
      </c>
      <c r="AI287" s="17">
        <f>IF($A287,$J287*(IF(Y287=regle!$B$11,regle!$B$23*IF(AR287=-2,1+regle!$B$35,1),
IF(Y287=regle!$C$11,regle!$C$23,
IF(Y287=regle!$D$11,regle!$D$23,
IF(Y287=regle!$E$11,regle!$E$23,
IF(Y287=regle!$F$11,regle!$F$23,
IF(Y287=regle!$G$11,regle!$G$23,
IF(Y287=regle!$H$11,regle!$H$23,
IF(Y287=regle!$I$11,regle!$I$23,
IF(Y287=regle!$J$11,regle!$J$23,
IF(Y287=regle!$K$11,regle!$K$23,0))))))))))))</f>
        <v>8798.08</v>
      </c>
      <c r="AJ287" s="17">
        <f>IF($A287,$J287*(IF(Z287=regle!$B$11,regle!$B$23*IF(AS287=-2,1+regle!$B$35,1),
IF(Z287=regle!$C$11,regle!$C$23,
IF(Z287=regle!$D$11,regle!$D$23,
IF(Z287=regle!$E$11,regle!$E$23,
IF(Z287=regle!$F$11,regle!$F$23,
IF(Z287=regle!$G$11,regle!$G$23,
IF(Z287=regle!$H$11,regle!$H$23,
IF(Z287=regle!$I$11,regle!$I$23,
IF(Z287=regle!$J$11,regle!$J$23,
IF(Z287=regle!$K$11,regle!$K$23,0))))))))))))</f>
        <v>0</v>
      </c>
      <c r="AK287" s="16">
        <f>IF(OR(Q287=regle!$J$11,Q287=regle!$K$11),-2,IF(Q287=regle!$B$11,0,IF(AK$1=$AK$1,IF($O287,-1,regle!$B$2-$M287),IF(AJ287=-1,-1,AJ287+1))))</f>
        <v>19</v>
      </c>
      <c r="AL287" s="16">
        <f>IF(OR(R287=regle!$J$11,R287=regle!$K$11),-2,IF(R287=regle!$B$11,0,IF(AL$1=$AK$1,IF($O287,-1,regle!$B$2-$M287),IF(AK287=-1,-1,AK287+1))))</f>
        <v>20</v>
      </c>
      <c r="AM287" s="16">
        <f>IF(OR(S287=regle!$J$11,S287=regle!$K$11),-2,IF(S287=regle!$B$11,0,IF(AM$1=$AK$1,IF($O287,-1,regle!$B$2-$M287),IF(AL287=-1,-1,AL287+1))))</f>
        <v>21</v>
      </c>
      <c r="AN287" s="16">
        <f>IF(OR(T287=regle!$J$11,T287=regle!$K$11),-2,IF(T287=regle!$B$11,0,IF(AN$1=$AK$1,IF($O287,-1,regle!$B$2-$M287),IF(AM287=-1,-1,AM287+1))))</f>
        <v>22</v>
      </c>
      <c r="AO287" s="16">
        <f>IF(OR(U287=regle!$J$11,U287=regle!$K$11),-2,IF(U287=regle!$B$11,0,IF(AO$1=$AK$1,IF($O287,-1,regle!$B$2-$M287),IF(AN287=-1,-1,AN287+1))))</f>
        <v>23</v>
      </c>
      <c r="AP287" s="16">
        <f>IF(OR(V287=regle!$J$11,V287=regle!$K$11),-2,IF(V287=regle!$B$11,0,IF(AP$1=$AK$1,IF($O287,-1,regle!$B$2-$M287),IF(AO287=-1,-1,AO287+1))))</f>
        <v>24</v>
      </c>
      <c r="AQ287" s="16">
        <f>IF(OR(W287=regle!$J$11,W287=regle!$K$11),-2,IF(W287=regle!$B$11,0,IF(AQ$1=$AK$1,IF($O287,-1,regle!$B$2-$M287),IF(AP287=-1,-1,AP287+1))))</f>
        <v>25</v>
      </c>
      <c r="AR287" s="16">
        <f>IF(OR(X287=regle!$J$11,X287=regle!$K$11),-2,IF(X287=regle!$B$11,0,IF(AR$1=$AK$1,IF($O287,-1,regle!$B$2-$M287),IF(AQ287=-1,-1,AQ287+1))))</f>
        <v>26</v>
      </c>
      <c r="AS287" s="16">
        <f>IF(OR(Y287=regle!$J$11,Y287=regle!$K$11),-2,IF(Y287=regle!$B$11,0,IF(AS$1=$AK$1,IF($O287,-1,regle!$B$2-$M287),IF(AR287=-1,-1,AR287+1))))</f>
        <v>27</v>
      </c>
      <c r="AT287" s="16">
        <f>IF(OR(Z287=regle!$J$11,Z287=regle!$K$11),-2,IF(Z287=regle!$B$11,0,IF(AT$1=$AK$1,IF($O287,-1,regle!$B$2-$M287),IF(AS287=-1,-1,AS287+1))))</f>
        <v>28</v>
      </c>
    </row>
    <row r="288" spans="1:46" x14ac:dyDescent="0.25">
      <c r="A288" t="b">
        <f>modif1!A288</f>
        <v>1</v>
      </c>
      <c r="B288">
        <f>ROW(modif1!B288)</f>
        <v>288</v>
      </c>
      <c r="C288" t="str">
        <f>modif1!C291</f>
        <v>536</v>
      </c>
      <c r="D288" t="str">
        <f>modif1!D288</f>
        <v>CABANAC-ET-VILLAGRAINS</v>
      </c>
      <c r="E288">
        <f>modif1!E288</f>
        <v>12</v>
      </c>
      <c r="F288" t="str">
        <f>modif1!F288</f>
        <v>LES JEANNOTS</v>
      </c>
      <c r="G288" t="str">
        <f>modif1!G288</f>
        <v>0D</v>
      </c>
      <c r="H288">
        <f>modif1!H288</f>
        <v>2295</v>
      </c>
      <c r="I288" t="str">
        <f>modif1!I288</f>
        <v>l</v>
      </c>
      <c r="J288" s="11">
        <f>modif1!J288</f>
        <v>5.4044999999999996</v>
      </c>
      <c r="K288" t="str">
        <f>modif1!K288</f>
        <v>PLA</v>
      </c>
      <c r="L288" t="str">
        <f>modif1!L288</f>
        <v>PM</v>
      </c>
      <c r="M288">
        <f>modif1!M288</f>
        <v>2005</v>
      </c>
      <c r="N288" t="str">
        <f>modif1!N288</f>
        <v>PLA-PM_2005</v>
      </c>
      <c r="O288" t="b">
        <f>modif1!O288</f>
        <v>0</v>
      </c>
      <c r="P288">
        <v>40</v>
      </c>
      <c r="W288" t="s">
        <v>1181</v>
      </c>
      <c r="X288" t="s">
        <v>1868</v>
      </c>
      <c r="Z288" t="s">
        <v>1872</v>
      </c>
      <c r="AA288" s="17">
        <f>IF($A288,$J288*(IF(Q288=regle!$B$11,regle!$B$23*IF(AJ288=-2,1+regle!$B$35,1),
IF(Q288=regle!$C$11,regle!$C$23,
IF(Q288=regle!$D$11,regle!$D$23,
IF(Q288=regle!$E$11,regle!$E$23,
IF(Q288=regle!$F$11,regle!$F$23,
IF(Q288=regle!$G$11,regle!$G$23,
IF(Q288=regle!$H$11,regle!$H$23,
IF(Q288=regle!$I$11,regle!$I$23,
IF(Q288=regle!$J$11,regle!$J$23,
IF(Q288=regle!$K$11,regle!$K$23,0))))))))))))</f>
        <v>0</v>
      </c>
      <c r="AB288" s="17">
        <f>IF($A288,$J288*(IF(R288=regle!$B$11,regle!$B$23*IF(AK288=-2,1+regle!$B$35,1),
IF(R288=regle!$C$11,regle!$C$23,
IF(R288=regle!$D$11,regle!$D$23,
IF(R288=regle!$E$11,regle!$E$23,
IF(R288=regle!$F$11,regle!$F$23,
IF(R288=regle!$G$11,regle!$G$23,
IF(R288=regle!$H$11,regle!$H$23,
IF(R288=regle!$I$11,regle!$I$23,
IF(R288=regle!$J$11,regle!$J$23,
IF(R288=regle!$K$11,regle!$K$23,0))))))))))))</f>
        <v>0</v>
      </c>
      <c r="AC288" s="17">
        <f>IF($A288,$J288*(IF(S288=regle!$B$11,regle!$B$23*IF(AL288=-2,1+regle!$B$35,1),
IF(S288=regle!$C$11,regle!$C$23,
IF(S288=regle!$D$11,regle!$D$23,
IF(S288=regle!$E$11,regle!$E$23,
IF(S288=regle!$F$11,regle!$F$23,
IF(S288=regle!$G$11,regle!$G$23,
IF(S288=regle!$H$11,regle!$H$23,
IF(S288=regle!$I$11,regle!$I$23,
IF(S288=regle!$J$11,regle!$J$23,
IF(S288=regle!$K$11,regle!$K$23,0))))))))))))</f>
        <v>0</v>
      </c>
      <c r="AD288" s="17">
        <f>IF($A288,$J288*(IF(T288=regle!$B$11,regle!$B$23*IF(AM288=-2,1+regle!$B$35,1),
IF(T288=regle!$C$11,regle!$C$23,
IF(T288=regle!$D$11,regle!$D$23,
IF(T288=regle!$E$11,regle!$E$23,
IF(T288=regle!$F$11,regle!$F$23,
IF(T288=regle!$G$11,regle!$G$23,
IF(T288=regle!$H$11,regle!$H$23,
IF(T288=regle!$I$11,regle!$I$23,
IF(T288=regle!$J$11,regle!$J$23,
IF(T288=regle!$K$11,regle!$K$23,0))))))))))))</f>
        <v>0</v>
      </c>
      <c r="AE288" s="17">
        <f>IF($A288,$J288*(IF(U288=regle!$B$11,regle!$B$23*IF(AN288=-2,1+regle!$B$35,1),
IF(U288=regle!$C$11,regle!$C$23,
IF(U288=regle!$D$11,regle!$D$23,
IF(U288=regle!$E$11,regle!$E$23,
IF(U288=regle!$F$11,regle!$F$23,
IF(U288=regle!$G$11,regle!$G$23,
IF(U288=regle!$H$11,regle!$H$23,
IF(U288=regle!$I$11,regle!$I$23,
IF(U288=regle!$J$11,regle!$J$23,
IF(U288=regle!$K$11,regle!$K$23,0))))))))))))</f>
        <v>0</v>
      </c>
      <c r="AF288" s="17">
        <f>IF($A288,$J288*(IF(V288=regle!$B$11,regle!$B$23*IF(AO288=-2,1+regle!$B$35,1),
IF(V288=regle!$C$11,regle!$C$23,
IF(V288=regle!$D$11,regle!$D$23,
IF(V288=regle!$E$11,regle!$E$23,
IF(V288=regle!$F$11,regle!$F$23,
IF(V288=regle!$G$11,regle!$G$23,
IF(V288=regle!$H$11,regle!$H$23,
IF(V288=regle!$I$11,regle!$I$23,
IF(V288=regle!$J$11,regle!$J$23,
IF(V288=regle!$K$11,regle!$K$23,0))))))))))))</f>
        <v>0</v>
      </c>
      <c r="AG288" s="17">
        <f>IF($A288,$J288*(IF(W288=regle!$B$11,regle!$B$23*IF(AP288=-2,1+regle!$B$35,1),
IF(W288=regle!$C$11,regle!$C$23,
IF(W288=regle!$D$11,regle!$D$23,
IF(W288=regle!$E$11,regle!$E$23,
IF(W288=regle!$F$11,regle!$F$23,
IF(W288=regle!$G$11,regle!$G$23,
IF(W288=regle!$H$11,regle!$H$23,
IF(W288=regle!$I$11,regle!$I$23,
IF(W288=regle!$J$11,regle!$J$23,
IF(W288=regle!$K$11,regle!$K$23,0))))))))))))</f>
        <v>28103.399999999998</v>
      </c>
      <c r="AH288" s="17">
        <f>IF($A288,$J288*(IF(X288=regle!$B$11,regle!$B$23*IF(AQ288=-2,1+regle!$B$35,1),
IF(X288=regle!$C$11,regle!$C$23,
IF(X288=regle!$D$11,regle!$D$23,
IF(X288=regle!$E$11,regle!$E$23,
IF(X288=regle!$F$11,regle!$F$23,
IF(X288=regle!$G$11,regle!$G$23,
IF(X288=regle!$H$11,regle!$H$23,
IF(X288=regle!$I$11,regle!$I$23,
IF(X288=regle!$J$11,regle!$J$23,
IF(X288=regle!$K$11,regle!$K$23,0))))))))))))</f>
        <v>-10106.415000000001</v>
      </c>
      <c r="AI288" s="17">
        <f>IF($A288,$J288*(IF(Y288=regle!$B$11,regle!$B$23*IF(AR288=-2,1+regle!$B$35,1),
IF(Y288=regle!$C$11,regle!$C$23,
IF(Y288=regle!$D$11,regle!$D$23,
IF(Y288=regle!$E$11,regle!$E$23,
IF(Y288=regle!$F$11,regle!$F$23,
IF(Y288=regle!$G$11,regle!$G$23,
IF(Y288=regle!$H$11,regle!$H$23,
IF(Y288=regle!$I$11,regle!$I$23,
IF(Y288=regle!$J$11,regle!$J$23,
IF(Y288=regle!$K$11,regle!$K$23,0))))))))))))</f>
        <v>0</v>
      </c>
      <c r="AJ288" s="17">
        <f>IF($A288,$J288*(IF(Z288=regle!$B$11,regle!$B$23*IF(AS288=-2,1+regle!$B$35,1),
IF(Z288=regle!$C$11,regle!$C$23,
IF(Z288=regle!$D$11,regle!$D$23,
IF(Z288=regle!$E$11,regle!$E$23,
IF(Z288=regle!$F$11,regle!$F$23,
IF(Z288=regle!$G$11,regle!$G$23,
IF(Z288=regle!$H$11,regle!$H$23,
IF(Z288=regle!$I$11,regle!$I$23,
IF(Z288=regle!$J$11,regle!$J$23,
IF(Z288=regle!$K$11,regle!$K$23,0))))))))))))</f>
        <v>-405.33749999999998</v>
      </c>
      <c r="AK288" s="16">
        <f>IF(OR(Q288=regle!$J$11,Q288=regle!$K$11),-2,IF(Q288=regle!$B$11,0,IF(AK$1=$AK$1,IF($O288,-1,regle!$B$2-$M288),IF(AJ288=-1,-1,AJ288+1))))</f>
        <v>19</v>
      </c>
      <c r="AL288" s="16">
        <f>IF(OR(R288=regle!$J$11,R288=regle!$K$11),-2,IF(R288=regle!$B$11,0,IF(AL$1=$AK$1,IF($O288,-1,regle!$B$2-$M288),IF(AK288=-1,-1,AK288+1))))</f>
        <v>20</v>
      </c>
      <c r="AM288" s="16">
        <f>IF(OR(S288=regle!$J$11,S288=regle!$K$11),-2,IF(S288=regle!$B$11,0,IF(AM$1=$AK$1,IF($O288,-1,regle!$B$2-$M288),IF(AL288=-1,-1,AL288+1))))</f>
        <v>21</v>
      </c>
      <c r="AN288" s="16">
        <f>IF(OR(T288=regle!$J$11,T288=regle!$K$11),-2,IF(T288=regle!$B$11,0,IF(AN$1=$AK$1,IF($O288,-1,regle!$B$2-$M288),IF(AM288=-1,-1,AM288+1))))</f>
        <v>22</v>
      </c>
      <c r="AO288" s="16">
        <f>IF(OR(U288=regle!$J$11,U288=regle!$K$11),-2,IF(U288=regle!$B$11,0,IF(AO$1=$AK$1,IF($O288,-1,regle!$B$2-$M288),IF(AN288=-1,-1,AN288+1))))</f>
        <v>23</v>
      </c>
      <c r="AP288" s="16">
        <f>IF(OR(V288=regle!$J$11,V288=regle!$K$11),-2,IF(V288=regle!$B$11,0,IF(AP$1=$AK$1,IF($O288,-1,regle!$B$2-$M288),IF(AO288=-1,-1,AO288+1))))</f>
        <v>24</v>
      </c>
      <c r="AQ288" s="16">
        <f>IF(OR(W288=regle!$J$11,W288=regle!$K$11),-2,IF(W288=regle!$B$11,0,IF(AQ$1=$AK$1,IF($O288,-1,regle!$B$2-$M288),IF(AP288=-1,-1,AP288+1))))</f>
        <v>-2</v>
      </c>
      <c r="AR288" s="16">
        <f>IF(OR(X288=regle!$J$11,X288=regle!$K$11),-2,IF(X288=regle!$B$11,0,IF(AR$1=$AK$1,IF($O288,-1,regle!$B$2-$M288),IF(AQ288=-1,-1,AQ288+1))))</f>
        <v>0</v>
      </c>
      <c r="AS288" s="16">
        <f>IF(OR(Y288=regle!$J$11,Y288=regle!$K$11),-2,IF(Y288=regle!$B$11,0,IF(AS$1=$AK$1,IF($O288,-1,regle!$B$2-$M288),IF(AR288=-1,-1,AR288+1))))</f>
        <v>1</v>
      </c>
      <c r="AT288" s="16">
        <f>IF(OR(Z288=regle!$J$11,Z288=regle!$K$11),-2,IF(Z288=regle!$B$11,0,IF(AT$1=$AK$1,IF($O288,-1,regle!$B$2-$M288),IF(AS288=-1,-1,AS288+1))))</f>
        <v>2</v>
      </c>
    </row>
    <row r="289" spans="1:46" x14ac:dyDescent="0.25">
      <c r="A289" t="b">
        <f>modif1!A289</f>
        <v>1</v>
      </c>
      <c r="B289">
        <f>ROW(modif1!B289)</f>
        <v>289</v>
      </c>
      <c r="C289" t="str">
        <f>modif1!C292</f>
        <v>171</v>
      </c>
      <c r="D289" t="str">
        <f>modif1!D289</f>
        <v>CABANAC-ET-VILLAGRAINS</v>
      </c>
      <c r="E289">
        <f>modif1!E289</f>
        <v>13</v>
      </c>
      <c r="F289" t="str">
        <f>modif1!F289</f>
        <v>LAGUNE LONGUE</v>
      </c>
      <c r="G289" t="str">
        <f>modif1!G289</f>
        <v>0D</v>
      </c>
      <c r="H289">
        <f>modif1!H289</f>
        <v>1511</v>
      </c>
      <c r="I289" t="str">
        <f>modif1!I289</f>
        <v>n</v>
      </c>
      <c r="J289" s="11">
        <f>modif1!J289</f>
        <v>5.0824999999999996</v>
      </c>
      <c r="K289" t="str">
        <f>modif1!K289</f>
        <v>PLA</v>
      </c>
      <c r="L289" t="str">
        <f>modif1!L289</f>
        <v>PM</v>
      </c>
      <c r="M289">
        <f>modif1!M289</f>
        <v>2005</v>
      </c>
      <c r="N289" t="str">
        <f>modif1!N289</f>
        <v>PLA-PM_2005</v>
      </c>
      <c r="O289" t="b">
        <f>modif1!O289</f>
        <v>0</v>
      </c>
      <c r="P289">
        <v>40</v>
      </c>
      <c r="T289" t="s">
        <v>1805</v>
      </c>
      <c r="Y289" t="s">
        <v>1806</v>
      </c>
      <c r="Z289"/>
      <c r="AA289" s="17">
        <f>IF($A289,$J289*(IF(Q289=regle!$B$11,regle!$B$23*IF(AJ289=-2,1+regle!$B$35,1),
IF(Q289=regle!$C$11,regle!$C$23,
IF(Q289=regle!$D$11,regle!$D$23,
IF(Q289=regle!$E$11,regle!$E$23,
IF(Q289=regle!$F$11,regle!$F$23,
IF(Q289=regle!$G$11,regle!$G$23,
IF(Q289=regle!$H$11,regle!$H$23,
IF(Q289=regle!$I$11,regle!$I$23,
IF(Q289=regle!$J$11,regle!$J$23,
IF(Q289=regle!$K$11,regle!$K$23,0))))))))))))</f>
        <v>0</v>
      </c>
      <c r="AB289" s="17">
        <f>IF($A289,$J289*(IF(R289=regle!$B$11,regle!$B$23*IF(AK289=-2,1+regle!$B$35,1),
IF(R289=regle!$C$11,regle!$C$23,
IF(R289=regle!$D$11,regle!$D$23,
IF(R289=regle!$E$11,regle!$E$23,
IF(R289=regle!$F$11,regle!$F$23,
IF(R289=regle!$G$11,regle!$G$23,
IF(R289=regle!$H$11,regle!$H$23,
IF(R289=regle!$I$11,regle!$I$23,
IF(R289=regle!$J$11,regle!$J$23,
IF(R289=regle!$K$11,regle!$K$23,0))))))))))))</f>
        <v>0</v>
      </c>
      <c r="AC289" s="17">
        <f>IF($A289,$J289*(IF(S289=regle!$B$11,regle!$B$23*IF(AL289=-2,1+regle!$B$35,1),
IF(S289=regle!$C$11,regle!$C$23,
IF(S289=regle!$D$11,regle!$D$23,
IF(S289=regle!$E$11,regle!$E$23,
IF(S289=regle!$F$11,regle!$F$23,
IF(S289=regle!$G$11,regle!$G$23,
IF(S289=regle!$H$11,regle!$H$23,
IF(S289=regle!$I$11,regle!$I$23,
IF(S289=regle!$J$11,regle!$J$23,
IF(S289=regle!$K$11,regle!$K$23,0))))))))))))</f>
        <v>0</v>
      </c>
      <c r="AD289" s="17">
        <f>IF($A289,$J289*(IF(T289=regle!$B$11,regle!$B$23*IF(AM289=-2,1+regle!$B$35,1),
IF(T289=regle!$C$11,regle!$C$23,
IF(T289=regle!$D$11,regle!$D$23,
IF(T289=regle!$E$11,regle!$E$23,
IF(T289=regle!$F$11,regle!$F$23,
IF(T289=regle!$G$11,regle!$G$23,
IF(T289=regle!$H$11,regle!$H$23,
IF(T289=regle!$I$11,regle!$I$23,
IF(T289=regle!$J$11,regle!$J$23,
IF(T289=regle!$K$11,regle!$K$23,0))))))))))))</f>
        <v>7156.16</v>
      </c>
      <c r="AE289" s="17">
        <f>IF($A289,$J289*(IF(U289=regle!$B$11,regle!$B$23*IF(AN289=-2,1+regle!$B$35,1),
IF(U289=regle!$C$11,regle!$C$23,
IF(U289=regle!$D$11,regle!$D$23,
IF(U289=regle!$E$11,regle!$E$23,
IF(U289=regle!$F$11,regle!$F$23,
IF(U289=regle!$G$11,regle!$G$23,
IF(U289=regle!$H$11,regle!$H$23,
IF(U289=regle!$I$11,regle!$I$23,
IF(U289=regle!$J$11,regle!$J$23,
IF(U289=regle!$K$11,regle!$K$23,0))))))))))))</f>
        <v>0</v>
      </c>
      <c r="AF289" s="17">
        <f>IF($A289,$J289*(IF(V289=regle!$B$11,regle!$B$23*IF(AO289=-2,1+regle!$B$35,1),
IF(V289=regle!$C$11,regle!$C$23,
IF(V289=regle!$D$11,regle!$D$23,
IF(V289=regle!$E$11,regle!$E$23,
IF(V289=regle!$F$11,regle!$F$23,
IF(V289=regle!$G$11,regle!$G$23,
IF(V289=regle!$H$11,regle!$H$23,
IF(V289=regle!$I$11,regle!$I$23,
IF(V289=regle!$J$11,regle!$J$23,
IF(V289=regle!$K$11,regle!$K$23,0))))))))))))</f>
        <v>0</v>
      </c>
      <c r="AG289" s="17">
        <f>IF($A289,$J289*(IF(W289=regle!$B$11,regle!$B$23*IF(AP289=-2,1+regle!$B$35,1),
IF(W289=regle!$C$11,regle!$C$23,
IF(W289=regle!$D$11,regle!$D$23,
IF(W289=regle!$E$11,regle!$E$23,
IF(W289=regle!$F$11,regle!$F$23,
IF(W289=regle!$G$11,regle!$G$23,
IF(W289=regle!$H$11,regle!$H$23,
IF(W289=regle!$I$11,regle!$I$23,
IF(W289=regle!$J$11,regle!$J$23,
IF(W289=regle!$K$11,regle!$K$23,0))))))))))))</f>
        <v>0</v>
      </c>
      <c r="AH289" s="17">
        <f>IF($A289,$J289*(IF(X289=regle!$B$11,regle!$B$23*IF(AQ289=-2,1+regle!$B$35,1),
IF(X289=regle!$C$11,regle!$C$23,
IF(X289=regle!$D$11,regle!$D$23,
IF(X289=regle!$E$11,regle!$E$23,
IF(X289=regle!$F$11,regle!$F$23,
IF(X289=regle!$G$11,regle!$G$23,
IF(X289=regle!$H$11,regle!$H$23,
IF(X289=regle!$I$11,regle!$I$23,
IF(X289=regle!$J$11,regle!$J$23,
IF(X289=regle!$K$11,regle!$K$23,0))))))))))))</f>
        <v>0</v>
      </c>
      <c r="AI289" s="17">
        <f>IF($A289,$J289*(IF(Y289=regle!$B$11,regle!$B$23*IF(AR289=-2,1+regle!$B$35,1),
IF(Y289=regle!$C$11,regle!$C$23,
IF(Y289=regle!$D$11,regle!$D$23,
IF(Y289=regle!$E$11,regle!$E$23,
IF(Y289=regle!$F$11,regle!$F$23,
IF(Y289=regle!$G$11,regle!$G$23,
IF(Y289=regle!$H$11,regle!$H$23,
IF(Y289=regle!$I$11,regle!$I$23,
IF(Y289=regle!$J$11,regle!$J$23,
IF(Y289=regle!$K$11,regle!$K$23,0))))))))))))</f>
        <v>6505.5999999999995</v>
      </c>
      <c r="AJ289" s="17">
        <f>IF($A289,$J289*(IF(Z289=regle!$B$11,regle!$B$23*IF(AS289=-2,1+regle!$B$35,1),
IF(Z289=regle!$C$11,regle!$C$23,
IF(Z289=regle!$D$11,regle!$D$23,
IF(Z289=regle!$E$11,regle!$E$23,
IF(Z289=regle!$F$11,regle!$F$23,
IF(Z289=regle!$G$11,regle!$G$23,
IF(Z289=regle!$H$11,regle!$H$23,
IF(Z289=regle!$I$11,regle!$I$23,
IF(Z289=regle!$J$11,regle!$J$23,
IF(Z289=regle!$K$11,regle!$K$23,0))))))))))))</f>
        <v>0</v>
      </c>
      <c r="AK289" s="16">
        <f>IF(OR(Q289=regle!$J$11,Q289=regle!$K$11),-2,IF(Q289=regle!$B$11,0,IF(AK$1=$AK$1,IF($O289,-1,regle!$B$2-$M289),IF(AJ289=-1,-1,AJ289+1))))</f>
        <v>19</v>
      </c>
      <c r="AL289" s="16">
        <f>IF(OR(R289=regle!$J$11,R289=regle!$K$11),-2,IF(R289=regle!$B$11,0,IF(AL$1=$AK$1,IF($O289,-1,regle!$B$2-$M289),IF(AK289=-1,-1,AK289+1))))</f>
        <v>20</v>
      </c>
      <c r="AM289" s="16">
        <f>IF(OR(S289=regle!$J$11,S289=regle!$K$11),-2,IF(S289=regle!$B$11,0,IF(AM$1=$AK$1,IF($O289,-1,regle!$B$2-$M289),IF(AL289=-1,-1,AL289+1))))</f>
        <v>21</v>
      </c>
      <c r="AN289" s="16">
        <f>IF(OR(T289=regle!$J$11,T289=regle!$K$11),-2,IF(T289=regle!$B$11,0,IF(AN$1=$AK$1,IF($O289,-1,regle!$B$2-$M289),IF(AM289=-1,-1,AM289+1))))</f>
        <v>22</v>
      </c>
      <c r="AO289" s="16">
        <f>IF(OR(U289=regle!$J$11,U289=regle!$K$11),-2,IF(U289=regle!$B$11,0,IF(AO$1=$AK$1,IF($O289,-1,regle!$B$2-$M289),IF(AN289=-1,-1,AN289+1))))</f>
        <v>23</v>
      </c>
      <c r="AP289" s="16">
        <f>IF(OR(V289=regle!$J$11,V289=regle!$K$11),-2,IF(V289=regle!$B$11,0,IF(AP$1=$AK$1,IF($O289,-1,regle!$B$2-$M289),IF(AO289=-1,-1,AO289+1))))</f>
        <v>24</v>
      </c>
      <c r="AQ289" s="16">
        <f>IF(OR(W289=regle!$J$11,W289=regle!$K$11),-2,IF(W289=regle!$B$11,0,IF(AQ$1=$AK$1,IF($O289,-1,regle!$B$2-$M289),IF(AP289=-1,-1,AP289+1))))</f>
        <v>25</v>
      </c>
      <c r="AR289" s="16">
        <f>IF(OR(X289=regle!$J$11,X289=regle!$K$11),-2,IF(X289=regle!$B$11,0,IF(AR$1=$AK$1,IF($O289,-1,regle!$B$2-$M289),IF(AQ289=-1,-1,AQ289+1))))</f>
        <v>26</v>
      </c>
      <c r="AS289" s="16">
        <f>IF(OR(Y289=regle!$J$11,Y289=regle!$K$11),-2,IF(Y289=regle!$B$11,0,IF(AS$1=$AK$1,IF($O289,-1,regle!$B$2-$M289),IF(AR289=-1,-1,AR289+1))))</f>
        <v>27</v>
      </c>
      <c r="AT289" s="16">
        <f>IF(OR(Z289=regle!$J$11,Z289=regle!$K$11),-2,IF(Z289=regle!$B$11,0,IF(AT$1=$AK$1,IF($O289,-1,regle!$B$2-$M289),IF(AS289=-1,-1,AS289+1))))</f>
        <v>28</v>
      </c>
    </row>
    <row r="290" spans="1:46" x14ac:dyDescent="0.25">
      <c r="A290" t="b">
        <f>modif1!A290</f>
        <v>1</v>
      </c>
      <c r="B290">
        <f>ROW(modif1!B290)</f>
        <v>290</v>
      </c>
      <c r="C290" t="str">
        <f>modif1!C293</f>
        <v>077</v>
      </c>
      <c r="D290" t="str">
        <f>modif1!D290</f>
        <v>LE TUZAN</v>
      </c>
      <c r="E290">
        <f>modif1!E290</f>
        <v>8</v>
      </c>
      <c r="F290" t="str">
        <f>modif1!F290</f>
        <v>AU BLANC</v>
      </c>
      <c r="G290" t="str">
        <f>modif1!G290</f>
        <v>0A</v>
      </c>
      <c r="H290">
        <f>modif1!H290</f>
        <v>390</v>
      </c>
      <c r="I290" t="str">
        <f>modif1!I290</f>
        <v/>
      </c>
      <c r="J290" s="11">
        <f>modif1!J290</f>
        <v>4.0069999999999997</v>
      </c>
      <c r="K290" t="str">
        <f>modif1!K290</f>
        <v>PLA</v>
      </c>
      <c r="L290" t="str">
        <f>modif1!L290</f>
        <v>PM</v>
      </c>
      <c r="M290">
        <f>modif1!M290</f>
        <v>2005</v>
      </c>
      <c r="N290" t="str">
        <f>modif1!N290</f>
        <v>PLA-PM_2005</v>
      </c>
      <c r="O290" t="b">
        <f>modif1!O290</f>
        <v>0</v>
      </c>
      <c r="P290">
        <v>40</v>
      </c>
      <c r="T290" t="s">
        <v>1805</v>
      </c>
      <c r="Y290" t="s">
        <v>1806</v>
      </c>
      <c r="Z290"/>
      <c r="AA290" s="17">
        <f>IF($A290,$J290*(IF(Q290=regle!$B$11,regle!$B$23*IF(AJ290=-2,1+regle!$B$35,1),
IF(Q290=regle!$C$11,regle!$C$23,
IF(Q290=regle!$D$11,regle!$D$23,
IF(Q290=regle!$E$11,regle!$E$23,
IF(Q290=regle!$F$11,regle!$F$23,
IF(Q290=regle!$G$11,regle!$G$23,
IF(Q290=regle!$H$11,regle!$H$23,
IF(Q290=regle!$I$11,regle!$I$23,
IF(Q290=regle!$J$11,regle!$J$23,
IF(Q290=regle!$K$11,regle!$K$23,0))))))))))))</f>
        <v>0</v>
      </c>
      <c r="AB290" s="17">
        <f>IF($A290,$J290*(IF(R290=regle!$B$11,regle!$B$23*IF(AK290=-2,1+regle!$B$35,1),
IF(R290=regle!$C$11,regle!$C$23,
IF(R290=regle!$D$11,regle!$D$23,
IF(R290=regle!$E$11,regle!$E$23,
IF(R290=regle!$F$11,regle!$F$23,
IF(R290=regle!$G$11,regle!$G$23,
IF(R290=regle!$H$11,regle!$H$23,
IF(R290=regle!$I$11,regle!$I$23,
IF(R290=regle!$J$11,regle!$J$23,
IF(R290=regle!$K$11,regle!$K$23,0))))))))))))</f>
        <v>0</v>
      </c>
      <c r="AC290" s="17">
        <f>IF($A290,$J290*(IF(S290=regle!$B$11,regle!$B$23*IF(AL290=-2,1+regle!$B$35,1),
IF(S290=regle!$C$11,regle!$C$23,
IF(S290=regle!$D$11,regle!$D$23,
IF(S290=regle!$E$11,regle!$E$23,
IF(S290=regle!$F$11,regle!$F$23,
IF(S290=regle!$G$11,regle!$G$23,
IF(S290=regle!$H$11,regle!$H$23,
IF(S290=regle!$I$11,regle!$I$23,
IF(S290=regle!$J$11,regle!$J$23,
IF(S290=regle!$K$11,regle!$K$23,0))))))))))))</f>
        <v>0</v>
      </c>
      <c r="AD290" s="17">
        <f>IF($A290,$J290*(IF(T290=regle!$B$11,regle!$B$23*IF(AM290=-2,1+regle!$B$35,1),
IF(T290=regle!$C$11,regle!$C$23,
IF(T290=regle!$D$11,regle!$D$23,
IF(T290=regle!$E$11,regle!$E$23,
IF(T290=regle!$F$11,regle!$F$23,
IF(T290=regle!$G$11,regle!$G$23,
IF(T290=regle!$H$11,regle!$H$23,
IF(T290=regle!$I$11,regle!$I$23,
IF(T290=regle!$J$11,regle!$J$23,
IF(T290=regle!$K$11,regle!$K$23,0))))))))))))</f>
        <v>5641.8559999999998</v>
      </c>
      <c r="AE290" s="17">
        <f>IF($A290,$J290*(IF(U290=regle!$B$11,regle!$B$23*IF(AN290=-2,1+regle!$B$35,1),
IF(U290=regle!$C$11,regle!$C$23,
IF(U290=regle!$D$11,regle!$D$23,
IF(U290=regle!$E$11,regle!$E$23,
IF(U290=regle!$F$11,regle!$F$23,
IF(U290=regle!$G$11,regle!$G$23,
IF(U290=regle!$H$11,regle!$H$23,
IF(U290=regle!$I$11,regle!$I$23,
IF(U290=regle!$J$11,regle!$J$23,
IF(U290=regle!$K$11,regle!$K$23,0))))))))))))</f>
        <v>0</v>
      </c>
      <c r="AF290" s="17">
        <f>IF($A290,$J290*(IF(V290=regle!$B$11,regle!$B$23*IF(AO290=-2,1+regle!$B$35,1),
IF(V290=regle!$C$11,regle!$C$23,
IF(V290=regle!$D$11,regle!$D$23,
IF(V290=regle!$E$11,regle!$E$23,
IF(V290=regle!$F$11,regle!$F$23,
IF(V290=regle!$G$11,regle!$G$23,
IF(V290=regle!$H$11,regle!$H$23,
IF(V290=regle!$I$11,regle!$I$23,
IF(V290=regle!$J$11,regle!$J$23,
IF(V290=regle!$K$11,regle!$K$23,0))))))))))))</f>
        <v>0</v>
      </c>
      <c r="AG290" s="17">
        <f>IF($A290,$J290*(IF(W290=regle!$B$11,regle!$B$23*IF(AP290=-2,1+regle!$B$35,1),
IF(W290=regle!$C$11,regle!$C$23,
IF(W290=regle!$D$11,regle!$D$23,
IF(W290=regle!$E$11,regle!$E$23,
IF(W290=regle!$F$11,regle!$F$23,
IF(W290=regle!$G$11,regle!$G$23,
IF(W290=regle!$H$11,regle!$H$23,
IF(W290=regle!$I$11,regle!$I$23,
IF(W290=regle!$J$11,regle!$J$23,
IF(W290=regle!$K$11,regle!$K$23,0))))))))))))</f>
        <v>0</v>
      </c>
      <c r="AH290" s="17">
        <f>IF($A290,$J290*(IF(X290=regle!$B$11,regle!$B$23*IF(AQ290=-2,1+regle!$B$35,1),
IF(X290=regle!$C$11,regle!$C$23,
IF(X290=regle!$D$11,regle!$D$23,
IF(X290=regle!$E$11,regle!$E$23,
IF(X290=regle!$F$11,regle!$F$23,
IF(X290=regle!$G$11,regle!$G$23,
IF(X290=regle!$H$11,regle!$H$23,
IF(X290=regle!$I$11,regle!$I$23,
IF(X290=regle!$J$11,regle!$J$23,
IF(X290=regle!$K$11,regle!$K$23,0))))))))))))</f>
        <v>0</v>
      </c>
      <c r="AI290" s="17">
        <f>IF($A290,$J290*(IF(Y290=regle!$B$11,regle!$B$23*IF(AR290=-2,1+regle!$B$35,1),
IF(Y290=regle!$C$11,regle!$C$23,
IF(Y290=regle!$D$11,regle!$D$23,
IF(Y290=regle!$E$11,regle!$E$23,
IF(Y290=regle!$F$11,regle!$F$23,
IF(Y290=regle!$G$11,regle!$G$23,
IF(Y290=regle!$H$11,regle!$H$23,
IF(Y290=regle!$I$11,regle!$I$23,
IF(Y290=regle!$J$11,regle!$J$23,
IF(Y290=regle!$K$11,regle!$K$23,0))))))))))))</f>
        <v>5128.9599999999991</v>
      </c>
      <c r="AJ290" s="17">
        <f>IF($A290,$J290*(IF(Z290=regle!$B$11,regle!$B$23*IF(AS290=-2,1+regle!$B$35,1),
IF(Z290=regle!$C$11,regle!$C$23,
IF(Z290=regle!$D$11,regle!$D$23,
IF(Z290=regle!$E$11,regle!$E$23,
IF(Z290=regle!$F$11,regle!$F$23,
IF(Z290=regle!$G$11,regle!$G$23,
IF(Z290=regle!$H$11,regle!$H$23,
IF(Z290=regle!$I$11,regle!$I$23,
IF(Z290=regle!$J$11,regle!$J$23,
IF(Z290=regle!$K$11,regle!$K$23,0))))))))))))</f>
        <v>0</v>
      </c>
      <c r="AK290" s="16">
        <f>IF(OR(Q290=regle!$J$11,Q290=regle!$K$11),-2,IF(Q290=regle!$B$11,0,IF(AK$1=$AK$1,IF($O290,-1,regle!$B$2-$M290),IF(AJ290=-1,-1,AJ290+1))))</f>
        <v>19</v>
      </c>
      <c r="AL290" s="16">
        <f>IF(OR(R290=regle!$J$11,R290=regle!$K$11),-2,IF(R290=regle!$B$11,0,IF(AL$1=$AK$1,IF($O290,-1,regle!$B$2-$M290),IF(AK290=-1,-1,AK290+1))))</f>
        <v>20</v>
      </c>
      <c r="AM290" s="16">
        <f>IF(OR(S290=regle!$J$11,S290=regle!$K$11),-2,IF(S290=regle!$B$11,0,IF(AM$1=$AK$1,IF($O290,-1,regle!$B$2-$M290),IF(AL290=-1,-1,AL290+1))))</f>
        <v>21</v>
      </c>
      <c r="AN290" s="16">
        <f>IF(OR(T290=regle!$J$11,T290=regle!$K$11),-2,IF(T290=regle!$B$11,0,IF(AN$1=$AK$1,IF($O290,-1,regle!$B$2-$M290),IF(AM290=-1,-1,AM290+1))))</f>
        <v>22</v>
      </c>
      <c r="AO290" s="16">
        <f>IF(OR(U290=regle!$J$11,U290=regle!$K$11),-2,IF(U290=regle!$B$11,0,IF(AO$1=$AK$1,IF($O290,-1,regle!$B$2-$M290),IF(AN290=-1,-1,AN290+1))))</f>
        <v>23</v>
      </c>
      <c r="AP290" s="16">
        <f>IF(OR(V290=regle!$J$11,V290=regle!$K$11),-2,IF(V290=regle!$B$11,0,IF(AP$1=$AK$1,IF($O290,-1,regle!$B$2-$M290),IF(AO290=-1,-1,AO290+1))))</f>
        <v>24</v>
      </c>
      <c r="AQ290" s="16">
        <f>IF(OR(W290=regle!$J$11,W290=regle!$K$11),-2,IF(W290=regle!$B$11,0,IF(AQ$1=$AK$1,IF($O290,-1,regle!$B$2-$M290),IF(AP290=-1,-1,AP290+1))))</f>
        <v>25</v>
      </c>
      <c r="AR290" s="16">
        <f>IF(OR(X290=regle!$J$11,X290=regle!$K$11),-2,IF(X290=regle!$B$11,0,IF(AR$1=$AK$1,IF($O290,-1,regle!$B$2-$M290),IF(AQ290=-1,-1,AQ290+1))))</f>
        <v>26</v>
      </c>
      <c r="AS290" s="16">
        <f>IF(OR(Y290=regle!$J$11,Y290=regle!$K$11),-2,IF(Y290=regle!$B$11,0,IF(AS$1=$AK$1,IF($O290,-1,regle!$B$2-$M290),IF(AR290=-1,-1,AR290+1))))</f>
        <v>27</v>
      </c>
      <c r="AT290" s="16">
        <f>IF(OR(Z290=regle!$J$11,Z290=regle!$K$11),-2,IF(Z290=regle!$B$11,0,IF(AT$1=$AK$1,IF($O290,-1,regle!$B$2-$M290),IF(AS290=-1,-1,AS290+1))))</f>
        <v>28</v>
      </c>
    </row>
    <row r="291" spans="1:46" x14ac:dyDescent="0.25">
      <c r="A291" t="b">
        <f>modif1!A291</f>
        <v>1</v>
      </c>
      <c r="B291">
        <f>ROW(modif1!B291)</f>
        <v>291</v>
      </c>
      <c r="C291" t="str">
        <f>modif1!C294</f>
        <v>077</v>
      </c>
      <c r="D291" t="str">
        <f>modif1!D291</f>
        <v>LE TUZAN</v>
      </c>
      <c r="E291">
        <f>modif1!E291</f>
        <v>11</v>
      </c>
      <c r="F291" t="str">
        <f>modif1!F291</f>
        <v>LA HONTEYRE</v>
      </c>
      <c r="G291" t="str">
        <f>modif1!G291</f>
        <v>0A</v>
      </c>
      <c r="H291">
        <f>modif1!H291</f>
        <v>253</v>
      </c>
      <c r="I291" t="str">
        <f>modif1!I291</f>
        <v/>
      </c>
      <c r="J291" s="11">
        <f>modif1!J291</f>
        <v>3.5975000000000001</v>
      </c>
      <c r="K291" t="str">
        <f>modif1!K291</f>
        <v>PLA</v>
      </c>
      <c r="L291" t="str">
        <f>modif1!L291</f>
        <v>PM</v>
      </c>
      <c r="M291">
        <f>modif1!M291</f>
        <v>2005</v>
      </c>
      <c r="N291" t="str">
        <f>modif1!N291</f>
        <v>PLA-PM_2005</v>
      </c>
      <c r="O291" t="b">
        <f>modif1!O291</f>
        <v>0</v>
      </c>
      <c r="P291">
        <v>40</v>
      </c>
      <c r="T291" t="s">
        <v>1805</v>
      </c>
      <c r="Y291" t="s">
        <v>1806</v>
      </c>
      <c r="Z291"/>
      <c r="AA291" s="17">
        <f>IF($A291,$J291*(IF(Q291=regle!$B$11,regle!$B$23*IF(AJ291=-2,1+regle!$B$35,1),
IF(Q291=regle!$C$11,regle!$C$23,
IF(Q291=regle!$D$11,regle!$D$23,
IF(Q291=regle!$E$11,regle!$E$23,
IF(Q291=regle!$F$11,regle!$F$23,
IF(Q291=regle!$G$11,regle!$G$23,
IF(Q291=regle!$H$11,regle!$H$23,
IF(Q291=regle!$I$11,regle!$I$23,
IF(Q291=regle!$J$11,regle!$J$23,
IF(Q291=regle!$K$11,regle!$K$23,0))))))))))))</f>
        <v>0</v>
      </c>
      <c r="AB291" s="17">
        <f>IF($A291,$J291*(IF(R291=regle!$B$11,regle!$B$23*IF(AK291=-2,1+regle!$B$35,1),
IF(R291=regle!$C$11,regle!$C$23,
IF(R291=regle!$D$11,regle!$D$23,
IF(R291=regle!$E$11,regle!$E$23,
IF(R291=regle!$F$11,regle!$F$23,
IF(R291=regle!$G$11,regle!$G$23,
IF(R291=regle!$H$11,regle!$H$23,
IF(R291=regle!$I$11,regle!$I$23,
IF(R291=regle!$J$11,regle!$J$23,
IF(R291=regle!$K$11,regle!$K$23,0))))))))))))</f>
        <v>0</v>
      </c>
      <c r="AC291" s="17">
        <f>IF($A291,$J291*(IF(S291=regle!$B$11,regle!$B$23*IF(AL291=-2,1+regle!$B$35,1),
IF(S291=regle!$C$11,regle!$C$23,
IF(S291=regle!$D$11,regle!$D$23,
IF(S291=regle!$E$11,regle!$E$23,
IF(S291=regle!$F$11,regle!$F$23,
IF(S291=regle!$G$11,regle!$G$23,
IF(S291=regle!$H$11,regle!$H$23,
IF(S291=regle!$I$11,regle!$I$23,
IF(S291=regle!$J$11,regle!$J$23,
IF(S291=regle!$K$11,regle!$K$23,0))))))))))))</f>
        <v>0</v>
      </c>
      <c r="AD291" s="17">
        <f>IF($A291,$J291*(IF(T291=regle!$B$11,regle!$B$23*IF(AM291=-2,1+regle!$B$35,1),
IF(T291=regle!$C$11,regle!$C$23,
IF(T291=regle!$D$11,regle!$D$23,
IF(T291=regle!$E$11,regle!$E$23,
IF(T291=regle!$F$11,regle!$F$23,
IF(T291=regle!$G$11,regle!$G$23,
IF(T291=regle!$H$11,regle!$H$23,
IF(T291=regle!$I$11,regle!$I$23,
IF(T291=regle!$J$11,regle!$J$23,
IF(T291=regle!$K$11,regle!$K$23,0))))))))))))</f>
        <v>5065.2800000000007</v>
      </c>
      <c r="AE291" s="17">
        <f>IF($A291,$J291*(IF(U291=regle!$B$11,regle!$B$23*IF(AN291=-2,1+regle!$B$35,1),
IF(U291=regle!$C$11,regle!$C$23,
IF(U291=regle!$D$11,regle!$D$23,
IF(U291=regle!$E$11,regle!$E$23,
IF(U291=regle!$F$11,regle!$F$23,
IF(U291=regle!$G$11,regle!$G$23,
IF(U291=regle!$H$11,regle!$H$23,
IF(U291=regle!$I$11,regle!$I$23,
IF(U291=regle!$J$11,regle!$J$23,
IF(U291=regle!$K$11,regle!$K$23,0))))))))))))</f>
        <v>0</v>
      </c>
      <c r="AF291" s="17">
        <f>IF($A291,$J291*(IF(V291=regle!$B$11,regle!$B$23*IF(AO291=-2,1+regle!$B$35,1),
IF(V291=regle!$C$11,regle!$C$23,
IF(V291=regle!$D$11,regle!$D$23,
IF(V291=regle!$E$11,regle!$E$23,
IF(V291=regle!$F$11,regle!$F$23,
IF(V291=regle!$G$11,regle!$G$23,
IF(V291=regle!$H$11,regle!$H$23,
IF(V291=regle!$I$11,regle!$I$23,
IF(V291=regle!$J$11,regle!$J$23,
IF(V291=regle!$K$11,regle!$K$23,0))))))))))))</f>
        <v>0</v>
      </c>
      <c r="AG291" s="17">
        <f>IF($A291,$J291*(IF(W291=regle!$B$11,regle!$B$23*IF(AP291=-2,1+regle!$B$35,1),
IF(W291=regle!$C$11,regle!$C$23,
IF(W291=regle!$D$11,regle!$D$23,
IF(W291=regle!$E$11,regle!$E$23,
IF(W291=regle!$F$11,regle!$F$23,
IF(W291=regle!$G$11,regle!$G$23,
IF(W291=regle!$H$11,regle!$H$23,
IF(W291=regle!$I$11,regle!$I$23,
IF(W291=regle!$J$11,regle!$J$23,
IF(W291=regle!$K$11,regle!$K$23,0))))))))))))</f>
        <v>0</v>
      </c>
      <c r="AH291" s="17">
        <f>IF($A291,$J291*(IF(X291=regle!$B$11,regle!$B$23*IF(AQ291=-2,1+regle!$B$35,1),
IF(X291=regle!$C$11,regle!$C$23,
IF(X291=regle!$D$11,regle!$D$23,
IF(X291=regle!$E$11,regle!$E$23,
IF(X291=regle!$F$11,regle!$F$23,
IF(X291=regle!$G$11,regle!$G$23,
IF(X291=regle!$H$11,regle!$H$23,
IF(X291=regle!$I$11,regle!$I$23,
IF(X291=regle!$J$11,regle!$J$23,
IF(X291=regle!$K$11,regle!$K$23,0))))))))))))</f>
        <v>0</v>
      </c>
      <c r="AI291" s="17">
        <f>IF($A291,$J291*(IF(Y291=regle!$B$11,regle!$B$23*IF(AR291=-2,1+regle!$B$35,1),
IF(Y291=regle!$C$11,regle!$C$23,
IF(Y291=regle!$D$11,regle!$D$23,
IF(Y291=regle!$E$11,regle!$E$23,
IF(Y291=regle!$F$11,regle!$F$23,
IF(Y291=regle!$G$11,regle!$G$23,
IF(Y291=regle!$H$11,regle!$H$23,
IF(Y291=regle!$I$11,regle!$I$23,
IF(Y291=regle!$J$11,regle!$J$23,
IF(Y291=regle!$K$11,regle!$K$23,0))))))))))))</f>
        <v>4604.8</v>
      </c>
      <c r="AJ291" s="17">
        <f>IF($A291,$J291*(IF(Z291=regle!$B$11,regle!$B$23*IF(AS291=-2,1+regle!$B$35,1),
IF(Z291=regle!$C$11,regle!$C$23,
IF(Z291=regle!$D$11,regle!$D$23,
IF(Z291=regle!$E$11,regle!$E$23,
IF(Z291=regle!$F$11,regle!$F$23,
IF(Z291=regle!$G$11,regle!$G$23,
IF(Z291=regle!$H$11,regle!$H$23,
IF(Z291=regle!$I$11,regle!$I$23,
IF(Z291=regle!$J$11,regle!$J$23,
IF(Z291=regle!$K$11,regle!$K$23,0))))))))))))</f>
        <v>0</v>
      </c>
      <c r="AK291" s="16">
        <f>IF(OR(Q291=regle!$J$11,Q291=regle!$K$11),-2,IF(Q291=regle!$B$11,0,IF(AK$1=$AK$1,IF($O291,-1,regle!$B$2-$M291),IF(AJ291=-1,-1,AJ291+1))))</f>
        <v>19</v>
      </c>
      <c r="AL291" s="16">
        <f>IF(OR(R291=regle!$J$11,R291=regle!$K$11),-2,IF(R291=regle!$B$11,0,IF(AL$1=$AK$1,IF($O291,-1,regle!$B$2-$M291),IF(AK291=-1,-1,AK291+1))))</f>
        <v>20</v>
      </c>
      <c r="AM291" s="16">
        <f>IF(OR(S291=regle!$J$11,S291=regle!$K$11),-2,IF(S291=regle!$B$11,0,IF(AM$1=$AK$1,IF($O291,-1,regle!$B$2-$M291),IF(AL291=-1,-1,AL291+1))))</f>
        <v>21</v>
      </c>
      <c r="AN291" s="16">
        <f>IF(OR(T291=regle!$J$11,T291=regle!$K$11),-2,IF(T291=regle!$B$11,0,IF(AN$1=$AK$1,IF($O291,-1,regle!$B$2-$M291),IF(AM291=-1,-1,AM291+1))))</f>
        <v>22</v>
      </c>
      <c r="AO291" s="16">
        <f>IF(OR(U291=regle!$J$11,U291=regle!$K$11),-2,IF(U291=regle!$B$11,0,IF(AO$1=$AK$1,IF($O291,-1,regle!$B$2-$M291),IF(AN291=-1,-1,AN291+1))))</f>
        <v>23</v>
      </c>
      <c r="AP291" s="16">
        <f>IF(OR(V291=regle!$J$11,V291=regle!$K$11),-2,IF(V291=regle!$B$11,0,IF(AP$1=$AK$1,IF($O291,-1,regle!$B$2-$M291),IF(AO291=-1,-1,AO291+1))))</f>
        <v>24</v>
      </c>
      <c r="AQ291" s="16">
        <f>IF(OR(W291=regle!$J$11,W291=regle!$K$11),-2,IF(W291=regle!$B$11,0,IF(AQ$1=$AK$1,IF($O291,-1,regle!$B$2-$M291),IF(AP291=-1,-1,AP291+1))))</f>
        <v>25</v>
      </c>
      <c r="AR291" s="16">
        <f>IF(OR(X291=regle!$J$11,X291=regle!$K$11),-2,IF(X291=regle!$B$11,0,IF(AR$1=$AK$1,IF($O291,-1,regle!$B$2-$M291),IF(AQ291=-1,-1,AQ291+1))))</f>
        <v>26</v>
      </c>
      <c r="AS291" s="16">
        <f>IF(OR(Y291=regle!$J$11,Y291=regle!$K$11),-2,IF(Y291=regle!$B$11,0,IF(AS$1=$AK$1,IF($O291,-1,regle!$B$2-$M291),IF(AR291=-1,-1,AR291+1))))</f>
        <v>27</v>
      </c>
      <c r="AT291" s="16">
        <f>IF(OR(Z291=regle!$J$11,Z291=regle!$K$11),-2,IF(Z291=regle!$B$11,0,IF(AT$1=$AK$1,IF($O291,-1,regle!$B$2-$M291),IF(AS291=-1,-1,AS291+1))))</f>
        <v>28</v>
      </c>
    </row>
    <row r="292" spans="1:46" x14ac:dyDescent="0.25">
      <c r="A292" t="b">
        <f>modif1!A292</f>
        <v>1</v>
      </c>
      <c r="B292">
        <f>ROW(modif1!B292)</f>
        <v>292</v>
      </c>
      <c r="C292" t="str">
        <f>modif1!C295</f>
        <v>536</v>
      </c>
      <c r="D292" t="str">
        <f>modif1!D292</f>
        <v>MANO</v>
      </c>
      <c r="E292">
        <f>modif1!E292</f>
        <v>17</v>
      </c>
      <c r="F292" t="str">
        <f>modif1!F292</f>
        <v>LANDE DE TABARTON</v>
      </c>
      <c r="G292" t="str">
        <f>modif1!G292</f>
        <v>0B</v>
      </c>
      <c r="H292">
        <f>modif1!H292</f>
        <v>266</v>
      </c>
      <c r="I292" t="str">
        <f>modif1!I292</f>
        <v>k</v>
      </c>
      <c r="J292" s="11">
        <f>modif1!J292</f>
        <v>3.3702000000000001</v>
      </c>
      <c r="K292" t="str">
        <f>modif1!K292</f>
        <v>PLA</v>
      </c>
      <c r="L292" t="str">
        <f>modif1!L292</f>
        <v>PM</v>
      </c>
      <c r="M292">
        <f>modif1!M292</f>
        <v>2005</v>
      </c>
      <c r="N292" t="str">
        <f>modif1!N292</f>
        <v>PLA-PM_2005</v>
      </c>
      <c r="O292" t="b">
        <f>modif1!O292</f>
        <v>0</v>
      </c>
      <c r="P292">
        <v>40</v>
      </c>
      <c r="T292" t="s">
        <v>1805</v>
      </c>
      <c r="Y292" t="s">
        <v>1806</v>
      </c>
      <c r="Z292"/>
      <c r="AA292" s="17">
        <f>IF($A292,$J292*(IF(Q292=regle!$B$11,regle!$B$23*IF(AJ292=-2,1+regle!$B$35,1),
IF(Q292=regle!$C$11,regle!$C$23,
IF(Q292=regle!$D$11,regle!$D$23,
IF(Q292=regle!$E$11,regle!$E$23,
IF(Q292=regle!$F$11,regle!$F$23,
IF(Q292=regle!$G$11,regle!$G$23,
IF(Q292=regle!$H$11,regle!$H$23,
IF(Q292=regle!$I$11,regle!$I$23,
IF(Q292=regle!$J$11,regle!$J$23,
IF(Q292=regle!$K$11,regle!$K$23,0))))))))))))</f>
        <v>0</v>
      </c>
      <c r="AB292" s="17">
        <f>IF($A292,$J292*(IF(R292=regle!$B$11,regle!$B$23*IF(AK292=-2,1+regle!$B$35,1),
IF(R292=regle!$C$11,regle!$C$23,
IF(R292=regle!$D$11,regle!$D$23,
IF(R292=regle!$E$11,regle!$E$23,
IF(R292=regle!$F$11,regle!$F$23,
IF(R292=regle!$G$11,regle!$G$23,
IF(R292=regle!$H$11,regle!$H$23,
IF(R292=regle!$I$11,regle!$I$23,
IF(R292=regle!$J$11,regle!$J$23,
IF(R292=regle!$K$11,regle!$K$23,0))))))))))))</f>
        <v>0</v>
      </c>
      <c r="AC292" s="17">
        <f>IF($A292,$J292*(IF(S292=regle!$B$11,regle!$B$23*IF(AL292=-2,1+regle!$B$35,1),
IF(S292=regle!$C$11,regle!$C$23,
IF(S292=regle!$D$11,regle!$D$23,
IF(S292=regle!$E$11,regle!$E$23,
IF(S292=regle!$F$11,regle!$F$23,
IF(S292=regle!$G$11,regle!$G$23,
IF(S292=regle!$H$11,regle!$H$23,
IF(S292=regle!$I$11,regle!$I$23,
IF(S292=regle!$J$11,regle!$J$23,
IF(S292=regle!$K$11,regle!$K$23,0))))))))))))</f>
        <v>0</v>
      </c>
      <c r="AD292" s="17">
        <f>IF($A292,$J292*(IF(T292=regle!$B$11,regle!$B$23*IF(AM292=-2,1+regle!$B$35,1),
IF(T292=regle!$C$11,regle!$C$23,
IF(T292=regle!$D$11,regle!$D$23,
IF(T292=regle!$E$11,regle!$E$23,
IF(T292=regle!$F$11,regle!$F$23,
IF(T292=regle!$G$11,regle!$G$23,
IF(T292=regle!$H$11,regle!$H$23,
IF(T292=regle!$I$11,regle!$I$23,
IF(T292=regle!$J$11,regle!$J$23,
IF(T292=regle!$K$11,regle!$K$23,0))))))))))))</f>
        <v>4745.2416000000003</v>
      </c>
      <c r="AE292" s="17">
        <f>IF($A292,$J292*(IF(U292=regle!$B$11,regle!$B$23*IF(AN292=-2,1+regle!$B$35,1),
IF(U292=regle!$C$11,regle!$C$23,
IF(U292=regle!$D$11,regle!$D$23,
IF(U292=regle!$E$11,regle!$E$23,
IF(U292=regle!$F$11,regle!$F$23,
IF(U292=regle!$G$11,regle!$G$23,
IF(U292=regle!$H$11,regle!$H$23,
IF(U292=regle!$I$11,regle!$I$23,
IF(U292=regle!$J$11,regle!$J$23,
IF(U292=regle!$K$11,regle!$K$23,0))))))))))))</f>
        <v>0</v>
      </c>
      <c r="AF292" s="17">
        <f>IF($A292,$J292*(IF(V292=regle!$B$11,regle!$B$23*IF(AO292=-2,1+regle!$B$35,1),
IF(V292=regle!$C$11,regle!$C$23,
IF(V292=regle!$D$11,regle!$D$23,
IF(V292=regle!$E$11,regle!$E$23,
IF(V292=regle!$F$11,regle!$F$23,
IF(V292=regle!$G$11,regle!$G$23,
IF(V292=regle!$H$11,regle!$H$23,
IF(V292=regle!$I$11,regle!$I$23,
IF(V292=regle!$J$11,regle!$J$23,
IF(V292=regle!$K$11,regle!$K$23,0))))))))))))</f>
        <v>0</v>
      </c>
      <c r="AG292" s="17">
        <f>IF($A292,$J292*(IF(W292=regle!$B$11,regle!$B$23*IF(AP292=-2,1+regle!$B$35,1),
IF(W292=regle!$C$11,regle!$C$23,
IF(W292=regle!$D$11,regle!$D$23,
IF(W292=regle!$E$11,regle!$E$23,
IF(W292=regle!$F$11,regle!$F$23,
IF(W292=regle!$G$11,regle!$G$23,
IF(W292=regle!$H$11,regle!$H$23,
IF(W292=regle!$I$11,regle!$I$23,
IF(W292=regle!$J$11,regle!$J$23,
IF(W292=regle!$K$11,regle!$K$23,0))))))))))))</f>
        <v>0</v>
      </c>
      <c r="AH292" s="17">
        <f>IF($A292,$J292*(IF(X292=regle!$B$11,regle!$B$23*IF(AQ292=-2,1+regle!$B$35,1),
IF(X292=regle!$C$11,regle!$C$23,
IF(X292=regle!$D$11,regle!$D$23,
IF(X292=regle!$E$11,regle!$E$23,
IF(X292=regle!$F$11,regle!$F$23,
IF(X292=regle!$G$11,regle!$G$23,
IF(X292=regle!$H$11,regle!$H$23,
IF(X292=regle!$I$11,regle!$I$23,
IF(X292=regle!$J$11,regle!$J$23,
IF(X292=regle!$K$11,regle!$K$23,0))))))))))))</f>
        <v>0</v>
      </c>
      <c r="AI292" s="17">
        <f>IF($A292,$J292*(IF(Y292=regle!$B$11,regle!$B$23*IF(AR292=-2,1+regle!$B$35,1),
IF(Y292=regle!$C$11,regle!$C$23,
IF(Y292=regle!$D$11,regle!$D$23,
IF(Y292=regle!$E$11,regle!$E$23,
IF(Y292=regle!$F$11,regle!$F$23,
IF(Y292=regle!$G$11,regle!$G$23,
IF(Y292=regle!$H$11,regle!$H$23,
IF(Y292=regle!$I$11,regle!$I$23,
IF(Y292=regle!$J$11,regle!$J$23,
IF(Y292=regle!$K$11,regle!$K$23,0))))))))))))</f>
        <v>4313.8559999999998</v>
      </c>
      <c r="AJ292" s="17">
        <f>IF($A292,$J292*(IF(Z292=regle!$B$11,regle!$B$23*IF(AS292=-2,1+regle!$B$35,1),
IF(Z292=regle!$C$11,regle!$C$23,
IF(Z292=regle!$D$11,regle!$D$23,
IF(Z292=regle!$E$11,regle!$E$23,
IF(Z292=regle!$F$11,regle!$F$23,
IF(Z292=regle!$G$11,regle!$G$23,
IF(Z292=regle!$H$11,regle!$H$23,
IF(Z292=regle!$I$11,regle!$I$23,
IF(Z292=regle!$J$11,regle!$J$23,
IF(Z292=regle!$K$11,regle!$K$23,0))))))))))))</f>
        <v>0</v>
      </c>
      <c r="AK292" s="16">
        <f>IF(OR(Q292=regle!$J$11,Q292=regle!$K$11),-2,IF(Q292=regle!$B$11,0,IF(AK$1=$AK$1,IF($O292,-1,regle!$B$2-$M292),IF(AJ292=-1,-1,AJ292+1))))</f>
        <v>19</v>
      </c>
      <c r="AL292" s="16">
        <f>IF(OR(R292=regle!$J$11,R292=regle!$K$11),-2,IF(R292=regle!$B$11,0,IF(AL$1=$AK$1,IF($O292,-1,regle!$B$2-$M292),IF(AK292=-1,-1,AK292+1))))</f>
        <v>20</v>
      </c>
      <c r="AM292" s="16">
        <f>IF(OR(S292=regle!$J$11,S292=regle!$K$11),-2,IF(S292=regle!$B$11,0,IF(AM$1=$AK$1,IF($O292,-1,regle!$B$2-$M292),IF(AL292=-1,-1,AL292+1))))</f>
        <v>21</v>
      </c>
      <c r="AN292" s="16">
        <f>IF(OR(T292=regle!$J$11,T292=regle!$K$11),-2,IF(T292=regle!$B$11,0,IF(AN$1=$AK$1,IF($O292,-1,regle!$B$2-$M292),IF(AM292=-1,-1,AM292+1))))</f>
        <v>22</v>
      </c>
      <c r="AO292" s="16">
        <f>IF(OR(U292=regle!$J$11,U292=regle!$K$11),-2,IF(U292=regle!$B$11,0,IF(AO$1=$AK$1,IF($O292,-1,regle!$B$2-$M292),IF(AN292=-1,-1,AN292+1))))</f>
        <v>23</v>
      </c>
      <c r="AP292" s="16">
        <f>IF(OR(V292=regle!$J$11,V292=regle!$K$11),-2,IF(V292=regle!$B$11,0,IF(AP$1=$AK$1,IF($O292,-1,regle!$B$2-$M292),IF(AO292=-1,-1,AO292+1))))</f>
        <v>24</v>
      </c>
      <c r="AQ292" s="16">
        <f>IF(OR(W292=regle!$J$11,W292=regle!$K$11),-2,IF(W292=regle!$B$11,0,IF(AQ$1=$AK$1,IF($O292,-1,regle!$B$2-$M292),IF(AP292=-1,-1,AP292+1))))</f>
        <v>25</v>
      </c>
      <c r="AR292" s="16">
        <f>IF(OR(X292=regle!$J$11,X292=regle!$K$11),-2,IF(X292=regle!$B$11,0,IF(AR$1=$AK$1,IF($O292,-1,regle!$B$2-$M292),IF(AQ292=-1,-1,AQ292+1))))</f>
        <v>26</v>
      </c>
      <c r="AS292" s="16">
        <f>IF(OR(Y292=regle!$J$11,Y292=regle!$K$11),-2,IF(Y292=regle!$B$11,0,IF(AS$1=$AK$1,IF($O292,-1,regle!$B$2-$M292),IF(AR292=-1,-1,AR292+1))))</f>
        <v>27</v>
      </c>
      <c r="AT292" s="16">
        <f>IF(OR(Z292=regle!$J$11,Z292=regle!$K$11),-2,IF(Z292=regle!$B$11,0,IF(AT$1=$AK$1,IF($O292,-1,regle!$B$2-$M292),IF(AS292=-1,-1,AS292+1))))</f>
        <v>28</v>
      </c>
    </row>
    <row r="293" spans="1:46" x14ac:dyDescent="0.25">
      <c r="A293" t="b">
        <f>modif1!A293</f>
        <v>1</v>
      </c>
      <c r="B293">
        <f>ROW(modif1!B293)</f>
        <v>293</v>
      </c>
      <c r="C293" t="str">
        <f>modif1!C296</f>
        <v>536</v>
      </c>
      <c r="D293" t="str">
        <f>modif1!D293</f>
        <v>CABANAC-ET-VILLAGRAINS</v>
      </c>
      <c r="E293">
        <f>modif1!E293</f>
        <v>13</v>
      </c>
      <c r="F293" t="str">
        <f>modif1!F293</f>
        <v>LAGUNE LONGUE</v>
      </c>
      <c r="G293" t="str">
        <f>modif1!G293</f>
        <v>0D</v>
      </c>
      <c r="H293">
        <f>modif1!H293</f>
        <v>1389</v>
      </c>
      <c r="I293" t="str">
        <f>modif1!I293</f>
        <v>k</v>
      </c>
      <c r="J293" s="11">
        <f>modif1!J293</f>
        <v>3.2867999999999999</v>
      </c>
      <c r="K293" t="str">
        <f>modif1!K293</f>
        <v>PLA</v>
      </c>
      <c r="L293" t="str">
        <f>modif1!L293</f>
        <v>PM</v>
      </c>
      <c r="M293">
        <f>modif1!M293</f>
        <v>2005</v>
      </c>
      <c r="N293" t="str">
        <f>modif1!N293</f>
        <v>PLA-PM_2005</v>
      </c>
      <c r="O293" t="b">
        <f>modif1!O293</f>
        <v>0</v>
      </c>
      <c r="P293">
        <v>40</v>
      </c>
      <c r="T293" t="s">
        <v>1805</v>
      </c>
      <c r="Y293" t="s">
        <v>1806</v>
      </c>
      <c r="Z293"/>
      <c r="AA293" s="17">
        <f>IF($A293,$J293*(IF(Q293=regle!$B$11,regle!$B$23*IF(AJ293=-2,1+regle!$B$35,1),
IF(Q293=regle!$C$11,regle!$C$23,
IF(Q293=regle!$D$11,regle!$D$23,
IF(Q293=regle!$E$11,regle!$E$23,
IF(Q293=regle!$F$11,regle!$F$23,
IF(Q293=regle!$G$11,regle!$G$23,
IF(Q293=regle!$H$11,regle!$H$23,
IF(Q293=regle!$I$11,regle!$I$23,
IF(Q293=regle!$J$11,regle!$J$23,
IF(Q293=regle!$K$11,regle!$K$23,0))))))))))))</f>
        <v>0</v>
      </c>
      <c r="AB293" s="17">
        <f>IF($A293,$J293*(IF(R293=regle!$B$11,regle!$B$23*IF(AK293=-2,1+regle!$B$35,1),
IF(R293=regle!$C$11,regle!$C$23,
IF(R293=regle!$D$11,regle!$D$23,
IF(R293=regle!$E$11,regle!$E$23,
IF(R293=regle!$F$11,regle!$F$23,
IF(R293=regle!$G$11,regle!$G$23,
IF(R293=regle!$H$11,regle!$H$23,
IF(R293=regle!$I$11,regle!$I$23,
IF(R293=regle!$J$11,regle!$J$23,
IF(R293=regle!$K$11,regle!$K$23,0))))))))))))</f>
        <v>0</v>
      </c>
      <c r="AC293" s="17">
        <f>IF($A293,$J293*(IF(S293=regle!$B$11,regle!$B$23*IF(AL293=-2,1+regle!$B$35,1),
IF(S293=regle!$C$11,regle!$C$23,
IF(S293=regle!$D$11,regle!$D$23,
IF(S293=regle!$E$11,regle!$E$23,
IF(S293=regle!$F$11,regle!$F$23,
IF(S293=regle!$G$11,regle!$G$23,
IF(S293=regle!$H$11,regle!$H$23,
IF(S293=regle!$I$11,regle!$I$23,
IF(S293=regle!$J$11,regle!$J$23,
IF(S293=regle!$K$11,regle!$K$23,0))))))))))))</f>
        <v>0</v>
      </c>
      <c r="AD293" s="17">
        <f>IF($A293,$J293*(IF(T293=regle!$B$11,regle!$B$23*IF(AM293=-2,1+regle!$B$35,1),
IF(T293=regle!$C$11,regle!$C$23,
IF(T293=regle!$D$11,regle!$D$23,
IF(T293=regle!$E$11,regle!$E$23,
IF(T293=regle!$F$11,regle!$F$23,
IF(T293=regle!$G$11,regle!$G$23,
IF(T293=regle!$H$11,regle!$H$23,
IF(T293=regle!$I$11,regle!$I$23,
IF(T293=regle!$J$11,regle!$J$23,
IF(T293=regle!$K$11,regle!$K$23,0))))))))))))</f>
        <v>4627.8144000000002</v>
      </c>
      <c r="AE293" s="17">
        <f>IF($A293,$J293*(IF(U293=regle!$B$11,regle!$B$23*IF(AN293=-2,1+regle!$B$35,1),
IF(U293=regle!$C$11,regle!$C$23,
IF(U293=regle!$D$11,regle!$D$23,
IF(U293=regle!$E$11,regle!$E$23,
IF(U293=regle!$F$11,regle!$F$23,
IF(U293=regle!$G$11,regle!$G$23,
IF(U293=regle!$H$11,regle!$H$23,
IF(U293=regle!$I$11,regle!$I$23,
IF(U293=regle!$J$11,regle!$J$23,
IF(U293=regle!$K$11,regle!$K$23,0))))))))))))</f>
        <v>0</v>
      </c>
      <c r="AF293" s="17">
        <f>IF($A293,$J293*(IF(V293=regle!$B$11,regle!$B$23*IF(AO293=-2,1+regle!$B$35,1),
IF(V293=regle!$C$11,regle!$C$23,
IF(V293=regle!$D$11,regle!$D$23,
IF(V293=regle!$E$11,regle!$E$23,
IF(V293=regle!$F$11,regle!$F$23,
IF(V293=regle!$G$11,regle!$G$23,
IF(V293=regle!$H$11,regle!$H$23,
IF(V293=regle!$I$11,regle!$I$23,
IF(V293=regle!$J$11,regle!$J$23,
IF(V293=regle!$K$11,regle!$K$23,0))))))))))))</f>
        <v>0</v>
      </c>
      <c r="AG293" s="17">
        <f>IF($A293,$J293*(IF(W293=regle!$B$11,regle!$B$23*IF(AP293=-2,1+regle!$B$35,1),
IF(W293=regle!$C$11,regle!$C$23,
IF(W293=regle!$D$11,regle!$D$23,
IF(W293=regle!$E$11,regle!$E$23,
IF(W293=regle!$F$11,regle!$F$23,
IF(W293=regle!$G$11,regle!$G$23,
IF(W293=regle!$H$11,regle!$H$23,
IF(W293=regle!$I$11,regle!$I$23,
IF(W293=regle!$J$11,regle!$J$23,
IF(W293=regle!$K$11,regle!$K$23,0))))))))))))</f>
        <v>0</v>
      </c>
      <c r="AH293" s="17">
        <f>IF($A293,$J293*(IF(X293=regle!$B$11,regle!$B$23*IF(AQ293=-2,1+regle!$B$35,1),
IF(X293=regle!$C$11,regle!$C$23,
IF(X293=regle!$D$11,regle!$D$23,
IF(X293=regle!$E$11,regle!$E$23,
IF(X293=regle!$F$11,regle!$F$23,
IF(X293=regle!$G$11,regle!$G$23,
IF(X293=regle!$H$11,regle!$H$23,
IF(X293=regle!$I$11,regle!$I$23,
IF(X293=regle!$J$11,regle!$J$23,
IF(X293=regle!$K$11,regle!$K$23,0))))))))))))</f>
        <v>0</v>
      </c>
      <c r="AI293" s="17">
        <f>IF($A293,$J293*(IF(Y293=regle!$B$11,regle!$B$23*IF(AR293=-2,1+regle!$B$35,1),
IF(Y293=regle!$C$11,regle!$C$23,
IF(Y293=regle!$D$11,regle!$D$23,
IF(Y293=regle!$E$11,regle!$E$23,
IF(Y293=regle!$F$11,regle!$F$23,
IF(Y293=regle!$G$11,regle!$G$23,
IF(Y293=regle!$H$11,regle!$H$23,
IF(Y293=regle!$I$11,regle!$I$23,
IF(Y293=regle!$J$11,regle!$J$23,
IF(Y293=regle!$K$11,regle!$K$23,0))))))))))))</f>
        <v>4207.1040000000003</v>
      </c>
      <c r="AJ293" s="17">
        <f>IF($A293,$J293*(IF(Z293=regle!$B$11,regle!$B$23*IF(AS293=-2,1+regle!$B$35,1),
IF(Z293=regle!$C$11,regle!$C$23,
IF(Z293=regle!$D$11,regle!$D$23,
IF(Z293=regle!$E$11,regle!$E$23,
IF(Z293=regle!$F$11,regle!$F$23,
IF(Z293=regle!$G$11,regle!$G$23,
IF(Z293=regle!$H$11,regle!$H$23,
IF(Z293=regle!$I$11,regle!$I$23,
IF(Z293=regle!$J$11,regle!$J$23,
IF(Z293=regle!$K$11,regle!$K$23,0))))))))))))</f>
        <v>0</v>
      </c>
      <c r="AK293" s="16">
        <f>IF(OR(Q293=regle!$J$11,Q293=regle!$K$11),-2,IF(Q293=regle!$B$11,0,IF(AK$1=$AK$1,IF($O293,-1,regle!$B$2-$M293),IF(AJ293=-1,-1,AJ293+1))))</f>
        <v>19</v>
      </c>
      <c r="AL293" s="16">
        <f>IF(OR(R293=regle!$J$11,R293=regle!$K$11),-2,IF(R293=regle!$B$11,0,IF(AL$1=$AK$1,IF($O293,-1,regle!$B$2-$M293),IF(AK293=-1,-1,AK293+1))))</f>
        <v>20</v>
      </c>
      <c r="AM293" s="16">
        <f>IF(OR(S293=regle!$J$11,S293=regle!$K$11),-2,IF(S293=regle!$B$11,0,IF(AM$1=$AK$1,IF($O293,-1,regle!$B$2-$M293),IF(AL293=-1,-1,AL293+1))))</f>
        <v>21</v>
      </c>
      <c r="AN293" s="16">
        <f>IF(OR(T293=regle!$J$11,T293=regle!$K$11),-2,IF(T293=regle!$B$11,0,IF(AN$1=$AK$1,IF($O293,-1,regle!$B$2-$M293),IF(AM293=-1,-1,AM293+1))))</f>
        <v>22</v>
      </c>
      <c r="AO293" s="16">
        <f>IF(OR(U293=regle!$J$11,U293=regle!$K$11),-2,IF(U293=regle!$B$11,0,IF(AO$1=$AK$1,IF($O293,-1,regle!$B$2-$M293),IF(AN293=-1,-1,AN293+1))))</f>
        <v>23</v>
      </c>
      <c r="AP293" s="16">
        <f>IF(OR(V293=regle!$J$11,V293=regle!$K$11),-2,IF(V293=regle!$B$11,0,IF(AP$1=$AK$1,IF($O293,-1,regle!$B$2-$M293),IF(AO293=-1,-1,AO293+1))))</f>
        <v>24</v>
      </c>
      <c r="AQ293" s="16">
        <f>IF(OR(W293=regle!$J$11,W293=regle!$K$11),-2,IF(W293=regle!$B$11,0,IF(AQ$1=$AK$1,IF($O293,-1,regle!$B$2-$M293),IF(AP293=-1,-1,AP293+1))))</f>
        <v>25</v>
      </c>
      <c r="AR293" s="16">
        <f>IF(OR(X293=regle!$J$11,X293=regle!$K$11),-2,IF(X293=regle!$B$11,0,IF(AR$1=$AK$1,IF($O293,-1,regle!$B$2-$M293),IF(AQ293=-1,-1,AQ293+1))))</f>
        <v>26</v>
      </c>
      <c r="AS293" s="16">
        <f>IF(OR(Y293=regle!$J$11,Y293=regle!$K$11),-2,IF(Y293=regle!$B$11,0,IF(AS$1=$AK$1,IF($O293,-1,regle!$B$2-$M293),IF(AR293=-1,-1,AR293+1))))</f>
        <v>27</v>
      </c>
      <c r="AT293" s="16">
        <f>IF(OR(Z293=regle!$J$11,Z293=regle!$K$11),-2,IF(Z293=regle!$B$11,0,IF(AT$1=$AK$1,IF($O293,-1,regle!$B$2-$M293),IF(AS293=-1,-1,AS293+1))))</f>
        <v>28</v>
      </c>
    </row>
    <row r="294" spans="1:46" x14ac:dyDescent="0.25">
      <c r="A294" t="b">
        <f>modif1!A294</f>
        <v>1</v>
      </c>
      <c r="B294">
        <f>ROW(modif1!B294)</f>
        <v>294</v>
      </c>
      <c r="C294" t="str">
        <f>modif1!C297</f>
        <v>536</v>
      </c>
      <c r="D294" t="str">
        <f>modif1!D294</f>
        <v>CABANAC-ET-VILLAGRAINS</v>
      </c>
      <c r="E294">
        <f>modif1!E294</f>
        <v>13</v>
      </c>
      <c r="F294" t="str">
        <f>modif1!F294</f>
        <v>LAGUNE LONGUE</v>
      </c>
      <c r="G294" t="str">
        <f>modif1!G294</f>
        <v>0D</v>
      </c>
      <c r="H294">
        <f>modif1!H294</f>
        <v>1510</v>
      </c>
      <c r="I294" t="str">
        <f>modif1!I294</f>
        <v>k</v>
      </c>
      <c r="J294" s="11">
        <f>modif1!J294</f>
        <v>2.4076</v>
      </c>
      <c r="K294" t="str">
        <f>modif1!K294</f>
        <v>PLA</v>
      </c>
      <c r="L294" t="str">
        <f>modif1!L294</f>
        <v>PM</v>
      </c>
      <c r="M294">
        <f>modif1!M294</f>
        <v>2005</v>
      </c>
      <c r="N294" t="str">
        <f>modif1!N294</f>
        <v>PLA-PM_2005</v>
      </c>
      <c r="O294" t="b">
        <f>modif1!O294</f>
        <v>0</v>
      </c>
      <c r="P294">
        <v>40</v>
      </c>
      <c r="T294" t="s">
        <v>1805</v>
      </c>
      <c r="Y294" t="s">
        <v>1806</v>
      </c>
      <c r="Z294"/>
      <c r="AA294" s="17">
        <f>IF($A294,$J294*(IF(Q294=regle!$B$11,regle!$B$23*IF(AJ294=-2,1+regle!$B$35,1),
IF(Q294=regle!$C$11,regle!$C$23,
IF(Q294=regle!$D$11,regle!$D$23,
IF(Q294=regle!$E$11,regle!$E$23,
IF(Q294=regle!$F$11,regle!$F$23,
IF(Q294=regle!$G$11,regle!$G$23,
IF(Q294=regle!$H$11,regle!$H$23,
IF(Q294=regle!$I$11,regle!$I$23,
IF(Q294=regle!$J$11,regle!$J$23,
IF(Q294=regle!$K$11,regle!$K$23,0))))))))))))</f>
        <v>0</v>
      </c>
      <c r="AB294" s="17">
        <f>IF($A294,$J294*(IF(R294=regle!$B$11,regle!$B$23*IF(AK294=-2,1+regle!$B$35,1),
IF(R294=regle!$C$11,regle!$C$23,
IF(R294=regle!$D$11,regle!$D$23,
IF(R294=regle!$E$11,regle!$E$23,
IF(R294=regle!$F$11,regle!$F$23,
IF(R294=regle!$G$11,regle!$G$23,
IF(R294=regle!$H$11,regle!$H$23,
IF(R294=regle!$I$11,regle!$I$23,
IF(R294=regle!$J$11,regle!$J$23,
IF(R294=regle!$K$11,regle!$K$23,0))))))))))))</f>
        <v>0</v>
      </c>
      <c r="AC294" s="17">
        <f>IF($A294,$J294*(IF(S294=regle!$B$11,regle!$B$23*IF(AL294=-2,1+regle!$B$35,1),
IF(S294=regle!$C$11,regle!$C$23,
IF(S294=regle!$D$11,regle!$D$23,
IF(S294=regle!$E$11,regle!$E$23,
IF(S294=regle!$F$11,regle!$F$23,
IF(S294=regle!$G$11,regle!$G$23,
IF(S294=regle!$H$11,regle!$H$23,
IF(S294=regle!$I$11,regle!$I$23,
IF(S294=regle!$J$11,regle!$J$23,
IF(S294=regle!$K$11,regle!$K$23,0))))))))))))</f>
        <v>0</v>
      </c>
      <c r="AD294" s="17">
        <f>IF($A294,$J294*(IF(T294=regle!$B$11,regle!$B$23*IF(AM294=-2,1+regle!$B$35,1),
IF(T294=regle!$C$11,regle!$C$23,
IF(T294=regle!$D$11,regle!$D$23,
IF(T294=regle!$E$11,regle!$E$23,
IF(T294=regle!$F$11,regle!$F$23,
IF(T294=regle!$G$11,regle!$G$23,
IF(T294=regle!$H$11,regle!$H$23,
IF(T294=regle!$I$11,regle!$I$23,
IF(T294=regle!$J$11,regle!$J$23,
IF(T294=regle!$K$11,regle!$K$23,0))))))))))))</f>
        <v>3389.9007999999999</v>
      </c>
      <c r="AE294" s="17">
        <f>IF($A294,$J294*(IF(U294=regle!$B$11,regle!$B$23*IF(AN294=-2,1+regle!$B$35,1),
IF(U294=regle!$C$11,regle!$C$23,
IF(U294=regle!$D$11,regle!$D$23,
IF(U294=regle!$E$11,regle!$E$23,
IF(U294=regle!$F$11,regle!$F$23,
IF(U294=regle!$G$11,regle!$G$23,
IF(U294=regle!$H$11,regle!$H$23,
IF(U294=regle!$I$11,regle!$I$23,
IF(U294=regle!$J$11,regle!$J$23,
IF(U294=regle!$K$11,regle!$K$23,0))))))))))))</f>
        <v>0</v>
      </c>
      <c r="AF294" s="17">
        <f>IF($A294,$J294*(IF(V294=regle!$B$11,regle!$B$23*IF(AO294=-2,1+regle!$B$35,1),
IF(V294=regle!$C$11,regle!$C$23,
IF(V294=regle!$D$11,regle!$D$23,
IF(V294=regle!$E$11,regle!$E$23,
IF(V294=regle!$F$11,regle!$F$23,
IF(V294=regle!$G$11,regle!$G$23,
IF(V294=regle!$H$11,regle!$H$23,
IF(V294=regle!$I$11,regle!$I$23,
IF(V294=regle!$J$11,regle!$J$23,
IF(V294=regle!$K$11,regle!$K$23,0))))))))))))</f>
        <v>0</v>
      </c>
      <c r="AG294" s="17">
        <f>IF($A294,$J294*(IF(W294=regle!$B$11,regle!$B$23*IF(AP294=-2,1+regle!$B$35,1),
IF(W294=regle!$C$11,regle!$C$23,
IF(W294=regle!$D$11,regle!$D$23,
IF(W294=regle!$E$11,regle!$E$23,
IF(W294=regle!$F$11,regle!$F$23,
IF(W294=regle!$G$11,regle!$G$23,
IF(W294=regle!$H$11,regle!$H$23,
IF(W294=regle!$I$11,regle!$I$23,
IF(W294=regle!$J$11,regle!$J$23,
IF(W294=regle!$K$11,regle!$K$23,0))))))))))))</f>
        <v>0</v>
      </c>
      <c r="AH294" s="17">
        <f>IF($A294,$J294*(IF(X294=regle!$B$11,regle!$B$23*IF(AQ294=-2,1+regle!$B$35,1),
IF(X294=regle!$C$11,regle!$C$23,
IF(X294=regle!$D$11,regle!$D$23,
IF(X294=regle!$E$11,regle!$E$23,
IF(X294=regle!$F$11,regle!$F$23,
IF(X294=regle!$G$11,regle!$G$23,
IF(X294=regle!$H$11,regle!$H$23,
IF(X294=regle!$I$11,regle!$I$23,
IF(X294=regle!$J$11,regle!$J$23,
IF(X294=regle!$K$11,regle!$K$23,0))))))))))))</f>
        <v>0</v>
      </c>
      <c r="AI294" s="17">
        <f>IF($A294,$J294*(IF(Y294=regle!$B$11,regle!$B$23*IF(AR294=-2,1+regle!$B$35,1),
IF(Y294=regle!$C$11,regle!$C$23,
IF(Y294=regle!$D$11,regle!$D$23,
IF(Y294=regle!$E$11,regle!$E$23,
IF(Y294=regle!$F$11,regle!$F$23,
IF(Y294=regle!$G$11,regle!$G$23,
IF(Y294=regle!$H$11,regle!$H$23,
IF(Y294=regle!$I$11,regle!$I$23,
IF(Y294=regle!$J$11,regle!$J$23,
IF(Y294=regle!$K$11,regle!$K$23,0))))))))))))</f>
        <v>3081.7280000000001</v>
      </c>
      <c r="AJ294" s="17">
        <f>IF($A294,$J294*(IF(Z294=regle!$B$11,regle!$B$23*IF(AS294=-2,1+regle!$B$35,1),
IF(Z294=regle!$C$11,regle!$C$23,
IF(Z294=regle!$D$11,regle!$D$23,
IF(Z294=regle!$E$11,regle!$E$23,
IF(Z294=regle!$F$11,regle!$F$23,
IF(Z294=regle!$G$11,regle!$G$23,
IF(Z294=regle!$H$11,regle!$H$23,
IF(Z294=regle!$I$11,regle!$I$23,
IF(Z294=regle!$J$11,regle!$J$23,
IF(Z294=regle!$K$11,regle!$K$23,0))))))))))))</f>
        <v>0</v>
      </c>
      <c r="AK294" s="16">
        <f>IF(OR(Q294=regle!$J$11,Q294=regle!$K$11),-2,IF(Q294=regle!$B$11,0,IF(AK$1=$AK$1,IF($O294,-1,regle!$B$2-$M294),IF(AJ294=-1,-1,AJ294+1))))</f>
        <v>19</v>
      </c>
      <c r="AL294" s="16">
        <f>IF(OR(R294=regle!$J$11,R294=regle!$K$11),-2,IF(R294=regle!$B$11,0,IF(AL$1=$AK$1,IF($O294,-1,regle!$B$2-$M294),IF(AK294=-1,-1,AK294+1))))</f>
        <v>20</v>
      </c>
      <c r="AM294" s="16">
        <f>IF(OR(S294=regle!$J$11,S294=regle!$K$11),-2,IF(S294=regle!$B$11,0,IF(AM$1=$AK$1,IF($O294,-1,regle!$B$2-$M294),IF(AL294=-1,-1,AL294+1))))</f>
        <v>21</v>
      </c>
      <c r="AN294" s="16">
        <f>IF(OR(T294=regle!$J$11,T294=regle!$K$11),-2,IF(T294=regle!$B$11,0,IF(AN$1=$AK$1,IF($O294,-1,regle!$B$2-$M294),IF(AM294=-1,-1,AM294+1))))</f>
        <v>22</v>
      </c>
      <c r="AO294" s="16">
        <f>IF(OR(U294=regle!$J$11,U294=regle!$K$11),-2,IF(U294=regle!$B$11,0,IF(AO$1=$AK$1,IF($O294,-1,regle!$B$2-$M294),IF(AN294=-1,-1,AN294+1))))</f>
        <v>23</v>
      </c>
      <c r="AP294" s="16">
        <f>IF(OR(V294=regle!$J$11,V294=regle!$K$11),-2,IF(V294=regle!$B$11,0,IF(AP$1=$AK$1,IF($O294,-1,regle!$B$2-$M294),IF(AO294=-1,-1,AO294+1))))</f>
        <v>24</v>
      </c>
      <c r="AQ294" s="16">
        <f>IF(OR(W294=regle!$J$11,W294=regle!$K$11),-2,IF(W294=regle!$B$11,0,IF(AQ$1=$AK$1,IF($O294,-1,regle!$B$2-$M294),IF(AP294=-1,-1,AP294+1))))</f>
        <v>25</v>
      </c>
      <c r="AR294" s="16">
        <f>IF(OR(X294=regle!$J$11,X294=regle!$K$11),-2,IF(X294=regle!$B$11,0,IF(AR$1=$AK$1,IF($O294,-1,regle!$B$2-$M294),IF(AQ294=-1,-1,AQ294+1))))</f>
        <v>26</v>
      </c>
      <c r="AS294" s="16">
        <f>IF(OR(Y294=regle!$J$11,Y294=regle!$K$11),-2,IF(Y294=regle!$B$11,0,IF(AS$1=$AK$1,IF($O294,-1,regle!$B$2-$M294),IF(AR294=-1,-1,AR294+1))))</f>
        <v>27</v>
      </c>
      <c r="AT294" s="16">
        <f>IF(OR(Z294=regle!$J$11,Z294=regle!$K$11),-2,IF(Z294=regle!$B$11,0,IF(AT$1=$AK$1,IF($O294,-1,regle!$B$2-$M294),IF(AS294=-1,-1,AS294+1))))</f>
        <v>28</v>
      </c>
    </row>
    <row r="295" spans="1:46" x14ac:dyDescent="0.25">
      <c r="A295" t="b">
        <f>modif1!A295</f>
        <v>1</v>
      </c>
      <c r="B295">
        <f>ROW(modif1!B295)</f>
        <v>295</v>
      </c>
      <c r="C295" t="str">
        <f>modif1!C298</f>
        <v>536</v>
      </c>
      <c r="D295" t="str">
        <f>modif1!D295</f>
        <v>LE TUZAN</v>
      </c>
      <c r="E295">
        <f>modif1!E295</f>
        <v>21</v>
      </c>
      <c r="F295" t="str">
        <f>modif1!F295</f>
        <v>METAIRIES DE TABARTON</v>
      </c>
      <c r="G295" t="str">
        <f>modif1!G295</f>
        <v>0A</v>
      </c>
      <c r="H295">
        <f>modif1!H295</f>
        <v>460</v>
      </c>
      <c r="I295" t="str">
        <f>modif1!I295</f>
        <v>j</v>
      </c>
      <c r="J295" s="11">
        <f>modif1!J295</f>
        <v>2.0224000000000002</v>
      </c>
      <c r="K295" t="str">
        <f>modif1!K295</f>
        <v>PLA</v>
      </c>
      <c r="L295" t="str">
        <f>modif1!L295</f>
        <v>PM</v>
      </c>
      <c r="M295">
        <f>modif1!M295</f>
        <v>2005</v>
      </c>
      <c r="N295" t="str">
        <f>modif1!N295</f>
        <v>PLA-PM_2005</v>
      </c>
      <c r="O295" t="b">
        <f>modif1!O295</f>
        <v>0</v>
      </c>
      <c r="P295">
        <v>40</v>
      </c>
      <c r="T295" t="s">
        <v>1805</v>
      </c>
      <c r="Y295" t="s">
        <v>1806</v>
      </c>
      <c r="Z295"/>
      <c r="AA295" s="17">
        <f>IF($A295,$J295*(IF(Q295=regle!$B$11,regle!$B$23*IF(AJ295=-2,1+regle!$B$35,1),
IF(Q295=regle!$C$11,regle!$C$23,
IF(Q295=regle!$D$11,regle!$D$23,
IF(Q295=regle!$E$11,regle!$E$23,
IF(Q295=regle!$F$11,regle!$F$23,
IF(Q295=regle!$G$11,regle!$G$23,
IF(Q295=regle!$H$11,regle!$H$23,
IF(Q295=regle!$I$11,regle!$I$23,
IF(Q295=regle!$J$11,regle!$J$23,
IF(Q295=regle!$K$11,regle!$K$23,0))))))))))))</f>
        <v>0</v>
      </c>
      <c r="AB295" s="17">
        <f>IF($A295,$J295*(IF(R295=regle!$B$11,regle!$B$23*IF(AK295=-2,1+regle!$B$35,1),
IF(R295=regle!$C$11,regle!$C$23,
IF(R295=regle!$D$11,regle!$D$23,
IF(R295=regle!$E$11,regle!$E$23,
IF(R295=regle!$F$11,regle!$F$23,
IF(R295=regle!$G$11,regle!$G$23,
IF(R295=regle!$H$11,regle!$H$23,
IF(R295=regle!$I$11,regle!$I$23,
IF(R295=regle!$J$11,regle!$J$23,
IF(R295=regle!$K$11,regle!$K$23,0))))))))))))</f>
        <v>0</v>
      </c>
      <c r="AC295" s="17">
        <f>IF($A295,$J295*(IF(S295=regle!$B$11,regle!$B$23*IF(AL295=-2,1+regle!$B$35,1),
IF(S295=regle!$C$11,regle!$C$23,
IF(S295=regle!$D$11,regle!$D$23,
IF(S295=regle!$E$11,regle!$E$23,
IF(S295=regle!$F$11,regle!$F$23,
IF(S295=regle!$G$11,regle!$G$23,
IF(S295=regle!$H$11,regle!$H$23,
IF(S295=regle!$I$11,regle!$I$23,
IF(S295=regle!$J$11,regle!$J$23,
IF(S295=regle!$K$11,regle!$K$23,0))))))))))))</f>
        <v>0</v>
      </c>
      <c r="AD295" s="17">
        <f>IF($A295,$J295*(IF(T295=regle!$B$11,regle!$B$23*IF(AM295=-2,1+regle!$B$35,1),
IF(T295=regle!$C$11,regle!$C$23,
IF(T295=regle!$D$11,regle!$D$23,
IF(T295=regle!$E$11,regle!$E$23,
IF(T295=regle!$F$11,regle!$F$23,
IF(T295=regle!$G$11,regle!$G$23,
IF(T295=regle!$H$11,regle!$H$23,
IF(T295=regle!$I$11,regle!$I$23,
IF(T295=regle!$J$11,regle!$J$23,
IF(T295=regle!$K$11,regle!$K$23,0))))))))))))</f>
        <v>2847.5392000000002</v>
      </c>
      <c r="AE295" s="17">
        <f>IF($A295,$J295*(IF(U295=regle!$B$11,regle!$B$23*IF(AN295=-2,1+regle!$B$35,1),
IF(U295=regle!$C$11,regle!$C$23,
IF(U295=regle!$D$11,regle!$D$23,
IF(U295=regle!$E$11,regle!$E$23,
IF(U295=regle!$F$11,regle!$F$23,
IF(U295=regle!$G$11,regle!$G$23,
IF(U295=regle!$H$11,regle!$H$23,
IF(U295=regle!$I$11,regle!$I$23,
IF(U295=regle!$J$11,regle!$J$23,
IF(U295=regle!$K$11,regle!$K$23,0))))))))))))</f>
        <v>0</v>
      </c>
      <c r="AF295" s="17">
        <f>IF($A295,$J295*(IF(V295=regle!$B$11,regle!$B$23*IF(AO295=-2,1+regle!$B$35,1),
IF(V295=regle!$C$11,regle!$C$23,
IF(V295=regle!$D$11,regle!$D$23,
IF(V295=regle!$E$11,regle!$E$23,
IF(V295=regle!$F$11,regle!$F$23,
IF(V295=regle!$G$11,regle!$G$23,
IF(V295=regle!$H$11,regle!$H$23,
IF(V295=regle!$I$11,regle!$I$23,
IF(V295=regle!$J$11,regle!$J$23,
IF(V295=regle!$K$11,regle!$K$23,0))))))))))))</f>
        <v>0</v>
      </c>
      <c r="AG295" s="17">
        <f>IF($A295,$J295*(IF(W295=regle!$B$11,regle!$B$23*IF(AP295=-2,1+regle!$B$35,1),
IF(W295=regle!$C$11,regle!$C$23,
IF(W295=regle!$D$11,regle!$D$23,
IF(W295=regle!$E$11,regle!$E$23,
IF(W295=regle!$F$11,regle!$F$23,
IF(W295=regle!$G$11,regle!$G$23,
IF(W295=regle!$H$11,regle!$H$23,
IF(W295=regle!$I$11,regle!$I$23,
IF(W295=regle!$J$11,regle!$J$23,
IF(W295=regle!$K$11,regle!$K$23,0))))))))))))</f>
        <v>0</v>
      </c>
      <c r="AH295" s="17">
        <f>IF($A295,$J295*(IF(X295=regle!$B$11,regle!$B$23*IF(AQ295=-2,1+regle!$B$35,1),
IF(X295=regle!$C$11,regle!$C$23,
IF(X295=regle!$D$11,regle!$D$23,
IF(X295=regle!$E$11,regle!$E$23,
IF(X295=regle!$F$11,regle!$F$23,
IF(X295=regle!$G$11,regle!$G$23,
IF(X295=regle!$H$11,regle!$H$23,
IF(X295=regle!$I$11,regle!$I$23,
IF(X295=regle!$J$11,regle!$J$23,
IF(X295=regle!$K$11,regle!$K$23,0))))))))))))</f>
        <v>0</v>
      </c>
      <c r="AI295" s="17">
        <f>IF($A295,$J295*(IF(Y295=regle!$B$11,regle!$B$23*IF(AR295=-2,1+regle!$B$35,1),
IF(Y295=regle!$C$11,regle!$C$23,
IF(Y295=regle!$D$11,regle!$D$23,
IF(Y295=regle!$E$11,regle!$E$23,
IF(Y295=regle!$F$11,regle!$F$23,
IF(Y295=regle!$G$11,regle!$G$23,
IF(Y295=regle!$H$11,regle!$H$23,
IF(Y295=regle!$I$11,regle!$I$23,
IF(Y295=regle!$J$11,regle!$J$23,
IF(Y295=regle!$K$11,regle!$K$23,0))))))))))))</f>
        <v>2588.6720000000005</v>
      </c>
      <c r="AJ295" s="17">
        <f>IF($A295,$J295*(IF(Z295=regle!$B$11,regle!$B$23*IF(AS295=-2,1+regle!$B$35,1),
IF(Z295=regle!$C$11,regle!$C$23,
IF(Z295=regle!$D$11,regle!$D$23,
IF(Z295=regle!$E$11,regle!$E$23,
IF(Z295=regle!$F$11,regle!$F$23,
IF(Z295=regle!$G$11,regle!$G$23,
IF(Z295=regle!$H$11,regle!$H$23,
IF(Z295=regle!$I$11,regle!$I$23,
IF(Z295=regle!$J$11,regle!$J$23,
IF(Z295=regle!$K$11,regle!$K$23,0))))))))))))</f>
        <v>0</v>
      </c>
      <c r="AK295" s="16">
        <f>IF(OR(Q295=regle!$J$11,Q295=regle!$K$11),-2,IF(Q295=regle!$B$11,0,IF(AK$1=$AK$1,IF($O295,-1,regle!$B$2-$M295),IF(AJ295=-1,-1,AJ295+1))))</f>
        <v>19</v>
      </c>
      <c r="AL295" s="16">
        <f>IF(OR(R295=regle!$J$11,R295=regle!$K$11),-2,IF(R295=regle!$B$11,0,IF(AL$1=$AK$1,IF($O295,-1,regle!$B$2-$M295),IF(AK295=-1,-1,AK295+1))))</f>
        <v>20</v>
      </c>
      <c r="AM295" s="16">
        <f>IF(OR(S295=regle!$J$11,S295=regle!$K$11),-2,IF(S295=regle!$B$11,0,IF(AM$1=$AK$1,IF($O295,-1,regle!$B$2-$M295),IF(AL295=-1,-1,AL295+1))))</f>
        <v>21</v>
      </c>
      <c r="AN295" s="16">
        <f>IF(OR(T295=regle!$J$11,T295=regle!$K$11),-2,IF(T295=regle!$B$11,0,IF(AN$1=$AK$1,IF($O295,-1,regle!$B$2-$M295),IF(AM295=-1,-1,AM295+1))))</f>
        <v>22</v>
      </c>
      <c r="AO295" s="16">
        <f>IF(OR(U295=regle!$J$11,U295=regle!$K$11),-2,IF(U295=regle!$B$11,0,IF(AO$1=$AK$1,IF($O295,-1,regle!$B$2-$M295),IF(AN295=-1,-1,AN295+1))))</f>
        <v>23</v>
      </c>
      <c r="AP295" s="16">
        <f>IF(OR(V295=regle!$J$11,V295=regle!$K$11),-2,IF(V295=regle!$B$11,0,IF(AP$1=$AK$1,IF($O295,-1,regle!$B$2-$M295),IF(AO295=-1,-1,AO295+1))))</f>
        <v>24</v>
      </c>
      <c r="AQ295" s="16">
        <f>IF(OR(W295=regle!$J$11,W295=regle!$K$11),-2,IF(W295=regle!$B$11,0,IF(AQ$1=$AK$1,IF($O295,-1,regle!$B$2-$M295),IF(AP295=-1,-1,AP295+1))))</f>
        <v>25</v>
      </c>
      <c r="AR295" s="16">
        <f>IF(OR(X295=regle!$J$11,X295=regle!$K$11),-2,IF(X295=regle!$B$11,0,IF(AR$1=$AK$1,IF($O295,-1,regle!$B$2-$M295),IF(AQ295=-1,-1,AQ295+1))))</f>
        <v>26</v>
      </c>
      <c r="AS295" s="16">
        <f>IF(OR(Y295=regle!$J$11,Y295=regle!$K$11),-2,IF(Y295=regle!$B$11,0,IF(AS$1=$AK$1,IF($O295,-1,regle!$B$2-$M295),IF(AR295=-1,-1,AR295+1))))</f>
        <v>27</v>
      </c>
      <c r="AT295" s="16">
        <f>IF(OR(Z295=regle!$J$11,Z295=regle!$K$11),-2,IF(Z295=regle!$B$11,0,IF(AT$1=$AK$1,IF($O295,-1,regle!$B$2-$M295),IF(AS295=-1,-1,AS295+1))))</f>
        <v>28</v>
      </c>
    </row>
    <row r="296" spans="1:46" x14ac:dyDescent="0.25">
      <c r="A296" t="b">
        <f>modif1!A296</f>
        <v>1</v>
      </c>
      <c r="B296">
        <f>ROW(modif1!B296)</f>
        <v>296</v>
      </c>
      <c r="C296" t="str">
        <f>modif1!C299</f>
        <v>197</v>
      </c>
      <c r="D296" t="str">
        <f>modif1!D296</f>
        <v>LE TUZAN</v>
      </c>
      <c r="E296">
        <f>modif1!E296</f>
        <v>11</v>
      </c>
      <c r="F296" t="str">
        <f>modif1!F296</f>
        <v>LA HONTEYRE</v>
      </c>
      <c r="G296" t="str">
        <f>modif1!G296</f>
        <v>0A</v>
      </c>
      <c r="H296">
        <f>modif1!H296</f>
        <v>254</v>
      </c>
      <c r="I296" t="str">
        <f>modif1!I296</f>
        <v>k</v>
      </c>
      <c r="J296" s="11">
        <f>modif1!J296</f>
        <v>2.0192999999999999</v>
      </c>
      <c r="K296" t="str">
        <f>modif1!K296</f>
        <v>PLA</v>
      </c>
      <c r="L296" t="str">
        <f>modif1!L296</f>
        <v>PM</v>
      </c>
      <c r="M296">
        <f>modif1!M296</f>
        <v>2005</v>
      </c>
      <c r="N296" t="str">
        <f>modif1!N296</f>
        <v>PLA-PM_2005</v>
      </c>
      <c r="O296" t="b">
        <f>modif1!O296</f>
        <v>0</v>
      </c>
      <c r="P296">
        <v>40</v>
      </c>
      <c r="T296" t="s">
        <v>1805</v>
      </c>
      <c r="Y296" t="s">
        <v>1806</v>
      </c>
      <c r="Z296"/>
      <c r="AA296" s="17">
        <f>IF($A296,$J296*(IF(Q296=regle!$B$11,regle!$B$23*IF(AJ296=-2,1+regle!$B$35,1),
IF(Q296=regle!$C$11,regle!$C$23,
IF(Q296=regle!$D$11,regle!$D$23,
IF(Q296=regle!$E$11,regle!$E$23,
IF(Q296=regle!$F$11,regle!$F$23,
IF(Q296=regle!$G$11,regle!$G$23,
IF(Q296=regle!$H$11,regle!$H$23,
IF(Q296=regle!$I$11,regle!$I$23,
IF(Q296=regle!$J$11,regle!$J$23,
IF(Q296=regle!$K$11,regle!$K$23,0))))))))))))</f>
        <v>0</v>
      </c>
      <c r="AB296" s="17">
        <f>IF($A296,$J296*(IF(R296=regle!$B$11,regle!$B$23*IF(AK296=-2,1+regle!$B$35,1),
IF(R296=regle!$C$11,regle!$C$23,
IF(R296=regle!$D$11,regle!$D$23,
IF(R296=regle!$E$11,regle!$E$23,
IF(R296=regle!$F$11,regle!$F$23,
IF(R296=regle!$G$11,regle!$G$23,
IF(R296=regle!$H$11,regle!$H$23,
IF(R296=regle!$I$11,regle!$I$23,
IF(R296=regle!$J$11,regle!$J$23,
IF(R296=regle!$K$11,regle!$K$23,0))))))))))))</f>
        <v>0</v>
      </c>
      <c r="AC296" s="17">
        <f>IF($A296,$J296*(IF(S296=regle!$B$11,regle!$B$23*IF(AL296=-2,1+regle!$B$35,1),
IF(S296=regle!$C$11,regle!$C$23,
IF(S296=regle!$D$11,regle!$D$23,
IF(S296=regle!$E$11,regle!$E$23,
IF(S296=regle!$F$11,regle!$F$23,
IF(S296=regle!$G$11,regle!$G$23,
IF(S296=regle!$H$11,regle!$H$23,
IF(S296=regle!$I$11,regle!$I$23,
IF(S296=regle!$J$11,regle!$J$23,
IF(S296=regle!$K$11,regle!$K$23,0))))))))))))</f>
        <v>0</v>
      </c>
      <c r="AD296" s="17">
        <f>IF($A296,$J296*(IF(T296=regle!$B$11,regle!$B$23*IF(AM296=-2,1+regle!$B$35,1),
IF(T296=regle!$C$11,regle!$C$23,
IF(T296=regle!$D$11,regle!$D$23,
IF(T296=regle!$E$11,regle!$E$23,
IF(T296=regle!$F$11,regle!$F$23,
IF(T296=regle!$G$11,regle!$G$23,
IF(T296=regle!$H$11,regle!$H$23,
IF(T296=regle!$I$11,regle!$I$23,
IF(T296=regle!$J$11,regle!$J$23,
IF(T296=regle!$K$11,regle!$K$23,0))))))))))))</f>
        <v>2843.1743999999999</v>
      </c>
      <c r="AE296" s="17">
        <f>IF($A296,$J296*(IF(U296=regle!$B$11,regle!$B$23*IF(AN296=-2,1+regle!$B$35,1),
IF(U296=regle!$C$11,regle!$C$23,
IF(U296=regle!$D$11,regle!$D$23,
IF(U296=regle!$E$11,regle!$E$23,
IF(U296=regle!$F$11,regle!$F$23,
IF(U296=regle!$G$11,regle!$G$23,
IF(U296=regle!$H$11,regle!$H$23,
IF(U296=regle!$I$11,regle!$I$23,
IF(U296=regle!$J$11,regle!$J$23,
IF(U296=regle!$K$11,regle!$K$23,0))))))))))))</f>
        <v>0</v>
      </c>
      <c r="AF296" s="17">
        <f>IF($A296,$J296*(IF(V296=regle!$B$11,regle!$B$23*IF(AO296=-2,1+regle!$B$35,1),
IF(V296=regle!$C$11,regle!$C$23,
IF(V296=regle!$D$11,regle!$D$23,
IF(V296=regle!$E$11,regle!$E$23,
IF(V296=regle!$F$11,regle!$F$23,
IF(V296=regle!$G$11,regle!$G$23,
IF(V296=regle!$H$11,regle!$H$23,
IF(V296=regle!$I$11,regle!$I$23,
IF(V296=regle!$J$11,regle!$J$23,
IF(V296=regle!$K$11,regle!$K$23,0))))))))))))</f>
        <v>0</v>
      </c>
      <c r="AG296" s="17">
        <f>IF($A296,$J296*(IF(W296=regle!$B$11,regle!$B$23*IF(AP296=-2,1+regle!$B$35,1),
IF(W296=regle!$C$11,regle!$C$23,
IF(W296=regle!$D$11,regle!$D$23,
IF(W296=regle!$E$11,regle!$E$23,
IF(W296=regle!$F$11,regle!$F$23,
IF(W296=regle!$G$11,regle!$G$23,
IF(W296=regle!$H$11,regle!$H$23,
IF(W296=regle!$I$11,regle!$I$23,
IF(W296=regle!$J$11,regle!$J$23,
IF(W296=regle!$K$11,regle!$K$23,0))))))))))))</f>
        <v>0</v>
      </c>
      <c r="AH296" s="17">
        <f>IF($A296,$J296*(IF(X296=regle!$B$11,regle!$B$23*IF(AQ296=-2,1+regle!$B$35,1),
IF(X296=regle!$C$11,regle!$C$23,
IF(X296=regle!$D$11,regle!$D$23,
IF(X296=regle!$E$11,regle!$E$23,
IF(X296=regle!$F$11,regle!$F$23,
IF(X296=regle!$G$11,regle!$G$23,
IF(X296=regle!$H$11,regle!$H$23,
IF(X296=regle!$I$11,regle!$I$23,
IF(X296=regle!$J$11,regle!$J$23,
IF(X296=regle!$K$11,regle!$K$23,0))))))))))))</f>
        <v>0</v>
      </c>
      <c r="AI296" s="17">
        <f>IF($A296,$J296*(IF(Y296=regle!$B$11,regle!$B$23*IF(AR296=-2,1+regle!$B$35,1),
IF(Y296=regle!$C$11,regle!$C$23,
IF(Y296=regle!$D$11,regle!$D$23,
IF(Y296=regle!$E$11,regle!$E$23,
IF(Y296=regle!$F$11,regle!$F$23,
IF(Y296=regle!$G$11,regle!$G$23,
IF(Y296=regle!$H$11,regle!$H$23,
IF(Y296=regle!$I$11,regle!$I$23,
IF(Y296=regle!$J$11,regle!$J$23,
IF(Y296=regle!$K$11,regle!$K$23,0))))))))))))</f>
        <v>2584.7039999999997</v>
      </c>
      <c r="AJ296" s="17">
        <f>IF($A296,$J296*(IF(Z296=regle!$B$11,regle!$B$23*IF(AS296=-2,1+regle!$B$35,1),
IF(Z296=regle!$C$11,regle!$C$23,
IF(Z296=regle!$D$11,regle!$D$23,
IF(Z296=regle!$E$11,regle!$E$23,
IF(Z296=regle!$F$11,regle!$F$23,
IF(Z296=regle!$G$11,regle!$G$23,
IF(Z296=regle!$H$11,regle!$H$23,
IF(Z296=regle!$I$11,regle!$I$23,
IF(Z296=regle!$J$11,regle!$J$23,
IF(Z296=regle!$K$11,regle!$K$23,0))))))))))))</f>
        <v>0</v>
      </c>
      <c r="AK296" s="16">
        <f>IF(OR(Q296=regle!$J$11,Q296=regle!$K$11),-2,IF(Q296=regle!$B$11,0,IF(AK$1=$AK$1,IF($O296,-1,regle!$B$2-$M296),IF(AJ296=-1,-1,AJ296+1))))</f>
        <v>19</v>
      </c>
      <c r="AL296" s="16">
        <f>IF(OR(R296=regle!$J$11,R296=regle!$K$11),-2,IF(R296=regle!$B$11,0,IF(AL$1=$AK$1,IF($O296,-1,regle!$B$2-$M296),IF(AK296=-1,-1,AK296+1))))</f>
        <v>20</v>
      </c>
      <c r="AM296" s="16">
        <f>IF(OR(S296=regle!$J$11,S296=regle!$K$11),-2,IF(S296=regle!$B$11,0,IF(AM$1=$AK$1,IF($O296,-1,regle!$B$2-$M296),IF(AL296=-1,-1,AL296+1))))</f>
        <v>21</v>
      </c>
      <c r="AN296" s="16">
        <f>IF(OR(T296=regle!$J$11,T296=regle!$K$11),-2,IF(T296=regle!$B$11,0,IF(AN$1=$AK$1,IF($O296,-1,regle!$B$2-$M296),IF(AM296=-1,-1,AM296+1))))</f>
        <v>22</v>
      </c>
      <c r="AO296" s="16">
        <f>IF(OR(U296=regle!$J$11,U296=regle!$K$11),-2,IF(U296=regle!$B$11,0,IF(AO$1=$AK$1,IF($O296,-1,regle!$B$2-$M296),IF(AN296=-1,-1,AN296+1))))</f>
        <v>23</v>
      </c>
      <c r="AP296" s="16">
        <f>IF(OR(V296=regle!$J$11,V296=regle!$K$11),-2,IF(V296=regle!$B$11,0,IF(AP$1=$AK$1,IF($O296,-1,regle!$B$2-$M296),IF(AO296=-1,-1,AO296+1))))</f>
        <v>24</v>
      </c>
      <c r="AQ296" s="16">
        <f>IF(OR(W296=regle!$J$11,W296=regle!$K$11),-2,IF(W296=regle!$B$11,0,IF(AQ$1=$AK$1,IF($O296,-1,regle!$B$2-$M296),IF(AP296=-1,-1,AP296+1))))</f>
        <v>25</v>
      </c>
      <c r="AR296" s="16">
        <f>IF(OR(X296=regle!$J$11,X296=regle!$K$11),-2,IF(X296=regle!$B$11,0,IF(AR$1=$AK$1,IF($O296,-1,regle!$B$2-$M296),IF(AQ296=-1,-1,AQ296+1))))</f>
        <v>26</v>
      </c>
      <c r="AS296" s="16">
        <f>IF(OR(Y296=regle!$J$11,Y296=regle!$K$11),-2,IF(Y296=regle!$B$11,0,IF(AS$1=$AK$1,IF($O296,-1,regle!$B$2-$M296),IF(AR296=-1,-1,AR296+1))))</f>
        <v>27</v>
      </c>
      <c r="AT296" s="16">
        <f>IF(OR(Z296=regle!$J$11,Z296=regle!$K$11),-2,IF(Z296=regle!$B$11,0,IF(AT$1=$AK$1,IF($O296,-1,regle!$B$2-$M296),IF(AS296=-1,-1,AS296+1))))</f>
        <v>28</v>
      </c>
    </row>
    <row r="297" spans="1:46" x14ac:dyDescent="0.25">
      <c r="A297" t="b">
        <f>modif1!A297</f>
        <v>1</v>
      </c>
      <c r="B297">
        <f>ROW(modif1!B297)</f>
        <v>297</v>
      </c>
      <c r="C297" t="str">
        <f>modif1!C300</f>
        <v>536</v>
      </c>
      <c r="D297" t="str">
        <f>modif1!D297</f>
        <v>LE TUZAN</v>
      </c>
      <c r="E297">
        <f>modif1!E297</f>
        <v>21</v>
      </c>
      <c r="F297" t="str">
        <f>modif1!F297</f>
        <v>METAIRIES DE TABARTON</v>
      </c>
      <c r="G297" t="str">
        <f>modif1!G297</f>
        <v>0A</v>
      </c>
      <c r="H297">
        <f>modif1!H297</f>
        <v>847</v>
      </c>
      <c r="I297" t="str">
        <f>modif1!I297</f>
        <v>kj</v>
      </c>
      <c r="J297" s="11">
        <f>modif1!J297</f>
        <v>2.0122</v>
      </c>
      <c r="K297" t="str">
        <f>modif1!K297</f>
        <v>PLA</v>
      </c>
      <c r="L297" t="str">
        <f>modif1!L297</f>
        <v>PM</v>
      </c>
      <c r="M297">
        <f>modif1!M297</f>
        <v>2005</v>
      </c>
      <c r="N297" t="str">
        <f>modif1!N297</f>
        <v>PLA-PM_2005</v>
      </c>
      <c r="O297" t="b">
        <f>modif1!O297</f>
        <v>0</v>
      </c>
      <c r="P297">
        <v>40</v>
      </c>
      <c r="T297" t="s">
        <v>1805</v>
      </c>
      <c r="Y297" t="s">
        <v>1806</v>
      </c>
      <c r="Z297"/>
      <c r="AA297" s="17">
        <f>IF($A297,$J297*(IF(Q297=regle!$B$11,regle!$B$23*IF(AJ297=-2,1+regle!$B$35,1),
IF(Q297=regle!$C$11,regle!$C$23,
IF(Q297=regle!$D$11,regle!$D$23,
IF(Q297=regle!$E$11,regle!$E$23,
IF(Q297=regle!$F$11,regle!$F$23,
IF(Q297=regle!$G$11,regle!$G$23,
IF(Q297=regle!$H$11,regle!$H$23,
IF(Q297=regle!$I$11,regle!$I$23,
IF(Q297=regle!$J$11,regle!$J$23,
IF(Q297=regle!$K$11,regle!$K$23,0))))))))))))</f>
        <v>0</v>
      </c>
      <c r="AB297" s="17">
        <f>IF($A297,$J297*(IF(R297=regle!$B$11,regle!$B$23*IF(AK297=-2,1+regle!$B$35,1),
IF(R297=regle!$C$11,regle!$C$23,
IF(R297=regle!$D$11,regle!$D$23,
IF(R297=regle!$E$11,regle!$E$23,
IF(R297=regle!$F$11,regle!$F$23,
IF(R297=regle!$G$11,regle!$G$23,
IF(R297=regle!$H$11,regle!$H$23,
IF(R297=regle!$I$11,regle!$I$23,
IF(R297=regle!$J$11,regle!$J$23,
IF(R297=regle!$K$11,regle!$K$23,0))))))))))))</f>
        <v>0</v>
      </c>
      <c r="AC297" s="17">
        <f>IF($A297,$J297*(IF(S297=regle!$B$11,regle!$B$23*IF(AL297=-2,1+regle!$B$35,1),
IF(S297=regle!$C$11,regle!$C$23,
IF(S297=regle!$D$11,regle!$D$23,
IF(S297=regle!$E$11,regle!$E$23,
IF(S297=regle!$F$11,regle!$F$23,
IF(S297=regle!$G$11,regle!$G$23,
IF(S297=regle!$H$11,regle!$H$23,
IF(S297=regle!$I$11,regle!$I$23,
IF(S297=regle!$J$11,regle!$J$23,
IF(S297=regle!$K$11,regle!$K$23,0))))))))))))</f>
        <v>0</v>
      </c>
      <c r="AD297" s="17">
        <f>IF($A297,$J297*(IF(T297=regle!$B$11,regle!$B$23*IF(AM297=-2,1+regle!$B$35,1),
IF(T297=regle!$C$11,regle!$C$23,
IF(T297=regle!$D$11,regle!$D$23,
IF(T297=regle!$E$11,regle!$E$23,
IF(T297=regle!$F$11,regle!$F$23,
IF(T297=regle!$G$11,regle!$G$23,
IF(T297=regle!$H$11,regle!$H$23,
IF(T297=regle!$I$11,regle!$I$23,
IF(T297=regle!$J$11,regle!$J$23,
IF(T297=regle!$K$11,regle!$K$23,0))))))))))))</f>
        <v>2833.1776</v>
      </c>
      <c r="AE297" s="17">
        <f>IF($A297,$J297*(IF(U297=regle!$B$11,regle!$B$23*IF(AN297=-2,1+regle!$B$35,1),
IF(U297=regle!$C$11,regle!$C$23,
IF(U297=regle!$D$11,regle!$D$23,
IF(U297=regle!$E$11,regle!$E$23,
IF(U297=regle!$F$11,regle!$F$23,
IF(U297=regle!$G$11,regle!$G$23,
IF(U297=regle!$H$11,regle!$H$23,
IF(U297=regle!$I$11,regle!$I$23,
IF(U297=regle!$J$11,regle!$J$23,
IF(U297=regle!$K$11,regle!$K$23,0))))))))))))</f>
        <v>0</v>
      </c>
      <c r="AF297" s="17">
        <f>IF($A297,$J297*(IF(V297=regle!$B$11,regle!$B$23*IF(AO297=-2,1+regle!$B$35,1),
IF(V297=regle!$C$11,regle!$C$23,
IF(V297=regle!$D$11,regle!$D$23,
IF(V297=regle!$E$11,regle!$E$23,
IF(V297=regle!$F$11,regle!$F$23,
IF(V297=regle!$G$11,regle!$G$23,
IF(V297=regle!$H$11,regle!$H$23,
IF(V297=regle!$I$11,regle!$I$23,
IF(V297=regle!$J$11,regle!$J$23,
IF(V297=regle!$K$11,regle!$K$23,0))))))))))))</f>
        <v>0</v>
      </c>
      <c r="AG297" s="17">
        <f>IF($A297,$J297*(IF(W297=regle!$B$11,regle!$B$23*IF(AP297=-2,1+regle!$B$35,1),
IF(W297=regle!$C$11,regle!$C$23,
IF(W297=regle!$D$11,regle!$D$23,
IF(W297=regle!$E$11,regle!$E$23,
IF(W297=regle!$F$11,regle!$F$23,
IF(W297=regle!$G$11,regle!$G$23,
IF(W297=regle!$H$11,regle!$H$23,
IF(W297=regle!$I$11,regle!$I$23,
IF(W297=regle!$J$11,regle!$J$23,
IF(W297=regle!$K$11,regle!$K$23,0))))))))))))</f>
        <v>0</v>
      </c>
      <c r="AH297" s="17">
        <f>IF($A297,$J297*(IF(X297=regle!$B$11,regle!$B$23*IF(AQ297=-2,1+regle!$B$35,1),
IF(X297=regle!$C$11,regle!$C$23,
IF(X297=regle!$D$11,regle!$D$23,
IF(X297=regle!$E$11,regle!$E$23,
IF(X297=regle!$F$11,regle!$F$23,
IF(X297=regle!$G$11,regle!$G$23,
IF(X297=regle!$H$11,regle!$H$23,
IF(X297=regle!$I$11,regle!$I$23,
IF(X297=regle!$J$11,regle!$J$23,
IF(X297=regle!$K$11,regle!$K$23,0))))))))))))</f>
        <v>0</v>
      </c>
      <c r="AI297" s="17">
        <f>IF($A297,$J297*(IF(Y297=regle!$B$11,regle!$B$23*IF(AR297=-2,1+regle!$B$35,1),
IF(Y297=regle!$C$11,regle!$C$23,
IF(Y297=regle!$D$11,regle!$D$23,
IF(Y297=regle!$E$11,regle!$E$23,
IF(Y297=regle!$F$11,regle!$F$23,
IF(Y297=regle!$G$11,regle!$G$23,
IF(Y297=regle!$H$11,regle!$H$23,
IF(Y297=regle!$I$11,regle!$I$23,
IF(Y297=regle!$J$11,regle!$J$23,
IF(Y297=regle!$K$11,regle!$K$23,0))))))))))))</f>
        <v>2575.616</v>
      </c>
      <c r="AJ297" s="17">
        <f>IF($A297,$J297*(IF(Z297=regle!$B$11,regle!$B$23*IF(AS297=-2,1+regle!$B$35,1),
IF(Z297=regle!$C$11,regle!$C$23,
IF(Z297=regle!$D$11,regle!$D$23,
IF(Z297=regle!$E$11,regle!$E$23,
IF(Z297=regle!$F$11,regle!$F$23,
IF(Z297=regle!$G$11,regle!$G$23,
IF(Z297=regle!$H$11,regle!$H$23,
IF(Z297=regle!$I$11,regle!$I$23,
IF(Z297=regle!$J$11,regle!$J$23,
IF(Z297=regle!$K$11,regle!$K$23,0))))))))))))</f>
        <v>0</v>
      </c>
      <c r="AK297" s="16">
        <f>IF(OR(Q297=regle!$J$11,Q297=regle!$K$11),-2,IF(Q297=regle!$B$11,0,IF(AK$1=$AK$1,IF($O297,-1,regle!$B$2-$M297),IF(AJ297=-1,-1,AJ297+1))))</f>
        <v>19</v>
      </c>
      <c r="AL297" s="16">
        <f>IF(OR(R297=regle!$J$11,R297=regle!$K$11),-2,IF(R297=regle!$B$11,0,IF(AL$1=$AK$1,IF($O297,-1,regle!$B$2-$M297),IF(AK297=-1,-1,AK297+1))))</f>
        <v>20</v>
      </c>
      <c r="AM297" s="16">
        <f>IF(OR(S297=regle!$J$11,S297=regle!$K$11),-2,IF(S297=regle!$B$11,0,IF(AM$1=$AK$1,IF($O297,-1,regle!$B$2-$M297),IF(AL297=-1,-1,AL297+1))))</f>
        <v>21</v>
      </c>
      <c r="AN297" s="16">
        <f>IF(OR(T297=regle!$J$11,T297=regle!$K$11),-2,IF(T297=regle!$B$11,0,IF(AN$1=$AK$1,IF($O297,-1,regle!$B$2-$M297),IF(AM297=-1,-1,AM297+1))))</f>
        <v>22</v>
      </c>
      <c r="AO297" s="16">
        <f>IF(OR(U297=regle!$J$11,U297=regle!$K$11),-2,IF(U297=regle!$B$11,0,IF(AO$1=$AK$1,IF($O297,-1,regle!$B$2-$M297),IF(AN297=-1,-1,AN297+1))))</f>
        <v>23</v>
      </c>
      <c r="AP297" s="16">
        <f>IF(OR(V297=regle!$J$11,V297=regle!$K$11),-2,IF(V297=regle!$B$11,0,IF(AP$1=$AK$1,IF($O297,-1,regle!$B$2-$M297),IF(AO297=-1,-1,AO297+1))))</f>
        <v>24</v>
      </c>
      <c r="AQ297" s="16">
        <f>IF(OR(W297=regle!$J$11,W297=regle!$K$11),-2,IF(W297=regle!$B$11,0,IF(AQ$1=$AK$1,IF($O297,-1,regle!$B$2-$M297),IF(AP297=-1,-1,AP297+1))))</f>
        <v>25</v>
      </c>
      <c r="AR297" s="16">
        <f>IF(OR(X297=regle!$J$11,X297=regle!$K$11),-2,IF(X297=regle!$B$11,0,IF(AR$1=$AK$1,IF($O297,-1,regle!$B$2-$M297),IF(AQ297=-1,-1,AQ297+1))))</f>
        <v>26</v>
      </c>
      <c r="AS297" s="16">
        <f>IF(OR(Y297=regle!$J$11,Y297=regle!$K$11),-2,IF(Y297=regle!$B$11,0,IF(AS$1=$AK$1,IF($O297,-1,regle!$B$2-$M297),IF(AR297=-1,-1,AR297+1))))</f>
        <v>27</v>
      </c>
      <c r="AT297" s="16">
        <f>IF(OR(Z297=regle!$J$11,Z297=regle!$K$11),-2,IF(Z297=regle!$B$11,0,IF(AT$1=$AK$1,IF($O297,-1,regle!$B$2-$M297),IF(AS297=-1,-1,AS297+1))))</f>
        <v>28</v>
      </c>
    </row>
    <row r="298" spans="1:46" x14ac:dyDescent="0.25">
      <c r="A298" t="b">
        <f>modif1!A298</f>
        <v>1</v>
      </c>
      <c r="B298">
        <f>ROW(modif1!B298)</f>
        <v>298</v>
      </c>
      <c r="C298" t="str">
        <f>modif1!C301</f>
        <v>197</v>
      </c>
      <c r="D298" t="str">
        <f>modif1!D298</f>
        <v>LE TUZAN</v>
      </c>
      <c r="E298">
        <f>modif1!E298</f>
        <v>21</v>
      </c>
      <c r="F298" t="str">
        <f>modif1!F298</f>
        <v>METAIRIES DE TABARTON</v>
      </c>
      <c r="G298" t="str">
        <f>modif1!G298</f>
        <v>0A</v>
      </c>
      <c r="H298">
        <f>modif1!H298</f>
        <v>523</v>
      </c>
      <c r="I298" t="str">
        <f>modif1!I298</f>
        <v>x</v>
      </c>
      <c r="J298" s="11">
        <f>modif1!J298</f>
        <v>1.7747999999999999</v>
      </c>
      <c r="K298" t="str">
        <f>modif1!K298</f>
        <v>PLA</v>
      </c>
      <c r="L298" t="str">
        <f>modif1!L298</f>
        <v>PM</v>
      </c>
      <c r="M298">
        <f>modif1!M298</f>
        <v>2005</v>
      </c>
      <c r="N298" t="str">
        <f>modif1!N298</f>
        <v>PLA-PM_2005</v>
      </c>
      <c r="O298" t="b">
        <f>modif1!O298</f>
        <v>0</v>
      </c>
      <c r="P298">
        <v>40</v>
      </c>
      <c r="T298" t="s">
        <v>1805</v>
      </c>
      <c r="Y298" t="s">
        <v>1806</v>
      </c>
      <c r="Z298"/>
      <c r="AA298" s="17">
        <f>IF($A298,$J298*(IF(Q298=regle!$B$11,regle!$B$23*IF(AJ298=-2,1+regle!$B$35,1),
IF(Q298=regle!$C$11,regle!$C$23,
IF(Q298=regle!$D$11,regle!$D$23,
IF(Q298=regle!$E$11,regle!$E$23,
IF(Q298=regle!$F$11,regle!$F$23,
IF(Q298=regle!$G$11,regle!$G$23,
IF(Q298=regle!$H$11,regle!$H$23,
IF(Q298=regle!$I$11,regle!$I$23,
IF(Q298=regle!$J$11,regle!$J$23,
IF(Q298=regle!$K$11,regle!$K$23,0))))))))))))</f>
        <v>0</v>
      </c>
      <c r="AB298" s="17">
        <f>IF($A298,$J298*(IF(R298=regle!$B$11,regle!$B$23*IF(AK298=-2,1+regle!$B$35,1),
IF(R298=regle!$C$11,regle!$C$23,
IF(R298=regle!$D$11,regle!$D$23,
IF(R298=regle!$E$11,regle!$E$23,
IF(R298=regle!$F$11,regle!$F$23,
IF(R298=regle!$G$11,regle!$G$23,
IF(R298=regle!$H$11,regle!$H$23,
IF(R298=regle!$I$11,regle!$I$23,
IF(R298=regle!$J$11,regle!$J$23,
IF(R298=regle!$K$11,regle!$K$23,0))))))))))))</f>
        <v>0</v>
      </c>
      <c r="AC298" s="17">
        <f>IF($A298,$J298*(IF(S298=regle!$B$11,regle!$B$23*IF(AL298=-2,1+regle!$B$35,1),
IF(S298=regle!$C$11,regle!$C$23,
IF(S298=regle!$D$11,regle!$D$23,
IF(S298=regle!$E$11,regle!$E$23,
IF(S298=regle!$F$11,regle!$F$23,
IF(S298=regle!$G$11,regle!$G$23,
IF(S298=regle!$H$11,regle!$H$23,
IF(S298=regle!$I$11,regle!$I$23,
IF(S298=regle!$J$11,regle!$J$23,
IF(S298=regle!$K$11,regle!$K$23,0))))))))))))</f>
        <v>0</v>
      </c>
      <c r="AD298" s="17">
        <f>IF($A298,$J298*(IF(T298=regle!$B$11,regle!$B$23*IF(AM298=-2,1+regle!$B$35,1),
IF(T298=regle!$C$11,regle!$C$23,
IF(T298=regle!$D$11,regle!$D$23,
IF(T298=regle!$E$11,regle!$E$23,
IF(T298=regle!$F$11,regle!$F$23,
IF(T298=regle!$G$11,regle!$G$23,
IF(T298=regle!$H$11,regle!$H$23,
IF(T298=regle!$I$11,regle!$I$23,
IF(T298=regle!$J$11,regle!$J$23,
IF(T298=regle!$K$11,regle!$K$23,0))))))))))))</f>
        <v>2498.9184</v>
      </c>
      <c r="AE298" s="17">
        <f>IF($A298,$J298*(IF(U298=regle!$B$11,regle!$B$23*IF(AN298=-2,1+regle!$B$35,1),
IF(U298=regle!$C$11,regle!$C$23,
IF(U298=regle!$D$11,regle!$D$23,
IF(U298=regle!$E$11,regle!$E$23,
IF(U298=regle!$F$11,regle!$F$23,
IF(U298=regle!$G$11,regle!$G$23,
IF(U298=regle!$H$11,regle!$H$23,
IF(U298=regle!$I$11,regle!$I$23,
IF(U298=regle!$J$11,regle!$J$23,
IF(U298=regle!$K$11,regle!$K$23,0))))))))))))</f>
        <v>0</v>
      </c>
      <c r="AF298" s="17">
        <f>IF($A298,$J298*(IF(V298=regle!$B$11,regle!$B$23*IF(AO298=-2,1+regle!$B$35,1),
IF(V298=regle!$C$11,regle!$C$23,
IF(V298=regle!$D$11,regle!$D$23,
IF(V298=regle!$E$11,regle!$E$23,
IF(V298=regle!$F$11,regle!$F$23,
IF(V298=regle!$G$11,regle!$G$23,
IF(V298=regle!$H$11,regle!$H$23,
IF(V298=regle!$I$11,regle!$I$23,
IF(V298=regle!$J$11,regle!$J$23,
IF(V298=regle!$K$11,regle!$K$23,0))))))))))))</f>
        <v>0</v>
      </c>
      <c r="AG298" s="17">
        <f>IF($A298,$J298*(IF(W298=regle!$B$11,regle!$B$23*IF(AP298=-2,1+regle!$B$35,1),
IF(W298=regle!$C$11,regle!$C$23,
IF(W298=regle!$D$11,regle!$D$23,
IF(W298=regle!$E$11,regle!$E$23,
IF(W298=regle!$F$11,regle!$F$23,
IF(W298=regle!$G$11,regle!$G$23,
IF(W298=regle!$H$11,regle!$H$23,
IF(W298=regle!$I$11,regle!$I$23,
IF(W298=regle!$J$11,regle!$J$23,
IF(W298=regle!$K$11,regle!$K$23,0))))))))))))</f>
        <v>0</v>
      </c>
      <c r="AH298" s="17">
        <f>IF($A298,$J298*(IF(X298=regle!$B$11,regle!$B$23*IF(AQ298=-2,1+regle!$B$35,1),
IF(X298=regle!$C$11,regle!$C$23,
IF(X298=regle!$D$11,regle!$D$23,
IF(X298=regle!$E$11,regle!$E$23,
IF(X298=regle!$F$11,regle!$F$23,
IF(X298=regle!$G$11,regle!$G$23,
IF(X298=regle!$H$11,regle!$H$23,
IF(X298=regle!$I$11,regle!$I$23,
IF(X298=regle!$J$11,regle!$J$23,
IF(X298=regle!$K$11,regle!$K$23,0))))))))))))</f>
        <v>0</v>
      </c>
      <c r="AI298" s="17">
        <f>IF($A298,$J298*(IF(Y298=regle!$B$11,regle!$B$23*IF(AR298=-2,1+regle!$B$35,1),
IF(Y298=regle!$C$11,regle!$C$23,
IF(Y298=regle!$D$11,regle!$D$23,
IF(Y298=regle!$E$11,regle!$E$23,
IF(Y298=regle!$F$11,regle!$F$23,
IF(Y298=regle!$G$11,regle!$G$23,
IF(Y298=regle!$H$11,regle!$H$23,
IF(Y298=regle!$I$11,regle!$I$23,
IF(Y298=regle!$J$11,regle!$J$23,
IF(Y298=regle!$K$11,regle!$K$23,0))))))))))))</f>
        <v>2271.7439999999997</v>
      </c>
      <c r="AJ298" s="17">
        <f>IF($A298,$J298*(IF(Z298=regle!$B$11,regle!$B$23*IF(AS298=-2,1+regle!$B$35,1),
IF(Z298=regle!$C$11,regle!$C$23,
IF(Z298=regle!$D$11,regle!$D$23,
IF(Z298=regle!$E$11,regle!$E$23,
IF(Z298=regle!$F$11,regle!$F$23,
IF(Z298=regle!$G$11,regle!$G$23,
IF(Z298=regle!$H$11,regle!$H$23,
IF(Z298=regle!$I$11,regle!$I$23,
IF(Z298=regle!$J$11,regle!$J$23,
IF(Z298=regle!$K$11,regle!$K$23,0))))))))))))</f>
        <v>0</v>
      </c>
      <c r="AK298" s="16">
        <f>IF(OR(Q298=regle!$J$11,Q298=regle!$K$11),-2,IF(Q298=regle!$B$11,0,IF(AK$1=$AK$1,IF($O298,-1,regle!$B$2-$M298),IF(AJ298=-1,-1,AJ298+1))))</f>
        <v>19</v>
      </c>
      <c r="AL298" s="16">
        <f>IF(OR(R298=regle!$J$11,R298=regle!$K$11),-2,IF(R298=regle!$B$11,0,IF(AL$1=$AK$1,IF($O298,-1,regle!$B$2-$M298),IF(AK298=-1,-1,AK298+1))))</f>
        <v>20</v>
      </c>
      <c r="AM298" s="16">
        <f>IF(OR(S298=regle!$J$11,S298=regle!$K$11),-2,IF(S298=regle!$B$11,0,IF(AM$1=$AK$1,IF($O298,-1,regle!$B$2-$M298),IF(AL298=-1,-1,AL298+1))))</f>
        <v>21</v>
      </c>
      <c r="AN298" s="16">
        <f>IF(OR(T298=regle!$J$11,T298=regle!$K$11),-2,IF(T298=regle!$B$11,0,IF(AN$1=$AK$1,IF($O298,-1,regle!$B$2-$M298),IF(AM298=-1,-1,AM298+1))))</f>
        <v>22</v>
      </c>
      <c r="AO298" s="16">
        <f>IF(OR(U298=regle!$J$11,U298=regle!$K$11),-2,IF(U298=regle!$B$11,0,IF(AO$1=$AK$1,IF($O298,-1,regle!$B$2-$M298),IF(AN298=-1,-1,AN298+1))))</f>
        <v>23</v>
      </c>
      <c r="AP298" s="16">
        <f>IF(OR(V298=regle!$J$11,V298=regle!$K$11),-2,IF(V298=regle!$B$11,0,IF(AP$1=$AK$1,IF($O298,-1,regle!$B$2-$M298),IF(AO298=-1,-1,AO298+1))))</f>
        <v>24</v>
      </c>
      <c r="AQ298" s="16">
        <f>IF(OR(W298=regle!$J$11,W298=regle!$K$11),-2,IF(W298=regle!$B$11,0,IF(AQ$1=$AK$1,IF($O298,-1,regle!$B$2-$M298),IF(AP298=-1,-1,AP298+1))))</f>
        <v>25</v>
      </c>
      <c r="AR298" s="16">
        <f>IF(OR(X298=regle!$J$11,X298=regle!$K$11),-2,IF(X298=regle!$B$11,0,IF(AR$1=$AK$1,IF($O298,-1,regle!$B$2-$M298),IF(AQ298=-1,-1,AQ298+1))))</f>
        <v>26</v>
      </c>
      <c r="AS298" s="16">
        <f>IF(OR(Y298=regle!$J$11,Y298=regle!$K$11),-2,IF(Y298=regle!$B$11,0,IF(AS$1=$AK$1,IF($O298,-1,regle!$B$2-$M298),IF(AR298=-1,-1,AR298+1))))</f>
        <v>27</v>
      </c>
      <c r="AT298" s="16">
        <f>IF(OR(Z298=regle!$J$11,Z298=regle!$K$11),-2,IF(Z298=regle!$B$11,0,IF(AT$1=$AK$1,IF($O298,-1,regle!$B$2-$M298),IF(AS298=-1,-1,AS298+1))))</f>
        <v>28</v>
      </c>
    </row>
    <row r="299" spans="1:46" x14ac:dyDescent="0.25">
      <c r="A299" t="b">
        <f>modif1!A299</f>
        <v>1</v>
      </c>
      <c r="B299">
        <f>ROW(modif1!B299)</f>
        <v>299</v>
      </c>
      <c r="C299" t="str">
        <f>modif1!C302</f>
        <v>077</v>
      </c>
      <c r="D299" t="str">
        <f>modif1!D299</f>
        <v>GUILLOS</v>
      </c>
      <c r="E299">
        <f>modif1!E299</f>
        <v>22</v>
      </c>
      <c r="F299" t="str">
        <f>modif1!F299</f>
        <v>LE TRETIN DES JEANNOTS</v>
      </c>
      <c r="G299" t="str">
        <f>modif1!G299</f>
        <v>0A</v>
      </c>
      <c r="H299">
        <f>modif1!H299</f>
        <v>878</v>
      </c>
      <c r="I299" t="str">
        <f>modif1!I299</f>
        <v>l</v>
      </c>
      <c r="J299" s="11">
        <f>modif1!J299</f>
        <v>1.7087000000000001</v>
      </c>
      <c r="K299" t="str">
        <f>modif1!K299</f>
        <v>PLA</v>
      </c>
      <c r="L299" t="str">
        <f>modif1!L299</f>
        <v>PM</v>
      </c>
      <c r="M299">
        <f>modif1!M299</f>
        <v>2005</v>
      </c>
      <c r="N299" t="str">
        <f>modif1!N299</f>
        <v>PLA-PM_2005</v>
      </c>
      <c r="O299" t="b">
        <f>modif1!O299</f>
        <v>0</v>
      </c>
      <c r="P299">
        <v>40</v>
      </c>
      <c r="T299" t="s">
        <v>1805</v>
      </c>
      <c r="Y299" t="s">
        <v>1806</v>
      </c>
      <c r="Z299"/>
      <c r="AA299" s="17">
        <f>IF($A299,$J299*(IF(Q299=regle!$B$11,regle!$B$23*IF(AJ299=-2,1+regle!$B$35,1),
IF(Q299=regle!$C$11,regle!$C$23,
IF(Q299=regle!$D$11,regle!$D$23,
IF(Q299=regle!$E$11,regle!$E$23,
IF(Q299=regle!$F$11,regle!$F$23,
IF(Q299=regle!$G$11,regle!$G$23,
IF(Q299=regle!$H$11,regle!$H$23,
IF(Q299=regle!$I$11,regle!$I$23,
IF(Q299=regle!$J$11,regle!$J$23,
IF(Q299=regle!$K$11,regle!$K$23,0))))))))))))</f>
        <v>0</v>
      </c>
      <c r="AB299" s="17">
        <f>IF($A299,$J299*(IF(R299=regle!$B$11,regle!$B$23*IF(AK299=-2,1+regle!$B$35,1),
IF(R299=regle!$C$11,regle!$C$23,
IF(R299=regle!$D$11,regle!$D$23,
IF(R299=regle!$E$11,regle!$E$23,
IF(R299=regle!$F$11,regle!$F$23,
IF(R299=regle!$G$11,regle!$G$23,
IF(R299=regle!$H$11,regle!$H$23,
IF(R299=regle!$I$11,regle!$I$23,
IF(R299=regle!$J$11,regle!$J$23,
IF(R299=regle!$K$11,regle!$K$23,0))))))))))))</f>
        <v>0</v>
      </c>
      <c r="AC299" s="17">
        <f>IF($A299,$J299*(IF(S299=regle!$B$11,regle!$B$23*IF(AL299=-2,1+regle!$B$35,1),
IF(S299=regle!$C$11,regle!$C$23,
IF(S299=regle!$D$11,regle!$D$23,
IF(S299=regle!$E$11,regle!$E$23,
IF(S299=regle!$F$11,regle!$F$23,
IF(S299=regle!$G$11,regle!$G$23,
IF(S299=regle!$H$11,regle!$H$23,
IF(S299=regle!$I$11,regle!$I$23,
IF(S299=regle!$J$11,regle!$J$23,
IF(S299=regle!$K$11,regle!$K$23,0))))))))))))</f>
        <v>0</v>
      </c>
      <c r="AD299" s="17">
        <f>IF($A299,$J299*(IF(T299=regle!$B$11,regle!$B$23*IF(AM299=-2,1+regle!$B$35,1),
IF(T299=regle!$C$11,regle!$C$23,
IF(T299=regle!$D$11,regle!$D$23,
IF(T299=regle!$E$11,regle!$E$23,
IF(T299=regle!$F$11,regle!$F$23,
IF(T299=regle!$G$11,regle!$G$23,
IF(T299=regle!$H$11,regle!$H$23,
IF(T299=regle!$I$11,regle!$I$23,
IF(T299=regle!$J$11,regle!$J$23,
IF(T299=regle!$K$11,regle!$K$23,0))))))))))))</f>
        <v>2405.8496</v>
      </c>
      <c r="AE299" s="17">
        <f>IF($A299,$J299*(IF(U299=regle!$B$11,regle!$B$23*IF(AN299=-2,1+regle!$B$35,1),
IF(U299=regle!$C$11,regle!$C$23,
IF(U299=regle!$D$11,regle!$D$23,
IF(U299=regle!$E$11,regle!$E$23,
IF(U299=regle!$F$11,regle!$F$23,
IF(U299=regle!$G$11,regle!$G$23,
IF(U299=regle!$H$11,regle!$H$23,
IF(U299=regle!$I$11,regle!$I$23,
IF(U299=regle!$J$11,regle!$J$23,
IF(U299=regle!$K$11,regle!$K$23,0))))))))))))</f>
        <v>0</v>
      </c>
      <c r="AF299" s="17">
        <f>IF($A299,$J299*(IF(V299=regle!$B$11,regle!$B$23*IF(AO299=-2,1+regle!$B$35,1),
IF(V299=regle!$C$11,regle!$C$23,
IF(V299=regle!$D$11,regle!$D$23,
IF(V299=regle!$E$11,regle!$E$23,
IF(V299=regle!$F$11,regle!$F$23,
IF(V299=regle!$G$11,regle!$G$23,
IF(V299=regle!$H$11,regle!$H$23,
IF(V299=regle!$I$11,regle!$I$23,
IF(V299=regle!$J$11,regle!$J$23,
IF(V299=regle!$K$11,regle!$K$23,0))))))))))))</f>
        <v>0</v>
      </c>
      <c r="AG299" s="17">
        <f>IF($A299,$J299*(IF(W299=regle!$B$11,regle!$B$23*IF(AP299=-2,1+regle!$B$35,1),
IF(W299=regle!$C$11,regle!$C$23,
IF(W299=regle!$D$11,regle!$D$23,
IF(W299=regle!$E$11,regle!$E$23,
IF(W299=regle!$F$11,regle!$F$23,
IF(W299=regle!$G$11,regle!$G$23,
IF(W299=regle!$H$11,regle!$H$23,
IF(W299=regle!$I$11,regle!$I$23,
IF(W299=regle!$J$11,regle!$J$23,
IF(W299=regle!$K$11,regle!$K$23,0))))))))))))</f>
        <v>0</v>
      </c>
      <c r="AH299" s="17">
        <f>IF($A299,$J299*(IF(X299=regle!$B$11,regle!$B$23*IF(AQ299=-2,1+regle!$B$35,1),
IF(X299=regle!$C$11,regle!$C$23,
IF(X299=regle!$D$11,regle!$D$23,
IF(X299=regle!$E$11,regle!$E$23,
IF(X299=regle!$F$11,regle!$F$23,
IF(X299=regle!$G$11,regle!$G$23,
IF(X299=regle!$H$11,regle!$H$23,
IF(X299=regle!$I$11,regle!$I$23,
IF(X299=regle!$J$11,regle!$J$23,
IF(X299=regle!$K$11,regle!$K$23,0))))))))))))</f>
        <v>0</v>
      </c>
      <c r="AI299" s="17">
        <f>IF($A299,$J299*(IF(Y299=regle!$B$11,regle!$B$23*IF(AR299=-2,1+regle!$B$35,1),
IF(Y299=regle!$C$11,regle!$C$23,
IF(Y299=regle!$D$11,regle!$D$23,
IF(Y299=regle!$E$11,regle!$E$23,
IF(Y299=regle!$F$11,regle!$F$23,
IF(Y299=regle!$G$11,regle!$G$23,
IF(Y299=regle!$H$11,regle!$H$23,
IF(Y299=regle!$I$11,regle!$I$23,
IF(Y299=regle!$J$11,regle!$J$23,
IF(Y299=regle!$K$11,regle!$K$23,0))))))))))))</f>
        <v>2187.136</v>
      </c>
      <c r="AJ299" s="17">
        <f>IF($A299,$J299*(IF(Z299=regle!$B$11,regle!$B$23*IF(AS299=-2,1+regle!$B$35,1),
IF(Z299=regle!$C$11,regle!$C$23,
IF(Z299=regle!$D$11,regle!$D$23,
IF(Z299=regle!$E$11,regle!$E$23,
IF(Z299=regle!$F$11,regle!$F$23,
IF(Z299=regle!$G$11,regle!$G$23,
IF(Z299=regle!$H$11,regle!$H$23,
IF(Z299=regle!$I$11,regle!$I$23,
IF(Z299=regle!$J$11,regle!$J$23,
IF(Z299=regle!$K$11,regle!$K$23,0))))))))))))</f>
        <v>0</v>
      </c>
      <c r="AK299" s="16">
        <f>IF(OR(Q299=regle!$J$11,Q299=regle!$K$11),-2,IF(Q299=regle!$B$11,0,IF(AK$1=$AK$1,IF($O299,-1,regle!$B$2-$M299),IF(AJ299=-1,-1,AJ299+1))))</f>
        <v>19</v>
      </c>
      <c r="AL299" s="16">
        <f>IF(OR(R299=regle!$J$11,R299=regle!$K$11),-2,IF(R299=regle!$B$11,0,IF(AL$1=$AK$1,IF($O299,-1,regle!$B$2-$M299),IF(AK299=-1,-1,AK299+1))))</f>
        <v>20</v>
      </c>
      <c r="AM299" s="16">
        <f>IF(OR(S299=regle!$J$11,S299=regle!$K$11),-2,IF(S299=regle!$B$11,0,IF(AM$1=$AK$1,IF($O299,-1,regle!$B$2-$M299),IF(AL299=-1,-1,AL299+1))))</f>
        <v>21</v>
      </c>
      <c r="AN299" s="16">
        <f>IF(OR(T299=regle!$J$11,T299=regle!$K$11),-2,IF(T299=regle!$B$11,0,IF(AN$1=$AK$1,IF($O299,-1,regle!$B$2-$M299),IF(AM299=-1,-1,AM299+1))))</f>
        <v>22</v>
      </c>
      <c r="AO299" s="16">
        <f>IF(OR(U299=regle!$J$11,U299=regle!$K$11),-2,IF(U299=regle!$B$11,0,IF(AO$1=$AK$1,IF($O299,-1,regle!$B$2-$M299),IF(AN299=-1,-1,AN299+1))))</f>
        <v>23</v>
      </c>
      <c r="AP299" s="16">
        <f>IF(OR(V299=regle!$J$11,V299=regle!$K$11),-2,IF(V299=regle!$B$11,0,IF(AP$1=$AK$1,IF($O299,-1,regle!$B$2-$M299),IF(AO299=-1,-1,AO299+1))))</f>
        <v>24</v>
      </c>
      <c r="AQ299" s="16">
        <f>IF(OR(W299=regle!$J$11,W299=regle!$K$11),-2,IF(W299=regle!$B$11,0,IF(AQ$1=$AK$1,IF($O299,-1,regle!$B$2-$M299),IF(AP299=-1,-1,AP299+1))))</f>
        <v>25</v>
      </c>
      <c r="AR299" s="16">
        <f>IF(OR(X299=regle!$J$11,X299=regle!$K$11),-2,IF(X299=regle!$B$11,0,IF(AR$1=$AK$1,IF($O299,-1,regle!$B$2-$M299),IF(AQ299=-1,-1,AQ299+1))))</f>
        <v>26</v>
      </c>
      <c r="AS299" s="16">
        <f>IF(OR(Y299=regle!$J$11,Y299=regle!$K$11),-2,IF(Y299=regle!$B$11,0,IF(AS$1=$AK$1,IF($O299,-1,regle!$B$2-$M299),IF(AR299=-1,-1,AR299+1))))</f>
        <v>27</v>
      </c>
      <c r="AT299" s="16">
        <f>IF(OR(Z299=regle!$J$11,Z299=regle!$K$11),-2,IF(Z299=regle!$B$11,0,IF(AT$1=$AK$1,IF($O299,-1,regle!$B$2-$M299),IF(AS299=-1,-1,AS299+1))))</f>
        <v>28</v>
      </c>
    </row>
    <row r="300" spans="1:46" x14ac:dyDescent="0.25">
      <c r="A300" t="b">
        <f>modif1!A300</f>
        <v>1</v>
      </c>
      <c r="B300">
        <f>ROW(modif1!B300)</f>
        <v>300</v>
      </c>
      <c r="C300" t="str">
        <f>modif1!C303</f>
        <v>536</v>
      </c>
      <c r="D300" t="str">
        <f>modif1!D300</f>
        <v>LE TUZAN</v>
      </c>
      <c r="E300">
        <f>modif1!E300</f>
        <v>21</v>
      </c>
      <c r="F300" t="str">
        <f>modif1!F300</f>
        <v>METAIRIES DE TABARTON</v>
      </c>
      <c r="G300" t="str">
        <f>modif1!G300</f>
        <v>0A</v>
      </c>
      <c r="H300">
        <f>modif1!H300</f>
        <v>408</v>
      </c>
      <c r="I300" t="str">
        <f>modif1!I300</f>
        <v>j</v>
      </c>
      <c r="J300" s="11">
        <f>modif1!J300</f>
        <v>1.5445</v>
      </c>
      <c r="K300" t="str">
        <f>modif1!K300</f>
        <v>PLA</v>
      </c>
      <c r="L300" t="str">
        <f>modif1!L300</f>
        <v>PM</v>
      </c>
      <c r="M300">
        <f>modif1!M300</f>
        <v>2005</v>
      </c>
      <c r="N300" t="str">
        <f>modif1!N300</f>
        <v>PLA-PM_2005</v>
      </c>
      <c r="O300" t="b">
        <f>modif1!O300</f>
        <v>0</v>
      </c>
      <c r="P300">
        <v>40</v>
      </c>
      <c r="T300" t="s">
        <v>1805</v>
      </c>
      <c r="Y300" t="s">
        <v>1806</v>
      </c>
      <c r="Z300"/>
      <c r="AA300" s="17">
        <f>IF($A300,$J300*(IF(Q300=regle!$B$11,regle!$B$23*IF(AJ300=-2,1+regle!$B$35,1),
IF(Q300=regle!$C$11,regle!$C$23,
IF(Q300=regle!$D$11,regle!$D$23,
IF(Q300=regle!$E$11,regle!$E$23,
IF(Q300=regle!$F$11,regle!$F$23,
IF(Q300=regle!$G$11,regle!$G$23,
IF(Q300=regle!$H$11,regle!$H$23,
IF(Q300=regle!$I$11,regle!$I$23,
IF(Q300=regle!$J$11,regle!$J$23,
IF(Q300=regle!$K$11,regle!$K$23,0))))))))))))</f>
        <v>0</v>
      </c>
      <c r="AB300" s="17">
        <f>IF($A300,$J300*(IF(R300=regle!$B$11,regle!$B$23*IF(AK300=-2,1+regle!$B$35,1),
IF(R300=regle!$C$11,regle!$C$23,
IF(R300=regle!$D$11,regle!$D$23,
IF(R300=regle!$E$11,regle!$E$23,
IF(R300=regle!$F$11,regle!$F$23,
IF(R300=regle!$G$11,regle!$G$23,
IF(R300=regle!$H$11,regle!$H$23,
IF(R300=regle!$I$11,regle!$I$23,
IF(R300=regle!$J$11,regle!$J$23,
IF(R300=regle!$K$11,regle!$K$23,0))))))))))))</f>
        <v>0</v>
      </c>
      <c r="AC300" s="17">
        <f>IF($A300,$J300*(IF(S300=regle!$B$11,regle!$B$23*IF(AL300=-2,1+regle!$B$35,1),
IF(S300=regle!$C$11,regle!$C$23,
IF(S300=regle!$D$11,regle!$D$23,
IF(S300=regle!$E$11,regle!$E$23,
IF(S300=regle!$F$11,regle!$F$23,
IF(S300=regle!$G$11,regle!$G$23,
IF(S300=regle!$H$11,regle!$H$23,
IF(S300=regle!$I$11,regle!$I$23,
IF(S300=regle!$J$11,regle!$J$23,
IF(S300=regle!$K$11,regle!$K$23,0))))))))))))</f>
        <v>0</v>
      </c>
      <c r="AD300" s="17">
        <f>IF($A300,$J300*(IF(T300=regle!$B$11,regle!$B$23*IF(AM300=-2,1+regle!$B$35,1),
IF(T300=regle!$C$11,regle!$C$23,
IF(T300=regle!$D$11,regle!$D$23,
IF(T300=regle!$E$11,regle!$E$23,
IF(T300=regle!$F$11,regle!$F$23,
IF(T300=regle!$G$11,regle!$G$23,
IF(T300=regle!$H$11,regle!$H$23,
IF(T300=regle!$I$11,regle!$I$23,
IF(T300=regle!$J$11,regle!$J$23,
IF(T300=regle!$K$11,regle!$K$23,0))))))))))))</f>
        <v>2174.6559999999999</v>
      </c>
      <c r="AE300" s="17">
        <f>IF($A300,$J300*(IF(U300=regle!$B$11,regle!$B$23*IF(AN300=-2,1+regle!$B$35,1),
IF(U300=regle!$C$11,regle!$C$23,
IF(U300=regle!$D$11,regle!$D$23,
IF(U300=regle!$E$11,regle!$E$23,
IF(U300=regle!$F$11,regle!$F$23,
IF(U300=regle!$G$11,regle!$G$23,
IF(U300=regle!$H$11,regle!$H$23,
IF(U300=regle!$I$11,regle!$I$23,
IF(U300=regle!$J$11,regle!$J$23,
IF(U300=regle!$K$11,regle!$K$23,0))))))))))))</f>
        <v>0</v>
      </c>
      <c r="AF300" s="17">
        <f>IF($A300,$J300*(IF(V300=regle!$B$11,regle!$B$23*IF(AO300=-2,1+regle!$B$35,1),
IF(V300=regle!$C$11,regle!$C$23,
IF(V300=regle!$D$11,regle!$D$23,
IF(V300=regle!$E$11,regle!$E$23,
IF(V300=regle!$F$11,regle!$F$23,
IF(V300=regle!$G$11,regle!$G$23,
IF(V300=regle!$H$11,regle!$H$23,
IF(V300=regle!$I$11,regle!$I$23,
IF(V300=regle!$J$11,regle!$J$23,
IF(V300=regle!$K$11,regle!$K$23,0))))))))))))</f>
        <v>0</v>
      </c>
      <c r="AG300" s="17">
        <f>IF($A300,$J300*(IF(W300=regle!$B$11,regle!$B$23*IF(AP300=-2,1+regle!$B$35,1),
IF(W300=regle!$C$11,regle!$C$23,
IF(W300=regle!$D$11,regle!$D$23,
IF(W300=regle!$E$11,regle!$E$23,
IF(W300=regle!$F$11,regle!$F$23,
IF(W300=regle!$G$11,regle!$G$23,
IF(W300=regle!$H$11,regle!$H$23,
IF(W300=regle!$I$11,regle!$I$23,
IF(W300=regle!$J$11,regle!$J$23,
IF(W300=regle!$K$11,regle!$K$23,0))))))))))))</f>
        <v>0</v>
      </c>
      <c r="AH300" s="17">
        <f>IF($A300,$J300*(IF(X300=regle!$B$11,regle!$B$23*IF(AQ300=-2,1+regle!$B$35,1),
IF(X300=regle!$C$11,regle!$C$23,
IF(X300=regle!$D$11,regle!$D$23,
IF(X300=regle!$E$11,regle!$E$23,
IF(X300=regle!$F$11,regle!$F$23,
IF(X300=regle!$G$11,regle!$G$23,
IF(X300=regle!$H$11,regle!$H$23,
IF(X300=regle!$I$11,regle!$I$23,
IF(X300=regle!$J$11,regle!$J$23,
IF(X300=regle!$K$11,regle!$K$23,0))))))))))))</f>
        <v>0</v>
      </c>
      <c r="AI300" s="17">
        <f>IF($A300,$J300*(IF(Y300=regle!$B$11,regle!$B$23*IF(AR300=-2,1+regle!$B$35,1),
IF(Y300=regle!$C$11,regle!$C$23,
IF(Y300=regle!$D$11,regle!$D$23,
IF(Y300=regle!$E$11,regle!$E$23,
IF(Y300=regle!$F$11,regle!$F$23,
IF(Y300=regle!$G$11,regle!$G$23,
IF(Y300=regle!$H$11,regle!$H$23,
IF(Y300=regle!$I$11,regle!$I$23,
IF(Y300=regle!$J$11,regle!$J$23,
IF(Y300=regle!$K$11,regle!$K$23,0))))))))))))</f>
        <v>1976.96</v>
      </c>
      <c r="AJ300" s="17">
        <f>IF($A300,$J300*(IF(Z300=regle!$B$11,regle!$B$23*IF(AS300=-2,1+regle!$B$35,1),
IF(Z300=regle!$C$11,regle!$C$23,
IF(Z300=regle!$D$11,regle!$D$23,
IF(Z300=regle!$E$11,regle!$E$23,
IF(Z300=regle!$F$11,regle!$F$23,
IF(Z300=regle!$G$11,regle!$G$23,
IF(Z300=regle!$H$11,regle!$H$23,
IF(Z300=regle!$I$11,regle!$I$23,
IF(Z300=regle!$J$11,regle!$J$23,
IF(Z300=regle!$K$11,regle!$K$23,0))))))))))))</f>
        <v>0</v>
      </c>
      <c r="AK300" s="16">
        <f>IF(OR(Q300=regle!$J$11,Q300=regle!$K$11),-2,IF(Q300=regle!$B$11,0,IF(AK$1=$AK$1,IF($O300,-1,regle!$B$2-$M300),IF(AJ300=-1,-1,AJ300+1))))</f>
        <v>19</v>
      </c>
      <c r="AL300" s="16">
        <f>IF(OR(R300=regle!$J$11,R300=regle!$K$11),-2,IF(R300=regle!$B$11,0,IF(AL$1=$AK$1,IF($O300,-1,regle!$B$2-$M300),IF(AK300=-1,-1,AK300+1))))</f>
        <v>20</v>
      </c>
      <c r="AM300" s="16">
        <f>IF(OR(S300=regle!$J$11,S300=regle!$K$11),-2,IF(S300=regle!$B$11,0,IF(AM$1=$AK$1,IF($O300,-1,regle!$B$2-$M300),IF(AL300=-1,-1,AL300+1))))</f>
        <v>21</v>
      </c>
      <c r="AN300" s="16">
        <f>IF(OR(T300=regle!$J$11,T300=regle!$K$11),-2,IF(T300=regle!$B$11,0,IF(AN$1=$AK$1,IF($O300,-1,regle!$B$2-$M300),IF(AM300=-1,-1,AM300+1))))</f>
        <v>22</v>
      </c>
      <c r="AO300" s="16">
        <f>IF(OR(U300=regle!$J$11,U300=regle!$K$11),-2,IF(U300=regle!$B$11,0,IF(AO$1=$AK$1,IF($O300,-1,regle!$B$2-$M300),IF(AN300=-1,-1,AN300+1))))</f>
        <v>23</v>
      </c>
      <c r="AP300" s="16">
        <f>IF(OR(V300=regle!$J$11,V300=regle!$K$11),-2,IF(V300=regle!$B$11,0,IF(AP$1=$AK$1,IF($O300,-1,regle!$B$2-$M300),IF(AO300=-1,-1,AO300+1))))</f>
        <v>24</v>
      </c>
      <c r="AQ300" s="16">
        <f>IF(OR(W300=regle!$J$11,W300=regle!$K$11),-2,IF(W300=regle!$B$11,0,IF(AQ$1=$AK$1,IF($O300,-1,regle!$B$2-$M300),IF(AP300=-1,-1,AP300+1))))</f>
        <v>25</v>
      </c>
      <c r="AR300" s="16">
        <f>IF(OR(X300=regle!$J$11,X300=regle!$K$11),-2,IF(X300=regle!$B$11,0,IF(AR$1=$AK$1,IF($O300,-1,regle!$B$2-$M300),IF(AQ300=-1,-1,AQ300+1))))</f>
        <v>26</v>
      </c>
      <c r="AS300" s="16">
        <f>IF(OR(Y300=regle!$J$11,Y300=regle!$K$11),-2,IF(Y300=regle!$B$11,0,IF(AS$1=$AK$1,IF($O300,-1,regle!$B$2-$M300),IF(AR300=-1,-1,AR300+1))))</f>
        <v>27</v>
      </c>
      <c r="AT300" s="16">
        <f>IF(OR(Z300=regle!$J$11,Z300=regle!$K$11),-2,IF(Z300=regle!$B$11,0,IF(AT$1=$AK$1,IF($O300,-1,regle!$B$2-$M300),IF(AS300=-1,-1,AS300+1))))</f>
        <v>28</v>
      </c>
    </row>
    <row r="301" spans="1:46" x14ac:dyDescent="0.25">
      <c r="A301" t="b">
        <f>modif1!A301</f>
        <v>1</v>
      </c>
      <c r="B301">
        <f>ROW(modif1!B301)</f>
        <v>301</v>
      </c>
      <c r="C301" t="str">
        <f>modif1!C304</f>
        <v>536</v>
      </c>
      <c r="D301" t="str">
        <f>modif1!D301</f>
        <v>GUILLOS</v>
      </c>
      <c r="E301">
        <f>modif1!E301</f>
        <v>22</v>
      </c>
      <c r="F301" t="str">
        <f>modif1!F301</f>
        <v>LE TRETIN DES JEANNOTS</v>
      </c>
      <c r="G301" t="str">
        <f>modif1!G301</f>
        <v>0A</v>
      </c>
      <c r="H301">
        <f>modif1!H301</f>
        <v>878</v>
      </c>
      <c r="I301" t="str">
        <f>modif1!I301</f>
        <v>j</v>
      </c>
      <c r="J301" s="11">
        <f>modif1!J301</f>
        <v>1.3727</v>
      </c>
      <c r="K301" t="str">
        <f>modif1!K301</f>
        <v>PLA</v>
      </c>
      <c r="L301" t="str">
        <f>modif1!L301</f>
        <v>PM</v>
      </c>
      <c r="M301">
        <f>modif1!M301</f>
        <v>2005</v>
      </c>
      <c r="N301" t="str">
        <f>modif1!N301</f>
        <v>PLA-PM_2005</v>
      </c>
      <c r="O301" t="b">
        <f>modif1!O301</f>
        <v>0</v>
      </c>
      <c r="P301">
        <v>40</v>
      </c>
      <c r="W301" t="s">
        <v>1181</v>
      </c>
      <c r="X301" t="s">
        <v>1868</v>
      </c>
      <c r="Z301" t="s">
        <v>1872</v>
      </c>
      <c r="AA301" s="17">
        <f>IF($A301,$J301*(IF(Q301=regle!$B$11,regle!$B$23*IF(AJ301=-2,1+regle!$B$35,1),
IF(Q301=regle!$C$11,regle!$C$23,
IF(Q301=regle!$D$11,regle!$D$23,
IF(Q301=regle!$E$11,regle!$E$23,
IF(Q301=regle!$F$11,regle!$F$23,
IF(Q301=regle!$G$11,regle!$G$23,
IF(Q301=regle!$H$11,regle!$H$23,
IF(Q301=regle!$I$11,regle!$I$23,
IF(Q301=regle!$J$11,regle!$J$23,
IF(Q301=regle!$K$11,regle!$K$23,0))))))))))))</f>
        <v>0</v>
      </c>
      <c r="AB301" s="17">
        <f>IF($A301,$J301*(IF(R301=regle!$B$11,regle!$B$23*IF(AK301=-2,1+regle!$B$35,1),
IF(R301=regle!$C$11,regle!$C$23,
IF(R301=regle!$D$11,regle!$D$23,
IF(R301=regle!$E$11,regle!$E$23,
IF(R301=regle!$F$11,regle!$F$23,
IF(R301=regle!$G$11,regle!$G$23,
IF(R301=regle!$H$11,regle!$H$23,
IF(R301=regle!$I$11,regle!$I$23,
IF(R301=regle!$J$11,regle!$J$23,
IF(R301=regle!$K$11,regle!$K$23,0))))))))))))</f>
        <v>0</v>
      </c>
      <c r="AC301" s="17">
        <f>IF($A301,$J301*(IF(S301=regle!$B$11,regle!$B$23*IF(AL301=-2,1+regle!$B$35,1),
IF(S301=regle!$C$11,regle!$C$23,
IF(S301=regle!$D$11,regle!$D$23,
IF(S301=regle!$E$11,regle!$E$23,
IF(S301=regle!$F$11,regle!$F$23,
IF(S301=regle!$G$11,regle!$G$23,
IF(S301=regle!$H$11,regle!$H$23,
IF(S301=regle!$I$11,regle!$I$23,
IF(S301=regle!$J$11,regle!$J$23,
IF(S301=regle!$K$11,regle!$K$23,0))))))))))))</f>
        <v>0</v>
      </c>
      <c r="AD301" s="17">
        <f>IF($A301,$J301*(IF(T301=regle!$B$11,regle!$B$23*IF(AM301=-2,1+regle!$B$35,1),
IF(T301=regle!$C$11,regle!$C$23,
IF(T301=regle!$D$11,regle!$D$23,
IF(T301=regle!$E$11,regle!$E$23,
IF(T301=regle!$F$11,regle!$F$23,
IF(T301=regle!$G$11,regle!$G$23,
IF(T301=regle!$H$11,regle!$H$23,
IF(T301=regle!$I$11,regle!$I$23,
IF(T301=regle!$J$11,regle!$J$23,
IF(T301=regle!$K$11,regle!$K$23,0))))))))))))</f>
        <v>0</v>
      </c>
      <c r="AE301" s="17">
        <f>IF($A301,$J301*(IF(U301=regle!$B$11,regle!$B$23*IF(AN301=-2,1+regle!$B$35,1),
IF(U301=regle!$C$11,regle!$C$23,
IF(U301=regle!$D$11,regle!$D$23,
IF(U301=regle!$E$11,regle!$E$23,
IF(U301=regle!$F$11,regle!$F$23,
IF(U301=regle!$G$11,regle!$G$23,
IF(U301=regle!$H$11,regle!$H$23,
IF(U301=regle!$I$11,regle!$I$23,
IF(U301=regle!$J$11,regle!$J$23,
IF(U301=regle!$K$11,regle!$K$23,0))))))))))))</f>
        <v>0</v>
      </c>
      <c r="AF301" s="17">
        <f>IF($A301,$J301*(IF(V301=regle!$B$11,regle!$B$23*IF(AO301=-2,1+regle!$B$35,1),
IF(V301=regle!$C$11,regle!$C$23,
IF(V301=regle!$D$11,regle!$D$23,
IF(V301=regle!$E$11,regle!$E$23,
IF(V301=regle!$F$11,regle!$F$23,
IF(V301=regle!$G$11,regle!$G$23,
IF(V301=regle!$H$11,regle!$H$23,
IF(V301=regle!$I$11,regle!$I$23,
IF(V301=regle!$J$11,regle!$J$23,
IF(V301=regle!$K$11,regle!$K$23,0))))))))))))</f>
        <v>0</v>
      </c>
      <c r="AG301" s="17">
        <f>IF($A301,$J301*(IF(W301=regle!$B$11,regle!$B$23*IF(AP301=-2,1+regle!$B$35,1),
IF(W301=regle!$C$11,regle!$C$23,
IF(W301=regle!$D$11,regle!$D$23,
IF(W301=regle!$E$11,regle!$E$23,
IF(W301=regle!$F$11,regle!$F$23,
IF(W301=regle!$G$11,regle!$G$23,
IF(W301=regle!$H$11,regle!$H$23,
IF(W301=regle!$I$11,regle!$I$23,
IF(W301=regle!$J$11,regle!$J$23,
IF(W301=regle!$K$11,regle!$K$23,0))))))))))))</f>
        <v>7138.04</v>
      </c>
      <c r="AH301" s="17">
        <f>IF($A301,$J301*(IF(X301=regle!$B$11,regle!$B$23*IF(AQ301=-2,1+regle!$B$35,1),
IF(X301=regle!$C$11,regle!$C$23,
IF(X301=regle!$D$11,regle!$D$23,
IF(X301=regle!$E$11,regle!$E$23,
IF(X301=regle!$F$11,regle!$F$23,
IF(X301=regle!$G$11,regle!$G$23,
IF(X301=regle!$H$11,regle!$H$23,
IF(X301=regle!$I$11,regle!$I$23,
IF(X301=regle!$J$11,regle!$J$23,
IF(X301=regle!$K$11,regle!$K$23,0))))))))))))</f>
        <v>-2566.9490000000005</v>
      </c>
      <c r="AI301" s="17">
        <f>IF($A301,$J301*(IF(Y301=regle!$B$11,regle!$B$23*IF(AR301=-2,1+regle!$B$35,1),
IF(Y301=regle!$C$11,regle!$C$23,
IF(Y301=regle!$D$11,regle!$D$23,
IF(Y301=regle!$E$11,regle!$E$23,
IF(Y301=regle!$F$11,regle!$F$23,
IF(Y301=regle!$G$11,regle!$G$23,
IF(Y301=regle!$H$11,regle!$H$23,
IF(Y301=regle!$I$11,regle!$I$23,
IF(Y301=regle!$J$11,regle!$J$23,
IF(Y301=regle!$K$11,regle!$K$23,0))))))))))))</f>
        <v>0</v>
      </c>
      <c r="AJ301" s="17">
        <f>IF($A301,$J301*(IF(Z301=regle!$B$11,regle!$B$23*IF(AS301=-2,1+regle!$B$35,1),
IF(Z301=regle!$C$11,regle!$C$23,
IF(Z301=regle!$D$11,regle!$D$23,
IF(Z301=regle!$E$11,regle!$E$23,
IF(Z301=regle!$F$11,regle!$F$23,
IF(Z301=regle!$G$11,regle!$G$23,
IF(Z301=regle!$H$11,regle!$H$23,
IF(Z301=regle!$I$11,regle!$I$23,
IF(Z301=regle!$J$11,regle!$J$23,
IF(Z301=regle!$K$11,regle!$K$23,0))))))))))))</f>
        <v>-102.9525</v>
      </c>
      <c r="AK301" s="16">
        <f>IF(OR(Q301=regle!$J$11,Q301=regle!$K$11),-2,IF(Q301=regle!$B$11,0,IF(AK$1=$AK$1,IF($O301,-1,regle!$B$2-$M301),IF(AJ301=-1,-1,AJ301+1))))</f>
        <v>19</v>
      </c>
      <c r="AL301" s="16">
        <f>IF(OR(R301=regle!$J$11,R301=regle!$K$11),-2,IF(R301=regle!$B$11,0,IF(AL$1=$AK$1,IF($O301,-1,regle!$B$2-$M301),IF(AK301=-1,-1,AK301+1))))</f>
        <v>20</v>
      </c>
      <c r="AM301" s="16">
        <f>IF(OR(S301=regle!$J$11,S301=regle!$K$11),-2,IF(S301=regle!$B$11,0,IF(AM$1=$AK$1,IF($O301,-1,regle!$B$2-$M301),IF(AL301=-1,-1,AL301+1))))</f>
        <v>21</v>
      </c>
      <c r="AN301" s="16">
        <f>IF(OR(T301=regle!$J$11,T301=regle!$K$11),-2,IF(T301=regle!$B$11,0,IF(AN$1=$AK$1,IF($O301,-1,regle!$B$2-$M301),IF(AM301=-1,-1,AM301+1))))</f>
        <v>22</v>
      </c>
      <c r="AO301" s="16">
        <f>IF(OR(U301=regle!$J$11,U301=regle!$K$11),-2,IF(U301=regle!$B$11,0,IF(AO$1=$AK$1,IF($O301,-1,regle!$B$2-$M301),IF(AN301=-1,-1,AN301+1))))</f>
        <v>23</v>
      </c>
      <c r="AP301" s="16">
        <f>IF(OR(V301=regle!$J$11,V301=regle!$K$11),-2,IF(V301=regle!$B$11,0,IF(AP$1=$AK$1,IF($O301,-1,regle!$B$2-$M301),IF(AO301=-1,-1,AO301+1))))</f>
        <v>24</v>
      </c>
      <c r="AQ301" s="16">
        <f>IF(OR(W301=regle!$J$11,W301=regle!$K$11),-2,IF(W301=regle!$B$11,0,IF(AQ$1=$AK$1,IF($O301,-1,regle!$B$2-$M301),IF(AP301=-1,-1,AP301+1))))</f>
        <v>-2</v>
      </c>
      <c r="AR301" s="16">
        <f>IF(OR(X301=regle!$J$11,X301=regle!$K$11),-2,IF(X301=regle!$B$11,0,IF(AR$1=$AK$1,IF($O301,-1,regle!$B$2-$M301),IF(AQ301=-1,-1,AQ301+1))))</f>
        <v>0</v>
      </c>
      <c r="AS301" s="16">
        <f>IF(OR(Y301=regle!$J$11,Y301=regle!$K$11),-2,IF(Y301=regle!$B$11,0,IF(AS$1=$AK$1,IF($O301,-1,regle!$B$2-$M301),IF(AR301=-1,-1,AR301+1))))</f>
        <v>1</v>
      </c>
      <c r="AT301" s="16">
        <f>IF(OR(Z301=regle!$J$11,Z301=regle!$K$11),-2,IF(Z301=regle!$B$11,0,IF(AT$1=$AK$1,IF($O301,-1,regle!$B$2-$M301),IF(AS301=-1,-1,AS301+1))))</f>
        <v>2</v>
      </c>
    </row>
    <row r="302" spans="1:46" x14ac:dyDescent="0.25">
      <c r="A302" t="b">
        <f>modif1!A302</f>
        <v>1</v>
      </c>
      <c r="B302">
        <f>ROW(modif1!B302)</f>
        <v>302</v>
      </c>
      <c r="C302" t="str">
        <f>modif1!C305</f>
        <v>077</v>
      </c>
      <c r="D302" t="str">
        <f>modif1!D302</f>
        <v>CABANAC-ET-VILLAGRAINS</v>
      </c>
      <c r="E302">
        <f>modif1!E302</f>
        <v>12</v>
      </c>
      <c r="F302" t="str">
        <f>modif1!F302</f>
        <v>LES JEANNOTS</v>
      </c>
      <c r="G302" t="str">
        <f>modif1!G302</f>
        <v>0D</v>
      </c>
      <c r="H302">
        <f>modif1!H302</f>
        <v>2299</v>
      </c>
      <c r="I302" t="str">
        <f>modif1!I302</f>
        <v/>
      </c>
      <c r="J302" s="11">
        <f>modif1!J302</f>
        <v>1.1830000000000001</v>
      </c>
      <c r="K302" t="str">
        <f>modif1!K302</f>
        <v>PLA</v>
      </c>
      <c r="L302" t="str">
        <f>modif1!L302</f>
        <v>PM</v>
      </c>
      <c r="M302">
        <f>modif1!M302</f>
        <v>2005</v>
      </c>
      <c r="N302" t="str">
        <f>modif1!N302</f>
        <v>PLA-PM_2005</v>
      </c>
      <c r="O302" t="b">
        <f>modif1!O302</f>
        <v>0</v>
      </c>
      <c r="P302">
        <v>40</v>
      </c>
      <c r="Y302" t="s">
        <v>1181</v>
      </c>
      <c r="Z302" t="s">
        <v>1868</v>
      </c>
      <c r="AA302" s="17">
        <f>IF($A302,$J302*(IF(Q302=regle!$B$11,regle!$B$23*IF(AJ302=-2,1+regle!$B$35,1),
IF(Q302=regle!$C$11,regle!$C$23,
IF(Q302=regle!$D$11,regle!$D$23,
IF(Q302=regle!$E$11,regle!$E$23,
IF(Q302=regle!$F$11,regle!$F$23,
IF(Q302=regle!$G$11,regle!$G$23,
IF(Q302=regle!$H$11,regle!$H$23,
IF(Q302=regle!$I$11,regle!$I$23,
IF(Q302=regle!$J$11,regle!$J$23,
IF(Q302=regle!$K$11,regle!$K$23,0))))))))))))</f>
        <v>0</v>
      </c>
      <c r="AB302" s="17">
        <f>IF($A302,$J302*(IF(R302=regle!$B$11,regle!$B$23*IF(AK302=-2,1+regle!$B$35,1),
IF(R302=regle!$C$11,regle!$C$23,
IF(R302=regle!$D$11,regle!$D$23,
IF(R302=regle!$E$11,regle!$E$23,
IF(R302=regle!$F$11,regle!$F$23,
IF(R302=regle!$G$11,regle!$G$23,
IF(R302=regle!$H$11,regle!$H$23,
IF(R302=regle!$I$11,regle!$I$23,
IF(R302=regle!$J$11,regle!$J$23,
IF(R302=regle!$K$11,regle!$K$23,0))))))))))))</f>
        <v>0</v>
      </c>
      <c r="AC302" s="17">
        <f>IF($A302,$J302*(IF(S302=regle!$B$11,regle!$B$23*IF(AL302=-2,1+regle!$B$35,1),
IF(S302=regle!$C$11,regle!$C$23,
IF(S302=regle!$D$11,regle!$D$23,
IF(S302=regle!$E$11,regle!$E$23,
IF(S302=regle!$F$11,regle!$F$23,
IF(S302=regle!$G$11,regle!$G$23,
IF(S302=regle!$H$11,regle!$H$23,
IF(S302=regle!$I$11,regle!$I$23,
IF(S302=regle!$J$11,regle!$J$23,
IF(S302=regle!$K$11,regle!$K$23,0))))))))))))</f>
        <v>0</v>
      </c>
      <c r="AD302" s="17">
        <f>IF($A302,$J302*(IF(T302=regle!$B$11,regle!$B$23*IF(AM302=-2,1+regle!$B$35,1),
IF(T302=regle!$C$11,regle!$C$23,
IF(T302=regle!$D$11,regle!$D$23,
IF(T302=regle!$E$11,regle!$E$23,
IF(T302=regle!$F$11,regle!$F$23,
IF(T302=regle!$G$11,regle!$G$23,
IF(T302=regle!$H$11,regle!$H$23,
IF(T302=regle!$I$11,regle!$I$23,
IF(T302=regle!$J$11,regle!$J$23,
IF(T302=regle!$K$11,regle!$K$23,0))))))))))))</f>
        <v>0</v>
      </c>
      <c r="AE302" s="17">
        <f>IF($A302,$J302*(IF(U302=regle!$B$11,regle!$B$23*IF(AN302=-2,1+regle!$B$35,1),
IF(U302=regle!$C$11,regle!$C$23,
IF(U302=regle!$D$11,regle!$D$23,
IF(U302=regle!$E$11,regle!$E$23,
IF(U302=regle!$F$11,regle!$F$23,
IF(U302=regle!$G$11,regle!$G$23,
IF(U302=regle!$H$11,regle!$H$23,
IF(U302=regle!$I$11,regle!$I$23,
IF(U302=regle!$J$11,regle!$J$23,
IF(U302=regle!$K$11,regle!$K$23,0))))))))))))</f>
        <v>0</v>
      </c>
      <c r="AF302" s="17">
        <f>IF($A302,$J302*(IF(V302=regle!$B$11,regle!$B$23*IF(AO302=-2,1+regle!$B$35,1),
IF(V302=regle!$C$11,regle!$C$23,
IF(V302=regle!$D$11,regle!$D$23,
IF(V302=regle!$E$11,regle!$E$23,
IF(V302=regle!$F$11,regle!$F$23,
IF(V302=regle!$G$11,regle!$G$23,
IF(V302=regle!$H$11,regle!$H$23,
IF(V302=regle!$I$11,regle!$I$23,
IF(V302=regle!$J$11,regle!$J$23,
IF(V302=regle!$K$11,regle!$K$23,0))))))))))))</f>
        <v>0</v>
      </c>
      <c r="AG302" s="17">
        <f>IF($A302,$J302*(IF(W302=regle!$B$11,regle!$B$23*IF(AP302=-2,1+regle!$B$35,1),
IF(W302=regle!$C$11,regle!$C$23,
IF(W302=regle!$D$11,regle!$D$23,
IF(W302=regle!$E$11,regle!$E$23,
IF(W302=regle!$F$11,regle!$F$23,
IF(W302=regle!$G$11,regle!$G$23,
IF(W302=regle!$H$11,regle!$H$23,
IF(W302=regle!$I$11,regle!$I$23,
IF(W302=regle!$J$11,regle!$J$23,
IF(W302=regle!$K$11,regle!$K$23,0))))))))))))</f>
        <v>0</v>
      </c>
      <c r="AH302" s="17">
        <f>IF($A302,$J302*(IF(X302=regle!$B$11,regle!$B$23*IF(AQ302=-2,1+regle!$B$35,1),
IF(X302=regle!$C$11,regle!$C$23,
IF(X302=regle!$D$11,regle!$D$23,
IF(X302=regle!$E$11,regle!$E$23,
IF(X302=regle!$F$11,regle!$F$23,
IF(X302=regle!$G$11,regle!$G$23,
IF(X302=regle!$H$11,regle!$H$23,
IF(X302=regle!$I$11,regle!$I$23,
IF(X302=regle!$J$11,regle!$J$23,
IF(X302=regle!$K$11,regle!$K$23,0))))))))))))</f>
        <v>0</v>
      </c>
      <c r="AI302" s="17">
        <f>IF($A302,$J302*(IF(Y302=regle!$B$11,regle!$B$23*IF(AR302=-2,1+regle!$B$35,1),
IF(Y302=regle!$C$11,regle!$C$23,
IF(Y302=regle!$D$11,regle!$D$23,
IF(Y302=regle!$E$11,regle!$E$23,
IF(Y302=regle!$F$11,regle!$F$23,
IF(Y302=regle!$G$11,regle!$G$23,
IF(Y302=regle!$H$11,regle!$H$23,
IF(Y302=regle!$I$11,regle!$I$23,
IF(Y302=regle!$J$11,regle!$J$23,
IF(Y302=regle!$K$11,regle!$K$23,0))))))))))))</f>
        <v>6151.6</v>
      </c>
      <c r="AJ302" s="17">
        <f>IF($A302,$J302*(IF(Z302=regle!$B$11,regle!$B$23*IF(AS302=-2,1+regle!$B$35,1),
IF(Z302=regle!$C$11,regle!$C$23,
IF(Z302=regle!$D$11,regle!$D$23,
IF(Z302=regle!$E$11,regle!$E$23,
IF(Z302=regle!$F$11,regle!$F$23,
IF(Z302=regle!$G$11,regle!$G$23,
IF(Z302=regle!$H$11,regle!$H$23,
IF(Z302=regle!$I$11,regle!$I$23,
IF(Z302=regle!$J$11,regle!$J$23,
IF(Z302=regle!$K$11,regle!$K$23,0))))))))))))</f>
        <v>-2212.2100000000005</v>
      </c>
      <c r="AK302" s="16">
        <f>IF(OR(Q302=regle!$J$11,Q302=regle!$K$11),-2,IF(Q302=regle!$B$11,0,IF(AK$1=$AK$1,IF($O302,-1,regle!$B$2-$M302),IF(AJ302=-1,-1,AJ302+1))))</f>
        <v>19</v>
      </c>
      <c r="AL302" s="16">
        <f>IF(OR(R302=regle!$J$11,R302=regle!$K$11),-2,IF(R302=regle!$B$11,0,IF(AL$1=$AK$1,IF($O302,-1,regle!$B$2-$M302),IF(AK302=-1,-1,AK302+1))))</f>
        <v>20</v>
      </c>
      <c r="AM302" s="16">
        <f>IF(OR(S302=regle!$J$11,S302=regle!$K$11),-2,IF(S302=regle!$B$11,0,IF(AM$1=$AK$1,IF($O302,-1,regle!$B$2-$M302),IF(AL302=-1,-1,AL302+1))))</f>
        <v>21</v>
      </c>
      <c r="AN302" s="16">
        <f>IF(OR(T302=regle!$J$11,T302=regle!$K$11),-2,IF(T302=regle!$B$11,0,IF(AN$1=$AK$1,IF($O302,-1,regle!$B$2-$M302),IF(AM302=-1,-1,AM302+1))))</f>
        <v>22</v>
      </c>
      <c r="AO302" s="16">
        <f>IF(OR(U302=regle!$J$11,U302=regle!$K$11),-2,IF(U302=regle!$B$11,0,IF(AO$1=$AK$1,IF($O302,-1,regle!$B$2-$M302),IF(AN302=-1,-1,AN302+1))))</f>
        <v>23</v>
      </c>
      <c r="AP302" s="16">
        <f>IF(OR(V302=regle!$J$11,V302=regle!$K$11),-2,IF(V302=regle!$B$11,0,IF(AP$1=$AK$1,IF($O302,-1,regle!$B$2-$M302),IF(AO302=-1,-1,AO302+1))))</f>
        <v>24</v>
      </c>
      <c r="AQ302" s="16">
        <f>IF(OR(W302=regle!$J$11,W302=regle!$K$11),-2,IF(W302=regle!$B$11,0,IF(AQ$1=$AK$1,IF($O302,-1,regle!$B$2-$M302),IF(AP302=-1,-1,AP302+1))))</f>
        <v>25</v>
      </c>
      <c r="AR302" s="16">
        <f>IF(OR(X302=regle!$J$11,X302=regle!$K$11),-2,IF(X302=regle!$B$11,0,IF(AR$1=$AK$1,IF($O302,-1,regle!$B$2-$M302),IF(AQ302=-1,-1,AQ302+1))))</f>
        <v>26</v>
      </c>
      <c r="AS302" s="16">
        <f>IF(OR(Y302=regle!$J$11,Y302=regle!$K$11),-2,IF(Y302=regle!$B$11,0,IF(AS$1=$AK$1,IF($O302,-1,regle!$B$2-$M302),IF(AR302=-1,-1,AR302+1))))</f>
        <v>-2</v>
      </c>
      <c r="AT302" s="16">
        <f>IF(OR(Z302=regle!$J$11,Z302=regle!$K$11),-2,IF(Z302=regle!$B$11,0,IF(AT$1=$AK$1,IF($O302,-1,regle!$B$2-$M302),IF(AS302=-1,-1,AS302+1))))</f>
        <v>0</v>
      </c>
    </row>
    <row r="303" spans="1:46" x14ac:dyDescent="0.25">
      <c r="A303" t="b">
        <f>modif1!A303</f>
        <v>1</v>
      </c>
      <c r="B303">
        <f>ROW(modif1!B303)</f>
        <v>303</v>
      </c>
      <c r="C303" t="str">
        <f>modif1!C306</f>
        <v>536</v>
      </c>
      <c r="D303" t="str">
        <f>modif1!D303</f>
        <v>LE TUZAN</v>
      </c>
      <c r="E303">
        <f>modif1!E303</f>
        <v>14</v>
      </c>
      <c r="F303" t="str">
        <f>modif1!F303</f>
        <v>TABARTON-OUEST</v>
      </c>
      <c r="G303" t="str">
        <f>modif1!G303</f>
        <v>0B</v>
      </c>
      <c r="H303">
        <f>modif1!H303</f>
        <v>659</v>
      </c>
      <c r="I303" t="str">
        <f>modif1!I303</f>
        <v>l</v>
      </c>
      <c r="J303" s="11">
        <f>modif1!J303</f>
        <v>1.0181</v>
      </c>
      <c r="K303" t="str">
        <f>modif1!K303</f>
        <v>PLA</v>
      </c>
      <c r="L303" t="str">
        <f>modif1!L303</f>
        <v>PM</v>
      </c>
      <c r="M303">
        <f>modif1!M303</f>
        <v>2005</v>
      </c>
      <c r="N303" t="str">
        <f>modif1!N303</f>
        <v>PLA-PM_2005</v>
      </c>
      <c r="O303" t="b">
        <f>modif1!O303</f>
        <v>0</v>
      </c>
      <c r="P303">
        <v>40</v>
      </c>
      <c r="Z303" t="s">
        <v>1181</v>
      </c>
      <c r="AA303" s="17">
        <f>IF($A303,$J303*(IF(Q303=regle!$B$11,regle!$B$23*IF(AJ303=-2,1+regle!$B$35,1),
IF(Q303=regle!$C$11,regle!$C$23,
IF(Q303=regle!$D$11,regle!$D$23,
IF(Q303=regle!$E$11,regle!$E$23,
IF(Q303=regle!$F$11,regle!$F$23,
IF(Q303=regle!$G$11,regle!$G$23,
IF(Q303=regle!$H$11,regle!$H$23,
IF(Q303=regle!$I$11,regle!$I$23,
IF(Q303=regle!$J$11,regle!$J$23,
IF(Q303=regle!$K$11,regle!$K$23,0))))))))))))</f>
        <v>0</v>
      </c>
      <c r="AB303" s="17">
        <f>IF($A303,$J303*(IF(R303=regle!$B$11,regle!$B$23*IF(AK303=-2,1+regle!$B$35,1),
IF(R303=regle!$C$11,regle!$C$23,
IF(R303=regle!$D$11,regle!$D$23,
IF(R303=regle!$E$11,regle!$E$23,
IF(R303=regle!$F$11,regle!$F$23,
IF(R303=regle!$G$11,regle!$G$23,
IF(R303=regle!$H$11,regle!$H$23,
IF(R303=regle!$I$11,regle!$I$23,
IF(R303=regle!$J$11,regle!$J$23,
IF(R303=regle!$K$11,regle!$K$23,0))))))))))))</f>
        <v>0</v>
      </c>
      <c r="AC303" s="17">
        <f>IF($A303,$J303*(IF(S303=regle!$B$11,regle!$B$23*IF(AL303=-2,1+regle!$B$35,1),
IF(S303=regle!$C$11,regle!$C$23,
IF(S303=regle!$D$11,regle!$D$23,
IF(S303=regle!$E$11,regle!$E$23,
IF(S303=regle!$F$11,regle!$F$23,
IF(S303=regle!$G$11,regle!$G$23,
IF(S303=regle!$H$11,regle!$H$23,
IF(S303=regle!$I$11,regle!$I$23,
IF(S303=regle!$J$11,regle!$J$23,
IF(S303=regle!$K$11,regle!$K$23,0))))))))))))</f>
        <v>0</v>
      </c>
      <c r="AD303" s="17">
        <f>IF($A303,$J303*(IF(T303=regle!$B$11,regle!$B$23*IF(AM303=-2,1+regle!$B$35,1),
IF(T303=regle!$C$11,regle!$C$23,
IF(T303=regle!$D$11,regle!$D$23,
IF(T303=regle!$E$11,regle!$E$23,
IF(T303=regle!$F$11,regle!$F$23,
IF(T303=regle!$G$11,regle!$G$23,
IF(T303=regle!$H$11,regle!$H$23,
IF(T303=regle!$I$11,regle!$I$23,
IF(T303=regle!$J$11,regle!$J$23,
IF(T303=regle!$K$11,regle!$K$23,0))))))))))))</f>
        <v>0</v>
      </c>
      <c r="AE303" s="17">
        <f>IF($A303,$J303*(IF(U303=regle!$B$11,regle!$B$23*IF(AN303=-2,1+regle!$B$35,1),
IF(U303=regle!$C$11,regle!$C$23,
IF(U303=regle!$D$11,regle!$D$23,
IF(U303=regle!$E$11,regle!$E$23,
IF(U303=regle!$F$11,regle!$F$23,
IF(U303=regle!$G$11,regle!$G$23,
IF(U303=regle!$H$11,regle!$H$23,
IF(U303=regle!$I$11,regle!$I$23,
IF(U303=regle!$J$11,regle!$J$23,
IF(U303=regle!$K$11,regle!$K$23,0))))))))))))</f>
        <v>0</v>
      </c>
      <c r="AF303" s="17">
        <f>IF($A303,$J303*(IF(V303=regle!$B$11,regle!$B$23*IF(AO303=-2,1+regle!$B$35,1),
IF(V303=regle!$C$11,regle!$C$23,
IF(V303=regle!$D$11,regle!$D$23,
IF(V303=regle!$E$11,regle!$E$23,
IF(V303=regle!$F$11,regle!$F$23,
IF(V303=regle!$G$11,regle!$G$23,
IF(V303=regle!$H$11,regle!$H$23,
IF(V303=regle!$I$11,regle!$I$23,
IF(V303=regle!$J$11,regle!$J$23,
IF(V303=regle!$K$11,regle!$K$23,0))))))))))))</f>
        <v>0</v>
      </c>
      <c r="AG303" s="17">
        <f>IF($A303,$J303*(IF(W303=regle!$B$11,regle!$B$23*IF(AP303=-2,1+regle!$B$35,1),
IF(W303=regle!$C$11,regle!$C$23,
IF(W303=regle!$D$11,regle!$D$23,
IF(W303=regle!$E$11,regle!$E$23,
IF(W303=regle!$F$11,regle!$F$23,
IF(W303=regle!$G$11,regle!$G$23,
IF(W303=regle!$H$11,regle!$H$23,
IF(W303=regle!$I$11,regle!$I$23,
IF(W303=regle!$J$11,regle!$J$23,
IF(W303=regle!$K$11,regle!$K$23,0))))))))))))</f>
        <v>0</v>
      </c>
      <c r="AH303" s="17">
        <f>IF($A303,$J303*(IF(X303=regle!$B$11,regle!$B$23*IF(AQ303=-2,1+regle!$B$35,1),
IF(X303=regle!$C$11,regle!$C$23,
IF(X303=regle!$D$11,regle!$D$23,
IF(X303=regle!$E$11,regle!$E$23,
IF(X303=regle!$F$11,regle!$F$23,
IF(X303=regle!$G$11,regle!$G$23,
IF(X303=regle!$H$11,regle!$H$23,
IF(X303=regle!$I$11,regle!$I$23,
IF(X303=regle!$J$11,regle!$J$23,
IF(X303=regle!$K$11,regle!$K$23,0))))))))))))</f>
        <v>0</v>
      </c>
      <c r="AI303" s="17">
        <f>IF($A303,$J303*(IF(Y303=regle!$B$11,regle!$B$23*IF(AR303=-2,1+regle!$B$35,1),
IF(Y303=regle!$C$11,regle!$C$23,
IF(Y303=regle!$D$11,regle!$D$23,
IF(Y303=regle!$E$11,regle!$E$23,
IF(Y303=regle!$F$11,regle!$F$23,
IF(Y303=regle!$G$11,regle!$G$23,
IF(Y303=regle!$H$11,regle!$H$23,
IF(Y303=regle!$I$11,regle!$I$23,
IF(Y303=regle!$J$11,regle!$J$23,
IF(Y303=regle!$K$11,regle!$K$23,0))))))))))))</f>
        <v>0</v>
      </c>
      <c r="AJ303" s="17">
        <f>IF($A303,$J303*(IF(Z303=regle!$B$11,regle!$B$23*IF(AS303=-2,1+regle!$B$35,1),
IF(Z303=regle!$C$11,regle!$C$23,
IF(Z303=regle!$D$11,regle!$D$23,
IF(Z303=regle!$E$11,regle!$E$23,
IF(Z303=regle!$F$11,regle!$F$23,
IF(Z303=regle!$G$11,regle!$G$23,
IF(Z303=regle!$H$11,regle!$H$23,
IF(Z303=regle!$I$11,regle!$I$23,
IF(Z303=regle!$J$11,regle!$J$23,
IF(Z303=regle!$K$11,regle!$K$23,0))))))))))))</f>
        <v>5294.12</v>
      </c>
      <c r="AK303" s="16">
        <f>IF(OR(Q303=regle!$J$11,Q303=regle!$K$11),-2,IF(Q303=regle!$B$11,0,IF(AK$1=$AK$1,IF($O303,-1,regle!$B$2-$M303),IF(AJ303=-1,-1,AJ303+1))))</f>
        <v>19</v>
      </c>
      <c r="AL303" s="16">
        <f>IF(OR(R303=regle!$J$11,R303=regle!$K$11),-2,IF(R303=regle!$B$11,0,IF(AL$1=$AK$1,IF($O303,-1,regle!$B$2-$M303),IF(AK303=-1,-1,AK303+1))))</f>
        <v>20</v>
      </c>
      <c r="AM303" s="16">
        <f>IF(OR(S303=regle!$J$11,S303=regle!$K$11),-2,IF(S303=regle!$B$11,0,IF(AM$1=$AK$1,IF($O303,-1,regle!$B$2-$M303),IF(AL303=-1,-1,AL303+1))))</f>
        <v>21</v>
      </c>
      <c r="AN303" s="16">
        <f>IF(OR(T303=regle!$J$11,T303=regle!$K$11),-2,IF(T303=regle!$B$11,0,IF(AN$1=$AK$1,IF($O303,-1,regle!$B$2-$M303),IF(AM303=-1,-1,AM303+1))))</f>
        <v>22</v>
      </c>
      <c r="AO303" s="16">
        <f>IF(OR(U303=regle!$J$11,U303=regle!$K$11),-2,IF(U303=regle!$B$11,0,IF(AO$1=$AK$1,IF($O303,-1,regle!$B$2-$M303),IF(AN303=-1,-1,AN303+1))))</f>
        <v>23</v>
      </c>
      <c r="AP303" s="16">
        <f>IF(OR(V303=regle!$J$11,V303=regle!$K$11),-2,IF(V303=regle!$B$11,0,IF(AP$1=$AK$1,IF($O303,-1,regle!$B$2-$M303),IF(AO303=-1,-1,AO303+1))))</f>
        <v>24</v>
      </c>
      <c r="AQ303" s="16">
        <f>IF(OR(W303=regle!$J$11,W303=regle!$K$11),-2,IF(W303=regle!$B$11,0,IF(AQ$1=$AK$1,IF($O303,-1,regle!$B$2-$M303),IF(AP303=-1,-1,AP303+1))))</f>
        <v>25</v>
      </c>
      <c r="AR303" s="16">
        <f>IF(OR(X303=regle!$J$11,X303=regle!$K$11),-2,IF(X303=regle!$B$11,0,IF(AR$1=$AK$1,IF($O303,-1,regle!$B$2-$M303),IF(AQ303=-1,-1,AQ303+1))))</f>
        <v>26</v>
      </c>
      <c r="AS303" s="16">
        <f>IF(OR(Y303=regle!$J$11,Y303=regle!$K$11),-2,IF(Y303=regle!$B$11,0,IF(AS$1=$AK$1,IF($O303,-1,regle!$B$2-$M303),IF(AR303=-1,-1,AR303+1))))</f>
        <v>27</v>
      </c>
      <c r="AT303" s="16">
        <f>IF(OR(Z303=regle!$J$11,Z303=regle!$K$11),-2,IF(Z303=regle!$B$11,0,IF(AT$1=$AK$1,IF($O303,-1,regle!$B$2-$M303),IF(AS303=-1,-1,AS303+1))))</f>
        <v>-2</v>
      </c>
    </row>
    <row r="304" spans="1:46" x14ac:dyDescent="0.25">
      <c r="A304" t="b">
        <f>modif1!A304</f>
        <v>1</v>
      </c>
      <c r="B304">
        <f>ROW(modif1!B304)</f>
        <v>304</v>
      </c>
      <c r="C304" t="str">
        <f>modif1!C307</f>
        <v>077</v>
      </c>
      <c r="D304" t="str">
        <f>modif1!D304</f>
        <v>LE TUZAN</v>
      </c>
      <c r="E304">
        <f>modif1!E304</f>
        <v>7</v>
      </c>
      <c r="F304" t="str">
        <f>modif1!F304</f>
        <v>CHOUSSE</v>
      </c>
      <c r="G304" t="str">
        <f>modif1!G304</f>
        <v>0A</v>
      </c>
      <c r="H304">
        <f>modif1!H304</f>
        <v>750</v>
      </c>
      <c r="I304" t="str">
        <f>modif1!I304</f>
        <v/>
      </c>
      <c r="J304" s="11">
        <f>modif1!J304</f>
        <v>0.98929999999999996</v>
      </c>
      <c r="K304" t="str">
        <f>modif1!K304</f>
        <v>PLA</v>
      </c>
      <c r="L304" t="str">
        <f>modif1!L304</f>
        <v>PM</v>
      </c>
      <c r="M304">
        <f>modif1!M304</f>
        <v>2005</v>
      </c>
      <c r="N304" t="str">
        <f>modif1!N304</f>
        <v>PLA-PM_2005</v>
      </c>
      <c r="O304" t="b">
        <f>modif1!O304</f>
        <v>0</v>
      </c>
      <c r="P304">
        <v>40</v>
      </c>
      <c r="T304" t="s">
        <v>1805</v>
      </c>
      <c r="Y304" t="s">
        <v>1806</v>
      </c>
      <c r="Z304"/>
      <c r="AA304" s="17">
        <f>IF($A304,$J304*(IF(Q304=regle!$B$11,regle!$B$23*IF(AJ304=-2,1+regle!$B$35,1),
IF(Q304=regle!$C$11,regle!$C$23,
IF(Q304=regle!$D$11,regle!$D$23,
IF(Q304=regle!$E$11,regle!$E$23,
IF(Q304=regle!$F$11,regle!$F$23,
IF(Q304=regle!$G$11,regle!$G$23,
IF(Q304=regle!$H$11,regle!$H$23,
IF(Q304=regle!$I$11,regle!$I$23,
IF(Q304=regle!$J$11,regle!$J$23,
IF(Q304=regle!$K$11,regle!$K$23,0))))))))))))</f>
        <v>0</v>
      </c>
      <c r="AB304" s="17">
        <f>IF($A304,$J304*(IF(R304=regle!$B$11,regle!$B$23*IF(AK304=-2,1+regle!$B$35,1),
IF(R304=regle!$C$11,regle!$C$23,
IF(R304=regle!$D$11,regle!$D$23,
IF(R304=regle!$E$11,regle!$E$23,
IF(R304=regle!$F$11,regle!$F$23,
IF(R304=regle!$G$11,regle!$G$23,
IF(R304=regle!$H$11,regle!$H$23,
IF(R304=regle!$I$11,regle!$I$23,
IF(R304=regle!$J$11,regle!$J$23,
IF(R304=regle!$K$11,regle!$K$23,0))))))))))))</f>
        <v>0</v>
      </c>
      <c r="AC304" s="17">
        <f>IF($A304,$J304*(IF(S304=regle!$B$11,regle!$B$23*IF(AL304=-2,1+regle!$B$35,1),
IF(S304=regle!$C$11,regle!$C$23,
IF(S304=regle!$D$11,regle!$D$23,
IF(S304=regle!$E$11,regle!$E$23,
IF(S304=regle!$F$11,regle!$F$23,
IF(S304=regle!$G$11,regle!$G$23,
IF(S304=regle!$H$11,regle!$H$23,
IF(S304=regle!$I$11,regle!$I$23,
IF(S304=regle!$J$11,regle!$J$23,
IF(S304=regle!$K$11,regle!$K$23,0))))))))))))</f>
        <v>0</v>
      </c>
      <c r="AD304" s="17">
        <f>IF($A304,$J304*(IF(T304=regle!$B$11,regle!$B$23*IF(AM304=-2,1+regle!$B$35,1),
IF(T304=regle!$C$11,regle!$C$23,
IF(T304=regle!$D$11,regle!$D$23,
IF(T304=regle!$E$11,regle!$E$23,
IF(T304=regle!$F$11,regle!$F$23,
IF(T304=regle!$G$11,regle!$G$23,
IF(T304=regle!$H$11,regle!$H$23,
IF(T304=regle!$I$11,regle!$I$23,
IF(T304=regle!$J$11,regle!$J$23,
IF(T304=regle!$K$11,regle!$K$23,0))))))))))))</f>
        <v>1392.9343999999999</v>
      </c>
      <c r="AE304" s="17">
        <f>IF($A304,$J304*(IF(U304=regle!$B$11,regle!$B$23*IF(AN304=-2,1+regle!$B$35,1),
IF(U304=regle!$C$11,regle!$C$23,
IF(U304=regle!$D$11,regle!$D$23,
IF(U304=regle!$E$11,regle!$E$23,
IF(U304=regle!$F$11,regle!$F$23,
IF(U304=regle!$G$11,regle!$G$23,
IF(U304=regle!$H$11,regle!$H$23,
IF(U304=regle!$I$11,regle!$I$23,
IF(U304=regle!$J$11,regle!$J$23,
IF(U304=regle!$K$11,regle!$K$23,0))))))))))))</f>
        <v>0</v>
      </c>
      <c r="AF304" s="17">
        <f>IF($A304,$J304*(IF(V304=regle!$B$11,regle!$B$23*IF(AO304=-2,1+regle!$B$35,1),
IF(V304=regle!$C$11,regle!$C$23,
IF(V304=regle!$D$11,regle!$D$23,
IF(V304=regle!$E$11,regle!$E$23,
IF(V304=regle!$F$11,regle!$F$23,
IF(V304=regle!$G$11,regle!$G$23,
IF(V304=regle!$H$11,regle!$H$23,
IF(V304=regle!$I$11,regle!$I$23,
IF(V304=regle!$J$11,regle!$J$23,
IF(V304=regle!$K$11,regle!$K$23,0))))))))))))</f>
        <v>0</v>
      </c>
      <c r="AG304" s="17">
        <f>IF($A304,$J304*(IF(W304=regle!$B$11,regle!$B$23*IF(AP304=-2,1+regle!$B$35,1),
IF(W304=regle!$C$11,regle!$C$23,
IF(W304=regle!$D$11,regle!$D$23,
IF(W304=regle!$E$11,regle!$E$23,
IF(W304=regle!$F$11,regle!$F$23,
IF(W304=regle!$G$11,regle!$G$23,
IF(W304=regle!$H$11,regle!$H$23,
IF(W304=regle!$I$11,regle!$I$23,
IF(W304=regle!$J$11,regle!$J$23,
IF(W304=regle!$K$11,regle!$K$23,0))))))))))))</f>
        <v>0</v>
      </c>
      <c r="AH304" s="17">
        <f>IF($A304,$J304*(IF(X304=regle!$B$11,regle!$B$23*IF(AQ304=-2,1+regle!$B$35,1),
IF(X304=regle!$C$11,regle!$C$23,
IF(X304=regle!$D$11,regle!$D$23,
IF(X304=regle!$E$11,regle!$E$23,
IF(X304=regle!$F$11,regle!$F$23,
IF(X304=regle!$G$11,regle!$G$23,
IF(X304=regle!$H$11,regle!$H$23,
IF(X304=regle!$I$11,regle!$I$23,
IF(X304=regle!$J$11,regle!$J$23,
IF(X304=regle!$K$11,regle!$K$23,0))))))))))))</f>
        <v>0</v>
      </c>
      <c r="AI304" s="17">
        <f>IF($A304,$J304*(IF(Y304=regle!$B$11,regle!$B$23*IF(AR304=-2,1+regle!$B$35,1),
IF(Y304=regle!$C$11,regle!$C$23,
IF(Y304=regle!$D$11,regle!$D$23,
IF(Y304=regle!$E$11,regle!$E$23,
IF(Y304=regle!$F$11,regle!$F$23,
IF(Y304=regle!$G$11,regle!$G$23,
IF(Y304=regle!$H$11,regle!$H$23,
IF(Y304=regle!$I$11,regle!$I$23,
IF(Y304=regle!$J$11,regle!$J$23,
IF(Y304=regle!$K$11,regle!$K$23,0))))))))))))</f>
        <v>1266.3039999999999</v>
      </c>
      <c r="AJ304" s="17">
        <f>IF($A304,$J304*(IF(Z304=regle!$B$11,regle!$B$23*IF(AS304=-2,1+regle!$B$35,1),
IF(Z304=regle!$C$11,regle!$C$23,
IF(Z304=regle!$D$11,regle!$D$23,
IF(Z304=regle!$E$11,regle!$E$23,
IF(Z304=regle!$F$11,regle!$F$23,
IF(Z304=regle!$G$11,regle!$G$23,
IF(Z304=regle!$H$11,regle!$H$23,
IF(Z304=regle!$I$11,regle!$I$23,
IF(Z304=regle!$J$11,regle!$J$23,
IF(Z304=regle!$K$11,regle!$K$23,0))))))))))))</f>
        <v>0</v>
      </c>
      <c r="AK304" s="16">
        <f>IF(OR(Q304=regle!$J$11,Q304=regle!$K$11),-2,IF(Q304=regle!$B$11,0,IF(AK$1=$AK$1,IF($O304,-1,regle!$B$2-$M304),IF(AJ304=-1,-1,AJ304+1))))</f>
        <v>19</v>
      </c>
      <c r="AL304" s="16">
        <f>IF(OR(R304=regle!$J$11,R304=regle!$K$11),-2,IF(R304=regle!$B$11,0,IF(AL$1=$AK$1,IF($O304,-1,regle!$B$2-$M304),IF(AK304=-1,-1,AK304+1))))</f>
        <v>20</v>
      </c>
      <c r="AM304" s="16">
        <f>IF(OR(S304=regle!$J$11,S304=regle!$K$11),-2,IF(S304=regle!$B$11,0,IF(AM$1=$AK$1,IF($O304,-1,regle!$B$2-$M304),IF(AL304=-1,-1,AL304+1))))</f>
        <v>21</v>
      </c>
      <c r="AN304" s="16">
        <f>IF(OR(T304=regle!$J$11,T304=regle!$K$11),-2,IF(T304=regle!$B$11,0,IF(AN$1=$AK$1,IF($O304,-1,regle!$B$2-$M304),IF(AM304=-1,-1,AM304+1))))</f>
        <v>22</v>
      </c>
      <c r="AO304" s="16">
        <f>IF(OR(U304=regle!$J$11,U304=regle!$K$11),-2,IF(U304=regle!$B$11,0,IF(AO$1=$AK$1,IF($O304,-1,regle!$B$2-$M304),IF(AN304=-1,-1,AN304+1))))</f>
        <v>23</v>
      </c>
      <c r="AP304" s="16">
        <f>IF(OR(V304=regle!$J$11,V304=regle!$K$11),-2,IF(V304=regle!$B$11,0,IF(AP$1=$AK$1,IF($O304,-1,regle!$B$2-$M304),IF(AO304=-1,-1,AO304+1))))</f>
        <v>24</v>
      </c>
      <c r="AQ304" s="16">
        <f>IF(OR(W304=regle!$J$11,W304=regle!$K$11),-2,IF(W304=regle!$B$11,0,IF(AQ$1=$AK$1,IF($O304,-1,regle!$B$2-$M304),IF(AP304=-1,-1,AP304+1))))</f>
        <v>25</v>
      </c>
      <c r="AR304" s="16">
        <f>IF(OR(X304=regle!$J$11,X304=regle!$K$11),-2,IF(X304=regle!$B$11,0,IF(AR$1=$AK$1,IF($O304,-1,regle!$B$2-$M304),IF(AQ304=-1,-1,AQ304+1))))</f>
        <v>26</v>
      </c>
      <c r="AS304" s="16">
        <f>IF(OR(Y304=regle!$J$11,Y304=regle!$K$11),-2,IF(Y304=regle!$B$11,0,IF(AS$1=$AK$1,IF($O304,-1,regle!$B$2-$M304),IF(AR304=-1,-1,AR304+1))))</f>
        <v>27</v>
      </c>
      <c r="AT304" s="16">
        <f>IF(OR(Z304=regle!$J$11,Z304=regle!$K$11),-2,IF(Z304=regle!$B$11,0,IF(AT$1=$AK$1,IF($O304,-1,regle!$B$2-$M304),IF(AS304=-1,-1,AS304+1))))</f>
        <v>28</v>
      </c>
    </row>
    <row r="305" spans="1:46" x14ac:dyDescent="0.25">
      <c r="A305" t="b">
        <f>modif1!A305</f>
        <v>1</v>
      </c>
      <c r="B305">
        <f>ROW(modif1!B305)</f>
        <v>305</v>
      </c>
      <c r="C305" t="str">
        <f>modif1!C308</f>
        <v>536</v>
      </c>
      <c r="D305" t="str">
        <f>modif1!D305</f>
        <v>CABANAC-ET-VILLAGRAINS</v>
      </c>
      <c r="E305">
        <f>modif1!E305</f>
        <v>13</v>
      </c>
      <c r="F305" t="str">
        <f>modif1!F305</f>
        <v>LAGUNE LONGUE</v>
      </c>
      <c r="G305" t="str">
        <f>modif1!G305</f>
        <v>0D</v>
      </c>
      <c r="H305">
        <f>modif1!H305</f>
        <v>1389</v>
      </c>
      <c r="I305" t="str">
        <f>modif1!I305</f>
        <v>l</v>
      </c>
      <c r="J305" s="11">
        <f>modif1!J305</f>
        <v>0.68510000000000004</v>
      </c>
      <c r="K305" t="str">
        <f>modif1!K305</f>
        <v>PLA</v>
      </c>
      <c r="L305" t="str">
        <f>modif1!L305</f>
        <v>PM</v>
      </c>
      <c r="M305">
        <f>modif1!M305</f>
        <v>2005</v>
      </c>
      <c r="N305" t="str">
        <f>modif1!N305</f>
        <v>PLA-PM_2005</v>
      </c>
      <c r="O305" t="b">
        <f>modif1!O305</f>
        <v>0</v>
      </c>
      <c r="P305">
        <v>40</v>
      </c>
      <c r="T305" t="s">
        <v>1805</v>
      </c>
      <c r="Y305" s="22"/>
      <c r="Z305" t="s">
        <v>1806</v>
      </c>
      <c r="AA305" s="17">
        <f>IF($A305,$J305*(IF(Q305=regle!$B$11,regle!$B$23*IF(AJ305=-2,1+regle!$B$35,1),
IF(Q305=regle!$C$11,regle!$C$23,
IF(Q305=regle!$D$11,regle!$D$23,
IF(Q305=regle!$E$11,regle!$E$23,
IF(Q305=regle!$F$11,regle!$F$23,
IF(Q305=regle!$G$11,regle!$G$23,
IF(Q305=regle!$H$11,regle!$H$23,
IF(Q305=regle!$I$11,regle!$I$23,
IF(Q305=regle!$J$11,regle!$J$23,
IF(Q305=regle!$K$11,regle!$K$23,0))))))))))))</f>
        <v>0</v>
      </c>
      <c r="AB305" s="17">
        <f>IF($A305,$J305*(IF(R305=regle!$B$11,regle!$B$23*IF(AK305=-2,1+regle!$B$35,1),
IF(R305=regle!$C$11,regle!$C$23,
IF(R305=regle!$D$11,regle!$D$23,
IF(R305=regle!$E$11,regle!$E$23,
IF(R305=regle!$F$11,regle!$F$23,
IF(R305=regle!$G$11,regle!$G$23,
IF(R305=regle!$H$11,regle!$H$23,
IF(R305=regle!$I$11,regle!$I$23,
IF(R305=regle!$J$11,regle!$J$23,
IF(R305=regle!$K$11,regle!$K$23,0))))))))))))</f>
        <v>0</v>
      </c>
      <c r="AC305" s="17">
        <f>IF($A305,$J305*(IF(S305=regle!$B$11,regle!$B$23*IF(AL305=-2,1+regle!$B$35,1),
IF(S305=regle!$C$11,regle!$C$23,
IF(S305=regle!$D$11,regle!$D$23,
IF(S305=regle!$E$11,regle!$E$23,
IF(S305=regle!$F$11,regle!$F$23,
IF(S305=regle!$G$11,regle!$G$23,
IF(S305=regle!$H$11,regle!$H$23,
IF(S305=regle!$I$11,regle!$I$23,
IF(S305=regle!$J$11,regle!$J$23,
IF(S305=regle!$K$11,regle!$K$23,0))))))))))))</f>
        <v>0</v>
      </c>
      <c r="AD305" s="17">
        <f>IF($A305,$J305*(IF(T305=regle!$B$11,regle!$B$23*IF(AM305=-2,1+regle!$B$35,1),
IF(T305=regle!$C$11,regle!$C$23,
IF(T305=regle!$D$11,regle!$D$23,
IF(T305=regle!$E$11,regle!$E$23,
IF(T305=regle!$F$11,regle!$F$23,
IF(T305=regle!$G$11,regle!$G$23,
IF(T305=regle!$H$11,regle!$H$23,
IF(T305=regle!$I$11,regle!$I$23,
IF(T305=regle!$J$11,regle!$J$23,
IF(T305=regle!$K$11,regle!$K$23,0))))))))))))</f>
        <v>964.62080000000003</v>
      </c>
      <c r="AE305" s="17">
        <f>IF($A305,$J305*(IF(U305=regle!$B$11,regle!$B$23*IF(AN305=-2,1+regle!$B$35,1),
IF(U305=regle!$C$11,regle!$C$23,
IF(U305=regle!$D$11,regle!$D$23,
IF(U305=regle!$E$11,regle!$E$23,
IF(U305=regle!$F$11,regle!$F$23,
IF(U305=regle!$G$11,regle!$G$23,
IF(U305=regle!$H$11,regle!$H$23,
IF(U305=regle!$I$11,regle!$I$23,
IF(U305=regle!$J$11,regle!$J$23,
IF(U305=regle!$K$11,regle!$K$23,0))))))))))))</f>
        <v>0</v>
      </c>
      <c r="AF305" s="17">
        <f>IF($A305,$J305*(IF(V305=regle!$B$11,regle!$B$23*IF(AO305=-2,1+regle!$B$35,1),
IF(V305=regle!$C$11,regle!$C$23,
IF(V305=regle!$D$11,regle!$D$23,
IF(V305=regle!$E$11,regle!$E$23,
IF(V305=regle!$F$11,regle!$F$23,
IF(V305=regle!$G$11,regle!$G$23,
IF(V305=regle!$H$11,regle!$H$23,
IF(V305=regle!$I$11,regle!$I$23,
IF(V305=regle!$J$11,regle!$J$23,
IF(V305=regle!$K$11,regle!$K$23,0))))))))))))</f>
        <v>0</v>
      </c>
      <c r="AG305" s="17">
        <f>IF($A305,$J305*(IF(W305=regle!$B$11,regle!$B$23*IF(AP305=-2,1+regle!$B$35,1),
IF(W305=regle!$C$11,regle!$C$23,
IF(W305=regle!$D$11,regle!$D$23,
IF(W305=regle!$E$11,regle!$E$23,
IF(W305=regle!$F$11,regle!$F$23,
IF(W305=regle!$G$11,regle!$G$23,
IF(W305=regle!$H$11,regle!$H$23,
IF(W305=regle!$I$11,regle!$I$23,
IF(W305=regle!$J$11,regle!$J$23,
IF(W305=regle!$K$11,regle!$K$23,0))))))))))))</f>
        <v>0</v>
      </c>
      <c r="AH305" s="17">
        <f>IF($A305,$J305*(IF(X305=regle!$B$11,regle!$B$23*IF(AQ305=-2,1+regle!$B$35,1),
IF(X305=regle!$C$11,regle!$C$23,
IF(X305=regle!$D$11,regle!$D$23,
IF(X305=regle!$E$11,regle!$E$23,
IF(X305=regle!$F$11,regle!$F$23,
IF(X305=regle!$G$11,regle!$G$23,
IF(X305=regle!$H$11,regle!$H$23,
IF(X305=regle!$I$11,regle!$I$23,
IF(X305=regle!$J$11,regle!$J$23,
IF(X305=regle!$K$11,regle!$K$23,0))))))))))))</f>
        <v>0</v>
      </c>
      <c r="AI305" s="17">
        <f>IF($A305,$J305*(IF(Y305=regle!$B$11,regle!$B$23*IF(AR305=-2,1+regle!$B$35,1),
IF(Y305=regle!$C$11,regle!$C$23,
IF(Y305=regle!$D$11,regle!$D$23,
IF(Y305=regle!$E$11,regle!$E$23,
IF(Y305=regle!$F$11,regle!$F$23,
IF(Y305=regle!$G$11,regle!$G$23,
IF(Y305=regle!$H$11,regle!$H$23,
IF(Y305=regle!$I$11,regle!$I$23,
IF(Y305=regle!$J$11,regle!$J$23,
IF(Y305=regle!$K$11,regle!$K$23,0))))))))))))</f>
        <v>0</v>
      </c>
      <c r="AJ305" s="17">
        <f>IF($A305,$J305*(IF(Z305=regle!$B$11,regle!$B$23*IF(AS305=-2,1+regle!$B$35,1),
IF(Z305=regle!$C$11,regle!$C$23,
IF(Z305=regle!$D$11,regle!$D$23,
IF(Z305=regle!$E$11,regle!$E$23,
IF(Z305=regle!$F$11,regle!$F$23,
IF(Z305=regle!$G$11,regle!$G$23,
IF(Z305=regle!$H$11,regle!$H$23,
IF(Z305=regle!$I$11,regle!$I$23,
IF(Z305=regle!$J$11,regle!$J$23,
IF(Z305=regle!$K$11,regle!$K$23,0))))))))))))</f>
        <v>876.92800000000011</v>
      </c>
      <c r="AK305" s="16">
        <f>IF(OR(Q305=regle!$J$11,Q305=regle!$K$11),-2,IF(Q305=regle!$B$11,0,IF(AK$1=$AK$1,IF($O305,-1,regle!$B$2-$M305),IF(AJ305=-1,-1,AJ305+1))))</f>
        <v>19</v>
      </c>
      <c r="AL305" s="16">
        <f>IF(OR(R305=regle!$J$11,R305=regle!$K$11),-2,IF(R305=regle!$B$11,0,IF(AL$1=$AK$1,IF($O305,-1,regle!$B$2-$M305),IF(AK305=-1,-1,AK305+1))))</f>
        <v>20</v>
      </c>
      <c r="AM305" s="16">
        <f>IF(OR(S305=regle!$J$11,S305=regle!$K$11),-2,IF(S305=regle!$B$11,0,IF(AM$1=$AK$1,IF($O305,-1,regle!$B$2-$M305),IF(AL305=-1,-1,AL305+1))))</f>
        <v>21</v>
      </c>
      <c r="AN305" s="16">
        <f>IF(OR(T305=regle!$J$11,T305=regle!$K$11),-2,IF(T305=regle!$B$11,0,IF(AN$1=$AK$1,IF($O305,-1,regle!$B$2-$M305),IF(AM305=-1,-1,AM305+1))))</f>
        <v>22</v>
      </c>
      <c r="AO305" s="16">
        <f>IF(OR(U305=regle!$J$11,U305=regle!$K$11),-2,IF(U305=regle!$B$11,0,IF(AO$1=$AK$1,IF($O305,-1,regle!$B$2-$M305),IF(AN305=-1,-1,AN305+1))))</f>
        <v>23</v>
      </c>
      <c r="AP305" s="16">
        <f>IF(OR(V305=regle!$J$11,V305=regle!$K$11),-2,IF(V305=regle!$B$11,0,IF(AP$1=$AK$1,IF($O305,-1,regle!$B$2-$M305),IF(AO305=-1,-1,AO305+1))))</f>
        <v>24</v>
      </c>
      <c r="AQ305" s="16">
        <f>IF(OR(W305=regle!$J$11,W305=regle!$K$11),-2,IF(W305=regle!$B$11,0,IF(AQ$1=$AK$1,IF($O305,-1,regle!$B$2-$M305),IF(AP305=-1,-1,AP305+1))))</f>
        <v>25</v>
      </c>
      <c r="AR305" s="16">
        <f>IF(OR(X305=regle!$J$11,X305=regle!$K$11),-2,IF(X305=regle!$B$11,0,IF(AR$1=$AK$1,IF($O305,-1,regle!$B$2-$M305),IF(AQ305=-1,-1,AQ305+1))))</f>
        <v>26</v>
      </c>
      <c r="AS305" s="16">
        <f>IF(OR(Y305=regle!$J$11,Y305=regle!$K$11),-2,IF(Y305=regle!$B$11,0,IF(AS$1=$AK$1,IF($O305,-1,regle!$B$2-$M305),IF(AR305=-1,-1,AR305+1))))</f>
        <v>27</v>
      </c>
      <c r="AT305" s="16">
        <f>IF(OR(Z305=regle!$J$11,Z305=regle!$K$11),-2,IF(Z305=regle!$B$11,0,IF(AT$1=$AK$1,IF($O305,-1,regle!$B$2-$M305),IF(AS305=-1,-1,AS305+1))))</f>
        <v>28</v>
      </c>
    </row>
    <row r="306" spans="1:46" x14ac:dyDescent="0.25">
      <c r="A306" t="b">
        <f>modif1!A306</f>
        <v>1</v>
      </c>
      <c r="B306">
        <f>ROW(modif1!B306)</f>
        <v>306</v>
      </c>
      <c r="C306" t="str">
        <f>modif1!C309</f>
        <v>536</v>
      </c>
      <c r="D306" t="str">
        <f>modif1!D306</f>
        <v>LE TUZAN</v>
      </c>
      <c r="E306">
        <f>modif1!E306</f>
        <v>21</v>
      </c>
      <c r="F306" t="str">
        <f>modif1!F306</f>
        <v>METAIRIES DE TABARTON</v>
      </c>
      <c r="G306" t="str">
        <f>modif1!G306</f>
        <v>0A</v>
      </c>
      <c r="H306">
        <f>modif1!H306</f>
        <v>407</v>
      </c>
      <c r="I306" t="str">
        <f>modif1!I306</f>
        <v>f</v>
      </c>
      <c r="J306" s="11">
        <f>modif1!J306</f>
        <v>0.6603</v>
      </c>
      <c r="K306" t="str">
        <f>modif1!K306</f>
        <v>PLA</v>
      </c>
      <c r="L306" t="str">
        <f>modif1!L306</f>
        <v>PM</v>
      </c>
      <c r="M306">
        <f>modif1!M306</f>
        <v>2005</v>
      </c>
      <c r="N306" t="str">
        <f>modif1!N306</f>
        <v>PLA-PM_2005</v>
      </c>
      <c r="O306" t="b">
        <f>modif1!O306</f>
        <v>0</v>
      </c>
      <c r="P306">
        <v>40</v>
      </c>
      <c r="T306" t="s">
        <v>1805</v>
      </c>
      <c r="Y306" t="s">
        <v>1806</v>
      </c>
      <c r="Z306"/>
      <c r="AA306" s="17">
        <f>IF($A306,$J306*(IF(Q306=regle!$B$11,regle!$B$23*IF(AJ306=-2,1+regle!$B$35,1),
IF(Q306=regle!$C$11,regle!$C$23,
IF(Q306=regle!$D$11,regle!$D$23,
IF(Q306=regle!$E$11,regle!$E$23,
IF(Q306=regle!$F$11,regle!$F$23,
IF(Q306=regle!$G$11,regle!$G$23,
IF(Q306=regle!$H$11,regle!$H$23,
IF(Q306=regle!$I$11,regle!$I$23,
IF(Q306=regle!$J$11,regle!$J$23,
IF(Q306=regle!$K$11,regle!$K$23,0))))))))))))</f>
        <v>0</v>
      </c>
      <c r="AB306" s="17">
        <f>IF($A306,$J306*(IF(R306=regle!$B$11,regle!$B$23*IF(AK306=-2,1+regle!$B$35,1),
IF(R306=regle!$C$11,regle!$C$23,
IF(R306=regle!$D$11,regle!$D$23,
IF(R306=regle!$E$11,regle!$E$23,
IF(R306=regle!$F$11,regle!$F$23,
IF(R306=regle!$G$11,regle!$G$23,
IF(R306=regle!$H$11,regle!$H$23,
IF(R306=regle!$I$11,regle!$I$23,
IF(R306=regle!$J$11,regle!$J$23,
IF(R306=regle!$K$11,regle!$K$23,0))))))))))))</f>
        <v>0</v>
      </c>
      <c r="AC306" s="17">
        <f>IF($A306,$J306*(IF(S306=regle!$B$11,regle!$B$23*IF(AL306=-2,1+regle!$B$35,1),
IF(S306=regle!$C$11,regle!$C$23,
IF(S306=regle!$D$11,regle!$D$23,
IF(S306=regle!$E$11,regle!$E$23,
IF(S306=regle!$F$11,regle!$F$23,
IF(S306=regle!$G$11,regle!$G$23,
IF(S306=regle!$H$11,regle!$H$23,
IF(S306=regle!$I$11,regle!$I$23,
IF(S306=regle!$J$11,regle!$J$23,
IF(S306=regle!$K$11,regle!$K$23,0))))))))))))</f>
        <v>0</v>
      </c>
      <c r="AD306" s="17">
        <f>IF($A306,$J306*(IF(T306=regle!$B$11,regle!$B$23*IF(AM306=-2,1+regle!$B$35,1),
IF(T306=regle!$C$11,regle!$C$23,
IF(T306=regle!$D$11,regle!$D$23,
IF(T306=regle!$E$11,regle!$E$23,
IF(T306=regle!$F$11,regle!$F$23,
IF(T306=regle!$G$11,regle!$G$23,
IF(T306=regle!$H$11,regle!$H$23,
IF(T306=regle!$I$11,regle!$I$23,
IF(T306=regle!$J$11,regle!$J$23,
IF(T306=regle!$K$11,regle!$K$23,0))))))))))))</f>
        <v>929.70240000000001</v>
      </c>
      <c r="AE306" s="17">
        <f>IF($A306,$J306*(IF(U306=regle!$B$11,regle!$B$23*IF(AN306=-2,1+regle!$B$35,1),
IF(U306=regle!$C$11,regle!$C$23,
IF(U306=regle!$D$11,regle!$D$23,
IF(U306=regle!$E$11,regle!$E$23,
IF(U306=regle!$F$11,regle!$F$23,
IF(U306=regle!$G$11,regle!$G$23,
IF(U306=regle!$H$11,regle!$H$23,
IF(U306=regle!$I$11,regle!$I$23,
IF(U306=regle!$J$11,regle!$J$23,
IF(U306=regle!$K$11,regle!$K$23,0))))))))))))</f>
        <v>0</v>
      </c>
      <c r="AF306" s="17">
        <f>IF($A306,$J306*(IF(V306=regle!$B$11,regle!$B$23*IF(AO306=-2,1+regle!$B$35,1),
IF(V306=regle!$C$11,regle!$C$23,
IF(V306=regle!$D$11,regle!$D$23,
IF(V306=regle!$E$11,regle!$E$23,
IF(V306=regle!$F$11,regle!$F$23,
IF(V306=regle!$G$11,regle!$G$23,
IF(V306=regle!$H$11,regle!$H$23,
IF(V306=regle!$I$11,regle!$I$23,
IF(V306=regle!$J$11,regle!$J$23,
IF(V306=regle!$K$11,regle!$K$23,0))))))))))))</f>
        <v>0</v>
      </c>
      <c r="AG306" s="17">
        <f>IF($A306,$J306*(IF(W306=regle!$B$11,regle!$B$23*IF(AP306=-2,1+regle!$B$35,1),
IF(W306=regle!$C$11,regle!$C$23,
IF(W306=regle!$D$11,regle!$D$23,
IF(W306=regle!$E$11,regle!$E$23,
IF(W306=regle!$F$11,regle!$F$23,
IF(W306=regle!$G$11,regle!$G$23,
IF(W306=regle!$H$11,regle!$H$23,
IF(W306=regle!$I$11,regle!$I$23,
IF(W306=regle!$J$11,regle!$J$23,
IF(W306=regle!$K$11,regle!$K$23,0))))))))))))</f>
        <v>0</v>
      </c>
      <c r="AH306" s="17">
        <f>IF($A306,$J306*(IF(X306=regle!$B$11,regle!$B$23*IF(AQ306=-2,1+regle!$B$35,1),
IF(X306=regle!$C$11,regle!$C$23,
IF(X306=regle!$D$11,regle!$D$23,
IF(X306=regle!$E$11,regle!$E$23,
IF(X306=regle!$F$11,regle!$F$23,
IF(X306=regle!$G$11,regle!$G$23,
IF(X306=regle!$H$11,regle!$H$23,
IF(X306=regle!$I$11,regle!$I$23,
IF(X306=regle!$J$11,regle!$J$23,
IF(X306=regle!$K$11,regle!$K$23,0))))))))))))</f>
        <v>0</v>
      </c>
      <c r="AI306" s="17">
        <f>IF($A306,$J306*(IF(Y306=regle!$B$11,regle!$B$23*IF(AR306=-2,1+regle!$B$35,1),
IF(Y306=regle!$C$11,regle!$C$23,
IF(Y306=regle!$D$11,regle!$D$23,
IF(Y306=regle!$E$11,regle!$E$23,
IF(Y306=regle!$F$11,regle!$F$23,
IF(Y306=regle!$G$11,regle!$G$23,
IF(Y306=regle!$H$11,regle!$H$23,
IF(Y306=regle!$I$11,regle!$I$23,
IF(Y306=regle!$J$11,regle!$J$23,
IF(Y306=regle!$K$11,regle!$K$23,0))))))))))))</f>
        <v>845.18399999999997</v>
      </c>
      <c r="AJ306" s="17">
        <f>IF($A306,$J306*(IF(Z306=regle!$B$11,regle!$B$23*IF(AS306=-2,1+regle!$B$35,1),
IF(Z306=regle!$C$11,regle!$C$23,
IF(Z306=regle!$D$11,regle!$D$23,
IF(Z306=regle!$E$11,regle!$E$23,
IF(Z306=regle!$F$11,regle!$F$23,
IF(Z306=regle!$G$11,regle!$G$23,
IF(Z306=regle!$H$11,regle!$H$23,
IF(Z306=regle!$I$11,regle!$I$23,
IF(Z306=regle!$J$11,regle!$J$23,
IF(Z306=regle!$K$11,regle!$K$23,0))))))))))))</f>
        <v>0</v>
      </c>
      <c r="AK306" s="16">
        <f>IF(OR(Q306=regle!$J$11,Q306=regle!$K$11),-2,IF(Q306=regle!$B$11,0,IF(AK$1=$AK$1,IF($O306,-1,regle!$B$2-$M306),IF(AJ306=-1,-1,AJ306+1))))</f>
        <v>19</v>
      </c>
      <c r="AL306" s="16">
        <f>IF(OR(R306=regle!$J$11,R306=regle!$K$11),-2,IF(R306=regle!$B$11,0,IF(AL$1=$AK$1,IF($O306,-1,regle!$B$2-$M306),IF(AK306=-1,-1,AK306+1))))</f>
        <v>20</v>
      </c>
      <c r="AM306" s="16">
        <f>IF(OR(S306=regle!$J$11,S306=regle!$K$11),-2,IF(S306=regle!$B$11,0,IF(AM$1=$AK$1,IF($O306,-1,regle!$B$2-$M306),IF(AL306=-1,-1,AL306+1))))</f>
        <v>21</v>
      </c>
      <c r="AN306" s="16">
        <f>IF(OR(T306=regle!$J$11,T306=regle!$K$11),-2,IF(T306=regle!$B$11,0,IF(AN$1=$AK$1,IF($O306,-1,regle!$B$2-$M306),IF(AM306=-1,-1,AM306+1))))</f>
        <v>22</v>
      </c>
      <c r="AO306" s="16">
        <f>IF(OR(U306=regle!$J$11,U306=regle!$K$11),-2,IF(U306=regle!$B$11,0,IF(AO$1=$AK$1,IF($O306,-1,regle!$B$2-$M306),IF(AN306=-1,-1,AN306+1))))</f>
        <v>23</v>
      </c>
      <c r="AP306" s="16">
        <f>IF(OR(V306=regle!$J$11,V306=regle!$K$11),-2,IF(V306=regle!$B$11,0,IF(AP$1=$AK$1,IF($O306,-1,regle!$B$2-$M306),IF(AO306=-1,-1,AO306+1))))</f>
        <v>24</v>
      </c>
      <c r="AQ306" s="16">
        <f>IF(OR(W306=regle!$J$11,W306=regle!$K$11),-2,IF(W306=regle!$B$11,0,IF(AQ$1=$AK$1,IF($O306,-1,regle!$B$2-$M306),IF(AP306=-1,-1,AP306+1))))</f>
        <v>25</v>
      </c>
      <c r="AR306" s="16">
        <f>IF(OR(X306=regle!$J$11,X306=regle!$K$11),-2,IF(X306=regle!$B$11,0,IF(AR$1=$AK$1,IF($O306,-1,regle!$B$2-$M306),IF(AQ306=-1,-1,AQ306+1))))</f>
        <v>26</v>
      </c>
      <c r="AS306" s="16">
        <f>IF(OR(Y306=regle!$J$11,Y306=regle!$K$11),-2,IF(Y306=regle!$B$11,0,IF(AS$1=$AK$1,IF($O306,-1,regle!$B$2-$M306),IF(AR306=-1,-1,AR306+1))))</f>
        <v>27</v>
      </c>
      <c r="AT306" s="16">
        <f>IF(OR(Z306=regle!$J$11,Z306=regle!$K$11),-2,IF(Z306=regle!$B$11,0,IF(AT$1=$AK$1,IF($O306,-1,regle!$B$2-$M306),IF(AS306=-1,-1,AS306+1))))</f>
        <v>28</v>
      </c>
    </row>
    <row r="307" spans="1:46" x14ac:dyDescent="0.25">
      <c r="A307" t="b">
        <f>modif1!A307</f>
        <v>1</v>
      </c>
      <c r="B307">
        <f>ROW(modif1!B307)</f>
        <v>307</v>
      </c>
      <c r="C307" t="str">
        <f>modif1!C310</f>
        <v>077</v>
      </c>
      <c r="D307" t="str">
        <f>modif1!D307</f>
        <v>CABANAC-ET-VILLAGRAINS</v>
      </c>
      <c r="E307">
        <f>modif1!E307</f>
        <v>12</v>
      </c>
      <c r="F307" t="str">
        <f>modif1!F307</f>
        <v>LES JEANNOTS</v>
      </c>
      <c r="G307" t="str">
        <f>modif1!G307</f>
        <v>0D</v>
      </c>
      <c r="H307">
        <f>modif1!H307</f>
        <v>2305</v>
      </c>
      <c r="I307" t="str">
        <f>modif1!I307</f>
        <v>k</v>
      </c>
      <c r="J307" s="11">
        <f>modif1!J307</f>
        <v>0.53249999999999997</v>
      </c>
      <c r="K307" t="str">
        <f>modif1!K307</f>
        <v>PLA</v>
      </c>
      <c r="L307" t="str">
        <f>modif1!L307</f>
        <v>PM</v>
      </c>
      <c r="M307">
        <f>modif1!M307</f>
        <v>2005</v>
      </c>
      <c r="N307" t="str">
        <f>modif1!N307</f>
        <v>PLA-PM_2005</v>
      </c>
      <c r="O307" t="b">
        <f>modif1!O307</f>
        <v>0</v>
      </c>
      <c r="P307">
        <v>40</v>
      </c>
      <c r="T307" t="s">
        <v>1805</v>
      </c>
      <c r="Y307" t="s">
        <v>1806</v>
      </c>
      <c r="Z307"/>
      <c r="AA307" s="17">
        <f>IF($A307,$J307*(IF(Q307=regle!$B$11,regle!$B$23*IF(AJ307=-2,1+regle!$B$35,1),
IF(Q307=regle!$C$11,regle!$C$23,
IF(Q307=regle!$D$11,regle!$D$23,
IF(Q307=regle!$E$11,regle!$E$23,
IF(Q307=regle!$F$11,regle!$F$23,
IF(Q307=regle!$G$11,regle!$G$23,
IF(Q307=regle!$H$11,regle!$H$23,
IF(Q307=regle!$I$11,regle!$I$23,
IF(Q307=regle!$J$11,regle!$J$23,
IF(Q307=regle!$K$11,regle!$K$23,0))))))))))))</f>
        <v>0</v>
      </c>
      <c r="AB307" s="17">
        <f>IF($A307,$J307*(IF(R307=regle!$B$11,regle!$B$23*IF(AK307=-2,1+regle!$B$35,1),
IF(R307=regle!$C$11,regle!$C$23,
IF(R307=regle!$D$11,regle!$D$23,
IF(R307=regle!$E$11,regle!$E$23,
IF(R307=regle!$F$11,regle!$F$23,
IF(R307=regle!$G$11,regle!$G$23,
IF(R307=regle!$H$11,regle!$H$23,
IF(R307=regle!$I$11,regle!$I$23,
IF(R307=regle!$J$11,regle!$J$23,
IF(R307=regle!$K$11,regle!$K$23,0))))))))))))</f>
        <v>0</v>
      </c>
      <c r="AC307" s="17">
        <f>IF($A307,$J307*(IF(S307=regle!$B$11,regle!$B$23*IF(AL307=-2,1+regle!$B$35,1),
IF(S307=regle!$C$11,regle!$C$23,
IF(S307=regle!$D$11,regle!$D$23,
IF(S307=regle!$E$11,regle!$E$23,
IF(S307=regle!$F$11,regle!$F$23,
IF(S307=regle!$G$11,regle!$G$23,
IF(S307=regle!$H$11,regle!$H$23,
IF(S307=regle!$I$11,regle!$I$23,
IF(S307=regle!$J$11,regle!$J$23,
IF(S307=regle!$K$11,regle!$K$23,0))))))))))))</f>
        <v>0</v>
      </c>
      <c r="AD307" s="17">
        <f>IF($A307,$J307*(IF(T307=regle!$B$11,regle!$B$23*IF(AM307=-2,1+regle!$B$35,1),
IF(T307=regle!$C$11,regle!$C$23,
IF(T307=regle!$D$11,regle!$D$23,
IF(T307=regle!$E$11,regle!$E$23,
IF(T307=regle!$F$11,regle!$F$23,
IF(T307=regle!$G$11,regle!$G$23,
IF(T307=regle!$H$11,regle!$H$23,
IF(T307=regle!$I$11,regle!$I$23,
IF(T307=regle!$J$11,regle!$J$23,
IF(T307=regle!$K$11,regle!$K$23,0))))))))))))</f>
        <v>749.76</v>
      </c>
      <c r="AE307" s="17">
        <f>IF($A307,$J307*(IF(U307=regle!$B$11,regle!$B$23*IF(AN307=-2,1+regle!$B$35,1),
IF(U307=regle!$C$11,regle!$C$23,
IF(U307=regle!$D$11,regle!$D$23,
IF(U307=regle!$E$11,regle!$E$23,
IF(U307=regle!$F$11,regle!$F$23,
IF(U307=regle!$G$11,regle!$G$23,
IF(U307=regle!$H$11,regle!$H$23,
IF(U307=regle!$I$11,regle!$I$23,
IF(U307=regle!$J$11,regle!$J$23,
IF(U307=regle!$K$11,regle!$K$23,0))))))))))))</f>
        <v>0</v>
      </c>
      <c r="AF307" s="17">
        <f>IF($A307,$J307*(IF(V307=regle!$B$11,regle!$B$23*IF(AO307=-2,1+regle!$B$35,1),
IF(V307=regle!$C$11,regle!$C$23,
IF(V307=regle!$D$11,regle!$D$23,
IF(V307=regle!$E$11,regle!$E$23,
IF(V307=regle!$F$11,regle!$F$23,
IF(V307=regle!$G$11,regle!$G$23,
IF(V307=regle!$H$11,regle!$H$23,
IF(V307=regle!$I$11,regle!$I$23,
IF(V307=regle!$J$11,regle!$J$23,
IF(V307=regle!$K$11,regle!$K$23,0))))))))))))</f>
        <v>0</v>
      </c>
      <c r="AG307" s="17">
        <f>IF($A307,$J307*(IF(W307=regle!$B$11,regle!$B$23*IF(AP307=-2,1+regle!$B$35,1),
IF(W307=regle!$C$11,regle!$C$23,
IF(W307=regle!$D$11,regle!$D$23,
IF(W307=regle!$E$11,regle!$E$23,
IF(W307=regle!$F$11,regle!$F$23,
IF(W307=regle!$G$11,regle!$G$23,
IF(W307=regle!$H$11,regle!$H$23,
IF(W307=regle!$I$11,regle!$I$23,
IF(W307=regle!$J$11,regle!$J$23,
IF(W307=regle!$K$11,regle!$K$23,0))))))))))))</f>
        <v>0</v>
      </c>
      <c r="AH307" s="17">
        <f>IF($A307,$J307*(IF(X307=regle!$B$11,regle!$B$23*IF(AQ307=-2,1+regle!$B$35,1),
IF(X307=regle!$C$11,regle!$C$23,
IF(X307=regle!$D$11,regle!$D$23,
IF(X307=regle!$E$11,regle!$E$23,
IF(X307=regle!$F$11,regle!$F$23,
IF(X307=regle!$G$11,regle!$G$23,
IF(X307=regle!$H$11,regle!$H$23,
IF(X307=regle!$I$11,regle!$I$23,
IF(X307=regle!$J$11,regle!$J$23,
IF(X307=regle!$K$11,regle!$K$23,0))))))))))))</f>
        <v>0</v>
      </c>
      <c r="AI307" s="17">
        <f>IF($A307,$J307*(IF(Y307=regle!$B$11,regle!$B$23*IF(AR307=-2,1+regle!$B$35,1),
IF(Y307=regle!$C$11,regle!$C$23,
IF(Y307=regle!$D$11,regle!$D$23,
IF(Y307=regle!$E$11,regle!$E$23,
IF(Y307=regle!$F$11,regle!$F$23,
IF(Y307=regle!$G$11,regle!$G$23,
IF(Y307=regle!$H$11,regle!$H$23,
IF(Y307=regle!$I$11,regle!$I$23,
IF(Y307=regle!$J$11,regle!$J$23,
IF(Y307=regle!$K$11,regle!$K$23,0))))))))))))</f>
        <v>681.59999999999991</v>
      </c>
      <c r="AJ307" s="17">
        <f>IF($A307,$J307*(IF(Z307=regle!$B$11,regle!$B$23*IF(AS307=-2,1+regle!$B$35,1),
IF(Z307=regle!$C$11,regle!$C$23,
IF(Z307=regle!$D$11,regle!$D$23,
IF(Z307=regle!$E$11,regle!$E$23,
IF(Z307=regle!$F$11,regle!$F$23,
IF(Z307=regle!$G$11,regle!$G$23,
IF(Z307=regle!$H$11,regle!$H$23,
IF(Z307=regle!$I$11,regle!$I$23,
IF(Z307=regle!$J$11,regle!$J$23,
IF(Z307=regle!$K$11,regle!$K$23,0))))))))))))</f>
        <v>0</v>
      </c>
      <c r="AK307" s="16">
        <f>IF(OR(Q307=regle!$J$11,Q307=regle!$K$11),-2,IF(Q307=regle!$B$11,0,IF(AK$1=$AK$1,IF($O307,-1,regle!$B$2-$M307),IF(AJ307=-1,-1,AJ307+1))))</f>
        <v>19</v>
      </c>
      <c r="AL307" s="16">
        <f>IF(OR(R307=regle!$J$11,R307=regle!$K$11),-2,IF(R307=regle!$B$11,0,IF(AL$1=$AK$1,IF($O307,-1,regle!$B$2-$M307),IF(AK307=-1,-1,AK307+1))))</f>
        <v>20</v>
      </c>
      <c r="AM307" s="16">
        <f>IF(OR(S307=regle!$J$11,S307=regle!$K$11),-2,IF(S307=regle!$B$11,0,IF(AM$1=$AK$1,IF($O307,-1,regle!$B$2-$M307),IF(AL307=-1,-1,AL307+1))))</f>
        <v>21</v>
      </c>
      <c r="AN307" s="16">
        <f>IF(OR(T307=regle!$J$11,T307=regle!$K$11),-2,IF(T307=regle!$B$11,0,IF(AN$1=$AK$1,IF($O307,-1,regle!$B$2-$M307),IF(AM307=-1,-1,AM307+1))))</f>
        <v>22</v>
      </c>
      <c r="AO307" s="16">
        <f>IF(OR(U307=regle!$J$11,U307=regle!$K$11),-2,IF(U307=regle!$B$11,0,IF(AO$1=$AK$1,IF($O307,-1,regle!$B$2-$M307),IF(AN307=-1,-1,AN307+1))))</f>
        <v>23</v>
      </c>
      <c r="AP307" s="16">
        <f>IF(OR(V307=regle!$J$11,V307=regle!$K$11),-2,IF(V307=regle!$B$11,0,IF(AP$1=$AK$1,IF($O307,-1,regle!$B$2-$M307),IF(AO307=-1,-1,AO307+1))))</f>
        <v>24</v>
      </c>
      <c r="AQ307" s="16">
        <f>IF(OR(W307=regle!$J$11,W307=regle!$K$11),-2,IF(W307=regle!$B$11,0,IF(AQ$1=$AK$1,IF($O307,-1,regle!$B$2-$M307),IF(AP307=-1,-1,AP307+1))))</f>
        <v>25</v>
      </c>
      <c r="AR307" s="16">
        <f>IF(OR(X307=regle!$J$11,X307=regle!$K$11),-2,IF(X307=regle!$B$11,0,IF(AR$1=$AK$1,IF($O307,-1,regle!$B$2-$M307),IF(AQ307=-1,-1,AQ307+1))))</f>
        <v>26</v>
      </c>
      <c r="AS307" s="16">
        <f>IF(OR(Y307=regle!$J$11,Y307=regle!$K$11),-2,IF(Y307=regle!$B$11,0,IF(AS$1=$AK$1,IF($O307,-1,regle!$B$2-$M307),IF(AR307=-1,-1,AR307+1))))</f>
        <v>27</v>
      </c>
      <c r="AT307" s="16">
        <f>IF(OR(Z307=regle!$J$11,Z307=regle!$K$11),-2,IF(Z307=regle!$B$11,0,IF(AT$1=$AK$1,IF($O307,-1,regle!$B$2-$M307),IF(AS307=-1,-1,AS307+1))))</f>
        <v>28</v>
      </c>
    </row>
    <row r="308" spans="1:46" x14ac:dyDescent="0.25">
      <c r="A308" t="b">
        <f>modif1!A308</f>
        <v>1</v>
      </c>
      <c r="B308">
        <f>ROW(modif1!B308)</f>
        <v>308</v>
      </c>
      <c r="C308" t="str">
        <f>modif1!C311</f>
        <v>536</v>
      </c>
      <c r="D308" t="str">
        <f>modif1!D308</f>
        <v>LE TUZAN</v>
      </c>
      <c r="E308">
        <f>modif1!E308</f>
        <v>21</v>
      </c>
      <c r="F308" t="str">
        <f>modif1!F308</f>
        <v>METAIRIES DE TABARTON</v>
      </c>
      <c r="G308" t="str">
        <f>modif1!G308</f>
        <v>0A</v>
      </c>
      <c r="H308">
        <f>modif1!H308</f>
        <v>523</v>
      </c>
      <c r="I308" t="str">
        <f>modif1!I308</f>
        <v>k</v>
      </c>
      <c r="J308" s="11">
        <f>modif1!J308</f>
        <v>0.46089999999999998</v>
      </c>
      <c r="K308" t="str">
        <f>modif1!K308</f>
        <v>PLA</v>
      </c>
      <c r="L308" t="str">
        <f>modif1!L308</f>
        <v>PM</v>
      </c>
      <c r="M308">
        <f>modif1!M308</f>
        <v>2005</v>
      </c>
      <c r="N308" t="str">
        <f>modif1!N308</f>
        <v>PLA-PM_2005</v>
      </c>
      <c r="O308" t="b">
        <f>modif1!O308</f>
        <v>0</v>
      </c>
      <c r="P308">
        <v>40</v>
      </c>
      <c r="T308" t="s">
        <v>1805</v>
      </c>
      <c r="Y308" t="s">
        <v>1806</v>
      </c>
      <c r="Z308"/>
      <c r="AA308" s="17">
        <f>IF($A308,$J308*(IF(Q308=regle!$B$11,regle!$B$23*IF(AJ308=-2,1+regle!$B$35,1),
IF(Q308=regle!$C$11,regle!$C$23,
IF(Q308=regle!$D$11,regle!$D$23,
IF(Q308=regle!$E$11,regle!$E$23,
IF(Q308=regle!$F$11,regle!$F$23,
IF(Q308=regle!$G$11,regle!$G$23,
IF(Q308=regle!$H$11,regle!$H$23,
IF(Q308=regle!$I$11,regle!$I$23,
IF(Q308=regle!$J$11,regle!$J$23,
IF(Q308=regle!$K$11,regle!$K$23,0))))))))))))</f>
        <v>0</v>
      </c>
      <c r="AB308" s="17">
        <f>IF($A308,$J308*(IF(R308=regle!$B$11,regle!$B$23*IF(AK308=-2,1+regle!$B$35,1),
IF(R308=regle!$C$11,regle!$C$23,
IF(R308=regle!$D$11,regle!$D$23,
IF(R308=regle!$E$11,regle!$E$23,
IF(R308=regle!$F$11,regle!$F$23,
IF(R308=regle!$G$11,regle!$G$23,
IF(R308=regle!$H$11,regle!$H$23,
IF(R308=regle!$I$11,regle!$I$23,
IF(R308=regle!$J$11,regle!$J$23,
IF(R308=regle!$K$11,regle!$K$23,0))))))))))))</f>
        <v>0</v>
      </c>
      <c r="AC308" s="17">
        <f>IF($A308,$J308*(IF(S308=regle!$B$11,regle!$B$23*IF(AL308=-2,1+regle!$B$35,1),
IF(S308=regle!$C$11,regle!$C$23,
IF(S308=regle!$D$11,regle!$D$23,
IF(S308=regle!$E$11,regle!$E$23,
IF(S308=regle!$F$11,regle!$F$23,
IF(S308=regle!$G$11,regle!$G$23,
IF(S308=regle!$H$11,regle!$H$23,
IF(S308=regle!$I$11,regle!$I$23,
IF(S308=regle!$J$11,regle!$J$23,
IF(S308=regle!$K$11,regle!$K$23,0))))))))))))</f>
        <v>0</v>
      </c>
      <c r="AD308" s="17">
        <f>IF($A308,$J308*(IF(T308=regle!$B$11,regle!$B$23*IF(AM308=-2,1+regle!$B$35,1),
IF(T308=regle!$C$11,regle!$C$23,
IF(T308=regle!$D$11,regle!$D$23,
IF(T308=regle!$E$11,regle!$E$23,
IF(T308=regle!$F$11,regle!$F$23,
IF(T308=regle!$G$11,regle!$G$23,
IF(T308=regle!$H$11,regle!$H$23,
IF(T308=regle!$I$11,regle!$I$23,
IF(T308=regle!$J$11,regle!$J$23,
IF(T308=regle!$K$11,regle!$K$23,0))))))))))))</f>
        <v>648.94719999999995</v>
      </c>
      <c r="AE308" s="17">
        <f>IF($A308,$J308*(IF(U308=regle!$B$11,regle!$B$23*IF(AN308=-2,1+regle!$B$35,1),
IF(U308=regle!$C$11,regle!$C$23,
IF(U308=regle!$D$11,regle!$D$23,
IF(U308=regle!$E$11,regle!$E$23,
IF(U308=regle!$F$11,regle!$F$23,
IF(U308=regle!$G$11,regle!$G$23,
IF(U308=regle!$H$11,regle!$H$23,
IF(U308=regle!$I$11,regle!$I$23,
IF(U308=regle!$J$11,regle!$J$23,
IF(U308=regle!$K$11,regle!$K$23,0))))))))))))</f>
        <v>0</v>
      </c>
      <c r="AF308" s="17">
        <f>IF($A308,$J308*(IF(V308=regle!$B$11,regle!$B$23*IF(AO308=-2,1+regle!$B$35,1),
IF(V308=regle!$C$11,regle!$C$23,
IF(V308=regle!$D$11,regle!$D$23,
IF(V308=regle!$E$11,regle!$E$23,
IF(V308=regle!$F$11,regle!$F$23,
IF(V308=regle!$G$11,regle!$G$23,
IF(V308=regle!$H$11,regle!$H$23,
IF(V308=regle!$I$11,regle!$I$23,
IF(V308=regle!$J$11,regle!$J$23,
IF(V308=regle!$K$11,regle!$K$23,0))))))))))))</f>
        <v>0</v>
      </c>
      <c r="AG308" s="17">
        <f>IF($A308,$J308*(IF(W308=regle!$B$11,regle!$B$23*IF(AP308=-2,1+regle!$B$35,1),
IF(W308=regle!$C$11,regle!$C$23,
IF(W308=regle!$D$11,regle!$D$23,
IF(W308=regle!$E$11,regle!$E$23,
IF(W308=regle!$F$11,regle!$F$23,
IF(W308=regle!$G$11,regle!$G$23,
IF(W308=regle!$H$11,regle!$H$23,
IF(W308=regle!$I$11,regle!$I$23,
IF(W308=regle!$J$11,regle!$J$23,
IF(W308=regle!$K$11,regle!$K$23,0))))))))))))</f>
        <v>0</v>
      </c>
      <c r="AH308" s="17">
        <f>IF($A308,$J308*(IF(X308=regle!$B$11,regle!$B$23*IF(AQ308=-2,1+regle!$B$35,1),
IF(X308=regle!$C$11,regle!$C$23,
IF(X308=regle!$D$11,regle!$D$23,
IF(X308=regle!$E$11,regle!$E$23,
IF(X308=regle!$F$11,regle!$F$23,
IF(X308=regle!$G$11,regle!$G$23,
IF(X308=regle!$H$11,regle!$H$23,
IF(X308=regle!$I$11,regle!$I$23,
IF(X308=regle!$J$11,regle!$J$23,
IF(X308=regle!$K$11,regle!$K$23,0))))))))))))</f>
        <v>0</v>
      </c>
      <c r="AI308" s="17">
        <f>IF($A308,$J308*(IF(Y308=regle!$B$11,regle!$B$23*IF(AR308=-2,1+regle!$B$35,1),
IF(Y308=regle!$C$11,regle!$C$23,
IF(Y308=regle!$D$11,regle!$D$23,
IF(Y308=regle!$E$11,regle!$E$23,
IF(Y308=regle!$F$11,regle!$F$23,
IF(Y308=regle!$G$11,regle!$G$23,
IF(Y308=regle!$H$11,regle!$H$23,
IF(Y308=regle!$I$11,regle!$I$23,
IF(Y308=regle!$J$11,regle!$J$23,
IF(Y308=regle!$K$11,regle!$K$23,0))))))))))))</f>
        <v>589.952</v>
      </c>
      <c r="AJ308" s="17">
        <f>IF($A308,$J308*(IF(Z308=regle!$B$11,regle!$B$23*IF(AS308=-2,1+regle!$B$35,1),
IF(Z308=regle!$C$11,regle!$C$23,
IF(Z308=regle!$D$11,regle!$D$23,
IF(Z308=regle!$E$11,regle!$E$23,
IF(Z308=regle!$F$11,regle!$F$23,
IF(Z308=regle!$G$11,regle!$G$23,
IF(Z308=regle!$H$11,regle!$H$23,
IF(Z308=regle!$I$11,regle!$I$23,
IF(Z308=regle!$J$11,regle!$J$23,
IF(Z308=regle!$K$11,regle!$K$23,0))))))))))))</f>
        <v>0</v>
      </c>
      <c r="AK308" s="16">
        <f>IF(OR(Q308=regle!$J$11,Q308=regle!$K$11),-2,IF(Q308=regle!$B$11,0,IF(AK$1=$AK$1,IF($O308,-1,regle!$B$2-$M308),IF(AJ308=-1,-1,AJ308+1))))</f>
        <v>19</v>
      </c>
      <c r="AL308" s="16">
        <f>IF(OR(R308=regle!$J$11,R308=regle!$K$11),-2,IF(R308=regle!$B$11,0,IF(AL$1=$AK$1,IF($O308,-1,regle!$B$2-$M308),IF(AK308=-1,-1,AK308+1))))</f>
        <v>20</v>
      </c>
      <c r="AM308" s="16">
        <f>IF(OR(S308=regle!$J$11,S308=regle!$K$11),-2,IF(S308=regle!$B$11,0,IF(AM$1=$AK$1,IF($O308,-1,regle!$B$2-$M308),IF(AL308=-1,-1,AL308+1))))</f>
        <v>21</v>
      </c>
      <c r="AN308" s="16">
        <f>IF(OR(T308=regle!$J$11,T308=regle!$K$11),-2,IF(T308=regle!$B$11,0,IF(AN$1=$AK$1,IF($O308,-1,regle!$B$2-$M308),IF(AM308=-1,-1,AM308+1))))</f>
        <v>22</v>
      </c>
      <c r="AO308" s="16">
        <f>IF(OR(U308=regle!$J$11,U308=regle!$K$11),-2,IF(U308=regle!$B$11,0,IF(AO$1=$AK$1,IF($O308,-1,regle!$B$2-$M308),IF(AN308=-1,-1,AN308+1))))</f>
        <v>23</v>
      </c>
      <c r="AP308" s="16">
        <f>IF(OR(V308=regle!$J$11,V308=regle!$K$11),-2,IF(V308=regle!$B$11,0,IF(AP$1=$AK$1,IF($O308,-1,regle!$B$2-$M308),IF(AO308=-1,-1,AO308+1))))</f>
        <v>24</v>
      </c>
      <c r="AQ308" s="16">
        <f>IF(OR(W308=regle!$J$11,W308=regle!$K$11),-2,IF(W308=regle!$B$11,0,IF(AQ$1=$AK$1,IF($O308,-1,regle!$B$2-$M308),IF(AP308=-1,-1,AP308+1))))</f>
        <v>25</v>
      </c>
      <c r="AR308" s="16">
        <f>IF(OR(X308=regle!$J$11,X308=regle!$K$11),-2,IF(X308=regle!$B$11,0,IF(AR$1=$AK$1,IF($O308,-1,regle!$B$2-$M308),IF(AQ308=-1,-1,AQ308+1))))</f>
        <v>26</v>
      </c>
      <c r="AS308" s="16">
        <f>IF(OR(Y308=regle!$J$11,Y308=regle!$K$11),-2,IF(Y308=regle!$B$11,0,IF(AS$1=$AK$1,IF($O308,-1,regle!$B$2-$M308),IF(AR308=-1,-1,AR308+1))))</f>
        <v>27</v>
      </c>
      <c r="AT308" s="16">
        <f>IF(OR(Z308=regle!$J$11,Z308=regle!$K$11),-2,IF(Z308=regle!$B$11,0,IF(AT$1=$AK$1,IF($O308,-1,regle!$B$2-$M308),IF(AS308=-1,-1,AS308+1))))</f>
        <v>28</v>
      </c>
    </row>
    <row r="309" spans="1:46" x14ac:dyDescent="0.25">
      <c r="A309" t="b">
        <f>modif1!A309</f>
        <v>1</v>
      </c>
      <c r="B309">
        <f>ROW(modif1!B309)</f>
        <v>309</v>
      </c>
      <c r="C309" t="str">
        <f>modif1!C312</f>
        <v>536</v>
      </c>
      <c r="D309" t="str">
        <f>modif1!D309</f>
        <v>LE TUZAN</v>
      </c>
      <c r="E309">
        <f>modif1!E309</f>
        <v>21</v>
      </c>
      <c r="F309" t="str">
        <f>modif1!F309</f>
        <v>METAIRIES DE TABARTON</v>
      </c>
      <c r="G309" t="str">
        <f>modif1!G309</f>
        <v>0A</v>
      </c>
      <c r="H309">
        <f>modif1!H309</f>
        <v>528</v>
      </c>
      <c r="I309" t="str">
        <f>modif1!I309</f>
        <v>m</v>
      </c>
      <c r="J309" s="11">
        <f>modif1!J309</f>
        <v>0.45369999999999999</v>
      </c>
      <c r="K309" t="str">
        <f>modif1!K309</f>
        <v>PLA</v>
      </c>
      <c r="L309" t="str">
        <f>modif1!L309</f>
        <v>PM</v>
      </c>
      <c r="M309">
        <f>modif1!M309</f>
        <v>2005</v>
      </c>
      <c r="N309" t="str">
        <f>modif1!N309</f>
        <v>PLA-PM_2005</v>
      </c>
      <c r="O309" t="b">
        <f>modif1!O309</f>
        <v>0</v>
      </c>
      <c r="P309">
        <v>40</v>
      </c>
      <c r="T309" t="s">
        <v>1805</v>
      </c>
      <c r="Y309" t="s">
        <v>1806</v>
      </c>
      <c r="Z309"/>
      <c r="AA309" s="17">
        <f>IF($A309,$J309*(IF(Q309=regle!$B$11,regle!$B$23*IF(AJ309=-2,1+regle!$B$35,1),
IF(Q309=regle!$C$11,regle!$C$23,
IF(Q309=regle!$D$11,regle!$D$23,
IF(Q309=regle!$E$11,regle!$E$23,
IF(Q309=regle!$F$11,regle!$F$23,
IF(Q309=regle!$G$11,regle!$G$23,
IF(Q309=regle!$H$11,regle!$H$23,
IF(Q309=regle!$I$11,regle!$I$23,
IF(Q309=regle!$J$11,regle!$J$23,
IF(Q309=regle!$K$11,regle!$K$23,0))))))))))))</f>
        <v>0</v>
      </c>
      <c r="AB309" s="17">
        <f>IF($A309,$J309*(IF(R309=regle!$B$11,regle!$B$23*IF(AK309=-2,1+regle!$B$35,1),
IF(R309=regle!$C$11,regle!$C$23,
IF(R309=regle!$D$11,regle!$D$23,
IF(R309=regle!$E$11,regle!$E$23,
IF(R309=regle!$F$11,regle!$F$23,
IF(R309=regle!$G$11,regle!$G$23,
IF(R309=regle!$H$11,regle!$H$23,
IF(R309=regle!$I$11,regle!$I$23,
IF(R309=regle!$J$11,regle!$J$23,
IF(R309=regle!$K$11,regle!$K$23,0))))))))))))</f>
        <v>0</v>
      </c>
      <c r="AC309" s="17">
        <f>IF($A309,$J309*(IF(S309=regle!$B$11,regle!$B$23*IF(AL309=-2,1+regle!$B$35,1),
IF(S309=regle!$C$11,regle!$C$23,
IF(S309=regle!$D$11,regle!$D$23,
IF(S309=regle!$E$11,regle!$E$23,
IF(S309=regle!$F$11,regle!$F$23,
IF(S309=regle!$G$11,regle!$G$23,
IF(S309=regle!$H$11,regle!$H$23,
IF(S309=regle!$I$11,regle!$I$23,
IF(S309=regle!$J$11,regle!$J$23,
IF(S309=regle!$K$11,regle!$K$23,0))))))))))))</f>
        <v>0</v>
      </c>
      <c r="AD309" s="17">
        <f>IF($A309,$J309*(IF(T309=regle!$B$11,regle!$B$23*IF(AM309=-2,1+regle!$B$35,1),
IF(T309=regle!$C$11,regle!$C$23,
IF(T309=regle!$D$11,regle!$D$23,
IF(T309=regle!$E$11,regle!$E$23,
IF(T309=regle!$F$11,regle!$F$23,
IF(T309=regle!$G$11,regle!$G$23,
IF(T309=regle!$H$11,regle!$H$23,
IF(T309=regle!$I$11,regle!$I$23,
IF(T309=regle!$J$11,regle!$J$23,
IF(T309=regle!$K$11,regle!$K$23,0))))))))))))</f>
        <v>638.80960000000005</v>
      </c>
      <c r="AE309" s="17">
        <f>IF($A309,$J309*(IF(U309=regle!$B$11,regle!$B$23*IF(AN309=-2,1+regle!$B$35,1),
IF(U309=regle!$C$11,regle!$C$23,
IF(U309=regle!$D$11,regle!$D$23,
IF(U309=regle!$E$11,regle!$E$23,
IF(U309=regle!$F$11,regle!$F$23,
IF(U309=regle!$G$11,regle!$G$23,
IF(U309=regle!$H$11,regle!$H$23,
IF(U309=regle!$I$11,regle!$I$23,
IF(U309=regle!$J$11,regle!$J$23,
IF(U309=regle!$K$11,regle!$K$23,0))))))))))))</f>
        <v>0</v>
      </c>
      <c r="AF309" s="17">
        <f>IF($A309,$J309*(IF(V309=regle!$B$11,regle!$B$23*IF(AO309=-2,1+regle!$B$35,1),
IF(V309=regle!$C$11,regle!$C$23,
IF(V309=regle!$D$11,regle!$D$23,
IF(V309=regle!$E$11,regle!$E$23,
IF(V309=regle!$F$11,regle!$F$23,
IF(V309=regle!$G$11,regle!$G$23,
IF(V309=regle!$H$11,regle!$H$23,
IF(V309=regle!$I$11,regle!$I$23,
IF(V309=regle!$J$11,regle!$J$23,
IF(V309=regle!$K$11,regle!$K$23,0))))))))))))</f>
        <v>0</v>
      </c>
      <c r="AG309" s="17">
        <f>IF($A309,$J309*(IF(W309=regle!$B$11,regle!$B$23*IF(AP309=-2,1+regle!$B$35,1),
IF(W309=regle!$C$11,regle!$C$23,
IF(W309=regle!$D$11,regle!$D$23,
IF(W309=regle!$E$11,regle!$E$23,
IF(W309=regle!$F$11,regle!$F$23,
IF(W309=regle!$G$11,regle!$G$23,
IF(W309=regle!$H$11,regle!$H$23,
IF(W309=regle!$I$11,regle!$I$23,
IF(W309=regle!$J$11,regle!$J$23,
IF(W309=regle!$K$11,regle!$K$23,0))))))))))))</f>
        <v>0</v>
      </c>
      <c r="AH309" s="17">
        <f>IF($A309,$J309*(IF(X309=regle!$B$11,regle!$B$23*IF(AQ309=-2,1+regle!$B$35,1),
IF(X309=regle!$C$11,regle!$C$23,
IF(X309=regle!$D$11,regle!$D$23,
IF(X309=regle!$E$11,regle!$E$23,
IF(X309=regle!$F$11,regle!$F$23,
IF(X309=regle!$G$11,regle!$G$23,
IF(X309=regle!$H$11,regle!$H$23,
IF(X309=regle!$I$11,regle!$I$23,
IF(X309=regle!$J$11,regle!$J$23,
IF(X309=regle!$K$11,regle!$K$23,0))))))))))))</f>
        <v>0</v>
      </c>
      <c r="AI309" s="17">
        <f>IF($A309,$J309*(IF(Y309=regle!$B$11,regle!$B$23*IF(AR309=-2,1+regle!$B$35,1),
IF(Y309=regle!$C$11,regle!$C$23,
IF(Y309=regle!$D$11,regle!$D$23,
IF(Y309=regle!$E$11,regle!$E$23,
IF(Y309=regle!$F$11,regle!$F$23,
IF(Y309=regle!$G$11,regle!$G$23,
IF(Y309=regle!$H$11,regle!$H$23,
IF(Y309=regle!$I$11,regle!$I$23,
IF(Y309=regle!$J$11,regle!$J$23,
IF(Y309=regle!$K$11,regle!$K$23,0))))))))))))</f>
        <v>580.73599999999999</v>
      </c>
      <c r="AJ309" s="17">
        <f>IF($A309,$J309*(IF(Z309=regle!$B$11,regle!$B$23*IF(AS309=-2,1+regle!$B$35,1),
IF(Z309=regle!$C$11,regle!$C$23,
IF(Z309=regle!$D$11,regle!$D$23,
IF(Z309=regle!$E$11,regle!$E$23,
IF(Z309=regle!$F$11,regle!$F$23,
IF(Z309=regle!$G$11,regle!$G$23,
IF(Z309=regle!$H$11,regle!$H$23,
IF(Z309=regle!$I$11,regle!$I$23,
IF(Z309=regle!$J$11,regle!$J$23,
IF(Z309=regle!$K$11,regle!$K$23,0))))))))))))</f>
        <v>0</v>
      </c>
      <c r="AK309" s="16">
        <f>IF(OR(Q309=regle!$J$11,Q309=regle!$K$11),-2,IF(Q309=regle!$B$11,0,IF(AK$1=$AK$1,IF($O309,-1,regle!$B$2-$M309),IF(AJ309=-1,-1,AJ309+1))))</f>
        <v>19</v>
      </c>
      <c r="AL309" s="16">
        <f>IF(OR(R309=regle!$J$11,R309=regle!$K$11),-2,IF(R309=regle!$B$11,0,IF(AL$1=$AK$1,IF($O309,-1,regle!$B$2-$M309),IF(AK309=-1,-1,AK309+1))))</f>
        <v>20</v>
      </c>
      <c r="AM309" s="16">
        <f>IF(OR(S309=regle!$J$11,S309=regle!$K$11),-2,IF(S309=regle!$B$11,0,IF(AM$1=$AK$1,IF($O309,-1,regle!$B$2-$M309),IF(AL309=-1,-1,AL309+1))))</f>
        <v>21</v>
      </c>
      <c r="AN309" s="16">
        <f>IF(OR(T309=regle!$J$11,T309=regle!$K$11),-2,IF(T309=regle!$B$11,0,IF(AN$1=$AK$1,IF($O309,-1,regle!$B$2-$M309),IF(AM309=-1,-1,AM309+1))))</f>
        <v>22</v>
      </c>
      <c r="AO309" s="16">
        <f>IF(OR(U309=regle!$J$11,U309=regle!$K$11),-2,IF(U309=regle!$B$11,0,IF(AO$1=$AK$1,IF($O309,-1,regle!$B$2-$M309),IF(AN309=-1,-1,AN309+1))))</f>
        <v>23</v>
      </c>
      <c r="AP309" s="16">
        <f>IF(OR(V309=regle!$J$11,V309=regle!$K$11),-2,IF(V309=regle!$B$11,0,IF(AP$1=$AK$1,IF($O309,-1,regle!$B$2-$M309),IF(AO309=-1,-1,AO309+1))))</f>
        <v>24</v>
      </c>
      <c r="AQ309" s="16">
        <f>IF(OR(W309=regle!$J$11,W309=regle!$K$11),-2,IF(W309=regle!$B$11,0,IF(AQ$1=$AK$1,IF($O309,-1,regle!$B$2-$M309),IF(AP309=-1,-1,AP309+1))))</f>
        <v>25</v>
      </c>
      <c r="AR309" s="16">
        <f>IF(OR(X309=regle!$J$11,X309=regle!$K$11),-2,IF(X309=regle!$B$11,0,IF(AR$1=$AK$1,IF($O309,-1,regle!$B$2-$M309),IF(AQ309=-1,-1,AQ309+1))))</f>
        <v>26</v>
      </c>
      <c r="AS309" s="16">
        <f>IF(OR(Y309=regle!$J$11,Y309=regle!$K$11),-2,IF(Y309=regle!$B$11,0,IF(AS$1=$AK$1,IF($O309,-1,regle!$B$2-$M309),IF(AR309=-1,-1,AR309+1))))</f>
        <v>27</v>
      </c>
      <c r="AT309" s="16">
        <f>IF(OR(Z309=regle!$J$11,Z309=regle!$K$11),-2,IF(Z309=regle!$B$11,0,IF(AT$1=$AK$1,IF($O309,-1,regle!$B$2-$M309),IF(AS309=-1,-1,AS309+1))))</f>
        <v>28</v>
      </c>
    </row>
    <row r="310" spans="1:46" x14ac:dyDescent="0.25">
      <c r="A310" t="b">
        <f>modif1!A310</f>
        <v>1</v>
      </c>
      <c r="B310">
        <f>ROW(modif1!B310)</f>
        <v>310</v>
      </c>
      <c r="C310" t="str">
        <f>modif1!C313</f>
        <v>536</v>
      </c>
      <c r="D310" t="str">
        <f>modif1!D310</f>
        <v>CABANAC-ET-VILLAGRAINS</v>
      </c>
      <c r="E310">
        <f>modif1!E310</f>
        <v>12</v>
      </c>
      <c r="F310" t="str">
        <f>modif1!F310</f>
        <v>LES JEANNOTS</v>
      </c>
      <c r="G310" t="str">
        <f>modif1!G310</f>
        <v>0D</v>
      </c>
      <c r="H310">
        <f>modif1!H310</f>
        <v>2303</v>
      </c>
      <c r="I310" t="str">
        <f>modif1!I310</f>
        <v/>
      </c>
      <c r="J310" s="11">
        <f>modif1!J310</f>
        <v>0.37540000000000001</v>
      </c>
      <c r="K310" t="str">
        <f>modif1!K310</f>
        <v>PLA</v>
      </c>
      <c r="L310" t="str">
        <f>modif1!L310</f>
        <v>PM</v>
      </c>
      <c r="M310">
        <f>modif1!M310</f>
        <v>2005</v>
      </c>
      <c r="N310" t="str">
        <f>modif1!N310</f>
        <v>PLA-PM_2005</v>
      </c>
      <c r="O310" t="b">
        <f>modif1!O310</f>
        <v>0</v>
      </c>
      <c r="P310">
        <v>40</v>
      </c>
      <c r="T310" t="s">
        <v>1805</v>
      </c>
      <c r="Y310" t="s">
        <v>1806</v>
      </c>
      <c r="Z310"/>
      <c r="AA310" s="17">
        <f>IF($A310,$J310*(IF(Q310=regle!$B$11,regle!$B$23*IF(AJ310=-2,1+regle!$B$35,1),
IF(Q310=regle!$C$11,regle!$C$23,
IF(Q310=regle!$D$11,regle!$D$23,
IF(Q310=regle!$E$11,regle!$E$23,
IF(Q310=regle!$F$11,regle!$F$23,
IF(Q310=regle!$G$11,regle!$G$23,
IF(Q310=regle!$H$11,regle!$H$23,
IF(Q310=regle!$I$11,regle!$I$23,
IF(Q310=regle!$J$11,regle!$J$23,
IF(Q310=regle!$K$11,regle!$K$23,0))))))))))))</f>
        <v>0</v>
      </c>
      <c r="AB310" s="17">
        <f>IF($A310,$J310*(IF(R310=regle!$B$11,regle!$B$23*IF(AK310=-2,1+regle!$B$35,1),
IF(R310=regle!$C$11,regle!$C$23,
IF(R310=regle!$D$11,regle!$D$23,
IF(R310=regle!$E$11,regle!$E$23,
IF(R310=regle!$F$11,regle!$F$23,
IF(R310=regle!$G$11,regle!$G$23,
IF(R310=regle!$H$11,regle!$H$23,
IF(R310=regle!$I$11,regle!$I$23,
IF(R310=regle!$J$11,regle!$J$23,
IF(R310=regle!$K$11,regle!$K$23,0))))))))))))</f>
        <v>0</v>
      </c>
      <c r="AC310" s="17">
        <f>IF($A310,$J310*(IF(S310=regle!$B$11,regle!$B$23*IF(AL310=-2,1+regle!$B$35,1),
IF(S310=regle!$C$11,regle!$C$23,
IF(S310=regle!$D$11,regle!$D$23,
IF(S310=regle!$E$11,regle!$E$23,
IF(S310=regle!$F$11,regle!$F$23,
IF(S310=regle!$G$11,regle!$G$23,
IF(S310=regle!$H$11,regle!$H$23,
IF(S310=regle!$I$11,regle!$I$23,
IF(S310=regle!$J$11,regle!$J$23,
IF(S310=regle!$K$11,regle!$K$23,0))))))))))))</f>
        <v>0</v>
      </c>
      <c r="AD310" s="17">
        <f>IF($A310,$J310*(IF(T310=regle!$B$11,regle!$B$23*IF(AM310=-2,1+regle!$B$35,1),
IF(T310=regle!$C$11,regle!$C$23,
IF(T310=regle!$D$11,regle!$D$23,
IF(T310=regle!$E$11,regle!$E$23,
IF(T310=regle!$F$11,regle!$F$23,
IF(T310=regle!$G$11,regle!$G$23,
IF(T310=regle!$H$11,regle!$H$23,
IF(T310=regle!$I$11,regle!$I$23,
IF(T310=regle!$J$11,regle!$J$23,
IF(T310=regle!$K$11,regle!$K$23,0))))))))))))</f>
        <v>528.56320000000005</v>
      </c>
      <c r="AE310" s="17">
        <f>IF($A310,$J310*(IF(U310=regle!$B$11,regle!$B$23*IF(AN310=-2,1+regle!$B$35,1),
IF(U310=regle!$C$11,regle!$C$23,
IF(U310=regle!$D$11,regle!$D$23,
IF(U310=regle!$E$11,regle!$E$23,
IF(U310=regle!$F$11,regle!$F$23,
IF(U310=regle!$G$11,regle!$G$23,
IF(U310=regle!$H$11,regle!$H$23,
IF(U310=regle!$I$11,regle!$I$23,
IF(U310=regle!$J$11,regle!$J$23,
IF(U310=regle!$K$11,regle!$K$23,0))))))))))))</f>
        <v>0</v>
      </c>
      <c r="AF310" s="17">
        <f>IF($A310,$J310*(IF(V310=regle!$B$11,regle!$B$23*IF(AO310=-2,1+regle!$B$35,1),
IF(V310=regle!$C$11,regle!$C$23,
IF(V310=regle!$D$11,regle!$D$23,
IF(V310=regle!$E$11,regle!$E$23,
IF(V310=regle!$F$11,regle!$F$23,
IF(V310=regle!$G$11,regle!$G$23,
IF(V310=regle!$H$11,regle!$H$23,
IF(V310=regle!$I$11,regle!$I$23,
IF(V310=regle!$J$11,regle!$J$23,
IF(V310=regle!$K$11,regle!$K$23,0))))))))))))</f>
        <v>0</v>
      </c>
      <c r="AG310" s="17">
        <f>IF($A310,$J310*(IF(W310=regle!$B$11,regle!$B$23*IF(AP310=-2,1+regle!$B$35,1),
IF(W310=regle!$C$11,regle!$C$23,
IF(W310=regle!$D$11,regle!$D$23,
IF(W310=regle!$E$11,regle!$E$23,
IF(W310=regle!$F$11,regle!$F$23,
IF(W310=regle!$G$11,regle!$G$23,
IF(W310=regle!$H$11,regle!$H$23,
IF(W310=regle!$I$11,regle!$I$23,
IF(W310=regle!$J$11,regle!$J$23,
IF(W310=regle!$K$11,regle!$K$23,0))))))))))))</f>
        <v>0</v>
      </c>
      <c r="AH310" s="17">
        <f>IF($A310,$J310*(IF(X310=regle!$B$11,regle!$B$23*IF(AQ310=-2,1+regle!$B$35,1),
IF(X310=regle!$C$11,regle!$C$23,
IF(X310=regle!$D$11,regle!$D$23,
IF(X310=regle!$E$11,regle!$E$23,
IF(X310=regle!$F$11,regle!$F$23,
IF(X310=regle!$G$11,regle!$G$23,
IF(X310=regle!$H$11,regle!$H$23,
IF(X310=regle!$I$11,regle!$I$23,
IF(X310=regle!$J$11,regle!$J$23,
IF(X310=regle!$K$11,regle!$K$23,0))))))))))))</f>
        <v>0</v>
      </c>
      <c r="AI310" s="17">
        <f>IF($A310,$J310*(IF(Y310=regle!$B$11,regle!$B$23*IF(AR310=-2,1+regle!$B$35,1),
IF(Y310=regle!$C$11,regle!$C$23,
IF(Y310=regle!$D$11,regle!$D$23,
IF(Y310=regle!$E$11,regle!$E$23,
IF(Y310=regle!$F$11,regle!$F$23,
IF(Y310=regle!$G$11,regle!$G$23,
IF(Y310=regle!$H$11,regle!$H$23,
IF(Y310=regle!$I$11,regle!$I$23,
IF(Y310=regle!$J$11,regle!$J$23,
IF(Y310=regle!$K$11,regle!$K$23,0))))))))))))</f>
        <v>480.512</v>
      </c>
      <c r="AJ310" s="17">
        <f>IF($A310,$J310*(IF(Z310=regle!$B$11,regle!$B$23*IF(AS310=-2,1+regle!$B$35,1),
IF(Z310=regle!$C$11,regle!$C$23,
IF(Z310=regle!$D$11,regle!$D$23,
IF(Z310=regle!$E$11,regle!$E$23,
IF(Z310=regle!$F$11,regle!$F$23,
IF(Z310=regle!$G$11,regle!$G$23,
IF(Z310=regle!$H$11,regle!$H$23,
IF(Z310=regle!$I$11,regle!$I$23,
IF(Z310=regle!$J$11,regle!$J$23,
IF(Z310=regle!$K$11,regle!$K$23,0))))))))))))</f>
        <v>0</v>
      </c>
      <c r="AK310" s="16">
        <f>IF(OR(Q310=regle!$J$11,Q310=regle!$K$11),-2,IF(Q310=regle!$B$11,0,IF(AK$1=$AK$1,IF($O310,-1,regle!$B$2-$M310),IF(AJ310=-1,-1,AJ310+1))))</f>
        <v>19</v>
      </c>
      <c r="AL310" s="16">
        <f>IF(OR(R310=regle!$J$11,R310=regle!$K$11),-2,IF(R310=regle!$B$11,0,IF(AL$1=$AK$1,IF($O310,-1,regle!$B$2-$M310),IF(AK310=-1,-1,AK310+1))))</f>
        <v>20</v>
      </c>
      <c r="AM310" s="16">
        <f>IF(OR(S310=regle!$J$11,S310=regle!$K$11),-2,IF(S310=regle!$B$11,0,IF(AM$1=$AK$1,IF($O310,-1,regle!$B$2-$M310),IF(AL310=-1,-1,AL310+1))))</f>
        <v>21</v>
      </c>
      <c r="AN310" s="16">
        <f>IF(OR(T310=regle!$J$11,T310=regle!$K$11),-2,IF(T310=regle!$B$11,0,IF(AN$1=$AK$1,IF($O310,-1,regle!$B$2-$M310),IF(AM310=-1,-1,AM310+1))))</f>
        <v>22</v>
      </c>
      <c r="AO310" s="16">
        <f>IF(OR(U310=regle!$J$11,U310=regle!$K$11),-2,IF(U310=regle!$B$11,0,IF(AO$1=$AK$1,IF($O310,-1,regle!$B$2-$M310),IF(AN310=-1,-1,AN310+1))))</f>
        <v>23</v>
      </c>
      <c r="AP310" s="16">
        <f>IF(OR(V310=regle!$J$11,V310=regle!$K$11),-2,IF(V310=regle!$B$11,0,IF(AP$1=$AK$1,IF($O310,-1,regle!$B$2-$M310),IF(AO310=-1,-1,AO310+1))))</f>
        <v>24</v>
      </c>
      <c r="AQ310" s="16">
        <f>IF(OR(W310=regle!$J$11,W310=regle!$K$11),-2,IF(W310=regle!$B$11,0,IF(AQ$1=$AK$1,IF($O310,-1,regle!$B$2-$M310),IF(AP310=-1,-1,AP310+1))))</f>
        <v>25</v>
      </c>
      <c r="AR310" s="16">
        <f>IF(OR(X310=regle!$J$11,X310=regle!$K$11),-2,IF(X310=regle!$B$11,0,IF(AR$1=$AK$1,IF($O310,-1,regle!$B$2-$M310),IF(AQ310=-1,-1,AQ310+1))))</f>
        <v>26</v>
      </c>
      <c r="AS310" s="16">
        <f>IF(OR(Y310=regle!$J$11,Y310=regle!$K$11),-2,IF(Y310=regle!$B$11,0,IF(AS$1=$AK$1,IF($O310,-1,regle!$B$2-$M310),IF(AR310=-1,-1,AR310+1))))</f>
        <v>27</v>
      </c>
      <c r="AT310" s="16">
        <f>IF(OR(Z310=regle!$J$11,Z310=regle!$K$11),-2,IF(Z310=regle!$B$11,0,IF(AT$1=$AK$1,IF($O310,-1,regle!$B$2-$M310),IF(AS310=-1,-1,AS310+1))))</f>
        <v>28</v>
      </c>
    </row>
    <row r="311" spans="1:46" x14ac:dyDescent="0.25">
      <c r="A311" t="b">
        <f>modif1!A311</f>
        <v>1</v>
      </c>
      <c r="B311">
        <f>ROW(modif1!B311)</f>
        <v>311</v>
      </c>
      <c r="C311" t="str">
        <f>modif1!C314</f>
        <v>536</v>
      </c>
      <c r="D311" t="str">
        <f>modif1!D311</f>
        <v>LE TUZAN</v>
      </c>
      <c r="E311">
        <f>modif1!E311</f>
        <v>11</v>
      </c>
      <c r="F311" t="str">
        <f>modif1!F311</f>
        <v>LA HONTEYRE</v>
      </c>
      <c r="G311" t="str">
        <f>modif1!G311</f>
        <v>0A</v>
      </c>
      <c r="H311">
        <f>modif1!H311</f>
        <v>251</v>
      </c>
      <c r="I311" t="str">
        <f>modif1!I311</f>
        <v/>
      </c>
      <c r="J311" s="11">
        <f>modif1!J311</f>
        <v>0.3125</v>
      </c>
      <c r="K311" t="str">
        <f>modif1!K311</f>
        <v>PLA</v>
      </c>
      <c r="L311" t="str">
        <f>modif1!L311</f>
        <v>PM</v>
      </c>
      <c r="M311">
        <f>modif1!M311</f>
        <v>2005</v>
      </c>
      <c r="N311" t="str">
        <f>modif1!N311</f>
        <v>PLA-PM_2005</v>
      </c>
      <c r="O311" t="b">
        <f>modif1!O311</f>
        <v>0</v>
      </c>
      <c r="P311">
        <v>40</v>
      </c>
      <c r="T311" t="s">
        <v>1805</v>
      </c>
      <c r="Y311" t="s">
        <v>1806</v>
      </c>
      <c r="Z311"/>
      <c r="AA311" s="17">
        <f>IF($A311,$J311*(IF(Q311=regle!$B$11,regle!$B$23*IF(AJ311=-2,1+regle!$B$35,1),
IF(Q311=regle!$C$11,regle!$C$23,
IF(Q311=regle!$D$11,regle!$D$23,
IF(Q311=regle!$E$11,regle!$E$23,
IF(Q311=regle!$F$11,regle!$F$23,
IF(Q311=regle!$G$11,regle!$G$23,
IF(Q311=regle!$H$11,regle!$H$23,
IF(Q311=regle!$I$11,regle!$I$23,
IF(Q311=regle!$J$11,regle!$J$23,
IF(Q311=regle!$K$11,regle!$K$23,0))))))))))))</f>
        <v>0</v>
      </c>
      <c r="AB311" s="17">
        <f>IF($A311,$J311*(IF(R311=regle!$B$11,regle!$B$23*IF(AK311=-2,1+regle!$B$35,1),
IF(R311=regle!$C$11,regle!$C$23,
IF(R311=regle!$D$11,regle!$D$23,
IF(R311=regle!$E$11,regle!$E$23,
IF(R311=regle!$F$11,regle!$F$23,
IF(R311=regle!$G$11,regle!$G$23,
IF(R311=regle!$H$11,regle!$H$23,
IF(R311=regle!$I$11,regle!$I$23,
IF(R311=regle!$J$11,regle!$J$23,
IF(R311=regle!$K$11,regle!$K$23,0))))))))))))</f>
        <v>0</v>
      </c>
      <c r="AC311" s="17">
        <f>IF($A311,$J311*(IF(S311=regle!$B$11,regle!$B$23*IF(AL311=-2,1+regle!$B$35,1),
IF(S311=regle!$C$11,regle!$C$23,
IF(S311=regle!$D$11,regle!$D$23,
IF(S311=regle!$E$11,regle!$E$23,
IF(S311=regle!$F$11,regle!$F$23,
IF(S311=regle!$G$11,regle!$G$23,
IF(S311=regle!$H$11,regle!$H$23,
IF(S311=regle!$I$11,regle!$I$23,
IF(S311=regle!$J$11,regle!$J$23,
IF(S311=regle!$K$11,regle!$K$23,0))))))))))))</f>
        <v>0</v>
      </c>
      <c r="AD311" s="17">
        <f>IF($A311,$J311*(IF(T311=regle!$B$11,regle!$B$23*IF(AM311=-2,1+regle!$B$35,1),
IF(T311=regle!$C$11,regle!$C$23,
IF(T311=regle!$D$11,regle!$D$23,
IF(T311=regle!$E$11,regle!$E$23,
IF(T311=regle!$F$11,regle!$F$23,
IF(T311=regle!$G$11,regle!$G$23,
IF(T311=regle!$H$11,regle!$H$23,
IF(T311=regle!$I$11,regle!$I$23,
IF(T311=regle!$J$11,regle!$J$23,
IF(T311=regle!$K$11,regle!$K$23,0))))))))))))</f>
        <v>440</v>
      </c>
      <c r="AE311" s="17">
        <f>IF($A311,$J311*(IF(U311=regle!$B$11,regle!$B$23*IF(AN311=-2,1+regle!$B$35,1),
IF(U311=regle!$C$11,regle!$C$23,
IF(U311=regle!$D$11,regle!$D$23,
IF(U311=regle!$E$11,regle!$E$23,
IF(U311=regle!$F$11,regle!$F$23,
IF(U311=regle!$G$11,regle!$G$23,
IF(U311=regle!$H$11,regle!$H$23,
IF(U311=regle!$I$11,regle!$I$23,
IF(U311=regle!$J$11,regle!$J$23,
IF(U311=regle!$K$11,regle!$K$23,0))))))))))))</f>
        <v>0</v>
      </c>
      <c r="AF311" s="17">
        <f>IF($A311,$J311*(IF(V311=regle!$B$11,regle!$B$23*IF(AO311=-2,1+regle!$B$35,1),
IF(V311=regle!$C$11,regle!$C$23,
IF(V311=regle!$D$11,regle!$D$23,
IF(V311=regle!$E$11,regle!$E$23,
IF(V311=regle!$F$11,regle!$F$23,
IF(V311=regle!$G$11,regle!$G$23,
IF(V311=regle!$H$11,regle!$H$23,
IF(V311=regle!$I$11,regle!$I$23,
IF(V311=regle!$J$11,regle!$J$23,
IF(V311=regle!$K$11,regle!$K$23,0))))))))))))</f>
        <v>0</v>
      </c>
      <c r="AG311" s="17">
        <f>IF($A311,$J311*(IF(W311=regle!$B$11,regle!$B$23*IF(AP311=-2,1+regle!$B$35,1),
IF(W311=regle!$C$11,regle!$C$23,
IF(W311=regle!$D$11,regle!$D$23,
IF(W311=regle!$E$11,regle!$E$23,
IF(W311=regle!$F$11,regle!$F$23,
IF(W311=regle!$G$11,regle!$G$23,
IF(W311=regle!$H$11,regle!$H$23,
IF(W311=regle!$I$11,regle!$I$23,
IF(W311=regle!$J$11,regle!$J$23,
IF(W311=regle!$K$11,regle!$K$23,0))))))))))))</f>
        <v>0</v>
      </c>
      <c r="AH311" s="17">
        <f>IF($A311,$J311*(IF(X311=regle!$B$11,regle!$B$23*IF(AQ311=-2,1+regle!$B$35,1),
IF(X311=regle!$C$11,regle!$C$23,
IF(X311=regle!$D$11,regle!$D$23,
IF(X311=regle!$E$11,regle!$E$23,
IF(X311=regle!$F$11,regle!$F$23,
IF(X311=regle!$G$11,regle!$G$23,
IF(X311=regle!$H$11,regle!$H$23,
IF(X311=regle!$I$11,regle!$I$23,
IF(X311=regle!$J$11,regle!$J$23,
IF(X311=regle!$K$11,regle!$K$23,0))))))))))))</f>
        <v>0</v>
      </c>
      <c r="AI311" s="17">
        <f>IF($A311,$J311*(IF(Y311=regle!$B$11,regle!$B$23*IF(AR311=-2,1+regle!$B$35,1),
IF(Y311=regle!$C$11,regle!$C$23,
IF(Y311=regle!$D$11,regle!$D$23,
IF(Y311=regle!$E$11,regle!$E$23,
IF(Y311=regle!$F$11,regle!$F$23,
IF(Y311=regle!$G$11,regle!$G$23,
IF(Y311=regle!$H$11,regle!$H$23,
IF(Y311=regle!$I$11,regle!$I$23,
IF(Y311=regle!$J$11,regle!$J$23,
IF(Y311=regle!$K$11,regle!$K$23,0))))))))))))</f>
        <v>400</v>
      </c>
      <c r="AJ311" s="17">
        <f>IF($A311,$J311*(IF(Z311=regle!$B$11,regle!$B$23*IF(AS311=-2,1+regle!$B$35,1),
IF(Z311=regle!$C$11,regle!$C$23,
IF(Z311=regle!$D$11,regle!$D$23,
IF(Z311=regle!$E$11,regle!$E$23,
IF(Z311=regle!$F$11,regle!$F$23,
IF(Z311=regle!$G$11,regle!$G$23,
IF(Z311=regle!$H$11,regle!$H$23,
IF(Z311=regle!$I$11,regle!$I$23,
IF(Z311=regle!$J$11,regle!$J$23,
IF(Z311=regle!$K$11,regle!$K$23,0))))))))))))</f>
        <v>0</v>
      </c>
      <c r="AK311" s="16">
        <f>IF(OR(Q311=regle!$J$11,Q311=regle!$K$11),-2,IF(Q311=regle!$B$11,0,IF(AK$1=$AK$1,IF($O311,-1,regle!$B$2-$M311),IF(AJ311=-1,-1,AJ311+1))))</f>
        <v>19</v>
      </c>
      <c r="AL311" s="16">
        <f>IF(OR(R311=regle!$J$11,R311=regle!$K$11),-2,IF(R311=regle!$B$11,0,IF(AL$1=$AK$1,IF($O311,-1,regle!$B$2-$M311),IF(AK311=-1,-1,AK311+1))))</f>
        <v>20</v>
      </c>
      <c r="AM311" s="16">
        <f>IF(OR(S311=regle!$J$11,S311=regle!$K$11),-2,IF(S311=regle!$B$11,0,IF(AM$1=$AK$1,IF($O311,-1,regle!$B$2-$M311),IF(AL311=-1,-1,AL311+1))))</f>
        <v>21</v>
      </c>
      <c r="AN311" s="16">
        <f>IF(OR(T311=regle!$J$11,T311=regle!$K$11),-2,IF(T311=regle!$B$11,0,IF(AN$1=$AK$1,IF($O311,-1,regle!$B$2-$M311),IF(AM311=-1,-1,AM311+1))))</f>
        <v>22</v>
      </c>
      <c r="AO311" s="16">
        <f>IF(OR(U311=regle!$J$11,U311=regle!$K$11),-2,IF(U311=regle!$B$11,0,IF(AO$1=$AK$1,IF($O311,-1,regle!$B$2-$M311),IF(AN311=-1,-1,AN311+1))))</f>
        <v>23</v>
      </c>
      <c r="AP311" s="16">
        <f>IF(OR(V311=regle!$J$11,V311=regle!$K$11),-2,IF(V311=regle!$B$11,0,IF(AP$1=$AK$1,IF($O311,-1,regle!$B$2-$M311),IF(AO311=-1,-1,AO311+1))))</f>
        <v>24</v>
      </c>
      <c r="AQ311" s="16">
        <f>IF(OR(W311=regle!$J$11,W311=regle!$K$11),-2,IF(W311=regle!$B$11,0,IF(AQ$1=$AK$1,IF($O311,-1,regle!$B$2-$M311),IF(AP311=-1,-1,AP311+1))))</f>
        <v>25</v>
      </c>
      <c r="AR311" s="16">
        <f>IF(OR(X311=regle!$J$11,X311=regle!$K$11),-2,IF(X311=regle!$B$11,0,IF(AR$1=$AK$1,IF($O311,-1,regle!$B$2-$M311),IF(AQ311=-1,-1,AQ311+1))))</f>
        <v>26</v>
      </c>
      <c r="AS311" s="16">
        <f>IF(OR(Y311=regle!$J$11,Y311=regle!$K$11),-2,IF(Y311=regle!$B$11,0,IF(AS$1=$AK$1,IF($O311,-1,regle!$B$2-$M311),IF(AR311=-1,-1,AR311+1))))</f>
        <v>27</v>
      </c>
      <c r="AT311" s="16">
        <f>IF(OR(Z311=regle!$J$11,Z311=regle!$K$11),-2,IF(Z311=regle!$B$11,0,IF(AT$1=$AK$1,IF($O311,-1,regle!$B$2-$M311),IF(AS311=-1,-1,AS311+1))))</f>
        <v>28</v>
      </c>
    </row>
    <row r="312" spans="1:46" x14ac:dyDescent="0.25">
      <c r="A312" t="b">
        <f>modif1!A312</f>
        <v>1</v>
      </c>
      <c r="B312">
        <f>ROW(modif1!B312)</f>
        <v>312</v>
      </c>
      <c r="C312" t="str">
        <f>modif1!C315</f>
        <v>077</v>
      </c>
      <c r="D312" t="str">
        <f>modif1!D312</f>
        <v>LE TUZAN</v>
      </c>
      <c r="E312">
        <f>modif1!E312</f>
        <v>21</v>
      </c>
      <c r="F312" t="str">
        <f>modif1!F312</f>
        <v>METAIRIES DE TABARTON</v>
      </c>
      <c r="G312" t="str">
        <f>modif1!G312</f>
        <v>0A</v>
      </c>
      <c r="H312">
        <f>modif1!H312</f>
        <v>416</v>
      </c>
      <c r="I312" t="str">
        <f>modif1!I312</f>
        <v>j</v>
      </c>
      <c r="J312" s="11">
        <f>modif1!J312</f>
        <v>0.25740000000000002</v>
      </c>
      <c r="K312" t="str">
        <f>modif1!K312</f>
        <v>PLA</v>
      </c>
      <c r="L312" t="str">
        <f>modif1!L312</f>
        <v>PM</v>
      </c>
      <c r="M312">
        <f>modif1!M312</f>
        <v>2005</v>
      </c>
      <c r="N312" t="str">
        <f>modif1!N312</f>
        <v>PLA-PM_2005</v>
      </c>
      <c r="O312" t="b">
        <f>modif1!O312</f>
        <v>0</v>
      </c>
      <c r="P312">
        <v>40</v>
      </c>
      <c r="T312" t="s">
        <v>1805</v>
      </c>
      <c r="Y312" t="s">
        <v>1806</v>
      </c>
      <c r="Z312"/>
      <c r="AA312" s="17">
        <f>IF($A312,$J312*(IF(Q312=regle!$B$11,regle!$B$23*IF(AJ312=-2,1+regle!$B$35,1),
IF(Q312=regle!$C$11,regle!$C$23,
IF(Q312=regle!$D$11,regle!$D$23,
IF(Q312=regle!$E$11,regle!$E$23,
IF(Q312=regle!$F$11,regle!$F$23,
IF(Q312=regle!$G$11,regle!$G$23,
IF(Q312=regle!$H$11,regle!$H$23,
IF(Q312=regle!$I$11,regle!$I$23,
IF(Q312=regle!$J$11,regle!$J$23,
IF(Q312=regle!$K$11,regle!$K$23,0))))))))))))</f>
        <v>0</v>
      </c>
      <c r="AB312" s="17">
        <f>IF($A312,$J312*(IF(R312=regle!$B$11,regle!$B$23*IF(AK312=-2,1+regle!$B$35,1),
IF(R312=regle!$C$11,regle!$C$23,
IF(R312=regle!$D$11,regle!$D$23,
IF(R312=regle!$E$11,regle!$E$23,
IF(R312=regle!$F$11,regle!$F$23,
IF(R312=regle!$G$11,regle!$G$23,
IF(R312=regle!$H$11,regle!$H$23,
IF(R312=regle!$I$11,regle!$I$23,
IF(R312=regle!$J$11,regle!$J$23,
IF(R312=regle!$K$11,regle!$K$23,0))))))))))))</f>
        <v>0</v>
      </c>
      <c r="AC312" s="17">
        <f>IF($A312,$J312*(IF(S312=regle!$B$11,regle!$B$23*IF(AL312=-2,1+regle!$B$35,1),
IF(S312=regle!$C$11,regle!$C$23,
IF(S312=regle!$D$11,regle!$D$23,
IF(S312=regle!$E$11,regle!$E$23,
IF(S312=regle!$F$11,regle!$F$23,
IF(S312=regle!$G$11,regle!$G$23,
IF(S312=regle!$H$11,regle!$H$23,
IF(S312=regle!$I$11,regle!$I$23,
IF(S312=regle!$J$11,regle!$J$23,
IF(S312=regle!$K$11,regle!$K$23,0))))))))))))</f>
        <v>0</v>
      </c>
      <c r="AD312" s="17">
        <f>IF($A312,$J312*(IF(T312=regle!$B$11,regle!$B$23*IF(AM312=-2,1+regle!$B$35,1),
IF(T312=regle!$C$11,regle!$C$23,
IF(T312=regle!$D$11,regle!$D$23,
IF(T312=regle!$E$11,regle!$E$23,
IF(T312=regle!$F$11,regle!$F$23,
IF(T312=regle!$G$11,regle!$G$23,
IF(T312=regle!$H$11,regle!$H$23,
IF(T312=regle!$I$11,regle!$I$23,
IF(T312=regle!$J$11,regle!$J$23,
IF(T312=regle!$K$11,regle!$K$23,0))))))))))))</f>
        <v>362.41920000000005</v>
      </c>
      <c r="AE312" s="17">
        <f>IF($A312,$J312*(IF(U312=regle!$B$11,regle!$B$23*IF(AN312=-2,1+regle!$B$35,1),
IF(U312=regle!$C$11,regle!$C$23,
IF(U312=regle!$D$11,regle!$D$23,
IF(U312=regle!$E$11,regle!$E$23,
IF(U312=regle!$F$11,regle!$F$23,
IF(U312=regle!$G$11,regle!$G$23,
IF(U312=regle!$H$11,regle!$H$23,
IF(U312=regle!$I$11,regle!$I$23,
IF(U312=regle!$J$11,regle!$J$23,
IF(U312=regle!$K$11,regle!$K$23,0))))))))))))</f>
        <v>0</v>
      </c>
      <c r="AF312" s="17">
        <f>IF($A312,$J312*(IF(V312=regle!$B$11,regle!$B$23*IF(AO312=-2,1+regle!$B$35,1),
IF(V312=regle!$C$11,regle!$C$23,
IF(V312=regle!$D$11,regle!$D$23,
IF(V312=regle!$E$11,regle!$E$23,
IF(V312=regle!$F$11,regle!$F$23,
IF(V312=regle!$G$11,regle!$G$23,
IF(V312=regle!$H$11,regle!$H$23,
IF(V312=regle!$I$11,regle!$I$23,
IF(V312=regle!$J$11,regle!$J$23,
IF(V312=regle!$K$11,regle!$K$23,0))))))))))))</f>
        <v>0</v>
      </c>
      <c r="AG312" s="17">
        <f>IF($A312,$J312*(IF(W312=regle!$B$11,regle!$B$23*IF(AP312=-2,1+regle!$B$35,1),
IF(W312=regle!$C$11,regle!$C$23,
IF(W312=regle!$D$11,regle!$D$23,
IF(W312=regle!$E$11,regle!$E$23,
IF(W312=regle!$F$11,regle!$F$23,
IF(W312=regle!$G$11,regle!$G$23,
IF(W312=regle!$H$11,regle!$H$23,
IF(W312=regle!$I$11,regle!$I$23,
IF(W312=regle!$J$11,regle!$J$23,
IF(W312=regle!$K$11,regle!$K$23,0))))))))))))</f>
        <v>0</v>
      </c>
      <c r="AH312" s="17">
        <f>IF($A312,$J312*(IF(X312=regle!$B$11,regle!$B$23*IF(AQ312=-2,1+regle!$B$35,1),
IF(X312=regle!$C$11,regle!$C$23,
IF(X312=regle!$D$11,regle!$D$23,
IF(X312=regle!$E$11,regle!$E$23,
IF(X312=regle!$F$11,regle!$F$23,
IF(X312=regle!$G$11,regle!$G$23,
IF(X312=regle!$H$11,regle!$H$23,
IF(X312=regle!$I$11,regle!$I$23,
IF(X312=regle!$J$11,regle!$J$23,
IF(X312=regle!$K$11,regle!$K$23,0))))))))))))</f>
        <v>0</v>
      </c>
      <c r="AI312" s="17">
        <f>IF($A312,$J312*(IF(Y312=regle!$B$11,regle!$B$23*IF(AR312=-2,1+regle!$B$35,1),
IF(Y312=regle!$C$11,regle!$C$23,
IF(Y312=regle!$D$11,regle!$D$23,
IF(Y312=regle!$E$11,regle!$E$23,
IF(Y312=regle!$F$11,regle!$F$23,
IF(Y312=regle!$G$11,regle!$G$23,
IF(Y312=regle!$H$11,regle!$H$23,
IF(Y312=regle!$I$11,regle!$I$23,
IF(Y312=regle!$J$11,regle!$J$23,
IF(Y312=regle!$K$11,regle!$K$23,0))))))))))))</f>
        <v>329.47200000000004</v>
      </c>
      <c r="AJ312" s="17">
        <f>IF($A312,$J312*(IF(Z312=regle!$B$11,regle!$B$23*IF(AS312=-2,1+regle!$B$35,1),
IF(Z312=regle!$C$11,regle!$C$23,
IF(Z312=regle!$D$11,regle!$D$23,
IF(Z312=regle!$E$11,regle!$E$23,
IF(Z312=regle!$F$11,regle!$F$23,
IF(Z312=regle!$G$11,regle!$G$23,
IF(Z312=regle!$H$11,regle!$H$23,
IF(Z312=regle!$I$11,regle!$I$23,
IF(Z312=regle!$J$11,regle!$J$23,
IF(Z312=regle!$K$11,regle!$K$23,0))))))))))))</f>
        <v>0</v>
      </c>
      <c r="AK312" s="16">
        <f>IF(OR(Q312=regle!$J$11,Q312=regle!$K$11),-2,IF(Q312=regle!$B$11,0,IF(AK$1=$AK$1,IF($O312,-1,regle!$B$2-$M312),IF(AJ312=-1,-1,AJ312+1))))</f>
        <v>19</v>
      </c>
      <c r="AL312" s="16">
        <f>IF(OR(R312=regle!$J$11,R312=regle!$K$11),-2,IF(R312=regle!$B$11,0,IF(AL$1=$AK$1,IF($O312,-1,regle!$B$2-$M312),IF(AK312=-1,-1,AK312+1))))</f>
        <v>20</v>
      </c>
      <c r="AM312" s="16">
        <f>IF(OR(S312=regle!$J$11,S312=regle!$K$11),-2,IF(S312=regle!$B$11,0,IF(AM$1=$AK$1,IF($O312,-1,regle!$B$2-$M312),IF(AL312=-1,-1,AL312+1))))</f>
        <v>21</v>
      </c>
      <c r="AN312" s="16">
        <f>IF(OR(T312=regle!$J$11,T312=regle!$K$11),-2,IF(T312=regle!$B$11,0,IF(AN$1=$AK$1,IF($O312,-1,regle!$B$2-$M312),IF(AM312=-1,-1,AM312+1))))</f>
        <v>22</v>
      </c>
      <c r="AO312" s="16">
        <f>IF(OR(U312=regle!$J$11,U312=regle!$K$11),-2,IF(U312=regle!$B$11,0,IF(AO$1=$AK$1,IF($O312,-1,regle!$B$2-$M312),IF(AN312=-1,-1,AN312+1))))</f>
        <v>23</v>
      </c>
      <c r="AP312" s="16">
        <f>IF(OR(V312=regle!$J$11,V312=regle!$K$11),-2,IF(V312=regle!$B$11,0,IF(AP$1=$AK$1,IF($O312,-1,regle!$B$2-$M312),IF(AO312=-1,-1,AO312+1))))</f>
        <v>24</v>
      </c>
      <c r="AQ312" s="16">
        <f>IF(OR(W312=regle!$J$11,W312=regle!$K$11),-2,IF(W312=regle!$B$11,0,IF(AQ$1=$AK$1,IF($O312,-1,regle!$B$2-$M312),IF(AP312=-1,-1,AP312+1))))</f>
        <v>25</v>
      </c>
      <c r="AR312" s="16">
        <f>IF(OR(X312=regle!$J$11,X312=regle!$K$11),-2,IF(X312=regle!$B$11,0,IF(AR$1=$AK$1,IF($O312,-1,regle!$B$2-$M312),IF(AQ312=-1,-1,AQ312+1))))</f>
        <v>26</v>
      </c>
      <c r="AS312" s="16">
        <f>IF(OR(Y312=regle!$J$11,Y312=regle!$K$11),-2,IF(Y312=regle!$B$11,0,IF(AS$1=$AK$1,IF($O312,-1,regle!$B$2-$M312),IF(AR312=-1,-1,AR312+1))))</f>
        <v>27</v>
      </c>
      <c r="AT312" s="16">
        <f>IF(OR(Z312=regle!$J$11,Z312=regle!$K$11),-2,IF(Z312=regle!$B$11,0,IF(AT$1=$AK$1,IF($O312,-1,regle!$B$2-$M312),IF(AS312=-1,-1,AS312+1))))</f>
        <v>28</v>
      </c>
    </row>
    <row r="313" spans="1:46" x14ac:dyDescent="0.25">
      <c r="A313" t="b">
        <f>modif1!A313</f>
        <v>1</v>
      </c>
      <c r="B313">
        <f>ROW(modif1!B313)</f>
        <v>313</v>
      </c>
      <c r="C313" t="str">
        <f>modif1!C316</f>
        <v>536</v>
      </c>
      <c r="D313" t="str">
        <f>modif1!D313</f>
        <v>LE TUZAN</v>
      </c>
      <c r="E313">
        <f>modif1!E313</f>
        <v>21</v>
      </c>
      <c r="F313" t="str">
        <f>modif1!F313</f>
        <v>METAIRIES DE TABARTON</v>
      </c>
      <c r="G313" t="str">
        <f>modif1!G313</f>
        <v>0A</v>
      </c>
      <c r="H313">
        <f>modif1!H313</f>
        <v>461</v>
      </c>
      <c r="I313" t="str">
        <f>modif1!I313</f>
        <v/>
      </c>
      <c r="J313" s="11">
        <f>modif1!J313</f>
        <v>0.20399999999999999</v>
      </c>
      <c r="K313" t="str">
        <f>modif1!K313</f>
        <v>PLA</v>
      </c>
      <c r="L313" t="str">
        <f>modif1!L313</f>
        <v>PM</v>
      </c>
      <c r="M313">
        <f>modif1!M313</f>
        <v>2005</v>
      </c>
      <c r="N313" t="str">
        <f>modif1!N313</f>
        <v>PLA-PM_2005</v>
      </c>
      <c r="O313" t="b">
        <f>modif1!O313</f>
        <v>0</v>
      </c>
      <c r="P313">
        <v>40</v>
      </c>
      <c r="T313" t="s">
        <v>1805</v>
      </c>
      <c r="Y313" t="s">
        <v>1806</v>
      </c>
      <c r="Z313"/>
      <c r="AA313" s="17">
        <f>IF($A313,$J313*(IF(Q313=regle!$B$11,regle!$B$23*IF(AJ313=-2,1+regle!$B$35,1),
IF(Q313=regle!$C$11,regle!$C$23,
IF(Q313=regle!$D$11,regle!$D$23,
IF(Q313=regle!$E$11,regle!$E$23,
IF(Q313=regle!$F$11,regle!$F$23,
IF(Q313=regle!$G$11,regle!$G$23,
IF(Q313=regle!$H$11,regle!$H$23,
IF(Q313=regle!$I$11,regle!$I$23,
IF(Q313=regle!$J$11,regle!$J$23,
IF(Q313=regle!$K$11,regle!$K$23,0))))))))))))</f>
        <v>0</v>
      </c>
      <c r="AB313" s="17">
        <f>IF($A313,$J313*(IF(R313=regle!$B$11,regle!$B$23*IF(AK313=-2,1+regle!$B$35,1),
IF(R313=regle!$C$11,regle!$C$23,
IF(R313=regle!$D$11,regle!$D$23,
IF(R313=regle!$E$11,regle!$E$23,
IF(R313=regle!$F$11,regle!$F$23,
IF(R313=regle!$G$11,regle!$G$23,
IF(R313=regle!$H$11,regle!$H$23,
IF(R313=regle!$I$11,regle!$I$23,
IF(R313=regle!$J$11,regle!$J$23,
IF(R313=regle!$K$11,regle!$K$23,0))))))))))))</f>
        <v>0</v>
      </c>
      <c r="AC313" s="17">
        <f>IF($A313,$J313*(IF(S313=regle!$B$11,regle!$B$23*IF(AL313=-2,1+regle!$B$35,1),
IF(S313=regle!$C$11,regle!$C$23,
IF(S313=regle!$D$11,regle!$D$23,
IF(S313=regle!$E$11,regle!$E$23,
IF(S313=regle!$F$11,regle!$F$23,
IF(S313=regle!$G$11,regle!$G$23,
IF(S313=regle!$H$11,regle!$H$23,
IF(S313=regle!$I$11,regle!$I$23,
IF(S313=regle!$J$11,regle!$J$23,
IF(S313=regle!$K$11,regle!$K$23,0))))))))))))</f>
        <v>0</v>
      </c>
      <c r="AD313" s="17">
        <f>IF($A313,$J313*(IF(T313=regle!$B$11,regle!$B$23*IF(AM313=-2,1+regle!$B$35,1),
IF(T313=regle!$C$11,regle!$C$23,
IF(T313=regle!$D$11,regle!$D$23,
IF(T313=regle!$E$11,regle!$E$23,
IF(T313=regle!$F$11,regle!$F$23,
IF(T313=regle!$G$11,regle!$G$23,
IF(T313=regle!$H$11,regle!$H$23,
IF(T313=regle!$I$11,regle!$I$23,
IF(T313=regle!$J$11,regle!$J$23,
IF(T313=regle!$K$11,regle!$K$23,0))))))))))))</f>
        <v>287.23199999999997</v>
      </c>
      <c r="AE313" s="17">
        <f>IF($A313,$J313*(IF(U313=regle!$B$11,regle!$B$23*IF(AN313=-2,1+regle!$B$35,1),
IF(U313=regle!$C$11,regle!$C$23,
IF(U313=regle!$D$11,regle!$D$23,
IF(U313=regle!$E$11,regle!$E$23,
IF(U313=regle!$F$11,regle!$F$23,
IF(U313=regle!$G$11,regle!$G$23,
IF(U313=regle!$H$11,regle!$H$23,
IF(U313=regle!$I$11,regle!$I$23,
IF(U313=regle!$J$11,regle!$J$23,
IF(U313=regle!$K$11,regle!$K$23,0))))))))))))</f>
        <v>0</v>
      </c>
      <c r="AF313" s="17">
        <f>IF($A313,$J313*(IF(V313=regle!$B$11,regle!$B$23*IF(AO313=-2,1+regle!$B$35,1),
IF(V313=regle!$C$11,regle!$C$23,
IF(V313=regle!$D$11,regle!$D$23,
IF(V313=regle!$E$11,regle!$E$23,
IF(V313=regle!$F$11,regle!$F$23,
IF(V313=regle!$G$11,regle!$G$23,
IF(V313=regle!$H$11,regle!$H$23,
IF(V313=regle!$I$11,regle!$I$23,
IF(V313=regle!$J$11,regle!$J$23,
IF(V313=regle!$K$11,regle!$K$23,0))))))))))))</f>
        <v>0</v>
      </c>
      <c r="AG313" s="17">
        <f>IF($A313,$J313*(IF(W313=regle!$B$11,regle!$B$23*IF(AP313=-2,1+regle!$B$35,1),
IF(W313=regle!$C$11,regle!$C$23,
IF(W313=regle!$D$11,regle!$D$23,
IF(W313=regle!$E$11,regle!$E$23,
IF(W313=regle!$F$11,regle!$F$23,
IF(W313=regle!$G$11,regle!$G$23,
IF(W313=regle!$H$11,regle!$H$23,
IF(W313=regle!$I$11,regle!$I$23,
IF(W313=regle!$J$11,regle!$J$23,
IF(W313=regle!$K$11,regle!$K$23,0))))))))))))</f>
        <v>0</v>
      </c>
      <c r="AH313" s="17">
        <f>IF($A313,$J313*(IF(X313=regle!$B$11,regle!$B$23*IF(AQ313=-2,1+regle!$B$35,1),
IF(X313=regle!$C$11,regle!$C$23,
IF(X313=regle!$D$11,regle!$D$23,
IF(X313=regle!$E$11,regle!$E$23,
IF(X313=regle!$F$11,regle!$F$23,
IF(X313=regle!$G$11,regle!$G$23,
IF(X313=regle!$H$11,regle!$H$23,
IF(X313=regle!$I$11,regle!$I$23,
IF(X313=regle!$J$11,regle!$J$23,
IF(X313=regle!$K$11,regle!$K$23,0))))))))))))</f>
        <v>0</v>
      </c>
      <c r="AI313" s="17">
        <f>IF($A313,$J313*(IF(Y313=regle!$B$11,regle!$B$23*IF(AR313=-2,1+regle!$B$35,1),
IF(Y313=regle!$C$11,regle!$C$23,
IF(Y313=regle!$D$11,regle!$D$23,
IF(Y313=regle!$E$11,regle!$E$23,
IF(Y313=regle!$F$11,regle!$F$23,
IF(Y313=regle!$G$11,regle!$G$23,
IF(Y313=regle!$H$11,regle!$H$23,
IF(Y313=regle!$I$11,regle!$I$23,
IF(Y313=regle!$J$11,regle!$J$23,
IF(Y313=regle!$K$11,regle!$K$23,0))))))))))))</f>
        <v>261.12</v>
      </c>
      <c r="AJ313" s="17">
        <f>IF($A313,$J313*(IF(Z313=regle!$B$11,regle!$B$23*IF(AS313=-2,1+regle!$B$35,1),
IF(Z313=regle!$C$11,regle!$C$23,
IF(Z313=regle!$D$11,regle!$D$23,
IF(Z313=regle!$E$11,regle!$E$23,
IF(Z313=regle!$F$11,regle!$F$23,
IF(Z313=regle!$G$11,regle!$G$23,
IF(Z313=regle!$H$11,regle!$H$23,
IF(Z313=regle!$I$11,regle!$I$23,
IF(Z313=regle!$J$11,regle!$J$23,
IF(Z313=regle!$K$11,regle!$K$23,0))))))))))))</f>
        <v>0</v>
      </c>
      <c r="AK313" s="16">
        <f>IF(OR(Q313=regle!$J$11,Q313=regle!$K$11),-2,IF(Q313=regle!$B$11,0,IF(AK$1=$AK$1,IF($O313,-1,regle!$B$2-$M313),IF(AJ313=-1,-1,AJ313+1))))</f>
        <v>19</v>
      </c>
      <c r="AL313" s="16">
        <f>IF(OR(R313=regle!$J$11,R313=regle!$K$11),-2,IF(R313=regle!$B$11,0,IF(AL$1=$AK$1,IF($O313,-1,regle!$B$2-$M313),IF(AK313=-1,-1,AK313+1))))</f>
        <v>20</v>
      </c>
      <c r="AM313" s="16">
        <f>IF(OR(S313=regle!$J$11,S313=regle!$K$11),-2,IF(S313=regle!$B$11,0,IF(AM$1=$AK$1,IF($O313,-1,regle!$B$2-$M313),IF(AL313=-1,-1,AL313+1))))</f>
        <v>21</v>
      </c>
      <c r="AN313" s="16">
        <f>IF(OR(T313=regle!$J$11,T313=regle!$K$11),-2,IF(T313=regle!$B$11,0,IF(AN$1=$AK$1,IF($O313,-1,regle!$B$2-$M313),IF(AM313=-1,-1,AM313+1))))</f>
        <v>22</v>
      </c>
      <c r="AO313" s="16">
        <f>IF(OR(U313=regle!$J$11,U313=regle!$K$11),-2,IF(U313=regle!$B$11,0,IF(AO$1=$AK$1,IF($O313,-1,regle!$B$2-$M313),IF(AN313=-1,-1,AN313+1))))</f>
        <v>23</v>
      </c>
      <c r="AP313" s="16">
        <f>IF(OR(V313=regle!$J$11,V313=regle!$K$11),-2,IF(V313=regle!$B$11,0,IF(AP$1=$AK$1,IF($O313,-1,regle!$B$2-$M313),IF(AO313=-1,-1,AO313+1))))</f>
        <v>24</v>
      </c>
      <c r="AQ313" s="16">
        <f>IF(OR(W313=regle!$J$11,W313=regle!$K$11),-2,IF(W313=regle!$B$11,0,IF(AQ$1=$AK$1,IF($O313,-1,regle!$B$2-$M313),IF(AP313=-1,-1,AP313+1))))</f>
        <v>25</v>
      </c>
      <c r="AR313" s="16">
        <f>IF(OR(X313=regle!$J$11,X313=regle!$K$11),-2,IF(X313=regle!$B$11,0,IF(AR$1=$AK$1,IF($O313,-1,regle!$B$2-$M313),IF(AQ313=-1,-1,AQ313+1))))</f>
        <v>26</v>
      </c>
      <c r="AS313" s="16">
        <f>IF(OR(Y313=regle!$J$11,Y313=regle!$K$11),-2,IF(Y313=regle!$B$11,0,IF(AS$1=$AK$1,IF($O313,-1,regle!$B$2-$M313),IF(AR313=-1,-1,AR313+1))))</f>
        <v>27</v>
      </c>
      <c r="AT313" s="16">
        <f>IF(OR(Z313=regle!$J$11,Z313=regle!$K$11),-2,IF(Z313=regle!$B$11,0,IF(AT$1=$AK$1,IF($O313,-1,regle!$B$2-$M313),IF(AS313=-1,-1,AS313+1))))</f>
        <v>28</v>
      </c>
    </row>
    <row r="314" spans="1:46" x14ac:dyDescent="0.25">
      <c r="A314" t="b">
        <f>modif1!A314</f>
        <v>1</v>
      </c>
      <c r="B314">
        <f>ROW(modif1!B314)</f>
        <v>314</v>
      </c>
      <c r="C314" t="str">
        <f>modif1!C317</f>
        <v>536</v>
      </c>
      <c r="D314" t="str">
        <f>modif1!D314</f>
        <v>LE TUZAN</v>
      </c>
      <c r="E314">
        <f>modif1!E314</f>
        <v>21</v>
      </c>
      <c r="F314" t="str">
        <f>modif1!F314</f>
        <v>METAIRIES DE TABARTON</v>
      </c>
      <c r="G314" t="str">
        <f>modif1!G314</f>
        <v>0A</v>
      </c>
      <c r="H314">
        <f>modif1!H314</f>
        <v>405</v>
      </c>
      <c r="I314" t="str">
        <f>modif1!I314</f>
        <v>l</v>
      </c>
      <c r="J314" s="11">
        <f>modif1!J314</f>
        <v>0.1946</v>
      </c>
      <c r="K314" t="str">
        <f>modif1!K314</f>
        <v>PLA</v>
      </c>
      <c r="L314" t="str">
        <f>modif1!L314</f>
        <v>PM</v>
      </c>
      <c r="M314">
        <f>modif1!M314</f>
        <v>2005</v>
      </c>
      <c r="N314" t="str">
        <f>modif1!N314</f>
        <v>PLA-PM_2005</v>
      </c>
      <c r="O314" t="b">
        <f>modif1!O314</f>
        <v>0</v>
      </c>
      <c r="P314">
        <v>40</v>
      </c>
      <c r="T314" t="s">
        <v>1805</v>
      </c>
      <c r="Y314" t="s">
        <v>1806</v>
      </c>
      <c r="Z314"/>
      <c r="AA314" s="17">
        <f>IF($A314,$J314*(IF(Q314=regle!$B$11,regle!$B$23*IF(AJ314=-2,1+regle!$B$35,1),
IF(Q314=regle!$C$11,regle!$C$23,
IF(Q314=regle!$D$11,regle!$D$23,
IF(Q314=regle!$E$11,regle!$E$23,
IF(Q314=regle!$F$11,regle!$F$23,
IF(Q314=regle!$G$11,regle!$G$23,
IF(Q314=regle!$H$11,regle!$H$23,
IF(Q314=regle!$I$11,regle!$I$23,
IF(Q314=regle!$J$11,regle!$J$23,
IF(Q314=regle!$K$11,regle!$K$23,0))))))))))))</f>
        <v>0</v>
      </c>
      <c r="AB314" s="17">
        <f>IF($A314,$J314*(IF(R314=regle!$B$11,regle!$B$23*IF(AK314=-2,1+regle!$B$35,1),
IF(R314=regle!$C$11,regle!$C$23,
IF(R314=regle!$D$11,regle!$D$23,
IF(R314=regle!$E$11,regle!$E$23,
IF(R314=regle!$F$11,regle!$F$23,
IF(R314=regle!$G$11,regle!$G$23,
IF(R314=regle!$H$11,regle!$H$23,
IF(R314=regle!$I$11,regle!$I$23,
IF(R314=regle!$J$11,regle!$J$23,
IF(R314=regle!$K$11,regle!$K$23,0))))))))))))</f>
        <v>0</v>
      </c>
      <c r="AC314" s="17">
        <f>IF($A314,$J314*(IF(S314=regle!$B$11,regle!$B$23*IF(AL314=-2,1+regle!$B$35,1),
IF(S314=regle!$C$11,regle!$C$23,
IF(S314=regle!$D$11,regle!$D$23,
IF(S314=regle!$E$11,regle!$E$23,
IF(S314=regle!$F$11,regle!$F$23,
IF(S314=regle!$G$11,regle!$G$23,
IF(S314=regle!$H$11,regle!$H$23,
IF(S314=regle!$I$11,regle!$I$23,
IF(S314=regle!$J$11,regle!$J$23,
IF(S314=regle!$K$11,regle!$K$23,0))))))))))))</f>
        <v>0</v>
      </c>
      <c r="AD314" s="17">
        <f>IF($A314,$J314*(IF(T314=regle!$B$11,regle!$B$23*IF(AM314=-2,1+regle!$B$35,1),
IF(T314=regle!$C$11,regle!$C$23,
IF(T314=regle!$D$11,regle!$D$23,
IF(T314=regle!$E$11,regle!$E$23,
IF(T314=regle!$F$11,regle!$F$23,
IF(T314=regle!$G$11,regle!$G$23,
IF(T314=regle!$H$11,regle!$H$23,
IF(T314=regle!$I$11,regle!$I$23,
IF(T314=regle!$J$11,regle!$J$23,
IF(T314=regle!$K$11,regle!$K$23,0))))))))))))</f>
        <v>273.99680000000001</v>
      </c>
      <c r="AE314" s="17">
        <f>IF($A314,$J314*(IF(U314=regle!$B$11,regle!$B$23*IF(AN314=-2,1+regle!$B$35,1),
IF(U314=regle!$C$11,regle!$C$23,
IF(U314=regle!$D$11,regle!$D$23,
IF(U314=regle!$E$11,regle!$E$23,
IF(U314=regle!$F$11,regle!$F$23,
IF(U314=regle!$G$11,regle!$G$23,
IF(U314=regle!$H$11,regle!$H$23,
IF(U314=regle!$I$11,regle!$I$23,
IF(U314=regle!$J$11,regle!$J$23,
IF(U314=regle!$K$11,regle!$K$23,0))))))))))))</f>
        <v>0</v>
      </c>
      <c r="AF314" s="17">
        <f>IF($A314,$J314*(IF(V314=regle!$B$11,regle!$B$23*IF(AO314=-2,1+regle!$B$35,1),
IF(V314=regle!$C$11,regle!$C$23,
IF(V314=regle!$D$11,regle!$D$23,
IF(V314=regle!$E$11,regle!$E$23,
IF(V314=regle!$F$11,regle!$F$23,
IF(V314=regle!$G$11,regle!$G$23,
IF(V314=regle!$H$11,regle!$H$23,
IF(V314=regle!$I$11,regle!$I$23,
IF(V314=regle!$J$11,regle!$J$23,
IF(V314=regle!$K$11,regle!$K$23,0))))))))))))</f>
        <v>0</v>
      </c>
      <c r="AG314" s="17">
        <f>IF($A314,$J314*(IF(W314=regle!$B$11,regle!$B$23*IF(AP314=-2,1+regle!$B$35,1),
IF(W314=regle!$C$11,regle!$C$23,
IF(W314=regle!$D$11,regle!$D$23,
IF(W314=regle!$E$11,regle!$E$23,
IF(W314=regle!$F$11,regle!$F$23,
IF(W314=regle!$G$11,regle!$G$23,
IF(W314=regle!$H$11,regle!$H$23,
IF(W314=regle!$I$11,regle!$I$23,
IF(W314=regle!$J$11,regle!$J$23,
IF(W314=regle!$K$11,regle!$K$23,0))))))))))))</f>
        <v>0</v>
      </c>
      <c r="AH314" s="17">
        <f>IF($A314,$J314*(IF(X314=regle!$B$11,regle!$B$23*IF(AQ314=-2,1+regle!$B$35,1),
IF(X314=regle!$C$11,regle!$C$23,
IF(X314=regle!$D$11,regle!$D$23,
IF(X314=regle!$E$11,regle!$E$23,
IF(X314=regle!$F$11,regle!$F$23,
IF(X314=regle!$G$11,regle!$G$23,
IF(X314=regle!$H$11,regle!$H$23,
IF(X314=regle!$I$11,regle!$I$23,
IF(X314=regle!$J$11,regle!$J$23,
IF(X314=regle!$K$11,regle!$K$23,0))))))))))))</f>
        <v>0</v>
      </c>
      <c r="AI314" s="17">
        <f>IF($A314,$J314*(IF(Y314=regle!$B$11,regle!$B$23*IF(AR314=-2,1+regle!$B$35,1),
IF(Y314=regle!$C$11,regle!$C$23,
IF(Y314=regle!$D$11,regle!$D$23,
IF(Y314=regle!$E$11,regle!$E$23,
IF(Y314=regle!$F$11,regle!$F$23,
IF(Y314=regle!$G$11,regle!$G$23,
IF(Y314=regle!$H$11,regle!$H$23,
IF(Y314=regle!$I$11,regle!$I$23,
IF(Y314=regle!$J$11,regle!$J$23,
IF(Y314=regle!$K$11,regle!$K$23,0))))))))))))</f>
        <v>249.08799999999999</v>
      </c>
      <c r="AJ314" s="17">
        <f>IF($A314,$J314*(IF(Z314=regle!$B$11,regle!$B$23*IF(AS314=-2,1+regle!$B$35,1),
IF(Z314=regle!$C$11,regle!$C$23,
IF(Z314=regle!$D$11,regle!$D$23,
IF(Z314=regle!$E$11,regle!$E$23,
IF(Z314=regle!$F$11,regle!$F$23,
IF(Z314=regle!$G$11,regle!$G$23,
IF(Z314=regle!$H$11,regle!$H$23,
IF(Z314=regle!$I$11,regle!$I$23,
IF(Z314=regle!$J$11,regle!$J$23,
IF(Z314=regle!$K$11,regle!$K$23,0))))))))))))</f>
        <v>0</v>
      </c>
      <c r="AK314" s="16">
        <f>IF(OR(Q314=regle!$J$11,Q314=regle!$K$11),-2,IF(Q314=regle!$B$11,0,IF(AK$1=$AK$1,IF($O314,-1,regle!$B$2-$M314),IF(AJ314=-1,-1,AJ314+1))))</f>
        <v>19</v>
      </c>
      <c r="AL314" s="16">
        <f>IF(OR(R314=regle!$J$11,R314=regle!$K$11),-2,IF(R314=regle!$B$11,0,IF(AL$1=$AK$1,IF($O314,-1,regle!$B$2-$M314),IF(AK314=-1,-1,AK314+1))))</f>
        <v>20</v>
      </c>
      <c r="AM314" s="16">
        <f>IF(OR(S314=regle!$J$11,S314=regle!$K$11),-2,IF(S314=regle!$B$11,0,IF(AM$1=$AK$1,IF($O314,-1,regle!$B$2-$M314),IF(AL314=-1,-1,AL314+1))))</f>
        <v>21</v>
      </c>
      <c r="AN314" s="16">
        <f>IF(OR(T314=regle!$J$11,T314=regle!$K$11),-2,IF(T314=regle!$B$11,0,IF(AN$1=$AK$1,IF($O314,-1,regle!$B$2-$M314),IF(AM314=-1,-1,AM314+1))))</f>
        <v>22</v>
      </c>
      <c r="AO314" s="16">
        <f>IF(OR(U314=regle!$J$11,U314=regle!$K$11),-2,IF(U314=regle!$B$11,0,IF(AO$1=$AK$1,IF($O314,-1,regle!$B$2-$M314),IF(AN314=-1,-1,AN314+1))))</f>
        <v>23</v>
      </c>
      <c r="AP314" s="16">
        <f>IF(OR(V314=regle!$J$11,V314=regle!$K$11),-2,IF(V314=regle!$B$11,0,IF(AP$1=$AK$1,IF($O314,-1,regle!$B$2-$M314),IF(AO314=-1,-1,AO314+1))))</f>
        <v>24</v>
      </c>
      <c r="AQ314" s="16">
        <f>IF(OR(W314=regle!$J$11,W314=regle!$K$11),-2,IF(W314=regle!$B$11,0,IF(AQ$1=$AK$1,IF($O314,-1,regle!$B$2-$M314),IF(AP314=-1,-1,AP314+1))))</f>
        <v>25</v>
      </c>
      <c r="AR314" s="16">
        <f>IF(OR(X314=regle!$J$11,X314=regle!$K$11),-2,IF(X314=regle!$B$11,0,IF(AR$1=$AK$1,IF($O314,-1,regle!$B$2-$M314),IF(AQ314=-1,-1,AQ314+1))))</f>
        <v>26</v>
      </c>
      <c r="AS314" s="16">
        <f>IF(OR(Y314=regle!$J$11,Y314=regle!$K$11),-2,IF(Y314=regle!$B$11,0,IF(AS$1=$AK$1,IF($O314,-1,regle!$B$2-$M314),IF(AR314=-1,-1,AR314+1))))</f>
        <v>27</v>
      </c>
      <c r="AT314" s="16">
        <f>IF(OR(Z314=regle!$J$11,Z314=regle!$K$11),-2,IF(Z314=regle!$B$11,0,IF(AT$1=$AK$1,IF($O314,-1,regle!$B$2-$M314),IF(AS314=-1,-1,AS314+1))))</f>
        <v>28</v>
      </c>
    </row>
    <row r="315" spans="1:46" x14ac:dyDescent="0.25">
      <c r="A315" t="b">
        <f>modif1!A315</f>
        <v>1</v>
      </c>
      <c r="B315">
        <f>ROW(modif1!B315)</f>
        <v>315</v>
      </c>
      <c r="C315" t="str">
        <f>modif1!C318</f>
        <v>536</v>
      </c>
      <c r="D315" t="str">
        <f>modif1!D315</f>
        <v>CABANAC-ET-VILLAGRAINS</v>
      </c>
      <c r="E315">
        <f>modif1!E315</f>
        <v>12</v>
      </c>
      <c r="F315" t="str">
        <f>modif1!F315</f>
        <v>LES JEANNOTS</v>
      </c>
      <c r="G315" t="str">
        <f>modif1!G315</f>
        <v>0D</v>
      </c>
      <c r="H315">
        <f>modif1!H315</f>
        <v>2297</v>
      </c>
      <c r="I315" t="str">
        <f>modif1!I315</f>
        <v/>
      </c>
      <c r="J315" s="11">
        <f>modif1!J315</f>
        <v>0.16370000000000001</v>
      </c>
      <c r="K315" t="str">
        <f>modif1!K315</f>
        <v>PLA</v>
      </c>
      <c r="L315" t="str">
        <f>modif1!L315</f>
        <v>PM</v>
      </c>
      <c r="M315">
        <f>modif1!M315</f>
        <v>2005</v>
      </c>
      <c r="N315" t="str">
        <f>modif1!N315</f>
        <v>PLA-PM_2005</v>
      </c>
      <c r="O315" t="b">
        <f>modif1!O315</f>
        <v>0</v>
      </c>
      <c r="P315">
        <v>40</v>
      </c>
      <c r="T315" t="s">
        <v>1805</v>
      </c>
      <c r="Y315" t="s">
        <v>1806</v>
      </c>
      <c r="Z315"/>
      <c r="AA315" s="17">
        <f>IF($A315,$J315*(IF(Q315=regle!$B$11,regle!$B$23*IF(AJ315=-2,1+regle!$B$35,1),
IF(Q315=regle!$C$11,regle!$C$23,
IF(Q315=regle!$D$11,regle!$D$23,
IF(Q315=regle!$E$11,regle!$E$23,
IF(Q315=regle!$F$11,regle!$F$23,
IF(Q315=regle!$G$11,regle!$G$23,
IF(Q315=regle!$H$11,regle!$H$23,
IF(Q315=regle!$I$11,regle!$I$23,
IF(Q315=regle!$J$11,regle!$J$23,
IF(Q315=regle!$K$11,regle!$K$23,0))))))))))))</f>
        <v>0</v>
      </c>
      <c r="AB315" s="17">
        <f>IF($A315,$J315*(IF(R315=regle!$B$11,regle!$B$23*IF(AK315=-2,1+regle!$B$35,1),
IF(R315=regle!$C$11,regle!$C$23,
IF(R315=regle!$D$11,regle!$D$23,
IF(R315=regle!$E$11,regle!$E$23,
IF(R315=regle!$F$11,regle!$F$23,
IF(R315=regle!$G$11,regle!$G$23,
IF(R315=regle!$H$11,regle!$H$23,
IF(R315=regle!$I$11,regle!$I$23,
IF(R315=regle!$J$11,regle!$J$23,
IF(R315=regle!$K$11,regle!$K$23,0))))))))))))</f>
        <v>0</v>
      </c>
      <c r="AC315" s="17">
        <f>IF($A315,$J315*(IF(S315=regle!$B$11,regle!$B$23*IF(AL315=-2,1+regle!$B$35,1),
IF(S315=regle!$C$11,regle!$C$23,
IF(S315=regle!$D$11,regle!$D$23,
IF(S315=regle!$E$11,regle!$E$23,
IF(S315=regle!$F$11,regle!$F$23,
IF(S315=regle!$G$11,regle!$G$23,
IF(S315=regle!$H$11,regle!$H$23,
IF(S315=regle!$I$11,regle!$I$23,
IF(S315=regle!$J$11,regle!$J$23,
IF(S315=regle!$K$11,regle!$K$23,0))))))))))))</f>
        <v>0</v>
      </c>
      <c r="AD315" s="17">
        <f>IF($A315,$J315*(IF(T315=regle!$B$11,regle!$B$23*IF(AM315=-2,1+regle!$B$35,1),
IF(T315=regle!$C$11,regle!$C$23,
IF(T315=regle!$D$11,regle!$D$23,
IF(T315=regle!$E$11,regle!$E$23,
IF(T315=regle!$F$11,regle!$F$23,
IF(T315=regle!$G$11,regle!$G$23,
IF(T315=regle!$H$11,regle!$H$23,
IF(T315=regle!$I$11,regle!$I$23,
IF(T315=regle!$J$11,regle!$J$23,
IF(T315=regle!$K$11,regle!$K$23,0))))))))))))</f>
        <v>230.48960000000002</v>
      </c>
      <c r="AE315" s="17">
        <f>IF($A315,$J315*(IF(U315=regle!$B$11,regle!$B$23*IF(AN315=-2,1+regle!$B$35,1),
IF(U315=regle!$C$11,regle!$C$23,
IF(U315=regle!$D$11,regle!$D$23,
IF(U315=regle!$E$11,regle!$E$23,
IF(U315=regle!$F$11,regle!$F$23,
IF(U315=regle!$G$11,regle!$G$23,
IF(U315=regle!$H$11,regle!$H$23,
IF(U315=regle!$I$11,regle!$I$23,
IF(U315=regle!$J$11,regle!$J$23,
IF(U315=regle!$K$11,regle!$K$23,0))))))))))))</f>
        <v>0</v>
      </c>
      <c r="AF315" s="17">
        <f>IF($A315,$J315*(IF(V315=regle!$B$11,regle!$B$23*IF(AO315=-2,1+regle!$B$35,1),
IF(V315=regle!$C$11,regle!$C$23,
IF(V315=regle!$D$11,regle!$D$23,
IF(V315=regle!$E$11,regle!$E$23,
IF(V315=regle!$F$11,regle!$F$23,
IF(V315=regle!$G$11,regle!$G$23,
IF(V315=regle!$H$11,regle!$H$23,
IF(V315=regle!$I$11,regle!$I$23,
IF(V315=regle!$J$11,regle!$J$23,
IF(V315=regle!$K$11,regle!$K$23,0))))))))))))</f>
        <v>0</v>
      </c>
      <c r="AG315" s="17">
        <f>IF($A315,$J315*(IF(W315=regle!$B$11,regle!$B$23*IF(AP315=-2,1+regle!$B$35,1),
IF(W315=regle!$C$11,regle!$C$23,
IF(W315=regle!$D$11,regle!$D$23,
IF(W315=regle!$E$11,regle!$E$23,
IF(W315=regle!$F$11,regle!$F$23,
IF(W315=regle!$G$11,regle!$G$23,
IF(W315=regle!$H$11,regle!$H$23,
IF(W315=regle!$I$11,regle!$I$23,
IF(W315=regle!$J$11,regle!$J$23,
IF(W315=regle!$K$11,regle!$K$23,0))))))))))))</f>
        <v>0</v>
      </c>
      <c r="AH315" s="17">
        <f>IF($A315,$J315*(IF(X315=regle!$B$11,regle!$B$23*IF(AQ315=-2,1+regle!$B$35,1),
IF(X315=regle!$C$11,regle!$C$23,
IF(X315=regle!$D$11,regle!$D$23,
IF(X315=regle!$E$11,regle!$E$23,
IF(X315=regle!$F$11,regle!$F$23,
IF(X315=regle!$G$11,regle!$G$23,
IF(X315=regle!$H$11,regle!$H$23,
IF(X315=regle!$I$11,regle!$I$23,
IF(X315=regle!$J$11,regle!$J$23,
IF(X315=regle!$K$11,regle!$K$23,0))))))))))))</f>
        <v>0</v>
      </c>
      <c r="AI315" s="17">
        <f>IF($A315,$J315*(IF(Y315=regle!$B$11,regle!$B$23*IF(AR315=-2,1+regle!$B$35,1),
IF(Y315=regle!$C$11,regle!$C$23,
IF(Y315=regle!$D$11,regle!$D$23,
IF(Y315=regle!$E$11,regle!$E$23,
IF(Y315=regle!$F$11,regle!$F$23,
IF(Y315=regle!$G$11,regle!$G$23,
IF(Y315=regle!$H$11,regle!$H$23,
IF(Y315=regle!$I$11,regle!$I$23,
IF(Y315=regle!$J$11,regle!$J$23,
IF(Y315=regle!$K$11,regle!$K$23,0))))))))))))</f>
        <v>209.536</v>
      </c>
      <c r="AJ315" s="17">
        <f>IF($A315,$J315*(IF(Z315=regle!$B$11,regle!$B$23*IF(AS315=-2,1+regle!$B$35,1),
IF(Z315=regle!$C$11,regle!$C$23,
IF(Z315=regle!$D$11,regle!$D$23,
IF(Z315=regle!$E$11,regle!$E$23,
IF(Z315=regle!$F$11,regle!$F$23,
IF(Z315=regle!$G$11,regle!$G$23,
IF(Z315=regle!$H$11,regle!$H$23,
IF(Z315=regle!$I$11,regle!$I$23,
IF(Z315=regle!$J$11,regle!$J$23,
IF(Z315=regle!$K$11,regle!$K$23,0))))))))))))</f>
        <v>0</v>
      </c>
      <c r="AK315" s="16">
        <f>IF(OR(Q315=regle!$J$11,Q315=regle!$K$11),-2,IF(Q315=regle!$B$11,0,IF(AK$1=$AK$1,IF($O315,-1,regle!$B$2-$M315),IF(AJ315=-1,-1,AJ315+1))))</f>
        <v>19</v>
      </c>
      <c r="AL315" s="16">
        <f>IF(OR(R315=regle!$J$11,R315=regle!$K$11),-2,IF(R315=regle!$B$11,0,IF(AL$1=$AK$1,IF($O315,-1,regle!$B$2-$M315),IF(AK315=-1,-1,AK315+1))))</f>
        <v>20</v>
      </c>
      <c r="AM315" s="16">
        <f>IF(OR(S315=regle!$J$11,S315=regle!$K$11),-2,IF(S315=regle!$B$11,0,IF(AM$1=$AK$1,IF($O315,-1,regle!$B$2-$M315),IF(AL315=-1,-1,AL315+1))))</f>
        <v>21</v>
      </c>
      <c r="AN315" s="16">
        <f>IF(OR(T315=regle!$J$11,T315=regle!$K$11),-2,IF(T315=regle!$B$11,0,IF(AN$1=$AK$1,IF($O315,-1,regle!$B$2-$M315),IF(AM315=-1,-1,AM315+1))))</f>
        <v>22</v>
      </c>
      <c r="AO315" s="16">
        <f>IF(OR(U315=regle!$J$11,U315=regle!$K$11),-2,IF(U315=regle!$B$11,0,IF(AO$1=$AK$1,IF($O315,-1,regle!$B$2-$M315),IF(AN315=-1,-1,AN315+1))))</f>
        <v>23</v>
      </c>
      <c r="AP315" s="16">
        <f>IF(OR(V315=regle!$J$11,V315=regle!$K$11),-2,IF(V315=regle!$B$11,0,IF(AP$1=$AK$1,IF($O315,-1,regle!$B$2-$M315),IF(AO315=-1,-1,AO315+1))))</f>
        <v>24</v>
      </c>
      <c r="AQ315" s="16">
        <f>IF(OR(W315=regle!$J$11,W315=regle!$K$11),-2,IF(W315=regle!$B$11,0,IF(AQ$1=$AK$1,IF($O315,-1,regle!$B$2-$M315),IF(AP315=-1,-1,AP315+1))))</f>
        <v>25</v>
      </c>
      <c r="AR315" s="16">
        <f>IF(OR(X315=regle!$J$11,X315=regle!$K$11),-2,IF(X315=regle!$B$11,0,IF(AR$1=$AK$1,IF($O315,-1,regle!$B$2-$M315),IF(AQ315=-1,-1,AQ315+1))))</f>
        <v>26</v>
      </c>
      <c r="AS315" s="16">
        <f>IF(OR(Y315=regle!$J$11,Y315=regle!$K$11),-2,IF(Y315=regle!$B$11,0,IF(AS$1=$AK$1,IF($O315,-1,regle!$B$2-$M315),IF(AR315=-1,-1,AR315+1))))</f>
        <v>27</v>
      </c>
      <c r="AT315" s="16">
        <f>IF(OR(Z315=regle!$J$11,Z315=regle!$K$11),-2,IF(Z315=regle!$B$11,0,IF(AT$1=$AK$1,IF($O315,-1,regle!$B$2-$M315),IF(AS315=-1,-1,AS315+1))))</f>
        <v>28</v>
      </c>
    </row>
    <row r="316" spans="1:46" x14ac:dyDescent="0.25">
      <c r="A316" t="b">
        <f>modif1!A316</f>
        <v>1</v>
      </c>
      <c r="B316">
        <f>ROW(modif1!B316)</f>
        <v>316</v>
      </c>
      <c r="C316" t="str">
        <f>modif1!C319</f>
        <v>536</v>
      </c>
      <c r="D316" t="str">
        <f>modif1!D316</f>
        <v>LE TUZAN</v>
      </c>
      <c r="E316">
        <f>modif1!E316</f>
        <v>21</v>
      </c>
      <c r="F316" t="str">
        <f>modif1!F316</f>
        <v>METAIRIES DE TABARTON</v>
      </c>
      <c r="G316" t="str">
        <f>modif1!G316</f>
        <v>0A</v>
      </c>
      <c r="H316">
        <f>modif1!H316</f>
        <v>531</v>
      </c>
      <c r="I316" t="str">
        <f>modif1!I316</f>
        <v/>
      </c>
      <c r="J316" s="11">
        <f>modif1!J316</f>
        <v>0.154</v>
      </c>
      <c r="K316" t="str">
        <f>modif1!K316</f>
        <v>PLA</v>
      </c>
      <c r="L316" t="str">
        <f>modif1!L316</f>
        <v>PM</v>
      </c>
      <c r="M316">
        <f>modif1!M316</f>
        <v>2005</v>
      </c>
      <c r="N316" t="str">
        <f>modif1!N316</f>
        <v>PLA-PM_2005</v>
      </c>
      <c r="O316" t="b">
        <f>modif1!O316</f>
        <v>0</v>
      </c>
      <c r="P316">
        <v>40</v>
      </c>
      <c r="T316" t="s">
        <v>1805</v>
      </c>
      <c r="Y316" t="s">
        <v>1806</v>
      </c>
      <c r="Z316"/>
      <c r="AA316" s="17">
        <f>IF($A316,$J316*(IF(Q316=regle!$B$11,regle!$B$23*IF(AJ316=-2,1+regle!$B$35,1),
IF(Q316=regle!$C$11,regle!$C$23,
IF(Q316=regle!$D$11,regle!$D$23,
IF(Q316=regle!$E$11,regle!$E$23,
IF(Q316=regle!$F$11,regle!$F$23,
IF(Q316=regle!$G$11,regle!$G$23,
IF(Q316=regle!$H$11,regle!$H$23,
IF(Q316=regle!$I$11,regle!$I$23,
IF(Q316=regle!$J$11,regle!$J$23,
IF(Q316=regle!$K$11,regle!$K$23,0))))))))))))</f>
        <v>0</v>
      </c>
      <c r="AB316" s="17">
        <f>IF($A316,$J316*(IF(R316=regle!$B$11,regle!$B$23*IF(AK316=-2,1+regle!$B$35,1),
IF(R316=regle!$C$11,regle!$C$23,
IF(R316=regle!$D$11,regle!$D$23,
IF(R316=regle!$E$11,regle!$E$23,
IF(R316=regle!$F$11,regle!$F$23,
IF(R316=regle!$G$11,regle!$G$23,
IF(R316=regle!$H$11,regle!$H$23,
IF(R316=regle!$I$11,regle!$I$23,
IF(R316=regle!$J$11,regle!$J$23,
IF(R316=regle!$K$11,regle!$K$23,0))))))))))))</f>
        <v>0</v>
      </c>
      <c r="AC316" s="17">
        <f>IF($A316,$J316*(IF(S316=regle!$B$11,regle!$B$23*IF(AL316=-2,1+regle!$B$35,1),
IF(S316=regle!$C$11,regle!$C$23,
IF(S316=regle!$D$11,regle!$D$23,
IF(S316=regle!$E$11,regle!$E$23,
IF(S316=regle!$F$11,regle!$F$23,
IF(S316=regle!$G$11,regle!$G$23,
IF(S316=regle!$H$11,regle!$H$23,
IF(S316=regle!$I$11,regle!$I$23,
IF(S316=regle!$J$11,regle!$J$23,
IF(S316=regle!$K$11,regle!$K$23,0))))))))))))</f>
        <v>0</v>
      </c>
      <c r="AD316" s="17">
        <f>IF($A316,$J316*(IF(T316=regle!$B$11,regle!$B$23*IF(AM316=-2,1+regle!$B$35,1),
IF(T316=regle!$C$11,regle!$C$23,
IF(T316=regle!$D$11,regle!$D$23,
IF(T316=regle!$E$11,regle!$E$23,
IF(T316=regle!$F$11,regle!$F$23,
IF(T316=regle!$G$11,regle!$G$23,
IF(T316=regle!$H$11,regle!$H$23,
IF(T316=regle!$I$11,regle!$I$23,
IF(T316=regle!$J$11,regle!$J$23,
IF(T316=regle!$K$11,regle!$K$23,0))))))))))))</f>
        <v>216.83199999999999</v>
      </c>
      <c r="AE316" s="17">
        <f>IF($A316,$J316*(IF(U316=regle!$B$11,regle!$B$23*IF(AN316=-2,1+regle!$B$35,1),
IF(U316=regle!$C$11,regle!$C$23,
IF(U316=regle!$D$11,regle!$D$23,
IF(U316=regle!$E$11,regle!$E$23,
IF(U316=regle!$F$11,regle!$F$23,
IF(U316=regle!$G$11,regle!$G$23,
IF(U316=regle!$H$11,regle!$H$23,
IF(U316=regle!$I$11,regle!$I$23,
IF(U316=regle!$J$11,regle!$J$23,
IF(U316=regle!$K$11,regle!$K$23,0))))))))))))</f>
        <v>0</v>
      </c>
      <c r="AF316" s="17">
        <f>IF($A316,$J316*(IF(V316=regle!$B$11,regle!$B$23*IF(AO316=-2,1+regle!$B$35,1),
IF(V316=regle!$C$11,regle!$C$23,
IF(V316=regle!$D$11,regle!$D$23,
IF(V316=regle!$E$11,regle!$E$23,
IF(V316=regle!$F$11,regle!$F$23,
IF(V316=regle!$G$11,regle!$G$23,
IF(V316=regle!$H$11,regle!$H$23,
IF(V316=regle!$I$11,regle!$I$23,
IF(V316=regle!$J$11,regle!$J$23,
IF(V316=regle!$K$11,regle!$K$23,0))))))))))))</f>
        <v>0</v>
      </c>
      <c r="AG316" s="17">
        <f>IF($A316,$J316*(IF(W316=regle!$B$11,regle!$B$23*IF(AP316=-2,1+regle!$B$35,1),
IF(W316=regle!$C$11,regle!$C$23,
IF(W316=regle!$D$11,regle!$D$23,
IF(W316=regle!$E$11,regle!$E$23,
IF(W316=regle!$F$11,regle!$F$23,
IF(W316=regle!$G$11,regle!$G$23,
IF(W316=regle!$H$11,regle!$H$23,
IF(W316=regle!$I$11,regle!$I$23,
IF(W316=regle!$J$11,regle!$J$23,
IF(W316=regle!$K$11,regle!$K$23,0))))))))))))</f>
        <v>0</v>
      </c>
      <c r="AH316" s="17">
        <f>IF($A316,$J316*(IF(X316=regle!$B$11,regle!$B$23*IF(AQ316=-2,1+regle!$B$35,1),
IF(X316=regle!$C$11,regle!$C$23,
IF(X316=regle!$D$11,regle!$D$23,
IF(X316=regle!$E$11,regle!$E$23,
IF(X316=regle!$F$11,regle!$F$23,
IF(X316=regle!$G$11,regle!$G$23,
IF(X316=regle!$H$11,regle!$H$23,
IF(X316=regle!$I$11,regle!$I$23,
IF(X316=regle!$J$11,regle!$J$23,
IF(X316=regle!$K$11,regle!$K$23,0))))))))))))</f>
        <v>0</v>
      </c>
      <c r="AI316" s="17">
        <f>IF($A316,$J316*(IF(Y316=regle!$B$11,regle!$B$23*IF(AR316=-2,1+regle!$B$35,1),
IF(Y316=regle!$C$11,regle!$C$23,
IF(Y316=regle!$D$11,regle!$D$23,
IF(Y316=regle!$E$11,regle!$E$23,
IF(Y316=regle!$F$11,regle!$F$23,
IF(Y316=regle!$G$11,regle!$G$23,
IF(Y316=regle!$H$11,regle!$H$23,
IF(Y316=regle!$I$11,regle!$I$23,
IF(Y316=regle!$J$11,regle!$J$23,
IF(Y316=regle!$K$11,regle!$K$23,0))))))))))))</f>
        <v>197.12</v>
      </c>
      <c r="AJ316" s="17">
        <f>IF($A316,$J316*(IF(Z316=regle!$B$11,regle!$B$23*IF(AS316=-2,1+regle!$B$35,1),
IF(Z316=regle!$C$11,regle!$C$23,
IF(Z316=regle!$D$11,regle!$D$23,
IF(Z316=regle!$E$11,regle!$E$23,
IF(Z316=regle!$F$11,regle!$F$23,
IF(Z316=regle!$G$11,regle!$G$23,
IF(Z316=regle!$H$11,regle!$H$23,
IF(Z316=regle!$I$11,regle!$I$23,
IF(Z316=regle!$J$11,regle!$J$23,
IF(Z316=regle!$K$11,regle!$K$23,0))))))))))))</f>
        <v>0</v>
      </c>
      <c r="AK316" s="16">
        <f>IF(OR(Q316=regle!$J$11,Q316=regle!$K$11),-2,IF(Q316=regle!$B$11,0,IF(AK$1=$AK$1,IF($O316,-1,regle!$B$2-$M316),IF(AJ316=-1,-1,AJ316+1))))</f>
        <v>19</v>
      </c>
      <c r="AL316" s="16">
        <f>IF(OR(R316=regle!$J$11,R316=regle!$K$11),-2,IF(R316=regle!$B$11,0,IF(AL$1=$AK$1,IF($O316,-1,regle!$B$2-$M316),IF(AK316=-1,-1,AK316+1))))</f>
        <v>20</v>
      </c>
      <c r="AM316" s="16">
        <f>IF(OR(S316=regle!$J$11,S316=regle!$K$11),-2,IF(S316=regle!$B$11,0,IF(AM$1=$AK$1,IF($O316,-1,regle!$B$2-$M316),IF(AL316=-1,-1,AL316+1))))</f>
        <v>21</v>
      </c>
      <c r="AN316" s="16">
        <f>IF(OR(T316=regle!$J$11,T316=regle!$K$11),-2,IF(T316=regle!$B$11,0,IF(AN$1=$AK$1,IF($O316,-1,regle!$B$2-$M316),IF(AM316=-1,-1,AM316+1))))</f>
        <v>22</v>
      </c>
      <c r="AO316" s="16">
        <f>IF(OR(U316=regle!$J$11,U316=regle!$K$11),-2,IF(U316=regle!$B$11,0,IF(AO$1=$AK$1,IF($O316,-1,regle!$B$2-$M316),IF(AN316=-1,-1,AN316+1))))</f>
        <v>23</v>
      </c>
      <c r="AP316" s="16">
        <f>IF(OR(V316=regle!$J$11,V316=regle!$K$11),-2,IF(V316=regle!$B$11,0,IF(AP$1=$AK$1,IF($O316,-1,regle!$B$2-$M316),IF(AO316=-1,-1,AO316+1))))</f>
        <v>24</v>
      </c>
      <c r="AQ316" s="16">
        <f>IF(OR(W316=regle!$J$11,W316=regle!$K$11),-2,IF(W316=regle!$B$11,0,IF(AQ$1=$AK$1,IF($O316,-1,regle!$B$2-$M316),IF(AP316=-1,-1,AP316+1))))</f>
        <v>25</v>
      </c>
      <c r="AR316" s="16">
        <f>IF(OR(X316=regle!$J$11,X316=regle!$K$11),-2,IF(X316=regle!$B$11,0,IF(AR$1=$AK$1,IF($O316,-1,regle!$B$2-$M316),IF(AQ316=-1,-1,AQ316+1))))</f>
        <v>26</v>
      </c>
      <c r="AS316" s="16">
        <f>IF(OR(Y316=regle!$J$11,Y316=regle!$K$11),-2,IF(Y316=regle!$B$11,0,IF(AS$1=$AK$1,IF($O316,-1,regle!$B$2-$M316),IF(AR316=-1,-1,AR316+1))))</f>
        <v>27</v>
      </c>
      <c r="AT316" s="16">
        <f>IF(OR(Z316=regle!$J$11,Z316=regle!$K$11),-2,IF(Z316=regle!$B$11,0,IF(AT$1=$AK$1,IF($O316,-1,regle!$B$2-$M316),IF(AS316=-1,-1,AS316+1))))</f>
        <v>28</v>
      </c>
    </row>
    <row r="317" spans="1:46" x14ac:dyDescent="0.25">
      <c r="A317" t="b">
        <f>modif1!A317</f>
        <v>1</v>
      </c>
      <c r="B317">
        <f>ROW(modif1!B317)</f>
        <v>317</v>
      </c>
      <c r="C317" t="str">
        <f>modif1!C320</f>
        <v>536</v>
      </c>
      <c r="D317" t="str">
        <f>modif1!D317</f>
        <v>LE TUZAN</v>
      </c>
      <c r="E317">
        <f>modif1!E317</f>
        <v>21</v>
      </c>
      <c r="F317" t="str">
        <f>modif1!F317</f>
        <v>METAIRIES DE TABARTON</v>
      </c>
      <c r="G317" t="str">
        <f>modif1!G317</f>
        <v>0A</v>
      </c>
      <c r="H317">
        <f>modif1!H317</f>
        <v>463</v>
      </c>
      <c r="I317" t="str">
        <f>modif1!I317</f>
        <v/>
      </c>
      <c r="J317" s="11">
        <f>modif1!J317</f>
        <v>0.152</v>
      </c>
      <c r="K317" t="str">
        <f>modif1!K317</f>
        <v>PLA</v>
      </c>
      <c r="L317" t="str">
        <f>modif1!L317</f>
        <v>PM</v>
      </c>
      <c r="M317">
        <f>modif1!M317</f>
        <v>2005</v>
      </c>
      <c r="N317" t="str">
        <f>modif1!N317</f>
        <v>PLA-PM_2005</v>
      </c>
      <c r="O317" t="b">
        <f>modif1!O317</f>
        <v>0</v>
      </c>
      <c r="P317">
        <v>40</v>
      </c>
      <c r="T317" t="s">
        <v>1805</v>
      </c>
      <c r="Y317" t="s">
        <v>1806</v>
      </c>
      <c r="Z317"/>
      <c r="AA317" s="17">
        <f>IF($A317,$J317*(IF(Q317=regle!$B$11,regle!$B$23*IF(AJ317=-2,1+regle!$B$35,1),
IF(Q317=regle!$C$11,regle!$C$23,
IF(Q317=regle!$D$11,regle!$D$23,
IF(Q317=regle!$E$11,regle!$E$23,
IF(Q317=regle!$F$11,regle!$F$23,
IF(Q317=regle!$G$11,regle!$G$23,
IF(Q317=regle!$H$11,regle!$H$23,
IF(Q317=regle!$I$11,regle!$I$23,
IF(Q317=regle!$J$11,regle!$J$23,
IF(Q317=regle!$K$11,regle!$K$23,0))))))))))))</f>
        <v>0</v>
      </c>
      <c r="AB317" s="17">
        <f>IF($A317,$J317*(IF(R317=regle!$B$11,regle!$B$23*IF(AK317=-2,1+regle!$B$35,1),
IF(R317=regle!$C$11,regle!$C$23,
IF(R317=regle!$D$11,regle!$D$23,
IF(R317=regle!$E$11,regle!$E$23,
IF(R317=regle!$F$11,regle!$F$23,
IF(R317=regle!$G$11,regle!$G$23,
IF(R317=regle!$H$11,regle!$H$23,
IF(R317=regle!$I$11,regle!$I$23,
IF(R317=regle!$J$11,regle!$J$23,
IF(R317=regle!$K$11,regle!$K$23,0))))))))))))</f>
        <v>0</v>
      </c>
      <c r="AC317" s="17">
        <f>IF($A317,$J317*(IF(S317=regle!$B$11,regle!$B$23*IF(AL317=-2,1+regle!$B$35,1),
IF(S317=regle!$C$11,regle!$C$23,
IF(S317=regle!$D$11,regle!$D$23,
IF(S317=regle!$E$11,regle!$E$23,
IF(S317=regle!$F$11,regle!$F$23,
IF(S317=regle!$G$11,regle!$G$23,
IF(S317=regle!$H$11,regle!$H$23,
IF(S317=regle!$I$11,regle!$I$23,
IF(S317=regle!$J$11,regle!$J$23,
IF(S317=regle!$K$11,regle!$K$23,0))))))))))))</f>
        <v>0</v>
      </c>
      <c r="AD317" s="17">
        <f>IF($A317,$J317*(IF(T317=regle!$B$11,regle!$B$23*IF(AM317=-2,1+regle!$B$35,1),
IF(T317=regle!$C$11,regle!$C$23,
IF(T317=regle!$D$11,regle!$D$23,
IF(T317=regle!$E$11,regle!$E$23,
IF(T317=regle!$F$11,regle!$F$23,
IF(T317=regle!$G$11,regle!$G$23,
IF(T317=regle!$H$11,regle!$H$23,
IF(T317=regle!$I$11,regle!$I$23,
IF(T317=regle!$J$11,regle!$J$23,
IF(T317=regle!$K$11,regle!$K$23,0))))))))))))</f>
        <v>214.01599999999999</v>
      </c>
      <c r="AE317" s="17">
        <f>IF($A317,$J317*(IF(U317=regle!$B$11,regle!$B$23*IF(AN317=-2,1+regle!$B$35,1),
IF(U317=regle!$C$11,regle!$C$23,
IF(U317=regle!$D$11,regle!$D$23,
IF(U317=regle!$E$11,regle!$E$23,
IF(U317=regle!$F$11,regle!$F$23,
IF(U317=regle!$G$11,regle!$G$23,
IF(U317=regle!$H$11,regle!$H$23,
IF(U317=regle!$I$11,regle!$I$23,
IF(U317=regle!$J$11,regle!$J$23,
IF(U317=regle!$K$11,regle!$K$23,0))))))))))))</f>
        <v>0</v>
      </c>
      <c r="AF317" s="17">
        <f>IF($A317,$J317*(IF(V317=regle!$B$11,regle!$B$23*IF(AO317=-2,1+regle!$B$35,1),
IF(V317=regle!$C$11,regle!$C$23,
IF(V317=regle!$D$11,regle!$D$23,
IF(V317=regle!$E$11,regle!$E$23,
IF(V317=regle!$F$11,regle!$F$23,
IF(V317=regle!$G$11,regle!$G$23,
IF(V317=regle!$H$11,regle!$H$23,
IF(V317=regle!$I$11,regle!$I$23,
IF(V317=regle!$J$11,regle!$J$23,
IF(V317=regle!$K$11,regle!$K$23,0))))))))))))</f>
        <v>0</v>
      </c>
      <c r="AG317" s="17">
        <f>IF($A317,$J317*(IF(W317=regle!$B$11,regle!$B$23*IF(AP317=-2,1+regle!$B$35,1),
IF(W317=regle!$C$11,regle!$C$23,
IF(W317=regle!$D$11,regle!$D$23,
IF(W317=regle!$E$11,regle!$E$23,
IF(W317=regle!$F$11,regle!$F$23,
IF(W317=regle!$G$11,regle!$G$23,
IF(W317=regle!$H$11,regle!$H$23,
IF(W317=regle!$I$11,regle!$I$23,
IF(W317=regle!$J$11,regle!$J$23,
IF(W317=regle!$K$11,regle!$K$23,0))))))))))))</f>
        <v>0</v>
      </c>
      <c r="AH317" s="17">
        <f>IF($A317,$J317*(IF(X317=regle!$B$11,regle!$B$23*IF(AQ317=-2,1+regle!$B$35,1),
IF(X317=regle!$C$11,regle!$C$23,
IF(X317=regle!$D$11,regle!$D$23,
IF(X317=regle!$E$11,regle!$E$23,
IF(X317=regle!$F$11,regle!$F$23,
IF(X317=regle!$G$11,regle!$G$23,
IF(X317=regle!$H$11,regle!$H$23,
IF(X317=regle!$I$11,regle!$I$23,
IF(X317=regle!$J$11,regle!$J$23,
IF(X317=regle!$K$11,regle!$K$23,0))))))))))))</f>
        <v>0</v>
      </c>
      <c r="AI317" s="17">
        <f>IF($A317,$J317*(IF(Y317=regle!$B$11,regle!$B$23*IF(AR317=-2,1+regle!$B$35,1),
IF(Y317=regle!$C$11,regle!$C$23,
IF(Y317=regle!$D$11,regle!$D$23,
IF(Y317=regle!$E$11,regle!$E$23,
IF(Y317=regle!$F$11,regle!$F$23,
IF(Y317=regle!$G$11,regle!$G$23,
IF(Y317=regle!$H$11,regle!$H$23,
IF(Y317=regle!$I$11,regle!$I$23,
IF(Y317=regle!$J$11,regle!$J$23,
IF(Y317=regle!$K$11,regle!$K$23,0))))))))))))</f>
        <v>194.56</v>
      </c>
      <c r="AJ317" s="17">
        <f>IF($A317,$J317*(IF(Z317=regle!$B$11,regle!$B$23*IF(AS317=-2,1+regle!$B$35,1),
IF(Z317=regle!$C$11,regle!$C$23,
IF(Z317=regle!$D$11,regle!$D$23,
IF(Z317=regle!$E$11,regle!$E$23,
IF(Z317=regle!$F$11,regle!$F$23,
IF(Z317=regle!$G$11,regle!$G$23,
IF(Z317=regle!$H$11,regle!$H$23,
IF(Z317=regle!$I$11,regle!$I$23,
IF(Z317=regle!$J$11,regle!$J$23,
IF(Z317=regle!$K$11,regle!$K$23,0))))))))))))</f>
        <v>0</v>
      </c>
      <c r="AK317" s="16">
        <f>IF(OR(Q317=regle!$J$11,Q317=regle!$K$11),-2,IF(Q317=regle!$B$11,0,IF(AK$1=$AK$1,IF($O317,-1,regle!$B$2-$M317),IF(AJ317=-1,-1,AJ317+1))))</f>
        <v>19</v>
      </c>
      <c r="AL317" s="16">
        <f>IF(OR(R317=regle!$J$11,R317=regle!$K$11),-2,IF(R317=regle!$B$11,0,IF(AL$1=$AK$1,IF($O317,-1,regle!$B$2-$M317),IF(AK317=-1,-1,AK317+1))))</f>
        <v>20</v>
      </c>
      <c r="AM317" s="16">
        <f>IF(OR(S317=regle!$J$11,S317=regle!$K$11),-2,IF(S317=regle!$B$11,0,IF(AM$1=$AK$1,IF($O317,-1,regle!$B$2-$M317),IF(AL317=-1,-1,AL317+1))))</f>
        <v>21</v>
      </c>
      <c r="AN317" s="16">
        <f>IF(OR(T317=regle!$J$11,T317=regle!$K$11),-2,IF(T317=regle!$B$11,0,IF(AN$1=$AK$1,IF($O317,-1,regle!$B$2-$M317),IF(AM317=-1,-1,AM317+1))))</f>
        <v>22</v>
      </c>
      <c r="AO317" s="16">
        <f>IF(OR(U317=regle!$J$11,U317=regle!$K$11),-2,IF(U317=regle!$B$11,0,IF(AO$1=$AK$1,IF($O317,-1,regle!$B$2-$M317),IF(AN317=-1,-1,AN317+1))))</f>
        <v>23</v>
      </c>
      <c r="AP317" s="16">
        <f>IF(OR(V317=regle!$J$11,V317=regle!$K$11),-2,IF(V317=regle!$B$11,0,IF(AP$1=$AK$1,IF($O317,-1,regle!$B$2-$M317),IF(AO317=-1,-1,AO317+1))))</f>
        <v>24</v>
      </c>
      <c r="AQ317" s="16">
        <f>IF(OR(W317=regle!$J$11,W317=regle!$K$11),-2,IF(W317=regle!$B$11,0,IF(AQ$1=$AK$1,IF($O317,-1,regle!$B$2-$M317),IF(AP317=-1,-1,AP317+1))))</f>
        <v>25</v>
      </c>
      <c r="AR317" s="16">
        <f>IF(OR(X317=regle!$J$11,X317=regle!$K$11),-2,IF(X317=regle!$B$11,0,IF(AR$1=$AK$1,IF($O317,-1,regle!$B$2-$M317),IF(AQ317=-1,-1,AQ317+1))))</f>
        <v>26</v>
      </c>
      <c r="AS317" s="16">
        <f>IF(OR(Y317=regle!$J$11,Y317=regle!$K$11),-2,IF(Y317=regle!$B$11,0,IF(AS$1=$AK$1,IF($O317,-1,regle!$B$2-$M317),IF(AR317=-1,-1,AR317+1))))</f>
        <v>27</v>
      </c>
      <c r="AT317" s="16">
        <f>IF(OR(Z317=regle!$J$11,Z317=regle!$K$11),-2,IF(Z317=regle!$B$11,0,IF(AT$1=$AK$1,IF($O317,-1,regle!$B$2-$M317),IF(AS317=-1,-1,AS317+1))))</f>
        <v>28</v>
      </c>
    </row>
    <row r="318" spans="1:46" x14ac:dyDescent="0.25">
      <c r="A318" t="b">
        <f>modif1!A318</f>
        <v>1</v>
      </c>
      <c r="B318">
        <f>ROW(modif1!B318)</f>
        <v>318</v>
      </c>
      <c r="C318" t="str">
        <f>modif1!C321</f>
        <v>197</v>
      </c>
      <c r="D318" t="str">
        <f>modif1!D318</f>
        <v>LE TUZAN</v>
      </c>
      <c r="E318">
        <f>modif1!E318</f>
        <v>21</v>
      </c>
      <c r="F318" t="str">
        <f>modif1!F318</f>
        <v>METAIRIES DE TABARTON</v>
      </c>
      <c r="G318" t="str">
        <f>modif1!G318</f>
        <v>0A</v>
      </c>
      <c r="H318">
        <f>modif1!H318</f>
        <v>414</v>
      </c>
      <c r="I318" t="str">
        <f>modif1!I318</f>
        <v>j</v>
      </c>
      <c r="J318" s="11">
        <f>modif1!J318</f>
        <v>0.12330000000000001</v>
      </c>
      <c r="K318" t="str">
        <f>modif1!K318</f>
        <v>PLA</v>
      </c>
      <c r="L318" t="str">
        <f>modif1!L318</f>
        <v>PM</v>
      </c>
      <c r="M318">
        <f>modif1!M318</f>
        <v>2005</v>
      </c>
      <c r="N318" t="str">
        <f>modif1!N318</f>
        <v>PLA-PM_2005</v>
      </c>
      <c r="O318" t="b">
        <f>modif1!O318</f>
        <v>0</v>
      </c>
      <c r="P318">
        <v>40</v>
      </c>
      <c r="T318" t="s">
        <v>1805</v>
      </c>
      <c r="Y318" t="s">
        <v>1806</v>
      </c>
      <c r="Z318"/>
      <c r="AA318" s="17">
        <f>IF($A318,$J318*(IF(Q318=regle!$B$11,regle!$B$23*IF(AJ318=-2,1+regle!$B$35,1),
IF(Q318=regle!$C$11,regle!$C$23,
IF(Q318=regle!$D$11,regle!$D$23,
IF(Q318=regle!$E$11,regle!$E$23,
IF(Q318=regle!$F$11,regle!$F$23,
IF(Q318=regle!$G$11,regle!$G$23,
IF(Q318=regle!$H$11,regle!$H$23,
IF(Q318=regle!$I$11,regle!$I$23,
IF(Q318=regle!$J$11,regle!$J$23,
IF(Q318=regle!$K$11,regle!$K$23,0))))))))))))</f>
        <v>0</v>
      </c>
      <c r="AB318" s="17">
        <f>IF($A318,$J318*(IF(R318=regle!$B$11,regle!$B$23*IF(AK318=-2,1+regle!$B$35,1),
IF(R318=regle!$C$11,regle!$C$23,
IF(R318=regle!$D$11,regle!$D$23,
IF(R318=regle!$E$11,regle!$E$23,
IF(R318=regle!$F$11,regle!$F$23,
IF(R318=regle!$G$11,regle!$G$23,
IF(R318=regle!$H$11,regle!$H$23,
IF(R318=regle!$I$11,regle!$I$23,
IF(R318=regle!$J$11,regle!$J$23,
IF(R318=regle!$K$11,regle!$K$23,0))))))))))))</f>
        <v>0</v>
      </c>
      <c r="AC318" s="17">
        <f>IF($A318,$J318*(IF(S318=regle!$B$11,regle!$B$23*IF(AL318=-2,1+regle!$B$35,1),
IF(S318=regle!$C$11,regle!$C$23,
IF(S318=regle!$D$11,regle!$D$23,
IF(S318=regle!$E$11,regle!$E$23,
IF(S318=regle!$F$11,regle!$F$23,
IF(S318=regle!$G$11,regle!$G$23,
IF(S318=regle!$H$11,regle!$H$23,
IF(S318=regle!$I$11,regle!$I$23,
IF(S318=regle!$J$11,regle!$J$23,
IF(S318=regle!$K$11,regle!$K$23,0))))))))))))</f>
        <v>0</v>
      </c>
      <c r="AD318" s="17">
        <f>IF($A318,$J318*(IF(T318=regle!$B$11,regle!$B$23*IF(AM318=-2,1+regle!$B$35,1),
IF(T318=regle!$C$11,regle!$C$23,
IF(T318=regle!$D$11,regle!$D$23,
IF(T318=regle!$E$11,regle!$E$23,
IF(T318=regle!$F$11,regle!$F$23,
IF(T318=regle!$G$11,regle!$G$23,
IF(T318=regle!$H$11,regle!$H$23,
IF(T318=regle!$I$11,regle!$I$23,
IF(T318=regle!$J$11,regle!$J$23,
IF(T318=regle!$K$11,regle!$K$23,0))))))))))))</f>
        <v>173.60640000000001</v>
      </c>
      <c r="AE318" s="17">
        <f>IF($A318,$J318*(IF(U318=regle!$B$11,regle!$B$23*IF(AN318=-2,1+regle!$B$35,1),
IF(U318=regle!$C$11,regle!$C$23,
IF(U318=regle!$D$11,regle!$D$23,
IF(U318=regle!$E$11,regle!$E$23,
IF(U318=regle!$F$11,regle!$F$23,
IF(U318=regle!$G$11,regle!$G$23,
IF(U318=regle!$H$11,regle!$H$23,
IF(U318=regle!$I$11,regle!$I$23,
IF(U318=regle!$J$11,regle!$J$23,
IF(U318=regle!$K$11,regle!$K$23,0))))))))))))</f>
        <v>0</v>
      </c>
      <c r="AF318" s="17">
        <f>IF($A318,$J318*(IF(V318=regle!$B$11,regle!$B$23*IF(AO318=-2,1+regle!$B$35,1),
IF(V318=regle!$C$11,regle!$C$23,
IF(V318=regle!$D$11,regle!$D$23,
IF(V318=regle!$E$11,regle!$E$23,
IF(V318=regle!$F$11,regle!$F$23,
IF(V318=regle!$G$11,regle!$G$23,
IF(V318=regle!$H$11,regle!$H$23,
IF(V318=regle!$I$11,regle!$I$23,
IF(V318=regle!$J$11,regle!$J$23,
IF(V318=regle!$K$11,regle!$K$23,0))))))))))))</f>
        <v>0</v>
      </c>
      <c r="AG318" s="17">
        <f>IF($A318,$J318*(IF(W318=regle!$B$11,regle!$B$23*IF(AP318=-2,1+regle!$B$35,1),
IF(W318=regle!$C$11,regle!$C$23,
IF(W318=regle!$D$11,regle!$D$23,
IF(W318=regle!$E$11,regle!$E$23,
IF(W318=regle!$F$11,regle!$F$23,
IF(W318=regle!$G$11,regle!$G$23,
IF(W318=regle!$H$11,regle!$H$23,
IF(W318=regle!$I$11,regle!$I$23,
IF(W318=regle!$J$11,regle!$J$23,
IF(W318=regle!$K$11,regle!$K$23,0))))))))))))</f>
        <v>0</v>
      </c>
      <c r="AH318" s="17">
        <f>IF($A318,$J318*(IF(X318=regle!$B$11,regle!$B$23*IF(AQ318=-2,1+regle!$B$35,1),
IF(X318=regle!$C$11,regle!$C$23,
IF(X318=regle!$D$11,regle!$D$23,
IF(X318=regle!$E$11,regle!$E$23,
IF(X318=regle!$F$11,regle!$F$23,
IF(X318=regle!$G$11,regle!$G$23,
IF(X318=regle!$H$11,regle!$H$23,
IF(X318=regle!$I$11,regle!$I$23,
IF(X318=regle!$J$11,regle!$J$23,
IF(X318=regle!$K$11,regle!$K$23,0))))))))))))</f>
        <v>0</v>
      </c>
      <c r="AI318" s="17">
        <f>IF($A318,$J318*(IF(Y318=regle!$B$11,regle!$B$23*IF(AR318=-2,1+regle!$B$35,1),
IF(Y318=regle!$C$11,regle!$C$23,
IF(Y318=regle!$D$11,regle!$D$23,
IF(Y318=regle!$E$11,regle!$E$23,
IF(Y318=regle!$F$11,regle!$F$23,
IF(Y318=regle!$G$11,regle!$G$23,
IF(Y318=regle!$H$11,regle!$H$23,
IF(Y318=regle!$I$11,regle!$I$23,
IF(Y318=regle!$J$11,regle!$J$23,
IF(Y318=regle!$K$11,regle!$K$23,0))))))))))))</f>
        <v>157.82400000000001</v>
      </c>
      <c r="AJ318" s="17">
        <f>IF($A318,$J318*(IF(Z318=regle!$B$11,regle!$B$23*IF(AS318=-2,1+regle!$B$35,1),
IF(Z318=regle!$C$11,regle!$C$23,
IF(Z318=regle!$D$11,regle!$D$23,
IF(Z318=regle!$E$11,regle!$E$23,
IF(Z318=regle!$F$11,regle!$F$23,
IF(Z318=regle!$G$11,regle!$G$23,
IF(Z318=regle!$H$11,regle!$H$23,
IF(Z318=regle!$I$11,regle!$I$23,
IF(Z318=regle!$J$11,regle!$J$23,
IF(Z318=regle!$K$11,regle!$K$23,0))))))))))))</f>
        <v>0</v>
      </c>
      <c r="AK318" s="16">
        <f>IF(OR(Q318=regle!$J$11,Q318=regle!$K$11),-2,IF(Q318=regle!$B$11,0,IF(AK$1=$AK$1,IF($O318,-1,regle!$B$2-$M318),IF(AJ318=-1,-1,AJ318+1))))</f>
        <v>19</v>
      </c>
      <c r="AL318" s="16">
        <f>IF(OR(R318=regle!$J$11,R318=regle!$K$11),-2,IF(R318=regle!$B$11,0,IF(AL$1=$AK$1,IF($O318,-1,regle!$B$2-$M318),IF(AK318=-1,-1,AK318+1))))</f>
        <v>20</v>
      </c>
      <c r="AM318" s="16">
        <f>IF(OR(S318=regle!$J$11,S318=regle!$K$11),-2,IF(S318=regle!$B$11,0,IF(AM$1=$AK$1,IF($O318,-1,regle!$B$2-$M318),IF(AL318=-1,-1,AL318+1))))</f>
        <v>21</v>
      </c>
      <c r="AN318" s="16">
        <f>IF(OR(T318=regle!$J$11,T318=regle!$K$11),-2,IF(T318=regle!$B$11,0,IF(AN$1=$AK$1,IF($O318,-1,regle!$B$2-$M318),IF(AM318=-1,-1,AM318+1))))</f>
        <v>22</v>
      </c>
      <c r="AO318" s="16">
        <f>IF(OR(U318=regle!$J$11,U318=regle!$K$11),-2,IF(U318=regle!$B$11,0,IF(AO$1=$AK$1,IF($O318,-1,regle!$B$2-$M318),IF(AN318=-1,-1,AN318+1))))</f>
        <v>23</v>
      </c>
      <c r="AP318" s="16">
        <f>IF(OR(V318=regle!$J$11,V318=regle!$K$11),-2,IF(V318=regle!$B$11,0,IF(AP$1=$AK$1,IF($O318,-1,regle!$B$2-$M318),IF(AO318=-1,-1,AO318+1))))</f>
        <v>24</v>
      </c>
      <c r="AQ318" s="16">
        <f>IF(OR(W318=regle!$J$11,W318=regle!$K$11),-2,IF(W318=regle!$B$11,0,IF(AQ$1=$AK$1,IF($O318,-1,regle!$B$2-$M318),IF(AP318=-1,-1,AP318+1))))</f>
        <v>25</v>
      </c>
      <c r="AR318" s="16">
        <f>IF(OR(X318=regle!$J$11,X318=regle!$K$11),-2,IF(X318=regle!$B$11,0,IF(AR$1=$AK$1,IF($O318,-1,regle!$B$2-$M318),IF(AQ318=-1,-1,AQ318+1))))</f>
        <v>26</v>
      </c>
      <c r="AS318" s="16">
        <f>IF(OR(Y318=regle!$J$11,Y318=regle!$K$11),-2,IF(Y318=regle!$B$11,0,IF(AS$1=$AK$1,IF($O318,-1,regle!$B$2-$M318),IF(AR318=-1,-1,AR318+1))))</f>
        <v>27</v>
      </c>
      <c r="AT318" s="16">
        <f>IF(OR(Z318=regle!$J$11,Z318=regle!$K$11),-2,IF(Z318=regle!$B$11,0,IF(AT$1=$AK$1,IF($O318,-1,regle!$B$2-$M318),IF(AS318=-1,-1,AS318+1))))</f>
        <v>28</v>
      </c>
    </row>
    <row r="319" spans="1:46" x14ac:dyDescent="0.25">
      <c r="A319" t="b">
        <f>modif1!A319</f>
        <v>1</v>
      </c>
      <c r="B319">
        <f>ROW(modif1!B319)</f>
        <v>319</v>
      </c>
      <c r="C319" t="str">
        <f>modif1!C322</f>
        <v>536</v>
      </c>
      <c r="D319" t="str">
        <f>modif1!D319</f>
        <v>LE TUZAN</v>
      </c>
      <c r="E319">
        <f>modif1!E319</f>
        <v>21</v>
      </c>
      <c r="F319" t="str">
        <f>modif1!F319</f>
        <v>METAIRIES DE TABARTON</v>
      </c>
      <c r="G319" t="str">
        <f>modif1!G319</f>
        <v>0A</v>
      </c>
      <c r="H319">
        <f>modif1!H319</f>
        <v>407</v>
      </c>
      <c r="I319" t="str">
        <f>modif1!I319</f>
        <v>d</v>
      </c>
      <c r="J319" s="11">
        <f>modif1!J319</f>
        <v>0.1159</v>
      </c>
      <c r="K319" t="str">
        <f>modif1!K319</f>
        <v>PLA</v>
      </c>
      <c r="L319" t="str">
        <f>modif1!L319</f>
        <v>PM</v>
      </c>
      <c r="M319">
        <f>modif1!M319</f>
        <v>2005</v>
      </c>
      <c r="N319" t="str">
        <f>modif1!N319</f>
        <v>PLA-PM_2005</v>
      </c>
      <c r="O319" t="b">
        <f>modif1!O319</f>
        <v>0</v>
      </c>
      <c r="P319">
        <v>40</v>
      </c>
      <c r="T319" t="s">
        <v>1805</v>
      </c>
      <c r="Y319" t="s">
        <v>1806</v>
      </c>
      <c r="Z319"/>
      <c r="AA319" s="17">
        <f>IF($A319,$J319*(IF(Q319=regle!$B$11,regle!$B$23*IF(AJ319=-2,1+regle!$B$35,1),
IF(Q319=regle!$C$11,regle!$C$23,
IF(Q319=regle!$D$11,regle!$D$23,
IF(Q319=regle!$E$11,regle!$E$23,
IF(Q319=regle!$F$11,regle!$F$23,
IF(Q319=regle!$G$11,regle!$G$23,
IF(Q319=regle!$H$11,regle!$H$23,
IF(Q319=regle!$I$11,regle!$I$23,
IF(Q319=regle!$J$11,regle!$J$23,
IF(Q319=regle!$K$11,regle!$K$23,0))))))))))))</f>
        <v>0</v>
      </c>
      <c r="AB319" s="17">
        <f>IF($A319,$J319*(IF(R319=regle!$B$11,regle!$B$23*IF(AK319=-2,1+regle!$B$35,1),
IF(R319=regle!$C$11,regle!$C$23,
IF(R319=regle!$D$11,regle!$D$23,
IF(R319=regle!$E$11,regle!$E$23,
IF(R319=regle!$F$11,regle!$F$23,
IF(R319=regle!$G$11,regle!$G$23,
IF(R319=regle!$H$11,regle!$H$23,
IF(R319=regle!$I$11,regle!$I$23,
IF(R319=regle!$J$11,regle!$J$23,
IF(R319=regle!$K$11,regle!$K$23,0))))))))))))</f>
        <v>0</v>
      </c>
      <c r="AC319" s="17">
        <f>IF($A319,$J319*(IF(S319=regle!$B$11,regle!$B$23*IF(AL319=-2,1+regle!$B$35,1),
IF(S319=regle!$C$11,regle!$C$23,
IF(S319=regle!$D$11,regle!$D$23,
IF(S319=regle!$E$11,regle!$E$23,
IF(S319=regle!$F$11,regle!$F$23,
IF(S319=regle!$G$11,regle!$G$23,
IF(S319=regle!$H$11,regle!$H$23,
IF(S319=regle!$I$11,regle!$I$23,
IF(S319=regle!$J$11,regle!$J$23,
IF(S319=regle!$K$11,regle!$K$23,0))))))))))))</f>
        <v>0</v>
      </c>
      <c r="AD319" s="17">
        <f>IF($A319,$J319*(IF(T319=regle!$B$11,regle!$B$23*IF(AM319=-2,1+regle!$B$35,1),
IF(T319=regle!$C$11,regle!$C$23,
IF(T319=regle!$D$11,regle!$D$23,
IF(T319=regle!$E$11,regle!$E$23,
IF(T319=regle!$F$11,regle!$F$23,
IF(T319=regle!$G$11,regle!$G$23,
IF(T319=regle!$H$11,regle!$H$23,
IF(T319=regle!$I$11,regle!$I$23,
IF(T319=regle!$J$11,regle!$J$23,
IF(T319=regle!$K$11,regle!$K$23,0))))))))))))</f>
        <v>163.18720000000002</v>
      </c>
      <c r="AE319" s="17">
        <f>IF($A319,$J319*(IF(U319=regle!$B$11,regle!$B$23*IF(AN319=-2,1+regle!$B$35,1),
IF(U319=regle!$C$11,regle!$C$23,
IF(U319=regle!$D$11,regle!$D$23,
IF(U319=regle!$E$11,regle!$E$23,
IF(U319=regle!$F$11,regle!$F$23,
IF(U319=regle!$G$11,regle!$G$23,
IF(U319=regle!$H$11,regle!$H$23,
IF(U319=regle!$I$11,regle!$I$23,
IF(U319=regle!$J$11,regle!$J$23,
IF(U319=regle!$K$11,regle!$K$23,0))))))))))))</f>
        <v>0</v>
      </c>
      <c r="AF319" s="17">
        <f>IF($A319,$J319*(IF(V319=regle!$B$11,regle!$B$23*IF(AO319=-2,1+regle!$B$35,1),
IF(V319=regle!$C$11,regle!$C$23,
IF(V319=regle!$D$11,regle!$D$23,
IF(V319=regle!$E$11,regle!$E$23,
IF(V319=regle!$F$11,regle!$F$23,
IF(V319=regle!$G$11,regle!$G$23,
IF(V319=regle!$H$11,regle!$H$23,
IF(V319=regle!$I$11,regle!$I$23,
IF(V319=regle!$J$11,regle!$J$23,
IF(V319=regle!$K$11,regle!$K$23,0))))))))))))</f>
        <v>0</v>
      </c>
      <c r="AG319" s="17">
        <f>IF($A319,$J319*(IF(W319=regle!$B$11,regle!$B$23*IF(AP319=-2,1+regle!$B$35,1),
IF(W319=regle!$C$11,regle!$C$23,
IF(W319=regle!$D$11,regle!$D$23,
IF(W319=regle!$E$11,regle!$E$23,
IF(W319=regle!$F$11,regle!$F$23,
IF(W319=regle!$G$11,regle!$G$23,
IF(W319=regle!$H$11,regle!$H$23,
IF(W319=regle!$I$11,regle!$I$23,
IF(W319=regle!$J$11,regle!$J$23,
IF(W319=regle!$K$11,regle!$K$23,0))))))))))))</f>
        <v>0</v>
      </c>
      <c r="AH319" s="17">
        <f>IF($A319,$J319*(IF(X319=regle!$B$11,regle!$B$23*IF(AQ319=-2,1+regle!$B$35,1),
IF(X319=regle!$C$11,regle!$C$23,
IF(X319=regle!$D$11,regle!$D$23,
IF(X319=regle!$E$11,regle!$E$23,
IF(X319=regle!$F$11,regle!$F$23,
IF(X319=regle!$G$11,regle!$G$23,
IF(X319=regle!$H$11,regle!$H$23,
IF(X319=regle!$I$11,regle!$I$23,
IF(X319=regle!$J$11,regle!$J$23,
IF(X319=regle!$K$11,regle!$K$23,0))))))))))))</f>
        <v>0</v>
      </c>
      <c r="AI319" s="17">
        <f>IF($A319,$J319*(IF(Y319=regle!$B$11,regle!$B$23*IF(AR319=-2,1+regle!$B$35,1),
IF(Y319=regle!$C$11,regle!$C$23,
IF(Y319=regle!$D$11,regle!$D$23,
IF(Y319=regle!$E$11,regle!$E$23,
IF(Y319=regle!$F$11,regle!$F$23,
IF(Y319=regle!$G$11,regle!$G$23,
IF(Y319=regle!$H$11,regle!$H$23,
IF(Y319=regle!$I$11,regle!$I$23,
IF(Y319=regle!$J$11,regle!$J$23,
IF(Y319=regle!$K$11,regle!$K$23,0))))))))))))</f>
        <v>148.352</v>
      </c>
      <c r="AJ319" s="17">
        <f>IF($A319,$J319*(IF(Z319=regle!$B$11,regle!$B$23*IF(AS319=-2,1+regle!$B$35,1),
IF(Z319=regle!$C$11,regle!$C$23,
IF(Z319=regle!$D$11,regle!$D$23,
IF(Z319=regle!$E$11,regle!$E$23,
IF(Z319=regle!$F$11,regle!$F$23,
IF(Z319=regle!$G$11,regle!$G$23,
IF(Z319=regle!$H$11,regle!$H$23,
IF(Z319=regle!$I$11,regle!$I$23,
IF(Z319=regle!$J$11,regle!$J$23,
IF(Z319=regle!$K$11,regle!$K$23,0))))))))))))</f>
        <v>0</v>
      </c>
      <c r="AK319" s="16">
        <f>IF(OR(Q319=regle!$J$11,Q319=regle!$K$11),-2,IF(Q319=regle!$B$11,0,IF(AK$1=$AK$1,IF($O319,-1,regle!$B$2-$M319),IF(AJ319=-1,-1,AJ319+1))))</f>
        <v>19</v>
      </c>
      <c r="AL319" s="16">
        <f>IF(OR(R319=regle!$J$11,R319=regle!$K$11),-2,IF(R319=regle!$B$11,0,IF(AL$1=$AK$1,IF($O319,-1,regle!$B$2-$M319),IF(AK319=-1,-1,AK319+1))))</f>
        <v>20</v>
      </c>
      <c r="AM319" s="16">
        <f>IF(OR(S319=regle!$J$11,S319=regle!$K$11),-2,IF(S319=regle!$B$11,0,IF(AM$1=$AK$1,IF($O319,-1,regle!$B$2-$M319),IF(AL319=-1,-1,AL319+1))))</f>
        <v>21</v>
      </c>
      <c r="AN319" s="16">
        <f>IF(OR(T319=regle!$J$11,T319=regle!$K$11),-2,IF(T319=regle!$B$11,0,IF(AN$1=$AK$1,IF($O319,-1,regle!$B$2-$M319),IF(AM319=-1,-1,AM319+1))))</f>
        <v>22</v>
      </c>
      <c r="AO319" s="16">
        <f>IF(OR(U319=regle!$J$11,U319=regle!$K$11),-2,IF(U319=regle!$B$11,0,IF(AO$1=$AK$1,IF($O319,-1,regle!$B$2-$M319),IF(AN319=-1,-1,AN319+1))))</f>
        <v>23</v>
      </c>
      <c r="AP319" s="16">
        <f>IF(OR(V319=regle!$J$11,V319=regle!$K$11),-2,IF(V319=regle!$B$11,0,IF(AP$1=$AK$1,IF($O319,-1,regle!$B$2-$M319),IF(AO319=-1,-1,AO319+1))))</f>
        <v>24</v>
      </c>
      <c r="AQ319" s="16">
        <f>IF(OR(W319=regle!$J$11,W319=regle!$K$11),-2,IF(W319=regle!$B$11,0,IF(AQ$1=$AK$1,IF($O319,-1,regle!$B$2-$M319),IF(AP319=-1,-1,AP319+1))))</f>
        <v>25</v>
      </c>
      <c r="AR319" s="16">
        <f>IF(OR(X319=regle!$J$11,X319=regle!$K$11),-2,IF(X319=regle!$B$11,0,IF(AR$1=$AK$1,IF($O319,-1,regle!$B$2-$M319),IF(AQ319=-1,-1,AQ319+1))))</f>
        <v>26</v>
      </c>
      <c r="AS319" s="16">
        <f>IF(OR(Y319=regle!$J$11,Y319=regle!$K$11),-2,IF(Y319=regle!$B$11,0,IF(AS$1=$AK$1,IF($O319,-1,regle!$B$2-$M319),IF(AR319=-1,-1,AR319+1))))</f>
        <v>27</v>
      </c>
      <c r="AT319" s="16">
        <f>IF(OR(Z319=regle!$J$11,Z319=regle!$K$11),-2,IF(Z319=regle!$B$11,0,IF(AT$1=$AK$1,IF($O319,-1,regle!$B$2-$M319),IF(AS319=-1,-1,AS319+1))))</f>
        <v>28</v>
      </c>
    </row>
    <row r="320" spans="1:46" x14ac:dyDescent="0.25">
      <c r="A320" t="b">
        <f>modif1!A320</f>
        <v>1</v>
      </c>
      <c r="B320">
        <f>ROW(modif1!B320)</f>
        <v>320</v>
      </c>
      <c r="C320" t="str">
        <f>modif1!C323</f>
        <v>536</v>
      </c>
      <c r="D320" t="str">
        <f>modif1!D320</f>
        <v>LE TUZAN</v>
      </c>
      <c r="E320">
        <f>modif1!E320</f>
        <v>21</v>
      </c>
      <c r="F320" t="str">
        <f>modif1!F320</f>
        <v>METAIRIES DE TABARTON</v>
      </c>
      <c r="G320" t="str">
        <f>modif1!G320</f>
        <v>0A</v>
      </c>
      <c r="H320">
        <f>modif1!H320</f>
        <v>523</v>
      </c>
      <c r="I320" t="str">
        <f>modif1!I320</f>
        <v>l</v>
      </c>
      <c r="J320" s="11">
        <f>modif1!J320</f>
        <v>0.1149</v>
      </c>
      <c r="K320" t="str">
        <f>modif1!K320</f>
        <v>PLA</v>
      </c>
      <c r="L320" t="str">
        <f>modif1!L320</f>
        <v>PM</v>
      </c>
      <c r="M320">
        <f>modif1!M320</f>
        <v>2005</v>
      </c>
      <c r="N320" t="str">
        <f>modif1!N320</f>
        <v>PLA-PM_2005</v>
      </c>
      <c r="O320" t="b">
        <f>modif1!O320</f>
        <v>0</v>
      </c>
      <c r="P320">
        <v>40</v>
      </c>
      <c r="T320" t="s">
        <v>1805</v>
      </c>
      <c r="Y320" t="s">
        <v>1806</v>
      </c>
      <c r="Z320"/>
      <c r="AA320" s="17">
        <f>IF($A320,$J320*(IF(Q320=regle!$B$11,regle!$B$23*IF(AJ320=-2,1+regle!$B$35,1),
IF(Q320=regle!$C$11,regle!$C$23,
IF(Q320=regle!$D$11,regle!$D$23,
IF(Q320=regle!$E$11,regle!$E$23,
IF(Q320=regle!$F$11,regle!$F$23,
IF(Q320=regle!$G$11,regle!$G$23,
IF(Q320=regle!$H$11,regle!$H$23,
IF(Q320=regle!$I$11,regle!$I$23,
IF(Q320=regle!$J$11,regle!$J$23,
IF(Q320=regle!$K$11,regle!$K$23,0))))))))))))</f>
        <v>0</v>
      </c>
      <c r="AB320" s="17">
        <f>IF($A320,$J320*(IF(R320=regle!$B$11,regle!$B$23*IF(AK320=-2,1+regle!$B$35,1),
IF(R320=regle!$C$11,regle!$C$23,
IF(R320=regle!$D$11,regle!$D$23,
IF(R320=regle!$E$11,regle!$E$23,
IF(R320=regle!$F$11,regle!$F$23,
IF(R320=regle!$G$11,regle!$G$23,
IF(R320=regle!$H$11,regle!$H$23,
IF(R320=regle!$I$11,regle!$I$23,
IF(R320=regle!$J$11,regle!$J$23,
IF(R320=regle!$K$11,regle!$K$23,0))))))))))))</f>
        <v>0</v>
      </c>
      <c r="AC320" s="17">
        <f>IF($A320,$J320*(IF(S320=regle!$B$11,regle!$B$23*IF(AL320=-2,1+regle!$B$35,1),
IF(S320=regle!$C$11,regle!$C$23,
IF(S320=regle!$D$11,regle!$D$23,
IF(S320=regle!$E$11,regle!$E$23,
IF(S320=regle!$F$11,regle!$F$23,
IF(S320=regle!$G$11,regle!$G$23,
IF(S320=regle!$H$11,regle!$H$23,
IF(S320=regle!$I$11,regle!$I$23,
IF(S320=regle!$J$11,regle!$J$23,
IF(S320=regle!$K$11,regle!$K$23,0))))))))))))</f>
        <v>0</v>
      </c>
      <c r="AD320" s="17">
        <f>IF($A320,$J320*(IF(T320=regle!$B$11,regle!$B$23*IF(AM320=-2,1+regle!$B$35,1),
IF(T320=regle!$C$11,regle!$C$23,
IF(T320=regle!$D$11,regle!$D$23,
IF(T320=regle!$E$11,regle!$E$23,
IF(T320=regle!$F$11,regle!$F$23,
IF(T320=regle!$G$11,regle!$G$23,
IF(T320=regle!$H$11,regle!$H$23,
IF(T320=regle!$I$11,regle!$I$23,
IF(T320=regle!$J$11,regle!$J$23,
IF(T320=regle!$K$11,regle!$K$23,0))))))))))))</f>
        <v>161.7792</v>
      </c>
      <c r="AE320" s="17">
        <f>IF($A320,$J320*(IF(U320=regle!$B$11,regle!$B$23*IF(AN320=-2,1+regle!$B$35,1),
IF(U320=regle!$C$11,regle!$C$23,
IF(U320=regle!$D$11,regle!$D$23,
IF(U320=regle!$E$11,regle!$E$23,
IF(U320=regle!$F$11,regle!$F$23,
IF(U320=regle!$G$11,regle!$G$23,
IF(U320=regle!$H$11,regle!$H$23,
IF(U320=regle!$I$11,regle!$I$23,
IF(U320=regle!$J$11,regle!$J$23,
IF(U320=regle!$K$11,regle!$K$23,0))))))))))))</f>
        <v>0</v>
      </c>
      <c r="AF320" s="17">
        <f>IF($A320,$J320*(IF(V320=regle!$B$11,regle!$B$23*IF(AO320=-2,1+regle!$B$35,1),
IF(V320=regle!$C$11,regle!$C$23,
IF(V320=regle!$D$11,regle!$D$23,
IF(V320=regle!$E$11,regle!$E$23,
IF(V320=regle!$F$11,regle!$F$23,
IF(V320=regle!$G$11,regle!$G$23,
IF(V320=regle!$H$11,regle!$H$23,
IF(V320=regle!$I$11,regle!$I$23,
IF(V320=regle!$J$11,regle!$J$23,
IF(V320=regle!$K$11,regle!$K$23,0))))))))))))</f>
        <v>0</v>
      </c>
      <c r="AG320" s="17">
        <f>IF($A320,$J320*(IF(W320=regle!$B$11,regle!$B$23*IF(AP320=-2,1+regle!$B$35,1),
IF(W320=regle!$C$11,regle!$C$23,
IF(W320=regle!$D$11,regle!$D$23,
IF(W320=regle!$E$11,regle!$E$23,
IF(W320=regle!$F$11,regle!$F$23,
IF(W320=regle!$G$11,regle!$G$23,
IF(W320=regle!$H$11,regle!$H$23,
IF(W320=regle!$I$11,regle!$I$23,
IF(W320=regle!$J$11,regle!$J$23,
IF(W320=regle!$K$11,regle!$K$23,0))))))))))))</f>
        <v>0</v>
      </c>
      <c r="AH320" s="17">
        <f>IF($A320,$J320*(IF(X320=regle!$B$11,regle!$B$23*IF(AQ320=-2,1+regle!$B$35,1),
IF(X320=regle!$C$11,regle!$C$23,
IF(X320=regle!$D$11,regle!$D$23,
IF(X320=regle!$E$11,regle!$E$23,
IF(X320=regle!$F$11,regle!$F$23,
IF(X320=regle!$G$11,regle!$G$23,
IF(X320=regle!$H$11,regle!$H$23,
IF(X320=regle!$I$11,regle!$I$23,
IF(X320=regle!$J$11,regle!$J$23,
IF(X320=regle!$K$11,regle!$K$23,0))))))))))))</f>
        <v>0</v>
      </c>
      <c r="AI320" s="17">
        <f>IF($A320,$J320*(IF(Y320=regle!$B$11,regle!$B$23*IF(AR320=-2,1+regle!$B$35,1),
IF(Y320=regle!$C$11,regle!$C$23,
IF(Y320=regle!$D$11,regle!$D$23,
IF(Y320=regle!$E$11,regle!$E$23,
IF(Y320=regle!$F$11,regle!$F$23,
IF(Y320=regle!$G$11,regle!$G$23,
IF(Y320=regle!$H$11,regle!$H$23,
IF(Y320=regle!$I$11,regle!$I$23,
IF(Y320=regle!$J$11,regle!$J$23,
IF(Y320=regle!$K$11,regle!$K$23,0))))))))))))</f>
        <v>147.072</v>
      </c>
      <c r="AJ320" s="17">
        <f>IF($A320,$J320*(IF(Z320=regle!$B$11,regle!$B$23*IF(AS320=-2,1+regle!$B$35,1),
IF(Z320=regle!$C$11,regle!$C$23,
IF(Z320=regle!$D$11,regle!$D$23,
IF(Z320=regle!$E$11,regle!$E$23,
IF(Z320=regle!$F$11,regle!$F$23,
IF(Z320=regle!$G$11,regle!$G$23,
IF(Z320=regle!$H$11,regle!$H$23,
IF(Z320=regle!$I$11,regle!$I$23,
IF(Z320=regle!$J$11,regle!$J$23,
IF(Z320=regle!$K$11,regle!$K$23,0))))))))))))</f>
        <v>0</v>
      </c>
      <c r="AK320" s="16">
        <f>IF(OR(Q320=regle!$J$11,Q320=regle!$K$11),-2,IF(Q320=regle!$B$11,0,IF(AK$1=$AK$1,IF($O320,-1,regle!$B$2-$M320),IF(AJ320=-1,-1,AJ320+1))))</f>
        <v>19</v>
      </c>
      <c r="AL320" s="16">
        <f>IF(OR(R320=regle!$J$11,R320=regle!$K$11),-2,IF(R320=regle!$B$11,0,IF(AL$1=$AK$1,IF($O320,-1,regle!$B$2-$M320),IF(AK320=-1,-1,AK320+1))))</f>
        <v>20</v>
      </c>
      <c r="AM320" s="16">
        <f>IF(OR(S320=regle!$J$11,S320=regle!$K$11),-2,IF(S320=regle!$B$11,0,IF(AM$1=$AK$1,IF($O320,-1,regle!$B$2-$M320),IF(AL320=-1,-1,AL320+1))))</f>
        <v>21</v>
      </c>
      <c r="AN320" s="16">
        <f>IF(OR(T320=regle!$J$11,T320=regle!$K$11),-2,IF(T320=regle!$B$11,0,IF(AN$1=$AK$1,IF($O320,-1,regle!$B$2-$M320),IF(AM320=-1,-1,AM320+1))))</f>
        <v>22</v>
      </c>
      <c r="AO320" s="16">
        <f>IF(OR(U320=regle!$J$11,U320=regle!$K$11),-2,IF(U320=regle!$B$11,0,IF(AO$1=$AK$1,IF($O320,-1,regle!$B$2-$M320),IF(AN320=-1,-1,AN320+1))))</f>
        <v>23</v>
      </c>
      <c r="AP320" s="16">
        <f>IF(OR(V320=regle!$J$11,V320=regle!$K$11),-2,IF(V320=regle!$B$11,0,IF(AP$1=$AK$1,IF($O320,-1,regle!$B$2-$M320),IF(AO320=-1,-1,AO320+1))))</f>
        <v>24</v>
      </c>
      <c r="AQ320" s="16">
        <f>IF(OR(W320=regle!$J$11,W320=regle!$K$11),-2,IF(W320=regle!$B$11,0,IF(AQ$1=$AK$1,IF($O320,-1,regle!$B$2-$M320),IF(AP320=-1,-1,AP320+1))))</f>
        <v>25</v>
      </c>
      <c r="AR320" s="16">
        <f>IF(OR(X320=regle!$J$11,X320=regle!$K$11),-2,IF(X320=regle!$B$11,0,IF(AR$1=$AK$1,IF($O320,-1,regle!$B$2-$M320),IF(AQ320=-1,-1,AQ320+1))))</f>
        <v>26</v>
      </c>
      <c r="AS320" s="16">
        <f>IF(OR(Y320=regle!$J$11,Y320=regle!$K$11),-2,IF(Y320=regle!$B$11,0,IF(AS$1=$AK$1,IF($O320,-1,regle!$B$2-$M320),IF(AR320=-1,-1,AR320+1))))</f>
        <v>27</v>
      </c>
      <c r="AT320" s="16">
        <f>IF(OR(Z320=regle!$J$11,Z320=regle!$K$11),-2,IF(Z320=regle!$B$11,0,IF(AT$1=$AK$1,IF($O320,-1,regle!$B$2-$M320),IF(AS320=-1,-1,AS320+1))))</f>
        <v>28</v>
      </c>
    </row>
    <row r="321" spans="1:46" x14ac:dyDescent="0.25">
      <c r="A321" t="b">
        <f>modif1!A321</f>
        <v>1</v>
      </c>
      <c r="B321">
        <f>ROW(modif1!B321)</f>
        <v>321</v>
      </c>
      <c r="C321" t="str">
        <f>modif1!C324</f>
        <v>536</v>
      </c>
      <c r="D321" t="str">
        <f>modif1!D321</f>
        <v>GUILLOS</v>
      </c>
      <c r="E321">
        <f>modif1!E321</f>
        <v>22</v>
      </c>
      <c r="F321" t="str">
        <f>modif1!F321</f>
        <v>LE TRETIN DES JEANNOTS</v>
      </c>
      <c r="G321" t="str">
        <f>modif1!G321</f>
        <v>0A</v>
      </c>
      <c r="H321">
        <f>modif1!H321</f>
        <v>987</v>
      </c>
      <c r="I321" t="str">
        <f>modif1!I321</f>
        <v/>
      </c>
      <c r="J321" s="11">
        <f>modif1!J321</f>
        <v>0.1043</v>
      </c>
      <c r="K321" t="str">
        <f>modif1!K321</f>
        <v>PLA</v>
      </c>
      <c r="L321" t="str">
        <f>modif1!L321</f>
        <v>PM</v>
      </c>
      <c r="M321">
        <f>modif1!M321</f>
        <v>2005</v>
      </c>
      <c r="N321" t="str">
        <f>modif1!N321</f>
        <v>PLA-PM_2005</v>
      </c>
      <c r="O321" t="b">
        <f>modif1!O321</f>
        <v>0</v>
      </c>
      <c r="P321">
        <v>40</v>
      </c>
      <c r="T321" t="s">
        <v>1805</v>
      </c>
      <c r="Y321" t="s">
        <v>1806</v>
      </c>
      <c r="Z321"/>
      <c r="AA321" s="17">
        <f>IF($A321,$J321*(IF(Q321=regle!$B$11,regle!$B$23*IF(AJ321=-2,1+regle!$B$35,1),
IF(Q321=regle!$C$11,regle!$C$23,
IF(Q321=regle!$D$11,regle!$D$23,
IF(Q321=regle!$E$11,regle!$E$23,
IF(Q321=regle!$F$11,regle!$F$23,
IF(Q321=regle!$G$11,regle!$G$23,
IF(Q321=regle!$H$11,regle!$H$23,
IF(Q321=regle!$I$11,regle!$I$23,
IF(Q321=regle!$J$11,regle!$J$23,
IF(Q321=regle!$K$11,regle!$K$23,0))))))))))))</f>
        <v>0</v>
      </c>
      <c r="AB321" s="17">
        <f>IF($A321,$J321*(IF(R321=regle!$B$11,regle!$B$23*IF(AK321=-2,1+regle!$B$35,1),
IF(R321=regle!$C$11,regle!$C$23,
IF(R321=regle!$D$11,regle!$D$23,
IF(R321=regle!$E$11,regle!$E$23,
IF(R321=regle!$F$11,regle!$F$23,
IF(R321=regle!$G$11,regle!$G$23,
IF(R321=regle!$H$11,regle!$H$23,
IF(R321=regle!$I$11,regle!$I$23,
IF(R321=regle!$J$11,regle!$J$23,
IF(R321=regle!$K$11,regle!$K$23,0))))))))))))</f>
        <v>0</v>
      </c>
      <c r="AC321" s="17">
        <f>IF($A321,$J321*(IF(S321=regle!$B$11,regle!$B$23*IF(AL321=-2,1+regle!$B$35,1),
IF(S321=regle!$C$11,regle!$C$23,
IF(S321=regle!$D$11,regle!$D$23,
IF(S321=regle!$E$11,regle!$E$23,
IF(S321=regle!$F$11,regle!$F$23,
IF(S321=regle!$G$11,regle!$G$23,
IF(S321=regle!$H$11,regle!$H$23,
IF(S321=regle!$I$11,regle!$I$23,
IF(S321=regle!$J$11,regle!$J$23,
IF(S321=regle!$K$11,regle!$K$23,0))))))))))))</f>
        <v>0</v>
      </c>
      <c r="AD321" s="17">
        <f>IF($A321,$J321*(IF(T321=regle!$B$11,regle!$B$23*IF(AM321=-2,1+regle!$B$35,1),
IF(T321=regle!$C$11,regle!$C$23,
IF(T321=regle!$D$11,regle!$D$23,
IF(T321=regle!$E$11,regle!$E$23,
IF(T321=regle!$F$11,regle!$F$23,
IF(T321=regle!$G$11,regle!$G$23,
IF(T321=regle!$H$11,regle!$H$23,
IF(T321=regle!$I$11,regle!$I$23,
IF(T321=regle!$J$11,regle!$J$23,
IF(T321=regle!$K$11,regle!$K$23,0))))))))))))</f>
        <v>146.8544</v>
      </c>
      <c r="AE321" s="17">
        <f>IF($A321,$J321*(IF(U321=regle!$B$11,regle!$B$23*IF(AN321=-2,1+regle!$B$35,1),
IF(U321=regle!$C$11,regle!$C$23,
IF(U321=regle!$D$11,regle!$D$23,
IF(U321=regle!$E$11,regle!$E$23,
IF(U321=regle!$F$11,regle!$F$23,
IF(U321=regle!$G$11,regle!$G$23,
IF(U321=regle!$H$11,regle!$H$23,
IF(U321=regle!$I$11,regle!$I$23,
IF(U321=regle!$J$11,regle!$J$23,
IF(U321=regle!$K$11,regle!$K$23,0))))))))))))</f>
        <v>0</v>
      </c>
      <c r="AF321" s="17">
        <f>IF($A321,$J321*(IF(V321=regle!$B$11,regle!$B$23*IF(AO321=-2,1+regle!$B$35,1),
IF(V321=regle!$C$11,regle!$C$23,
IF(V321=regle!$D$11,regle!$D$23,
IF(V321=regle!$E$11,regle!$E$23,
IF(V321=regle!$F$11,regle!$F$23,
IF(V321=regle!$G$11,regle!$G$23,
IF(V321=regle!$H$11,regle!$H$23,
IF(V321=regle!$I$11,regle!$I$23,
IF(V321=regle!$J$11,regle!$J$23,
IF(V321=regle!$K$11,regle!$K$23,0))))))))))))</f>
        <v>0</v>
      </c>
      <c r="AG321" s="17">
        <f>IF($A321,$J321*(IF(W321=regle!$B$11,regle!$B$23*IF(AP321=-2,1+regle!$B$35,1),
IF(W321=regle!$C$11,regle!$C$23,
IF(W321=regle!$D$11,regle!$D$23,
IF(W321=regle!$E$11,regle!$E$23,
IF(W321=regle!$F$11,regle!$F$23,
IF(W321=regle!$G$11,regle!$G$23,
IF(W321=regle!$H$11,regle!$H$23,
IF(W321=regle!$I$11,regle!$I$23,
IF(W321=regle!$J$11,regle!$J$23,
IF(W321=regle!$K$11,regle!$K$23,0))))))))))))</f>
        <v>0</v>
      </c>
      <c r="AH321" s="17">
        <f>IF($A321,$J321*(IF(X321=regle!$B$11,regle!$B$23*IF(AQ321=-2,1+regle!$B$35,1),
IF(X321=regle!$C$11,regle!$C$23,
IF(X321=regle!$D$11,regle!$D$23,
IF(X321=regle!$E$11,regle!$E$23,
IF(X321=regle!$F$11,regle!$F$23,
IF(X321=regle!$G$11,regle!$G$23,
IF(X321=regle!$H$11,regle!$H$23,
IF(X321=regle!$I$11,regle!$I$23,
IF(X321=regle!$J$11,regle!$J$23,
IF(X321=regle!$K$11,regle!$K$23,0))))))))))))</f>
        <v>0</v>
      </c>
      <c r="AI321" s="17">
        <f>IF($A321,$J321*(IF(Y321=regle!$B$11,regle!$B$23*IF(AR321=-2,1+regle!$B$35,1),
IF(Y321=regle!$C$11,regle!$C$23,
IF(Y321=regle!$D$11,regle!$D$23,
IF(Y321=regle!$E$11,regle!$E$23,
IF(Y321=regle!$F$11,regle!$F$23,
IF(Y321=regle!$G$11,regle!$G$23,
IF(Y321=regle!$H$11,regle!$H$23,
IF(Y321=regle!$I$11,regle!$I$23,
IF(Y321=regle!$J$11,regle!$J$23,
IF(Y321=regle!$K$11,regle!$K$23,0))))))))))))</f>
        <v>133.50400000000002</v>
      </c>
      <c r="AJ321" s="17">
        <f>IF($A321,$J321*(IF(Z321=regle!$B$11,regle!$B$23*IF(AS321=-2,1+regle!$B$35,1),
IF(Z321=regle!$C$11,regle!$C$23,
IF(Z321=regle!$D$11,regle!$D$23,
IF(Z321=regle!$E$11,regle!$E$23,
IF(Z321=regle!$F$11,regle!$F$23,
IF(Z321=regle!$G$11,regle!$G$23,
IF(Z321=regle!$H$11,regle!$H$23,
IF(Z321=regle!$I$11,regle!$I$23,
IF(Z321=regle!$J$11,regle!$J$23,
IF(Z321=regle!$K$11,regle!$K$23,0))))))))))))</f>
        <v>0</v>
      </c>
      <c r="AK321" s="16">
        <f>IF(OR(Q321=regle!$J$11,Q321=regle!$K$11),-2,IF(Q321=regle!$B$11,0,IF(AK$1=$AK$1,IF($O321,-1,regle!$B$2-$M321),IF(AJ321=-1,-1,AJ321+1))))</f>
        <v>19</v>
      </c>
      <c r="AL321" s="16">
        <f>IF(OR(R321=regle!$J$11,R321=regle!$K$11),-2,IF(R321=regle!$B$11,0,IF(AL$1=$AK$1,IF($O321,-1,regle!$B$2-$M321),IF(AK321=-1,-1,AK321+1))))</f>
        <v>20</v>
      </c>
      <c r="AM321" s="16">
        <f>IF(OR(S321=regle!$J$11,S321=regle!$K$11),-2,IF(S321=regle!$B$11,0,IF(AM$1=$AK$1,IF($O321,-1,regle!$B$2-$M321),IF(AL321=-1,-1,AL321+1))))</f>
        <v>21</v>
      </c>
      <c r="AN321" s="16">
        <f>IF(OR(T321=regle!$J$11,T321=regle!$K$11),-2,IF(T321=regle!$B$11,0,IF(AN$1=$AK$1,IF($O321,-1,regle!$B$2-$M321),IF(AM321=-1,-1,AM321+1))))</f>
        <v>22</v>
      </c>
      <c r="AO321" s="16">
        <f>IF(OR(U321=regle!$J$11,U321=regle!$K$11),-2,IF(U321=regle!$B$11,0,IF(AO$1=$AK$1,IF($O321,-1,regle!$B$2-$M321),IF(AN321=-1,-1,AN321+1))))</f>
        <v>23</v>
      </c>
      <c r="AP321" s="16">
        <f>IF(OR(V321=regle!$J$11,V321=regle!$K$11),-2,IF(V321=regle!$B$11,0,IF(AP$1=$AK$1,IF($O321,-1,regle!$B$2-$M321),IF(AO321=-1,-1,AO321+1))))</f>
        <v>24</v>
      </c>
      <c r="AQ321" s="16">
        <f>IF(OR(W321=regle!$J$11,W321=regle!$K$11),-2,IF(W321=regle!$B$11,0,IF(AQ$1=$AK$1,IF($O321,-1,regle!$B$2-$M321),IF(AP321=-1,-1,AP321+1))))</f>
        <v>25</v>
      </c>
      <c r="AR321" s="16">
        <f>IF(OR(X321=regle!$J$11,X321=regle!$K$11),-2,IF(X321=regle!$B$11,0,IF(AR$1=$AK$1,IF($O321,-1,regle!$B$2-$M321),IF(AQ321=-1,-1,AQ321+1))))</f>
        <v>26</v>
      </c>
      <c r="AS321" s="16">
        <f>IF(OR(Y321=regle!$J$11,Y321=regle!$K$11),-2,IF(Y321=regle!$B$11,0,IF(AS$1=$AK$1,IF($O321,-1,regle!$B$2-$M321),IF(AR321=-1,-1,AR321+1))))</f>
        <v>27</v>
      </c>
      <c r="AT321" s="16">
        <f>IF(OR(Z321=regle!$J$11,Z321=regle!$K$11),-2,IF(Z321=regle!$B$11,0,IF(AT$1=$AK$1,IF($O321,-1,regle!$B$2-$M321),IF(AS321=-1,-1,AS321+1))))</f>
        <v>28</v>
      </c>
    </row>
    <row r="322" spans="1:46" x14ac:dyDescent="0.25">
      <c r="A322" t="b">
        <f>modif1!A322</f>
        <v>1</v>
      </c>
      <c r="B322">
        <f>ROW(modif1!B322)</f>
        <v>322</v>
      </c>
      <c r="C322" t="str">
        <f>modif1!C325</f>
        <v>077</v>
      </c>
      <c r="D322" t="str">
        <f>modif1!D322</f>
        <v>LE TUZAN</v>
      </c>
      <c r="E322">
        <f>modif1!E322</f>
        <v>21</v>
      </c>
      <c r="F322" t="str">
        <f>modif1!F322</f>
        <v>METAIRIES DE TABARTON</v>
      </c>
      <c r="G322" t="str">
        <f>modif1!G322</f>
        <v>0A</v>
      </c>
      <c r="H322">
        <f>modif1!H322</f>
        <v>528</v>
      </c>
      <c r="I322" t="str">
        <f>modif1!I322</f>
        <v>j</v>
      </c>
      <c r="J322" s="11">
        <f>modif1!J322</f>
        <v>9.3799999999999994E-2</v>
      </c>
      <c r="K322" t="str">
        <f>modif1!K322</f>
        <v>PLA</v>
      </c>
      <c r="L322" t="str">
        <f>modif1!L322</f>
        <v>PM</v>
      </c>
      <c r="M322">
        <f>modif1!M322</f>
        <v>2005</v>
      </c>
      <c r="N322" t="str">
        <f>modif1!N322</f>
        <v>PLA-PM_2005</v>
      </c>
      <c r="O322" t="b">
        <f>modif1!O322</f>
        <v>0</v>
      </c>
      <c r="P322">
        <v>40</v>
      </c>
      <c r="T322" t="s">
        <v>1805</v>
      </c>
      <c r="Y322" t="s">
        <v>1806</v>
      </c>
      <c r="Z322"/>
      <c r="AA322" s="17">
        <f>IF($A322,$J322*(IF(Q322=regle!$B$11,regle!$B$23*IF(AJ322=-2,1+regle!$B$35,1),
IF(Q322=regle!$C$11,regle!$C$23,
IF(Q322=regle!$D$11,regle!$D$23,
IF(Q322=regle!$E$11,regle!$E$23,
IF(Q322=regle!$F$11,regle!$F$23,
IF(Q322=regle!$G$11,regle!$G$23,
IF(Q322=regle!$H$11,regle!$H$23,
IF(Q322=regle!$I$11,regle!$I$23,
IF(Q322=regle!$J$11,regle!$J$23,
IF(Q322=regle!$K$11,regle!$K$23,0))))))))))))</f>
        <v>0</v>
      </c>
      <c r="AB322" s="17">
        <f>IF($A322,$J322*(IF(R322=regle!$B$11,regle!$B$23*IF(AK322=-2,1+regle!$B$35,1),
IF(R322=regle!$C$11,regle!$C$23,
IF(R322=regle!$D$11,regle!$D$23,
IF(R322=regle!$E$11,regle!$E$23,
IF(R322=regle!$F$11,regle!$F$23,
IF(R322=regle!$G$11,regle!$G$23,
IF(R322=regle!$H$11,regle!$H$23,
IF(R322=regle!$I$11,regle!$I$23,
IF(R322=regle!$J$11,regle!$J$23,
IF(R322=regle!$K$11,regle!$K$23,0))))))))))))</f>
        <v>0</v>
      </c>
      <c r="AC322" s="17">
        <f>IF($A322,$J322*(IF(S322=regle!$B$11,regle!$B$23*IF(AL322=-2,1+regle!$B$35,1),
IF(S322=regle!$C$11,regle!$C$23,
IF(S322=regle!$D$11,regle!$D$23,
IF(S322=regle!$E$11,regle!$E$23,
IF(S322=regle!$F$11,regle!$F$23,
IF(S322=regle!$G$11,regle!$G$23,
IF(S322=regle!$H$11,regle!$H$23,
IF(S322=regle!$I$11,regle!$I$23,
IF(S322=regle!$J$11,regle!$J$23,
IF(S322=regle!$K$11,regle!$K$23,0))))))))))))</f>
        <v>0</v>
      </c>
      <c r="AD322" s="17">
        <f>IF($A322,$J322*(IF(T322=regle!$B$11,regle!$B$23*IF(AM322=-2,1+regle!$B$35,1),
IF(T322=regle!$C$11,regle!$C$23,
IF(T322=regle!$D$11,regle!$D$23,
IF(T322=regle!$E$11,regle!$E$23,
IF(T322=regle!$F$11,regle!$F$23,
IF(T322=regle!$G$11,regle!$G$23,
IF(T322=regle!$H$11,regle!$H$23,
IF(T322=regle!$I$11,regle!$I$23,
IF(T322=regle!$J$11,regle!$J$23,
IF(T322=regle!$K$11,regle!$K$23,0))))))))))))</f>
        <v>132.07040000000001</v>
      </c>
      <c r="AE322" s="17">
        <f>IF($A322,$J322*(IF(U322=regle!$B$11,regle!$B$23*IF(AN322=-2,1+regle!$B$35,1),
IF(U322=regle!$C$11,regle!$C$23,
IF(U322=regle!$D$11,regle!$D$23,
IF(U322=regle!$E$11,regle!$E$23,
IF(U322=regle!$F$11,regle!$F$23,
IF(U322=regle!$G$11,regle!$G$23,
IF(U322=regle!$H$11,regle!$H$23,
IF(U322=regle!$I$11,regle!$I$23,
IF(U322=regle!$J$11,regle!$J$23,
IF(U322=regle!$K$11,regle!$K$23,0))))))))))))</f>
        <v>0</v>
      </c>
      <c r="AF322" s="17">
        <f>IF($A322,$J322*(IF(V322=regle!$B$11,regle!$B$23*IF(AO322=-2,1+regle!$B$35,1),
IF(V322=regle!$C$11,regle!$C$23,
IF(V322=regle!$D$11,regle!$D$23,
IF(V322=regle!$E$11,regle!$E$23,
IF(V322=regle!$F$11,regle!$F$23,
IF(V322=regle!$G$11,regle!$G$23,
IF(V322=regle!$H$11,regle!$H$23,
IF(V322=regle!$I$11,regle!$I$23,
IF(V322=regle!$J$11,regle!$J$23,
IF(V322=regle!$K$11,regle!$K$23,0))))))))))))</f>
        <v>0</v>
      </c>
      <c r="AG322" s="17">
        <f>IF($A322,$J322*(IF(W322=regle!$B$11,regle!$B$23*IF(AP322=-2,1+regle!$B$35,1),
IF(W322=regle!$C$11,regle!$C$23,
IF(W322=regle!$D$11,regle!$D$23,
IF(W322=regle!$E$11,regle!$E$23,
IF(W322=regle!$F$11,regle!$F$23,
IF(W322=regle!$G$11,regle!$G$23,
IF(W322=regle!$H$11,regle!$H$23,
IF(W322=regle!$I$11,regle!$I$23,
IF(W322=regle!$J$11,regle!$J$23,
IF(W322=regle!$K$11,regle!$K$23,0))))))))))))</f>
        <v>0</v>
      </c>
      <c r="AH322" s="17">
        <f>IF($A322,$J322*(IF(X322=regle!$B$11,regle!$B$23*IF(AQ322=-2,1+regle!$B$35,1),
IF(X322=regle!$C$11,regle!$C$23,
IF(X322=regle!$D$11,regle!$D$23,
IF(X322=regle!$E$11,regle!$E$23,
IF(X322=regle!$F$11,regle!$F$23,
IF(X322=regle!$G$11,regle!$G$23,
IF(X322=regle!$H$11,regle!$H$23,
IF(X322=regle!$I$11,regle!$I$23,
IF(X322=regle!$J$11,regle!$J$23,
IF(X322=regle!$K$11,regle!$K$23,0))))))))))))</f>
        <v>0</v>
      </c>
      <c r="AI322" s="17">
        <f>IF($A322,$J322*(IF(Y322=regle!$B$11,regle!$B$23*IF(AR322=-2,1+regle!$B$35,1),
IF(Y322=regle!$C$11,regle!$C$23,
IF(Y322=regle!$D$11,regle!$D$23,
IF(Y322=regle!$E$11,regle!$E$23,
IF(Y322=regle!$F$11,regle!$F$23,
IF(Y322=regle!$G$11,regle!$G$23,
IF(Y322=regle!$H$11,regle!$H$23,
IF(Y322=regle!$I$11,regle!$I$23,
IF(Y322=regle!$J$11,regle!$J$23,
IF(Y322=regle!$K$11,regle!$K$23,0))))))))))))</f>
        <v>120.06399999999999</v>
      </c>
      <c r="AJ322" s="17">
        <f>IF($A322,$J322*(IF(Z322=regle!$B$11,regle!$B$23*IF(AS322=-2,1+regle!$B$35,1),
IF(Z322=regle!$C$11,regle!$C$23,
IF(Z322=regle!$D$11,regle!$D$23,
IF(Z322=regle!$E$11,regle!$E$23,
IF(Z322=regle!$F$11,regle!$F$23,
IF(Z322=regle!$G$11,regle!$G$23,
IF(Z322=regle!$H$11,regle!$H$23,
IF(Z322=regle!$I$11,regle!$I$23,
IF(Z322=regle!$J$11,regle!$J$23,
IF(Z322=regle!$K$11,regle!$K$23,0))))))))))))</f>
        <v>0</v>
      </c>
      <c r="AK322" s="16">
        <f>IF(OR(Q322=regle!$J$11,Q322=regle!$K$11),-2,IF(Q322=regle!$B$11,0,IF(AK$1=$AK$1,IF($O322,-1,regle!$B$2-$M322),IF(AJ322=-1,-1,AJ322+1))))</f>
        <v>19</v>
      </c>
      <c r="AL322" s="16">
        <f>IF(OR(R322=regle!$J$11,R322=regle!$K$11),-2,IF(R322=regle!$B$11,0,IF(AL$1=$AK$1,IF($O322,-1,regle!$B$2-$M322),IF(AK322=-1,-1,AK322+1))))</f>
        <v>20</v>
      </c>
      <c r="AM322" s="16">
        <f>IF(OR(S322=regle!$J$11,S322=regle!$K$11),-2,IF(S322=regle!$B$11,0,IF(AM$1=$AK$1,IF($O322,-1,regle!$B$2-$M322),IF(AL322=-1,-1,AL322+1))))</f>
        <v>21</v>
      </c>
      <c r="AN322" s="16">
        <f>IF(OR(T322=regle!$J$11,T322=regle!$K$11),-2,IF(T322=regle!$B$11,0,IF(AN$1=$AK$1,IF($O322,-1,regle!$B$2-$M322),IF(AM322=-1,-1,AM322+1))))</f>
        <v>22</v>
      </c>
      <c r="AO322" s="16">
        <f>IF(OR(U322=regle!$J$11,U322=regle!$K$11),-2,IF(U322=regle!$B$11,0,IF(AO$1=$AK$1,IF($O322,-1,regle!$B$2-$M322),IF(AN322=-1,-1,AN322+1))))</f>
        <v>23</v>
      </c>
      <c r="AP322" s="16">
        <f>IF(OR(V322=regle!$J$11,V322=regle!$K$11),-2,IF(V322=regle!$B$11,0,IF(AP$1=$AK$1,IF($O322,-1,regle!$B$2-$M322),IF(AO322=-1,-1,AO322+1))))</f>
        <v>24</v>
      </c>
      <c r="AQ322" s="16">
        <f>IF(OR(W322=regle!$J$11,W322=regle!$K$11),-2,IF(W322=regle!$B$11,0,IF(AQ$1=$AK$1,IF($O322,-1,regle!$B$2-$M322),IF(AP322=-1,-1,AP322+1))))</f>
        <v>25</v>
      </c>
      <c r="AR322" s="16">
        <f>IF(OR(X322=regle!$J$11,X322=regle!$K$11),-2,IF(X322=regle!$B$11,0,IF(AR$1=$AK$1,IF($O322,-1,regle!$B$2-$M322),IF(AQ322=-1,-1,AQ322+1))))</f>
        <v>26</v>
      </c>
      <c r="AS322" s="16">
        <f>IF(OR(Y322=regle!$J$11,Y322=regle!$K$11),-2,IF(Y322=regle!$B$11,0,IF(AS$1=$AK$1,IF($O322,-1,regle!$B$2-$M322),IF(AR322=-1,-1,AR322+1))))</f>
        <v>27</v>
      </c>
      <c r="AT322" s="16">
        <f>IF(OR(Z322=regle!$J$11,Z322=regle!$K$11),-2,IF(Z322=regle!$B$11,0,IF(AT$1=$AK$1,IF($O322,-1,regle!$B$2-$M322),IF(AS322=-1,-1,AS322+1))))</f>
        <v>28</v>
      </c>
    </row>
    <row r="323" spans="1:46" x14ac:dyDescent="0.25">
      <c r="A323" t="b">
        <f>modif1!A323</f>
        <v>1</v>
      </c>
      <c r="B323">
        <f>ROW(modif1!B323)</f>
        <v>323</v>
      </c>
      <c r="C323" t="str">
        <f>modif1!C326</f>
        <v>536</v>
      </c>
      <c r="D323" t="str">
        <f>modif1!D323</f>
        <v>LE TUZAN</v>
      </c>
      <c r="E323">
        <f>modif1!E323</f>
        <v>21</v>
      </c>
      <c r="F323" t="str">
        <f>modif1!F323</f>
        <v>METAIRIES DE TABARTON</v>
      </c>
      <c r="G323" t="str">
        <f>modif1!G323</f>
        <v>0A</v>
      </c>
      <c r="H323">
        <f>modif1!H323</f>
        <v>416</v>
      </c>
      <c r="I323" t="str">
        <f>modif1!I323</f>
        <v>d</v>
      </c>
      <c r="J323" s="11">
        <f>modif1!J323</f>
        <v>8.3699999999999997E-2</v>
      </c>
      <c r="K323" t="str">
        <f>modif1!K323</f>
        <v>PLA</v>
      </c>
      <c r="L323" t="str">
        <f>modif1!L323</f>
        <v>PM</v>
      </c>
      <c r="M323">
        <f>modif1!M323</f>
        <v>2005</v>
      </c>
      <c r="N323" t="str">
        <f>modif1!N323</f>
        <v>PLA-PM_2005</v>
      </c>
      <c r="O323" t="b">
        <f>modif1!O323</f>
        <v>0</v>
      </c>
      <c r="P323">
        <v>40</v>
      </c>
      <c r="T323" t="s">
        <v>1805</v>
      </c>
      <c r="Y323" t="s">
        <v>1806</v>
      </c>
      <c r="Z323"/>
      <c r="AA323" s="17">
        <f>IF($A323,$J323*(IF(Q323=regle!$B$11,regle!$B$23*IF(AJ323=-2,1+regle!$B$35,1),
IF(Q323=regle!$C$11,regle!$C$23,
IF(Q323=regle!$D$11,regle!$D$23,
IF(Q323=regle!$E$11,regle!$E$23,
IF(Q323=regle!$F$11,regle!$F$23,
IF(Q323=regle!$G$11,regle!$G$23,
IF(Q323=regle!$H$11,regle!$H$23,
IF(Q323=regle!$I$11,regle!$I$23,
IF(Q323=regle!$J$11,regle!$J$23,
IF(Q323=regle!$K$11,regle!$K$23,0))))))))))))</f>
        <v>0</v>
      </c>
      <c r="AB323" s="17">
        <f>IF($A323,$J323*(IF(R323=regle!$B$11,regle!$B$23*IF(AK323=-2,1+regle!$B$35,1),
IF(R323=regle!$C$11,regle!$C$23,
IF(R323=regle!$D$11,regle!$D$23,
IF(R323=regle!$E$11,regle!$E$23,
IF(R323=regle!$F$11,regle!$F$23,
IF(R323=regle!$G$11,regle!$G$23,
IF(R323=regle!$H$11,regle!$H$23,
IF(R323=regle!$I$11,regle!$I$23,
IF(R323=regle!$J$11,regle!$J$23,
IF(R323=regle!$K$11,regle!$K$23,0))))))))))))</f>
        <v>0</v>
      </c>
      <c r="AC323" s="17">
        <f>IF($A323,$J323*(IF(S323=regle!$B$11,regle!$B$23*IF(AL323=-2,1+regle!$B$35,1),
IF(S323=regle!$C$11,regle!$C$23,
IF(S323=regle!$D$11,regle!$D$23,
IF(S323=regle!$E$11,regle!$E$23,
IF(S323=regle!$F$11,regle!$F$23,
IF(S323=regle!$G$11,regle!$G$23,
IF(S323=regle!$H$11,regle!$H$23,
IF(S323=regle!$I$11,regle!$I$23,
IF(S323=regle!$J$11,regle!$J$23,
IF(S323=regle!$K$11,regle!$K$23,0))))))))))))</f>
        <v>0</v>
      </c>
      <c r="AD323" s="17">
        <f>IF($A323,$J323*(IF(T323=regle!$B$11,regle!$B$23*IF(AM323=-2,1+regle!$B$35,1),
IF(T323=regle!$C$11,regle!$C$23,
IF(T323=regle!$D$11,regle!$D$23,
IF(T323=regle!$E$11,regle!$E$23,
IF(T323=regle!$F$11,regle!$F$23,
IF(T323=regle!$G$11,regle!$G$23,
IF(T323=regle!$H$11,regle!$H$23,
IF(T323=regle!$I$11,regle!$I$23,
IF(T323=regle!$J$11,regle!$J$23,
IF(T323=regle!$K$11,regle!$K$23,0))))))))))))</f>
        <v>117.8496</v>
      </c>
      <c r="AE323" s="17">
        <f>IF($A323,$J323*(IF(U323=regle!$B$11,regle!$B$23*IF(AN323=-2,1+regle!$B$35,1),
IF(U323=regle!$C$11,regle!$C$23,
IF(U323=regle!$D$11,regle!$D$23,
IF(U323=regle!$E$11,regle!$E$23,
IF(U323=regle!$F$11,regle!$F$23,
IF(U323=regle!$G$11,regle!$G$23,
IF(U323=regle!$H$11,regle!$H$23,
IF(U323=regle!$I$11,regle!$I$23,
IF(U323=regle!$J$11,regle!$J$23,
IF(U323=regle!$K$11,regle!$K$23,0))))))))))))</f>
        <v>0</v>
      </c>
      <c r="AF323" s="17">
        <f>IF($A323,$J323*(IF(V323=regle!$B$11,regle!$B$23*IF(AO323=-2,1+regle!$B$35,1),
IF(V323=regle!$C$11,regle!$C$23,
IF(V323=regle!$D$11,regle!$D$23,
IF(V323=regle!$E$11,regle!$E$23,
IF(V323=regle!$F$11,regle!$F$23,
IF(V323=regle!$G$11,regle!$G$23,
IF(V323=regle!$H$11,regle!$H$23,
IF(V323=regle!$I$11,regle!$I$23,
IF(V323=regle!$J$11,regle!$J$23,
IF(V323=regle!$K$11,regle!$K$23,0))))))))))))</f>
        <v>0</v>
      </c>
      <c r="AG323" s="17">
        <f>IF($A323,$J323*(IF(W323=regle!$B$11,regle!$B$23*IF(AP323=-2,1+regle!$B$35,1),
IF(W323=regle!$C$11,regle!$C$23,
IF(W323=regle!$D$11,regle!$D$23,
IF(W323=regle!$E$11,regle!$E$23,
IF(W323=regle!$F$11,regle!$F$23,
IF(W323=regle!$G$11,regle!$G$23,
IF(W323=regle!$H$11,regle!$H$23,
IF(W323=regle!$I$11,regle!$I$23,
IF(W323=regle!$J$11,regle!$J$23,
IF(W323=regle!$K$11,regle!$K$23,0))))))))))))</f>
        <v>0</v>
      </c>
      <c r="AH323" s="17">
        <f>IF($A323,$J323*(IF(X323=regle!$B$11,regle!$B$23*IF(AQ323=-2,1+regle!$B$35,1),
IF(X323=regle!$C$11,regle!$C$23,
IF(X323=regle!$D$11,regle!$D$23,
IF(X323=regle!$E$11,regle!$E$23,
IF(X323=regle!$F$11,regle!$F$23,
IF(X323=regle!$G$11,regle!$G$23,
IF(X323=regle!$H$11,regle!$H$23,
IF(X323=regle!$I$11,regle!$I$23,
IF(X323=regle!$J$11,regle!$J$23,
IF(X323=regle!$K$11,regle!$K$23,0))))))))))))</f>
        <v>0</v>
      </c>
      <c r="AI323" s="17">
        <f>IF($A323,$J323*(IF(Y323=regle!$B$11,regle!$B$23*IF(AR323=-2,1+regle!$B$35,1),
IF(Y323=regle!$C$11,regle!$C$23,
IF(Y323=regle!$D$11,regle!$D$23,
IF(Y323=regle!$E$11,regle!$E$23,
IF(Y323=regle!$F$11,regle!$F$23,
IF(Y323=regle!$G$11,regle!$G$23,
IF(Y323=regle!$H$11,regle!$H$23,
IF(Y323=regle!$I$11,regle!$I$23,
IF(Y323=regle!$J$11,regle!$J$23,
IF(Y323=regle!$K$11,regle!$K$23,0))))))))))))</f>
        <v>107.136</v>
      </c>
      <c r="AJ323" s="17">
        <f>IF($A323,$J323*(IF(Z323=regle!$B$11,regle!$B$23*IF(AS323=-2,1+regle!$B$35,1),
IF(Z323=regle!$C$11,regle!$C$23,
IF(Z323=regle!$D$11,regle!$D$23,
IF(Z323=regle!$E$11,regle!$E$23,
IF(Z323=regle!$F$11,regle!$F$23,
IF(Z323=regle!$G$11,regle!$G$23,
IF(Z323=regle!$H$11,regle!$H$23,
IF(Z323=regle!$I$11,regle!$I$23,
IF(Z323=regle!$J$11,regle!$J$23,
IF(Z323=regle!$K$11,regle!$K$23,0))))))))))))</f>
        <v>0</v>
      </c>
      <c r="AK323" s="16">
        <f>IF(OR(Q323=regle!$J$11,Q323=regle!$K$11),-2,IF(Q323=regle!$B$11,0,IF(AK$1=$AK$1,IF($O323,-1,regle!$B$2-$M323),IF(AJ323=-1,-1,AJ323+1))))</f>
        <v>19</v>
      </c>
      <c r="AL323" s="16">
        <f>IF(OR(R323=regle!$J$11,R323=regle!$K$11),-2,IF(R323=regle!$B$11,0,IF(AL$1=$AK$1,IF($O323,-1,regle!$B$2-$M323),IF(AK323=-1,-1,AK323+1))))</f>
        <v>20</v>
      </c>
      <c r="AM323" s="16">
        <f>IF(OR(S323=regle!$J$11,S323=regle!$K$11),-2,IF(S323=regle!$B$11,0,IF(AM$1=$AK$1,IF($O323,-1,regle!$B$2-$M323),IF(AL323=-1,-1,AL323+1))))</f>
        <v>21</v>
      </c>
      <c r="AN323" s="16">
        <f>IF(OR(T323=regle!$J$11,T323=regle!$K$11),-2,IF(T323=regle!$B$11,0,IF(AN$1=$AK$1,IF($O323,-1,regle!$B$2-$M323),IF(AM323=-1,-1,AM323+1))))</f>
        <v>22</v>
      </c>
      <c r="AO323" s="16">
        <f>IF(OR(U323=regle!$J$11,U323=regle!$K$11),-2,IF(U323=regle!$B$11,0,IF(AO$1=$AK$1,IF($O323,-1,regle!$B$2-$M323),IF(AN323=-1,-1,AN323+1))))</f>
        <v>23</v>
      </c>
      <c r="AP323" s="16">
        <f>IF(OR(V323=regle!$J$11,V323=regle!$K$11),-2,IF(V323=regle!$B$11,0,IF(AP$1=$AK$1,IF($O323,-1,regle!$B$2-$M323),IF(AO323=-1,-1,AO323+1))))</f>
        <v>24</v>
      </c>
      <c r="AQ323" s="16">
        <f>IF(OR(W323=regle!$J$11,W323=regle!$K$11),-2,IF(W323=regle!$B$11,0,IF(AQ$1=$AK$1,IF($O323,-1,regle!$B$2-$M323),IF(AP323=-1,-1,AP323+1))))</f>
        <v>25</v>
      </c>
      <c r="AR323" s="16">
        <f>IF(OR(X323=regle!$J$11,X323=regle!$K$11),-2,IF(X323=regle!$B$11,0,IF(AR$1=$AK$1,IF($O323,-1,regle!$B$2-$M323),IF(AQ323=-1,-1,AQ323+1))))</f>
        <v>26</v>
      </c>
      <c r="AS323" s="16">
        <f>IF(OR(Y323=regle!$J$11,Y323=regle!$K$11),-2,IF(Y323=regle!$B$11,0,IF(AS$1=$AK$1,IF($O323,-1,regle!$B$2-$M323),IF(AR323=-1,-1,AR323+1))))</f>
        <v>27</v>
      </c>
      <c r="AT323" s="16">
        <f>IF(OR(Z323=regle!$J$11,Z323=regle!$K$11),-2,IF(Z323=regle!$B$11,0,IF(AT$1=$AK$1,IF($O323,-1,regle!$B$2-$M323),IF(AS323=-1,-1,AS323+1))))</f>
        <v>28</v>
      </c>
    </row>
    <row r="324" spans="1:46" x14ac:dyDescent="0.25">
      <c r="A324" t="b">
        <f>modif1!A324</f>
        <v>1</v>
      </c>
      <c r="B324">
        <f>ROW(modif1!B324)</f>
        <v>324</v>
      </c>
      <c r="C324" t="str">
        <f>modif1!C327</f>
        <v>202</v>
      </c>
      <c r="D324" t="str">
        <f>modif1!D324</f>
        <v>LE TUZAN</v>
      </c>
      <c r="E324">
        <f>modif1!E324</f>
        <v>21</v>
      </c>
      <c r="F324" t="str">
        <f>modif1!F324</f>
        <v>METAIRIES DE TABARTON</v>
      </c>
      <c r="G324" t="str">
        <f>modif1!G324</f>
        <v>0A</v>
      </c>
      <c r="H324">
        <f>modif1!H324</f>
        <v>409</v>
      </c>
      <c r="I324" t="str">
        <f>modif1!I324</f>
        <v>k</v>
      </c>
      <c r="J324" s="11">
        <f>modif1!J324</f>
        <v>8.0399999999999999E-2</v>
      </c>
      <c r="K324" t="str">
        <f>modif1!K324</f>
        <v>PLA</v>
      </c>
      <c r="L324" t="str">
        <f>modif1!L324</f>
        <v>PM</v>
      </c>
      <c r="M324">
        <f>modif1!M324</f>
        <v>2005</v>
      </c>
      <c r="N324" t="str">
        <f>modif1!N324</f>
        <v>PLA-PM_2005</v>
      </c>
      <c r="O324" t="b">
        <f>modif1!O324</f>
        <v>0</v>
      </c>
      <c r="P324">
        <v>40</v>
      </c>
      <c r="T324" t="s">
        <v>1805</v>
      </c>
      <c r="Y324" t="s">
        <v>1806</v>
      </c>
      <c r="Z324"/>
      <c r="AA324" s="17">
        <f>IF($A324,$J324*(IF(Q324=regle!$B$11,regle!$B$23*IF(AJ324=-2,1+regle!$B$35,1),
IF(Q324=regle!$C$11,regle!$C$23,
IF(Q324=regle!$D$11,regle!$D$23,
IF(Q324=regle!$E$11,regle!$E$23,
IF(Q324=regle!$F$11,regle!$F$23,
IF(Q324=regle!$G$11,regle!$G$23,
IF(Q324=regle!$H$11,regle!$H$23,
IF(Q324=regle!$I$11,regle!$I$23,
IF(Q324=regle!$J$11,regle!$J$23,
IF(Q324=regle!$K$11,regle!$K$23,0))))))))))))</f>
        <v>0</v>
      </c>
      <c r="AB324" s="17">
        <f>IF($A324,$J324*(IF(R324=regle!$B$11,regle!$B$23*IF(AK324=-2,1+regle!$B$35,1),
IF(R324=regle!$C$11,regle!$C$23,
IF(R324=regle!$D$11,regle!$D$23,
IF(R324=regle!$E$11,regle!$E$23,
IF(R324=regle!$F$11,regle!$F$23,
IF(R324=regle!$G$11,regle!$G$23,
IF(R324=regle!$H$11,regle!$H$23,
IF(R324=regle!$I$11,regle!$I$23,
IF(R324=regle!$J$11,regle!$J$23,
IF(R324=regle!$K$11,regle!$K$23,0))))))))))))</f>
        <v>0</v>
      </c>
      <c r="AC324" s="17">
        <f>IF($A324,$J324*(IF(S324=regle!$B$11,regle!$B$23*IF(AL324=-2,1+regle!$B$35,1),
IF(S324=regle!$C$11,regle!$C$23,
IF(S324=regle!$D$11,regle!$D$23,
IF(S324=regle!$E$11,regle!$E$23,
IF(S324=regle!$F$11,regle!$F$23,
IF(S324=regle!$G$11,regle!$G$23,
IF(S324=regle!$H$11,regle!$H$23,
IF(S324=regle!$I$11,regle!$I$23,
IF(S324=regle!$J$11,regle!$J$23,
IF(S324=regle!$K$11,regle!$K$23,0))))))))))))</f>
        <v>0</v>
      </c>
      <c r="AD324" s="17">
        <f>IF($A324,$J324*(IF(T324=regle!$B$11,regle!$B$23*IF(AM324=-2,1+regle!$B$35,1),
IF(T324=regle!$C$11,regle!$C$23,
IF(T324=regle!$D$11,regle!$D$23,
IF(T324=regle!$E$11,regle!$E$23,
IF(T324=regle!$F$11,regle!$F$23,
IF(T324=regle!$G$11,regle!$G$23,
IF(T324=regle!$H$11,regle!$H$23,
IF(T324=regle!$I$11,regle!$I$23,
IF(T324=regle!$J$11,regle!$J$23,
IF(T324=regle!$K$11,regle!$K$23,0))))))))))))</f>
        <v>113.2032</v>
      </c>
      <c r="AE324" s="17">
        <f>IF($A324,$J324*(IF(U324=regle!$B$11,regle!$B$23*IF(AN324=-2,1+regle!$B$35,1),
IF(U324=regle!$C$11,regle!$C$23,
IF(U324=regle!$D$11,regle!$D$23,
IF(U324=regle!$E$11,regle!$E$23,
IF(U324=regle!$F$11,regle!$F$23,
IF(U324=regle!$G$11,regle!$G$23,
IF(U324=regle!$H$11,regle!$H$23,
IF(U324=regle!$I$11,regle!$I$23,
IF(U324=regle!$J$11,regle!$J$23,
IF(U324=regle!$K$11,regle!$K$23,0))))))))))))</f>
        <v>0</v>
      </c>
      <c r="AF324" s="17">
        <f>IF($A324,$J324*(IF(V324=regle!$B$11,regle!$B$23*IF(AO324=-2,1+regle!$B$35,1),
IF(V324=regle!$C$11,regle!$C$23,
IF(V324=regle!$D$11,regle!$D$23,
IF(V324=regle!$E$11,regle!$E$23,
IF(V324=regle!$F$11,regle!$F$23,
IF(V324=regle!$G$11,regle!$G$23,
IF(V324=regle!$H$11,regle!$H$23,
IF(V324=regle!$I$11,regle!$I$23,
IF(V324=regle!$J$11,regle!$J$23,
IF(V324=regle!$K$11,regle!$K$23,0))))))))))))</f>
        <v>0</v>
      </c>
      <c r="AG324" s="17">
        <f>IF($A324,$J324*(IF(W324=regle!$B$11,regle!$B$23*IF(AP324=-2,1+regle!$B$35,1),
IF(W324=regle!$C$11,regle!$C$23,
IF(W324=regle!$D$11,regle!$D$23,
IF(W324=regle!$E$11,regle!$E$23,
IF(W324=regle!$F$11,regle!$F$23,
IF(W324=regle!$G$11,regle!$G$23,
IF(W324=regle!$H$11,regle!$H$23,
IF(W324=regle!$I$11,regle!$I$23,
IF(W324=regle!$J$11,regle!$J$23,
IF(W324=regle!$K$11,regle!$K$23,0))))))))))))</f>
        <v>0</v>
      </c>
      <c r="AH324" s="17">
        <f>IF($A324,$J324*(IF(X324=regle!$B$11,regle!$B$23*IF(AQ324=-2,1+regle!$B$35,1),
IF(X324=regle!$C$11,regle!$C$23,
IF(X324=regle!$D$11,regle!$D$23,
IF(X324=regle!$E$11,regle!$E$23,
IF(X324=regle!$F$11,regle!$F$23,
IF(X324=regle!$G$11,regle!$G$23,
IF(X324=regle!$H$11,regle!$H$23,
IF(X324=regle!$I$11,regle!$I$23,
IF(X324=regle!$J$11,regle!$J$23,
IF(X324=regle!$K$11,regle!$K$23,0))))))))))))</f>
        <v>0</v>
      </c>
      <c r="AI324" s="17">
        <f>IF($A324,$J324*(IF(Y324=regle!$B$11,regle!$B$23*IF(AR324=-2,1+regle!$B$35,1),
IF(Y324=regle!$C$11,regle!$C$23,
IF(Y324=regle!$D$11,regle!$D$23,
IF(Y324=regle!$E$11,regle!$E$23,
IF(Y324=regle!$F$11,regle!$F$23,
IF(Y324=regle!$G$11,regle!$G$23,
IF(Y324=regle!$H$11,regle!$H$23,
IF(Y324=regle!$I$11,regle!$I$23,
IF(Y324=regle!$J$11,regle!$J$23,
IF(Y324=regle!$K$11,regle!$K$23,0))))))))))))</f>
        <v>102.91200000000001</v>
      </c>
      <c r="AJ324" s="17">
        <f>IF($A324,$J324*(IF(Z324=regle!$B$11,regle!$B$23*IF(AS324=-2,1+regle!$B$35,1),
IF(Z324=regle!$C$11,regle!$C$23,
IF(Z324=regle!$D$11,regle!$D$23,
IF(Z324=regle!$E$11,regle!$E$23,
IF(Z324=regle!$F$11,regle!$F$23,
IF(Z324=regle!$G$11,regle!$G$23,
IF(Z324=regle!$H$11,regle!$H$23,
IF(Z324=regle!$I$11,regle!$I$23,
IF(Z324=regle!$J$11,regle!$J$23,
IF(Z324=regle!$K$11,regle!$K$23,0))))))))))))</f>
        <v>0</v>
      </c>
      <c r="AK324" s="16">
        <f>IF(OR(Q324=regle!$J$11,Q324=regle!$K$11),-2,IF(Q324=regle!$B$11,0,IF(AK$1=$AK$1,IF($O324,-1,regle!$B$2-$M324),IF(AJ324=-1,-1,AJ324+1))))</f>
        <v>19</v>
      </c>
      <c r="AL324" s="16">
        <f>IF(OR(R324=regle!$J$11,R324=regle!$K$11),-2,IF(R324=regle!$B$11,0,IF(AL$1=$AK$1,IF($O324,-1,regle!$B$2-$M324),IF(AK324=-1,-1,AK324+1))))</f>
        <v>20</v>
      </c>
      <c r="AM324" s="16">
        <f>IF(OR(S324=regle!$J$11,S324=regle!$K$11),-2,IF(S324=regle!$B$11,0,IF(AM$1=$AK$1,IF($O324,-1,regle!$B$2-$M324),IF(AL324=-1,-1,AL324+1))))</f>
        <v>21</v>
      </c>
      <c r="AN324" s="16">
        <f>IF(OR(T324=regle!$J$11,T324=regle!$K$11),-2,IF(T324=regle!$B$11,0,IF(AN$1=$AK$1,IF($O324,-1,regle!$B$2-$M324),IF(AM324=-1,-1,AM324+1))))</f>
        <v>22</v>
      </c>
      <c r="AO324" s="16">
        <f>IF(OR(U324=regle!$J$11,U324=regle!$K$11),-2,IF(U324=regle!$B$11,0,IF(AO$1=$AK$1,IF($O324,-1,regle!$B$2-$M324),IF(AN324=-1,-1,AN324+1))))</f>
        <v>23</v>
      </c>
      <c r="AP324" s="16">
        <f>IF(OR(V324=regle!$J$11,V324=regle!$K$11),-2,IF(V324=regle!$B$11,0,IF(AP$1=$AK$1,IF($O324,-1,regle!$B$2-$M324),IF(AO324=-1,-1,AO324+1))))</f>
        <v>24</v>
      </c>
      <c r="AQ324" s="16">
        <f>IF(OR(W324=regle!$J$11,W324=regle!$K$11),-2,IF(W324=regle!$B$11,0,IF(AQ$1=$AK$1,IF($O324,-1,regle!$B$2-$M324),IF(AP324=-1,-1,AP324+1))))</f>
        <v>25</v>
      </c>
      <c r="AR324" s="16">
        <f>IF(OR(X324=regle!$J$11,X324=regle!$K$11),-2,IF(X324=regle!$B$11,0,IF(AR$1=$AK$1,IF($O324,-1,regle!$B$2-$M324),IF(AQ324=-1,-1,AQ324+1))))</f>
        <v>26</v>
      </c>
      <c r="AS324" s="16">
        <f>IF(OR(Y324=regle!$J$11,Y324=regle!$K$11),-2,IF(Y324=regle!$B$11,0,IF(AS$1=$AK$1,IF($O324,-1,regle!$B$2-$M324),IF(AR324=-1,-1,AR324+1))))</f>
        <v>27</v>
      </c>
      <c r="AT324" s="16">
        <f>IF(OR(Z324=regle!$J$11,Z324=regle!$K$11),-2,IF(Z324=regle!$B$11,0,IF(AT$1=$AK$1,IF($O324,-1,regle!$B$2-$M324),IF(AS324=-1,-1,AS324+1))))</f>
        <v>28</v>
      </c>
    </row>
    <row r="325" spans="1:46" x14ac:dyDescent="0.25">
      <c r="A325" t="b">
        <f>modif1!A325</f>
        <v>1</v>
      </c>
      <c r="B325">
        <f>ROW(modif1!B325)</f>
        <v>325</v>
      </c>
      <c r="C325" t="str">
        <f>modif1!C328</f>
        <v>202</v>
      </c>
      <c r="D325" t="str">
        <f>modif1!D325</f>
        <v>CABANAC-ET-VILLAGRAINS</v>
      </c>
      <c r="E325">
        <f>modif1!E325</f>
        <v>12</v>
      </c>
      <c r="F325" t="str">
        <f>modif1!F325</f>
        <v>LES JEANNOTS</v>
      </c>
      <c r="G325" t="str">
        <f>modif1!G325</f>
        <v>0D</v>
      </c>
      <c r="H325">
        <f>modif1!H325</f>
        <v>1437</v>
      </c>
      <c r="I325" t="str">
        <f>modif1!I325</f>
        <v>k</v>
      </c>
      <c r="J325" s="11">
        <f>modif1!J325</f>
        <v>4.36E-2</v>
      </c>
      <c r="K325" t="str">
        <f>modif1!K325</f>
        <v>PLA</v>
      </c>
      <c r="L325" t="str">
        <f>modif1!L325</f>
        <v>PM</v>
      </c>
      <c r="M325">
        <f>modif1!M325</f>
        <v>2005</v>
      </c>
      <c r="N325" t="str">
        <f>modif1!N325</f>
        <v>PLA-PM_2005</v>
      </c>
      <c r="O325" t="b">
        <f>modif1!O325</f>
        <v>0</v>
      </c>
      <c r="P325">
        <v>40</v>
      </c>
      <c r="T325" t="s">
        <v>1805</v>
      </c>
      <c r="Y325" t="s">
        <v>1806</v>
      </c>
      <c r="Z325"/>
      <c r="AA325" s="17">
        <f>IF($A325,$J325*(IF(Q325=regle!$B$11,regle!$B$23*IF(AJ325=-2,1+regle!$B$35,1),
IF(Q325=regle!$C$11,regle!$C$23,
IF(Q325=regle!$D$11,regle!$D$23,
IF(Q325=regle!$E$11,regle!$E$23,
IF(Q325=regle!$F$11,regle!$F$23,
IF(Q325=regle!$G$11,regle!$G$23,
IF(Q325=regle!$H$11,regle!$H$23,
IF(Q325=regle!$I$11,regle!$I$23,
IF(Q325=regle!$J$11,regle!$J$23,
IF(Q325=regle!$K$11,regle!$K$23,0))))))))))))</f>
        <v>0</v>
      </c>
      <c r="AB325" s="17">
        <f>IF($A325,$J325*(IF(R325=regle!$B$11,regle!$B$23*IF(AK325=-2,1+regle!$B$35,1),
IF(R325=regle!$C$11,regle!$C$23,
IF(R325=regle!$D$11,regle!$D$23,
IF(R325=regle!$E$11,regle!$E$23,
IF(R325=regle!$F$11,regle!$F$23,
IF(R325=regle!$G$11,regle!$G$23,
IF(R325=regle!$H$11,regle!$H$23,
IF(R325=regle!$I$11,regle!$I$23,
IF(R325=regle!$J$11,regle!$J$23,
IF(R325=regle!$K$11,regle!$K$23,0))))))))))))</f>
        <v>0</v>
      </c>
      <c r="AC325" s="17">
        <f>IF($A325,$J325*(IF(S325=regle!$B$11,regle!$B$23*IF(AL325=-2,1+regle!$B$35,1),
IF(S325=regle!$C$11,regle!$C$23,
IF(S325=regle!$D$11,regle!$D$23,
IF(S325=regle!$E$11,regle!$E$23,
IF(S325=regle!$F$11,regle!$F$23,
IF(S325=regle!$G$11,regle!$G$23,
IF(S325=regle!$H$11,regle!$H$23,
IF(S325=regle!$I$11,regle!$I$23,
IF(S325=regle!$J$11,regle!$J$23,
IF(S325=regle!$K$11,regle!$K$23,0))))))))))))</f>
        <v>0</v>
      </c>
      <c r="AD325" s="17">
        <f>IF($A325,$J325*(IF(T325=regle!$B$11,regle!$B$23*IF(AM325=-2,1+regle!$B$35,1),
IF(T325=regle!$C$11,regle!$C$23,
IF(T325=regle!$D$11,regle!$D$23,
IF(T325=regle!$E$11,regle!$E$23,
IF(T325=regle!$F$11,regle!$F$23,
IF(T325=regle!$G$11,regle!$G$23,
IF(T325=regle!$H$11,regle!$H$23,
IF(T325=regle!$I$11,regle!$I$23,
IF(T325=regle!$J$11,regle!$J$23,
IF(T325=regle!$K$11,regle!$K$23,0))))))))))))</f>
        <v>61.388800000000003</v>
      </c>
      <c r="AE325" s="17">
        <f>IF($A325,$J325*(IF(U325=regle!$B$11,regle!$B$23*IF(AN325=-2,1+regle!$B$35,1),
IF(U325=regle!$C$11,regle!$C$23,
IF(U325=regle!$D$11,regle!$D$23,
IF(U325=regle!$E$11,regle!$E$23,
IF(U325=regle!$F$11,regle!$F$23,
IF(U325=regle!$G$11,regle!$G$23,
IF(U325=regle!$H$11,regle!$H$23,
IF(U325=regle!$I$11,regle!$I$23,
IF(U325=regle!$J$11,regle!$J$23,
IF(U325=regle!$K$11,regle!$K$23,0))))))))))))</f>
        <v>0</v>
      </c>
      <c r="AF325" s="17">
        <f>IF($A325,$J325*(IF(V325=regle!$B$11,regle!$B$23*IF(AO325=-2,1+regle!$B$35,1),
IF(V325=regle!$C$11,regle!$C$23,
IF(V325=regle!$D$11,regle!$D$23,
IF(V325=regle!$E$11,regle!$E$23,
IF(V325=regle!$F$11,regle!$F$23,
IF(V325=regle!$G$11,regle!$G$23,
IF(V325=regle!$H$11,regle!$H$23,
IF(V325=regle!$I$11,regle!$I$23,
IF(V325=regle!$J$11,regle!$J$23,
IF(V325=regle!$K$11,regle!$K$23,0))))))))))))</f>
        <v>0</v>
      </c>
      <c r="AG325" s="17">
        <f>IF($A325,$J325*(IF(W325=regle!$B$11,regle!$B$23*IF(AP325=-2,1+regle!$B$35,1),
IF(W325=regle!$C$11,regle!$C$23,
IF(W325=regle!$D$11,regle!$D$23,
IF(W325=regle!$E$11,regle!$E$23,
IF(W325=regle!$F$11,regle!$F$23,
IF(W325=regle!$G$11,regle!$G$23,
IF(W325=regle!$H$11,regle!$H$23,
IF(W325=regle!$I$11,regle!$I$23,
IF(W325=regle!$J$11,regle!$J$23,
IF(W325=regle!$K$11,regle!$K$23,0))))))))))))</f>
        <v>0</v>
      </c>
      <c r="AH325" s="17">
        <f>IF($A325,$J325*(IF(X325=regle!$B$11,regle!$B$23*IF(AQ325=-2,1+regle!$B$35,1),
IF(X325=regle!$C$11,regle!$C$23,
IF(X325=regle!$D$11,regle!$D$23,
IF(X325=regle!$E$11,regle!$E$23,
IF(X325=regle!$F$11,regle!$F$23,
IF(X325=regle!$G$11,regle!$G$23,
IF(X325=regle!$H$11,regle!$H$23,
IF(X325=regle!$I$11,regle!$I$23,
IF(X325=regle!$J$11,regle!$J$23,
IF(X325=regle!$K$11,regle!$K$23,0))))))))))))</f>
        <v>0</v>
      </c>
      <c r="AI325" s="17">
        <f>IF($A325,$J325*(IF(Y325=regle!$B$11,regle!$B$23*IF(AR325=-2,1+regle!$B$35,1),
IF(Y325=regle!$C$11,regle!$C$23,
IF(Y325=regle!$D$11,regle!$D$23,
IF(Y325=regle!$E$11,regle!$E$23,
IF(Y325=regle!$F$11,regle!$F$23,
IF(Y325=regle!$G$11,regle!$G$23,
IF(Y325=regle!$H$11,regle!$H$23,
IF(Y325=regle!$I$11,regle!$I$23,
IF(Y325=regle!$J$11,regle!$J$23,
IF(Y325=regle!$K$11,regle!$K$23,0))))))))))))</f>
        <v>55.808</v>
      </c>
      <c r="AJ325" s="17">
        <f>IF($A325,$J325*(IF(Z325=regle!$B$11,regle!$B$23*IF(AS325=-2,1+regle!$B$35,1),
IF(Z325=regle!$C$11,regle!$C$23,
IF(Z325=regle!$D$11,regle!$D$23,
IF(Z325=regle!$E$11,regle!$E$23,
IF(Z325=regle!$F$11,regle!$F$23,
IF(Z325=regle!$G$11,regle!$G$23,
IF(Z325=regle!$H$11,regle!$H$23,
IF(Z325=regle!$I$11,regle!$I$23,
IF(Z325=regle!$J$11,regle!$J$23,
IF(Z325=regle!$K$11,regle!$K$23,0))))))))))))</f>
        <v>0</v>
      </c>
      <c r="AK325" s="16">
        <f>IF(OR(Q325=regle!$J$11,Q325=regle!$K$11),-2,IF(Q325=regle!$B$11,0,IF(AK$1=$AK$1,IF($O325,-1,regle!$B$2-$M325),IF(AJ325=-1,-1,AJ325+1))))</f>
        <v>19</v>
      </c>
      <c r="AL325" s="16">
        <f>IF(OR(R325=regle!$J$11,R325=regle!$K$11),-2,IF(R325=regle!$B$11,0,IF(AL$1=$AK$1,IF($O325,-1,regle!$B$2-$M325),IF(AK325=-1,-1,AK325+1))))</f>
        <v>20</v>
      </c>
      <c r="AM325" s="16">
        <f>IF(OR(S325=regle!$J$11,S325=regle!$K$11),-2,IF(S325=regle!$B$11,0,IF(AM$1=$AK$1,IF($O325,-1,regle!$B$2-$M325),IF(AL325=-1,-1,AL325+1))))</f>
        <v>21</v>
      </c>
      <c r="AN325" s="16">
        <f>IF(OR(T325=regle!$J$11,T325=regle!$K$11),-2,IF(T325=regle!$B$11,0,IF(AN$1=$AK$1,IF($O325,-1,regle!$B$2-$M325),IF(AM325=-1,-1,AM325+1))))</f>
        <v>22</v>
      </c>
      <c r="AO325" s="16">
        <f>IF(OR(U325=regle!$J$11,U325=regle!$K$11),-2,IF(U325=regle!$B$11,0,IF(AO$1=$AK$1,IF($O325,-1,regle!$B$2-$M325),IF(AN325=-1,-1,AN325+1))))</f>
        <v>23</v>
      </c>
      <c r="AP325" s="16">
        <f>IF(OR(V325=regle!$J$11,V325=regle!$K$11),-2,IF(V325=regle!$B$11,0,IF(AP$1=$AK$1,IF($O325,-1,regle!$B$2-$M325),IF(AO325=-1,-1,AO325+1))))</f>
        <v>24</v>
      </c>
      <c r="AQ325" s="16">
        <f>IF(OR(W325=regle!$J$11,W325=regle!$K$11),-2,IF(W325=regle!$B$11,0,IF(AQ$1=$AK$1,IF($O325,-1,regle!$B$2-$M325),IF(AP325=-1,-1,AP325+1))))</f>
        <v>25</v>
      </c>
      <c r="AR325" s="16">
        <f>IF(OR(X325=regle!$J$11,X325=regle!$K$11),-2,IF(X325=regle!$B$11,0,IF(AR$1=$AK$1,IF($O325,-1,regle!$B$2-$M325),IF(AQ325=-1,-1,AQ325+1))))</f>
        <v>26</v>
      </c>
      <c r="AS325" s="16">
        <f>IF(OR(Y325=regle!$J$11,Y325=regle!$K$11),-2,IF(Y325=regle!$B$11,0,IF(AS$1=$AK$1,IF($O325,-1,regle!$B$2-$M325),IF(AR325=-1,-1,AR325+1))))</f>
        <v>27</v>
      </c>
      <c r="AT325" s="16">
        <f>IF(OR(Z325=regle!$J$11,Z325=regle!$K$11),-2,IF(Z325=regle!$B$11,0,IF(AT$1=$AK$1,IF($O325,-1,regle!$B$2-$M325),IF(AS325=-1,-1,AS325+1))))</f>
        <v>28</v>
      </c>
    </row>
    <row r="326" spans="1:46" x14ac:dyDescent="0.25">
      <c r="A326" t="b">
        <f>modif1!A326</f>
        <v>1</v>
      </c>
      <c r="B326">
        <f>ROW(modif1!B326)</f>
        <v>326</v>
      </c>
      <c r="C326" t="str">
        <f>modif1!C329</f>
        <v>202</v>
      </c>
      <c r="D326" t="str">
        <f>modif1!D326</f>
        <v>LE TUZAN</v>
      </c>
      <c r="E326">
        <f>modif1!E326</f>
        <v>21</v>
      </c>
      <c r="F326" t="str">
        <f>modif1!F326</f>
        <v>METAIRIES DE TABARTON</v>
      </c>
      <c r="G326" t="str">
        <f>modif1!G326</f>
        <v>0A</v>
      </c>
      <c r="H326">
        <f>modif1!H326</f>
        <v>406</v>
      </c>
      <c r="I326" t="str">
        <f>modif1!I326</f>
        <v/>
      </c>
      <c r="J326" s="11">
        <f>modif1!J326</f>
        <v>1.7999999999999999E-2</v>
      </c>
      <c r="K326" t="str">
        <f>modif1!K326</f>
        <v>PLA</v>
      </c>
      <c r="L326" t="str">
        <f>modif1!L326</f>
        <v>PM</v>
      </c>
      <c r="M326">
        <f>modif1!M326</f>
        <v>2005</v>
      </c>
      <c r="N326" t="str">
        <f>modif1!N326</f>
        <v>PLA-PM_2005</v>
      </c>
      <c r="O326" t="b">
        <f>modif1!O326</f>
        <v>0</v>
      </c>
      <c r="P326">
        <v>40</v>
      </c>
      <c r="T326" t="s">
        <v>1805</v>
      </c>
      <c r="Y326" t="s">
        <v>1806</v>
      </c>
      <c r="Z326"/>
      <c r="AA326" s="17">
        <f>IF($A326,$J326*(IF(Q326=regle!$B$11,regle!$B$23*IF(AJ326=-2,1+regle!$B$35,1),
IF(Q326=regle!$C$11,regle!$C$23,
IF(Q326=regle!$D$11,regle!$D$23,
IF(Q326=regle!$E$11,regle!$E$23,
IF(Q326=regle!$F$11,regle!$F$23,
IF(Q326=regle!$G$11,regle!$G$23,
IF(Q326=regle!$H$11,regle!$H$23,
IF(Q326=regle!$I$11,regle!$I$23,
IF(Q326=regle!$J$11,regle!$J$23,
IF(Q326=regle!$K$11,regle!$K$23,0))))))))))))</f>
        <v>0</v>
      </c>
      <c r="AB326" s="17">
        <f>IF($A326,$J326*(IF(R326=regle!$B$11,regle!$B$23*IF(AK326=-2,1+regle!$B$35,1),
IF(R326=regle!$C$11,regle!$C$23,
IF(R326=regle!$D$11,regle!$D$23,
IF(R326=regle!$E$11,regle!$E$23,
IF(R326=regle!$F$11,regle!$F$23,
IF(R326=regle!$G$11,regle!$G$23,
IF(R326=regle!$H$11,regle!$H$23,
IF(R326=regle!$I$11,regle!$I$23,
IF(R326=regle!$J$11,regle!$J$23,
IF(R326=regle!$K$11,regle!$K$23,0))))))))))))</f>
        <v>0</v>
      </c>
      <c r="AC326" s="17">
        <f>IF($A326,$J326*(IF(S326=regle!$B$11,regle!$B$23*IF(AL326=-2,1+regle!$B$35,1),
IF(S326=regle!$C$11,regle!$C$23,
IF(S326=regle!$D$11,regle!$D$23,
IF(S326=regle!$E$11,regle!$E$23,
IF(S326=regle!$F$11,regle!$F$23,
IF(S326=regle!$G$11,regle!$G$23,
IF(S326=regle!$H$11,regle!$H$23,
IF(S326=regle!$I$11,regle!$I$23,
IF(S326=regle!$J$11,regle!$J$23,
IF(S326=regle!$K$11,regle!$K$23,0))))))))))))</f>
        <v>0</v>
      </c>
      <c r="AD326" s="17">
        <f>IF($A326,$J326*(IF(T326=regle!$B$11,regle!$B$23*IF(AM326=-2,1+regle!$B$35,1),
IF(T326=regle!$C$11,regle!$C$23,
IF(T326=regle!$D$11,regle!$D$23,
IF(T326=regle!$E$11,regle!$E$23,
IF(T326=regle!$F$11,regle!$F$23,
IF(T326=regle!$G$11,regle!$G$23,
IF(T326=regle!$H$11,regle!$H$23,
IF(T326=regle!$I$11,regle!$I$23,
IF(T326=regle!$J$11,regle!$J$23,
IF(T326=regle!$K$11,regle!$K$23,0))))))))))))</f>
        <v>25.343999999999998</v>
      </c>
      <c r="AE326" s="17">
        <f>IF($A326,$J326*(IF(U326=regle!$B$11,regle!$B$23*IF(AN326=-2,1+regle!$B$35,1),
IF(U326=regle!$C$11,regle!$C$23,
IF(U326=regle!$D$11,regle!$D$23,
IF(U326=regle!$E$11,regle!$E$23,
IF(U326=regle!$F$11,regle!$F$23,
IF(U326=regle!$G$11,regle!$G$23,
IF(U326=regle!$H$11,regle!$H$23,
IF(U326=regle!$I$11,regle!$I$23,
IF(U326=regle!$J$11,regle!$J$23,
IF(U326=regle!$K$11,regle!$K$23,0))))))))))))</f>
        <v>0</v>
      </c>
      <c r="AF326" s="17">
        <f>IF($A326,$J326*(IF(V326=regle!$B$11,regle!$B$23*IF(AO326=-2,1+regle!$B$35,1),
IF(V326=regle!$C$11,regle!$C$23,
IF(V326=regle!$D$11,regle!$D$23,
IF(V326=regle!$E$11,regle!$E$23,
IF(V326=regle!$F$11,regle!$F$23,
IF(V326=regle!$G$11,regle!$G$23,
IF(V326=regle!$H$11,regle!$H$23,
IF(V326=regle!$I$11,regle!$I$23,
IF(V326=regle!$J$11,regle!$J$23,
IF(V326=regle!$K$11,regle!$K$23,0))))))))))))</f>
        <v>0</v>
      </c>
      <c r="AG326" s="17">
        <f>IF($A326,$J326*(IF(W326=regle!$B$11,regle!$B$23*IF(AP326=-2,1+regle!$B$35,1),
IF(W326=regle!$C$11,regle!$C$23,
IF(W326=regle!$D$11,regle!$D$23,
IF(W326=regle!$E$11,regle!$E$23,
IF(W326=regle!$F$11,regle!$F$23,
IF(W326=regle!$G$11,regle!$G$23,
IF(W326=regle!$H$11,regle!$H$23,
IF(W326=regle!$I$11,regle!$I$23,
IF(W326=regle!$J$11,regle!$J$23,
IF(W326=regle!$K$11,regle!$K$23,0))))))))))))</f>
        <v>0</v>
      </c>
      <c r="AH326" s="17">
        <f>IF($A326,$J326*(IF(X326=regle!$B$11,regle!$B$23*IF(AQ326=-2,1+regle!$B$35,1),
IF(X326=regle!$C$11,regle!$C$23,
IF(X326=regle!$D$11,regle!$D$23,
IF(X326=regle!$E$11,regle!$E$23,
IF(X326=regle!$F$11,regle!$F$23,
IF(X326=regle!$G$11,regle!$G$23,
IF(X326=regle!$H$11,regle!$H$23,
IF(X326=regle!$I$11,regle!$I$23,
IF(X326=regle!$J$11,regle!$J$23,
IF(X326=regle!$K$11,regle!$K$23,0))))))))))))</f>
        <v>0</v>
      </c>
      <c r="AI326" s="17">
        <f>IF($A326,$J326*(IF(Y326=regle!$B$11,regle!$B$23*IF(AR326=-2,1+regle!$B$35,1),
IF(Y326=regle!$C$11,regle!$C$23,
IF(Y326=regle!$D$11,regle!$D$23,
IF(Y326=regle!$E$11,regle!$E$23,
IF(Y326=regle!$F$11,regle!$F$23,
IF(Y326=regle!$G$11,regle!$G$23,
IF(Y326=regle!$H$11,regle!$H$23,
IF(Y326=regle!$I$11,regle!$I$23,
IF(Y326=regle!$J$11,regle!$J$23,
IF(Y326=regle!$K$11,regle!$K$23,0))))))))))))</f>
        <v>23.04</v>
      </c>
      <c r="AJ326" s="17">
        <f>IF($A326,$J326*(IF(Z326=regle!$B$11,regle!$B$23*IF(AS326=-2,1+regle!$B$35,1),
IF(Z326=regle!$C$11,regle!$C$23,
IF(Z326=regle!$D$11,regle!$D$23,
IF(Z326=regle!$E$11,regle!$E$23,
IF(Z326=regle!$F$11,regle!$F$23,
IF(Z326=regle!$G$11,regle!$G$23,
IF(Z326=regle!$H$11,regle!$H$23,
IF(Z326=regle!$I$11,regle!$I$23,
IF(Z326=regle!$J$11,regle!$J$23,
IF(Z326=regle!$K$11,regle!$K$23,0))))))))))))</f>
        <v>0</v>
      </c>
      <c r="AK326" s="16">
        <f>IF(OR(Q326=regle!$J$11,Q326=regle!$K$11),-2,IF(Q326=regle!$B$11,0,IF(AK$1=$AK$1,IF($O326,-1,regle!$B$2-$M326),IF(AJ326=-1,-1,AJ326+1))))</f>
        <v>19</v>
      </c>
      <c r="AL326" s="16">
        <f>IF(OR(R326=regle!$J$11,R326=regle!$K$11),-2,IF(R326=regle!$B$11,0,IF(AL$1=$AK$1,IF($O326,-1,regle!$B$2-$M326),IF(AK326=-1,-1,AK326+1))))</f>
        <v>20</v>
      </c>
      <c r="AM326" s="16">
        <f>IF(OR(S326=regle!$J$11,S326=regle!$K$11),-2,IF(S326=regle!$B$11,0,IF(AM$1=$AK$1,IF($O326,-1,regle!$B$2-$M326),IF(AL326=-1,-1,AL326+1))))</f>
        <v>21</v>
      </c>
      <c r="AN326" s="16">
        <f>IF(OR(T326=regle!$J$11,T326=regle!$K$11),-2,IF(T326=regle!$B$11,0,IF(AN$1=$AK$1,IF($O326,-1,regle!$B$2-$M326),IF(AM326=-1,-1,AM326+1))))</f>
        <v>22</v>
      </c>
      <c r="AO326" s="16">
        <f>IF(OR(U326=regle!$J$11,U326=regle!$K$11),-2,IF(U326=regle!$B$11,0,IF(AO$1=$AK$1,IF($O326,-1,regle!$B$2-$M326),IF(AN326=-1,-1,AN326+1))))</f>
        <v>23</v>
      </c>
      <c r="AP326" s="16">
        <f>IF(OR(V326=regle!$J$11,V326=regle!$K$11),-2,IF(V326=regle!$B$11,0,IF(AP$1=$AK$1,IF($O326,-1,regle!$B$2-$M326),IF(AO326=-1,-1,AO326+1))))</f>
        <v>24</v>
      </c>
      <c r="AQ326" s="16">
        <f>IF(OR(W326=regle!$J$11,W326=regle!$K$11),-2,IF(W326=regle!$B$11,0,IF(AQ$1=$AK$1,IF($O326,-1,regle!$B$2-$M326),IF(AP326=-1,-1,AP326+1))))</f>
        <v>25</v>
      </c>
      <c r="AR326" s="16">
        <f>IF(OR(X326=regle!$J$11,X326=regle!$K$11),-2,IF(X326=regle!$B$11,0,IF(AR$1=$AK$1,IF($O326,-1,regle!$B$2-$M326),IF(AQ326=-1,-1,AQ326+1))))</f>
        <v>26</v>
      </c>
      <c r="AS326" s="16">
        <f>IF(OR(Y326=regle!$J$11,Y326=regle!$K$11),-2,IF(Y326=regle!$B$11,0,IF(AS$1=$AK$1,IF($O326,-1,regle!$B$2-$M326),IF(AR326=-1,-1,AR326+1))))</f>
        <v>27</v>
      </c>
      <c r="AT326" s="16">
        <f>IF(OR(Z326=regle!$J$11,Z326=regle!$K$11),-2,IF(Z326=regle!$B$11,0,IF(AT$1=$AK$1,IF($O326,-1,regle!$B$2-$M326),IF(AS326=-1,-1,AS326+1))))</f>
        <v>28</v>
      </c>
    </row>
    <row r="327" spans="1:46" x14ac:dyDescent="0.25">
      <c r="A327" t="b">
        <f>modif1!A327</f>
        <v>1</v>
      </c>
      <c r="B327">
        <f>ROW(modif1!B327)</f>
        <v>327</v>
      </c>
      <c r="C327" t="str">
        <f>modif1!C330</f>
        <v>202</v>
      </c>
      <c r="D327" t="str">
        <f>modif1!D327</f>
        <v>HOSTENS</v>
      </c>
      <c r="E327">
        <f>modif1!E327</f>
        <v>13</v>
      </c>
      <c r="F327" t="str">
        <f>modif1!F327</f>
        <v>LA BROUSTETTE</v>
      </c>
      <c r="G327" t="str">
        <f>modif1!G327</f>
        <v>0B</v>
      </c>
      <c r="H327">
        <f>modif1!H327</f>
        <v>1249</v>
      </c>
      <c r="I327" t="str">
        <f>modif1!I327</f>
        <v>m</v>
      </c>
      <c r="J327" s="11">
        <f>modif1!J327</f>
        <v>5.0457999999999998</v>
      </c>
      <c r="K327" t="str">
        <f>modif1!K327</f>
        <v>PLA</v>
      </c>
      <c r="L327" t="str">
        <f>modif1!L327</f>
        <v>PM</v>
      </c>
      <c r="M327">
        <f>modif1!M327</f>
        <v>2004</v>
      </c>
      <c r="N327" t="str">
        <f>modif1!N327</f>
        <v>PLA-PM_2004</v>
      </c>
      <c r="O327" t="b">
        <f>modif1!O327</f>
        <v>0</v>
      </c>
      <c r="P327">
        <v>25</v>
      </c>
      <c r="V327" t="s">
        <v>1181</v>
      </c>
      <c r="W327" s="22"/>
      <c r="X327" t="s">
        <v>1868</v>
      </c>
      <c r="Z327"/>
      <c r="AA327" s="17">
        <f>IF($A327,$J327*(IF(Q327=regle!$B$11,regle!$B$23*IF(AJ327=-2,1+regle!$B$35,1),
IF(Q327=regle!$C$11,regle!$C$23,
IF(Q327=regle!$D$11,regle!$D$23,
IF(Q327=regle!$E$11,regle!$E$23,
IF(Q327=regle!$F$11,regle!$F$23,
IF(Q327=regle!$G$11,regle!$G$23,
IF(Q327=regle!$H$11,regle!$H$23,
IF(Q327=regle!$I$11,regle!$I$23,
IF(Q327=regle!$J$11,regle!$J$23,
IF(Q327=regle!$K$11,regle!$K$23,0))))))))))))</f>
        <v>0</v>
      </c>
      <c r="AB327" s="17">
        <f>IF($A327,$J327*(IF(R327=regle!$B$11,regle!$B$23*IF(AK327=-2,1+regle!$B$35,1),
IF(R327=regle!$C$11,regle!$C$23,
IF(R327=regle!$D$11,regle!$D$23,
IF(R327=regle!$E$11,regle!$E$23,
IF(R327=regle!$F$11,regle!$F$23,
IF(R327=regle!$G$11,regle!$G$23,
IF(R327=regle!$H$11,regle!$H$23,
IF(R327=regle!$I$11,regle!$I$23,
IF(R327=regle!$J$11,regle!$J$23,
IF(R327=regle!$K$11,regle!$K$23,0))))))))))))</f>
        <v>0</v>
      </c>
      <c r="AC327" s="17">
        <f>IF($A327,$J327*(IF(S327=regle!$B$11,regle!$B$23*IF(AL327=-2,1+regle!$B$35,1),
IF(S327=regle!$C$11,regle!$C$23,
IF(S327=regle!$D$11,regle!$D$23,
IF(S327=regle!$E$11,regle!$E$23,
IF(S327=regle!$F$11,regle!$F$23,
IF(S327=regle!$G$11,regle!$G$23,
IF(S327=regle!$H$11,regle!$H$23,
IF(S327=regle!$I$11,regle!$I$23,
IF(S327=regle!$J$11,regle!$J$23,
IF(S327=regle!$K$11,regle!$K$23,0))))))))))))</f>
        <v>0</v>
      </c>
      <c r="AD327" s="17">
        <f>IF($A327,$J327*(IF(T327=regle!$B$11,regle!$B$23*IF(AM327=-2,1+regle!$B$35,1),
IF(T327=regle!$C$11,regle!$C$23,
IF(T327=regle!$D$11,regle!$D$23,
IF(T327=regle!$E$11,regle!$E$23,
IF(T327=regle!$F$11,regle!$F$23,
IF(T327=regle!$G$11,regle!$G$23,
IF(T327=regle!$H$11,regle!$H$23,
IF(T327=regle!$I$11,regle!$I$23,
IF(T327=regle!$J$11,regle!$J$23,
IF(T327=regle!$K$11,regle!$K$23,0))))))))))))</f>
        <v>0</v>
      </c>
      <c r="AE327" s="17">
        <f>IF($A327,$J327*(IF(U327=regle!$B$11,regle!$B$23*IF(AN327=-2,1+regle!$B$35,1),
IF(U327=regle!$C$11,regle!$C$23,
IF(U327=regle!$D$11,regle!$D$23,
IF(U327=regle!$E$11,regle!$E$23,
IF(U327=regle!$F$11,regle!$F$23,
IF(U327=regle!$G$11,regle!$G$23,
IF(U327=regle!$H$11,regle!$H$23,
IF(U327=regle!$I$11,regle!$I$23,
IF(U327=regle!$J$11,regle!$J$23,
IF(U327=regle!$K$11,regle!$K$23,0))))))))))))</f>
        <v>0</v>
      </c>
      <c r="AF327" s="17">
        <f>IF($A327,$J327*(IF(V327=regle!$B$11,regle!$B$23*IF(AO327=-2,1+regle!$B$35,1),
IF(V327=regle!$C$11,regle!$C$23,
IF(V327=regle!$D$11,regle!$D$23,
IF(V327=regle!$E$11,regle!$E$23,
IF(V327=regle!$F$11,regle!$F$23,
IF(V327=regle!$G$11,regle!$G$23,
IF(V327=regle!$H$11,regle!$H$23,
IF(V327=regle!$I$11,regle!$I$23,
IF(V327=regle!$J$11,regle!$J$23,
IF(V327=regle!$K$11,regle!$K$23,0))))))))))))</f>
        <v>26238.16</v>
      </c>
      <c r="AG327" s="17">
        <f>IF($A327,$J327*(IF(W327=regle!$B$11,regle!$B$23*IF(AP327=-2,1+regle!$B$35,1),
IF(W327=regle!$C$11,regle!$C$23,
IF(W327=regle!$D$11,regle!$D$23,
IF(W327=regle!$E$11,regle!$E$23,
IF(W327=regle!$F$11,regle!$F$23,
IF(W327=regle!$G$11,regle!$G$23,
IF(W327=regle!$H$11,regle!$H$23,
IF(W327=regle!$I$11,regle!$I$23,
IF(W327=regle!$J$11,regle!$J$23,
IF(W327=regle!$K$11,regle!$K$23,0))))))))))))</f>
        <v>0</v>
      </c>
      <c r="AH327" s="17">
        <f>IF($A327,$J327*(IF(X327=regle!$B$11,regle!$B$23*IF(AQ327=-2,1+regle!$B$35,1),
IF(X327=regle!$C$11,regle!$C$23,
IF(X327=regle!$D$11,regle!$D$23,
IF(X327=regle!$E$11,regle!$E$23,
IF(X327=regle!$F$11,regle!$F$23,
IF(X327=regle!$G$11,regle!$G$23,
IF(X327=regle!$H$11,regle!$H$23,
IF(X327=regle!$I$11,regle!$I$23,
IF(X327=regle!$J$11,regle!$J$23,
IF(X327=regle!$K$11,regle!$K$23,0))))))))))))</f>
        <v>-8577.86</v>
      </c>
      <c r="AI327" s="17">
        <f>IF($A327,$J327*(IF(Y327=regle!$B$11,regle!$B$23*IF(AR327=-2,1+regle!$B$35,1),
IF(Y327=regle!$C$11,regle!$C$23,
IF(Y327=regle!$D$11,regle!$D$23,
IF(Y327=regle!$E$11,regle!$E$23,
IF(Y327=regle!$F$11,regle!$F$23,
IF(Y327=regle!$G$11,regle!$G$23,
IF(Y327=regle!$H$11,regle!$H$23,
IF(Y327=regle!$I$11,regle!$I$23,
IF(Y327=regle!$J$11,regle!$J$23,
IF(Y327=regle!$K$11,regle!$K$23,0))))))))))))</f>
        <v>0</v>
      </c>
      <c r="AJ327" s="17">
        <f>IF($A327,$J327*(IF(Z327=regle!$B$11,regle!$B$23*IF(AS327=-2,1+regle!$B$35,1),
IF(Z327=regle!$C$11,regle!$C$23,
IF(Z327=regle!$D$11,regle!$D$23,
IF(Z327=regle!$E$11,regle!$E$23,
IF(Z327=regle!$F$11,regle!$F$23,
IF(Z327=regle!$G$11,regle!$G$23,
IF(Z327=regle!$H$11,regle!$H$23,
IF(Z327=regle!$I$11,regle!$I$23,
IF(Z327=regle!$J$11,regle!$J$23,
IF(Z327=regle!$K$11,regle!$K$23,0))))))))))))</f>
        <v>0</v>
      </c>
      <c r="AK327" s="16">
        <f>IF(OR(Q327=regle!$J$11,Q327=regle!$K$11),-2,IF(Q327=regle!$B$11,0,IF(AK$1=$AK$1,IF($O327,-1,regle!$B$2-$M327),IF(AJ327=-1,-1,AJ327+1))))</f>
        <v>20</v>
      </c>
      <c r="AL327" s="16">
        <f>IF(OR(R327=regle!$J$11,R327=regle!$K$11),-2,IF(R327=regle!$B$11,0,IF(AL$1=$AK$1,IF($O327,-1,regle!$B$2-$M327),IF(AK327=-1,-1,AK327+1))))</f>
        <v>21</v>
      </c>
      <c r="AM327" s="16">
        <f>IF(OR(S327=regle!$J$11,S327=regle!$K$11),-2,IF(S327=regle!$B$11,0,IF(AM$1=$AK$1,IF($O327,-1,regle!$B$2-$M327),IF(AL327=-1,-1,AL327+1))))</f>
        <v>22</v>
      </c>
      <c r="AN327" s="16">
        <f>IF(OR(T327=regle!$J$11,T327=regle!$K$11),-2,IF(T327=regle!$B$11,0,IF(AN$1=$AK$1,IF($O327,-1,regle!$B$2-$M327),IF(AM327=-1,-1,AM327+1))))</f>
        <v>23</v>
      </c>
      <c r="AO327" s="16">
        <f>IF(OR(U327=regle!$J$11,U327=regle!$K$11),-2,IF(U327=regle!$B$11,0,IF(AO$1=$AK$1,IF($O327,-1,regle!$B$2-$M327),IF(AN327=-1,-1,AN327+1))))</f>
        <v>24</v>
      </c>
      <c r="AP327" s="16">
        <f>IF(OR(V327=regle!$J$11,V327=regle!$K$11),-2,IF(V327=regle!$B$11,0,IF(AP$1=$AK$1,IF($O327,-1,regle!$B$2-$M327),IF(AO327=-1,-1,AO327+1))))</f>
        <v>-2</v>
      </c>
      <c r="AQ327" s="16">
        <f>IF(OR(W327=regle!$J$11,W327=regle!$K$11),-2,IF(W327=regle!$B$11,0,IF(AQ$1=$AK$1,IF($O327,-1,regle!$B$2-$M327),IF(AP327=-1,-1,AP327+1))))</f>
        <v>-1</v>
      </c>
      <c r="AR327" s="16">
        <f>IF(OR(X327=regle!$J$11,X327=regle!$K$11),-2,IF(X327=regle!$B$11,0,IF(AR$1=$AK$1,IF($O327,-1,regle!$B$2-$M327),IF(AQ327=-1,-1,AQ327+1))))</f>
        <v>0</v>
      </c>
      <c r="AS327" s="16">
        <f>IF(OR(Y327=regle!$J$11,Y327=regle!$K$11),-2,IF(Y327=regle!$B$11,0,IF(AS$1=$AK$1,IF($O327,-1,regle!$B$2-$M327),IF(AR327=-1,-1,AR327+1))))</f>
        <v>1</v>
      </c>
      <c r="AT327" s="16">
        <f>IF(OR(Z327=regle!$J$11,Z327=regle!$K$11),-2,IF(Z327=regle!$B$11,0,IF(AT$1=$AK$1,IF($O327,-1,regle!$B$2-$M327),IF(AS327=-1,-1,AS327+1))))</f>
        <v>2</v>
      </c>
    </row>
    <row r="328" spans="1:46" x14ac:dyDescent="0.25">
      <c r="A328" t="b">
        <f>modif1!A328</f>
        <v>1</v>
      </c>
      <c r="B328">
        <f>ROW(modif1!B328)</f>
        <v>328</v>
      </c>
      <c r="C328" t="str">
        <f>modif1!C331</f>
        <v>202</v>
      </c>
      <c r="D328" t="str">
        <f>modif1!D328</f>
        <v>HOSTENS</v>
      </c>
      <c r="E328">
        <f>modif1!E328</f>
        <v>11</v>
      </c>
      <c r="F328" t="str">
        <f>modif1!F328</f>
        <v>LES CAZALAS</v>
      </c>
      <c r="G328" t="str">
        <f>modif1!G328</f>
        <v>0B</v>
      </c>
      <c r="H328">
        <f>modif1!H328</f>
        <v>1152</v>
      </c>
      <c r="I328" t="str">
        <f>modif1!I328</f>
        <v>j</v>
      </c>
      <c r="J328" s="11">
        <f>modif1!J328</f>
        <v>4.2347999999999999</v>
      </c>
      <c r="K328" t="str">
        <f>modif1!K328</f>
        <v>PLA</v>
      </c>
      <c r="L328" t="str">
        <f>modif1!L328</f>
        <v>PM</v>
      </c>
      <c r="M328">
        <f>modif1!M328</f>
        <v>2004</v>
      </c>
      <c r="N328" t="str">
        <f>modif1!N328</f>
        <v>PLA-PM_2004</v>
      </c>
      <c r="O328" t="b">
        <f>modif1!O328</f>
        <v>0</v>
      </c>
      <c r="P328">
        <v>25</v>
      </c>
      <c r="V328" t="s">
        <v>1181</v>
      </c>
      <c r="W328" s="22"/>
      <c r="X328" t="s">
        <v>1868</v>
      </c>
      <c r="Z328"/>
      <c r="AA328" s="17">
        <f>IF($A328,$J328*(IF(Q328=regle!$B$11,regle!$B$23*IF(AJ328=-2,1+regle!$B$35,1),
IF(Q328=regle!$C$11,regle!$C$23,
IF(Q328=regle!$D$11,regle!$D$23,
IF(Q328=regle!$E$11,regle!$E$23,
IF(Q328=regle!$F$11,regle!$F$23,
IF(Q328=regle!$G$11,regle!$G$23,
IF(Q328=regle!$H$11,regle!$H$23,
IF(Q328=regle!$I$11,regle!$I$23,
IF(Q328=regle!$J$11,regle!$J$23,
IF(Q328=regle!$K$11,regle!$K$23,0))))))))))))</f>
        <v>0</v>
      </c>
      <c r="AB328" s="17">
        <f>IF($A328,$J328*(IF(R328=regle!$B$11,regle!$B$23*IF(AK328=-2,1+regle!$B$35,1),
IF(R328=regle!$C$11,regle!$C$23,
IF(R328=regle!$D$11,regle!$D$23,
IF(R328=regle!$E$11,regle!$E$23,
IF(R328=regle!$F$11,regle!$F$23,
IF(R328=regle!$G$11,regle!$G$23,
IF(R328=regle!$H$11,regle!$H$23,
IF(R328=regle!$I$11,regle!$I$23,
IF(R328=regle!$J$11,regle!$J$23,
IF(R328=regle!$K$11,regle!$K$23,0))))))))))))</f>
        <v>0</v>
      </c>
      <c r="AC328" s="17">
        <f>IF($A328,$J328*(IF(S328=regle!$B$11,regle!$B$23*IF(AL328=-2,1+regle!$B$35,1),
IF(S328=regle!$C$11,regle!$C$23,
IF(S328=regle!$D$11,regle!$D$23,
IF(S328=regle!$E$11,regle!$E$23,
IF(S328=regle!$F$11,regle!$F$23,
IF(S328=regle!$G$11,regle!$G$23,
IF(S328=regle!$H$11,regle!$H$23,
IF(S328=regle!$I$11,regle!$I$23,
IF(S328=regle!$J$11,regle!$J$23,
IF(S328=regle!$K$11,regle!$K$23,0))))))))))))</f>
        <v>0</v>
      </c>
      <c r="AD328" s="17">
        <f>IF($A328,$J328*(IF(T328=regle!$B$11,regle!$B$23*IF(AM328=-2,1+regle!$B$35,1),
IF(T328=regle!$C$11,regle!$C$23,
IF(T328=regle!$D$11,regle!$D$23,
IF(T328=regle!$E$11,regle!$E$23,
IF(T328=regle!$F$11,regle!$F$23,
IF(T328=regle!$G$11,regle!$G$23,
IF(T328=regle!$H$11,regle!$H$23,
IF(T328=regle!$I$11,regle!$I$23,
IF(T328=regle!$J$11,regle!$J$23,
IF(T328=regle!$K$11,regle!$K$23,0))))))))))))</f>
        <v>0</v>
      </c>
      <c r="AE328" s="17">
        <f>IF($A328,$J328*(IF(U328=regle!$B$11,regle!$B$23*IF(AN328=-2,1+regle!$B$35,1),
IF(U328=regle!$C$11,regle!$C$23,
IF(U328=regle!$D$11,regle!$D$23,
IF(U328=regle!$E$11,regle!$E$23,
IF(U328=regle!$F$11,regle!$F$23,
IF(U328=regle!$G$11,regle!$G$23,
IF(U328=regle!$H$11,regle!$H$23,
IF(U328=regle!$I$11,regle!$I$23,
IF(U328=regle!$J$11,regle!$J$23,
IF(U328=regle!$K$11,regle!$K$23,0))))))))))))</f>
        <v>0</v>
      </c>
      <c r="AF328" s="17">
        <f>IF($A328,$J328*(IF(V328=regle!$B$11,regle!$B$23*IF(AO328=-2,1+regle!$B$35,1),
IF(V328=regle!$C$11,regle!$C$23,
IF(V328=regle!$D$11,regle!$D$23,
IF(V328=regle!$E$11,regle!$E$23,
IF(V328=regle!$F$11,regle!$F$23,
IF(V328=regle!$G$11,regle!$G$23,
IF(V328=regle!$H$11,regle!$H$23,
IF(V328=regle!$I$11,regle!$I$23,
IF(V328=regle!$J$11,regle!$J$23,
IF(V328=regle!$K$11,regle!$K$23,0))))))))))))</f>
        <v>22020.959999999999</v>
      </c>
      <c r="AG328" s="17">
        <f>IF($A328,$J328*(IF(W328=regle!$B$11,regle!$B$23*IF(AP328=-2,1+regle!$B$35,1),
IF(W328=regle!$C$11,regle!$C$23,
IF(W328=regle!$D$11,regle!$D$23,
IF(W328=regle!$E$11,regle!$E$23,
IF(W328=regle!$F$11,regle!$F$23,
IF(W328=regle!$G$11,regle!$G$23,
IF(W328=regle!$H$11,regle!$H$23,
IF(W328=regle!$I$11,regle!$I$23,
IF(W328=regle!$J$11,regle!$J$23,
IF(W328=regle!$K$11,regle!$K$23,0))))))))))))</f>
        <v>0</v>
      </c>
      <c r="AH328" s="17">
        <f>IF($A328,$J328*(IF(X328=regle!$B$11,regle!$B$23*IF(AQ328=-2,1+regle!$B$35,1),
IF(X328=regle!$C$11,regle!$C$23,
IF(X328=regle!$D$11,regle!$D$23,
IF(X328=regle!$E$11,regle!$E$23,
IF(X328=regle!$F$11,regle!$F$23,
IF(X328=regle!$G$11,regle!$G$23,
IF(X328=regle!$H$11,regle!$H$23,
IF(X328=regle!$I$11,regle!$I$23,
IF(X328=regle!$J$11,regle!$J$23,
IF(X328=regle!$K$11,regle!$K$23,0))))))))))))</f>
        <v>-7199.16</v>
      </c>
      <c r="AI328" s="17">
        <f>IF($A328,$J328*(IF(Y328=regle!$B$11,regle!$B$23*IF(AR328=-2,1+regle!$B$35,1),
IF(Y328=regle!$C$11,regle!$C$23,
IF(Y328=regle!$D$11,regle!$D$23,
IF(Y328=regle!$E$11,regle!$E$23,
IF(Y328=regle!$F$11,regle!$F$23,
IF(Y328=regle!$G$11,regle!$G$23,
IF(Y328=regle!$H$11,regle!$H$23,
IF(Y328=regle!$I$11,regle!$I$23,
IF(Y328=regle!$J$11,regle!$J$23,
IF(Y328=regle!$K$11,regle!$K$23,0))))))))))))</f>
        <v>0</v>
      </c>
      <c r="AJ328" s="17">
        <f>IF($A328,$J328*(IF(Z328=regle!$B$11,regle!$B$23*IF(AS328=-2,1+regle!$B$35,1),
IF(Z328=regle!$C$11,regle!$C$23,
IF(Z328=regle!$D$11,regle!$D$23,
IF(Z328=regle!$E$11,regle!$E$23,
IF(Z328=regle!$F$11,regle!$F$23,
IF(Z328=regle!$G$11,regle!$G$23,
IF(Z328=regle!$H$11,regle!$H$23,
IF(Z328=regle!$I$11,regle!$I$23,
IF(Z328=regle!$J$11,regle!$J$23,
IF(Z328=regle!$K$11,regle!$K$23,0))))))))))))</f>
        <v>0</v>
      </c>
      <c r="AK328" s="16">
        <f>IF(OR(Q328=regle!$J$11,Q328=regle!$K$11),-2,IF(Q328=regle!$B$11,0,IF(AK$1=$AK$1,IF($O328,-1,regle!$B$2-$M328),IF(AJ328=-1,-1,AJ328+1))))</f>
        <v>20</v>
      </c>
      <c r="AL328" s="16">
        <f>IF(OR(R328=regle!$J$11,R328=regle!$K$11),-2,IF(R328=regle!$B$11,0,IF(AL$1=$AK$1,IF($O328,-1,regle!$B$2-$M328),IF(AK328=-1,-1,AK328+1))))</f>
        <v>21</v>
      </c>
      <c r="AM328" s="16">
        <f>IF(OR(S328=regle!$J$11,S328=regle!$K$11),-2,IF(S328=regle!$B$11,0,IF(AM$1=$AK$1,IF($O328,-1,regle!$B$2-$M328),IF(AL328=-1,-1,AL328+1))))</f>
        <v>22</v>
      </c>
      <c r="AN328" s="16">
        <f>IF(OR(T328=regle!$J$11,T328=regle!$K$11),-2,IF(T328=regle!$B$11,0,IF(AN$1=$AK$1,IF($O328,-1,regle!$B$2-$M328),IF(AM328=-1,-1,AM328+1))))</f>
        <v>23</v>
      </c>
      <c r="AO328" s="16">
        <f>IF(OR(U328=regle!$J$11,U328=regle!$K$11),-2,IF(U328=regle!$B$11,0,IF(AO$1=$AK$1,IF($O328,-1,regle!$B$2-$M328),IF(AN328=-1,-1,AN328+1))))</f>
        <v>24</v>
      </c>
      <c r="AP328" s="16">
        <f>IF(OR(V328=regle!$J$11,V328=regle!$K$11),-2,IF(V328=regle!$B$11,0,IF(AP$1=$AK$1,IF($O328,-1,regle!$B$2-$M328),IF(AO328=-1,-1,AO328+1))))</f>
        <v>-2</v>
      </c>
      <c r="AQ328" s="16">
        <f>IF(OR(W328=regle!$J$11,W328=regle!$K$11),-2,IF(W328=regle!$B$11,0,IF(AQ$1=$AK$1,IF($O328,-1,regle!$B$2-$M328),IF(AP328=-1,-1,AP328+1))))</f>
        <v>-1</v>
      </c>
      <c r="AR328" s="16">
        <f>IF(OR(X328=regle!$J$11,X328=regle!$K$11),-2,IF(X328=regle!$B$11,0,IF(AR$1=$AK$1,IF($O328,-1,regle!$B$2-$M328),IF(AQ328=-1,-1,AQ328+1))))</f>
        <v>0</v>
      </c>
      <c r="AS328" s="16">
        <f>IF(OR(Y328=regle!$J$11,Y328=regle!$K$11),-2,IF(Y328=regle!$B$11,0,IF(AS$1=$AK$1,IF($O328,-1,regle!$B$2-$M328),IF(AR328=-1,-1,AR328+1))))</f>
        <v>1</v>
      </c>
      <c r="AT328" s="16">
        <f>IF(OR(Z328=regle!$J$11,Z328=regle!$K$11),-2,IF(Z328=regle!$B$11,0,IF(AT$1=$AK$1,IF($O328,-1,regle!$B$2-$M328),IF(AS328=-1,-1,AS328+1))))</f>
        <v>2</v>
      </c>
    </row>
    <row r="329" spans="1:46" x14ac:dyDescent="0.25">
      <c r="A329" t="b">
        <f>modif1!A329</f>
        <v>1</v>
      </c>
      <c r="B329">
        <f>ROW(modif1!B329)</f>
        <v>329</v>
      </c>
      <c r="C329" t="str">
        <f>modif1!C332</f>
        <v>202</v>
      </c>
      <c r="D329" t="str">
        <f>modif1!D329</f>
        <v>HOSTENS</v>
      </c>
      <c r="E329">
        <f>modif1!E329</f>
        <v>11</v>
      </c>
      <c r="F329" t="str">
        <f>modif1!F329</f>
        <v>LES CAZALAS</v>
      </c>
      <c r="G329" t="str">
        <f>modif1!G329</f>
        <v>0B</v>
      </c>
      <c r="H329">
        <f>modif1!H329</f>
        <v>1150</v>
      </c>
      <c r="I329" t="str">
        <f>modif1!I329</f>
        <v>l</v>
      </c>
      <c r="J329" s="11">
        <f>modif1!J329</f>
        <v>1.4842</v>
      </c>
      <c r="K329" t="str">
        <f>modif1!K329</f>
        <v>PLA</v>
      </c>
      <c r="L329" t="str">
        <f>modif1!L329</f>
        <v>PM</v>
      </c>
      <c r="M329">
        <f>modif1!M329</f>
        <v>2004</v>
      </c>
      <c r="N329" t="str">
        <f>modif1!N329</f>
        <v>PLA-PM_2004</v>
      </c>
      <c r="O329" t="b">
        <f>modif1!O329</f>
        <v>0</v>
      </c>
      <c r="P329">
        <v>25</v>
      </c>
      <c r="V329" t="s">
        <v>1181</v>
      </c>
      <c r="W329" s="22"/>
      <c r="X329" t="s">
        <v>1868</v>
      </c>
      <c r="Z329"/>
      <c r="AA329" s="17">
        <f>IF($A329,$J329*(IF(Q329=regle!$B$11,regle!$B$23*IF(AJ329=-2,1+regle!$B$35,1),
IF(Q329=regle!$C$11,regle!$C$23,
IF(Q329=regle!$D$11,regle!$D$23,
IF(Q329=regle!$E$11,regle!$E$23,
IF(Q329=regle!$F$11,regle!$F$23,
IF(Q329=regle!$G$11,regle!$G$23,
IF(Q329=regle!$H$11,regle!$H$23,
IF(Q329=regle!$I$11,regle!$I$23,
IF(Q329=regle!$J$11,regle!$J$23,
IF(Q329=regle!$K$11,regle!$K$23,0))))))))))))</f>
        <v>0</v>
      </c>
      <c r="AB329" s="17">
        <f>IF($A329,$J329*(IF(R329=regle!$B$11,regle!$B$23*IF(AK329=-2,1+regle!$B$35,1),
IF(R329=regle!$C$11,regle!$C$23,
IF(R329=regle!$D$11,regle!$D$23,
IF(R329=regle!$E$11,regle!$E$23,
IF(R329=regle!$F$11,regle!$F$23,
IF(R329=regle!$G$11,regle!$G$23,
IF(R329=regle!$H$11,regle!$H$23,
IF(R329=regle!$I$11,regle!$I$23,
IF(R329=regle!$J$11,regle!$J$23,
IF(R329=regle!$K$11,regle!$K$23,0))))))))))))</f>
        <v>0</v>
      </c>
      <c r="AC329" s="17">
        <f>IF($A329,$J329*(IF(S329=regle!$B$11,regle!$B$23*IF(AL329=-2,1+regle!$B$35,1),
IF(S329=regle!$C$11,regle!$C$23,
IF(S329=regle!$D$11,regle!$D$23,
IF(S329=regle!$E$11,regle!$E$23,
IF(S329=regle!$F$11,regle!$F$23,
IF(S329=regle!$G$11,regle!$G$23,
IF(S329=regle!$H$11,regle!$H$23,
IF(S329=regle!$I$11,regle!$I$23,
IF(S329=regle!$J$11,regle!$J$23,
IF(S329=regle!$K$11,regle!$K$23,0))))))))))))</f>
        <v>0</v>
      </c>
      <c r="AD329" s="17">
        <f>IF($A329,$J329*(IF(T329=regle!$B$11,regle!$B$23*IF(AM329=-2,1+regle!$B$35,1),
IF(T329=regle!$C$11,regle!$C$23,
IF(T329=regle!$D$11,regle!$D$23,
IF(T329=regle!$E$11,regle!$E$23,
IF(T329=regle!$F$11,regle!$F$23,
IF(T329=regle!$G$11,regle!$G$23,
IF(T329=regle!$H$11,regle!$H$23,
IF(T329=regle!$I$11,regle!$I$23,
IF(T329=regle!$J$11,regle!$J$23,
IF(T329=regle!$K$11,regle!$K$23,0))))))))))))</f>
        <v>0</v>
      </c>
      <c r="AE329" s="17">
        <f>IF($A329,$J329*(IF(U329=regle!$B$11,regle!$B$23*IF(AN329=-2,1+regle!$B$35,1),
IF(U329=regle!$C$11,regle!$C$23,
IF(U329=regle!$D$11,regle!$D$23,
IF(U329=regle!$E$11,regle!$E$23,
IF(U329=regle!$F$11,regle!$F$23,
IF(U329=regle!$G$11,regle!$G$23,
IF(U329=regle!$H$11,regle!$H$23,
IF(U329=regle!$I$11,regle!$I$23,
IF(U329=regle!$J$11,regle!$J$23,
IF(U329=regle!$K$11,regle!$K$23,0))))))))))))</f>
        <v>0</v>
      </c>
      <c r="AF329" s="17">
        <f>IF($A329,$J329*(IF(V329=regle!$B$11,regle!$B$23*IF(AO329=-2,1+regle!$B$35,1),
IF(V329=regle!$C$11,regle!$C$23,
IF(V329=regle!$D$11,regle!$D$23,
IF(V329=regle!$E$11,regle!$E$23,
IF(V329=regle!$F$11,regle!$F$23,
IF(V329=regle!$G$11,regle!$G$23,
IF(V329=regle!$H$11,regle!$H$23,
IF(V329=regle!$I$11,regle!$I$23,
IF(V329=regle!$J$11,regle!$J$23,
IF(V329=regle!$K$11,regle!$K$23,0))))))))))))</f>
        <v>7717.84</v>
      </c>
      <c r="AG329" s="17">
        <f>IF($A329,$J329*(IF(W329=regle!$B$11,regle!$B$23*IF(AP329=-2,1+regle!$B$35,1),
IF(W329=regle!$C$11,regle!$C$23,
IF(W329=regle!$D$11,regle!$D$23,
IF(W329=regle!$E$11,regle!$E$23,
IF(W329=regle!$F$11,regle!$F$23,
IF(W329=regle!$G$11,regle!$G$23,
IF(W329=regle!$H$11,regle!$H$23,
IF(W329=regle!$I$11,regle!$I$23,
IF(W329=regle!$J$11,regle!$J$23,
IF(W329=regle!$K$11,regle!$K$23,0))))))))))))</f>
        <v>0</v>
      </c>
      <c r="AH329" s="17">
        <f>IF($A329,$J329*(IF(X329=regle!$B$11,regle!$B$23*IF(AQ329=-2,1+regle!$B$35,1),
IF(X329=regle!$C$11,regle!$C$23,
IF(X329=regle!$D$11,regle!$D$23,
IF(X329=regle!$E$11,regle!$E$23,
IF(X329=regle!$F$11,regle!$F$23,
IF(X329=regle!$G$11,regle!$G$23,
IF(X329=regle!$H$11,regle!$H$23,
IF(X329=regle!$I$11,regle!$I$23,
IF(X329=regle!$J$11,regle!$J$23,
IF(X329=regle!$K$11,regle!$K$23,0))))))))))))</f>
        <v>-2523.14</v>
      </c>
      <c r="AI329" s="17">
        <f>IF($A329,$J329*(IF(Y329=regle!$B$11,regle!$B$23*IF(AR329=-2,1+regle!$B$35,1),
IF(Y329=regle!$C$11,regle!$C$23,
IF(Y329=regle!$D$11,regle!$D$23,
IF(Y329=regle!$E$11,regle!$E$23,
IF(Y329=regle!$F$11,regle!$F$23,
IF(Y329=regle!$G$11,regle!$G$23,
IF(Y329=regle!$H$11,regle!$H$23,
IF(Y329=regle!$I$11,regle!$I$23,
IF(Y329=regle!$J$11,regle!$J$23,
IF(Y329=regle!$K$11,regle!$K$23,0))))))))))))</f>
        <v>0</v>
      </c>
      <c r="AJ329" s="17">
        <f>IF($A329,$J329*(IF(Z329=regle!$B$11,regle!$B$23*IF(AS329=-2,1+regle!$B$35,1),
IF(Z329=regle!$C$11,regle!$C$23,
IF(Z329=regle!$D$11,regle!$D$23,
IF(Z329=regle!$E$11,regle!$E$23,
IF(Z329=regle!$F$11,regle!$F$23,
IF(Z329=regle!$G$11,regle!$G$23,
IF(Z329=regle!$H$11,regle!$H$23,
IF(Z329=regle!$I$11,regle!$I$23,
IF(Z329=regle!$J$11,regle!$J$23,
IF(Z329=regle!$K$11,regle!$K$23,0))))))))))))</f>
        <v>0</v>
      </c>
      <c r="AK329" s="16">
        <f>IF(OR(Q329=regle!$J$11,Q329=regle!$K$11),-2,IF(Q329=regle!$B$11,0,IF(AK$1=$AK$1,IF($O329,-1,regle!$B$2-$M329),IF(AJ329=-1,-1,AJ329+1))))</f>
        <v>20</v>
      </c>
      <c r="AL329" s="16">
        <f>IF(OR(R329=regle!$J$11,R329=regle!$K$11),-2,IF(R329=regle!$B$11,0,IF(AL$1=$AK$1,IF($O329,-1,regle!$B$2-$M329),IF(AK329=-1,-1,AK329+1))))</f>
        <v>21</v>
      </c>
      <c r="AM329" s="16">
        <f>IF(OR(S329=regle!$J$11,S329=regle!$K$11),-2,IF(S329=regle!$B$11,0,IF(AM$1=$AK$1,IF($O329,-1,regle!$B$2-$M329),IF(AL329=-1,-1,AL329+1))))</f>
        <v>22</v>
      </c>
      <c r="AN329" s="16">
        <f>IF(OR(T329=regle!$J$11,T329=regle!$K$11),-2,IF(T329=regle!$B$11,0,IF(AN$1=$AK$1,IF($O329,-1,regle!$B$2-$M329),IF(AM329=-1,-1,AM329+1))))</f>
        <v>23</v>
      </c>
      <c r="AO329" s="16">
        <f>IF(OR(U329=regle!$J$11,U329=regle!$K$11),-2,IF(U329=regle!$B$11,0,IF(AO$1=$AK$1,IF($O329,-1,regle!$B$2-$M329),IF(AN329=-1,-1,AN329+1))))</f>
        <v>24</v>
      </c>
      <c r="AP329" s="16">
        <f>IF(OR(V329=regle!$J$11,V329=regle!$K$11),-2,IF(V329=regle!$B$11,0,IF(AP$1=$AK$1,IF($O329,-1,regle!$B$2-$M329),IF(AO329=-1,-1,AO329+1))))</f>
        <v>-2</v>
      </c>
      <c r="AQ329" s="16">
        <f>IF(OR(W329=regle!$J$11,W329=regle!$K$11),-2,IF(W329=regle!$B$11,0,IF(AQ$1=$AK$1,IF($O329,-1,regle!$B$2-$M329),IF(AP329=-1,-1,AP329+1))))</f>
        <v>-1</v>
      </c>
      <c r="AR329" s="16">
        <f>IF(OR(X329=regle!$J$11,X329=regle!$K$11),-2,IF(X329=regle!$B$11,0,IF(AR$1=$AK$1,IF($O329,-1,regle!$B$2-$M329),IF(AQ329=-1,-1,AQ329+1))))</f>
        <v>0</v>
      </c>
      <c r="AS329" s="16">
        <f>IF(OR(Y329=regle!$J$11,Y329=regle!$K$11),-2,IF(Y329=regle!$B$11,0,IF(AS$1=$AK$1,IF($O329,-1,regle!$B$2-$M329),IF(AR329=-1,-1,AR329+1))))</f>
        <v>1</v>
      </c>
      <c r="AT329" s="16">
        <f>IF(OR(Z329=regle!$J$11,Z329=regle!$K$11),-2,IF(Z329=regle!$B$11,0,IF(AT$1=$AK$1,IF($O329,-1,regle!$B$2-$M329),IF(AS329=-1,-1,AS329+1))))</f>
        <v>2</v>
      </c>
    </row>
    <row r="330" spans="1:46" x14ac:dyDescent="0.25">
      <c r="A330" t="b">
        <f>modif1!A330</f>
        <v>1</v>
      </c>
      <c r="B330">
        <f>ROW(modif1!B330)</f>
        <v>330</v>
      </c>
      <c r="C330" t="str">
        <f>modif1!C333</f>
        <v>202</v>
      </c>
      <c r="D330" t="str">
        <f>modif1!D330</f>
        <v>HOSTENS</v>
      </c>
      <c r="E330">
        <f>modif1!E330</f>
        <v>11</v>
      </c>
      <c r="F330" t="str">
        <f>modif1!F330</f>
        <v>LES CAZALAS</v>
      </c>
      <c r="G330" t="str">
        <f>modif1!G330</f>
        <v>0B</v>
      </c>
      <c r="H330">
        <f>modif1!H330</f>
        <v>1144</v>
      </c>
      <c r="I330" t="str">
        <f>modif1!I330</f>
        <v/>
      </c>
      <c r="J330" s="11">
        <f>modif1!J330</f>
        <v>1.4510000000000001</v>
      </c>
      <c r="K330" t="str">
        <f>modif1!K330</f>
        <v>PLA</v>
      </c>
      <c r="L330" t="str">
        <f>modif1!L330</f>
        <v>PM</v>
      </c>
      <c r="M330">
        <f>modif1!M330</f>
        <v>2004</v>
      </c>
      <c r="N330" t="str">
        <f>modif1!N330</f>
        <v>PLA-PM_2004</v>
      </c>
      <c r="O330" t="b">
        <f>modif1!O330</f>
        <v>0</v>
      </c>
      <c r="P330">
        <v>40</v>
      </c>
      <c r="V330" t="s">
        <v>1181</v>
      </c>
      <c r="W330" t="s">
        <v>1868</v>
      </c>
      <c r="Y330" t="s">
        <v>1872</v>
      </c>
      <c r="Z330"/>
      <c r="AA330" s="17">
        <f>IF($A330,$J330*(IF(Q330=regle!$B$11,regle!$B$23*IF(AJ330=-2,1+regle!$B$35,1),
IF(Q330=regle!$C$11,regle!$C$23,
IF(Q330=regle!$D$11,regle!$D$23,
IF(Q330=regle!$E$11,regle!$E$23,
IF(Q330=regle!$F$11,regle!$F$23,
IF(Q330=regle!$G$11,regle!$G$23,
IF(Q330=regle!$H$11,regle!$H$23,
IF(Q330=regle!$I$11,regle!$I$23,
IF(Q330=regle!$J$11,regle!$J$23,
IF(Q330=regle!$K$11,regle!$K$23,0))))))))))))</f>
        <v>0</v>
      </c>
      <c r="AB330" s="17">
        <f>IF($A330,$J330*(IF(R330=regle!$B$11,regle!$B$23*IF(AK330=-2,1+regle!$B$35,1),
IF(R330=regle!$C$11,regle!$C$23,
IF(R330=regle!$D$11,regle!$D$23,
IF(R330=regle!$E$11,regle!$E$23,
IF(R330=regle!$F$11,regle!$F$23,
IF(R330=regle!$G$11,regle!$G$23,
IF(R330=regle!$H$11,regle!$H$23,
IF(R330=regle!$I$11,regle!$I$23,
IF(R330=regle!$J$11,regle!$J$23,
IF(R330=regle!$K$11,regle!$K$23,0))))))))))))</f>
        <v>0</v>
      </c>
      <c r="AC330" s="17">
        <f>IF($A330,$J330*(IF(S330=regle!$B$11,regle!$B$23*IF(AL330=-2,1+regle!$B$35,1),
IF(S330=regle!$C$11,regle!$C$23,
IF(S330=regle!$D$11,regle!$D$23,
IF(S330=regle!$E$11,regle!$E$23,
IF(S330=regle!$F$11,regle!$F$23,
IF(S330=regle!$G$11,regle!$G$23,
IF(S330=regle!$H$11,regle!$H$23,
IF(S330=regle!$I$11,regle!$I$23,
IF(S330=regle!$J$11,regle!$J$23,
IF(S330=regle!$K$11,regle!$K$23,0))))))))))))</f>
        <v>0</v>
      </c>
      <c r="AD330" s="17">
        <f>IF($A330,$J330*(IF(T330=regle!$B$11,regle!$B$23*IF(AM330=-2,1+regle!$B$35,1),
IF(T330=regle!$C$11,regle!$C$23,
IF(T330=regle!$D$11,regle!$D$23,
IF(T330=regle!$E$11,regle!$E$23,
IF(T330=regle!$F$11,regle!$F$23,
IF(T330=regle!$G$11,regle!$G$23,
IF(T330=regle!$H$11,regle!$H$23,
IF(T330=regle!$I$11,regle!$I$23,
IF(T330=regle!$J$11,regle!$J$23,
IF(T330=regle!$K$11,regle!$K$23,0))))))))))))</f>
        <v>0</v>
      </c>
      <c r="AE330" s="17">
        <f>IF($A330,$J330*(IF(U330=regle!$B$11,regle!$B$23*IF(AN330=-2,1+regle!$B$35,1),
IF(U330=regle!$C$11,regle!$C$23,
IF(U330=regle!$D$11,regle!$D$23,
IF(U330=regle!$E$11,regle!$E$23,
IF(U330=regle!$F$11,regle!$F$23,
IF(U330=regle!$G$11,regle!$G$23,
IF(U330=regle!$H$11,regle!$H$23,
IF(U330=regle!$I$11,regle!$I$23,
IF(U330=regle!$J$11,regle!$J$23,
IF(U330=regle!$K$11,regle!$K$23,0))))))))))))</f>
        <v>0</v>
      </c>
      <c r="AF330" s="17">
        <f>IF($A330,$J330*(IF(V330=regle!$B$11,regle!$B$23*IF(AO330=-2,1+regle!$B$35,1),
IF(V330=regle!$C$11,regle!$C$23,
IF(V330=regle!$D$11,regle!$D$23,
IF(V330=regle!$E$11,regle!$E$23,
IF(V330=regle!$F$11,regle!$F$23,
IF(V330=regle!$G$11,regle!$G$23,
IF(V330=regle!$H$11,regle!$H$23,
IF(V330=regle!$I$11,regle!$I$23,
IF(V330=regle!$J$11,regle!$J$23,
IF(V330=regle!$K$11,regle!$K$23,0))))))))))))</f>
        <v>7545.2000000000007</v>
      </c>
      <c r="AG330" s="17">
        <f>IF($A330,$J330*(IF(W330=regle!$B$11,regle!$B$23*IF(AP330=-2,1+regle!$B$35,1),
IF(W330=regle!$C$11,regle!$C$23,
IF(W330=regle!$D$11,regle!$D$23,
IF(W330=regle!$E$11,regle!$E$23,
IF(W330=regle!$F$11,regle!$F$23,
IF(W330=regle!$G$11,regle!$G$23,
IF(W330=regle!$H$11,regle!$H$23,
IF(W330=regle!$I$11,regle!$I$23,
IF(W330=regle!$J$11,regle!$J$23,
IF(W330=regle!$K$11,regle!$K$23,0))))))))))))</f>
        <v>-2713.3700000000003</v>
      </c>
      <c r="AH330" s="17">
        <f>IF($A330,$J330*(IF(X330=regle!$B$11,regle!$B$23*IF(AQ330=-2,1+regle!$B$35,1),
IF(X330=regle!$C$11,regle!$C$23,
IF(X330=regle!$D$11,regle!$D$23,
IF(X330=regle!$E$11,regle!$E$23,
IF(X330=regle!$F$11,regle!$F$23,
IF(X330=regle!$G$11,regle!$G$23,
IF(X330=regle!$H$11,regle!$H$23,
IF(X330=regle!$I$11,regle!$I$23,
IF(X330=regle!$J$11,regle!$J$23,
IF(X330=regle!$K$11,regle!$K$23,0))))))))))))</f>
        <v>0</v>
      </c>
      <c r="AI330" s="17">
        <f>IF($A330,$J330*(IF(Y330=regle!$B$11,regle!$B$23*IF(AR330=-2,1+regle!$B$35,1),
IF(Y330=regle!$C$11,regle!$C$23,
IF(Y330=regle!$D$11,regle!$D$23,
IF(Y330=regle!$E$11,regle!$E$23,
IF(Y330=regle!$F$11,regle!$F$23,
IF(Y330=regle!$G$11,regle!$G$23,
IF(Y330=regle!$H$11,regle!$H$23,
IF(Y330=regle!$I$11,regle!$I$23,
IF(Y330=regle!$J$11,regle!$J$23,
IF(Y330=regle!$K$11,regle!$K$23,0))))))))))))</f>
        <v>-108.825</v>
      </c>
      <c r="AJ330" s="17">
        <f>IF($A330,$J330*(IF(Z330=regle!$B$11,regle!$B$23*IF(AS330=-2,1+regle!$B$35,1),
IF(Z330=regle!$C$11,regle!$C$23,
IF(Z330=regle!$D$11,regle!$D$23,
IF(Z330=regle!$E$11,regle!$E$23,
IF(Z330=regle!$F$11,regle!$F$23,
IF(Z330=regle!$G$11,regle!$G$23,
IF(Z330=regle!$H$11,regle!$H$23,
IF(Z330=regle!$I$11,regle!$I$23,
IF(Z330=regle!$J$11,regle!$J$23,
IF(Z330=regle!$K$11,regle!$K$23,0))))))))))))</f>
        <v>0</v>
      </c>
      <c r="AK330" s="16">
        <f>IF(OR(Q330=regle!$J$11,Q330=regle!$K$11),-2,IF(Q330=regle!$B$11,0,IF(AK$1=$AK$1,IF($O330,-1,regle!$B$2-$M330),IF(AJ330=-1,-1,AJ330+1))))</f>
        <v>20</v>
      </c>
      <c r="AL330" s="16">
        <f>IF(OR(R330=regle!$J$11,R330=regle!$K$11),-2,IF(R330=regle!$B$11,0,IF(AL$1=$AK$1,IF($O330,-1,regle!$B$2-$M330),IF(AK330=-1,-1,AK330+1))))</f>
        <v>21</v>
      </c>
      <c r="AM330" s="16">
        <f>IF(OR(S330=regle!$J$11,S330=regle!$K$11),-2,IF(S330=regle!$B$11,0,IF(AM$1=$AK$1,IF($O330,-1,regle!$B$2-$M330),IF(AL330=-1,-1,AL330+1))))</f>
        <v>22</v>
      </c>
      <c r="AN330" s="16">
        <f>IF(OR(T330=regle!$J$11,T330=regle!$K$11),-2,IF(T330=regle!$B$11,0,IF(AN$1=$AK$1,IF($O330,-1,regle!$B$2-$M330),IF(AM330=-1,-1,AM330+1))))</f>
        <v>23</v>
      </c>
      <c r="AO330" s="16">
        <f>IF(OR(U330=regle!$J$11,U330=regle!$K$11),-2,IF(U330=regle!$B$11,0,IF(AO$1=$AK$1,IF($O330,-1,regle!$B$2-$M330),IF(AN330=-1,-1,AN330+1))))</f>
        <v>24</v>
      </c>
      <c r="AP330" s="16">
        <f>IF(OR(V330=regle!$J$11,V330=regle!$K$11),-2,IF(V330=regle!$B$11,0,IF(AP$1=$AK$1,IF($O330,-1,regle!$B$2-$M330),IF(AO330=-1,-1,AO330+1))))</f>
        <v>-2</v>
      </c>
      <c r="AQ330" s="16">
        <f>IF(OR(W330=regle!$J$11,W330=regle!$K$11),-2,IF(W330=regle!$B$11,0,IF(AQ$1=$AK$1,IF($O330,-1,regle!$B$2-$M330),IF(AP330=-1,-1,AP330+1))))</f>
        <v>0</v>
      </c>
      <c r="AR330" s="16">
        <f>IF(OR(X330=regle!$J$11,X330=regle!$K$11),-2,IF(X330=regle!$B$11,0,IF(AR$1=$AK$1,IF($O330,-1,regle!$B$2-$M330),IF(AQ330=-1,-1,AQ330+1))))</f>
        <v>1</v>
      </c>
      <c r="AS330" s="16">
        <f>IF(OR(Y330=regle!$J$11,Y330=regle!$K$11),-2,IF(Y330=regle!$B$11,0,IF(AS$1=$AK$1,IF($O330,-1,regle!$B$2-$M330),IF(AR330=-1,-1,AR330+1))))</f>
        <v>2</v>
      </c>
      <c r="AT330" s="16">
        <f>IF(OR(Z330=regle!$J$11,Z330=regle!$K$11),-2,IF(Z330=regle!$B$11,0,IF(AT$1=$AK$1,IF($O330,-1,regle!$B$2-$M330),IF(AS330=-1,-1,AS330+1))))</f>
        <v>3</v>
      </c>
    </row>
    <row r="331" spans="1:46" x14ac:dyDescent="0.25">
      <c r="A331" t="b">
        <f>modif1!A331</f>
        <v>1</v>
      </c>
      <c r="B331">
        <f>ROW(modif1!B331)</f>
        <v>331</v>
      </c>
      <c r="C331" t="str">
        <f>modif1!C334</f>
        <v>202</v>
      </c>
      <c r="D331" t="str">
        <f>modif1!D331</f>
        <v>HOSTENS</v>
      </c>
      <c r="E331">
        <f>modif1!E331</f>
        <v>13</v>
      </c>
      <c r="F331" t="str">
        <f>modif1!F331</f>
        <v>LA BROUSTETTE</v>
      </c>
      <c r="G331" t="str">
        <f>modif1!G331</f>
        <v>0B</v>
      </c>
      <c r="H331">
        <f>modif1!H331</f>
        <v>1260</v>
      </c>
      <c r="I331" t="str">
        <f>modif1!I331</f>
        <v/>
      </c>
      <c r="J331" s="11">
        <f>modif1!J331</f>
        <v>1.4185000000000001</v>
      </c>
      <c r="K331" t="str">
        <f>modif1!K331</f>
        <v>PLA</v>
      </c>
      <c r="L331" t="str">
        <f>modif1!L331</f>
        <v>PM</v>
      </c>
      <c r="M331">
        <f>modif1!M331</f>
        <v>2004</v>
      </c>
      <c r="N331" t="str">
        <f>modif1!N331</f>
        <v>PLA-PM_2004</v>
      </c>
      <c r="O331" t="b">
        <f>modif1!O331</f>
        <v>0</v>
      </c>
      <c r="P331">
        <v>40</v>
      </c>
      <c r="V331" t="s">
        <v>1181</v>
      </c>
      <c r="W331" t="s">
        <v>1868</v>
      </c>
      <c r="Y331" t="s">
        <v>1872</v>
      </c>
      <c r="Z331"/>
      <c r="AA331" s="17">
        <f>IF($A331,$J331*(IF(Q331=regle!$B$11,regle!$B$23*IF(AJ331=-2,1+regle!$B$35,1),
IF(Q331=regle!$C$11,regle!$C$23,
IF(Q331=regle!$D$11,regle!$D$23,
IF(Q331=regle!$E$11,regle!$E$23,
IF(Q331=regle!$F$11,regle!$F$23,
IF(Q331=regle!$G$11,regle!$G$23,
IF(Q331=regle!$H$11,regle!$H$23,
IF(Q331=regle!$I$11,regle!$I$23,
IF(Q331=regle!$J$11,regle!$J$23,
IF(Q331=regle!$K$11,regle!$K$23,0))))))))))))</f>
        <v>0</v>
      </c>
      <c r="AB331" s="17">
        <f>IF($A331,$J331*(IF(R331=regle!$B$11,regle!$B$23*IF(AK331=-2,1+regle!$B$35,1),
IF(R331=regle!$C$11,regle!$C$23,
IF(R331=regle!$D$11,regle!$D$23,
IF(R331=regle!$E$11,regle!$E$23,
IF(R331=regle!$F$11,regle!$F$23,
IF(R331=regle!$G$11,regle!$G$23,
IF(R331=regle!$H$11,regle!$H$23,
IF(R331=regle!$I$11,regle!$I$23,
IF(R331=regle!$J$11,regle!$J$23,
IF(R331=regle!$K$11,regle!$K$23,0))))))))))))</f>
        <v>0</v>
      </c>
      <c r="AC331" s="17">
        <f>IF($A331,$J331*(IF(S331=regle!$B$11,regle!$B$23*IF(AL331=-2,1+regle!$B$35,1),
IF(S331=regle!$C$11,regle!$C$23,
IF(S331=regle!$D$11,regle!$D$23,
IF(S331=regle!$E$11,regle!$E$23,
IF(S331=regle!$F$11,regle!$F$23,
IF(S331=regle!$G$11,regle!$G$23,
IF(S331=regle!$H$11,regle!$H$23,
IF(S331=regle!$I$11,regle!$I$23,
IF(S331=regle!$J$11,regle!$J$23,
IF(S331=regle!$K$11,regle!$K$23,0))))))))))))</f>
        <v>0</v>
      </c>
      <c r="AD331" s="17">
        <f>IF($A331,$J331*(IF(T331=regle!$B$11,regle!$B$23*IF(AM331=-2,1+regle!$B$35,1),
IF(T331=regle!$C$11,regle!$C$23,
IF(T331=regle!$D$11,regle!$D$23,
IF(T331=regle!$E$11,regle!$E$23,
IF(T331=regle!$F$11,regle!$F$23,
IF(T331=regle!$G$11,regle!$G$23,
IF(T331=regle!$H$11,regle!$H$23,
IF(T331=regle!$I$11,regle!$I$23,
IF(T331=regle!$J$11,regle!$J$23,
IF(T331=regle!$K$11,regle!$K$23,0))))))))))))</f>
        <v>0</v>
      </c>
      <c r="AE331" s="17">
        <f>IF($A331,$J331*(IF(U331=regle!$B$11,regle!$B$23*IF(AN331=-2,1+regle!$B$35,1),
IF(U331=regle!$C$11,regle!$C$23,
IF(U331=regle!$D$11,regle!$D$23,
IF(U331=regle!$E$11,regle!$E$23,
IF(U331=regle!$F$11,regle!$F$23,
IF(U331=regle!$G$11,regle!$G$23,
IF(U331=regle!$H$11,regle!$H$23,
IF(U331=regle!$I$11,regle!$I$23,
IF(U331=regle!$J$11,regle!$J$23,
IF(U331=regle!$K$11,regle!$K$23,0))))))))))))</f>
        <v>0</v>
      </c>
      <c r="AF331" s="17">
        <f>IF($A331,$J331*(IF(V331=regle!$B$11,regle!$B$23*IF(AO331=-2,1+regle!$B$35,1),
IF(V331=regle!$C$11,regle!$C$23,
IF(V331=regle!$D$11,regle!$D$23,
IF(V331=regle!$E$11,regle!$E$23,
IF(V331=regle!$F$11,regle!$F$23,
IF(V331=regle!$G$11,regle!$G$23,
IF(V331=regle!$H$11,regle!$H$23,
IF(V331=regle!$I$11,regle!$I$23,
IF(V331=regle!$J$11,regle!$J$23,
IF(V331=regle!$K$11,regle!$K$23,0))))))))))))</f>
        <v>7376.2000000000007</v>
      </c>
      <c r="AG331" s="17">
        <f>IF($A331,$J331*(IF(W331=regle!$B$11,regle!$B$23*IF(AP331=-2,1+regle!$B$35,1),
IF(W331=regle!$C$11,regle!$C$23,
IF(W331=regle!$D$11,regle!$D$23,
IF(W331=regle!$E$11,regle!$E$23,
IF(W331=regle!$F$11,regle!$F$23,
IF(W331=regle!$G$11,regle!$G$23,
IF(W331=regle!$H$11,regle!$H$23,
IF(W331=regle!$I$11,regle!$I$23,
IF(W331=regle!$J$11,regle!$J$23,
IF(W331=regle!$K$11,regle!$K$23,0))))))))))))</f>
        <v>-2652.5950000000007</v>
      </c>
      <c r="AH331" s="17">
        <f>IF($A331,$J331*(IF(X331=regle!$B$11,regle!$B$23*IF(AQ331=-2,1+regle!$B$35,1),
IF(X331=regle!$C$11,regle!$C$23,
IF(X331=regle!$D$11,regle!$D$23,
IF(X331=regle!$E$11,regle!$E$23,
IF(X331=regle!$F$11,regle!$F$23,
IF(X331=regle!$G$11,regle!$G$23,
IF(X331=regle!$H$11,regle!$H$23,
IF(X331=regle!$I$11,regle!$I$23,
IF(X331=regle!$J$11,regle!$J$23,
IF(X331=regle!$K$11,regle!$K$23,0))))))))))))</f>
        <v>0</v>
      </c>
      <c r="AI331" s="17">
        <f>IF($A331,$J331*(IF(Y331=regle!$B$11,regle!$B$23*IF(AR331=-2,1+regle!$B$35,1),
IF(Y331=regle!$C$11,regle!$C$23,
IF(Y331=regle!$D$11,regle!$D$23,
IF(Y331=regle!$E$11,regle!$E$23,
IF(Y331=regle!$F$11,regle!$F$23,
IF(Y331=regle!$G$11,regle!$G$23,
IF(Y331=regle!$H$11,regle!$H$23,
IF(Y331=regle!$I$11,regle!$I$23,
IF(Y331=regle!$J$11,regle!$J$23,
IF(Y331=regle!$K$11,regle!$K$23,0))))))))))))</f>
        <v>-106.3875</v>
      </c>
      <c r="AJ331" s="17">
        <f>IF($A331,$J331*(IF(Z331=regle!$B$11,regle!$B$23*IF(AS331=-2,1+regle!$B$35,1),
IF(Z331=regle!$C$11,regle!$C$23,
IF(Z331=regle!$D$11,regle!$D$23,
IF(Z331=regle!$E$11,regle!$E$23,
IF(Z331=regle!$F$11,regle!$F$23,
IF(Z331=regle!$G$11,regle!$G$23,
IF(Z331=regle!$H$11,regle!$H$23,
IF(Z331=regle!$I$11,regle!$I$23,
IF(Z331=regle!$J$11,regle!$J$23,
IF(Z331=regle!$K$11,regle!$K$23,0))))))))))))</f>
        <v>0</v>
      </c>
      <c r="AK331" s="16">
        <f>IF(OR(Q331=regle!$J$11,Q331=regle!$K$11),-2,IF(Q331=regle!$B$11,0,IF(AK$1=$AK$1,IF($O331,-1,regle!$B$2-$M331),IF(AJ331=-1,-1,AJ331+1))))</f>
        <v>20</v>
      </c>
      <c r="AL331" s="16">
        <f>IF(OR(R331=regle!$J$11,R331=regle!$K$11),-2,IF(R331=regle!$B$11,0,IF(AL$1=$AK$1,IF($O331,-1,regle!$B$2-$M331),IF(AK331=-1,-1,AK331+1))))</f>
        <v>21</v>
      </c>
      <c r="AM331" s="16">
        <f>IF(OR(S331=regle!$J$11,S331=regle!$K$11),-2,IF(S331=regle!$B$11,0,IF(AM$1=$AK$1,IF($O331,-1,regle!$B$2-$M331),IF(AL331=-1,-1,AL331+1))))</f>
        <v>22</v>
      </c>
      <c r="AN331" s="16">
        <f>IF(OR(T331=regle!$J$11,T331=regle!$K$11),-2,IF(T331=regle!$B$11,0,IF(AN$1=$AK$1,IF($O331,-1,regle!$B$2-$M331),IF(AM331=-1,-1,AM331+1))))</f>
        <v>23</v>
      </c>
      <c r="AO331" s="16">
        <f>IF(OR(U331=regle!$J$11,U331=regle!$K$11),-2,IF(U331=regle!$B$11,0,IF(AO$1=$AK$1,IF($O331,-1,regle!$B$2-$M331),IF(AN331=-1,-1,AN331+1))))</f>
        <v>24</v>
      </c>
      <c r="AP331" s="16">
        <f>IF(OR(V331=regle!$J$11,V331=regle!$K$11),-2,IF(V331=regle!$B$11,0,IF(AP$1=$AK$1,IF($O331,-1,regle!$B$2-$M331),IF(AO331=-1,-1,AO331+1))))</f>
        <v>-2</v>
      </c>
      <c r="AQ331" s="16">
        <f>IF(OR(W331=regle!$J$11,W331=regle!$K$11),-2,IF(W331=regle!$B$11,0,IF(AQ$1=$AK$1,IF($O331,-1,regle!$B$2-$M331),IF(AP331=-1,-1,AP331+1))))</f>
        <v>0</v>
      </c>
      <c r="AR331" s="16">
        <f>IF(OR(X331=regle!$J$11,X331=regle!$K$11),-2,IF(X331=regle!$B$11,0,IF(AR$1=$AK$1,IF($O331,-1,regle!$B$2-$M331),IF(AQ331=-1,-1,AQ331+1))))</f>
        <v>1</v>
      </c>
      <c r="AS331" s="16">
        <f>IF(OR(Y331=regle!$J$11,Y331=regle!$K$11),-2,IF(Y331=regle!$B$11,0,IF(AS$1=$AK$1,IF($O331,-1,regle!$B$2-$M331),IF(AR331=-1,-1,AR331+1))))</f>
        <v>2</v>
      </c>
      <c r="AT331" s="16">
        <f>IF(OR(Z331=regle!$J$11,Z331=regle!$K$11),-2,IF(Z331=regle!$B$11,0,IF(AT$1=$AK$1,IF($O331,-1,regle!$B$2-$M331),IF(AS331=-1,-1,AS331+1))))</f>
        <v>3</v>
      </c>
    </row>
    <row r="332" spans="1:46" x14ac:dyDescent="0.25">
      <c r="A332" t="b">
        <f>modif1!A332</f>
        <v>1</v>
      </c>
      <c r="B332">
        <f>ROW(modif1!B332)</f>
        <v>332</v>
      </c>
      <c r="C332" t="str">
        <f>modif1!C335</f>
        <v>202</v>
      </c>
      <c r="D332" t="str">
        <f>modif1!D332</f>
        <v>HOSTENS</v>
      </c>
      <c r="E332">
        <f>modif1!E332</f>
        <v>11</v>
      </c>
      <c r="F332" t="str">
        <f>modif1!F332</f>
        <v>LES CAZALAS</v>
      </c>
      <c r="G332" t="str">
        <f>modif1!G332</f>
        <v>0B</v>
      </c>
      <c r="H332">
        <f>modif1!H332</f>
        <v>1141</v>
      </c>
      <c r="I332" t="str">
        <f>modif1!I332</f>
        <v>j</v>
      </c>
      <c r="J332" s="11">
        <f>modif1!J332</f>
        <v>1.1155999999999999</v>
      </c>
      <c r="K332" t="str">
        <f>modif1!K332</f>
        <v>PLA</v>
      </c>
      <c r="L332" t="str">
        <f>modif1!L332</f>
        <v>PM</v>
      </c>
      <c r="M332">
        <f>modif1!M332</f>
        <v>2004</v>
      </c>
      <c r="N332" t="str">
        <f>modif1!N332</f>
        <v>PLA-PM_2004</v>
      </c>
      <c r="O332" t="b">
        <f>modif1!O332</f>
        <v>0</v>
      </c>
      <c r="P332">
        <v>40</v>
      </c>
      <c r="V332" t="s">
        <v>1181</v>
      </c>
      <c r="W332" t="s">
        <v>1868</v>
      </c>
      <c r="Y332" t="s">
        <v>1872</v>
      </c>
      <c r="Z332"/>
      <c r="AA332" s="17">
        <f>IF($A332,$J332*(IF(Q332=regle!$B$11,regle!$B$23*IF(AJ332=-2,1+regle!$B$35,1),
IF(Q332=regle!$C$11,regle!$C$23,
IF(Q332=regle!$D$11,regle!$D$23,
IF(Q332=regle!$E$11,regle!$E$23,
IF(Q332=regle!$F$11,regle!$F$23,
IF(Q332=regle!$G$11,regle!$G$23,
IF(Q332=regle!$H$11,regle!$H$23,
IF(Q332=regle!$I$11,regle!$I$23,
IF(Q332=regle!$J$11,regle!$J$23,
IF(Q332=regle!$K$11,regle!$K$23,0))))))))))))</f>
        <v>0</v>
      </c>
      <c r="AB332" s="17">
        <f>IF($A332,$J332*(IF(R332=regle!$B$11,regle!$B$23*IF(AK332=-2,1+regle!$B$35,1),
IF(R332=regle!$C$11,regle!$C$23,
IF(R332=regle!$D$11,regle!$D$23,
IF(R332=regle!$E$11,regle!$E$23,
IF(R332=regle!$F$11,regle!$F$23,
IF(R332=regle!$G$11,regle!$G$23,
IF(R332=regle!$H$11,regle!$H$23,
IF(R332=regle!$I$11,regle!$I$23,
IF(R332=regle!$J$11,regle!$J$23,
IF(R332=regle!$K$11,regle!$K$23,0))))))))))))</f>
        <v>0</v>
      </c>
      <c r="AC332" s="17">
        <f>IF($A332,$J332*(IF(S332=regle!$B$11,regle!$B$23*IF(AL332=-2,1+regle!$B$35,1),
IF(S332=regle!$C$11,regle!$C$23,
IF(S332=regle!$D$11,regle!$D$23,
IF(S332=regle!$E$11,regle!$E$23,
IF(S332=regle!$F$11,regle!$F$23,
IF(S332=regle!$G$11,regle!$G$23,
IF(S332=regle!$H$11,regle!$H$23,
IF(S332=regle!$I$11,regle!$I$23,
IF(S332=regle!$J$11,regle!$J$23,
IF(S332=regle!$K$11,regle!$K$23,0))))))))))))</f>
        <v>0</v>
      </c>
      <c r="AD332" s="17">
        <f>IF($A332,$J332*(IF(T332=regle!$B$11,regle!$B$23*IF(AM332=-2,1+regle!$B$35,1),
IF(T332=regle!$C$11,regle!$C$23,
IF(T332=regle!$D$11,regle!$D$23,
IF(T332=regle!$E$11,regle!$E$23,
IF(T332=regle!$F$11,regle!$F$23,
IF(T332=regle!$G$11,regle!$G$23,
IF(T332=regle!$H$11,regle!$H$23,
IF(T332=regle!$I$11,regle!$I$23,
IF(T332=regle!$J$11,regle!$J$23,
IF(T332=regle!$K$11,regle!$K$23,0))))))))))))</f>
        <v>0</v>
      </c>
      <c r="AE332" s="17">
        <f>IF($A332,$J332*(IF(U332=regle!$B$11,regle!$B$23*IF(AN332=-2,1+regle!$B$35,1),
IF(U332=regle!$C$11,regle!$C$23,
IF(U332=regle!$D$11,regle!$D$23,
IF(U332=regle!$E$11,regle!$E$23,
IF(U332=regle!$F$11,regle!$F$23,
IF(U332=regle!$G$11,regle!$G$23,
IF(U332=regle!$H$11,regle!$H$23,
IF(U332=regle!$I$11,regle!$I$23,
IF(U332=regle!$J$11,regle!$J$23,
IF(U332=regle!$K$11,regle!$K$23,0))))))))))))</f>
        <v>0</v>
      </c>
      <c r="AF332" s="17">
        <f>IF($A332,$J332*(IF(V332=regle!$B$11,regle!$B$23*IF(AO332=-2,1+regle!$B$35,1),
IF(V332=regle!$C$11,regle!$C$23,
IF(V332=regle!$D$11,regle!$D$23,
IF(V332=regle!$E$11,regle!$E$23,
IF(V332=regle!$F$11,regle!$F$23,
IF(V332=regle!$G$11,regle!$G$23,
IF(V332=regle!$H$11,regle!$H$23,
IF(V332=regle!$I$11,regle!$I$23,
IF(V332=regle!$J$11,regle!$J$23,
IF(V332=regle!$K$11,regle!$K$23,0))))))))))))</f>
        <v>5801.12</v>
      </c>
      <c r="AG332" s="17">
        <f>IF($A332,$J332*(IF(W332=regle!$B$11,regle!$B$23*IF(AP332=-2,1+regle!$B$35,1),
IF(W332=regle!$C$11,regle!$C$23,
IF(W332=regle!$D$11,regle!$D$23,
IF(W332=regle!$E$11,regle!$E$23,
IF(W332=regle!$F$11,regle!$F$23,
IF(W332=regle!$G$11,regle!$G$23,
IF(W332=regle!$H$11,regle!$H$23,
IF(W332=regle!$I$11,regle!$I$23,
IF(W332=regle!$J$11,regle!$J$23,
IF(W332=regle!$K$11,regle!$K$23,0))))))))))))</f>
        <v>-2086.172</v>
      </c>
      <c r="AH332" s="17">
        <f>IF($A332,$J332*(IF(X332=regle!$B$11,regle!$B$23*IF(AQ332=-2,1+regle!$B$35,1),
IF(X332=regle!$C$11,regle!$C$23,
IF(X332=regle!$D$11,regle!$D$23,
IF(X332=regle!$E$11,regle!$E$23,
IF(X332=regle!$F$11,regle!$F$23,
IF(X332=regle!$G$11,regle!$G$23,
IF(X332=regle!$H$11,regle!$H$23,
IF(X332=regle!$I$11,regle!$I$23,
IF(X332=regle!$J$11,regle!$J$23,
IF(X332=regle!$K$11,regle!$K$23,0))))))))))))</f>
        <v>0</v>
      </c>
      <c r="AI332" s="17">
        <f>IF($A332,$J332*(IF(Y332=regle!$B$11,regle!$B$23*IF(AR332=-2,1+regle!$B$35,1),
IF(Y332=regle!$C$11,regle!$C$23,
IF(Y332=regle!$D$11,regle!$D$23,
IF(Y332=regle!$E$11,regle!$E$23,
IF(Y332=regle!$F$11,regle!$F$23,
IF(Y332=regle!$G$11,regle!$G$23,
IF(Y332=regle!$H$11,regle!$H$23,
IF(Y332=regle!$I$11,regle!$I$23,
IF(Y332=regle!$J$11,regle!$J$23,
IF(Y332=regle!$K$11,regle!$K$23,0))))))))))))</f>
        <v>-83.669999999999987</v>
      </c>
      <c r="AJ332" s="17">
        <f>IF($A332,$J332*(IF(Z332=regle!$B$11,regle!$B$23*IF(AS332=-2,1+regle!$B$35,1),
IF(Z332=regle!$C$11,regle!$C$23,
IF(Z332=regle!$D$11,regle!$D$23,
IF(Z332=regle!$E$11,regle!$E$23,
IF(Z332=regle!$F$11,regle!$F$23,
IF(Z332=regle!$G$11,regle!$G$23,
IF(Z332=regle!$H$11,regle!$H$23,
IF(Z332=regle!$I$11,regle!$I$23,
IF(Z332=regle!$J$11,regle!$J$23,
IF(Z332=regle!$K$11,regle!$K$23,0))))))))))))</f>
        <v>0</v>
      </c>
      <c r="AK332" s="16">
        <f>IF(OR(Q332=regle!$J$11,Q332=regle!$K$11),-2,IF(Q332=regle!$B$11,0,IF(AK$1=$AK$1,IF($O332,-1,regle!$B$2-$M332),IF(AJ332=-1,-1,AJ332+1))))</f>
        <v>20</v>
      </c>
      <c r="AL332" s="16">
        <f>IF(OR(R332=regle!$J$11,R332=regle!$K$11),-2,IF(R332=regle!$B$11,0,IF(AL$1=$AK$1,IF($O332,-1,regle!$B$2-$M332),IF(AK332=-1,-1,AK332+1))))</f>
        <v>21</v>
      </c>
      <c r="AM332" s="16">
        <f>IF(OR(S332=regle!$J$11,S332=regle!$K$11),-2,IF(S332=regle!$B$11,0,IF(AM$1=$AK$1,IF($O332,-1,regle!$B$2-$M332),IF(AL332=-1,-1,AL332+1))))</f>
        <v>22</v>
      </c>
      <c r="AN332" s="16">
        <f>IF(OR(T332=regle!$J$11,T332=regle!$K$11),-2,IF(T332=regle!$B$11,0,IF(AN$1=$AK$1,IF($O332,-1,regle!$B$2-$M332),IF(AM332=-1,-1,AM332+1))))</f>
        <v>23</v>
      </c>
      <c r="AO332" s="16">
        <f>IF(OR(U332=regle!$J$11,U332=regle!$K$11),-2,IF(U332=regle!$B$11,0,IF(AO$1=$AK$1,IF($O332,-1,regle!$B$2-$M332),IF(AN332=-1,-1,AN332+1))))</f>
        <v>24</v>
      </c>
      <c r="AP332" s="16">
        <f>IF(OR(V332=regle!$J$11,V332=regle!$K$11),-2,IF(V332=regle!$B$11,0,IF(AP$1=$AK$1,IF($O332,-1,regle!$B$2-$M332),IF(AO332=-1,-1,AO332+1))))</f>
        <v>-2</v>
      </c>
      <c r="AQ332" s="16">
        <f>IF(OR(W332=regle!$J$11,W332=regle!$K$11),-2,IF(W332=regle!$B$11,0,IF(AQ$1=$AK$1,IF($O332,-1,regle!$B$2-$M332),IF(AP332=-1,-1,AP332+1))))</f>
        <v>0</v>
      </c>
      <c r="AR332" s="16">
        <f>IF(OR(X332=regle!$J$11,X332=regle!$K$11),-2,IF(X332=regle!$B$11,0,IF(AR$1=$AK$1,IF($O332,-1,regle!$B$2-$M332),IF(AQ332=-1,-1,AQ332+1))))</f>
        <v>1</v>
      </c>
      <c r="AS332" s="16">
        <f>IF(OR(Y332=regle!$J$11,Y332=regle!$K$11),-2,IF(Y332=regle!$B$11,0,IF(AS$1=$AK$1,IF($O332,-1,regle!$B$2-$M332),IF(AR332=-1,-1,AR332+1))))</f>
        <v>2</v>
      </c>
      <c r="AT332" s="16">
        <f>IF(OR(Z332=regle!$J$11,Z332=regle!$K$11),-2,IF(Z332=regle!$B$11,0,IF(AT$1=$AK$1,IF($O332,-1,regle!$B$2-$M332),IF(AS332=-1,-1,AS332+1))))</f>
        <v>3</v>
      </c>
    </row>
    <row r="333" spans="1:46" x14ac:dyDescent="0.25">
      <c r="A333" t="b">
        <f>modif1!A333</f>
        <v>1</v>
      </c>
      <c r="B333">
        <f>ROW(modif1!B333)</f>
        <v>333</v>
      </c>
      <c r="C333" t="str">
        <f>modif1!C336</f>
        <v>202</v>
      </c>
      <c r="D333" t="str">
        <f>modif1!D333</f>
        <v>HOSTENS</v>
      </c>
      <c r="E333">
        <f>modif1!E333</f>
        <v>11</v>
      </c>
      <c r="F333" t="str">
        <f>modif1!F333</f>
        <v>LES CAZALAS</v>
      </c>
      <c r="G333" t="str">
        <f>modif1!G333</f>
        <v>0B</v>
      </c>
      <c r="H333">
        <f>modif1!H333</f>
        <v>1143</v>
      </c>
      <c r="I333" t="str">
        <f>modif1!I333</f>
        <v/>
      </c>
      <c r="J333" s="11">
        <f>modif1!J333</f>
        <v>0.73350000000000004</v>
      </c>
      <c r="K333" t="str">
        <f>modif1!K333</f>
        <v>PLA</v>
      </c>
      <c r="L333" t="str">
        <f>modif1!L333</f>
        <v>PM</v>
      </c>
      <c r="M333">
        <f>modif1!M333</f>
        <v>2004</v>
      </c>
      <c r="N333" t="str">
        <f>modif1!N333</f>
        <v>PLA-PM_2004</v>
      </c>
      <c r="O333" t="b">
        <f>modif1!O333</f>
        <v>0</v>
      </c>
      <c r="P333">
        <v>40</v>
      </c>
      <c r="V333" t="s">
        <v>1181</v>
      </c>
      <c r="W333" t="s">
        <v>1868</v>
      </c>
      <c r="Y333" t="s">
        <v>1872</v>
      </c>
      <c r="Z333"/>
      <c r="AA333" s="17">
        <f>IF($A333,$J333*(IF(Q333=regle!$B$11,regle!$B$23*IF(AJ333=-2,1+regle!$B$35,1),
IF(Q333=regle!$C$11,regle!$C$23,
IF(Q333=regle!$D$11,regle!$D$23,
IF(Q333=regle!$E$11,regle!$E$23,
IF(Q333=regle!$F$11,regle!$F$23,
IF(Q333=regle!$G$11,regle!$G$23,
IF(Q333=regle!$H$11,regle!$H$23,
IF(Q333=regle!$I$11,regle!$I$23,
IF(Q333=regle!$J$11,regle!$J$23,
IF(Q333=regle!$K$11,regle!$K$23,0))))))))))))</f>
        <v>0</v>
      </c>
      <c r="AB333" s="17">
        <f>IF($A333,$J333*(IF(R333=regle!$B$11,regle!$B$23*IF(AK333=-2,1+regle!$B$35,1),
IF(R333=regle!$C$11,regle!$C$23,
IF(R333=regle!$D$11,regle!$D$23,
IF(R333=regle!$E$11,regle!$E$23,
IF(R333=regle!$F$11,regle!$F$23,
IF(R333=regle!$G$11,regle!$G$23,
IF(R333=regle!$H$11,regle!$H$23,
IF(R333=regle!$I$11,regle!$I$23,
IF(R333=regle!$J$11,regle!$J$23,
IF(R333=regle!$K$11,regle!$K$23,0))))))))))))</f>
        <v>0</v>
      </c>
      <c r="AC333" s="17">
        <f>IF($A333,$J333*(IF(S333=regle!$B$11,regle!$B$23*IF(AL333=-2,1+regle!$B$35,1),
IF(S333=regle!$C$11,regle!$C$23,
IF(S333=regle!$D$11,regle!$D$23,
IF(S333=regle!$E$11,regle!$E$23,
IF(S333=regle!$F$11,regle!$F$23,
IF(S333=regle!$G$11,regle!$G$23,
IF(S333=regle!$H$11,regle!$H$23,
IF(S333=regle!$I$11,regle!$I$23,
IF(S333=regle!$J$11,regle!$J$23,
IF(S333=regle!$K$11,regle!$K$23,0))))))))))))</f>
        <v>0</v>
      </c>
      <c r="AD333" s="17">
        <f>IF($A333,$J333*(IF(T333=regle!$B$11,regle!$B$23*IF(AM333=-2,1+regle!$B$35,1),
IF(T333=regle!$C$11,regle!$C$23,
IF(T333=regle!$D$11,regle!$D$23,
IF(T333=regle!$E$11,regle!$E$23,
IF(T333=regle!$F$11,regle!$F$23,
IF(T333=regle!$G$11,regle!$G$23,
IF(T333=regle!$H$11,regle!$H$23,
IF(T333=regle!$I$11,regle!$I$23,
IF(T333=regle!$J$11,regle!$J$23,
IF(T333=regle!$K$11,regle!$K$23,0))))))))))))</f>
        <v>0</v>
      </c>
      <c r="AE333" s="17">
        <f>IF($A333,$J333*(IF(U333=regle!$B$11,regle!$B$23*IF(AN333=-2,1+regle!$B$35,1),
IF(U333=regle!$C$11,regle!$C$23,
IF(U333=regle!$D$11,regle!$D$23,
IF(U333=regle!$E$11,regle!$E$23,
IF(U333=regle!$F$11,regle!$F$23,
IF(U333=regle!$G$11,regle!$G$23,
IF(U333=regle!$H$11,regle!$H$23,
IF(U333=regle!$I$11,regle!$I$23,
IF(U333=regle!$J$11,regle!$J$23,
IF(U333=regle!$K$11,regle!$K$23,0))))))))))))</f>
        <v>0</v>
      </c>
      <c r="AF333" s="17">
        <f>IF($A333,$J333*(IF(V333=regle!$B$11,regle!$B$23*IF(AO333=-2,1+regle!$B$35,1),
IF(V333=regle!$C$11,regle!$C$23,
IF(V333=regle!$D$11,regle!$D$23,
IF(V333=regle!$E$11,regle!$E$23,
IF(V333=regle!$F$11,regle!$F$23,
IF(V333=regle!$G$11,regle!$G$23,
IF(V333=regle!$H$11,regle!$H$23,
IF(V333=regle!$I$11,regle!$I$23,
IF(V333=regle!$J$11,regle!$J$23,
IF(V333=regle!$K$11,regle!$K$23,0))))))))))))</f>
        <v>3814.2000000000003</v>
      </c>
      <c r="AG333" s="17">
        <f>IF($A333,$J333*(IF(W333=regle!$B$11,regle!$B$23*IF(AP333=-2,1+regle!$B$35,1),
IF(W333=regle!$C$11,regle!$C$23,
IF(W333=regle!$D$11,regle!$D$23,
IF(W333=regle!$E$11,regle!$E$23,
IF(W333=regle!$F$11,regle!$F$23,
IF(W333=regle!$G$11,regle!$G$23,
IF(W333=regle!$H$11,regle!$H$23,
IF(W333=regle!$I$11,regle!$I$23,
IF(W333=regle!$J$11,regle!$J$23,
IF(W333=regle!$K$11,regle!$K$23,0))))))))))))</f>
        <v>-1371.6450000000002</v>
      </c>
      <c r="AH333" s="17">
        <f>IF($A333,$J333*(IF(X333=regle!$B$11,regle!$B$23*IF(AQ333=-2,1+regle!$B$35,1),
IF(X333=regle!$C$11,regle!$C$23,
IF(X333=regle!$D$11,regle!$D$23,
IF(X333=regle!$E$11,regle!$E$23,
IF(X333=regle!$F$11,regle!$F$23,
IF(X333=regle!$G$11,regle!$G$23,
IF(X333=regle!$H$11,regle!$H$23,
IF(X333=regle!$I$11,regle!$I$23,
IF(X333=regle!$J$11,regle!$J$23,
IF(X333=regle!$K$11,regle!$K$23,0))))))))))))</f>
        <v>0</v>
      </c>
      <c r="AI333" s="17">
        <f>IF($A333,$J333*(IF(Y333=regle!$B$11,regle!$B$23*IF(AR333=-2,1+regle!$B$35,1),
IF(Y333=regle!$C$11,regle!$C$23,
IF(Y333=regle!$D$11,regle!$D$23,
IF(Y333=regle!$E$11,regle!$E$23,
IF(Y333=regle!$F$11,regle!$F$23,
IF(Y333=regle!$G$11,regle!$G$23,
IF(Y333=regle!$H$11,regle!$H$23,
IF(Y333=regle!$I$11,regle!$I$23,
IF(Y333=regle!$J$11,regle!$J$23,
IF(Y333=regle!$K$11,regle!$K$23,0))))))))))))</f>
        <v>-55.012500000000003</v>
      </c>
      <c r="AJ333" s="17">
        <f>IF($A333,$J333*(IF(Z333=regle!$B$11,regle!$B$23*IF(AS333=-2,1+regle!$B$35,1),
IF(Z333=regle!$C$11,regle!$C$23,
IF(Z333=regle!$D$11,regle!$D$23,
IF(Z333=regle!$E$11,regle!$E$23,
IF(Z333=regle!$F$11,regle!$F$23,
IF(Z333=regle!$G$11,regle!$G$23,
IF(Z333=regle!$H$11,regle!$H$23,
IF(Z333=regle!$I$11,regle!$I$23,
IF(Z333=regle!$J$11,regle!$J$23,
IF(Z333=regle!$K$11,regle!$K$23,0))))))))))))</f>
        <v>0</v>
      </c>
      <c r="AK333" s="16">
        <f>IF(OR(Q333=regle!$J$11,Q333=regle!$K$11),-2,IF(Q333=regle!$B$11,0,IF(AK$1=$AK$1,IF($O333,-1,regle!$B$2-$M333),IF(AJ333=-1,-1,AJ333+1))))</f>
        <v>20</v>
      </c>
      <c r="AL333" s="16">
        <f>IF(OR(R333=regle!$J$11,R333=regle!$K$11),-2,IF(R333=regle!$B$11,0,IF(AL$1=$AK$1,IF($O333,-1,regle!$B$2-$M333),IF(AK333=-1,-1,AK333+1))))</f>
        <v>21</v>
      </c>
      <c r="AM333" s="16">
        <f>IF(OR(S333=regle!$J$11,S333=regle!$K$11),-2,IF(S333=regle!$B$11,0,IF(AM$1=$AK$1,IF($O333,-1,regle!$B$2-$M333),IF(AL333=-1,-1,AL333+1))))</f>
        <v>22</v>
      </c>
      <c r="AN333" s="16">
        <f>IF(OR(T333=regle!$J$11,T333=regle!$K$11),-2,IF(T333=regle!$B$11,0,IF(AN$1=$AK$1,IF($O333,-1,regle!$B$2-$M333),IF(AM333=-1,-1,AM333+1))))</f>
        <v>23</v>
      </c>
      <c r="AO333" s="16">
        <f>IF(OR(U333=regle!$J$11,U333=regle!$K$11),-2,IF(U333=regle!$B$11,0,IF(AO$1=$AK$1,IF($O333,-1,regle!$B$2-$M333),IF(AN333=-1,-1,AN333+1))))</f>
        <v>24</v>
      </c>
      <c r="AP333" s="16">
        <f>IF(OR(V333=regle!$J$11,V333=regle!$K$11),-2,IF(V333=regle!$B$11,0,IF(AP$1=$AK$1,IF($O333,-1,regle!$B$2-$M333),IF(AO333=-1,-1,AO333+1))))</f>
        <v>-2</v>
      </c>
      <c r="AQ333" s="16">
        <f>IF(OR(W333=regle!$J$11,W333=regle!$K$11),-2,IF(W333=regle!$B$11,0,IF(AQ$1=$AK$1,IF($O333,-1,regle!$B$2-$M333),IF(AP333=-1,-1,AP333+1))))</f>
        <v>0</v>
      </c>
      <c r="AR333" s="16">
        <f>IF(OR(X333=regle!$J$11,X333=regle!$K$11),-2,IF(X333=regle!$B$11,0,IF(AR$1=$AK$1,IF($O333,-1,regle!$B$2-$M333),IF(AQ333=-1,-1,AQ333+1))))</f>
        <v>1</v>
      </c>
      <c r="AS333" s="16">
        <f>IF(OR(Y333=regle!$J$11,Y333=regle!$K$11),-2,IF(Y333=regle!$B$11,0,IF(AS$1=$AK$1,IF($O333,-1,regle!$B$2-$M333),IF(AR333=-1,-1,AR333+1))))</f>
        <v>2</v>
      </c>
      <c r="AT333" s="16">
        <f>IF(OR(Z333=regle!$J$11,Z333=regle!$K$11),-2,IF(Z333=regle!$B$11,0,IF(AT$1=$AK$1,IF($O333,-1,regle!$B$2-$M333),IF(AS333=-1,-1,AS333+1))))</f>
        <v>3</v>
      </c>
    </row>
    <row r="334" spans="1:46" x14ac:dyDescent="0.25">
      <c r="A334" t="b">
        <f>modif1!A334</f>
        <v>1</v>
      </c>
      <c r="B334">
        <f>ROW(modif1!B334)</f>
        <v>334</v>
      </c>
      <c r="C334" t="str">
        <f>modif1!C337</f>
        <v>202</v>
      </c>
      <c r="D334" t="str">
        <f>modif1!D334</f>
        <v>HOSTENS</v>
      </c>
      <c r="E334">
        <f>modif1!E334</f>
        <v>13</v>
      </c>
      <c r="F334" t="str">
        <f>modif1!F334</f>
        <v>LA BROUSTETTE</v>
      </c>
      <c r="G334" t="str">
        <f>modif1!G334</f>
        <v>0B</v>
      </c>
      <c r="H334">
        <f>modif1!H334</f>
        <v>1258</v>
      </c>
      <c r="I334" t="str">
        <f>modif1!I334</f>
        <v/>
      </c>
      <c r="J334" s="11">
        <f>modif1!J334</f>
        <v>0.72199999999999998</v>
      </c>
      <c r="K334" t="str">
        <f>modif1!K334</f>
        <v>PLA</v>
      </c>
      <c r="L334" t="str">
        <f>modif1!L334</f>
        <v>PM</v>
      </c>
      <c r="M334">
        <f>modif1!M334</f>
        <v>2004</v>
      </c>
      <c r="N334" t="str">
        <f>modif1!N334</f>
        <v>PLA-PM_2004</v>
      </c>
      <c r="O334" t="b">
        <f>modif1!O334</f>
        <v>0</v>
      </c>
      <c r="P334">
        <v>40</v>
      </c>
      <c r="V334" t="s">
        <v>1181</v>
      </c>
      <c r="W334" t="s">
        <v>1868</v>
      </c>
      <c r="Y334" t="s">
        <v>1872</v>
      </c>
      <c r="Z334"/>
      <c r="AA334" s="17">
        <f>IF($A334,$J334*(IF(Q334=regle!$B$11,regle!$B$23*IF(AJ334=-2,1+regle!$B$35,1),
IF(Q334=regle!$C$11,regle!$C$23,
IF(Q334=regle!$D$11,regle!$D$23,
IF(Q334=regle!$E$11,regle!$E$23,
IF(Q334=regle!$F$11,regle!$F$23,
IF(Q334=regle!$G$11,regle!$G$23,
IF(Q334=regle!$H$11,regle!$H$23,
IF(Q334=regle!$I$11,regle!$I$23,
IF(Q334=regle!$J$11,regle!$J$23,
IF(Q334=regle!$K$11,regle!$K$23,0))))))))))))</f>
        <v>0</v>
      </c>
      <c r="AB334" s="17">
        <f>IF($A334,$J334*(IF(R334=regle!$B$11,regle!$B$23*IF(AK334=-2,1+regle!$B$35,1),
IF(R334=regle!$C$11,regle!$C$23,
IF(R334=regle!$D$11,regle!$D$23,
IF(R334=regle!$E$11,regle!$E$23,
IF(R334=regle!$F$11,regle!$F$23,
IF(R334=regle!$G$11,regle!$G$23,
IF(R334=regle!$H$11,regle!$H$23,
IF(R334=regle!$I$11,regle!$I$23,
IF(R334=regle!$J$11,regle!$J$23,
IF(R334=regle!$K$11,regle!$K$23,0))))))))))))</f>
        <v>0</v>
      </c>
      <c r="AC334" s="17">
        <f>IF($A334,$J334*(IF(S334=regle!$B$11,regle!$B$23*IF(AL334=-2,1+regle!$B$35,1),
IF(S334=regle!$C$11,regle!$C$23,
IF(S334=regle!$D$11,regle!$D$23,
IF(S334=regle!$E$11,regle!$E$23,
IF(S334=regle!$F$11,regle!$F$23,
IF(S334=regle!$G$11,regle!$G$23,
IF(S334=regle!$H$11,regle!$H$23,
IF(S334=regle!$I$11,regle!$I$23,
IF(S334=regle!$J$11,regle!$J$23,
IF(S334=regle!$K$11,regle!$K$23,0))))))))))))</f>
        <v>0</v>
      </c>
      <c r="AD334" s="17">
        <f>IF($A334,$J334*(IF(T334=regle!$B$11,regle!$B$23*IF(AM334=-2,1+regle!$B$35,1),
IF(T334=regle!$C$11,regle!$C$23,
IF(T334=regle!$D$11,regle!$D$23,
IF(T334=regle!$E$11,regle!$E$23,
IF(T334=regle!$F$11,regle!$F$23,
IF(T334=regle!$G$11,regle!$G$23,
IF(T334=regle!$H$11,regle!$H$23,
IF(T334=regle!$I$11,regle!$I$23,
IF(T334=regle!$J$11,regle!$J$23,
IF(T334=regle!$K$11,regle!$K$23,0))))))))))))</f>
        <v>0</v>
      </c>
      <c r="AE334" s="17">
        <f>IF($A334,$J334*(IF(U334=regle!$B$11,regle!$B$23*IF(AN334=-2,1+regle!$B$35,1),
IF(U334=regle!$C$11,regle!$C$23,
IF(U334=regle!$D$11,regle!$D$23,
IF(U334=regle!$E$11,regle!$E$23,
IF(U334=regle!$F$11,regle!$F$23,
IF(U334=regle!$G$11,regle!$G$23,
IF(U334=regle!$H$11,regle!$H$23,
IF(U334=regle!$I$11,regle!$I$23,
IF(U334=regle!$J$11,regle!$J$23,
IF(U334=regle!$K$11,regle!$K$23,0))))))))))))</f>
        <v>0</v>
      </c>
      <c r="AF334" s="17">
        <f>IF($A334,$J334*(IF(V334=regle!$B$11,regle!$B$23*IF(AO334=-2,1+regle!$B$35,1),
IF(V334=regle!$C$11,regle!$C$23,
IF(V334=regle!$D$11,regle!$D$23,
IF(V334=regle!$E$11,regle!$E$23,
IF(V334=regle!$F$11,regle!$F$23,
IF(V334=regle!$G$11,regle!$G$23,
IF(V334=regle!$H$11,regle!$H$23,
IF(V334=regle!$I$11,regle!$I$23,
IF(V334=regle!$J$11,regle!$J$23,
IF(V334=regle!$K$11,regle!$K$23,0))))))))))))</f>
        <v>3754.4</v>
      </c>
      <c r="AG334" s="17">
        <f>IF($A334,$J334*(IF(W334=regle!$B$11,regle!$B$23*IF(AP334=-2,1+regle!$B$35,1),
IF(W334=regle!$C$11,regle!$C$23,
IF(W334=regle!$D$11,regle!$D$23,
IF(W334=regle!$E$11,regle!$E$23,
IF(W334=regle!$F$11,regle!$F$23,
IF(W334=regle!$G$11,regle!$G$23,
IF(W334=regle!$H$11,regle!$H$23,
IF(W334=regle!$I$11,regle!$I$23,
IF(W334=regle!$J$11,regle!$J$23,
IF(W334=regle!$K$11,regle!$K$23,0))))))))))))</f>
        <v>-1350.14</v>
      </c>
      <c r="AH334" s="17">
        <f>IF($A334,$J334*(IF(X334=regle!$B$11,regle!$B$23*IF(AQ334=-2,1+regle!$B$35,1),
IF(X334=regle!$C$11,regle!$C$23,
IF(X334=regle!$D$11,regle!$D$23,
IF(X334=regle!$E$11,regle!$E$23,
IF(X334=regle!$F$11,regle!$F$23,
IF(X334=regle!$G$11,regle!$G$23,
IF(X334=regle!$H$11,regle!$H$23,
IF(X334=regle!$I$11,regle!$I$23,
IF(X334=regle!$J$11,regle!$J$23,
IF(X334=regle!$K$11,regle!$K$23,0))))))))))))</f>
        <v>0</v>
      </c>
      <c r="AI334" s="17">
        <f>IF($A334,$J334*(IF(Y334=regle!$B$11,regle!$B$23*IF(AR334=-2,1+regle!$B$35,1),
IF(Y334=regle!$C$11,regle!$C$23,
IF(Y334=regle!$D$11,regle!$D$23,
IF(Y334=regle!$E$11,regle!$E$23,
IF(Y334=regle!$F$11,regle!$F$23,
IF(Y334=regle!$G$11,regle!$G$23,
IF(Y334=regle!$H$11,regle!$H$23,
IF(Y334=regle!$I$11,regle!$I$23,
IF(Y334=regle!$J$11,regle!$J$23,
IF(Y334=regle!$K$11,regle!$K$23,0))))))))))))</f>
        <v>-54.15</v>
      </c>
      <c r="AJ334" s="17">
        <f>IF($A334,$J334*(IF(Z334=regle!$B$11,regle!$B$23*IF(AS334=-2,1+regle!$B$35,1),
IF(Z334=regle!$C$11,regle!$C$23,
IF(Z334=regle!$D$11,regle!$D$23,
IF(Z334=regle!$E$11,regle!$E$23,
IF(Z334=regle!$F$11,regle!$F$23,
IF(Z334=regle!$G$11,regle!$G$23,
IF(Z334=regle!$H$11,regle!$H$23,
IF(Z334=regle!$I$11,regle!$I$23,
IF(Z334=regle!$J$11,regle!$J$23,
IF(Z334=regle!$K$11,regle!$K$23,0))))))))))))</f>
        <v>0</v>
      </c>
      <c r="AK334" s="16">
        <f>IF(OR(Q334=regle!$J$11,Q334=regle!$K$11),-2,IF(Q334=regle!$B$11,0,IF(AK$1=$AK$1,IF($O334,-1,regle!$B$2-$M334),IF(AJ334=-1,-1,AJ334+1))))</f>
        <v>20</v>
      </c>
      <c r="AL334" s="16">
        <f>IF(OR(R334=regle!$J$11,R334=regle!$K$11),-2,IF(R334=regle!$B$11,0,IF(AL$1=$AK$1,IF($O334,-1,regle!$B$2-$M334),IF(AK334=-1,-1,AK334+1))))</f>
        <v>21</v>
      </c>
      <c r="AM334" s="16">
        <f>IF(OR(S334=regle!$J$11,S334=regle!$K$11),-2,IF(S334=regle!$B$11,0,IF(AM$1=$AK$1,IF($O334,-1,regle!$B$2-$M334),IF(AL334=-1,-1,AL334+1))))</f>
        <v>22</v>
      </c>
      <c r="AN334" s="16">
        <f>IF(OR(T334=regle!$J$11,T334=regle!$K$11),-2,IF(T334=regle!$B$11,0,IF(AN$1=$AK$1,IF($O334,-1,regle!$B$2-$M334),IF(AM334=-1,-1,AM334+1))))</f>
        <v>23</v>
      </c>
      <c r="AO334" s="16">
        <f>IF(OR(U334=regle!$J$11,U334=regle!$K$11),-2,IF(U334=regle!$B$11,0,IF(AO$1=$AK$1,IF($O334,-1,regle!$B$2-$M334),IF(AN334=-1,-1,AN334+1))))</f>
        <v>24</v>
      </c>
      <c r="AP334" s="16">
        <f>IF(OR(V334=regle!$J$11,V334=regle!$K$11),-2,IF(V334=regle!$B$11,0,IF(AP$1=$AK$1,IF($O334,-1,regle!$B$2-$M334),IF(AO334=-1,-1,AO334+1))))</f>
        <v>-2</v>
      </c>
      <c r="AQ334" s="16">
        <f>IF(OR(W334=regle!$J$11,W334=regle!$K$11),-2,IF(W334=regle!$B$11,0,IF(AQ$1=$AK$1,IF($O334,-1,regle!$B$2-$M334),IF(AP334=-1,-1,AP334+1))))</f>
        <v>0</v>
      </c>
      <c r="AR334" s="16">
        <f>IF(OR(X334=regle!$J$11,X334=regle!$K$11),-2,IF(X334=regle!$B$11,0,IF(AR$1=$AK$1,IF($O334,-1,regle!$B$2-$M334),IF(AQ334=-1,-1,AQ334+1))))</f>
        <v>1</v>
      </c>
      <c r="AS334" s="16">
        <f>IF(OR(Y334=regle!$J$11,Y334=regle!$K$11),-2,IF(Y334=regle!$B$11,0,IF(AS$1=$AK$1,IF($O334,-1,regle!$B$2-$M334),IF(AR334=-1,-1,AR334+1))))</f>
        <v>2</v>
      </c>
      <c r="AT334" s="16">
        <f>IF(OR(Z334=regle!$J$11,Z334=regle!$K$11),-2,IF(Z334=regle!$B$11,0,IF(AT$1=$AK$1,IF($O334,-1,regle!$B$2-$M334),IF(AS334=-1,-1,AS334+1))))</f>
        <v>3</v>
      </c>
    </row>
    <row r="335" spans="1:46" x14ac:dyDescent="0.25">
      <c r="A335" t="b">
        <f>modif1!A335</f>
        <v>1</v>
      </c>
      <c r="B335">
        <f>ROW(modif1!B335)</f>
        <v>335</v>
      </c>
      <c r="C335" t="str">
        <f>modif1!C338</f>
        <v>202</v>
      </c>
      <c r="D335" t="str">
        <f>modif1!D335</f>
        <v>HOSTENS</v>
      </c>
      <c r="E335">
        <f>modif1!E335</f>
        <v>11</v>
      </c>
      <c r="F335" t="str">
        <f>modif1!F335</f>
        <v>LES CAZALAS</v>
      </c>
      <c r="G335" t="str">
        <f>modif1!G335</f>
        <v>0B</v>
      </c>
      <c r="H335">
        <f>modif1!H335</f>
        <v>1145</v>
      </c>
      <c r="I335" t="str">
        <f>modif1!I335</f>
        <v>k</v>
      </c>
      <c r="J335" s="11">
        <f>modif1!J335</f>
        <v>0.69789999999999996</v>
      </c>
      <c r="K335" t="str">
        <f>modif1!K335</f>
        <v>PLA</v>
      </c>
      <c r="L335" t="str">
        <f>modif1!L335</f>
        <v>PM</v>
      </c>
      <c r="M335">
        <f>modif1!M335</f>
        <v>2004</v>
      </c>
      <c r="N335" t="str">
        <f>modif1!N335</f>
        <v>PLA-PM_2004</v>
      </c>
      <c r="O335" t="b">
        <f>modif1!O335</f>
        <v>0</v>
      </c>
      <c r="P335">
        <v>40</v>
      </c>
      <c r="V335" t="s">
        <v>1181</v>
      </c>
      <c r="W335" t="s">
        <v>1868</v>
      </c>
      <c r="Y335" t="s">
        <v>1872</v>
      </c>
      <c r="Z335"/>
      <c r="AA335" s="17">
        <f>IF($A335,$J335*(IF(Q335=regle!$B$11,regle!$B$23*IF(AJ335=-2,1+regle!$B$35,1),
IF(Q335=regle!$C$11,regle!$C$23,
IF(Q335=regle!$D$11,regle!$D$23,
IF(Q335=regle!$E$11,regle!$E$23,
IF(Q335=regle!$F$11,regle!$F$23,
IF(Q335=regle!$G$11,regle!$G$23,
IF(Q335=regle!$H$11,regle!$H$23,
IF(Q335=regle!$I$11,regle!$I$23,
IF(Q335=regle!$J$11,regle!$J$23,
IF(Q335=regle!$K$11,regle!$K$23,0))))))))))))</f>
        <v>0</v>
      </c>
      <c r="AB335" s="17">
        <f>IF($A335,$J335*(IF(R335=regle!$B$11,regle!$B$23*IF(AK335=-2,1+regle!$B$35,1),
IF(R335=regle!$C$11,regle!$C$23,
IF(R335=regle!$D$11,regle!$D$23,
IF(R335=regle!$E$11,regle!$E$23,
IF(R335=regle!$F$11,regle!$F$23,
IF(R335=regle!$G$11,regle!$G$23,
IF(R335=regle!$H$11,regle!$H$23,
IF(R335=regle!$I$11,regle!$I$23,
IF(R335=regle!$J$11,regle!$J$23,
IF(R335=regle!$K$11,regle!$K$23,0))))))))))))</f>
        <v>0</v>
      </c>
      <c r="AC335" s="17">
        <f>IF($A335,$J335*(IF(S335=regle!$B$11,regle!$B$23*IF(AL335=-2,1+regle!$B$35,1),
IF(S335=regle!$C$11,regle!$C$23,
IF(S335=regle!$D$11,regle!$D$23,
IF(S335=regle!$E$11,regle!$E$23,
IF(S335=regle!$F$11,regle!$F$23,
IF(S335=regle!$G$11,regle!$G$23,
IF(S335=regle!$H$11,regle!$H$23,
IF(S335=regle!$I$11,regle!$I$23,
IF(S335=regle!$J$11,regle!$J$23,
IF(S335=regle!$K$11,regle!$K$23,0))))))))))))</f>
        <v>0</v>
      </c>
      <c r="AD335" s="17">
        <f>IF($A335,$J335*(IF(T335=regle!$B$11,regle!$B$23*IF(AM335=-2,1+regle!$B$35,1),
IF(T335=regle!$C$11,regle!$C$23,
IF(T335=regle!$D$11,regle!$D$23,
IF(T335=regle!$E$11,regle!$E$23,
IF(T335=regle!$F$11,regle!$F$23,
IF(T335=regle!$G$11,regle!$G$23,
IF(T335=regle!$H$11,regle!$H$23,
IF(T335=regle!$I$11,regle!$I$23,
IF(T335=regle!$J$11,regle!$J$23,
IF(T335=regle!$K$11,regle!$K$23,0))))))))))))</f>
        <v>0</v>
      </c>
      <c r="AE335" s="17">
        <f>IF($A335,$J335*(IF(U335=regle!$B$11,regle!$B$23*IF(AN335=-2,1+regle!$B$35,1),
IF(U335=regle!$C$11,regle!$C$23,
IF(U335=regle!$D$11,regle!$D$23,
IF(U335=regle!$E$11,regle!$E$23,
IF(U335=regle!$F$11,regle!$F$23,
IF(U335=regle!$G$11,regle!$G$23,
IF(U335=regle!$H$11,regle!$H$23,
IF(U335=regle!$I$11,regle!$I$23,
IF(U335=regle!$J$11,regle!$J$23,
IF(U335=regle!$K$11,regle!$K$23,0))))))))))))</f>
        <v>0</v>
      </c>
      <c r="AF335" s="17">
        <f>IF($A335,$J335*(IF(V335=regle!$B$11,regle!$B$23*IF(AO335=-2,1+regle!$B$35,1),
IF(V335=regle!$C$11,regle!$C$23,
IF(V335=regle!$D$11,regle!$D$23,
IF(V335=regle!$E$11,regle!$E$23,
IF(V335=regle!$F$11,regle!$F$23,
IF(V335=regle!$G$11,regle!$G$23,
IF(V335=regle!$H$11,regle!$H$23,
IF(V335=regle!$I$11,regle!$I$23,
IF(V335=regle!$J$11,regle!$J$23,
IF(V335=regle!$K$11,regle!$K$23,0))))))))))))</f>
        <v>3629.08</v>
      </c>
      <c r="AG335" s="17">
        <f>IF($A335,$J335*(IF(W335=regle!$B$11,regle!$B$23*IF(AP335=-2,1+regle!$B$35,1),
IF(W335=regle!$C$11,regle!$C$23,
IF(W335=regle!$D$11,regle!$D$23,
IF(W335=regle!$E$11,regle!$E$23,
IF(W335=regle!$F$11,regle!$F$23,
IF(W335=regle!$G$11,regle!$G$23,
IF(W335=regle!$H$11,regle!$H$23,
IF(W335=regle!$I$11,regle!$I$23,
IF(W335=regle!$J$11,regle!$J$23,
IF(W335=regle!$K$11,regle!$K$23,0))))))))))))</f>
        <v>-1305.0730000000001</v>
      </c>
      <c r="AH335" s="17">
        <f>IF($A335,$J335*(IF(X335=regle!$B$11,regle!$B$23*IF(AQ335=-2,1+regle!$B$35,1),
IF(X335=regle!$C$11,regle!$C$23,
IF(X335=regle!$D$11,regle!$D$23,
IF(X335=regle!$E$11,regle!$E$23,
IF(X335=regle!$F$11,regle!$F$23,
IF(X335=regle!$G$11,regle!$G$23,
IF(X335=regle!$H$11,regle!$H$23,
IF(X335=regle!$I$11,regle!$I$23,
IF(X335=regle!$J$11,regle!$J$23,
IF(X335=regle!$K$11,regle!$K$23,0))))))))))))</f>
        <v>0</v>
      </c>
      <c r="AI335" s="17">
        <f>IF($A335,$J335*(IF(Y335=regle!$B$11,regle!$B$23*IF(AR335=-2,1+regle!$B$35,1),
IF(Y335=regle!$C$11,regle!$C$23,
IF(Y335=regle!$D$11,regle!$D$23,
IF(Y335=regle!$E$11,regle!$E$23,
IF(Y335=regle!$F$11,regle!$F$23,
IF(Y335=regle!$G$11,regle!$G$23,
IF(Y335=regle!$H$11,regle!$H$23,
IF(Y335=regle!$I$11,regle!$I$23,
IF(Y335=regle!$J$11,regle!$J$23,
IF(Y335=regle!$K$11,regle!$K$23,0))))))))))))</f>
        <v>-52.342499999999994</v>
      </c>
      <c r="AJ335" s="17">
        <f>IF($A335,$J335*(IF(Z335=regle!$B$11,regle!$B$23*IF(AS335=-2,1+regle!$B$35,1),
IF(Z335=regle!$C$11,regle!$C$23,
IF(Z335=regle!$D$11,regle!$D$23,
IF(Z335=regle!$E$11,regle!$E$23,
IF(Z335=regle!$F$11,regle!$F$23,
IF(Z335=regle!$G$11,regle!$G$23,
IF(Z335=regle!$H$11,regle!$H$23,
IF(Z335=regle!$I$11,regle!$I$23,
IF(Z335=regle!$J$11,regle!$J$23,
IF(Z335=regle!$K$11,regle!$K$23,0))))))))))))</f>
        <v>0</v>
      </c>
      <c r="AK335" s="16">
        <f>IF(OR(Q335=regle!$J$11,Q335=regle!$K$11),-2,IF(Q335=regle!$B$11,0,IF(AK$1=$AK$1,IF($O335,-1,regle!$B$2-$M335),IF(AJ335=-1,-1,AJ335+1))))</f>
        <v>20</v>
      </c>
      <c r="AL335" s="16">
        <f>IF(OR(R335=regle!$J$11,R335=regle!$K$11),-2,IF(R335=regle!$B$11,0,IF(AL$1=$AK$1,IF($O335,-1,regle!$B$2-$M335),IF(AK335=-1,-1,AK335+1))))</f>
        <v>21</v>
      </c>
      <c r="AM335" s="16">
        <f>IF(OR(S335=regle!$J$11,S335=regle!$K$11),-2,IF(S335=regle!$B$11,0,IF(AM$1=$AK$1,IF($O335,-1,regle!$B$2-$M335),IF(AL335=-1,-1,AL335+1))))</f>
        <v>22</v>
      </c>
      <c r="AN335" s="16">
        <f>IF(OR(T335=regle!$J$11,T335=regle!$K$11),-2,IF(T335=regle!$B$11,0,IF(AN$1=$AK$1,IF($O335,-1,regle!$B$2-$M335),IF(AM335=-1,-1,AM335+1))))</f>
        <v>23</v>
      </c>
      <c r="AO335" s="16">
        <f>IF(OR(U335=regle!$J$11,U335=regle!$K$11),-2,IF(U335=regle!$B$11,0,IF(AO$1=$AK$1,IF($O335,-1,regle!$B$2-$M335),IF(AN335=-1,-1,AN335+1))))</f>
        <v>24</v>
      </c>
      <c r="AP335" s="16">
        <f>IF(OR(V335=regle!$J$11,V335=regle!$K$11),-2,IF(V335=regle!$B$11,0,IF(AP$1=$AK$1,IF($O335,-1,regle!$B$2-$M335),IF(AO335=-1,-1,AO335+1))))</f>
        <v>-2</v>
      </c>
      <c r="AQ335" s="16">
        <f>IF(OR(W335=regle!$J$11,W335=regle!$K$11),-2,IF(W335=regle!$B$11,0,IF(AQ$1=$AK$1,IF($O335,-1,regle!$B$2-$M335),IF(AP335=-1,-1,AP335+1))))</f>
        <v>0</v>
      </c>
      <c r="AR335" s="16">
        <f>IF(OR(X335=regle!$J$11,X335=regle!$K$11),-2,IF(X335=regle!$B$11,0,IF(AR$1=$AK$1,IF($O335,-1,regle!$B$2-$M335),IF(AQ335=-1,-1,AQ335+1))))</f>
        <v>1</v>
      </c>
      <c r="AS335" s="16">
        <f>IF(OR(Y335=regle!$J$11,Y335=regle!$K$11),-2,IF(Y335=regle!$B$11,0,IF(AS$1=$AK$1,IF($O335,-1,regle!$B$2-$M335),IF(AR335=-1,-1,AR335+1))))</f>
        <v>2</v>
      </c>
      <c r="AT335" s="16">
        <f>IF(OR(Z335=regle!$J$11,Z335=regle!$K$11),-2,IF(Z335=regle!$B$11,0,IF(AT$1=$AK$1,IF($O335,-1,regle!$B$2-$M335),IF(AS335=-1,-1,AS335+1))))</f>
        <v>3</v>
      </c>
    </row>
    <row r="336" spans="1:46" x14ac:dyDescent="0.25">
      <c r="A336" t="b">
        <f>modif1!A336</f>
        <v>1</v>
      </c>
      <c r="B336">
        <f>ROW(modif1!B336)</f>
        <v>336</v>
      </c>
      <c r="C336" t="str">
        <f>modif1!C339</f>
        <v>202</v>
      </c>
      <c r="D336" t="str">
        <f>modif1!D336</f>
        <v>HOSTENS</v>
      </c>
      <c r="E336">
        <f>modif1!E336</f>
        <v>13</v>
      </c>
      <c r="F336" t="str">
        <f>modif1!F336</f>
        <v>LA BROUSTETTE</v>
      </c>
      <c r="G336" t="str">
        <f>modif1!G336</f>
        <v>0B</v>
      </c>
      <c r="H336">
        <f>modif1!H336</f>
        <v>1261</v>
      </c>
      <c r="I336" t="str">
        <f>modif1!I336</f>
        <v/>
      </c>
      <c r="J336" s="11">
        <f>modif1!J336</f>
        <v>0.56499999999999995</v>
      </c>
      <c r="K336" t="str">
        <f>modif1!K336</f>
        <v>PLA</v>
      </c>
      <c r="L336" t="str">
        <f>modif1!L336</f>
        <v>PM</v>
      </c>
      <c r="M336">
        <f>modif1!M336</f>
        <v>2004</v>
      </c>
      <c r="N336" t="str">
        <f>modif1!N336</f>
        <v>PLA-PM_2004</v>
      </c>
      <c r="O336" t="b">
        <f>modif1!O336</f>
        <v>0</v>
      </c>
      <c r="P336">
        <v>40</v>
      </c>
      <c r="V336" t="s">
        <v>1181</v>
      </c>
      <c r="W336" t="s">
        <v>1868</v>
      </c>
      <c r="Y336" t="s">
        <v>1872</v>
      </c>
      <c r="Z336"/>
      <c r="AA336" s="17">
        <f>IF($A336,$J336*(IF(Q336=regle!$B$11,regle!$B$23*IF(AJ336=-2,1+regle!$B$35,1),
IF(Q336=regle!$C$11,regle!$C$23,
IF(Q336=regle!$D$11,regle!$D$23,
IF(Q336=regle!$E$11,regle!$E$23,
IF(Q336=regle!$F$11,regle!$F$23,
IF(Q336=regle!$G$11,regle!$G$23,
IF(Q336=regle!$H$11,regle!$H$23,
IF(Q336=regle!$I$11,regle!$I$23,
IF(Q336=regle!$J$11,regle!$J$23,
IF(Q336=regle!$K$11,regle!$K$23,0))))))))))))</f>
        <v>0</v>
      </c>
      <c r="AB336" s="17">
        <f>IF($A336,$J336*(IF(R336=regle!$B$11,regle!$B$23*IF(AK336=-2,1+regle!$B$35,1),
IF(R336=regle!$C$11,regle!$C$23,
IF(R336=regle!$D$11,regle!$D$23,
IF(R336=regle!$E$11,regle!$E$23,
IF(R336=regle!$F$11,regle!$F$23,
IF(R336=regle!$G$11,regle!$G$23,
IF(R336=regle!$H$11,regle!$H$23,
IF(R336=regle!$I$11,regle!$I$23,
IF(R336=regle!$J$11,regle!$J$23,
IF(R336=regle!$K$11,regle!$K$23,0))))))))))))</f>
        <v>0</v>
      </c>
      <c r="AC336" s="17">
        <f>IF($A336,$J336*(IF(S336=regle!$B$11,regle!$B$23*IF(AL336=-2,1+regle!$B$35,1),
IF(S336=regle!$C$11,regle!$C$23,
IF(S336=regle!$D$11,regle!$D$23,
IF(S336=regle!$E$11,regle!$E$23,
IF(S336=regle!$F$11,regle!$F$23,
IF(S336=regle!$G$11,regle!$G$23,
IF(S336=regle!$H$11,regle!$H$23,
IF(S336=regle!$I$11,regle!$I$23,
IF(S336=regle!$J$11,regle!$J$23,
IF(S336=regle!$K$11,regle!$K$23,0))))))))))))</f>
        <v>0</v>
      </c>
      <c r="AD336" s="17">
        <f>IF($A336,$J336*(IF(T336=regle!$B$11,regle!$B$23*IF(AM336=-2,1+regle!$B$35,1),
IF(T336=regle!$C$11,regle!$C$23,
IF(T336=regle!$D$11,regle!$D$23,
IF(T336=regle!$E$11,regle!$E$23,
IF(T336=regle!$F$11,regle!$F$23,
IF(T336=regle!$G$11,regle!$G$23,
IF(T336=regle!$H$11,regle!$H$23,
IF(T336=regle!$I$11,regle!$I$23,
IF(T336=regle!$J$11,regle!$J$23,
IF(T336=regle!$K$11,regle!$K$23,0))))))))))))</f>
        <v>0</v>
      </c>
      <c r="AE336" s="17">
        <f>IF($A336,$J336*(IF(U336=regle!$B$11,regle!$B$23*IF(AN336=-2,1+regle!$B$35,1),
IF(U336=regle!$C$11,regle!$C$23,
IF(U336=regle!$D$11,regle!$D$23,
IF(U336=regle!$E$11,regle!$E$23,
IF(U336=regle!$F$11,regle!$F$23,
IF(U336=regle!$G$11,regle!$G$23,
IF(U336=regle!$H$11,regle!$H$23,
IF(U336=regle!$I$11,regle!$I$23,
IF(U336=regle!$J$11,regle!$J$23,
IF(U336=regle!$K$11,regle!$K$23,0))))))))))))</f>
        <v>0</v>
      </c>
      <c r="AF336" s="17">
        <f>IF($A336,$J336*(IF(V336=regle!$B$11,regle!$B$23*IF(AO336=-2,1+regle!$B$35,1),
IF(V336=regle!$C$11,regle!$C$23,
IF(V336=regle!$D$11,regle!$D$23,
IF(V336=regle!$E$11,regle!$E$23,
IF(V336=regle!$F$11,regle!$F$23,
IF(V336=regle!$G$11,regle!$G$23,
IF(V336=regle!$H$11,regle!$H$23,
IF(V336=regle!$I$11,regle!$I$23,
IF(V336=regle!$J$11,regle!$J$23,
IF(V336=regle!$K$11,regle!$K$23,0))))))))))))</f>
        <v>2937.9999999999995</v>
      </c>
      <c r="AG336" s="17">
        <f>IF($A336,$J336*(IF(W336=regle!$B$11,regle!$B$23*IF(AP336=-2,1+regle!$B$35,1),
IF(W336=regle!$C$11,regle!$C$23,
IF(W336=regle!$D$11,regle!$D$23,
IF(W336=regle!$E$11,regle!$E$23,
IF(W336=regle!$F$11,regle!$F$23,
IF(W336=regle!$G$11,regle!$G$23,
IF(W336=regle!$H$11,regle!$H$23,
IF(W336=regle!$I$11,regle!$I$23,
IF(W336=regle!$J$11,regle!$J$23,
IF(W336=regle!$K$11,regle!$K$23,0))))))))))))</f>
        <v>-1056.55</v>
      </c>
      <c r="AH336" s="17">
        <f>IF($A336,$J336*(IF(X336=regle!$B$11,regle!$B$23*IF(AQ336=-2,1+regle!$B$35,1),
IF(X336=regle!$C$11,regle!$C$23,
IF(X336=regle!$D$11,regle!$D$23,
IF(X336=regle!$E$11,regle!$E$23,
IF(X336=regle!$F$11,regle!$F$23,
IF(X336=regle!$G$11,regle!$G$23,
IF(X336=regle!$H$11,regle!$H$23,
IF(X336=regle!$I$11,regle!$I$23,
IF(X336=regle!$J$11,regle!$J$23,
IF(X336=regle!$K$11,regle!$K$23,0))))))))))))</f>
        <v>0</v>
      </c>
      <c r="AI336" s="17">
        <f>IF($A336,$J336*(IF(Y336=regle!$B$11,regle!$B$23*IF(AR336=-2,1+regle!$B$35,1),
IF(Y336=regle!$C$11,regle!$C$23,
IF(Y336=regle!$D$11,regle!$D$23,
IF(Y336=regle!$E$11,regle!$E$23,
IF(Y336=regle!$F$11,regle!$F$23,
IF(Y336=regle!$G$11,regle!$G$23,
IF(Y336=regle!$H$11,regle!$H$23,
IF(Y336=regle!$I$11,regle!$I$23,
IF(Y336=regle!$J$11,regle!$J$23,
IF(Y336=regle!$K$11,regle!$K$23,0))))))))))))</f>
        <v>-42.374999999999993</v>
      </c>
      <c r="AJ336" s="17">
        <f>IF($A336,$J336*(IF(Z336=regle!$B$11,regle!$B$23*IF(AS336=-2,1+regle!$B$35,1),
IF(Z336=regle!$C$11,regle!$C$23,
IF(Z336=regle!$D$11,regle!$D$23,
IF(Z336=regle!$E$11,regle!$E$23,
IF(Z336=regle!$F$11,regle!$F$23,
IF(Z336=regle!$G$11,regle!$G$23,
IF(Z336=regle!$H$11,regle!$H$23,
IF(Z336=regle!$I$11,regle!$I$23,
IF(Z336=regle!$J$11,regle!$J$23,
IF(Z336=regle!$K$11,regle!$K$23,0))))))))))))</f>
        <v>0</v>
      </c>
      <c r="AK336" s="16">
        <f>IF(OR(Q336=regle!$J$11,Q336=regle!$K$11),-2,IF(Q336=regle!$B$11,0,IF(AK$1=$AK$1,IF($O336,-1,regle!$B$2-$M336),IF(AJ336=-1,-1,AJ336+1))))</f>
        <v>20</v>
      </c>
      <c r="AL336" s="16">
        <f>IF(OR(R336=regle!$J$11,R336=regle!$K$11),-2,IF(R336=regle!$B$11,0,IF(AL$1=$AK$1,IF($O336,-1,regle!$B$2-$M336),IF(AK336=-1,-1,AK336+1))))</f>
        <v>21</v>
      </c>
      <c r="AM336" s="16">
        <f>IF(OR(S336=regle!$J$11,S336=regle!$K$11),-2,IF(S336=regle!$B$11,0,IF(AM$1=$AK$1,IF($O336,-1,regle!$B$2-$M336),IF(AL336=-1,-1,AL336+1))))</f>
        <v>22</v>
      </c>
      <c r="AN336" s="16">
        <f>IF(OR(T336=regle!$J$11,T336=regle!$K$11),-2,IF(T336=regle!$B$11,0,IF(AN$1=$AK$1,IF($O336,-1,regle!$B$2-$M336),IF(AM336=-1,-1,AM336+1))))</f>
        <v>23</v>
      </c>
      <c r="AO336" s="16">
        <f>IF(OR(U336=regle!$J$11,U336=regle!$K$11),-2,IF(U336=regle!$B$11,0,IF(AO$1=$AK$1,IF($O336,-1,regle!$B$2-$M336),IF(AN336=-1,-1,AN336+1))))</f>
        <v>24</v>
      </c>
      <c r="AP336" s="16">
        <f>IF(OR(V336=regle!$J$11,V336=regle!$K$11),-2,IF(V336=regle!$B$11,0,IF(AP$1=$AK$1,IF($O336,-1,regle!$B$2-$M336),IF(AO336=-1,-1,AO336+1))))</f>
        <v>-2</v>
      </c>
      <c r="AQ336" s="16">
        <f>IF(OR(W336=regle!$J$11,W336=regle!$K$11),-2,IF(W336=regle!$B$11,0,IF(AQ$1=$AK$1,IF($O336,-1,regle!$B$2-$M336),IF(AP336=-1,-1,AP336+1))))</f>
        <v>0</v>
      </c>
      <c r="AR336" s="16">
        <f>IF(OR(X336=regle!$J$11,X336=regle!$K$11),-2,IF(X336=regle!$B$11,0,IF(AR$1=$AK$1,IF($O336,-1,regle!$B$2-$M336),IF(AQ336=-1,-1,AQ336+1))))</f>
        <v>1</v>
      </c>
      <c r="AS336" s="16">
        <f>IF(OR(Y336=regle!$J$11,Y336=regle!$K$11),-2,IF(Y336=regle!$B$11,0,IF(AS$1=$AK$1,IF($O336,-1,regle!$B$2-$M336),IF(AR336=-1,-1,AR336+1))))</f>
        <v>2</v>
      </c>
      <c r="AT336" s="16">
        <f>IF(OR(Z336=regle!$J$11,Z336=regle!$K$11),-2,IF(Z336=regle!$B$11,0,IF(AT$1=$AK$1,IF($O336,-1,regle!$B$2-$M336),IF(AS336=-1,-1,AS336+1))))</f>
        <v>3</v>
      </c>
    </row>
    <row r="337" spans="1:46" x14ac:dyDescent="0.25">
      <c r="A337" t="b">
        <f>modif1!A337</f>
        <v>1</v>
      </c>
      <c r="B337">
        <f>ROW(modif1!B337)</f>
        <v>337</v>
      </c>
      <c r="C337" t="str">
        <f>modif1!C340</f>
        <v>202</v>
      </c>
      <c r="D337" t="str">
        <f>modif1!D337</f>
        <v>HOSTENS</v>
      </c>
      <c r="E337">
        <f>modif1!E337</f>
        <v>13</v>
      </c>
      <c r="F337" t="str">
        <f>modif1!F337</f>
        <v>LA BROUSTETTE</v>
      </c>
      <c r="G337" t="str">
        <f>modif1!G337</f>
        <v>0B</v>
      </c>
      <c r="H337">
        <f>modif1!H337</f>
        <v>1262</v>
      </c>
      <c r="I337" t="str">
        <f>modif1!I337</f>
        <v/>
      </c>
      <c r="J337" s="11">
        <f>modif1!J337</f>
        <v>0.40200000000000002</v>
      </c>
      <c r="K337" t="str">
        <f>modif1!K337</f>
        <v>PLA</v>
      </c>
      <c r="L337" t="str">
        <f>modif1!L337</f>
        <v>PM</v>
      </c>
      <c r="M337">
        <f>modif1!M337</f>
        <v>2004</v>
      </c>
      <c r="N337" t="str">
        <f>modif1!N337</f>
        <v>PLA-PM_2004</v>
      </c>
      <c r="O337" t="b">
        <f>modif1!O337</f>
        <v>0</v>
      </c>
      <c r="P337">
        <v>40</v>
      </c>
      <c r="S337" t="s">
        <v>1805</v>
      </c>
      <c r="X337" t="s">
        <v>1806</v>
      </c>
      <c r="Z337"/>
      <c r="AA337" s="17">
        <f>IF($A337,$J337*(IF(Q337=regle!$B$11,regle!$B$23*IF(AJ337=-2,1+regle!$B$35,1),
IF(Q337=regle!$C$11,regle!$C$23,
IF(Q337=regle!$D$11,regle!$D$23,
IF(Q337=regle!$E$11,regle!$E$23,
IF(Q337=regle!$F$11,regle!$F$23,
IF(Q337=regle!$G$11,regle!$G$23,
IF(Q337=regle!$H$11,regle!$H$23,
IF(Q337=regle!$I$11,regle!$I$23,
IF(Q337=regle!$J$11,regle!$J$23,
IF(Q337=regle!$K$11,regle!$K$23,0))))))))))))</f>
        <v>0</v>
      </c>
      <c r="AB337" s="17">
        <f>IF($A337,$J337*(IF(R337=regle!$B$11,regle!$B$23*IF(AK337=-2,1+regle!$B$35,1),
IF(R337=regle!$C$11,regle!$C$23,
IF(R337=regle!$D$11,regle!$D$23,
IF(R337=regle!$E$11,regle!$E$23,
IF(R337=regle!$F$11,regle!$F$23,
IF(R337=regle!$G$11,regle!$G$23,
IF(R337=regle!$H$11,regle!$H$23,
IF(R337=regle!$I$11,regle!$I$23,
IF(R337=regle!$J$11,regle!$J$23,
IF(R337=regle!$K$11,regle!$K$23,0))))))))))))</f>
        <v>0</v>
      </c>
      <c r="AC337" s="17">
        <f>IF($A337,$J337*(IF(S337=regle!$B$11,regle!$B$23*IF(AL337=-2,1+regle!$B$35,1),
IF(S337=regle!$C$11,regle!$C$23,
IF(S337=regle!$D$11,regle!$D$23,
IF(S337=regle!$E$11,regle!$E$23,
IF(S337=regle!$F$11,regle!$F$23,
IF(S337=regle!$G$11,regle!$G$23,
IF(S337=regle!$H$11,regle!$H$23,
IF(S337=regle!$I$11,regle!$I$23,
IF(S337=regle!$J$11,regle!$J$23,
IF(S337=regle!$K$11,regle!$K$23,0))))))))))))</f>
        <v>566.01600000000008</v>
      </c>
      <c r="AD337" s="17">
        <f>IF($A337,$J337*(IF(T337=regle!$B$11,regle!$B$23*IF(AM337=-2,1+regle!$B$35,1),
IF(T337=regle!$C$11,regle!$C$23,
IF(T337=regle!$D$11,regle!$D$23,
IF(T337=regle!$E$11,regle!$E$23,
IF(T337=regle!$F$11,regle!$F$23,
IF(T337=regle!$G$11,regle!$G$23,
IF(T337=regle!$H$11,regle!$H$23,
IF(T337=regle!$I$11,regle!$I$23,
IF(T337=regle!$J$11,regle!$J$23,
IF(T337=regle!$K$11,regle!$K$23,0))))))))))))</f>
        <v>0</v>
      </c>
      <c r="AE337" s="17">
        <f>IF($A337,$J337*(IF(U337=regle!$B$11,regle!$B$23*IF(AN337=-2,1+regle!$B$35,1),
IF(U337=regle!$C$11,regle!$C$23,
IF(U337=regle!$D$11,regle!$D$23,
IF(U337=regle!$E$11,regle!$E$23,
IF(U337=regle!$F$11,regle!$F$23,
IF(U337=regle!$G$11,regle!$G$23,
IF(U337=regle!$H$11,regle!$H$23,
IF(U337=regle!$I$11,regle!$I$23,
IF(U337=regle!$J$11,regle!$J$23,
IF(U337=regle!$K$11,regle!$K$23,0))))))))))))</f>
        <v>0</v>
      </c>
      <c r="AF337" s="17">
        <f>IF($A337,$J337*(IF(V337=regle!$B$11,regle!$B$23*IF(AO337=-2,1+regle!$B$35,1),
IF(V337=regle!$C$11,regle!$C$23,
IF(V337=regle!$D$11,regle!$D$23,
IF(V337=regle!$E$11,regle!$E$23,
IF(V337=regle!$F$11,regle!$F$23,
IF(V337=regle!$G$11,regle!$G$23,
IF(V337=regle!$H$11,regle!$H$23,
IF(V337=regle!$I$11,regle!$I$23,
IF(V337=regle!$J$11,regle!$J$23,
IF(V337=regle!$K$11,regle!$K$23,0))))))))))))</f>
        <v>0</v>
      </c>
      <c r="AG337" s="17">
        <f>IF($A337,$J337*(IF(W337=regle!$B$11,regle!$B$23*IF(AP337=-2,1+regle!$B$35,1),
IF(W337=regle!$C$11,regle!$C$23,
IF(W337=regle!$D$11,regle!$D$23,
IF(W337=regle!$E$11,regle!$E$23,
IF(W337=regle!$F$11,regle!$F$23,
IF(W337=regle!$G$11,regle!$G$23,
IF(W337=regle!$H$11,regle!$H$23,
IF(W337=regle!$I$11,regle!$I$23,
IF(W337=regle!$J$11,regle!$J$23,
IF(W337=regle!$K$11,regle!$K$23,0))))))))))))</f>
        <v>0</v>
      </c>
      <c r="AH337" s="17">
        <f>IF($A337,$J337*(IF(X337=regle!$B$11,regle!$B$23*IF(AQ337=-2,1+regle!$B$35,1),
IF(X337=regle!$C$11,regle!$C$23,
IF(X337=regle!$D$11,regle!$D$23,
IF(X337=regle!$E$11,regle!$E$23,
IF(X337=regle!$F$11,regle!$F$23,
IF(X337=regle!$G$11,regle!$G$23,
IF(X337=regle!$H$11,regle!$H$23,
IF(X337=regle!$I$11,regle!$I$23,
IF(X337=regle!$J$11,regle!$J$23,
IF(X337=regle!$K$11,regle!$K$23,0))))))))))))</f>
        <v>514.56000000000006</v>
      </c>
      <c r="AI337" s="17">
        <f>IF($A337,$J337*(IF(Y337=regle!$B$11,regle!$B$23*IF(AR337=-2,1+regle!$B$35,1),
IF(Y337=regle!$C$11,regle!$C$23,
IF(Y337=regle!$D$11,regle!$D$23,
IF(Y337=regle!$E$11,regle!$E$23,
IF(Y337=regle!$F$11,regle!$F$23,
IF(Y337=regle!$G$11,regle!$G$23,
IF(Y337=regle!$H$11,regle!$H$23,
IF(Y337=regle!$I$11,regle!$I$23,
IF(Y337=regle!$J$11,regle!$J$23,
IF(Y337=regle!$K$11,regle!$K$23,0))))))))))))</f>
        <v>0</v>
      </c>
      <c r="AJ337" s="17">
        <f>IF($A337,$J337*(IF(Z337=regle!$B$11,regle!$B$23*IF(AS337=-2,1+regle!$B$35,1),
IF(Z337=regle!$C$11,regle!$C$23,
IF(Z337=regle!$D$11,regle!$D$23,
IF(Z337=regle!$E$11,regle!$E$23,
IF(Z337=regle!$F$11,regle!$F$23,
IF(Z337=regle!$G$11,regle!$G$23,
IF(Z337=regle!$H$11,regle!$H$23,
IF(Z337=regle!$I$11,regle!$I$23,
IF(Z337=regle!$J$11,regle!$J$23,
IF(Z337=regle!$K$11,regle!$K$23,0))))))))))))</f>
        <v>0</v>
      </c>
      <c r="AK337" s="16">
        <f>IF(OR(Q337=regle!$J$11,Q337=regle!$K$11),-2,IF(Q337=regle!$B$11,0,IF(AK$1=$AK$1,IF($O337,-1,regle!$B$2-$M337),IF(AJ337=-1,-1,AJ337+1))))</f>
        <v>20</v>
      </c>
      <c r="AL337" s="16">
        <f>IF(OR(R337=regle!$J$11,R337=regle!$K$11),-2,IF(R337=regle!$B$11,0,IF(AL$1=$AK$1,IF($O337,-1,regle!$B$2-$M337),IF(AK337=-1,-1,AK337+1))))</f>
        <v>21</v>
      </c>
      <c r="AM337" s="16">
        <f>IF(OR(S337=regle!$J$11,S337=regle!$K$11),-2,IF(S337=regle!$B$11,0,IF(AM$1=$AK$1,IF($O337,-1,regle!$B$2-$M337),IF(AL337=-1,-1,AL337+1))))</f>
        <v>22</v>
      </c>
      <c r="AN337" s="16">
        <f>IF(OR(T337=regle!$J$11,T337=regle!$K$11),-2,IF(T337=regle!$B$11,0,IF(AN$1=$AK$1,IF($O337,-1,regle!$B$2-$M337),IF(AM337=-1,-1,AM337+1))))</f>
        <v>23</v>
      </c>
      <c r="AO337" s="16">
        <f>IF(OR(U337=regle!$J$11,U337=regle!$K$11),-2,IF(U337=regle!$B$11,0,IF(AO$1=$AK$1,IF($O337,-1,regle!$B$2-$M337),IF(AN337=-1,-1,AN337+1))))</f>
        <v>24</v>
      </c>
      <c r="AP337" s="16">
        <f>IF(OR(V337=regle!$J$11,V337=regle!$K$11),-2,IF(V337=regle!$B$11,0,IF(AP$1=$AK$1,IF($O337,-1,regle!$B$2-$M337),IF(AO337=-1,-1,AO337+1))))</f>
        <v>25</v>
      </c>
      <c r="AQ337" s="16">
        <f>IF(OR(W337=regle!$J$11,W337=regle!$K$11),-2,IF(W337=regle!$B$11,0,IF(AQ$1=$AK$1,IF($O337,-1,regle!$B$2-$M337),IF(AP337=-1,-1,AP337+1))))</f>
        <v>26</v>
      </c>
      <c r="AR337" s="16">
        <f>IF(OR(X337=regle!$J$11,X337=regle!$K$11),-2,IF(X337=regle!$B$11,0,IF(AR$1=$AK$1,IF($O337,-1,regle!$B$2-$M337),IF(AQ337=-1,-1,AQ337+1))))</f>
        <v>27</v>
      </c>
      <c r="AS337" s="16">
        <f>IF(OR(Y337=regle!$J$11,Y337=regle!$K$11),-2,IF(Y337=regle!$B$11,0,IF(AS$1=$AK$1,IF($O337,-1,regle!$B$2-$M337),IF(AR337=-1,-1,AR337+1))))</f>
        <v>28</v>
      </c>
      <c r="AT337" s="16">
        <f>IF(OR(Z337=regle!$J$11,Z337=regle!$K$11),-2,IF(Z337=regle!$B$11,0,IF(AT$1=$AK$1,IF($O337,-1,regle!$B$2-$M337),IF(AS337=-1,-1,AS337+1))))</f>
        <v>29</v>
      </c>
    </row>
    <row r="338" spans="1:46" x14ac:dyDescent="0.25">
      <c r="A338" t="b">
        <f>modif1!A338</f>
        <v>1</v>
      </c>
      <c r="B338">
        <f>ROW(modif1!B338)</f>
        <v>338</v>
      </c>
      <c r="C338" t="str">
        <f>modif1!C341</f>
        <v>202</v>
      </c>
      <c r="D338" t="str">
        <f>modif1!D338</f>
        <v>HOSTENS</v>
      </c>
      <c r="E338">
        <f>modif1!E338</f>
        <v>11</v>
      </c>
      <c r="F338" t="str">
        <f>modif1!F338</f>
        <v>LES CAZALAS</v>
      </c>
      <c r="G338" t="str">
        <f>modif1!G338</f>
        <v>0B</v>
      </c>
      <c r="H338">
        <f>modif1!H338</f>
        <v>1148</v>
      </c>
      <c r="I338" t="str">
        <f>modif1!I338</f>
        <v/>
      </c>
      <c r="J338" s="11">
        <f>modif1!J338</f>
        <v>0.3715</v>
      </c>
      <c r="K338" t="str">
        <f>modif1!K338</f>
        <v>PLA</v>
      </c>
      <c r="L338" t="str">
        <f>modif1!L338</f>
        <v>PM</v>
      </c>
      <c r="M338">
        <f>modif1!M338</f>
        <v>2004</v>
      </c>
      <c r="N338" t="str">
        <f>modif1!N338</f>
        <v>PLA-PM_2004</v>
      </c>
      <c r="O338" t="b">
        <f>modif1!O338</f>
        <v>0</v>
      </c>
      <c r="P338">
        <v>40</v>
      </c>
      <c r="S338" t="s">
        <v>1805</v>
      </c>
      <c r="X338" t="s">
        <v>1806</v>
      </c>
      <c r="Z338"/>
      <c r="AA338" s="17">
        <f>IF($A338,$J338*(IF(Q338=regle!$B$11,regle!$B$23*IF(AJ338=-2,1+regle!$B$35,1),
IF(Q338=regle!$C$11,regle!$C$23,
IF(Q338=regle!$D$11,regle!$D$23,
IF(Q338=regle!$E$11,regle!$E$23,
IF(Q338=regle!$F$11,regle!$F$23,
IF(Q338=regle!$G$11,regle!$G$23,
IF(Q338=regle!$H$11,regle!$H$23,
IF(Q338=regle!$I$11,regle!$I$23,
IF(Q338=regle!$J$11,regle!$J$23,
IF(Q338=regle!$K$11,regle!$K$23,0))))))))))))</f>
        <v>0</v>
      </c>
      <c r="AB338" s="17">
        <f>IF($A338,$J338*(IF(R338=regle!$B$11,regle!$B$23*IF(AK338=-2,1+regle!$B$35,1),
IF(R338=regle!$C$11,regle!$C$23,
IF(R338=regle!$D$11,regle!$D$23,
IF(R338=regle!$E$11,regle!$E$23,
IF(R338=regle!$F$11,regle!$F$23,
IF(R338=regle!$G$11,regle!$G$23,
IF(R338=regle!$H$11,regle!$H$23,
IF(R338=regle!$I$11,regle!$I$23,
IF(R338=regle!$J$11,regle!$J$23,
IF(R338=regle!$K$11,regle!$K$23,0))))))))))))</f>
        <v>0</v>
      </c>
      <c r="AC338" s="17">
        <f>IF($A338,$J338*(IF(S338=regle!$B$11,regle!$B$23*IF(AL338=-2,1+regle!$B$35,1),
IF(S338=regle!$C$11,regle!$C$23,
IF(S338=regle!$D$11,regle!$D$23,
IF(S338=regle!$E$11,regle!$E$23,
IF(S338=regle!$F$11,regle!$F$23,
IF(S338=regle!$G$11,regle!$G$23,
IF(S338=regle!$H$11,regle!$H$23,
IF(S338=regle!$I$11,regle!$I$23,
IF(S338=regle!$J$11,regle!$J$23,
IF(S338=regle!$K$11,regle!$K$23,0))))))))))))</f>
        <v>523.072</v>
      </c>
      <c r="AD338" s="17">
        <f>IF($A338,$J338*(IF(T338=regle!$B$11,regle!$B$23*IF(AM338=-2,1+regle!$B$35,1),
IF(T338=regle!$C$11,regle!$C$23,
IF(T338=regle!$D$11,regle!$D$23,
IF(T338=regle!$E$11,regle!$E$23,
IF(T338=regle!$F$11,regle!$F$23,
IF(T338=regle!$G$11,regle!$G$23,
IF(T338=regle!$H$11,regle!$H$23,
IF(T338=regle!$I$11,regle!$I$23,
IF(T338=regle!$J$11,regle!$J$23,
IF(T338=regle!$K$11,regle!$K$23,0))))))))))))</f>
        <v>0</v>
      </c>
      <c r="AE338" s="17">
        <f>IF($A338,$J338*(IF(U338=regle!$B$11,regle!$B$23*IF(AN338=-2,1+regle!$B$35,1),
IF(U338=regle!$C$11,regle!$C$23,
IF(U338=regle!$D$11,regle!$D$23,
IF(U338=regle!$E$11,regle!$E$23,
IF(U338=regle!$F$11,regle!$F$23,
IF(U338=regle!$G$11,regle!$G$23,
IF(U338=regle!$H$11,regle!$H$23,
IF(U338=regle!$I$11,regle!$I$23,
IF(U338=regle!$J$11,regle!$J$23,
IF(U338=regle!$K$11,regle!$K$23,0))))))))))))</f>
        <v>0</v>
      </c>
      <c r="AF338" s="17">
        <f>IF($A338,$J338*(IF(V338=regle!$B$11,regle!$B$23*IF(AO338=-2,1+regle!$B$35,1),
IF(V338=regle!$C$11,regle!$C$23,
IF(V338=regle!$D$11,regle!$D$23,
IF(V338=regle!$E$11,regle!$E$23,
IF(V338=regle!$F$11,regle!$F$23,
IF(V338=regle!$G$11,regle!$G$23,
IF(V338=regle!$H$11,regle!$H$23,
IF(V338=regle!$I$11,regle!$I$23,
IF(V338=regle!$J$11,regle!$J$23,
IF(V338=regle!$K$11,regle!$K$23,0))))))))))))</f>
        <v>0</v>
      </c>
      <c r="AG338" s="17">
        <f>IF($A338,$J338*(IF(W338=regle!$B$11,regle!$B$23*IF(AP338=-2,1+regle!$B$35,1),
IF(W338=regle!$C$11,regle!$C$23,
IF(W338=regle!$D$11,regle!$D$23,
IF(W338=regle!$E$11,regle!$E$23,
IF(W338=regle!$F$11,regle!$F$23,
IF(W338=regle!$G$11,regle!$G$23,
IF(W338=regle!$H$11,regle!$H$23,
IF(W338=regle!$I$11,regle!$I$23,
IF(W338=regle!$J$11,regle!$J$23,
IF(W338=regle!$K$11,regle!$K$23,0))))))))))))</f>
        <v>0</v>
      </c>
      <c r="AH338" s="17">
        <f>IF($A338,$J338*(IF(X338=regle!$B$11,regle!$B$23*IF(AQ338=-2,1+regle!$B$35,1),
IF(X338=regle!$C$11,regle!$C$23,
IF(X338=regle!$D$11,regle!$D$23,
IF(X338=regle!$E$11,regle!$E$23,
IF(X338=regle!$F$11,regle!$F$23,
IF(X338=regle!$G$11,regle!$G$23,
IF(X338=regle!$H$11,regle!$H$23,
IF(X338=regle!$I$11,regle!$I$23,
IF(X338=regle!$J$11,regle!$J$23,
IF(X338=regle!$K$11,regle!$K$23,0))))))))))))</f>
        <v>475.52</v>
      </c>
      <c r="AI338" s="17">
        <f>IF($A338,$J338*(IF(Y338=regle!$B$11,regle!$B$23*IF(AR338=-2,1+regle!$B$35,1),
IF(Y338=regle!$C$11,regle!$C$23,
IF(Y338=regle!$D$11,regle!$D$23,
IF(Y338=regle!$E$11,regle!$E$23,
IF(Y338=regle!$F$11,regle!$F$23,
IF(Y338=regle!$G$11,regle!$G$23,
IF(Y338=regle!$H$11,regle!$H$23,
IF(Y338=regle!$I$11,regle!$I$23,
IF(Y338=regle!$J$11,regle!$J$23,
IF(Y338=regle!$K$11,regle!$K$23,0))))))))))))</f>
        <v>0</v>
      </c>
      <c r="AJ338" s="17">
        <f>IF($A338,$J338*(IF(Z338=regle!$B$11,regle!$B$23*IF(AS338=-2,1+regle!$B$35,1),
IF(Z338=regle!$C$11,regle!$C$23,
IF(Z338=regle!$D$11,regle!$D$23,
IF(Z338=regle!$E$11,regle!$E$23,
IF(Z338=regle!$F$11,regle!$F$23,
IF(Z338=regle!$G$11,regle!$G$23,
IF(Z338=regle!$H$11,regle!$H$23,
IF(Z338=regle!$I$11,regle!$I$23,
IF(Z338=regle!$J$11,regle!$J$23,
IF(Z338=regle!$K$11,regle!$K$23,0))))))))))))</f>
        <v>0</v>
      </c>
      <c r="AK338" s="16">
        <f>IF(OR(Q338=regle!$J$11,Q338=regle!$K$11),-2,IF(Q338=regle!$B$11,0,IF(AK$1=$AK$1,IF($O338,-1,regle!$B$2-$M338),IF(AJ338=-1,-1,AJ338+1))))</f>
        <v>20</v>
      </c>
      <c r="AL338" s="16">
        <f>IF(OR(R338=regle!$J$11,R338=regle!$K$11),-2,IF(R338=regle!$B$11,0,IF(AL$1=$AK$1,IF($O338,-1,regle!$B$2-$M338),IF(AK338=-1,-1,AK338+1))))</f>
        <v>21</v>
      </c>
      <c r="AM338" s="16">
        <f>IF(OR(S338=regle!$J$11,S338=regle!$K$11),-2,IF(S338=regle!$B$11,0,IF(AM$1=$AK$1,IF($O338,-1,regle!$B$2-$M338),IF(AL338=-1,-1,AL338+1))))</f>
        <v>22</v>
      </c>
      <c r="AN338" s="16">
        <f>IF(OR(T338=regle!$J$11,T338=regle!$K$11),-2,IF(T338=regle!$B$11,0,IF(AN$1=$AK$1,IF($O338,-1,regle!$B$2-$M338),IF(AM338=-1,-1,AM338+1))))</f>
        <v>23</v>
      </c>
      <c r="AO338" s="16">
        <f>IF(OR(U338=regle!$J$11,U338=regle!$K$11),-2,IF(U338=regle!$B$11,0,IF(AO$1=$AK$1,IF($O338,-1,regle!$B$2-$M338),IF(AN338=-1,-1,AN338+1))))</f>
        <v>24</v>
      </c>
      <c r="AP338" s="16">
        <f>IF(OR(V338=regle!$J$11,V338=regle!$K$11),-2,IF(V338=regle!$B$11,0,IF(AP$1=$AK$1,IF($O338,-1,regle!$B$2-$M338),IF(AO338=-1,-1,AO338+1))))</f>
        <v>25</v>
      </c>
      <c r="AQ338" s="16">
        <f>IF(OR(W338=regle!$J$11,W338=regle!$K$11),-2,IF(W338=regle!$B$11,0,IF(AQ$1=$AK$1,IF($O338,-1,regle!$B$2-$M338),IF(AP338=-1,-1,AP338+1))))</f>
        <v>26</v>
      </c>
      <c r="AR338" s="16">
        <f>IF(OR(X338=regle!$J$11,X338=regle!$K$11),-2,IF(X338=regle!$B$11,0,IF(AR$1=$AK$1,IF($O338,-1,regle!$B$2-$M338),IF(AQ338=-1,-1,AQ338+1))))</f>
        <v>27</v>
      </c>
      <c r="AS338" s="16">
        <f>IF(OR(Y338=regle!$J$11,Y338=regle!$K$11),-2,IF(Y338=regle!$B$11,0,IF(AS$1=$AK$1,IF($O338,-1,regle!$B$2-$M338),IF(AR338=-1,-1,AR338+1))))</f>
        <v>28</v>
      </c>
      <c r="AT338" s="16">
        <f>IF(OR(Z338=regle!$J$11,Z338=regle!$K$11),-2,IF(Z338=regle!$B$11,0,IF(AT$1=$AK$1,IF($O338,-1,regle!$B$2-$M338),IF(AS338=-1,-1,AS338+1))))</f>
        <v>29</v>
      </c>
    </row>
    <row r="339" spans="1:46" x14ac:dyDescent="0.25">
      <c r="A339" t="b">
        <f>modif1!A339</f>
        <v>1</v>
      </c>
      <c r="B339">
        <f>ROW(modif1!B339)</f>
        <v>339</v>
      </c>
      <c r="C339" t="str">
        <f>modif1!C342</f>
        <v>202</v>
      </c>
      <c r="D339" t="str">
        <f>modif1!D339</f>
        <v>HOSTENS</v>
      </c>
      <c r="E339">
        <f>modif1!E339</f>
        <v>11</v>
      </c>
      <c r="F339" t="str">
        <f>modif1!F339</f>
        <v>LES CAZALAS</v>
      </c>
      <c r="G339" t="str">
        <f>modif1!G339</f>
        <v>0B</v>
      </c>
      <c r="H339">
        <f>modif1!H339</f>
        <v>1149</v>
      </c>
      <c r="I339" t="str">
        <f>modif1!I339</f>
        <v>k</v>
      </c>
      <c r="J339" s="11">
        <f>modif1!J339</f>
        <v>0.32369999999999999</v>
      </c>
      <c r="K339" t="str">
        <f>modif1!K339</f>
        <v>PLA</v>
      </c>
      <c r="L339" t="str">
        <f>modif1!L339</f>
        <v>PM</v>
      </c>
      <c r="M339">
        <f>modif1!M339</f>
        <v>2004</v>
      </c>
      <c r="N339" t="str">
        <f>modif1!N339</f>
        <v>PLA-PM_2004</v>
      </c>
      <c r="O339" t="b">
        <f>modif1!O339</f>
        <v>0</v>
      </c>
      <c r="P339">
        <v>40</v>
      </c>
      <c r="S339" t="s">
        <v>1805</v>
      </c>
      <c r="X339" t="s">
        <v>1806</v>
      </c>
      <c r="Z339"/>
      <c r="AA339" s="17">
        <f>IF($A339,$J339*(IF(Q339=regle!$B$11,regle!$B$23*IF(AJ339=-2,1+regle!$B$35,1),
IF(Q339=regle!$C$11,regle!$C$23,
IF(Q339=regle!$D$11,regle!$D$23,
IF(Q339=regle!$E$11,regle!$E$23,
IF(Q339=regle!$F$11,regle!$F$23,
IF(Q339=regle!$G$11,regle!$G$23,
IF(Q339=regle!$H$11,regle!$H$23,
IF(Q339=regle!$I$11,regle!$I$23,
IF(Q339=regle!$J$11,regle!$J$23,
IF(Q339=regle!$K$11,regle!$K$23,0))))))))))))</f>
        <v>0</v>
      </c>
      <c r="AB339" s="17">
        <f>IF($A339,$J339*(IF(R339=regle!$B$11,regle!$B$23*IF(AK339=-2,1+regle!$B$35,1),
IF(R339=regle!$C$11,regle!$C$23,
IF(R339=regle!$D$11,regle!$D$23,
IF(R339=regle!$E$11,regle!$E$23,
IF(R339=regle!$F$11,regle!$F$23,
IF(R339=regle!$G$11,regle!$G$23,
IF(R339=regle!$H$11,regle!$H$23,
IF(R339=regle!$I$11,regle!$I$23,
IF(R339=regle!$J$11,regle!$J$23,
IF(R339=regle!$K$11,regle!$K$23,0))))))))))))</f>
        <v>0</v>
      </c>
      <c r="AC339" s="17">
        <f>IF($A339,$J339*(IF(S339=regle!$B$11,regle!$B$23*IF(AL339=-2,1+regle!$B$35,1),
IF(S339=regle!$C$11,regle!$C$23,
IF(S339=regle!$D$11,regle!$D$23,
IF(S339=regle!$E$11,regle!$E$23,
IF(S339=regle!$F$11,regle!$F$23,
IF(S339=regle!$G$11,regle!$G$23,
IF(S339=regle!$H$11,regle!$H$23,
IF(S339=regle!$I$11,regle!$I$23,
IF(S339=regle!$J$11,regle!$J$23,
IF(S339=regle!$K$11,regle!$K$23,0))))))))))))</f>
        <v>455.76959999999997</v>
      </c>
      <c r="AD339" s="17">
        <f>IF($A339,$J339*(IF(T339=regle!$B$11,regle!$B$23*IF(AM339=-2,1+regle!$B$35,1),
IF(T339=regle!$C$11,regle!$C$23,
IF(T339=regle!$D$11,regle!$D$23,
IF(T339=regle!$E$11,regle!$E$23,
IF(T339=regle!$F$11,regle!$F$23,
IF(T339=regle!$G$11,regle!$G$23,
IF(T339=regle!$H$11,regle!$H$23,
IF(T339=regle!$I$11,regle!$I$23,
IF(T339=regle!$J$11,regle!$J$23,
IF(T339=regle!$K$11,regle!$K$23,0))))))))))))</f>
        <v>0</v>
      </c>
      <c r="AE339" s="17">
        <f>IF($A339,$J339*(IF(U339=regle!$B$11,regle!$B$23*IF(AN339=-2,1+regle!$B$35,1),
IF(U339=regle!$C$11,regle!$C$23,
IF(U339=regle!$D$11,regle!$D$23,
IF(U339=regle!$E$11,regle!$E$23,
IF(U339=regle!$F$11,regle!$F$23,
IF(U339=regle!$G$11,regle!$G$23,
IF(U339=regle!$H$11,regle!$H$23,
IF(U339=regle!$I$11,regle!$I$23,
IF(U339=regle!$J$11,regle!$J$23,
IF(U339=regle!$K$11,regle!$K$23,0))))))))))))</f>
        <v>0</v>
      </c>
      <c r="AF339" s="17">
        <f>IF($A339,$J339*(IF(V339=regle!$B$11,regle!$B$23*IF(AO339=-2,1+regle!$B$35,1),
IF(V339=regle!$C$11,regle!$C$23,
IF(V339=regle!$D$11,regle!$D$23,
IF(V339=regle!$E$11,regle!$E$23,
IF(V339=regle!$F$11,regle!$F$23,
IF(V339=regle!$G$11,regle!$G$23,
IF(V339=regle!$H$11,regle!$H$23,
IF(V339=regle!$I$11,regle!$I$23,
IF(V339=regle!$J$11,regle!$J$23,
IF(V339=regle!$K$11,regle!$K$23,0))))))))))))</f>
        <v>0</v>
      </c>
      <c r="AG339" s="17">
        <f>IF($A339,$J339*(IF(W339=regle!$B$11,regle!$B$23*IF(AP339=-2,1+regle!$B$35,1),
IF(W339=regle!$C$11,regle!$C$23,
IF(W339=regle!$D$11,regle!$D$23,
IF(W339=regle!$E$11,regle!$E$23,
IF(W339=regle!$F$11,regle!$F$23,
IF(W339=regle!$G$11,regle!$G$23,
IF(W339=regle!$H$11,regle!$H$23,
IF(W339=regle!$I$11,regle!$I$23,
IF(W339=regle!$J$11,regle!$J$23,
IF(W339=regle!$K$11,regle!$K$23,0))))))))))))</f>
        <v>0</v>
      </c>
      <c r="AH339" s="17">
        <f>IF($A339,$J339*(IF(X339=regle!$B$11,regle!$B$23*IF(AQ339=-2,1+regle!$B$35,1),
IF(X339=regle!$C$11,regle!$C$23,
IF(X339=regle!$D$11,regle!$D$23,
IF(X339=regle!$E$11,regle!$E$23,
IF(X339=regle!$F$11,regle!$F$23,
IF(X339=regle!$G$11,regle!$G$23,
IF(X339=regle!$H$11,regle!$H$23,
IF(X339=regle!$I$11,regle!$I$23,
IF(X339=regle!$J$11,regle!$J$23,
IF(X339=regle!$K$11,regle!$K$23,0))))))))))))</f>
        <v>414.33600000000001</v>
      </c>
      <c r="AI339" s="17">
        <f>IF($A339,$J339*(IF(Y339=regle!$B$11,regle!$B$23*IF(AR339=-2,1+regle!$B$35,1),
IF(Y339=regle!$C$11,regle!$C$23,
IF(Y339=regle!$D$11,regle!$D$23,
IF(Y339=regle!$E$11,regle!$E$23,
IF(Y339=regle!$F$11,regle!$F$23,
IF(Y339=regle!$G$11,regle!$G$23,
IF(Y339=regle!$H$11,regle!$H$23,
IF(Y339=regle!$I$11,regle!$I$23,
IF(Y339=regle!$J$11,regle!$J$23,
IF(Y339=regle!$K$11,regle!$K$23,0))))))))))))</f>
        <v>0</v>
      </c>
      <c r="AJ339" s="17">
        <f>IF($A339,$J339*(IF(Z339=regle!$B$11,regle!$B$23*IF(AS339=-2,1+regle!$B$35,1),
IF(Z339=regle!$C$11,regle!$C$23,
IF(Z339=regle!$D$11,regle!$D$23,
IF(Z339=regle!$E$11,regle!$E$23,
IF(Z339=regle!$F$11,regle!$F$23,
IF(Z339=regle!$G$11,regle!$G$23,
IF(Z339=regle!$H$11,regle!$H$23,
IF(Z339=regle!$I$11,regle!$I$23,
IF(Z339=regle!$J$11,regle!$J$23,
IF(Z339=regle!$K$11,regle!$K$23,0))))))))))))</f>
        <v>0</v>
      </c>
      <c r="AK339" s="16">
        <f>IF(OR(Q339=regle!$J$11,Q339=regle!$K$11),-2,IF(Q339=regle!$B$11,0,IF(AK$1=$AK$1,IF($O339,-1,regle!$B$2-$M339),IF(AJ339=-1,-1,AJ339+1))))</f>
        <v>20</v>
      </c>
      <c r="AL339" s="16">
        <f>IF(OR(R339=regle!$J$11,R339=regle!$K$11),-2,IF(R339=regle!$B$11,0,IF(AL$1=$AK$1,IF($O339,-1,regle!$B$2-$M339),IF(AK339=-1,-1,AK339+1))))</f>
        <v>21</v>
      </c>
      <c r="AM339" s="16">
        <f>IF(OR(S339=regle!$J$11,S339=regle!$K$11),-2,IF(S339=regle!$B$11,0,IF(AM$1=$AK$1,IF($O339,-1,regle!$B$2-$M339),IF(AL339=-1,-1,AL339+1))))</f>
        <v>22</v>
      </c>
      <c r="AN339" s="16">
        <f>IF(OR(T339=regle!$J$11,T339=regle!$K$11),-2,IF(T339=regle!$B$11,0,IF(AN$1=$AK$1,IF($O339,-1,regle!$B$2-$M339),IF(AM339=-1,-1,AM339+1))))</f>
        <v>23</v>
      </c>
      <c r="AO339" s="16">
        <f>IF(OR(U339=regle!$J$11,U339=regle!$K$11),-2,IF(U339=regle!$B$11,0,IF(AO$1=$AK$1,IF($O339,-1,regle!$B$2-$M339),IF(AN339=-1,-1,AN339+1))))</f>
        <v>24</v>
      </c>
      <c r="AP339" s="16">
        <f>IF(OR(V339=regle!$J$11,V339=regle!$K$11),-2,IF(V339=regle!$B$11,0,IF(AP$1=$AK$1,IF($O339,-1,regle!$B$2-$M339),IF(AO339=-1,-1,AO339+1))))</f>
        <v>25</v>
      </c>
      <c r="AQ339" s="16">
        <f>IF(OR(W339=regle!$J$11,W339=regle!$K$11),-2,IF(W339=regle!$B$11,0,IF(AQ$1=$AK$1,IF($O339,-1,regle!$B$2-$M339),IF(AP339=-1,-1,AP339+1))))</f>
        <v>26</v>
      </c>
      <c r="AR339" s="16">
        <f>IF(OR(X339=regle!$J$11,X339=regle!$K$11),-2,IF(X339=regle!$B$11,0,IF(AR$1=$AK$1,IF($O339,-1,regle!$B$2-$M339),IF(AQ339=-1,-1,AQ339+1))))</f>
        <v>27</v>
      </c>
      <c r="AS339" s="16">
        <f>IF(OR(Y339=regle!$J$11,Y339=regle!$K$11),-2,IF(Y339=regle!$B$11,0,IF(AS$1=$AK$1,IF($O339,-1,regle!$B$2-$M339),IF(AR339=-1,-1,AR339+1))))</f>
        <v>28</v>
      </c>
      <c r="AT339" s="16">
        <f>IF(OR(Z339=regle!$J$11,Z339=regle!$K$11),-2,IF(Z339=regle!$B$11,0,IF(AT$1=$AK$1,IF($O339,-1,regle!$B$2-$M339),IF(AS339=-1,-1,AS339+1))))</f>
        <v>29</v>
      </c>
    </row>
    <row r="340" spans="1:46" x14ac:dyDescent="0.25">
      <c r="A340" t="b">
        <f>modif1!A340</f>
        <v>1</v>
      </c>
      <c r="B340">
        <f>ROW(modif1!B340)</f>
        <v>340</v>
      </c>
      <c r="C340" t="str">
        <f>modif1!C343</f>
        <v>202</v>
      </c>
      <c r="D340" t="str">
        <f>modif1!D340</f>
        <v>HOSTENS</v>
      </c>
      <c r="E340">
        <f>modif1!E340</f>
        <v>11</v>
      </c>
      <c r="F340" t="str">
        <f>modif1!F340</f>
        <v>LES CAZALAS</v>
      </c>
      <c r="G340" t="str">
        <f>modif1!G340</f>
        <v>0B</v>
      </c>
      <c r="H340">
        <f>modif1!H340</f>
        <v>1142</v>
      </c>
      <c r="I340" t="str">
        <f>modif1!I340</f>
        <v>j</v>
      </c>
      <c r="J340" s="11">
        <f>modif1!J340</f>
        <v>0.23860000000000001</v>
      </c>
      <c r="K340" t="str">
        <f>modif1!K340</f>
        <v>PLA</v>
      </c>
      <c r="L340" t="str">
        <f>modif1!L340</f>
        <v>PM</v>
      </c>
      <c r="M340">
        <f>modif1!M340</f>
        <v>2004</v>
      </c>
      <c r="N340" t="str">
        <f>modif1!N340</f>
        <v>PLA-PM_2004</v>
      </c>
      <c r="O340" t="b">
        <f>modif1!O340</f>
        <v>0</v>
      </c>
      <c r="P340">
        <v>40</v>
      </c>
      <c r="S340" t="s">
        <v>1805</v>
      </c>
      <c r="X340" t="s">
        <v>1806</v>
      </c>
      <c r="Z340"/>
      <c r="AA340" s="17">
        <f>IF($A340,$J340*(IF(Q340=regle!$B$11,regle!$B$23*IF(AJ340=-2,1+regle!$B$35,1),
IF(Q340=regle!$C$11,regle!$C$23,
IF(Q340=regle!$D$11,regle!$D$23,
IF(Q340=regle!$E$11,regle!$E$23,
IF(Q340=regle!$F$11,regle!$F$23,
IF(Q340=regle!$G$11,regle!$G$23,
IF(Q340=regle!$H$11,regle!$H$23,
IF(Q340=regle!$I$11,regle!$I$23,
IF(Q340=regle!$J$11,regle!$J$23,
IF(Q340=regle!$K$11,regle!$K$23,0))))))))))))</f>
        <v>0</v>
      </c>
      <c r="AB340" s="17">
        <f>IF($A340,$J340*(IF(R340=regle!$B$11,regle!$B$23*IF(AK340=-2,1+regle!$B$35,1),
IF(R340=regle!$C$11,regle!$C$23,
IF(R340=regle!$D$11,regle!$D$23,
IF(R340=regle!$E$11,regle!$E$23,
IF(R340=regle!$F$11,regle!$F$23,
IF(R340=regle!$G$11,regle!$G$23,
IF(R340=regle!$H$11,regle!$H$23,
IF(R340=regle!$I$11,regle!$I$23,
IF(R340=regle!$J$11,regle!$J$23,
IF(R340=regle!$K$11,regle!$K$23,0))))))))))))</f>
        <v>0</v>
      </c>
      <c r="AC340" s="17">
        <f>IF($A340,$J340*(IF(S340=regle!$B$11,regle!$B$23*IF(AL340=-2,1+regle!$B$35,1),
IF(S340=regle!$C$11,regle!$C$23,
IF(S340=regle!$D$11,regle!$D$23,
IF(S340=regle!$E$11,regle!$E$23,
IF(S340=regle!$F$11,regle!$F$23,
IF(S340=regle!$G$11,regle!$G$23,
IF(S340=regle!$H$11,regle!$H$23,
IF(S340=regle!$I$11,regle!$I$23,
IF(S340=regle!$J$11,regle!$J$23,
IF(S340=regle!$K$11,regle!$K$23,0))))))))))))</f>
        <v>335.94880000000001</v>
      </c>
      <c r="AD340" s="17">
        <f>IF($A340,$J340*(IF(T340=regle!$B$11,regle!$B$23*IF(AM340=-2,1+regle!$B$35,1),
IF(T340=regle!$C$11,regle!$C$23,
IF(T340=regle!$D$11,regle!$D$23,
IF(T340=regle!$E$11,regle!$E$23,
IF(T340=regle!$F$11,regle!$F$23,
IF(T340=regle!$G$11,regle!$G$23,
IF(T340=regle!$H$11,regle!$H$23,
IF(T340=regle!$I$11,regle!$I$23,
IF(T340=regle!$J$11,regle!$J$23,
IF(T340=regle!$K$11,regle!$K$23,0))))))))))))</f>
        <v>0</v>
      </c>
      <c r="AE340" s="17">
        <f>IF($A340,$J340*(IF(U340=regle!$B$11,regle!$B$23*IF(AN340=-2,1+regle!$B$35,1),
IF(U340=regle!$C$11,regle!$C$23,
IF(U340=regle!$D$11,regle!$D$23,
IF(U340=regle!$E$11,regle!$E$23,
IF(U340=regle!$F$11,regle!$F$23,
IF(U340=regle!$G$11,regle!$G$23,
IF(U340=regle!$H$11,regle!$H$23,
IF(U340=regle!$I$11,regle!$I$23,
IF(U340=regle!$J$11,regle!$J$23,
IF(U340=regle!$K$11,regle!$K$23,0))))))))))))</f>
        <v>0</v>
      </c>
      <c r="AF340" s="17">
        <f>IF($A340,$J340*(IF(V340=regle!$B$11,regle!$B$23*IF(AO340=-2,1+regle!$B$35,1),
IF(V340=regle!$C$11,regle!$C$23,
IF(V340=regle!$D$11,regle!$D$23,
IF(V340=regle!$E$11,regle!$E$23,
IF(V340=regle!$F$11,regle!$F$23,
IF(V340=regle!$G$11,regle!$G$23,
IF(V340=regle!$H$11,regle!$H$23,
IF(V340=regle!$I$11,regle!$I$23,
IF(V340=regle!$J$11,regle!$J$23,
IF(V340=regle!$K$11,regle!$K$23,0))))))))))))</f>
        <v>0</v>
      </c>
      <c r="AG340" s="17">
        <f>IF($A340,$J340*(IF(W340=regle!$B$11,regle!$B$23*IF(AP340=-2,1+regle!$B$35,1),
IF(W340=regle!$C$11,regle!$C$23,
IF(W340=regle!$D$11,regle!$D$23,
IF(W340=regle!$E$11,regle!$E$23,
IF(W340=regle!$F$11,regle!$F$23,
IF(W340=regle!$G$11,regle!$G$23,
IF(W340=regle!$H$11,regle!$H$23,
IF(W340=regle!$I$11,regle!$I$23,
IF(W340=regle!$J$11,regle!$J$23,
IF(W340=regle!$K$11,regle!$K$23,0))))))))))))</f>
        <v>0</v>
      </c>
      <c r="AH340" s="17">
        <f>IF($A340,$J340*(IF(X340=regle!$B$11,regle!$B$23*IF(AQ340=-2,1+regle!$B$35,1),
IF(X340=regle!$C$11,regle!$C$23,
IF(X340=regle!$D$11,regle!$D$23,
IF(X340=regle!$E$11,regle!$E$23,
IF(X340=regle!$F$11,regle!$F$23,
IF(X340=regle!$G$11,regle!$G$23,
IF(X340=regle!$H$11,regle!$H$23,
IF(X340=regle!$I$11,regle!$I$23,
IF(X340=regle!$J$11,regle!$J$23,
IF(X340=regle!$K$11,regle!$K$23,0))))))))))))</f>
        <v>305.40800000000002</v>
      </c>
      <c r="AI340" s="17">
        <f>IF($A340,$J340*(IF(Y340=regle!$B$11,regle!$B$23*IF(AR340=-2,1+regle!$B$35,1),
IF(Y340=regle!$C$11,regle!$C$23,
IF(Y340=regle!$D$11,regle!$D$23,
IF(Y340=regle!$E$11,regle!$E$23,
IF(Y340=regle!$F$11,regle!$F$23,
IF(Y340=regle!$G$11,regle!$G$23,
IF(Y340=regle!$H$11,regle!$H$23,
IF(Y340=regle!$I$11,regle!$I$23,
IF(Y340=regle!$J$11,regle!$J$23,
IF(Y340=regle!$K$11,regle!$K$23,0))))))))))))</f>
        <v>0</v>
      </c>
      <c r="AJ340" s="17">
        <f>IF($A340,$J340*(IF(Z340=regle!$B$11,regle!$B$23*IF(AS340=-2,1+regle!$B$35,1),
IF(Z340=regle!$C$11,regle!$C$23,
IF(Z340=regle!$D$11,regle!$D$23,
IF(Z340=regle!$E$11,regle!$E$23,
IF(Z340=regle!$F$11,regle!$F$23,
IF(Z340=regle!$G$11,regle!$G$23,
IF(Z340=regle!$H$11,regle!$H$23,
IF(Z340=regle!$I$11,regle!$I$23,
IF(Z340=regle!$J$11,regle!$J$23,
IF(Z340=regle!$K$11,regle!$K$23,0))))))))))))</f>
        <v>0</v>
      </c>
      <c r="AK340" s="16">
        <f>IF(OR(Q340=regle!$J$11,Q340=regle!$K$11),-2,IF(Q340=regle!$B$11,0,IF(AK$1=$AK$1,IF($O340,-1,regle!$B$2-$M340),IF(AJ340=-1,-1,AJ340+1))))</f>
        <v>20</v>
      </c>
      <c r="AL340" s="16">
        <f>IF(OR(R340=regle!$J$11,R340=regle!$K$11),-2,IF(R340=regle!$B$11,0,IF(AL$1=$AK$1,IF($O340,-1,regle!$B$2-$M340),IF(AK340=-1,-1,AK340+1))))</f>
        <v>21</v>
      </c>
      <c r="AM340" s="16">
        <f>IF(OR(S340=regle!$J$11,S340=regle!$K$11),-2,IF(S340=regle!$B$11,0,IF(AM$1=$AK$1,IF($O340,-1,regle!$B$2-$M340),IF(AL340=-1,-1,AL340+1))))</f>
        <v>22</v>
      </c>
      <c r="AN340" s="16">
        <f>IF(OR(T340=regle!$J$11,T340=regle!$K$11),-2,IF(T340=regle!$B$11,0,IF(AN$1=$AK$1,IF($O340,-1,regle!$B$2-$M340),IF(AM340=-1,-1,AM340+1))))</f>
        <v>23</v>
      </c>
      <c r="AO340" s="16">
        <f>IF(OR(U340=regle!$J$11,U340=regle!$K$11),-2,IF(U340=regle!$B$11,0,IF(AO$1=$AK$1,IF($O340,-1,regle!$B$2-$M340),IF(AN340=-1,-1,AN340+1))))</f>
        <v>24</v>
      </c>
      <c r="AP340" s="16">
        <f>IF(OR(V340=regle!$J$11,V340=regle!$K$11),-2,IF(V340=regle!$B$11,0,IF(AP$1=$AK$1,IF($O340,-1,regle!$B$2-$M340),IF(AO340=-1,-1,AO340+1))))</f>
        <v>25</v>
      </c>
      <c r="AQ340" s="16">
        <f>IF(OR(W340=regle!$J$11,W340=regle!$K$11),-2,IF(W340=regle!$B$11,0,IF(AQ$1=$AK$1,IF($O340,-1,regle!$B$2-$M340),IF(AP340=-1,-1,AP340+1))))</f>
        <v>26</v>
      </c>
      <c r="AR340" s="16">
        <f>IF(OR(X340=regle!$J$11,X340=regle!$K$11),-2,IF(X340=regle!$B$11,0,IF(AR$1=$AK$1,IF($O340,-1,regle!$B$2-$M340),IF(AQ340=-1,-1,AQ340+1))))</f>
        <v>27</v>
      </c>
      <c r="AS340" s="16">
        <f>IF(OR(Y340=regle!$J$11,Y340=regle!$K$11),-2,IF(Y340=regle!$B$11,0,IF(AS$1=$AK$1,IF($O340,-1,regle!$B$2-$M340),IF(AR340=-1,-1,AR340+1))))</f>
        <v>28</v>
      </c>
      <c r="AT340" s="16">
        <f>IF(OR(Z340=regle!$J$11,Z340=regle!$K$11),-2,IF(Z340=regle!$B$11,0,IF(AT$1=$AK$1,IF($O340,-1,regle!$B$2-$M340),IF(AS340=-1,-1,AS340+1))))</f>
        <v>29</v>
      </c>
    </row>
    <row r="341" spans="1:46" x14ac:dyDescent="0.25">
      <c r="A341" t="b">
        <f>modif1!A341</f>
        <v>1</v>
      </c>
      <c r="B341">
        <f>ROW(modif1!B341)</f>
        <v>341</v>
      </c>
      <c r="C341" t="str">
        <f>modif1!C344</f>
        <v>536</v>
      </c>
      <c r="D341" t="str">
        <f>modif1!D341</f>
        <v>HOSTENS</v>
      </c>
      <c r="E341">
        <f>modif1!E341</f>
        <v>13</v>
      </c>
      <c r="F341" t="str">
        <f>modif1!F341</f>
        <v>LA BROUSTETTE</v>
      </c>
      <c r="G341" t="str">
        <f>modif1!G341</f>
        <v>0B</v>
      </c>
      <c r="H341">
        <f>modif1!H341</f>
        <v>1259</v>
      </c>
      <c r="I341" t="str">
        <f>modif1!I341</f>
        <v/>
      </c>
      <c r="J341" s="11">
        <f>modif1!J341</f>
        <v>7.0999999999999994E-2</v>
      </c>
      <c r="K341" t="str">
        <f>modif1!K341</f>
        <v>PLA</v>
      </c>
      <c r="L341" t="str">
        <f>modif1!L341</f>
        <v>PM</v>
      </c>
      <c r="M341">
        <f>modif1!M341</f>
        <v>2004</v>
      </c>
      <c r="N341" t="str">
        <f>modif1!N341</f>
        <v>PLA-PM_2004</v>
      </c>
      <c r="O341" t="b">
        <f>modif1!O341</f>
        <v>0</v>
      </c>
      <c r="P341">
        <v>40</v>
      </c>
      <c r="S341" t="s">
        <v>1805</v>
      </c>
      <c r="X341" t="s">
        <v>1806</v>
      </c>
      <c r="Z341"/>
      <c r="AA341" s="17">
        <f>IF($A341,$J341*(IF(Q341=regle!$B$11,regle!$B$23*IF(AJ341=-2,1+regle!$B$35,1),
IF(Q341=regle!$C$11,regle!$C$23,
IF(Q341=regle!$D$11,regle!$D$23,
IF(Q341=regle!$E$11,regle!$E$23,
IF(Q341=regle!$F$11,regle!$F$23,
IF(Q341=regle!$G$11,regle!$G$23,
IF(Q341=regle!$H$11,regle!$H$23,
IF(Q341=regle!$I$11,regle!$I$23,
IF(Q341=regle!$J$11,regle!$J$23,
IF(Q341=regle!$K$11,regle!$K$23,0))))))))))))</f>
        <v>0</v>
      </c>
      <c r="AB341" s="17">
        <f>IF($A341,$J341*(IF(R341=regle!$B$11,regle!$B$23*IF(AK341=-2,1+regle!$B$35,1),
IF(R341=regle!$C$11,regle!$C$23,
IF(R341=regle!$D$11,regle!$D$23,
IF(R341=regle!$E$11,regle!$E$23,
IF(R341=regle!$F$11,regle!$F$23,
IF(R341=regle!$G$11,regle!$G$23,
IF(R341=regle!$H$11,regle!$H$23,
IF(R341=regle!$I$11,regle!$I$23,
IF(R341=regle!$J$11,regle!$J$23,
IF(R341=regle!$K$11,regle!$K$23,0))))))))))))</f>
        <v>0</v>
      </c>
      <c r="AC341" s="17">
        <f>IF($A341,$J341*(IF(S341=regle!$B$11,regle!$B$23*IF(AL341=-2,1+regle!$B$35,1),
IF(S341=regle!$C$11,regle!$C$23,
IF(S341=regle!$D$11,regle!$D$23,
IF(S341=regle!$E$11,regle!$E$23,
IF(S341=regle!$F$11,regle!$F$23,
IF(S341=regle!$G$11,regle!$G$23,
IF(S341=regle!$H$11,regle!$H$23,
IF(S341=regle!$I$11,regle!$I$23,
IF(S341=regle!$J$11,regle!$J$23,
IF(S341=regle!$K$11,regle!$K$23,0))))))))))))</f>
        <v>99.967999999999989</v>
      </c>
      <c r="AD341" s="17">
        <f>IF($A341,$J341*(IF(T341=regle!$B$11,regle!$B$23*IF(AM341=-2,1+regle!$B$35,1),
IF(T341=regle!$C$11,regle!$C$23,
IF(T341=regle!$D$11,regle!$D$23,
IF(T341=regle!$E$11,regle!$E$23,
IF(T341=regle!$F$11,regle!$F$23,
IF(T341=regle!$G$11,regle!$G$23,
IF(T341=regle!$H$11,regle!$H$23,
IF(T341=regle!$I$11,regle!$I$23,
IF(T341=regle!$J$11,regle!$J$23,
IF(T341=regle!$K$11,regle!$K$23,0))))))))))))</f>
        <v>0</v>
      </c>
      <c r="AE341" s="17">
        <f>IF($A341,$J341*(IF(U341=regle!$B$11,regle!$B$23*IF(AN341=-2,1+regle!$B$35,1),
IF(U341=regle!$C$11,regle!$C$23,
IF(U341=regle!$D$11,regle!$D$23,
IF(U341=regle!$E$11,regle!$E$23,
IF(U341=regle!$F$11,regle!$F$23,
IF(U341=regle!$G$11,regle!$G$23,
IF(U341=regle!$H$11,regle!$H$23,
IF(U341=regle!$I$11,regle!$I$23,
IF(U341=regle!$J$11,regle!$J$23,
IF(U341=regle!$K$11,regle!$K$23,0))))))))))))</f>
        <v>0</v>
      </c>
      <c r="AF341" s="17">
        <f>IF($A341,$J341*(IF(V341=regle!$B$11,regle!$B$23*IF(AO341=-2,1+regle!$B$35,1),
IF(V341=regle!$C$11,regle!$C$23,
IF(V341=regle!$D$11,regle!$D$23,
IF(V341=regle!$E$11,regle!$E$23,
IF(V341=regle!$F$11,regle!$F$23,
IF(V341=regle!$G$11,regle!$G$23,
IF(V341=regle!$H$11,regle!$H$23,
IF(V341=regle!$I$11,regle!$I$23,
IF(V341=regle!$J$11,regle!$J$23,
IF(V341=regle!$K$11,regle!$K$23,0))))))))))))</f>
        <v>0</v>
      </c>
      <c r="AG341" s="17">
        <f>IF($A341,$J341*(IF(W341=regle!$B$11,regle!$B$23*IF(AP341=-2,1+regle!$B$35,1),
IF(W341=regle!$C$11,regle!$C$23,
IF(W341=regle!$D$11,regle!$D$23,
IF(W341=regle!$E$11,regle!$E$23,
IF(W341=regle!$F$11,regle!$F$23,
IF(W341=regle!$G$11,regle!$G$23,
IF(W341=regle!$H$11,regle!$H$23,
IF(W341=regle!$I$11,regle!$I$23,
IF(W341=regle!$J$11,regle!$J$23,
IF(W341=regle!$K$11,regle!$K$23,0))))))))))))</f>
        <v>0</v>
      </c>
      <c r="AH341" s="17">
        <f>IF($A341,$J341*(IF(X341=regle!$B$11,regle!$B$23*IF(AQ341=-2,1+regle!$B$35,1),
IF(X341=regle!$C$11,regle!$C$23,
IF(X341=regle!$D$11,regle!$D$23,
IF(X341=regle!$E$11,regle!$E$23,
IF(X341=regle!$F$11,regle!$F$23,
IF(X341=regle!$G$11,regle!$G$23,
IF(X341=regle!$H$11,regle!$H$23,
IF(X341=regle!$I$11,regle!$I$23,
IF(X341=regle!$J$11,regle!$J$23,
IF(X341=regle!$K$11,regle!$K$23,0))))))))))))</f>
        <v>90.88</v>
      </c>
      <c r="AI341" s="17">
        <f>IF($A341,$J341*(IF(Y341=regle!$B$11,regle!$B$23*IF(AR341=-2,1+regle!$B$35,1),
IF(Y341=regle!$C$11,regle!$C$23,
IF(Y341=regle!$D$11,regle!$D$23,
IF(Y341=regle!$E$11,regle!$E$23,
IF(Y341=regle!$F$11,regle!$F$23,
IF(Y341=regle!$G$11,regle!$G$23,
IF(Y341=regle!$H$11,regle!$H$23,
IF(Y341=regle!$I$11,regle!$I$23,
IF(Y341=regle!$J$11,regle!$J$23,
IF(Y341=regle!$K$11,regle!$K$23,0))))))))))))</f>
        <v>0</v>
      </c>
      <c r="AJ341" s="17">
        <f>IF($A341,$J341*(IF(Z341=regle!$B$11,regle!$B$23*IF(AS341=-2,1+regle!$B$35,1),
IF(Z341=regle!$C$11,regle!$C$23,
IF(Z341=regle!$D$11,regle!$D$23,
IF(Z341=regle!$E$11,regle!$E$23,
IF(Z341=regle!$F$11,regle!$F$23,
IF(Z341=regle!$G$11,regle!$G$23,
IF(Z341=regle!$H$11,regle!$H$23,
IF(Z341=regle!$I$11,regle!$I$23,
IF(Z341=regle!$J$11,regle!$J$23,
IF(Z341=regle!$K$11,regle!$K$23,0))))))))))))</f>
        <v>0</v>
      </c>
      <c r="AK341" s="16">
        <f>IF(OR(Q341=regle!$J$11,Q341=regle!$K$11),-2,IF(Q341=regle!$B$11,0,IF(AK$1=$AK$1,IF($O341,-1,regle!$B$2-$M341),IF(AJ341=-1,-1,AJ341+1))))</f>
        <v>20</v>
      </c>
      <c r="AL341" s="16">
        <f>IF(OR(R341=regle!$J$11,R341=regle!$K$11),-2,IF(R341=regle!$B$11,0,IF(AL$1=$AK$1,IF($O341,-1,regle!$B$2-$M341),IF(AK341=-1,-1,AK341+1))))</f>
        <v>21</v>
      </c>
      <c r="AM341" s="16">
        <f>IF(OR(S341=regle!$J$11,S341=regle!$K$11),-2,IF(S341=regle!$B$11,0,IF(AM$1=$AK$1,IF($O341,-1,regle!$B$2-$M341),IF(AL341=-1,-1,AL341+1))))</f>
        <v>22</v>
      </c>
      <c r="AN341" s="16">
        <f>IF(OR(T341=regle!$J$11,T341=regle!$K$11),-2,IF(T341=regle!$B$11,0,IF(AN$1=$AK$1,IF($O341,-1,regle!$B$2-$M341),IF(AM341=-1,-1,AM341+1))))</f>
        <v>23</v>
      </c>
      <c r="AO341" s="16">
        <f>IF(OR(U341=regle!$J$11,U341=regle!$K$11),-2,IF(U341=regle!$B$11,0,IF(AO$1=$AK$1,IF($O341,-1,regle!$B$2-$M341),IF(AN341=-1,-1,AN341+1))))</f>
        <v>24</v>
      </c>
      <c r="AP341" s="16">
        <f>IF(OR(V341=regle!$J$11,V341=regle!$K$11),-2,IF(V341=regle!$B$11,0,IF(AP$1=$AK$1,IF($O341,-1,regle!$B$2-$M341),IF(AO341=-1,-1,AO341+1))))</f>
        <v>25</v>
      </c>
      <c r="AQ341" s="16">
        <f>IF(OR(W341=regle!$J$11,W341=regle!$K$11),-2,IF(W341=regle!$B$11,0,IF(AQ$1=$AK$1,IF($O341,-1,regle!$B$2-$M341),IF(AP341=-1,-1,AP341+1))))</f>
        <v>26</v>
      </c>
      <c r="AR341" s="16">
        <f>IF(OR(X341=regle!$J$11,X341=regle!$K$11),-2,IF(X341=regle!$B$11,0,IF(AR$1=$AK$1,IF($O341,-1,regle!$B$2-$M341),IF(AQ341=-1,-1,AQ341+1))))</f>
        <v>27</v>
      </c>
      <c r="AS341" s="16">
        <f>IF(OR(Y341=regle!$J$11,Y341=regle!$K$11),-2,IF(Y341=regle!$B$11,0,IF(AS$1=$AK$1,IF($O341,-1,regle!$B$2-$M341),IF(AR341=-1,-1,AR341+1))))</f>
        <v>28</v>
      </c>
      <c r="AT341" s="16">
        <f>IF(OR(Z341=regle!$J$11,Z341=regle!$K$11),-2,IF(Z341=regle!$B$11,0,IF(AT$1=$AK$1,IF($O341,-1,regle!$B$2-$M341),IF(AS341=-1,-1,AS341+1))))</f>
        <v>29</v>
      </c>
    </row>
    <row r="342" spans="1:46" x14ac:dyDescent="0.25">
      <c r="A342" t="b">
        <f>modif1!A342</f>
        <v>1</v>
      </c>
      <c r="B342">
        <f>ROW(modif1!B342)</f>
        <v>342</v>
      </c>
      <c r="C342" t="str">
        <f>modif1!C345</f>
        <v>536</v>
      </c>
      <c r="D342" t="str">
        <f>modif1!D342</f>
        <v>HOSTENS</v>
      </c>
      <c r="E342">
        <f>modif1!E342</f>
        <v>13</v>
      </c>
      <c r="F342" t="str">
        <f>modif1!F342</f>
        <v>LA BROUSTETTE</v>
      </c>
      <c r="G342" t="str">
        <f>modif1!G342</f>
        <v>0B</v>
      </c>
      <c r="H342">
        <f>modif1!H342</f>
        <v>1264</v>
      </c>
      <c r="I342" t="str">
        <f>modif1!I342</f>
        <v/>
      </c>
      <c r="J342" s="11">
        <f>modif1!J342</f>
        <v>1.7999999999999999E-2</v>
      </c>
      <c r="K342" t="str">
        <f>modif1!K342</f>
        <v>PLA</v>
      </c>
      <c r="L342" t="str">
        <f>modif1!L342</f>
        <v>PM</v>
      </c>
      <c r="M342">
        <f>modif1!M342</f>
        <v>2004</v>
      </c>
      <c r="N342" t="str">
        <f>modif1!N342</f>
        <v>PLA-PM_2004</v>
      </c>
      <c r="O342" t="b">
        <f>modif1!O342</f>
        <v>0</v>
      </c>
      <c r="P342">
        <v>40</v>
      </c>
      <c r="S342" t="s">
        <v>1805</v>
      </c>
      <c r="X342" t="s">
        <v>1806</v>
      </c>
      <c r="Z342"/>
      <c r="AA342" s="17">
        <f>IF($A342,$J342*(IF(Q342=regle!$B$11,regle!$B$23*IF(AJ342=-2,1+regle!$B$35,1),
IF(Q342=regle!$C$11,regle!$C$23,
IF(Q342=regle!$D$11,regle!$D$23,
IF(Q342=regle!$E$11,regle!$E$23,
IF(Q342=regle!$F$11,regle!$F$23,
IF(Q342=regle!$G$11,regle!$G$23,
IF(Q342=regle!$H$11,regle!$H$23,
IF(Q342=regle!$I$11,regle!$I$23,
IF(Q342=regle!$J$11,regle!$J$23,
IF(Q342=regle!$K$11,regle!$K$23,0))))))))))))</f>
        <v>0</v>
      </c>
      <c r="AB342" s="17">
        <f>IF($A342,$J342*(IF(R342=regle!$B$11,regle!$B$23*IF(AK342=-2,1+regle!$B$35,1),
IF(R342=regle!$C$11,regle!$C$23,
IF(R342=regle!$D$11,regle!$D$23,
IF(R342=regle!$E$11,regle!$E$23,
IF(R342=regle!$F$11,regle!$F$23,
IF(R342=regle!$G$11,regle!$G$23,
IF(R342=regle!$H$11,regle!$H$23,
IF(R342=regle!$I$11,regle!$I$23,
IF(R342=regle!$J$11,regle!$J$23,
IF(R342=regle!$K$11,regle!$K$23,0))))))))))))</f>
        <v>0</v>
      </c>
      <c r="AC342" s="17">
        <f>IF($A342,$J342*(IF(S342=regle!$B$11,regle!$B$23*IF(AL342=-2,1+regle!$B$35,1),
IF(S342=regle!$C$11,regle!$C$23,
IF(S342=regle!$D$11,regle!$D$23,
IF(S342=regle!$E$11,regle!$E$23,
IF(S342=regle!$F$11,regle!$F$23,
IF(S342=regle!$G$11,regle!$G$23,
IF(S342=regle!$H$11,regle!$H$23,
IF(S342=regle!$I$11,regle!$I$23,
IF(S342=regle!$J$11,regle!$J$23,
IF(S342=regle!$K$11,regle!$K$23,0))))))))))))</f>
        <v>25.343999999999998</v>
      </c>
      <c r="AD342" s="17">
        <f>IF($A342,$J342*(IF(T342=regle!$B$11,regle!$B$23*IF(AM342=-2,1+regle!$B$35,1),
IF(T342=regle!$C$11,regle!$C$23,
IF(T342=regle!$D$11,regle!$D$23,
IF(T342=regle!$E$11,regle!$E$23,
IF(T342=regle!$F$11,regle!$F$23,
IF(T342=regle!$G$11,regle!$G$23,
IF(T342=regle!$H$11,regle!$H$23,
IF(T342=regle!$I$11,regle!$I$23,
IF(T342=regle!$J$11,regle!$J$23,
IF(T342=regle!$K$11,regle!$K$23,0))))))))))))</f>
        <v>0</v>
      </c>
      <c r="AE342" s="17">
        <f>IF($A342,$J342*(IF(U342=regle!$B$11,regle!$B$23*IF(AN342=-2,1+regle!$B$35,1),
IF(U342=regle!$C$11,regle!$C$23,
IF(U342=regle!$D$11,regle!$D$23,
IF(U342=regle!$E$11,regle!$E$23,
IF(U342=regle!$F$11,regle!$F$23,
IF(U342=regle!$G$11,regle!$G$23,
IF(U342=regle!$H$11,regle!$H$23,
IF(U342=regle!$I$11,regle!$I$23,
IF(U342=regle!$J$11,regle!$J$23,
IF(U342=regle!$K$11,regle!$K$23,0))))))))))))</f>
        <v>0</v>
      </c>
      <c r="AF342" s="17">
        <f>IF($A342,$J342*(IF(V342=regle!$B$11,regle!$B$23*IF(AO342=-2,1+regle!$B$35,1),
IF(V342=regle!$C$11,regle!$C$23,
IF(V342=regle!$D$11,regle!$D$23,
IF(V342=regle!$E$11,regle!$E$23,
IF(V342=regle!$F$11,regle!$F$23,
IF(V342=regle!$G$11,regle!$G$23,
IF(V342=regle!$H$11,regle!$H$23,
IF(V342=regle!$I$11,regle!$I$23,
IF(V342=regle!$J$11,regle!$J$23,
IF(V342=regle!$K$11,regle!$K$23,0))))))))))))</f>
        <v>0</v>
      </c>
      <c r="AG342" s="17">
        <f>IF($A342,$J342*(IF(W342=regle!$B$11,regle!$B$23*IF(AP342=-2,1+regle!$B$35,1),
IF(W342=regle!$C$11,regle!$C$23,
IF(W342=regle!$D$11,regle!$D$23,
IF(W342=regle!$E$11,regle!$E$23,
IF(W342=regle!$F$11,regle!$F$23,
IF(W342=regle!$G$11,regle!$G$23,
IF(W342=regle!$H$11,regle!$H$23,
IF(W342=regle!$I$11,regle!$I$23,
IF(W342=regle!$J$11,regle!$J$23,
IF(W342=regle!$K$11,regle!$K$23,0))))))))))))</f>
        <v>0</v>
      </c>
      <c r="AH342" s="17">
        <f>IF($A342,$J342*(IF(X342=regle!$B$11,regle!$B$23*IF(AQ342=-2,1+regle!$B$35,1),
IF(X342=regle!$C$11,regle!$C$23,
IF(X342=regle!$D$11,regle!$D$23,
IF(X342=regle!$E$11,regle!$E$23,
IF(X342=regle!$F$11,regle!$F$23,
IF(X342=regle!$G$11,regle!$G$23,
IF(X342=regle!$H$11,regle!$H$23,
IF(X342=regle!$I$11,regle!$I$23,
IF(X342=regle!$J$11,regle!$J$23,
IF(X342=regle!$K$11,regle!$K$23,0))))))))))))</f>
        <v>23.04</v>
      </c>
      <c r="AI342" s="17">
        <f>IF($A342,$J342*(IF(Y342=regle!$B$11,regle!$B$23*IF(AR342=-2,1+regle!$B$35,1),
IF(Y342=regle!$C$11,regle!$C$23,
IF(Y342=regle!$D$11,regle!$D$23,
IF(Y342=regle!$E$11,regle!$E$23,
IF(Y342=regle!$F$11,regle!$F$23,
IF(Y342=regle!$G$11,regle!$G$23,
IF(Y342=regle!$H$11,regle!$H$23,
IF(Y342=regle!$I$11,regle!$I$23,
IF(Y342=regle!$J$11,regle!$J$23,
IF(Y342=regle!$K$11,regle!$K$23,0))))))))))))</f>
        <v>0</v>
      </c>
      <c r="AJ342" s="17">
        <f>IF($A342,$J342*(IF(Z342=regle!$B$11,regle!$B$23*IF(AS342=-2,1+regle!$B$35,1),
IF(Z342=regle!$C$11,regle!$C$23,
IF(Z342=regle!$D$11,regle!$D$23,
IF(Z342=regle!$E$11,regle!$E$23,
IF(Z342=regle!$F$11,regle!$F$23,
IF(Z342=regle!$G$11,regle!$G$23,
IF(Z342=regle!$H$11,regle!$H$23,
IF(Z342=regle!$I$11,regle!$I$23,
IF(Z342=regle!$J$11,regle!$J$23,
IF(Z342=regle!$K$11,regle!$K$23,0))))))))))))</f>
        <v>0</v>
      </c>
      <c r="AK342" s="16">
        <f>IF(OR(Q342=regle!$J$11,Q342=regle!$K$11),-2,IF(Q342=regle!$B$11,0,IF(AK$1=$AK$1,IF($O342,-1,regle!$B$2-$M342),IF(AJ342=-1,-1,AJ342+1))))</f>
        <v>20</v>
      </c>
      <c r="AL342" s="16">
        <f>IF(OR(R342=regle!$J$11,R342=regle!$K$11),-2,IF(R342=regle!$B$11,0,IF(AL$1=$AK$1,IF($O342,-1,regle!$B$2-$M342),IF(AK342=-1,-1,AK342+1))))</f>
        <v>21</v>
      </c>
      <c r="AM342" s="16">
        <f>IF(OR(S342=regle!$J$11,S342=regle!$K$11),-2,IF(S342=regle!$B$11,0,IF(AM$1=$AK$1,IF($O342,-1,regle!$B$2-$M342),IF(AL342=-1,-1,AL342+1))))</f>
        <v>22</v>
      </c>
      <c r="AN342" s="16">
        <f>IF(OR(T342=regle!$J$11,T342=regle!$K$11),-2,IF(T342=regle!$B$11,0,IF(AN$1=$AK$1,IF($O342,-1,regle!$B$2-$M342),IF(AM342=-1,-1,AM342+1))))</f>
        <v>23</v>
      </c>
      <c r="AO342" s="16">
        <f>IF(OR(U342=regle!$J$11,U342=regle!$K$11),-2,IF(U342=regle!$B$11,0,IF(AO$1=$AK$1,IF($O342,-1,regle!$B$2-$M342),IF(AN342=-1,-1,AN342+1))))</f>
        <v>24</v>
      </c>
      <c r="AP342" s="16">
        <f>IF(OR(V342=regle!$J$11,V342=regle!$K$11),-2,IF(V342=regle!$B$11,0,IF(AP$1=$AK$1,IF($O342,-1,regle!$B$2-$M342),IF(AO342=-1,-1,AO342+1))))</f>
        <v>25</v>
      </c>
      <c r="AQ342" s="16">
        <f>IF(OR(W342=regle!$J$11,W342=regle!$K$11),-2,IF(W342=regle!$B$11,0,IF(AQ$1=$AK$1,IF($O342,-1,regle!$B$2-$M342),IF(AP342=-1,-1,AP342+1))))</f>
        <v>26</v>
      </c>
      <c r="AR342" s="16">
        <f>IF(OR(X342=regle!$J$11,X342=regle!$K$11),-2,IF(X342=regle!$B$11,0,IF(AR$1=$AK$1,IF($O342,-1,regle!$B$2-$M342),IF(AQ342=-1,-1,AQ342+1))))</f>
        <v>27</v>
      </c>
      <c r="AS342" s="16">
        <f>IF(OR(Y342=regle!$J$11,Y342=regle!$K$11),-2,IF(Y342=regle!$B$11,0,IF(AS$1=$AK$1,IF($O342,-1,regle!$B$2-$M342),IF(AR342=-1,-1,AR342+1))))</f>
        <v>28</v>
      </c>
      <c r="AT342" s="16">
        <f>IF(OR(Z342=regle!$J$11,Z342=regle!$K$11),-2,IF(Z342=regle!$B$11,0,IF(AT$1=$AK$1,IF($O342,-1,regle!$B$2-$M342),IF(AS342=-1,-1,AS342+1))))</f>
        <v>29</v>
      </c>
    </row>
    <row r="343" spans="1:46" x14ac:dyDescent="0.25">
      <c r="A343" t="b">
        <f>modif1!A343</f>
        <v>1</v>
      </c>
      <c r="B343">
        <f>ROW(modif1!B343)</f>
        <v>343</v>
      </c>
      <c r="C343" t="str">
        <f>modif1!C346</f>
        <v>536</v>
      </c>
      <c r="D343" t="str">
        <f>modif1!D343</f>
        <v>HOSTENS</v>
      </c>
      <c r="E343">
        <f>modif1!E343</f>
        <v>13</v>
      </c>
      <c r="F343" t="str">
        <f>modif1!F343</f>
        <v>LA BROUSTETTE</v>
      </c>
      <c r="G343" t="str">
        <f>modif1!G343</f>
        <v>0B</v>
      </c>
      <c r="H343">
        <f>modif1!H343</f>
        <v>1263</v>
      </c>
      <c r="I343" t="str">
        <f>modif1!I343</f>
        <v/>
      </c>
      <c r="J343" s="11">
        <f>modif1!J343</f>
        <v>6.0000000000000001E-3</v>
      </c>
      <c r="K343" t="str">
        <f>modif1!K343</f>
        <v>PLA</v>
      </c>
      <c r="L343" t="str">
        <f>modif1!L343</f>
        <v>PM</v>
      </c>
      <c r="M343">
        <f>modif1!M343</f>
        <v>2004</v>
      </c>
      <c r="N343" t="str">
        <f>modif1!N343</f>
        <v>PLA-PM_2004</v>
      </c>
      <c r="O343" t="b">
        <f>modif1!O343</f>
        <v>0</v>
      </c>
      <c r="P343">
        <v>40</v>
      </c>
      <c r="S343" t="s">
        <v>1805</v>
      </c>
      <c r="X343" t="s">
        <v>1806</v>
      </c>
      <c r="Z343"/>
      <c r="AA343" s="17">
        <f>IF($A343,$J343*(IF(Q343=regle!$B$11,regle!$B$23*IF(AJ343=-2,1+regle!$B$35,1),
IF(Q343=regle!$C$11,regle!$C$23,
IF(Q343=regle!$D$11,regle!$D$23,
IF(Q343=regle!$E$11,regle!$E$23,
IF(Q343=regle!$F$11,regle!$F$23,
IF(Q343=regle!$G$11,regle!$G$23,
IF(Q343=regle!$H$11,regle!$H$23,
IF(Q343=regle!$I$11,regle!$I$23,
IF(Q343=regle!$J$11,regle!$J$23,
IF(Q343=regle!$K$11,regle!$K$23,0))))))))))))</f>
        <v>0</v>
      </c>
      <c r="AB343" s="17">
        <f>IF($A343,$J343*(IF(R343=regle!$B$11,regle!$B$23*IF(AK343=-2,1+regle!$B$35,1),
IF(R343=regle!$C$11,regle!$C$23,
IF(R343=regle!$D$11,regle!$D$23,
IF(R343=regle!$E$11,regle!$E$23,
IF(R343=regle!$F$11,regle!$F$23,
IF(R343=regle!$G$11,regle!$G$23,
IF(R343=regle!$H$11,regle!$H$23,
IF(R343=regle!$I$11,regle!$I$23,
IF(R343=regle!$J$11,regle!$J$23,
IF(R343=regle!$K$11,regle!$K$23,0))))))))))))</f>
        <v>0</v>
      </c>
      <c r="AC343" s="17">
        <f>IF($A343,$J343*(IF(S343=regle!$B$11,regle!$B$23*IF(AL343=-2,1+regle!$B$35,1),
IF(S343=regle!$C$11,regle!$C$23,
IF(S343=regle!$D$11,regle!$D$23,
IF(S343=regle!$E$11,regle!$E$23,
IF(S343=regle!$F$11,regle!$F$23,
IF(S343=regle!$G$11,regle!$G$23,
IF(S343=regle!$H$11,regle!$H$23,
IF(S343=regle!$I$11,regle!$I$23,
IF(S343=regle!$J$11,regle!$J$23,
IF(S343=regle!$K$11,regle!$K$23,0))))))))))))</f>
        <v>8.4480000000000004</v>
      </c>
      <c r="AD343" s="17">
        <f>IF($A343,$J343*(IF(T343=regle!$B$11,regle!$B$23*IF(AM343=-2,1+regle!$B$35,1),
IF(T343=regle!$C$11,regle!$C$23,
IF(T343=regle!$D$11,regle!$D$23,
IF(T343=regle!$E$11,regle!$E$23,
IF(T343=regle!$F$11,regle!$F$23,
IF(T343=regle!$G$11,regle!$G$23,
IF(T343=regle!$H$11,regle!$H$23,
IF(T343=regle!$I$11,regle!$I$23,
IF(T343=regle!$J$11,regle!$J$23,
IF(T343=regle!$K$11,regle!$K$23,0))))))))))))</f>
        <v>0</v>
      </c>
      <c r="AE343" s="17">
        <f>IF($A343,$J343*(IF(U343=regle!$B$11,regle!$B$23*IF(AN343=-2,1+regle!$B$35,1),
IF(U343=regle!$C$11,regle!$C$23,
IF(U343=regle!$D$11,regle!$D$23,
IF(U343=regle!$E$11,regle!$E$23,
IF(U343=regle!$F$11,regle!$F$23,
IF(U343=regle!$G$11,regle!$G$23,
IF(U343=regle!$H$11,regle!$H$23,
IF(U343=regle!$I$11,regle!$I$23,
IF(U343=regle!$J$11,regle!$J$23,
IF(U343=regle!$K$11,regle!$K$23,0))))))))))))</f>
        <v>0</v>
      </c>
      <c r="AF343" s="17">
        <f>IF($A343,$J343*(IF(V343=regle!$B$11,regle!$B$23*IF(AO343=-2,1+regle!$B$35,1),
IF(V343=regle!$C$11,regle!$C$23,
IF(V343=regle!$D$11,regle!$D$23,
IF(V343=regle!$E$11,regle!$E$23,
IF(V343=regle!$F$11,regle!$F$23,
IF(V343=regle!$G$11,regle!$G$23,
IF(V343=regle!$H$11,regle!$H$23,
IF(V343=regle!$I$11,regle!$I$23,
IF(V343=regle!$J$11,regle!$J$23,
IF(V343=regle!$K$11,regle!$K$23,0))))))))))))</f>
        <v>0</v>
      </c>
      <c r="AG343" s="17">
        <f>IF($A343,$J343*(IF(W343=regle!$B$11,regle!$B$23*IF(AP343=-2,1+regle!$B$35,1),
IF(W343=regle!$C$11,regle!$C$23,
IF(W343=regle!$D$11,regle!$D$23,
IF(W343=regle!$E$11,regle!$E$23,
IF(W343=regle!$F$11,regle!$F$23,
IF(W343=regle!$G$11,regle!$G$23,
IF(W343=regle!$H$11,regle!$H$23,
IF(W343=regle!$I$11,regle!$I$23,
IF(W343=regle!$J$11,regle!$J$23,
IF(W343=regle!$K$11,regle!$K$23,0))))))))))))</f>
        <v>0</v>
      </c>
      <c r="AH343" s="17">
        <f>IF($A343,$J343*(IF(X343=regle!$B$11,regle!$B$23*IF(AQ343=-2,1+regle!$B$35,1),
IF(X343=regle!$C$11,regle!$C$23,
IF(X343=regle!$D$11,regle!$D$23,
IF(X343=regle!$E$11,regle!$E$23,
IF(X343=regle!$F$11,regle!$F$23,
IF(X343=regle!$G$11,regle!$G$23,
IF(X343=regle!$H$11,regle!$H$23,
IF(X343=regle!$I$11,regle!$I$23,
IF(X343=regle!$J$11,regle!$J$23,
IF(X343=regle!$K$11,regle!$K$23,0))))))))))))</f>
        <v>7.68</v>
      </c>
      <c r="AI343" s="17">
        <f>IF($A343,$J343*(IF(Y343=regle!$B$11,regle!$B$23*IF(AR343=-2,1+regle!$B$35,1),
IF(Y343=regle!$C$11,regle!$C$23,
IF(Y343=regle!$D$11,regle!$D$23,
IF(Y343=regle!$E$11,regle!$E$23,
IF(Y343=regle!$F$11,regle!$F$23,
IF(Y343=regle!$G$11,regle!$G$23,
IF(Y343=regle!$H$11,regle!$H$23,
IF(Y343=regle!$I$11,regle!$I$23,
IF(Y343=regle!$J$11,regle!$J$23,
IF(Y343=regle!$K$11,regle!$K$23,0))))))))))))</f>
        <v>0</v>
      </c>
      <c r="AJ343" s="17">
        <f>IF($A343,$J343*(IF(Z343=regle!$B$11,regle!$B$23*IF(AS343=-2,1+regle!$B$35,1),
IF(Z343=regle!$C$11,regle!$C$23,
IF(Z343=regle!$D$11,regle!$D$23,
IF(Z343=regle!$E$11,regle!$E$23,
IF(Z343=regle!$F$11,regle!$F$23,
IF(Z343=regle!$G$11,regle!$G$23,
IF(Z343=regle!$H$11,regle!$H$23,
IF(Z343=regle!$I$11,regle!$I$23,
IF(Z343=regle!$J$11,regle!$J$23,
IF(Z343=regle!$K$11,regle!$K$23,0))))))))))))</f>
        <v>0</v>
      </c>
      <c r="AK343" s="16">
        <f>IF(OR(Q343=regle!$J$11,Q343=regle!$K$11),-2,IF(Q343=regle!$B$11,0,IF(AK$1=$AK$1,IF($O343,-1,regle!$B$2-$M343),IF(AJ343=-1,-1,AJ343+1))))</f>
        <v>20</v>
      </c>
      <c r="AL343" s="16">
        <f>IF(OR(R343=regle!$J$11,R343=regle!$K$11),-2,IF(R343=regle!$B$11,0,IF(AL$1=$AK$1,IF($O343,-1,regle!$B$2-$M343),IF(AK343=-1,-1,AK343+1))))</f>
        <v>21</v>
      </c>
      <c r="AM343" s="16">
        <f>IF(OR(S343=regle!$J$11,S343=regle!$K$11),-2,IF(S343=regle!$B$11,0,IF(AM$1=$AK$1,IF($O343,-1,regle!$B$2-$M343),IF(AL343=-1,-1,AL343+1))))</f>
        <v>22</v>
      </c>
      <c r="AN343" s="16">
        <f>IF(OR(T343=regle!$J$11,T343=regle!$K$11),-2,IF(T343=regle!$B$11,0,IF(AN$1=$AK$1,IF($O343,-1,regle!$B$2-$M343),IF(AM343=-1,-1,AM343+1))))</f>
        <v>23</v>
      </c>
      <c r="AO343" s="16">
        <f>IF(OR(U343=regle!$J$11,U343=regle!$K$11),-2,IF(U343=regle!$B$11,0,IF(AO$1=$AK$1,IF($O343,-1,regle!$B$2-$M343),IF(AN343=-1,-1,AN343+1))))</f>
        <v>24</v>
      </c>
      <c r="AP343" s="16">
        <f>IF(OR(V343=regle!$J$11,V343=regle!$K$11),-2,IF(V343=regle!$B$11,0,IF(AP$1=$AK$1,IF($O343,-1,regle!$B$2-$M343),IF(AO343=-1,-1,AO343+1))))</f>
        <v>25</v>
      </c>
      <c r="AQ343" s="16">
        <f>IF(OR(W343=regle!$J$11,W343=regle!$K$11),-2,IF(W343=regle!$B$11,0,IF(AQ$1=$AK$1,IF($O343,-1,regle!$B$2-$M343),IF(AP343=-1,-1,AP343+1))))</f>
        <v>26</v>
      </c>
      <c r="AR343" s="16">
        <f>IF(OR(X343=regle!$J$11,X343=regle!$K$11),-2,IF(X343=regle!$B$11,0,IF(AR$1=$AK$1,IF($O343,-1,regle!$B$2-$M343),IF(AQ343=-1,-1,AQ343+1))))</f>
        <v>27</v>
      </c>
      <c r="AS343" s="16">
        <f>IF(OR(Y343=regle!$J$11,Y343=regle!$K$11),-2,IF(Y343=regle!$B$11,0,IF(AS$1=$AK$1,IF($O343,-1,regle!$B$2-$M343),IF(AR343=-1,-1,AR343+1))))</f>
        <v>28</v>
      </c>
      <c r="AT343" s="16">
        <f>IF(OR(Z343=regle!$J$11,Z343=regle!$K$11),-2,IF(Z343=regle!$B$11,0,IF(AT$1=$AK$1,IF($O343,-1,regle!$B$2-$M343),IF(AS343=-1,-1,AS343+1))))</f>
        <v>29</v>
      </c>
    </row>
    <row r="344" spans="1:46" x14ac:dyDescent="0.25">
      <c r="A344" t="b">
        <f>modif1!A344</f>
        <v>1</v>
      </c>
      <c r="B344">
        <f>ROW(modif1!B344)</f>
        <v>344</v>
      </c>
      <c r="C344" t="str">
        <f>modif1!C347</f>
        <v>536</v>
      </c>
      <c r="D344" t="str">
        <f>modif1!D344</f>
        <v>LE TUZAN</v>
      </c>
      <c r="E344">
        <f>modif1!E344</f>
        <v>21</v>
      </c>
      <c r="F344" t="str">
        <f>modif1!F344</f>
        <v>METAIRIES DE TABARTON</v>
      </c>
      <c r="G344" t="str">
        <f>modif1!G344</f>
        <v>0A</v>
      </c>
      <c r="H344">
        <f>modif1!H344</f>
        <v>523</v>
      </c>
      <c r="I344" t="str">
        <f>modif1!I344</f>
        <v>aj</v>
      </c>
      <c r="J344" s="11">
        <f>modif1!J344</f>
        <v>7.3194999999999997</v>
      </c>
      <c r="K344" t="str">
        <f>modif1!K344</f>
        <v>SL</v>
      </c>
      <c r="L344" t="str">
        <f>modif1!L344</f>
        <v>PM</v>
      </c>
      <c r="M344">
        <f>modif1!M344</f>
        <v>2003</v>
      </c>
      <c r="N344" t="str">
        <f>modif1!N344</f>
        <v>SL-PM_2003</v>
      </c>
      <c r="O344" t="b">
        <f>modif1!O344</f>
        <v>0</v>
      </c>
      <c r="P344">
        <v>40</v>
      </c>
      <c r="U344" t="s">
        <v>1181</v>
      </c>
      <c r="V344" t="s">
        <v>1868</v>
      </c>
      <c r="X344" t="s">
        <v>1872</v>
      </c>
      <c r="Z344" t="s">
        <v>1870</v>
      </c>
      <c r="AA344" s="17">
        <f>IF($A344,$J344*(IF(Q344=regle!$B$11,regle!$B$23*IF(AJ344=-2,1+regle!$B$35,1),
IF(Q344=regle!$C$11,regle!$C$23,
IF(Q344=regle!$D$11,regle!$D$23,
IF(Q344=regle!$E$11,regle!$E$23,
IF(Q344=regle!$F$11,regle!$F$23,
IF(Q344=regle!$G$11,regle!$G$23,
IF(Q344=regle!$H$11,regle!$H$23,
IF(Q344=regle!$I$11,regle!$I$23,
IF(Q344=regle!$J$11,regle!$J$23,
IF(Q344=regle!$K$11,regle!$K$23,0))))))))))))</f>
        <v>0</v>
      </c>
      <c r="AB344" s="17">
        <f>IF($A344,$J344*(IF(R344=regle!$B$11,regle!$B$23*IF(AK344=-2,1+regle!$B$35,1),
IF(R344=regle!$C$11,regle!$C$23,
IF(R344=regle!$D$11,regle!$D$23,
IF(R344=regle!$E$11,regle!$E$23,
IF(R344=regle!$F$11,regle!$F$23,
IF(R344=regle!$G$11,regle!$G$23,
IF(R344=regle!$H$11,regle!$H$23,
IF(R344=regle!$I$11,regle!$I$23,
IF(R344=regle!$J$11,regle!$J$23,
IF(R344=regle!$K$11,regle!$K$23,0))))))))))))</f>
        <v>0</v>
      </c>
      <c r="AC344" s="17">
        <f>IF($A344,$J344*(IF(S344=regle!$B$11,regle!$B$23*IF(AL344=-2,1+regle!$B$35,1),
IF(S344=regle!$C$11,regle!$C$23,
IF(S344=regle!$D$11,regle!$D$23,
IF(S344=regle!$E$11,regle!$E$23,
IF(S344=regle!$F$11,regle!$F$23,
IF(S344=regle!$G$11,regle!$G$23,
IF(S344=regle!$H$11,regle!$H$23,
IF(S344=regle!$I$11,regle!$I$23,
IF(S344=regle!$J$11,regle!$J$23,
IF(S344=regle!$K$11,regle!$K$23,0))))))))))))</f>
        <v>0</v>
      </c>
      <c r="AD344" s="17">
        <f>IF($A344,$J344*(IF(T344=regle!$B$11,regle!$B$23*IF(AM344=-2,1+regle!$B$35,1),
IF(T344=regle!$C$11,regle!$C$23,
IF(T344=regle!$D$11,regle!$D$23,
IF(T344=regle!$E$11,regle!$E$23,
IF(T344=regle!$F$11,regle!$F$23,
IF(T344=regle!$G$11,regle!$G$23,
IF(T344=regle!$H$11,regle!$H$23,
IF(T344=regle!$I$11,regle!$I$23,
IF(T344=regle!$J$11,regle!$J$23,
IF(T344=regle!$K$11,regle!$K$23,0))))))))))))</f>
        <v>0</v>
      </c>
      <c r="AE344" s="17">
        <f>IF($A344,$J344*(IF(U344=regle!$B$11,regle!$B$23*IF(AN344=-2,1+regle!$B$35,1),
IF(U344=regle!$C$11,regle!$C$23,
IF(U344=regle!$D$11,regle!$D$23,
IF(U344=regle!$E$11,regle!$E$23,
IF(U344=regle!$F$11,regle!$F$23,
IF(U344=regle!$G$11,regle!$G$23,
IF(U344=regle!$H$11,regle!$H$23,
IF(U344=regle!$I$11,regle!$I$23,
IF(U344=regle!$J$11,regle!$J$23,
IF(U344=regle!$K$11,regle!$K$23,0))))))))))))</f>
        <v>38061.4</v>
      </c>
      <c r="AF344" s="17">
        <f>IF($A344,$J344*(IF(V344=regle!$B$11,regle!$B$23*IF(AO344=-2,1+regle!$B$35,1),
IF(V344=regle!$C$11,regle!$C$23,
IF(V344=regle!$D$11,regle!$D$23,
IF(V344=regle!$E$11,regle!$E$23,
IF(V344=regle!$F$11,regle!$F$23,
IF(V344=regle!$G$11,regle!$G$23,
IF(V344=regle!$H$11,regle!$H$23,
IF(V344=regle!$I$11,regle!$I$23,
IF(V344=regle!$J$11,regle!$J$23,
IF(V344=regle!$K$11,regle!$K$23,0))))))))))))</f>
        <v>-13687.465</v>
      </c>
      <c r="AG344" s="17">
        <f>IF($A344,$J344*(IF(W344=regle!$B$11,regle!$B$23*IF(AP344=-2,1+regle!$B$35,1),
IF(W344=regle!$C$11,regle!$C$23,
IF(W344=regle!$D$11,regle!$D$23,
IF(W344=regle!$E$11,regle!$E$23,
IF(W344=regle!$F$11,regle!$F$23,
IF(W344=regle!$G$11,regle!$G$23,
IF(W344=regle!$H$11,regle!$H$23,
IF(W344=regle!$I$11,regle!$I$23,
IF(W344=regle!$J$11,regle!$J$23,
IF(W344=regle!$K$11,regle!$K$23,0))))))))))))</f>
        <v>0</v>
      </c>
      <c r="AH344" s="17">
        <f>IF($A344,$J344*(IF(X344=regle!$B$11,regle!$B$23*IF(AQ344=-2,1+regle!$B$35,1),
IF(X344=regle!$C$11,regle!$C$23,
IF(X344=regle!$D$11,regle!$D$23,
IF(X344=regle!$E$11,regle!$E$23,
IF(X344=regle!$F$11,regle!$F$23,
IF(X344=regle!$G$11,regle!$G$23,
IF(X344=regle!$H$11,regle!$H$23,
IF(X344=regle!$I$11,regle!$I$23,
IF(X344=regle!$J$11,regle!$J$23,
IF(X344=regle!$K$11,regle!$K$23,0))))))))))))</f>
        <v>-548.96249999999998</v>
      </c>
      <c r="AI344" s="17">
        <f>IF($A344,$J344*(IF(Y344=regle!$B$11,regle!$B$23*IF(AR344=-2,1+regle!$B$35,1),
IF(Y344=regle!$C$11,regle!$C$23,
IF(Y344=regle!$D$11,regle!$D$23,
IF(Y344=regle!$E$11,regle!$E$23,
IF(Y344=regle!$F$11,regle!$F$23,
IF(Y344=regle!$G$11,regle!$G$23,
IF(Y344=regle!$H$11,regle!$H$23,
IF(Y344=regle!$I$11,regle!$I$23,
IF(Y344=regle!$J$11,regle!$J$23,
IF(Y344=regle!$K$11,regle!$K$23,0))))))))))))</f>
        <v>0</v>
      </c>
      <c r="AJ344" s="17">
        <f>IF($A344,$J344*(IF(Z344=regle!$B$11,regle!$B$23*IF(AS344=-2,1+regle!$B$35,1),
IF(Z344=regle!$C$11,regle!$C$23,
IF(Z344=regle!$D$11,regle!$D$23,
IF(Z344=regle!$E$11,regle!$E$23,
IF(Z344=regle!$F$11,regle!$F$23,
IF(Z344=regle!$G$11,regle!$G$23,
IF(Z344=regle!$H$11,regle!$H$23,
IF(Z344=regle!$I$11,regle!$I$23,
IF(Z344=regle!$J$11,regle!$J$23,
IF(Z344=regle!$K$11,regle!$K$23,0))))))))))))</f>
        <v>-658.755</v>
      </c>
      <c r="AK344" s="16">
        <f>IF(OR(Q344=regle!$J$11,Q344=regle!$K$11),-2,IF(Q344=regle!$B$11,0,IF(AK$1=$AK$1,IF($O344,-1,regle!$B$2-$M344),IF(AJ344=-1,-1,AJ344+1))))</f>
        <v>21</v>
      </c>
      <c r="AL344" s="16">
        <f>IF(OR(R344=regle!$J$11,R344=regle!$K$11),-2,IF(R344=regle!$B$11,0,IF(AL$1=$AK$1,IF($O344,-1,regle!$B$2-$M344),IF(AK344=-1,-1,AK344+1))))</f>
        <v>22</v>
      </c>
      <c r="AM344" s="16">
        <f>IF(OR(S344=regle!$J$11,S344=regle!$K$11),-2,IF(S344=regle!$B$11,0,IF(AM$1=$AK$1,IF($O344,-1,regle!$B$2-$M344),IF(AL344=-1,-1,AL344+1))))</f>
        <v>23</v>
      </c>
      <c r="AN344" s="16">
        <f>IF(OR(T344=regle!$J$11,T344=regle!$K$11),-2,IF(T344=regle!$B$11,0,IF(AN$1=$AK$1,IF($O344,-1,regle!$B$2-$M344),IF(AM344=-1,-1,AM344+1))))</f>
        <v>24</v>
      </c>
      <c r="AO344" s="16">
        <f>IF(OR(U344=regle!$J$11,U344=regle!$K$11),-2,IF(U344=regle!$B$11,0,IF(AO$1=$AK$1,IF($O344,-1,regle!$B$2-$M344),IF(AN344=-1,-1,AN344+1))))</f>
        <v>-2</v>
      </c>
      <c r="AP344" s="16">
        <f>IF(OR(V344=regle!$J$11,V344=regle!$K$11),-2,IF(V344=regle!$B$11,0,IF(AP$1=$AK$1,IF($O344,-1,regle!$B$2-$M344),IF(AO344=-1,-1,AO344+1))))</f>
        <v>0</v>
      </c>
      <c r="AQ344" s="16">
        <f>IF(OR(W344=regle!$J$11,W344=regle!$K$11),-2,IF(W344=regle!$B$11,0,IF(AQ$1=$AK$1,IF($O344,-1,regle!$B$2-$M344),IF(AP344=-1,-1,AP344+1))))</f>
        <v>1</v>
      </c>
      <c r="AR344" s="16">
        <f>IF(OR(X344=regle!$J$11,X344=regle!$K$11),-2,IF(X344=regle!$B$11,0,IF(AR$1=$AK$1,IF($O344,-1,regle!$B$2-$M344),IF(AQ344=-1,-1,AQ344+1))))</f>
        <v>2</v>
      </c>
      <c r="AS344" s="16">
        <f>IF(OR(Y344=regle!$J$11,Y344=regle!$K$11),-2,IF(Y344=regle!$B$11,0,IF(AS$1=$AK$1,IF($O344,-1,regle!$B$2-$M344),IF(AR344=-1,-1,AR344+1))))</f>
        <v>3</v>
      </c>
      <c r="AT344" s="16">
        <f>IF(OR(Z344=regle!$J$11,Z344=regle!$K$11),-2,IF(Z344=regle!$B$11,0,IF(AT$1=$AK$1,IF($O344,-1,regle!$B$2-$M344),IF(AS344=-1,-1,AS344+1))))</f>
        <v>4</v>
      </c>
    </row>
    <row r="345" spans="1:46" x14ac:dyDescent="0.25">
      <c r="A345" t="b">
        <f>modif1!A345</f>
        <v>1</v>
      </c>
      <c r="B345">
        <f>ROW(modif1!B345)</f>
        <v>345</v>
      </c>
      <c r="C345" t="str">
        <f>modif1!C348</f>
        <v>536</v>
      </c>
      <c r="D345" t="str">
        <f>modif1!D345</f>
        <v>LE TUZAN</v>
      </c>
      <c r="E345">
        <f>modif1!E345</f>
        <v>21</v>
      </c>
      <c r="F345" t="str">
        <f>modif1!F345</f>
        <v>METAIRIES DE TABARTON</v>
      </c>
      <c r="G345" t="str">
        <f>modif1!G345</f>
        <v>0A</v>
      </c>
      <c r="H345">
        <f>modif1!H345</f>
        <v>847</v>
      </c>
      <c r="I345" t="str">
        <f>modif1!I345</f>
        <v>e</v>
      </c>
      <c r="J345" s="11">
        <f>modif1!J345</f>
        <v>6.4062999999999999</v>
      </c>
      <c r="K345" t="str">
        <f>modif1!K345</f>
        <v>SL</v>
      </c>
      <c r="L345" t="str">
        <f>modif1!L345</f>
        <v>PM</v>
      </c>
      <c r="M345">
        <f>modif1!M345</f>
        <v>2003</v>
      </c>
      <c r="N345" t="str">
        <f>modif1!N345</f>
        <v>SL-PM_2003</v>
      </c>
      <c r="O345" t="b">
        <f>modif1!O345</f>
        <v>0</v>
      </c>
      <c r="P345">
        <v>40</v>
      </c>
      <c r="U345" t="s">
        <v>1181</v>
      </c>
      <c r="V345" t="s">
        <v>1868</v>
      </c>
      <c r="X345" t="s">
        <v>1872</v>
      </c>
      <c r="Z345" t="s">
        <v>1870</v>
      </c>
      <c r="AA345" s="17">
        <f>IF($A345,$J345*(IF(Q345=regle!$B$11,regle!$B$23*IF(AJ345=-2,1+regle!$B$35,1),
IF(Q345=regle!$C$11,regle!$C$23,
IF(Q345=regle!$D$11,regle!$D$23,
IF(Q345=regle!$E$11,regle!$E$23,
IF(Q345=regle!$F$11,regle!$F$23,
IF(Q345=regle!$G$11,regle!$G$23,
IF(Q345=regle!$H$11,regle!$H$23,
IF(Q345=regle!$I$11,regle!$I$23,
IF(Q345=regle!$J$11,regle!$J$23,
IF(Q345=regle!$K$11,regle!$K$23,0))))))))))))</f>
        <v>0</v>
      </c>
      <c r="AB345" s="17">
        <f>IF($A345,$J345*(IF(R345=regle!$B$11,regle!$B$23*IF(AK345=-2,1+regle!$B$35,1),
IF(R345=regle!$C$11,regle!$C$23,
IF(R345=regle!$D$11,regle!$D$23,
IF(R345=regle!$E$11,regle!$E$23,
IF(R345=regle!$F$11,regle!$F$23,
IF(R345=regle!$G$11,regle!$G$23,
IF(R345=regle!$H$11,regle!$H$23,
IF(R345=regle!$I$11,regle!$I$23,
IF(R345=regle!$J$11,regle!$J$23,
IF(R345=regle!$K$11,regle!$K$23,0))))))))))))</f>
        <v>0</v>
      </c>
      <c r="AC345" s="17">
        <f>IF($A345,$J345*(IF(S345=regle!$B$11,regle!$B$23*IF(AL345=-2,1+regle!$B$35,1),
IF(S345=regle!$C$11,regle!$C$23,
IF(S345=regle!$D$11,regle!$D$23,
IF(S345=regle!$E$11,regle!$E$23,
IF(S345=regle!$F$11,regle!$F$23,
IF(S345=regle!$G$11,regle!$G$23,
IF(S345=regle!$H$11,regle!$H$23,
IF(S345=regle!$I$11,regle!$I$23,
IF(S345=regle!$J$11,regle!$J$23,
IF(S345=regle!$K$11,regle!$K$23,0))))))))))))</f>
        <v>0</v>
      </c>
      <c r="AD345" s="17">
        <f>IF($A345,$J345*(IF(T345=regle!$B$11,regle!$B$23*IF(AM345=-2,1+regle!$B$35,1),
IF(T345=regle!$C$11,regle!$C$23,
IF(T345=regle!$D$11,regle!$D$23,
IF(T345=regle!$E$11,regle!$E$23,
IF(T345=regle!$F$11,regle!$F$23,
IF(T345=regle!$G$11,regle!$G$23,
IF(T345=regle!$H$11,regle!$H$23,
IF(T345=regle!$I$11,regle!$I$23,
IF(T345=regle!$J$11,regle!$J$23,
IF(T345=regle!$K$11,regle!$K$23,0))))))))))))</f>
        <v>0</v>
      </c>
      <c r="AE345" s="17">
        <f>IF($A345,$J345*(IF(U345=regle!$B$11,regle!$B$23*IF(AN345=-2,1+regle!$B$35,1),
IF(U345=regle!$C$11,regle!$C$23,
IF(U345=regle!$D$11,regle!$D$23,
IF(U345=regle!$E$11,regle!$E$23,
IF(U345=regle!$F$11,regle!$F$23,
IF(U345=regle!$G$11,regle!$G$23,
IF(U345=regle!$H$11,regle!$H$23,
IF(U345=regle!$I$11,regle!$I$23,
IF(U345=regle!$J$11,regle!$J$23,
IF(U345=regle!$K$11,regle!$K$23,0))))))))))))</f>
        <v>33312.76</v>
      </c>
      <c r="AF345" s="17">
        <f>IF($A345,$J345*(IF(V345=regle!$B$11,regle!$B$23*IF(AO345=-2,1+regle!$B$35,1),
IF(V345=regle!$C$11,regle!$C$23,
IF(V345=regle!$D$11,regle!$D$23,
IF(V345=regle!$E$11,regle!$E$23,
IF(V345=regle!$F$11,regle!$F$23,
IF(V345=regle!$G$11,regle!$G$23,
IF(V345=regle!$H$11,regle!$H$23,
IF(V345=regle!$I$11,regle!$I$23,
IF(V345=regle!$J$11,regle!$J$23,
IF(V345=regle!$K$11,regle!$K$23,0))))))))))))</f>
        <v>-11979.781000000001</v>
      </c>
      <c r="AG345" s="17">
        <f>IF($A345,$J345*(IF(W345=regle!$B$11,regle!$B$23*IF(AP345=-2,1+regle!$B$35,1),
IF(W345=regle!$C$11,regle!$C$23,
IF(W345=regle!$D$11,regle!$D$23,
IF(W345=regle!$E$11,regle!$E$23,
IF(W345=regle!$F$11,regle!$F$23,
IF(W345=regle!$G$11,regle!$G$23,
IF(W345=regle!$H$11,regle!$H$23,
IF(W345=regle!$I$11,regle!$I$23,
IF(W345=regle!$J$11,regle!$J$23,
IF(W345=regle!$K$11,regle!$K$23,0))))))))))))</f>
        <v>0</v>
      </c>
      <c r="AH345" s="17">
        <f>IF($A345,$J345*(IF(X345=regle!$B$11,regle!$B$23*IF(AQ345=-2,1+regle!$B$35,1),
IF(X345=regle!$C$11,regle!$C$23,
IF(X345=regle!$D$11,regle!$D$23,
IF(X345=regle!$E$11,regle!$E$23,
IF(X345=regle!$F$11,regle!$F$23,
IF(X345=regle!$G$11,regle!$G$23,
IF(X345=regle!$H$11,regle!$H$23,
IF(X345=regle!$I$11,regle!$I$23,
IF(X345=regle!$J$11,regle!$J$23,
IF(X345=regle!$K$11,regle!$K$23,0))))))))))))</f>
        <v>-480.47249999999997</v>
      </c>
      <c r="AI345" s="17">
        <f>IF($A345,$J345*(IF(Y345=regle!$B$11,regle!$B$23*IF(AR345=-2,1+regle!$B$35,1),
IF(Y345=regle!$C$11,regle!$C$23,
IF(Y345=regle!$D$11,regle!$D$23,
IF(Y345=regle!$E$11,regle!$E$23,
IF(Y345=regle!$F$11,regle!$F$23,
IF(Y345=regle!$G$11,regle!$G$23,
IF(Y345=regle!$H$11,regle!$H$23,
IF(Y345=regle!$I$11,regle!$I$23,
IF(Y345=regle!$J$11,regle!$J$23,
IF(Y345=regle!$K$11,regle!$K$23,0))))))))))))</f>
        <v>0</v>
      </c>
      <c r="AJ345" s="17">
        <f>IF($A345,$J345*(IF(Z345=regle!$B$11,regle!$B$23*IF(AS345=-2,1+regle!$B$35,1),
IF(Z345=regle!$C$11,regle!$C$23,
IF(Z345=regle!$D$11,regle!$D$23,
IF(Z345=regle!$E$11,regle!$E$23,
IF(Z345=regle!$F$11,regle!$F$23,
IF(Z345=regle!$G$11,regle!$G$23,
IF(Z345=regle!$H$11,regle!$H$23,
IF(Z345=regle!$I$11,regle!$I$23,
IF(Z345=regle!$J$11,regle!$J$23,
IF(Z345=regle!$K$11,regle!$K$23,0))))))))))))</f>
        <v>-576.56700000000001</v>
      </c>
      <c r="AK345" s="16">
        <f>IF(OR(Q345=regle!$J$11,Q345=regle!$K$11),-2,IF(Q345=regle!$B$11,0,IF(AK$1=$AK$1,IF($O345,-1,regle!$B$2-$M345),IF(AJ345=-1,-1,AJ345+1))))</f>
        <v>21</v>
      </c>
      <c r="AL345" s="16">
        <f>IF(OR(R345=regle!$J$11,R345=regle!$K$11),-2,IF(R345=regle!$B$11,0,IF(AL$1=$AK$1,IF($O345,-1,regle!$B$2-$M345),IF(AK345=-1,-1,AK345+1))))</f>
        <v>22</v>
      </c>
      <c r="AM345" s="16">
        <f>IF(OR(S345=regle!$J$11,S345=regle!$K$11),-2,IF(S345=regle!$B$11,0,IF(AM$1=$AK$1,IF($O345,-1,regle!$B$2-$M345),IF(AL345=-1,-1,AL345+1))))</f>
        <v>23</v>
      </c>
      <c r="AN345" s="16">
        <f>IF(OR(T345=regle!$J$11,T345=regle!$K$11),-2,IF(T345=regle!$B$11,0,IF(AN$1=$AK$1,IF($O345,-1,regle!$B$2-$M345),IF(AM345=-1,-1,AM345+1))))</f>
        <v>24</v>
      </c>
      <c r="AO345" s="16">
        <f>IF(OR(U345=regle!$J$11,U345=regle!$K$11),-2,IF(U345=regle!$B$11,0,IF(AO$1=$AK$1,IF($O345,-1,regle!$B$2-$M345),IF(AN345=-1,-1,AN345+1))))</f>
        <v>-2</v>
      </c>
      <c r="AP345" s="16">
        <f>IF(OR(V345=regle!$J$11,V345=regle!$K$11),-2,IF(V345=regle!$B$11,0,IF(AP$1=$AK$1,IF($O345,-1,regle!$B$2-$M345),IF(AO345=-1,-1,AO345+1))))</f>
        <v>0</v>
      </c>
      <c r="AQ345" s="16">
        <f>IF(OR(W345=regle!$J$11,W345=regle!$K$11),-2,IF(W345=regle!$B$11,0,IF(AQ$1=$AK$1,IF($O345,-1,regle!$B$2-$M345),IF(AP345=-1,-1,AP345+1))))</f>
        <v>1</v>
      </c>
      <c r="AR345" s="16">
        <f>IF(OR(X345=regle!$J$11,X345=regle!$K$11),-2,IF(X345=regle!$B$11,0,IF(AR$1=$AK$1,IF($O345,-1,regle!$B$2-$M345),IF(AQ345=-1,-1,AQ345+1))))</f>
        <v>2</v>
      </c>
      <c r="AS345" s="16">
        <f>IF(OR(Y345=regle!$J$11,Y345=regle!$K$11),-2,IF(Y345=regle!$B$11,0,IF(AS$1=$AK$1,IF($O345,-1,regle!$B$2-$M345),IF(AR345=-1,-1,AR345+1))))</f>
        <v>3</v>
      </c>
      <c r="AT345" s="16">
        <f>IF(OR(Z345=regle!$J$11,Z345=regle!$K$11),-2,IF(Z345=regle!$B$11,0,IF(AT$1=$AK$1,IF($O345,-1,regle!$B$2-$M345),IF(AS345=-1,-1,AS345+1))))</f>
        <v>4</v>
      </c>
    </row>
    <row r="346" spans="1:46" x14ac:dyDescent="0.25">
      <c r="A346" t="b">
        <f>modif1!A346</f>
        <v>1</v>
      </c>
      <c r="B346">
        <f>ROW(modif1!B346)</f>
        <v>346</v>
      </c>
      <c r="C346" t="str">
        <f>modif1!C349</f>
        <v>536</v>
      </c>
      <c r="D346" t="str">
        <f>modif1!D346</f>
        <v>LE TUZAN</v>
      </c>
      <c r="E346">
        <f>modif1!E346</f>
        <v>21</v>
      </c>
      <c r="F346" t="str">
        <f>modif1!F346</f>
        <v>METAIRIES DE TABARTON</v>
      </c>
      <c r="G346" t="str">
        <f>modif1!G346</f>
        <v>0A</v>
      </c>
      <c r="H346">
        <f>modif1!H346</f>
        <v>523</v>
      </c>
      <c r="I346" t="str">
        <f>modif1!I346</f>
        <v>ak</v>
      </c>
      <c r="J346" s="11">
        <f>modif1!J346</f>
        <v>4.1345000000000001</v>
      </c>
      <c r="K346" t="str">
        <f>modif1!K346</f>
        <v>SL</v>
      </c>
      <c r="L346" t="str">
        <f>modif1!L346</f>
        <v>PM</v>
      </c>
      <c r="M346">
        <f>modif1!M346</f>
        <v>2003</v>
      </c>
      <c r="N346" t="str">
        <f>modif1!N346</f>
        <v>SL-PM_2003</v>
      </c>
      <c r="O346" t="b">
        <f>modif1!O346</f>
        <v>0</v>
      </c>
      <c r="P346">
        <v>40</v>
      </c>
      <c r="U346" t="s">
        <v>1181</v>
      </c>
      <c r="V346" t="s">
        <v>1868</v>
      </c>
      <c r="X346" t="s">
        <v>1872</v>
      </c>
      <c r="Z346" t="s">
        <v>1870</v>
      </c>
      <c r="AA346" s="17">
        <f>IF($A346,$J346*(IF(Q346=regle!$B$11,regle!$B$23*IF(AJ346=-2,1+regle!$B$35,1),
IF(Q346=regle!$C$11,regle!$C$23,
IF(Q346=regle!$D$11,regle!$D$23,
IF(Q346=regle!$E$11,regle!$E$23,
IF(Q346=regle!$F$11,regle!$F$23,
IF(Q346=regle!$G$11,regle!$G$23,
IF(Q346=regle!$H$11,regle!$H$23,
IF(Q346=regle!$I$11,regle!$I$23,
IF(Q346=regle!$J$11,regle!$J$23,
IF(Q346=regle!$K$11,regle!$K$23,0))))))))))))</f>
        <v>0</v>
      </c>
      <c r="AB346" s="17">
        <f>IF($A346,$J346*(IF(R346=regle!$B$11,regle!$B$23*IF(AK346=-2,1+regle!$B$35,1),
IF(R346=regle!$C$11,regle!$C$23,
IF(R346=regle!$D$11,regle!$D$23,
IF(R346=regle!$E$11,regle!$E$23,
IF(R346=regle!$F$11,regle!$F$23,
IF(R346=regle!$G$11,regle!$G$23,
IF(R346=regle!$H$11,regle!$H$23,
IF(R346=regle!$I$11,regle!$I$23,
IF(R346=regle!$J$11,regle!$J$23,
IF(R346=regle!$K$11,regle!$K$23,0))))))))))))</f>
        <v>0</v>
      </c>
      <c r="AC346" s="17">
        <f>IF($A346,$J346*(IF(S346=regle!$B$11,regle!$B$23*IF(AL346=-2,1+regle!$B$35,1),
IF(S346=regle!$C$11,regle!$C$23,
IF(S346=regle!$D$11,regle!$D$23,
IF(S346=regle!$E$11,regle!$E$23,
IF(S346=regle!$F$11,regle!$F$23,
IF(S346=regle!$G$11,regle!$G$23,
IF(S346=regle!$H$11,regle!$H$23,
IF(S346=regle!$I$11,regle!$I$23,
IF(S346=regle!$J$11,regle!$J$23,
IF(S346=regle!$K$11,regle!$K$23,0))))))))))))</f>
        <v>0</v>
      </c>
      <c r="AD346" s="17">
        <f>IF($A346,$J346*(IF(T346=regle!$B$11,regle!$B$23*IF(AM346=-2,1+regle!$B$35,1),
IF(T346=regle!$C$11,regle!$C$23,
IF(T346=regle!$D$11,regle!$D$23,
IF(T346=regle!$E$11,regle!$E$23,
IF(T346=regle!$F$11,regle!$F$23,
IF(T346=regle!$G$11,regle!$G$23,
IF(T346=regle!$H$11,regle!$H$23,
IF(T346=regle!$I$11,regle!$I$23,
IF(T346=regle!$J$11,regle!$J$23,
IF(T346=regle!$K$11,regle!$K$23,0))))))))))))</f>
        <v>0</v>
      </c>
      <c r="AE346" s="17">
        <f>IF($A346,$J346*(IF(U346=regle!$B$11,regle!$B$23*IF(AN346=-2,1+regle!$B$35,1),
IF(U346=regle!$C$11,regle!$C$23,
IF(U346=regle!$D$11,regle!$D$23,
IF(U346=regle!$E$11,regle!$E$23,
IF(U346=regle!$F$11,regle!$F$23,
IF(U346=regle!$G$11,regle!$G$23,
IF(U346=regle!$H$11,regle!$H$23,
IF(U346=regle!$I$11,regle!$I$23,
IF(U346=regle!$J$11,regle!$J$23,
IF(U346=regle!$K$11,regle!$K$23,0))))))))))))</f>
        <v>21499.4</v>
      </c>
      <c r="AF346" s="17">
        <f>IF($A346,$J346*(IF(V346=regle!$B$11,regle!$B$23*IF(AO346=-2,1+regle!$B$35,1),
IF(V346=regle!$C$11,regle!$C$23,
IF(V346=regle!$D$11,regle!$D$23,
IF(V346=regle!$E$11,regle!$E$23,
IF(V346=regle!$F$11,regle!$F$23,
IF(V346=regle!$G$11,regle!$G$23,
IF(V346=regle!$H$11,regle!$H$23,
IF(V346=regle!$I$11,regle!$I$23,
IF(V346=regle!$J$11,regle!$J$23,
IF(V346=regle!$K$11,regle!$K$23,0))))))))))))</f>
        <v>-7731.5150000000012</v>
      </c>
      <c r="AG346" s="17">
        <f>IF($A346,$J346*(IF(W346=regle!$B$11,regle!$B$23*IF(AP346=-2,1+regle!$B$35,1),
IF(W346=regle!$C$11,regle!$C$23,
IF(W346=regle!$D$11,regle!$D$23,
IF(W346=regle!$E$11,regle!$E$23,
IF(W346=regle!$F$11,regle!$F$23,
IF(W346=regle!$G$11,regle!$G$23,
IF(W346=regle!$H$11,regle!$H$23,
IF(W346=regle!$I$11,regle!$I$23,
IF(W346=regle!$J$11,regle!$J$23,
IF(W346=regle!$K$11,regle!$K$23,0))))))))))))</f>
        <v>0</v>
      </c>
      <c r="AH346" s="17">
        <f>IF($A346,$J346*(IF(X346=regle!$B$11,regle!$B$23*IF(AQ346=-2,1+regle!$B$35,1),
IF(X346=regle!$C$11,regle!$C$23,
IF(X346=regle!$D$11,regle!$D$23,
IF(X346=regle!$E$11,regle!$E$23,
IF(X346=regle!$F$11,regle!$F$23,
IF(X346=regle!$G$11,regle!$G$23,
IF(X346=regle!$H$11,regle!$H$23,
IF(X346=regle!$I$11,regle!$I$23,
IF(X346=regle!$J$11,regle!$J$23,
IF(X346=regle!$K$11,regle!$K$23,0))))))))))))</f>
        <v>-310.08749999999998</v>
      </c>
      <c r="AI346" s="17">
        <f>IF($A346,$J346*(IF(Y346=regle!$B$11,regle!$B$23*IF(AR346=-2,1+regle!$B$35,1),
IF(Y346=regle!$C$11,regle!$C$23,
IF(Y346=regle!$D$11,regle!$D$23,
IF(Y346=regle!$E$11,regle!$E$23,
IF(Y346=regle!$F$11,regle!$F$23,
IF(Y346=regle!$G$11,regle!$G$23,
IF(Y346=regle!$H$11,regle!$H$23,
IF(Y346=regle!$I$11,regle!$I$23,
IF(Y346=regle!$J$11,regle!$J$23,
IF(Y346=regle!$K$11,regle!$K$23,0))))))))))))</f>
        <v>0</v>
      </c>
      <c r="AJ346" s="17">
        <f>IF($A346,$J346*(IF(Z346=regle!$B$11,regle!$B$23*IF(AS346=-2,1+regle!$B$35,1),
IF(Z346=regle!$C$11,regle!$C$23,
IF(Z346=regle!$D$11,regle!$D$23,
IF(Z346=regle!$E$11,regle!$E$23,
IF(Z346=regle!$F$11,regle!$F$23,
IF(Z346=regle!$G$11,regle!$G$23,
IF(Z346=regle!$H$11,regle!$H$23,
IF(Z346=regle!$I$11,regle!$I$23,
IF(Z346=regle!$J$11,regle!$J$23,
IF(Z346=regle!$K$11,regle!$K$23,0))))))))))))</f>
        <v>-372.10500000000002</v>
      </c>
      <c r="AK346" s="16">
        <f>IF(OR(Q346=regle!$J$11,Q346=regle!$K$11),-2,IF(Q346=regle!$B$11,0,IF(AK$1=$AK$1,IF($O346,-1,regle!$B$2-$M346),IF(AJ346=-1,-1,AJ346+1))))</f>
        <v>21</v>
      </c>
      <c r="AL346" s="16">
        <f>IF(OR(R346=regle!$J$11,R346=regle!$K$11),-2,IF(R346=regle!$B$11,0,IF(AL$1=$AK$1,IF($O346,-1,regle!$B$2-$M346),IF(AK346=-1,-1,AK346+1))))</f>
        <v>22</v>
      </c>
      <c r="AM346" s="16">
        <f>IF(OR(S346=regle!$J$11,S346=regle!$K$11),-2,IF(S346=regle!$B$11,0,IF(AM$1=$AK$1,IF($O346,-1,regle!$B$2-$M346),IF(AL346=-1,-1,AL346+1))))</f>
        <v>23</v>
      </c>
      <c r="AN346" s="16">
        <f>IF(OR(T346=regle!$J$11,T346=regle!$K$11),-2,IF(T346=regle!$B$11,0,IF(AN$1=$AK$1,IF($O346,-1,regle!$B$2-$M346),IF(AM346=-1,-1,AM346+1))))</f>
        <v>24</v>
      </c>
      <c r="AO346" s="16">
        <f>IF(OR(U346=regle!$J$11,U346=regle!$K$11),-2,IF(U346=regle!$B$11,0,IF(AO$1=$AK$1,IF($O346,-1,regle!$B$2-$M346),IF(AN346=-1,-1,AN346+1))))</f>
        <v>-2</v>
      </c>
      <c r="AP346" s="16">
        <f>IF(OR(V346=regle!$J$11,V346=regle!$K$11),-2,IF(V346=regle!$B$11,0,IF(AP$1=$AK$1,IF($O346,-1,regle!$B$2-$M346),IF(AO346=-1,-1,AO346+1))))</f>
        <v>0</v>
      </c>
      <c r="AQ346" s="16">
        <f>IF(OR(W346=regle!$J$11,W346=regle!$K$11),-2,IF(W346=regle!$B$11,0,IF(AQ$1=$AK$1,IF($O346,-1,regle!$B$2-$M346),IF(AP346=-1,-1,AP346+1))))</f>
        <v>1</v>
      </c>
      <c r="AR346" s="16">
        <f>IF(OR(X346=regle!$J$11,X346=regle!$K$11),-2,IF(X346=regle!$B$11,0,IF(AR$1=$AK$1,IF($O346,-1,regle!$B$2-$M346),IF(AQ346=-1,-1,AQ346+1))))</f>
        <v>2</v>
      </c>
      <c r="AS346" s="16">
        <f>IF(OR(Y346=regle!$J$11,Y346=regle!$K$11),-2,IF(Y346=regle!$B$11,0,IF(AS$1=$AK$1,IF($O346,-1,regle!$B$2-$M346),IF(AR346=-1,-1,AR346+1))))</f>
        <v>3</v>
      </c>
      <c r="AT346" s="16">
        <f>IF(OR(Z346=regle!$J$11,Z346=regle!$K$11),-2,IF(Z346=regle!$B$11,0,IF(AT$1=$AK$1,IF($O346,-1,regle!$B$2-$M346),IF(AS346=-1,-1,AS346+1))))</f>
        <v>4</v>
      </c>
    </row>
    <row r="347" spans="1:46" x14ac:dyDescent="0.25">
      <c r="A347" t="b">
        <f>modif1!A347</f>
        <v>1</v>
      </c>
      <c r="B347">
        <f>ROW(modif1!B347)</f>
        <v>347</v>
      </c>
      <c r="C347" t="str">
        <f>modif1!C350</f>
        <v>536</v>
      </c>
      <c r="D347" t="str">
        <f>modif1!D347</f>
        <v>LE TUZAN</v>
      </c>
      <c r="E347">
        <f>modif1!E347</f>
        <v>21</v>
      </c>
      <c r="F347" t="str">
        <f>modif1!F347</f>
        <v>METAIRIES DE TABARTON</v>
      </c>
      <c r="G347" t="str">
        <f>modif1!G347</f>
        <v>0A</v>
      </c>
      <c r="H347">
        <f>modif1!H347</f>
        <v>847</v>
      </c>
      <c r="I347" t="str">
        <f>modif1!I347</f>
        <v>b</v>
      </c>
      <c r="J347" s="11">
        <f>modif1!J347</f>
        <v>3.4255</v>
      </c>
      <c r="K347" t="str">
        <f>modif1!K347</f>
        <v>SL</v>
      </c>
      <c r="L347" t="str">
        <f>modif1!L347</f>
        <v>PM</v>
      </c>
      <c r="M347">
        <f>modif1!M347</f>
        <v>2003</v>
      </c>
      <c r="N347" t="str">
        <f>modif1!N347</f>
        <v>SL-PM_2003</v>
      </c>
      <c r="O347" t="b">
        <f>modif1!O347</f>
        <v>0</v>
      </c>
      <c r="P347">
        <v>40</v>
      </c>
      <c r="R347" t="s">
        <v>1805</v>
      </c>
      <c r="W347" t="s">
        <v>1806</v>
      </c>
      <c r="Z347"/>
      <c r="AA347" s="17">
        <f>IF($A347,$J347*(IF(Q347=regle!$B$11,regle!$B$23*IF(AJ347=-2,1+regle!$B$35,1),
IF(Q347=regle!$C$11,regle!$C$23,
IF(Q347=regle!$D$11,regle!$D$23,
IF(Q347=regle!$E$11,regle!$E$23,
IF(Q347=regle!$F$11,regle!$F$23,
IF(Q347=regle!$G$11,regle!$G$23,
IF(Q347=regle!$H$11,regle!$H$23,
IF(Q347=regle!$I$11,regle!$I$23,
IF(Q347=regle!$J$11,regle!$J$23,
IF(Q347=regle!$K$11,regle!$K$23,0))))))))))))</f>
        <v>0</v>
      </c>
      <c r="AB347" s="17">
        <f>IF($A347,$J347*(IF(R347=regle!$B$11,regle!$B$23*IF(AK347=-2,1+regle!$B$35,1),
IF(R347=regle!$C$11,regle!$C$23,
IF(R347=regle!$D$11,regle!$D$23,
IF(R347=regle!$E$11,regle!$E$23,
IF(R347=regle!$F$11,regle!$F$23,
IF(R347=regle!$G$11,regle!$G$23,
IF(R347=regle!$H$11,regle!$H$23,
IF(R347=regle!$I$11,regle!$I$23,
IF(R347=regle!$J$11,regle!$J$23,
IF(R347=regle!$K$11,regle!$K$23,0))))))))))))</f>
        <v>4823.1040000000003</v>
      </c>
      <c r="AC347" s="17">
        <f>IF($A347,$J347*(IF(S347=regle!$B$11,regle!$B$23*IF(AL347=-2,1+regle!$B$35,1),
IF(S347=regle!$C$11,regle!$C$23,
IF(S347=regle!$D$11,regle!$D$23,
IF(S347=regle!$E$11,regle!$E$23,
IF(S347=regle!$F$11,regle!$F$23,
IF(S347=regle!$G$11,regle!$G$23,
IF(S347=regle!$H$11,regle!$H$23,
IF(S347=regle!$I$11,regle!$I$23,
IF(S347=regle!$J$11,regle!$J$23,
IF(S347=regle!$K$11,regle!$K$23,0))))))))))))</f>
        <v>0</v>
      </c>
      <c r="AD347" s="17">
        <f>IF($A347,$J347*(IF(T347=regle!$B$11,regle!$B$23*IF(AM347=-2,1+regle!$B$35,1),
IF(T347=regle!$C$11,regle!$C$23,
IF(T347=regle!$D$11,regle!$D$23,
IF(T347=regle!$E$11,regle!$E$23,
IF(T347=regle!$F$11,regle!$F$23,
IF(T347=regle!$G$11,regle!$G$23,
IF(T347=regle!$H$11,regle!$H$23,
IF(T347=regle!$I$11,regle!$I$23,
IF(T347=regle!$J$11,regle!$J$23,
IF(T347=regle!$K$11,regle!$K$23,0))))))))))))</f>
        <v>0</v>
      </c>
      <c r="AE347" s="17">
        <f>IF($A347,$J347*(IF(U347=regle!$B$11,regle!$B$23*IF(AN347=-2,1+regle!$B$35,1),
IF(U347=regle!$C$11,regle!$C$23,
IF(U347=regle!$D$11,regle!$D$23,
IF(U347=regle!$E$11,regle!$E$23,
IF(U347=regle!$F$11,regle!$F$23,
IF(U347=regle!$G$11,regle!$G$23,
IF(U347=regle!$H$11,regle!$H$23,
IF(U347=regle!$I$11,regle!$I$23,
IF(U347=regle!$J$11,regle!$J$23,
IF(U347=regle!$K$11,regle!$K$23,0))))))))))))</f>
        <v>0</v>
      </c>
      <c r="AF347" s="17">
        <f>IF($A347,$J347*(IF(V347=regle!$B$11,regle!$B$23*IF(AO347=-2,1+regle!$B$35,1),
IF(V347=regle!$C$11,regle!$C$23,
IF(V347=regle!$D$11,regle!$D$23,
IF(V347=regle!$E$11,regle!$E$23,
IF(V347=regle!$F$11,regle!$F$23,
IF(V347=regle!$G$11,regle!$G$23,
IF(V347=regle!$H$11,regle!$H$23,
IF(V347=regle!$I$11,regle!$I$23,
IF(V347=regle!$J$11,regle!$J$23,
IF(V347=regle!$K$11,regle!$K$23,0))))))))))))</f>
        <v>0</v>
      </c>
      <c r="AG347" s="17">
        <f>IF($A347,$J347*(IF(W347=regle!$B$11,regle!$B$23*IF(AP347=-2,1+regle!$B$35,1),
IF(W347=regle!$C$11,regle!$C$23,
IF(W347=regle!$D$11,regle!$D$23,
IF(W347=regle!$E$11,regle!$E$23,
IF(W347=regle!$F$11,regle!$F$23,
IF(W347=regle!$G$11,regle!$G$23,
IF(W347=regle!$H$11,regle!$H$23,
IF(W347=regle!$I$11,regle!$I$23,
IF(W347=regle!$J$11,regle!$J$23,
IF(W347=regle!$K$11,regle!$K$23,0))))))))))))</f>
        <v>4384.6400000000003</v>
      </c>
      <c r="AH347" s="17">
        <f>IF($A347,$J347*(IF(X347=regle!$B$11,regle!$B$23*IF(AQ347=-2,1+regle!$B$35,1),
IF(X347=regle!$C$11,regle!$C$23,
IF(X347=regle!$D$11,regle!$D$23,
IF(X347=regle!$E$11,regle!$E$23,
IF(X347=regle!$F$11,regle!$F$23,
IF(X347=regle!$G$11,regle!$G$23,
IF(X347=regle!$H$11,regle!$H$23,
IF(X347=regle!$I$11,regle!$I$23,
IF(X347=regle!$J$11,regle!$J$23,
IF(X347=regle!$K$11,regle!$K$23,0))))))))))))</f>
        <v>0</v>
      </c>
      <c r="AI347" s="17">
        <f>IF($A347,$J347*(IF(Y347=regle!$B$11,regle!$B$23*IF(AR347=-2,1+regle!$B$35,1),
IF(Y347=regle!$C$11,regle!$C$23,
IF(Y347=regle!$D$11,regle!$D$23,
IF(Y347=regle!$E$11,regle!$E$23,
IF(Y347=regle!$F$11,regle!$F$23,
IF(Y347=regle!$G$11,regle!$G$23,
IF(Y347=regle!$H$11,regle!$H$23,
IF(Y347=regle!$I$11,regle!$I$23,
IF(Y347=regle!$J$11,regle!$J$23,
IF(Y347=regle!$K$11,regle!$K$23,0))))))))))))</f>
        <v>0</v>
      </c>
      <c r="AJ347" s="17">
        <f>IF($A347,$J347*(IF(Z347=regle!$B$11,regle!$B$23*IF(AS347=-2,1+regle!$B$35,1),
IF(Z347=regle!$C$11,regle!$C$23,
IF(Z347=regle!$D$11,regle!$D$23,
IF(Z347=regle!$E$11,regle!$E$23,
IF(Z347=regle!$F$11,regle!$F$23,
IF(Z347=regle!$G$11,regle!$G$23,
IF(Z347=regle!$H$11,regle!$H$23,
IF(Z347=regle!$I$11,regle!$I$23,
IF(Z347=regle!$J$11,regle!$J$23,
IF(Z347=regle!$K$11,regle!$K$23,0))))))))))))</f>
        <v>0</v>
      </c>
      <c r="AK347" s="16">
        <f>IF(OR(Q347=regle!$J$11,Q347=regle!$K$11),-2,IF(Q347=regle!$B$11,0,IF(AK$1=$AK$1,IF($O347,-1,regle!$B$2-$M347),IF(AJ347=-1,-1,AJ347+1))))</f>
        <v>21</v>
      </c>
      <c r="AL347" s="16">
        <f>IF(OR(R347=regle!$J$11,R347=regle!$K$11),-2,IF(R347=regle!$B$11,0,IF(AL$1=$AK$1,IF($O347,-1,regle!$B$2-$M347),IF(AK347=-1,-1,AK347+1))))</f>
        <v>22</v>
      </c>
      <c r="AM347" s="16">
        <f>IF(OR(S347=regle!$J$11,S347=regle!$K$11),-2,IF(S347=regle!$B$11,0,IF(AM$1=$AK$1,IF($O347,-1,regle!$B$2-$M347),IF(AL347=-1,-1,AL347+1))))</f>
        <v>23</v>
      </c>
      <c r="AN347" s="16">
        <f>IF(OR(T347=regle!$J$11,T347=regle!$K$11),-2,IF(T347=regle!$B$11,0,IF(AN$1=$AK$1,IF($O347,-1,regle!$B$2-$M347),IF(AM347=-1,-1,AM347+1))))</f>
        <v>24</v>
      </c>
      <c r="AO347" s="16">
        <f>IF(OR(U347=regle!$J$11,U347=regle!$K$11),-2,IF(U347=regle!$B$11,0,IF(AO$1=$AK$1,IF($O347,-1,regle!$B$2-$M347),IF(AN347=-1,-1,AN347+1))))</f>
        <v>25</v>
      </c>
      <c r="AP347" s="16">
        <f>IF(OR(V347=regle!$J$11,V347=regle!$K$11),-2,IF(V347=regle!$B$11,0,IF(AP$1=$AK$1,IF($O347,-1,regle!$B$2-$M347),IF(AO347=-1,-1,AO347+1))))</f>
        <v>26</v>
      </c>
      <c r="AQ347" s="16">
        <f>IF(OR(W347=regle!$J$11,W347=regle!$K$11),-2,IF(W347=regle!$B$11,0,IF(AQ$1=$AK$1,IF($O347,-1,regle!$B$2-$M347),IF(AP347=-1,-1,AP347+1))))</f>
        <v>27</v>
      </c>
      <c r="AR347" s="16">
        <f>IF(OR(X347=regle!$J$11,X347=regle!$K$11),-2,IF(X347=regle!$B$11,0,IF(AR$1=$AK$1,IF($O347,-1,regle!$B$2-$M347),IF(AQ347=-1,-1,AQ347+1))))</f>
        <v>28</v>
      </c>
      <c r="AS347" s="16">
        <f>IF(OR(Y347=regle!$J$11,Y347=regle!$K$11),-2,IF(Y347=regle!$B$11,0,IF(AS$1=$AK$1,IF($O347,-1,regle!$B$2-$M347),IF(AR347=-1,-1,AR347+1))))</f>
        <v>29</v>
      </c>
      <c r="AT347" s="16">
        <f>IF(OR(Z347=regle!$J$11,Z347=regle!$K$11),-2,IF(Z347=regle!$B$11,0,IF(AT$1=$AK$1,IF($O347,-1,regle!$B$2-$M347),IF(AS347=-1,-1,AS347+1))))</f>
        <v>30</v>
      </c>
    </row>
    <row r="348" spans="1:46" x14ac:dyDescent="0.25">
      <c r="A348" t="b">
        <f>modif1!A348</f>
        <v>1</v>
      </c>
      <c r="B348">
        <f>ROW(modif1!B348)</f>
        <v>348</v>
      </c>
      <c r="C348" t="str">
        <f>modif1!C351</f>
        <v>536</v>
      </c>
      <c r="D348" t="str">
        <f>modif1!D348</f>
        <v>LE TUZAN</v>
      </c>
      <c r="E348">
        <f>modif1!E348</f>
        <v>21</v>
      </c>
      <c r="F348" t="str">
        <f>modif1!F348</f>
        <v>METAIRIES DE TABARTON</v>
      </c>
      <c r="G348" t="str">
        <f>modif1!G348</f>
        <v>0A</v>
      </c>
      <c r="H348">
        <f>modif1!H348</f>
        <v>424</v>
      </c>
      <c r="I348" t="str">
        <f>modif1!I348</f>
        <v>c</v>
      </c>
      <c r="J348" s="11">
        <f>modif1!J348</f>
        <v>1.4708000000000001</v>
      </c>
      <c r="K348" t="str">
        <f>modif1!K348</f>
        <v>SL</v>
      </c>
      <c r="L348" t="str">
        <f>modif1!L348</f>
        <v>PM</v>
      </c>
      <c r="M348">
        <f>modif1!M348</f>
        <v>2003</v>
      </c>
      <c r="N348" t="str">
        <f>modif1!N348</f>
        <v>SL-PM_2003</v>
      </c>
      <c r="O348" t="b">
        <f>modif1!O348</f>
        <v>0</v>
      </c>
      <c r="P348">
        <v>40</v>
      </c>
      <c r="R348" t="s">
        <v>1805</v>
      </c>
      <c r="W348" t="s">
        <v>1806</v>
      </c>
      <c r="Z348"/>
      <c r="AA348" s="17">
        <f>IF($A348,$J348*(IF(Q348=regle!$B$11,regle!$B$23*IF(AJ348=-2,1+regle!$B$35,1),
IF(Q348=regle!$C$11,regle!$C$23,
IF(Q348=regle!$D$11,regle!$D$23,
IF(Q348=regle!$E$11,regle!$E$23,
IF(Q348=regle!$F$11,regle!$F$23,
IF(Q348=regle!$G$11,regle!$G$23,
IF(Q348=regle!$H$11,regle!$H$23,
IF(Q348=regle!$I$11,regle!$I$23,
IF(Q348=regle!$J$11,regle!$J$23,
IF(Q348=regle!$K$11,regle!$K$23,0))))))))))))</f>
        <v>0</v>
      </c>
      <c r="AB348" s="17">
        <f>IF($A348,$J348*(IF(R348=regle!$B$11,regle!$B$23*IF(AK348=-2,1+regle!$B$35,1),
IF(R348=regle!$C$11,regle!$C$23,
IF(R348=regle!$D$11,regle!$D$23,
IF(R348=regle!$E$11,regle!$E$23,
IF(R348=regle!$F$11,regle!$F$23,
IF(R348=regle!$G$11,regle!$G$23,
IF(R348=regle!$H$11,regle!$H$23,
IF(R348=regle!$I$11,regle!$I$23,
IF(R348=regle!$J$11,regle!$J$23,
IF(R348=regle!$K$11,regle!$K$23,0))))))))))))</f>
        <v>2070.8864000000003</v>
      </c>
      <c r="AC348" s="17">
        <f>IF($A348,$J348*(IF(S348=regle!$B$11,regle!$B$23*IF(AL348=-2,1+regle!$B$35,1),
IF(S348=regle!$C$11,regle!$C$23,
IF(S348=regle!$D$11,regle!$D$23,
IF(S348=regle!$E$11,regle!$E$23,
IF(S348=regle!$F$11,regle!$F$23,
IF(S348=regle!$G$11,regle!$G$23,
IF(S348=regle!$H$11,regle!$H$23,
IF(S348=regle!$I$11,regle!$I$23,
IF(S348=regle!$J$11,regle!$J$23,
IF(S348=regle!$K$11,regle!$K$23,0))))))))))))</f>
        <v>0</v>
      </c>
      <c r="AD348" s="17">
        <f>IF($A348,$J348*(IF(T348=regle!$B$11,regle!$B$23*IF(AM348=-2,1+regle!$B$35,1),
IF(T348=regle!$C$11,regle!$C$23,
IF(T348=regle!$D$11,regle!$D$23,
IF(T348=regle!$E$11,regle!$E$23,
IF(T348=regle!$F$11,regle!$F$23,
IF(T348=regle!$G$11,regle!$G$23,
IF(T348=regle!$H$11,regle!$H$23,
IF(T348=regle!$I$11,regle!$I$23,
IF(T348=regle!$J$11,regle!$J$23,
IF(T348=regle!$K$11,regle!$K$23,0))))))))))))</f>
        <v>0</v>
      </c>
      <c r="AE348" s="17">
        <f>IF($A348,$J348*(IF(U348=regle!$B$11,regle!$B$23*IF(AN348=-2,1+regle!$B$35,1),
IF(U348=regle!$C$11,regle!$C$23,
IF(U348=regle!$D$11,regle!$D$23,
IF(U348=regle!$E$11,regle!$E$23,
IF(U348=regle!$F$11,regle!$F$23,
IF(U348=regle!$G$11,regle!$G$23,
IF(U348=regle!$H$11,regle!$H$23,
IF(U348=regle!$I$11,regle!$I$23,
IF(U348=regle!$J$11,regle!$J$23,
IF(U348=regle!$K$11,regle!$K$23,0))))))))))))</f>
        <v>0</v>
      </c>
      <c r="AF348" s="17">
        <f>IF($A348,$J348*(IF(V348=regle!$B$11,regle!$B$23*IF(AO348=-2,1+regle!$B$35,1),
IF(V348=regle!$C$11,regle!$C$23,
IF(V348=regle!$D$11,regle!$D$23,
IF(V348=regle!$E$11,regle!$E$23,
IF(V348=regle!$F$11,regle!$F$23,
IF(V348=regle!$G$11,regle!$G$23,
IF(V348=regle!$H$11,regle!$H$23,
IF(V348=regle!$I$11,regle!$I$23,
IF(V348=regle!$J$11,regle!$J$23,
IF(V348=regle!$K$11,regle!$K$23,0))))))))))))</f>
        <v>0</v>
      </c>
      <c r="AG348" s="17">
        <f>IF($A348,$J348*(IF(W348=regle!$B$11,regle!$B$23*IF(AP348=-2,1+regle!$B$35,1),
IF(W348=regle!$C$11,regle!$C$23,
IF(W348=regle!$D$11,regle!$D$23,
IF(W348=regle!$E$11,regle!$E$23,
IF(W348=regle!$F$11,regle!$F$23,
IF(W348=regle!$G$11,regle!$G$23,
IF(W348=regle!$H$11,regle!$H$23,
IF(W348=regle!$I$11,regle!$I$23,
IF(W348=regle!$J$11,regle!$J$23,
IF(W348=regle!$K$11,regle!$K$23,0))))))))))))</f>
        <v>1882.6240000000003</v>
      </c>
      <c r="AH348" s="17">
        <f>IF($A348,$J348*(IF(X348=regle!$B$11,regle!$B$23*IF(AQ348=-2,1+regle!$B$35,1),
IF(X348=regle!$C$11,regle!$C$23,
IF(X348=regle!$D$11,regle!$D$23,
IF(X348=regle!$E$11,regle!$E$23,
IF(X348=regle!$F$11,regle!$F$23,
IF(X348=regle!$G$11,regle!$G$23,
IF(X348=regle!$H$11,regle!$H$23,
IF(X348=regle!$I$11,regle!$I$23,
IF(X348=regle!$J$11,regle!$J$23,
IF(X348=regle!$K$11,regle!$K$23,0))))))))))))</f>
        <v>0</v>
      </c>
      <c r="AI348" s="17">
        <f>IF($A348,$J348*(IF(Y348=regle!$B$11,regle!$B$23*IF(AR348=-2,1+regle!$B$35,1),
IF(Y348=regle!$C$11,regle!$C$23,
IF(Y348=regle!$D$11,regle!$D$23,
IF(Y348=regle!$E$11,regle!$E$23,
IF(Y348=regle!$F$11,regle!$F$23,
IF(Y348=regle!$G$11,regle!$G$23,
IF(Y348=regle!$H$11,regle!$H$23,
IF(Y348=regle!$I$11,regle!$I$23,
IF(Y348=regle!$J$11,regle!$J$23,
IF(Y348=regle!$K$11,regle!$K$23,0))))))))))))</f>
        <v>0</v>
      </c>
      <c r="AJ348" s="17">
        <f>IF($A348,$J348*(IF(Z348=regle!$B$11,regle!$B$23*IF(AS348=-2,1+regle!$B$35,1),
IF(Z348=regle!$C$11,regle!$C$23,
IF(Z348=regle!$D$11,regle!$D$23,
IF(Z348=regle!$E$11,regle!$E$23,
IF(Z348=regle!$F$11,regle!$F$23,
IF(Z348=regle!$G$11,regle!$G$23,
IF(Z348=regle!$H$11,regle!$H$23,
IF(Z348=regle!$I$11,regle!$I$23,
IF(Z348=regle!$J$11,regle!$J$23,
IF(Z348=regle!$K$11,regle!$K$23,0))))))))))))</f>
        <v>0</v>
      </c>
      <c r="AK348" s="16">
        <f>IF(OR(Q348=regle!$J$11,Q348=regle!$K$11),-2,IF(Q348=regle!$B$11,0,IF(AK$1=$AK$1,IF($O348,-1,regle!$B$2-$M348),IF(AJ348=-1,-1,AJ348+1))))</f>
        <v>21</v>
      </c>
      <c r="AL348" s="16">
        <f>IF(OR(R348=regle!$J$11,R348=regle!$K$11),-2,IF(R348=regle!$B$11,0,IF(AL$1=$AK$1,IF($O348,-1,regle!$B$2-$M348),IF(AK348=-1,-1,AK348+1))))</f>
        <v>22</v>
      </c>
      <c r="AM348" s="16">
        <f>IF(OR(S348=regle!$J$11,S348=regle!$K$11),-2,IF(S348=regle!$B$11,0,IF(AM$1=$AK$1,IF($O348,-1,regle!$B$2-$M348),IF(AL348=-1,-1,AL348+1))))</f>
        <v>23</v>
      </c>
      <c r="AN348" s="16">
        <f>IF(OR(T348=regle!$J$11,T348=regle!$K$11),-2,IF(T348=regle!$B$11,0,IF(AN$1=$AK$1,IF($O348,-1,regle!$B$2-$M348),IF(AM348=-1,-1,AM348+1))))</f>
        <v>24</v>
      </c>
      <c r="AO348" s="16">
        <f>IF(OR(U348=regle!$J$11,U348=regle!$K$11),-2,IF(U348=regle!$B$11,0,IF(AO$1=$AK$1,IF($O348,-1,regle!$B$2-$M348),IF(AN348=-1,-1,AN348+1))))</f>
        <v>25</v>
      </c>
      <c r="AP348" s="16">
        <f>IF(OR(V348=regle!$J$11,V348=regle!$K$11),-2,IF(V348=regle!$B$11,0,IF(AP$1=$AK$1,IF($O348,-1,regle!$B$2-$M348),IF(AO348=-1,-1,AO348+1))))</f>
        <v>26</v>
      </c>
      <c r="AQ348" s="16">
        <f>IF(OR(W348=regle!$J$11,W348=regle!$K$11),-2,IF(W348=regle!$B$11,0,IF(AQ$1=$AK$1,IF($O348,-1,regle!$B$2-$M348),IF(AP348=-1,-1,AP348+1))))</f>
        <v>27</v>
      </c>
      <c r="AR348" s="16">
        <f>IF(OR(X348=regle!$J$11,X348=regle!$K$11),-2,IF(X348=regle!$B$11,0,IF(AR$1=$AK$1,IF($O348,-1,regle!$B$2-$M348),IF(AQ348=-1,-1,AQ348+1))))</f>
        <v>28</v>
      </c>
      <c r="AS348" s="16">
        <f>IF(OR(Y348=regle!$J$11,Y348=regle!$K$11),-2,IF(Y348=regle!$B$11,0,IF(AS$1=$AK$1,IF($O348,-1,regle!$B$2-$M348),IF(AR348=-1,-1,AR348+1))))</f>
        <v>29</v>
      </c>
      <c r="AT348" s="16">
        <f>IF(OR(Z348=regle!$J$11,Z348=regle!$K$11),-2,IF(Z348=regle!$B$11,0,IF(AT$1=$AK$1,IF($O348,-1,regle!$B$2-$M348),IF(AS348=-1,-1,AS348+1))))</f>
        <v>30</v>
      </c>
    </row>
    <row r="349" spans="1:46" x14ac:dyDescent="0.25">
      <c r="A349" t="b">
        <f>modif1!A349</f>
        <v>1</v>
      </c>
      <c r="B349">
        <f>ROW(modif1!B349)</f>
        <v>349</v>
      </c>
      <c r="C349" t="str">
        <f>modif1!C352</f>
        <v>536</v>
      </c>
      <c r="D349" t="str">
        <f>modif1!D349</f>
        <v>LE TUZAN</v>
      </c>
      <c r="E349">
        <f>modif1!E349</f>
        <v>21</v>
      </c>
      <c r="F349" t="str">
        <f>modif1!F349</f>
        <v>METAIRIES DE TABARTON</v>
      </c>
      <c r="G349" t="str">
        <f>modif1!G349</f>
        <v>0A</v>
      </c>
      <c r="H349">
        <f>modif1!H349</f>
        <v>847</v>
      </c>
      <c r="I349" t="str">
        <f>modif1!I349</f>
        <v>a</v>
      </c>
      <c r="J349" s="11">
        <f>modif1!J349</f>
        <v>1.2670999999999999</v>
      </c>
      <c r="K349" t="str">
        <f>modif1!K349</f>
        <v>SL</v>
      </c>
      <c r="L349" t="str">
        <f>modif1!L349</f>
        <v>PM</v>
      </c>
      <c r="M349">
        <f>modif1!M349</f>
        <v>2003</v>
      </c>
      <c r="N349" t="str">
        <f>modif1!N349</f>
        <v>SL-PM_2003</v>
      </c>
      <c r="O349" t="b">
        <f>modif1!O349</f>
        <v>0</v>
      </c>
      <c r="P349">
        <v>40</v>
      </c>
      <c r="R349" t="s">
        <v>1805</v>
      </c>
      <c r="W349" t="s">
        <v>1806</v>
      </c>
      <c r="Z349"/>
      <c r="AA349" s="17">
        <f>IF($A349,$J349*(IF(Q349=regle!$B$11,regle!$B$23*IF(AJ349=-2,1+regle!$B$35,1),
IF(Q349=regle!$C$11,regle!$C$23,
IF(Q349=regle!$D$11,regle!$D$23,
IF(Q349=regle!$E$11,regle!$E$23,
IF(Q349=regle!$F$11,regle!$F$23,
IF(Q349=regle!$G$11,regle!$G$23,
IF(Q349=regle!$H$11,regle!$H$23,
IF(Q349=regle!$I$11,regle!$I$23,
IF(Q349=regle!$J$11,regle!$J$23,
IF(Q349=regle!$K$11,regle!$K$23,0))))))))))))</f>
        <v>0</v>
      </c>
      <c r="AB349" s="17">
        <f>IF($A349,$J349*(IF(R349=regle!$B$11,regle!$B$23*IF(AK349=-2,1+regle!$B$35,1),
IF(R349=regle!$C$11,regle!$C$23,
IF(R349=regle!$D$11,regle!$D$23,
IF(R349=regle!$E$11,regle!$E$23,
IF(R349=regle!$F$11,regle!$F$23,
IF(R349=regle!$G$11,regle!$G$23,
IF(R349=regle!$H$11,regle!$H$23,
IF(R349=regle!$I$11,regle!$I$23,
IF(R349=regle!$J$11,regle!$J$23,
IF(R349=regle!$K$11,regle!$K$23,0))))))))))))</f>
        <v>1784.0767999999998</v>
      </c>
      <c r="AC349" s="17">
        <f>IF($A349,$J349*(IF(S349=regle!$B$11,regle!$B$23*IF(AL349=-2,1+regle!$B$35,1),
IF(S349=regle!$C$11,regle!$C$23,
IF(S349=regle!$D$11,regle!$D$23,
IF(S349=regle!$E$11,regle!$E$23,
IF(S349=regle!$F$11,regle!$F$23,
IF(S349=regle!$G$11,regle!$G$23,
IF(S349=regle!$H$11,regle!$H$23,
IF(S349=regle!$I$11,regle!$I$23,
IF(S349=regle!$J$11,regle!$J$23,
IF(S349=regle!$K$11,regle!$K$23,0))))))))))))</f>
        <v>0</v>
      </c>
      <c r="AD349" s="17">
        <f>IF($A349,$J349*(IF(T349=regle!$B$11,regle!$B$23*IF(AM349=-2,1+regle!$B$35,1),
IF(T349=regle!$C$11,regle!$C$23,
IF(T349=regle!$D$11,regle!$D$23,
IF(T349=regle!$E$11,regle!$E$23,
IF(T349=regle!$F$11,regle!$F$23,
IF(T349=regle!$G$11,regle!$G$23,
IF(T349=regle!$H$11,regle!$H$23,
IF(T349=regle!$I$11,regle!$I$23,
IF(T349=regle!$J$11,regle!$J$23,
IF(T349=regle!$K$11,regle!$K$23,0))))))))))))</f>
        <v>0</v>
      </c>
      <c r="AE349" s="17">
        <f>IF($A349,$J349*(IF(U349=regle!$B$11,regle!$B$23*IF(AN349=-2,1+regle!$B$35,1),
IF(U349=regle!$C$11,regle!$C$23,
IF(U349=regle!$D$11,regle!$D$23,
IF(U349=regle!$E$11,regle!$E$23,
IF(U349=regle!$F$11,regle!$F$23,
IF(U349=regle!$G$11,regle!$G$23,
IF(U349=regle!$H$11,regle!$H$23,
IF(U349=regle!$I$11,regle!$I$23,
IF(U349=regle!$J$11,regle!$J$23,
IF(U349=regle!$K$11,regle!$K$23,0))))))))))))</f>
        <v>0</v>
      </c>
      <c r="AF349" s="17">
        <f>IF($A349,$J349*(IF(V349=regle!$B$11,regle!$B$23*IF(AO349=-2,1+regle!$B$35,1),
IF(V349=regle!$C$11,regle!$C$23,
IF(V349=regle!$D$11,regle!$D$23,
IF(V349=regle!$E$11,regle!$E$23,
IF(V349=regle!$F$11,regle!$F$23,
IF(V349=regle!$G$11,regle!$G$23,
IF(V349=regle!$H$11,regle!$H$23,
IF(V349=regle!$I$11,regle!$I$23,
IF(V349=regle!$J$11,regle!$J$23,
IF(V349=regle!$K$11,regle!$K$23,0))))))))))))</f>
        <v>0</v>
      </c>
      <c r="AG349" s="17">
        <f>IF($A349,$J349*(IF(W349=regle!$B$11,regle!$B$23*IF(AP349=-2,1+regle!$B$35,1),
IF(W349=regle!$C$11,regle!$C$23,
IF(W349=regle!$D$11,regle!$D$23,
IF(W349=regle!$E$11,regle!$E$23,
IF(W349=regle!$F$11,regle!$F$23,
IF(W349=regle!$G$11,regle!$G$23,
IF(W349=regle!$H$11,regle!$H$23,
IF(W349=regle!$I$11,regle!$I$23,
IF(W349=regle!$J$11,regle!$J$23,
IF(W349=regle!$K$11,regle!$K$23,0))))))))))))</f>
        <v>1621.8879999999999</v>
      </c>
      <c r="AH349" s="17">
        <f>IF($A349,$J349*(IF(X349=regle!$B$11,regle!$B$23*IF(AQ349=-2,1+regle!$B$35,1),
IF(X349=regle!$C$11,regle!$C$23,
IF(X349=regle!$D$11,regle!$D$23,
IF(X349=regle!$E$11,regle!$E$23,
IF(X349=regle!$F$11,regle!$F$23,
IF(X349=regle!$G$11,regle!$G$23,
IF(X349=regle!$H$11,regle!$H$23,
IF(X349=regle!$I$11,regle!$I$23,
IF(X349=regle!$J$11,regle!$J$23,
IF(X349=regle!$K$11,regle!$K$23,0))))))))))))</f>
        <v>0</v>
      </c>
      <c r="AI349" s="17">
        <f>IF($A349,$J349*(IF(Y349=regle!$B$11,regle!$B$23*IF(AR349=-2,1+regle!$B$35,1),
IF(Y349=regle!$C$11,regle!$C$23,
IF(Y349=regle!$D$11,regle!$D$23,
IF(Y349=regle!$E$11,regle!$E$23,
IF(Y349=regle!$F$11,regle!$F$23,
IF(Y349=regle!$G$11,regle!$G$23,
IF(Y349=regle!$H$11,regle!$H$23,
IF(Y349=regle!$I$11,regle!$I$23,
IF(Y349=regle!$J$11,regle!$J$23,
IF(Y349=regle!$K$11,regle!$K$23,0))))))))))))</f>
        <v>0</v>
      </c>
      <c r="AJ349" s="17">
        <f>IF($A349,$J349*(IF(Z349=regle!$B$11,regle!$B$23*IF(AS349=-2,1+regle!$B$35,1),
IF(Z349=regle!$C$11,regle!$C$23,
IF(Z349=regle!$D$11,regle!$D$23,
IF(Z349=regle!$E$11,regle!$E$23,
IF(Z349=regle!$F$11,regle!$F$23,
IF(Z349=regle!$G$11,regle!$G$23,
IF(Z349=regle!$H$11,regle!$H$23,
IF(Z349=regle!$I$11,regle!$I$23,
IF(Z349=regle!$J$11,regle!$J$23,
IF(Z349=regle!$K$11,regle!$K$23,0))))))))))))</f>
        <v>0</v>
      </c>
      <c r="AK349" s="16">
        <f>IF(OR(Q349=regle!$J$11,Q349=regle!$K$11),-2,IF(Q349=regle!$B$11,0,IF(AK$1=$AK$1,IF($O349,-1,regle!$B$2-$M349),IF(AJ349=-1,-1,AJ349+1))))</f>
        <v>21</v>
      </c>
      <c r="AL349" s="16">
        <f>IF(OR(R349=regle!$J$11,R349=regle!$K$11),-2,IF(R349=regle!$B$11,0,IF(AL$1=$AK$1,IF($O349,-1,regle!$B$2-$M349),IF(AK349=-1,-1,AK349+1))))</f>
        <v>22</v>
      </c>
      <c r="AM349" s="16">
        <f>IF(OR(S349=regle!$J$11,S349=regle!$K$11),-2,IF(S349=regle!$B$11,0,IF(AM$1=$AK$1,IF($O349,-1,regle!$B$2-$M349),IF(AL349=-1,-1,AL349+1))))</f>
        <v>23</v>
      </c>
      <c r="AN349" s="16">
        <f>IF(OR(T349=regle!$J$11,T349=regle!$K$11),-2,IF(T349=regle!$B$11,0,IF(AN$1=$AK$1,IF($O349,-1,regle!$B$2-$M349),IF(AM349=-1,-1,AM349+1))))</f>
        <v>24</v>
      </c>
      <c r="AO349" s="16">
        <f>IF(OR(U349=regle!$J$11,U349=regle!$K$11),-2,IF(U349=regle!$B$11,0,IF(AO$1=$AK$1,IF($O349,-1,regle!$B$2-$M349),IF(AN349=-1,-1,AN349+1))))</f>
        <v>25</v>
      </c>
      <c r="AP349" s="16">
        <f>IF(OR(V349=regle!$J$11,V349=regle!$K$11),-2,IF(V349=regle!$B$11,0,IF(AP$1=$AK$1,IF($O349,-1,regle!$B$2-$M349),IF(AO349=-1,-1,AO349+1))))</f>
        <v>26</v>
      </c>
      <c r="AQ349" s="16">
        <f>IF(OR(W349=regle!$J$11,W349=regle!$K$11),-2,IF(W349=regle!$B$11,0,IF(AQ$1=$AK$1,IF($O349,-1,regle!$B$2-$M349),IF(AP349=-1,-1,AP349+1))))</f>
        <v>27</v>
      </c>
      <c r="AR349" s="16">
        <f>IF(OR(X349=regle!$J$11,X349=regle!$K$11),-2,IF(X349=regle!$B$11,0,IF(AR$1=$AK$1,IF($O349,-1,regle!$B$2-$M349),IF(AQ349=-1,-1,AQ349+1))))</f>
        <v>28</v>
      </c>
      <c r="AS349" s="16">
        <f>IF(OR(Y349=regle!$J$11,Y349=regle!$K$11),-2,IF(Y349=regle!$B$11,0,IF(AS$1=$AK$1,IF($O349,-1,regle!$B$2-$M349),IF(AR349=-1,-1,AR349+1))))</f>
        <v>29</v>
      </c>
      <c r="AT349" s="16">
        <f>IF(OR(Z349=regle!$J$11,Z349=regle!$K$11),-2,IF(Z349=regle!$B$11,0,IF(AT$1=$AK$1,IF($O349,-1,regle!$B$2-$M349),IF(AS349=-1,-1,AS349+1))))</f>
        <v>30</v>
      </c>
    </row>
    <row r="350" spans="1:46" x14ac:dyDescent="0.25">
      <c r="A350" t="b">
        <f>modif1!A350</f>
        <v>1</v>
      </c>
      <c r="B350">
        <f>ROW(modif1!B350)</f>
        <v>350</v>
      </c>
      <c r="C350" t="str">
        <f>modif1!C353</f>
        <v>536</v>
      </c>
      <c r="D350" t="str">
        <f>modif1!D350</f>
        <v>LE TUZAN</v>
      </c>
      <c r="E350">
        <f>modif1!E350</f>
        <v>21</v>
      </c>
      <c r="F350" t="str">
        <f>modif1!F350</f>
        <v>METAIRIES DE TABARTON</v>
      </c>
      <c r="G350" t="str">
        <f>modif1!G350</f>
        <v>0A</v>
      </c>
      <c r="H350">
        <f>modif1!H350</f>
        <v>523</v>
      </c>
      <c r="I350" t="str">
        <f>modif1!I350</f>
        <v>al</v>
      </c>
      <c r="J350" s="11">
        <f>modif1!J350</f>
        <v>0.99509999999999998</v>
      </c>
      <c r="K350" t="str">
        <f>modif1!K350</f>
        <v>SL</v>
      </c>
      <c r="L350" t="str">
        <f>modif1!L350</f>
        <v>PM</v>
      </c>
      <c r="M350">
        <f>modif1!M350</f>
        <v>2003</v>
      </c>
      <c r="N350" t="str">
        <f>modif1!N350</f>
        <v>SL-PM_2003</v>
      </c>
      <c r="O350" t="b">
        <f>modif1!O350</f>
        <v>0</v>
      </c>
      <c r="P350">
        <v>40</v>
      </c>
      <c r="R350" t="s">
        <v>1805</v>
      </c>
      <c r="W350" t="s">
        <v>1806</v>
      </c>
      <c r="Z350"/>
      <c r="AA350" s="17">
        <f>IF($A350,$J350*(IF(Q350=regle!$B$11,regle!$B$23*IF(AJ350=-2,1+regle!$B$35,1),
IF(Q350=regle!$C$11,regle!$C$23,
IF(Q350=regle!$D$11,regle!$D$23,
IF(Q350=regle!$E$11,regle!$E$23,
IF(Q350=regle!$F$11,regle!$F$23,
IF(Q350=regle!$G$11,regle!$G$23,
IF(Q350=regle!$H$11,regle!$H$23,
IF(Q350=regle!$I$11,regle!$I$23,
IF(Q350=regle!$J$11,regle!$J$23,
IF(Q350=regle!$K$11,regle!$K$23,0))))))))))))</f>
        <v>0</v>
      </c>
      <c r="AB350" s="17">
        <f>IF($A350,$J350*(IF(R350=regle!$B$11,regle!$B$23*IF(AK350=-2,1+regle!$B$35,1),
IF(R350=regle!$C$11,regle!$C$23,
IF(R350=regle!$D$11,regle!$D$23,
IF(R350=regle!$E$11,regle!$E$23,
IF(R350=regle!$F$11,regle!$F$23,
IF(R350=regle!$G$11,regle!$G$23,
IF(R350=regle!$H$11,regle!$H$23,
IF(R350=regle!$I$11,regle!$I$23,
IF(R350=regle!$J$11,regle!$J$23,
IF(R350=regle!$K$11,regle!$K$23,0))))))))))))</f>
        <v>1401.1007999999999</v>
      </c>
      <c r="AC350" s="17">
        <f>IF($A350,$J350*(IF(S350=regle!$B$11,regle!$B$23*IF(AL350=-2,1+regle!$B$35,1),
IF(S350=regle!$C$11,regle!$C$23,
IF(S350=regle!$D$11,regle!$D$23,
IF(S350=regle!$E$11,regle!$E$23,
IF(S350=regle!$F$11,regle!$F$23,
IF(S350=regle!$G$11,regle!$G$23,
IF(S350=regle!$H$11,regle!$H$23,
IF(S350=regle!$I$11,regle!$I$23,
IF(S350=regle!$J$11,regle!$J$23,
IF(S350=regle!$K$11,regle!$K$23,0))))))))))))</f>
        <v>0</v>
      </c>
      <c r="AD350" s="17">
        <f>IF($A350,$J350*(IF(T350=regle!$B$11,regle!$B$23*IF(AM350=-2,1+regle!$B$35,1),
IF(T350=regle!$C$11,regle!$C$23,
IF(T350=regle!$D$11,regle!$D$23,
IF(T350=regle!$E$11,regle!$E$23,
IF(T350=regle!$F$11,regle!$F$23,
IF(T350=regle!$G$11,regle!$G$23,
IF(T350=regle!$H$11,regle!$H$23,
IF(T350=regle!$I$11,regle!$I$23,
IF(T350=regle!$J$11,regle!$J$23,
IF(T350=regle!$K$11,regle!$K$23,0))))))))))))</f>
        <v>0</v>
      </c>
      <c r="AE350" s="17">
        <f>IF($A350,$J350*(IF(U350=regle!$B$11,regle!$B$23*IF(AN350=-2,1+regle!$B$35,1),
IF(U350=regle!$C$11,regle!$C$23,
IF(U350=regle!$D$11,regle!$D$23,
IF(U350=regle!$E$11,regle!$E$23,
IF(U350=regle!$F$11,regle!$F$23,
IF(U350=regle!$G$11,regle!$G$23,
IF(U350=regle!$H$11,regle!$H$23,
IF(U350=regle!$I$11,regle!$I$23,
IF(U350=regle!$J$11,regle!$J$23,
IF(U350=regle!$K$11,regle!$K$23,0))))))))))))</f>
        <v>0</v>
      </c>
      <c r="AF350" s="17">
        <f>IF($A350,$J350*(IF(V350=regle!$B$11,regle!$B$23*IF(AO350=-2,1+regle!$B$35,1),
IF(V350=regle!$C$11,regle!$C$23,
IF(V350=regle!$D$11,regle!$D$23,
IF(V350=regle!$E$11,regle!$E$23,
IF(V350=regle!$F$11,regle!$F$23,
IF(V350=regle!$G$11,regle!$G$23,
IF(V350=regle!$H$11,regle!$H$23,
IF(V350=regle!$I$11,regle!$I$23,
IF(V350=regle!$J$11,regle!$J$23,
IF(V350=regle!$K$11,regle!$K$23,0))))))))))))</f>
        <v>0</v>
      </c>
      <c r="AG350" s="17">
        <f>IF($A350,$J350*(IF(W350=regle!$B$11,regle!$B$23*IF(AP350=-2,1+regle!$B$35,1),
IF(W350=regle!$C$11,regle!$C$23,
IF(W350=regle!$D$11,regle!$D$23,
IF(W350=regle!$E$11,regle!$E$23,
IF(W350=regle!$F$11,regle!$F$23,
IF(W350=regle!$G$11,regle!$G$23,
IF(W350=regle!$H$11,regle!$H$23,
IF(W350=regle!$I$11,regle!$I$23,
IF(W350=regle!$J$11,regle!$J$23,
IF(W350=regle!$K$11,regle!$K$23,0))))))))))))</f>
        <v>1273.7280000000001</v>
      </c>
      <c r="AH350" s="17">
        <f>IF($A350,$J350*(IF(X350=regle!$B$11,regle!$B$23*IF(AQ350=-2,1+regle!$B$35,1),
IF(X350=regle!$C$11,regle!$C$23,
IF(X350=regle!$D$11,regle!$D$23,
IF(X350=regle!$E$11,regle!$E$23,
IF(X350=regle!$F$11,regle!$F$23,
IF(X350=regle!$G$11,regle!$G$23,
IF(X350=regle!$H$11,regle!$H$23,
IF(X350=regle!$I$11,regle!$I$23,
IF(X350=regle!$J$11,regle!$J$23,
IF(X350=regle!$K$11,regle!$K$23,0))))))))))))</f>
        <v>0</v>
      </c>
      <c r="AI350" s="17">
        <f>IF($A350,$J350*(IF(Y350=regle!$B$11,regle!$B$23*IF(AR350=-2,1+regle!$B$35,1),
IF(Y350=regle!$C$11,regle!$C$23,
IF(Y350=regle!$D$11,regle!$D$23,
IF(Y350=regle!$E$11,regle!$E$23,
IF(Y350=regle!$F$11,regle!$F$23,
IF(Y350=regle!$G$11,regle!$G$23,
IF(Y350=regle!$H$11,regle!$H$23,
IF(Y350=regle!$I$11,regle!$I$23,
IF(Y350=regle!$J$11,regle!$J$23,
IF(Y350=regle!$K$11,regle!$K$23,0))))))))))))</f>
        <v>0</v>
      </c>
      <c r="AJ350" s="17">
        <f>IF($A350,$J350*(IF(Z350=regle!$B$11,regle!$B$23*IF(AS350=-2,1+regle!$B$35,1),
IF(Z350=regle!$C$11,regle!$C$23,
IF(Z350=regle!$D$11,regle!$D$23,
IF(Z350=regle!$E$11,regle!$E$23,
IF(Z350=regle!$F$11,regle!$F$23,
IF(Z350=regle!$G$11,regle!$G$23,
IF(Z350=regle!$H$11,regle!$H$23,
IF(Z350=regle!$I$11,regle!$I$23,
IF(Z350=regle!$J$11,regle!$J$23,
IF(Z350=regle!$K$11,regle!$K$23,0))))))))))))</f>
        <v>0</v>
      </c>
      <c r="AK350" s="16">
        <f>IF(OR(Q350=regle!$J$11,Q350=regle!$K$11),-2,IF(Q350=regle!$B$11,0,IF(AK$1=$AK$1,IF($O350,-1,regle!$B$2-$M350),IF(AJ350=-1,-1,AJ350+1))))</f>
        <v>21</v>
      </c>
      <c r="AL350" s="16">
        <f>IF(OR(R350=regle!$J$11,R350=regle!$K$11),-2,IF(R350=regle!$B$11,0,IF(AL$1=$AK$1,IF($O350,-1,regle!$B$2-$M350),IF(AK350=-1,-1,AK350+1))))</f>
        <v>22</v>
      </c>
      <c r="AM350" s="16">
        <f>IF(OR(S350=regle!$J$11,S350=regle!$K$11),-2,IF(S350=regle!$B$11,0,IF(AM$1=$AK$1,IF($O350,-1,regle!$B$2-$M350),IF(AL350=-1,-1,AL350+1))))</f>
        <v>23</v>
      </c>
      <c r="AN350" s="16">
        <f>IF(OR(T350=regle!$J$11,T350=regle!$K$11),-2,IF(T350=regle!$B$11,0,IF(AN$1=$AK$1,IF($O350,-1,regle!$B$2-$M350),IF(AM350=-1,-1,AM350+1))))</f>
        <v>24</v>
      </c>
      <c r="AO350" s="16">
        <f>IF(OR(U350=regle!$J$11,U350=regle!$K$11),-2,IF(U350=regle!$B$11,0,IF(AO$1=$AK$1,IF($O350,-1,regle!$B$2-$M350),IF(AN350=-1,-1,AN350+1))))</f>
        <v>25</v>
      </c>
      <c r="AP350" s="16">
        <f>IF(OR(V350=regle!$J$11,V350=regle!$K$11),-2,IF(V350=regle!$B$11,0,IF(AP$1=$AK$1,IF($O350,-1,regle!$B$2-$M350),IF(AO350=-1,-1,AO350+1))))</f>
        <v>26</v>
      </c>
      <c r="AQ350" s="16">
        <f>IF(OR(W350=regle!$J$11,W350=regle!$K$11),-2,IF(W350=regle!$B$11,0,IF(AQ$1=$AK$1,IF($O350,-1,regle!$B$2-$M350),IF(AP350=-1,-1,AP350+1))))</f>
        <v>27</v>
      </c>
      <c r="AR350" s="16">
        <f>IF(OR(X350=regle!$J$11,X350=regle!$K$11),-2,IF(X350=regle!$B$11,0,IF(AR$1=$AK$1,IF($O350,-1,regle!$B$2-$M350),IF(AQ350=-1,-1,AQ350+1))))</f>
        <v>28</v>
      </c>
      <c r="AS350" s="16">
        <f>IF(OR(Y350=regle!$J$11,Y350=regle!$K$11),-2,IF(Y350=regle!$B$11,0,IF(AS$1=$AK$1,IF($O350,-1,regle!$B$2-$M350),IF(AR350=-1,-1,AR350+1))))</f>
        <v>29</v>
      </c>
      <c r="AT350" s="16">
        <f>IF(OR(Z350=regle!$J$11,Z350=regle!$K$11),-2,IF(Z350=regle!$B$11,0,IF(AT$1=$AK$1,IF($O350,-1,regle!$B$2-$M350),IF(AS350=-1,-1,AS350+1))))</f>
        <v>30</v>
      </c>
    </row>
    <row r="351" spans="1:46" x14ac:dyDescent="0.25">
      <c r="A351" t="b">
        <f>modif1!A351</f>
        <v>1</v>
      </c>
      <c r="B351">
        <f>ROW(modif1!B351)</f>
        <v>351</v>
      </c>
      <c r="C351" t="str">
        <f>modif1!C354</f>
        <v>536</v>
      </c>
      <c r="D351" t="str">
        <f>modif1!D351</f>
        <v>LE TUZAN</v>
      </c>
      <c r="E351">
        <f>modif1!E351</f>
        <v>21</v>
      </c>
      <c r="F351" t="str">
        <f>modif1!F351</f>
        <v>METAIRIES DE TABARTON</v>
      </c>
      <c r="G351" t="str">
        <f>modif1!G351</f>
        <v>0A</v>
      </c>
      <c r="H351">
        <f>modif1!H351</f>
        <v>413</v>
      </c>
      <c r="I351" t="str">
        <f>modif1!I351</f>
        <v>j</v>
      </c>
      <c r="J351" s="11">
        <f>modif1!J351</f>
        <v>0.70709999999999995</v>
      </c>
      <c r="K351" t="str">
        <f>modif1!K351</f>
        <v>SL</v>
      </c>
      <c r="L351" t="str">
        <f>modif1!L351</f>
        <v>PM</v>
      </c>
      <c r="M351">
        <f>modif1!M351</f>
        <v>2003</v>
      </c>
      <c r="N351" t="str">
        <f>modif1!N351</f>
        <v>SL-PM_2003</v>
      </c>
      <c r="O351" t="b">
        <f>modif1!O351</f>
        <v>0</v>
      </c>
      <c r="P351">
        <v>40</v>
      </c>
      <c r="R351" t="s">
        <v>1805</v>
      </c>
      <c r="W351" t="s">
        <v>1806</v>
      </c>
      <c r="Z351"/>
      <c r="AA351" s="17">
        <f>IF($A351,$J351*(IF(Q351=regle!$B$11,regle!$B$23*IF(AJ351=-2,1+regle!$B$35,1),
IF(Q351=regle!$C$11,regle!$C$23,
IF(Q351=regle!$D$11,regle!$D$23,
IF(Q351=regle!$E$11,regle!$E$23,
IF(Q351=regle!$F$11,regle!$F$23,
IF(Q351=regle!$G$11,regle!$G$23,
IF(Q351=regle!$H$11,regle!$H$23,
IF(Q351=regle!$I$11,regle!$I$23,
IF(Q351=regle!$J$11,regle!$J$23,
IF(Q351=regle!$K$11,regle!$K$23,0))))))))))))</f>
        <v>0</v>
      </c>
      <c r="AB351" s="17">
        <f>IF($A351,$J351*(IF(R351=regle!$B$11,regle!$B$23*IF(AK351=-2,1+regle!$B$35,1),
IF(R351=regle!$C$11,regle!$C$23,
IF(R351=regle!$D$11,regle!$D$23,
IF(R351=regle!$E$11,regle!$E$23,
IF(R351=regle!$F$11,regle!$F$23,
IF(R351=regle!$G$11,regle!$G$23,
IF(R351=regle!$H$11,regle!$H$23,
IF(R351=regle!$I$11,regle!$I$23,
IF(R351=regle!$J$11,regle!$J$23,
IF(R351=regle!$K$11,regle!$K$23,0))))))))))))</f>
        <v>995.59679999999992</v>
      </c>
      <c r="AC351" s="17">
        <f>IF($A351,$J351*(IF(S351=regle!$B$11,regle!$B$23*IF(AL351=-2,1+regle!$B$35,1),
IF(S351=regle!$C$11,regle!$C$23,
IF(S351=regle!$D$11,regle!$D$23,
IF(S351=regle!$E$11,regle!$E$23,
IF(S351=regle!$F$11,regle!$F$23,
IF(S351=regle!$G$11,regle!$G$23,
IF(S351=regle!$H$11,regle!$H$23,
IF(S351=regle!$I$11,regle!$I$23,
IF(S351=regle!$J$11,regle!$J$23,
IF(S351=regle!$K$11,regle!$K$23,0))))))))))))</f>
        <v>0</v>
      </c>
      <c r="AD351" s="17">
        <f>IF($A351,$J351*(IF(T351=regle!$B$11,regle!$B$23*IF(AM351=-2,1+regle!$B$35,1),
IF(T351=regle!$C$11,regle!$C$23,
IF(T351=regle!$D$11,regle!$D$23,
IF(T351=regle!$E$11,regle!$E$23,
IF(T351=regle!$F$11,regle!$F$23,
IF(T351=regle!$G$11,regle!$G$23,
IF(T351=regle!$H$11,regle!$H$23,
IF(T351=regle!$I$11,regle!$I$23,
IF(T351=regle!$J$11,regle!$J$23,
IF(T351=regle!$K$11,regle!$K$23,0))))))))))))</f>
        <v>0</v>
      </c>
      <c r="AE351" s="17">
        <f>IF($A351,$J351*(IF(U351=regle!$B$11,regle!$B$23*IF(AN351=-2,1+regle!$B$35,1),
IF(U351=regle!$C$11,regle!$C$23,
IF(U351=regle!$D$11,regle!$D$23,
IF(U351=regle!$E$11,regle!$E$23,
IF(U351=regle!$F$11,regle!$F$23,
IF(U351=regle!$G$11,regle!$G$23,
IF(U351=regle!$H$11,regle!$H$23,
IF(U351=regle!$I$11,regle!$I$23,
IF(U351=regle!$J$11,regle!$J$23,
IF(U351=regle!$K$11,regle!$K$23,0))))))))))))</f>
        <v>0</v>
      </c>
      <c r="AF351" s="17">
        <f>IF($A351,$J351*(IF(V351=regle!$B$11,regle!$B$23*IF(AO351=-2,1+regle!$B$35,1),
IF(V351=regle!$C$11,regle!$C$23,
IF(V351=regle!$D$11,regle!$D$23,
IF(V351=regle!$E$11,regle!$E$23,
IF(V351=regle!$F$11,regle!$F$23,
IF(V351=regle!$G$11,regle!$G$23,
IF(V351=regle!$H$11,regle!$H$23,
IF(V351=regle!$I$11,regle!$I$23,
IF(V351=regle!$J$11,regle!$J$23,
IF(V351=regle!$K$11,regle!$K$23,0))))))))))))</f>
        <v>0</v>
      </c>
      <c r="AG351" s="17">
        <f>IF($A351,$J351*(IF(W351=regle!$B$11,regle!$B$23*IF(AP351=-2,1+regle!$B$35,1),
IF(W351=regle!$C$11,regle!$C$23,
IF(W351=regle!$D$11,regle!$D$23,
IF(W351=regle!$E$11,regle!$E$23,
IF(W351=regle!$F$11,regle!$F$23,
IF(W351=regle!$G$11,regle!$G$23,
IF(W351=regle!$H$11,regle!$H$23,
IF(W351=regle!$I$11,regle!$I$23,
IF(W351=regle!$J$11,regle!$J$23,
IF(W351=regle!$K$11,regle!$K$23,0))))))))))))</f>
        <v>905.08799999999997</v>
      </c>
      <c r="AH351" s="17">
        <f>IF($A351,$J351*(IF(X351=regle!$B$11,regle!$B$23*IF(AQ351=-2,1+regle!$B$35,1),
IF(X351=regle!$C$11,regle!$C$23,
IF(X351=regle!$D$11,regle!$D$23,
IF(X351=regle!$E$11,regle!$E$23,
IF(X351=regle!$F$11,regle!$F$23,
IF(X351=regle!$G$11,regle!$G$23,
IF(X351=regle!$H$11,regle!$H$23,
IF(X351=regle!$I$11,regle!$I$23,
IF(X351=regle!$J$11,regle!$J$23,
IF(X351=regle!$K$11,regle!$K$23,0))))))))))))</f>
        <v>0</v>
      </c>
      <c r="AI351" s="17">
        <f>IF($A351,$J351*(IF(Y351=regle!$B$11,regle!$B$23*IF(AR351=-2,1+regle!$B$35,1),
IF(Y351=regle!$C$11,regle!$C$23,
IF(Y351=regle!$D$11,regle!$D$23,
IF(Y351=regle!$E$11,regle!$E$23,
IF(Y351=regle!$F$11,regle!$F$23,
IF(Y351=regle!$G$11,regle!$G$23,
IF(Y351=regle!$H$11,regle!$H$23,
IF(Y351=regle!$I$11,regle!$I$23,
IF(Y351=regle!$J$11,regle!$J$23,
IF(Y351=regle!$K$11,regle!$K$23,0))))))))))))</f>
        <v>0</v>
      </c>
      <c r="AJ351" s="17">
        <f>IF($A351,$J351*(IF(Z351=regle!$B$11,regle!$B$23*IF(AS351=-2,1+regle!$B$35,1),
IF(Z351=regle!$C$11,regle!$C$23,
IF(Z351=regle!$D$11,regle!$D$23,
IF(Z351=regle!$E$11,regle!$E$23,
IF(Z351=regle!$F$11,regle!$F$23,
IF(Z351=regle!$G$11,regle!$G$23,
IF(Z351=regle!$H$11,regle!$H$23,
IF(Z351=regle!$I$11,regle!$I$23,
IF(Z351=regle!$J$11,regle!$J$23,
IF(Z351=regle!$K$11,regle!$K$23,0))))))))))))</f>
        <v>0</v>
      </c>
      <c r="AK351" s="16">
        <f>IF(OR(Q351=regle!$J$11,Q351=regle!$K$11),-2,IF(Q351=regle!$B$11,0,IF(AK$1=$AK$1,IF($O351,-1,regle!$B$2-$M351),IF(AJ351=-1,-1,AJ351+1))))</f>
        <v>21</v>
      </c>
      <c r="AL351" s="16">
        <f>IF(OR(R351=regle!$J$11,R351=regle!$K$11),-2,IF(R351=regle!$B$11,0,IF(AL$1=$AK$1,IF($O351,-1,regle!$B$2-$M351),IF(AK351=-1,-1,AK351+1))))</f>
        <v>22</v>
      </c>
      <c r="AM351" s="16">
        <f>IF(OR(S351=regle!$J$11,S351=regle!$K$11),-2,IF(S351=regle!$B$11,0,IF(AM$1=$AK$1,IF($O351,-1,regle!$B$2-$M351),IF(AL351=-1,-1,AL351+1))))</f>
        <v>23</v>
      </c>
      <c r="AN351" s="16">
        <f>IF(OR(T351=regle!$J$11,T351=regle!$K$11),-2,IF(T351=regle!$B$11,0,IF(AN$1=$AK$1,IF($O351,-1,regle!$B$2-$M351),IF(AM351=-1,-1,AM351+1))))</f>
        <v>24</v>
      </c>
      <c r="AO351" s="16">
        <f>IF(OR(U351=regle!$J$11,U351=regle!$K$11),-2,IF(U351=regle!$B$11,0,IF(AO$1=$AK$1,IF($O351,-1,regle!$B$2-$M351),IF(AN351=-1,-1,AN351+1))))</f>
        <v>25</v>
      </c>
      <c r="AP351" s="16">
        <f>IF(OR(V351=regle!$J$11,V351=regle!$K$11),-2,IF(V351=regle!$B$11,0,IF(AP$1=$AK$1,IF($O351,-1,regle!$B$2-$M351),IF(AO351=-1,-1,AO351+1))))</f>
        <v>26</v>
      </c>
      <c r="AQ351" s="16">
        <f>IF(OR(W351=regle!$J$11,W351=regle!$K$11),-2,IF(W351=regle!$B$11,0,IF(AQ$1=$AK$1,IF($O351,-1,regle!$B$2-$M351),IF(AP351=-1,-1,AP351+1))))</f>
        <v>27</v>
      </c>
      <c r="AR351" s="16">
        <f>IF(OR(X351=regle!$J$11,X351=regle!$K$11),-2,IF(X351=regle!$B$11,0,IF(AR$1=$AK$1,IF($O351,-1,regle!$B$2-$M351),IF(AQ351=-1,-1,AQ351+1))))</f>
        <v>28</v>
      </c>
      <c r="AS351" s="16">
        <f>IF(OR(Y351=regle!$J$11,Y351=regle!$K$11),-2,IF(Y351=regle!$B$11,0,IF(AS$1=$AK$1,IF($O351,-1,regle!$B$2-$M351),IF(AR351=-1,-1,AR351+1))))</f>
        <v>29</v>
      </c>
      <c r="AT351" s="16">
        <f>IF(OR(Z351=regle!$J$11,Z351=regle!$K$11),-2,IF(Z351=regle!$B$11,0,IF(AT$1=$AK$1,IF($O351,-1,regle!$B$2-$M351),IF(AS351=-1,-1,AS351+1))))</f>
        <v>30</v>
      </c>
    </row>
    <row r="352" spans="1:46" x14ac:dyDescent="0.25">
      <c r="A352" t="b">
        <f>modif1!A352</f>
        <v>1</v>
      </c>
      <c r="B352">
        <f>ROW(modif1!B352)</f>
        <v>352</v>
      </c>
      <c r="C352" t="str">
        <f>modif1!C355</f>
        <v>536</v>
      </c>
      <c r="D352" t="str">
        <f>modif1!D352</f>
        <v>LE TUZAN</v>
      </c>
      <c r="E352">
        <f>modif1!E352</f>
        <v>21</v>
      </c>
      <c r="F352" t="str">
        <f>modif1!F352</f>
        <v>METAIRIES DE TABARTON</v>
      </c>
      <c r="G352" t="str">
        <f>modif1!G352</f>
        <v>0A</v>
      </c>
      <c r="H352">
        <f>modif1!H352</f>
        <v>424</v>
      </c>
      <c r="I352" t="str">
        <f>modif1!I352</f>
        <v>a</v>
      </c>
      <c r="J352" s="11">
        <f>modif1!J352</f>
        <v>0.69040000000000001</v>
      </c>
      <c r="K352" t="str">
        <f>modif1!K352</f>
        <v>SL</v>
      </c>
      <c r="L352" t="str">
        <f>modif1!L352</f>
        <v>PM</v>
      </c>
      <c r="M352">
        <f>modif1!M352</f>
        <v>2003</v>
      </c>
      <c r="N352" t="str">
        <f>modif1!N352</f>
        <v>SL-PM_2003</v>
      </c>
      <c r="O352" t="b">
        <f>modif1!O352</f>
        <v>0</v>
      </c>
      <c r="P352">
        <v>40</v>
      </c>
      <c r="R352" t="s">
        <v>1805</v>
      </c>
      <c r="W352" t="s">
        <v>1806</v>
      </c>
      <c r="Z352"/>
      <c r="AA352" s="17">
        <f>IF($A352,$J352*(IF(Q352=regle!$B$11,regle!$B$23*IF(AJ352=-2,1+regle!$B$35,1),
IF(Q352=regle!$C$11,regle!$C$23,
IF(Q352=regle!$D$11,regle!$D$23,
IF(Q352=regle!$E$11,regle!$E$23,
IF(Q352=regle!$F$11,regle!$F$23,
IF(Q352=regle!$G$11,regle!$G$23,
IF(Q352=regle!$H$11,regle!$H$23,
IF(Q352=regle!$I$11,regle!$I$23,
IF(Q352=regle!$J$11,regle!$J$23,
IF(Q352=regle!$K$11,regle!$K$23,0))))))))))))</f>
        <v>0</v>
      </c>
      <c r="AB352" s="17">
        <f>IF($A352,$J352*(IF(R352=regle!$B$11,regle!$B$23*IF(AK352=-2,1+regle!$B$35,1),
IF(R352=regle!$C$11,regle!$C$23,
IF(R352=regle!$D$11,regle!$D$23,
IF(R352=regle!$E$11,regle!$E$23,
IF(R352=regle!$F$11,regle!$F$23,
IF(R352=regle!$G$11,regle!$G$23,
IF(R352=regle!$H$11,regle!$H$23,
IF(R352=regle!$I$11,regle!$I$23,
IF(R352=regle!$J$11,regle!$J$23,
IF(R352=regle!$K$11,regle!$K$23,0))))))))))))</f>
        <v>972.08320000000003</v>
      </c>
      <c r="AC352" s="17">
        <f>IF($A352,$J352*(IF(S352=regle!$B$11,regle!$B$23*IF(AL352=-2,1+regle!$B$35,1),
IF(S352=regle!$C$11,regle!$C$23,
IF(S352=regle!$D$11,regle!$D$23,
IF(S352=regle!$E$11,regle!$E$23,
IF(S352=regle!$F$11,regle!$F$23,
IF(S352=regle!$G$11,regle!$G$23,
IF(S352=regle!$H$11,regle!$H$23,
IF(S352=regle!$I$11,regle!$I$23,
IF(S352=regle!$J$11,regle!$J$23,
IF(S352=regle!$K$11,regle!$K$23,0))))))))))))</f>
        <v>0</v>
      </c>
      <c r="AD352" s="17">
        <f>IF($A352,$J352*(IF(T352=regle!$B$11,regle!$B$23*IF(AM352=-2,1+regle!$B$35,1),
IF(T352=regle!$C$11,regle!$C$23,
IF(T352=regle!$D$11,regle!$D$23,
IF(T352=regle!$E$11,regle!$E$23,
IF(T352=regle!$F$11,regle!$F$23,
IF(T352=regle!$G$11,regle!$G$23,
IF(T352=regle!$H$11,regle!$H$23,
IF(T352=regle!$I$11,regle!$I$23,
IF(T352=regle!$J$11,regle!$J$23,
IF(T352=regle!$K$11,regle!$K$23,0))))))))))))</f>
        <v>0</v>
      </c>
      <c r="AE352" s="17">
        <f>IF($A352,$J352*(IF(U352=regle!$B$11,regle!$B$23*IF(AN352=-2,1+regle!$B$35,1),
IF(U352=regle!$C$11,regle!$C$23,
IF(U352=regle!$D$11,regle!$D$23,
IF(U352=regle!$E$11,regle!$E$23,
IF(U352=regle!$F$11,regle!$F$23,
IF(U352=regle!$G$11,regle!$G$23,
IF(U352=regle!$H$11,regle!$H$23,
IF(U352=regle!$I$11,regle!$I$23,
IF(U352=regle!$J$11,regle!$J$23,
IF(U352=regle!$K$11,regle!$K$23,0))))))))))))</f>
        <v>0</v>
      </c>
      <c r="AF352" s="17">
        <f>IF($A352,$J352*(IF(V352=regle!$B$11,regle!$B$23*IF(AO352=-2,1+regle!$B$35,1),
IF(V352=regle!$C$11,regle!$C$23,
IF(V352=regle!$D$11,regle!$D$23,
IF(V352=regle!$E$11,regle!$E$23,
IF(V352=regle!$F$11,regle!$F$23,
IF(V352=regle!$G$11,regle!$G$23,
IF(V352=regle!$H$11,regle!$H$23,
IF(V352=regle!$I$11,regle!$I$23,
IF(V352=regle!$J$11,regle!$J$23,
IF(V352=regle!$K$11,regle!$K$23,0))))))))))))</f>
        <v>0</v>
      </c>
      <c r="AG352" s="17">
        <f>IF($A352,$J352*(IF(W352=regle!$B$11,regle!$B$23*IF(AP352=-2,1+regle!$B$35,1),
IF(W352=regle!$C$11,regle!$C$23,
IF(W352=regle!$D$11,regle!$D$23,
IF(W352=regle!$E$11,regle!$E$23,
IF(W352=regle!$F$11,regle!$F$23,
IF(W352=regle!$G$11,regle!$G$23,
IF(W352=regle!$H$11,regle!$H$23,
IF(W352=regle!$I$11,regle!$I$23,
IF(W352=regle!$J$11,regle!$J$23,
IF(W352=regle!$K$11,regle!$K$23,0))))))))))))</f>
        <v>883.71199999999999</v>
      </c>
      <c r="AH352" s="17">
        <f>IF($A352,$J352*(IF(X352=regle!$B$11,regle!$B$23*IF(AQ352=-2,1+regle!$B$35,1),
IF(X352=regle!$C$11,regle!$C$23,
IF(X352=regle!$D$11,regle!$D$23,
IF(X352=regle!$E$11,regle!$E$23,
IF(X352=regle!$F$11,regle!$F$23,
IF(X352=regle!$G$11,regle!$G$23,
IF(X352=regle!$H$11,regle!$H$23,
IF(X352=regle!$I$11,regle!$I$23,
IF(X352=regle!$J$11,regle!$J$23,
IF(X352=regle!$K$11,regle!$K$23,0))))))))))))</f>
        <v>0</v>
      </c>
      <c r="AI352" s="17">
        <f>IF($A352,$J352*(IF(Y352=regle!$B$11,regle!$B$23*IF(AR352=-2,1+regle!$B$35,1),
IF(Y352=regle!$C$11,regle!$C$23,
IF(Y352=regle!$D$11,regle!$D$23,
IF(Y352=regle!$E$11,regle!$E$23,
IF(Y352=regle!$F$11,regle!$F$23,
IF(Y352=regle!$G$11,regle!$G$23,
IF(Y352=regle!$H$11,regle!$H$23,
IF(Y352=regle!$I$11,regle!$I$23,
IF(Y352=regle!$J$11,regle!$J$23,
IF(Y352=regle!$K$11,regle!$K$23,0))))))))))))</f>
        <v>0</v>
      </c>
      <c r="AJ352" s="17">
        <f>IF($A352,$J352*(IF(Z352=regle!$B$11,regle!$B$23*IF(AS352=-2,1+regle!$B$35,1),
IF(Z352=regle!$C$11,regle!$C$23,
IF(Z352=regle!$D$11,regle!$D$23,
IF(Z352=regle!$E$11,regle!$E$23,
IF(Z352=regle!$F$11,regle!$F$23,
IF(Z352=regle!$G$11,regle!$G$23,
IF(Z352=regle!$H$11,regle!$H$23,
IF(Z352=regle!$I$11,regle!$I$23,
IF(Z352=regle!$J$11,regle!$J$23,
IF(Z352=regle!$K$11,regle!$K$23,0))))))))))))</f>
        <v>0</v>
      </c>
      <c r="AK352" s="16">
        <f>IF(OR(Q352=regle!$J$11,Q352=regle!$K$11),-2,IF(Q352=regle!$B$11,0,IF(AK$1=$AK$1,IF($O352,-1,regle!$B$2-$M352),IF(AJ352=-1,-1,AJ352+1))))</f>
        <v>21</v>
      </c>
      <c r="AL352" s="16">
        <f>IF(OR(R352=regle!$J$11,R352=regle!$K$11),-2,IF(R352=regle!$B$11,0,IF(AL$1=$AK$1,IF($O352,-1,regle!$B$2-$M352),IF(AK352=-1,-1,AK352+1))))</f>
        <v>22</v>
      </c>
      <c r="AM352" s="16">
        <f>IF(OR(S352=regle!$J$11,S352=regle!$K$11),-2,IF(S352=regle!$B$11,0,IF(AM$1=$AK$1,IF($O352,-1,regle!$B$2-$M352),IF(AL352=-1,-1,AL352+1))))</f>
        <v>23</v>
      </c>
      <c r="AN352" s="16">
        <f>IF(OR(T352=regle!$J$11,T352=regle!$K$11),-2,IF(T352=regle!$B$11,0,IF(AN$1=$AK$1,IF($O352,-1,regle!$B$2-$M352),IF(AM352=-1,-1,AM352+1))))</f>
        <v>24</v>
      </c>
      <c r="AO352" s="16">
        <f>IF(OR(U352=regle!$J$11,U352=regle!$K$11),-2,IF(U352=regle!$B$11,0,IF(AO$1=$AK$1,IF($O352,-1,regle!$B$2-$M352),IF(AN352=-1,-1,AN352+1))))</f>
        <v>25</v>
      </c>
      <c r="AP352" s="16">
        <f>IF(OR(V352=regle!$J$11,V352=regle!$K$11),-2,IF(V352=regle!$B$11,0,IF(AP$1=$AK$1,IF($O352,-1,regle!$B$2-$M352),IF(AO352=-1,-1,AO352+1))))</f>
        <v>26</v>
      </c>
      <c r="AQ352" s="16">
        <f>IF(OR(W352=regle!$J$11,W352=regle!$K$11),-2,IF(W352=regle!$B$11,0,IF(AQ$1=$AK$1,IF($O352,-1,regle!$B$2-$M352),IF(AP352=-1,-1,AP352+1))))</f>
        <v>27</v>
      </c>
      <c r="AR352" s="16">
        <f>IF(OR(X352=regle!$J$11,X352=regle!$K$11),-2,IF(X352=regle!$B$11,0,IF(AR$1=$AK$1,IF($O352,-1,regle!$B$2-$M352),IF(AQ352=-1,-1,AQ352+1))))</f>
        <v>28</v>
      </c>
      <c r="AS352" s="16">
        <f>IF(OR(Y352=regle!$J$11,Y352=regle!$K$11),-2,IF(Y352=regle!$B$11,0,IF(AS$1=$AK$1,IF($O352,-1,regle!$B$2-$M352),IF(AR352=-1,-1,AR352+1))))</f>
        <v>29</v>
      </c>
      <c r="AT352" s="16">
        <f>IF(OR(Z352=regle!$J$11,Z352=regle!$K$11),-2,IF(Z352=regle!$B$11,0,IF(AT$1=$AK$1,IF($O352,-1,regle!$B$2-$M352),IF(AS352=-1,-1,AS352+1))))</f>
        <v>30</v>
      </c>
    </row>
    <row r="353" spans="1:46" x14ac:dyDescent="0.25">
      <c r="A353" t="b">
        <f>modif1!A353</f>
        <v>1</v>
      </c>
      <c r="B353">
        <f>ROW(modif1!B353)</f>
        <v>353</v>
      </c>
      <c r="C353" t="str">
        <f>modif1!C356</f>
        <v>536</v>
      </c>
      <c r="D353" t="str">
        <f>modif1!D353</f>
        <v>LE TUZAN</v>
      </c>
      <c r="E353">
        <f>modif1!E353</f>
        <v>14</v>
      </c>
      <c r="F353" t="str">
        <f>modif1!F353</f>
        <v>TABARTON-OUEST</v>
      </c>
      <c r="G353" t="str">
        <f>modif1!G353</f>
        <v>0B</v>
      </c>
      <c r="H353">
        <f>modif1!H353</f>
        <v>659</v>
      </c>
      <c r="I353" t="str">
        <f>modif1!I353</f>
        <v>n</v>
      </c>
      <c r="J353" s="11">
        <f>modif1!J353</f>
        <v>0.53269999999999995</v>
      </c>
      <c r="K353" t="str">
        <f>modif1!K353</f>
        <v>PLA</v>
      </c>
      <c r="L353" t="str">
        <f>modif1!L353</f>
        <v>PM</v>
      </c>
      <c r="M353">
        <f>modif1!M353</f>
        <v>2003</v>
      </c>
      <c r="N353" t="str">
        <f>modif1!N353</f>
        <v>PLA-PM_2003</v>
      </c>
      <c r="O353" t="b">
        <f>modif1!O353</f>
        <v>0</v>
      </c>
      <c r="P353">
        <v>40</v>
      </c>
      <c r="R353" t="s">
        <v>1805</v>
      </c>
      <c r="W353" t="s">
        <v>1806</v>
      </c>
      <c r="Z353"/>
      <c r="AA353" s="17">
        <f>IF($A353,$J353*(IF(Q353=regle!$B$11,regle!$B$23*IF(AJ353=-2,1+regle!$B$35,1),
IF(Q353=regle!$C$11,regle!$C$23,
IF(Q353=regle!$D$11,regle!$D$23,
IF(Q353=regle!$E$11,regle!$E$23,
IF(Q353=regle!$F$11,regle!$F$23,
IF(Q353=regle!$G$11,regle!$G$23,
IF(Q353=regle!$H$11,regle!$H$23,
IF(Q353=regle!$I$11,regle!$I$23,
IF(Q353=regle!$J$11,regle!$J$23,
IF(Q353=regle!$K$11,regle!$K$23,0))))))))))))</f>
        <v>0</v>
      </c>
      <c r="AB353" s="17">
        <f>IF($A353,$J353*(IF(R353=regle!$B$11,regle!$B$23*IF(AK353=-2,1+regle!$B$35,1),
IF(R353=regle!$C$11,regle!$C$23,
IF(R353=regle!$D$11,regle!$D$23,
IF(R353=regle!$E$11,regle!$E$23,
IF(R353=regle!$F$11,regle!$F$23,
IF(R353=regle!$G$11,regle!$G$23,
IF(R353=regle!$H$11,regle!$H$23,
IF(R353=regle!$I$11,regle!$I$23,
IF(R353=regle!$J$11,regle!$J$23,
IF(R353=regle!$K$11,regle!$K$23,0))))))))))))</f>
        <v>750.0415999999999</v>
      </c>
      <c r="AC353" s="17">
        <f>IF($A353,$J353*(IF(S353=regle!$B$11,regle!$B$23*IF(AL353=-2,1+regle!$B$35,1),
IF(S353=regle!$C$11,regle!$C$23,
IF(S353=regle!$D$11,regle!$D$23,
IF(S353=regle!$E$11,regle!$E$23,
IF(S353=regle!$F$11,regle!$F$23,
IF(S353=regle!$G$11,regle!$G$23,
IF(S353=regle!$H$11,regle!$H$23,
IF(S353=regle!$I$11,regle!$I$23,
IF(S353=regle!$J$11,regle!$J$23,
IF(S353=regle!$K$11,regle!$K$23,0))))))))))))</f>
        <v>0</v>
      </c>
      <c r="AD353" s="17">
        <f>IF($A353,$J353*(IF(T353=regle!$B$11,regle!$B$23*IF(AM353=-2,1+regle!$B$35,1),
IF(T353=regle!$C$11,regle!$C$23,
IF(T353=regle!$D$11,regle!$D$23,
IF(T353=regle!$E$11,regle!$E$23,
IF(T353=regle!$F$11,regle!$F$23,
IF(T353=regle!$G$11,regle!$G$23,
IF(T353=regle!$H$11,regle!$H$23,
IF(T353=regle!$I$11,regle!$I$23,
IF(T353=regle!$J$11,regle!$J$23,
IF(T353=regle!$K$11,regle!$K$23,0))))))))))))</f>
        <v>0</v>
      </c>
      <c r="AE353" s="17">
        <f>IF($A353,$J353*(IF(U353=regle!$B$11,regle!$B$23*IF(AN353=-2,1+regle!$B$35,1),
IF(U353=regle!$C$11,regle!$C$23,
IF(U353=regle!$D$11,regle!$D$23,
IF(U353=regle!$E$11,regle!$E$23,
IF(U353=regle!$F$11,regle!$F$23,
IF(U353=regle!$G$11,regle!$G$23,
IF(U353=regle!$H$11,regle!$H$23,
IF(U353=regle!$I$11,regle!$I$23,
IF(U353=regle!$J$11,regle!$J$23,
IF(U353=regle!$K$11,regle!$K$23,0))))))))))))</f>
        <v>0</v>
      </c>
      <c r="AF353" s="17">
        <f>IF($A353,$J353*(IF(V353=regle!$B$11,regle!$B$23*IF(AO353=-2,1+regle!$B$35,1),
IF(V353=regle!$C$11,regle!$C$23,
IF(V353=regle!$D$11,regle!$D$23,
IF(V353=regle!$E$11,regle!$E$23,
IF(V353=regle!$F$11,regle!$F$23,
IF(V353=regle!$G$11,regle!$G$23,
IF(V353=regle!$H$11,regle!$H$23,
IF(V353=regle!$I$11,regle!$I$23,
IF(V353=regle!$J$11,regle!$J$23,
IF(V353=regle!$K$11,regle!$K$23,0))))))))))))</f>
        <v>0</v>
      </c>
      <c r="AG353" s="17">
        <f>IF($A353,$J353*(IF(W353=regle!$B$11,regle!$B$23*IF(AP353=-2,1+regle!$B$35,1),
IF(W353=regle!$C$11,regle!$C$23,
IF(W353=regle!$D$11,regle!$D$23,
IF(W353=regle!$E$11,regle!$E$23,
IF(W353=regle!$F$11,regle!$F$23,
IF(W353=regle!$G$11,regle!$G$23,
IF(W353=regle!$H$11,regle!$H$23,
IF(W353=regle!$I$11,regle!$I$23,
IF(W353=regle!$J$11,regle!$J$23,
IF(W353=regle!$K$11,regle!$K$23,0))))))))))))</f>
        <v>681.85599999999999</v>
      </c>
      <c r="AH353" s="17">
        <f>IF($A353,$J353*(IF(X353=regle!$B$11,regle!$B$23*IF(AQ353=-2,1+regle!$B$35,1),
IF(X353=regle!$C$11,regle!$C$23,
IF(X353=regle!$D$11,regle!$D$23,
IF(X353=regle!$E$11,regle!$E$23,
IF(X353=regle!$F$11,regle!$F$23,
IF(X353=regle!$G$11,regle!$G$23,
IF(X353=regle!$H$11,regle!$H$23,
IF(X353=regle!$I$11,regle!$I$23,
IF(X353=regle!$J$11,regle!$J$23,
IF(X353=regle!$K$11,regle!$K$23,0))))))))))))</f>
        <v>0</v>
      </c>
      <c r="AI353" s="17">
        <f>IF($A353,$J353*(IF(Y353=regle!$B$11,regle!$B$23*IF(AR353=-2,1+regle!$B$35,1),
IF(Y353=regle!$C$11,regle!$C$23,
IF(Y353=regle!$D$11,regle!$D$23,
IF(Y353=regle!$E$11,regle!$E$23,
IF(Y353=regle!$F$11,regle!$F$23,
IF(Y353=regle!$G$11,regle!$G$23,
IF(Y353=regle!$H$11,regle!$H$23,
IF(Y353=regle!$I$11,regle!$I$23,
IF(Y353=regle!$J$11,regle!$J$23,
IF(Y353=regle!$K$11,regle!$K$23,0))))))))))))</f>
        <v>0</v>
      </c>
      <c r="AJ353" s="17">
        <f>IF($A353,$J353*(IF(Z353=regle!$B$11,regle!$B$23*IF(AS353=-2,1+regle!$B$35,1),
IF(Z353=regle!$C$11,regle!$C$23,
IF(Z353=regle!$D$11,regle!$D$23,
IF(Z353=regle!$E$11,regle!$E$23,
IF(Z353=regle!$F$11,regle!$F$23,
IF(Z353=regle!$G$11,regle!$G$23,
IF(Z353=regle!$H$11,regle!$H$23,
IF(Z353=regle!$I$11,regle!$I$23,
IF(Z353=regle!$J$11,regle!$J$23,
IF(Z353=regle!$K$11,regle!$K$23,0))))))))))))</f>
        <v>0</v>
      </c>
      <c r="AK353" s="16">
        <f>IF(OR(Q353=regle!$J$11,Q353=regle!$K$11),-2,IF(Q353=regle!$B$11,0,IF(AK$1=$AK$1,IF($O353,-1,regle!$B$2-$M353),IF(AJ353=-1,-1,AJ353+1))))</f>
        <v>21</v>
      </c>
      <c r="AL353" s="16">
        <f>IF(OR(R353=regle!$J$11,R353=regle!$K$11),-2,IF(R353=regle!$B$11,0,IF(AL$1=$AK$1,IF($O353,-1,regle!$B$2-$M353),IF(AK353=-1,-1,AK353+1))))</f>
        <v>22</v>
      </c>
      <c r="AM353" s="16">
        <f>IF(OR(S353=regle!$J$11,S353=regle!$K$11),-2,IF(S353=regle!$B$11,0,IF(AM$1=$AK$1,IF($O353,-1,regle!$B$2-$M353),IF(AL353=-1,-1,AL353+1))))</f>
        <v>23</v>
      </c>
      <c r="AN353" s="16">
        <f>IF(OR(T353=regle!$J$11,T353=regle!$K$11),-2,IF(T353=regle!$B$11,0,IF(AN$1=$AK$1,IF($O353,-1,regle!$B$2-$M353),IF(AM353=-1,-1,AM353+1))))</f>
        <v>24</v>
      </c>
      <c r="AO353" s="16">
        <f>IF(OR(U353=regle!$J$11,U353=regle!$K$11),-2,IF(U353=regle!$B$11,0,IF(AO$1=$AK$1,IF($O353,-1,regle!$B$2-$M353),IF(AN353=-1,-1,AN353+1))))</f>
        <v>25</v>
      </c>
      <c r="AP353" s="16">
        <f>IF(OR(V353=regle!$J$11,V353=regle!$K$11),-2,IF(V353=regle!$B$11,0,IF(AP$1=$AK$1,IF($O353,-1,regle!$B$2-$M353),IF(AO353=-1,-1,AO353+1))))</f>
        <v>26</v>
      </c>
      <c r="AQ353" s="16">
        <f>IF(OR(W353=regle!$J$11,W353=regle!$K$11),-2,IF(W353=regle!$B$11,0,IF(AQ$1=$AK$1,IF($O353,-1,regle!$B$2-$M353),IF(AP353=-1,-1,AP353+1))))</f>
        <v>27</v>
      </c>
      <c r="AR353" s="16">
        <f>IF(OR(X353=regle!$J$11,X353=regle!$K$11),-2,IF(X353=regle!$B$11,0,IF(AR$1=$AK$1,IF($O353,-1,regle!$B$2-$M353),IF(AQ353=-1,-1,AQ353+1))))</f>
        <v>28</v>
      </c>
      <c r="AS353" s="16">
        <f>IF(OR(Y353=regle!$J$11,Y353=regle!$K$11),-2,IF(Y353=regle!$B$11,0,IF(AS$1=$AK$1,IF($O353,-1,regle!$B$2-$M353),IF(AR353=-1,-1,AR353+1))))</f>
        <v>29</v>
      </c>
      <c r="AT353" s="16">
        <f>IF(OR(Z353=regle!$J$11,Z353=regle!$K$11),-2,IF(Z353=regle!$B$11,0,IF(AT$1=$AK$1,IF($O353,-1,regle!$B$2-$M353),IF(AS353=-1,-1,AS353+1))))</f>
        <v>30</v>
      </c>
    </row>
    <row r="354" spans="1:46" x14ac:dyDescent="0.25">
      <c r="A354" t="b">
        <f>modif1!A354</f>
        <v>1</v>
      </c>
      <c r="B354">
        <f>ROW(modif1!B354)</f>
        <v>354</v>
      </c>
      <c r="C354" t="str">
        <f>modif1!C357</f>
        <v>171</v>
      </c>
      <c r="D354" t="str">
        <f>modif1!D354</f>
        <v>LE TUZAN</v>
      </c>
      <c r="E354">
        <f>modif1!E354</f>
        <v>21</v>
      </c>
      <c r="F354" t="str">
        <f>modif1!F354</f>
        <v>METAIRIES DE TABARTON</v>
      </c>
      <c r="G354" t="str">
        <f>modif1!G354</f>
        <v>0A</v>
      </c>
      <c r="H354">
        <f>modif1!H354</f>
        <v>419</v>
      </c>
      <c r="I354" t="str">
        <f>modif1!I354</f>
        <v>d</v>
      </c>
      <c r="J354" s="11">
        <f>modif1!J354</f>
        <v>0.4083</v>
      </c>
      <c r="K354" t="str">
        <f>modif1!K354</f>
        <v>SL</v>
      </c>
      <c r="L354" t="str">
        <f>modif1!L354</f>
        <v>PM</v>
      </c>
      <c r="M354">
        <f>modif1!M354</f>
        <v>2003</v>
      </c>
      <c r="N354" t="str">
        <f>modif1!N354</f>
        <v>SL-PM_2003</v>
      </c>
      <c r="O354" t="b">
        <f>modif1!O354</f>
        <v>0</v>
      </c>
      <c r="P354">
        <v>40</v>
      </c>
      <c r="R354" t="s">
        <v>1805</v>
      </c>
      <c r="W354" t="s">
        <v>1806</v>
      </c>
      <c r="Z354"/>
      <c r="AA354" s="17">
        <f>IF($A354,$J354*(IF(Q354=regle!$B$11,regle!$B$23*IF(AJ354=-2,1+regle!$B$35,1),
IF(Q354=regle!$C$11,regle!$C$23,
IF(Q354=regle!$D$11,regle!$D$23,
IF(Q354=regle!$E$11,regle!$E$23,
IF(Q354=regle!$F$11,regle!$F$23,
IF(Q354=regle!$G$11,regle!$G$23,
IF(Q354=regle!$H$11,regle!$H$23,
IF(Q354=regle!$I$11,regle!$I$23,
IF(Q354=regle!$J$11,regle!$J$23,
IF(Q354=regle!$K$11,regle!$K$23,0))))))))))))</f>
        <v>0</v>
      </c>
      <c r="AB354" s="17">
        <f>IF($A354,$J354*(IF(R354=regle!$B$11,regle!$B$23*IF(AK354=-2,1+regle!$B$35,1),
IF(R354=regle!$C$11,regle!$C$23,
IF(R354=regle!$D$11,regle!$D$23,
IF(R354=regle!$E$11,regle!$E$23,
IF(R354=regle!$F$11,regle!$F$23,
IF(R354=regle!$G$11,regle!$G$23,
IF(R354=regle!$H$11,regle!$H$23,
IF(R354=regle!$I$11,regle!$I$23,
IF(R354=regle!$J$11,regle!$J$23,
IF(R354=regle!$K$11,regle!$K$23,0))))))))))))</f>
        <v>574.88639999999998</v>
      </c>
      <c r="AC354" s="17">
        <f>IF($A354,$J354*(IF(S354=regle!$B$11,regle!$B$23*IF(AL354=-2,1+regle!$B$35,1),
IF(S354=regle!$C$11,regle!$C$23,
IF(S354=regle!$D$11,regle!$D$23,
IF(S354=regle!$E$11,regle!$E$23,
IF(S354=regle!$F$11,regle!$F$23,
IF(S354=regle!$G$11,regle!$G$23,
IF(S354=regle!$H$11,regle!$H$23,
IF(S354=regle!$I$11,regle!$I$23,
IF(S354=regle!$J$11,regle!$J$23,
IF(S354=regle!$K$11,regle!$K$23,0))))))))))))</f>
        <v>0</v>
      </c>
      <c r="AD354" s="17">
        <f>IF($A354,$J354*(IF(T354=regle!$B$11,regle!$B$23*IF(AM354=-2,1+regle!$B$35,1),
IF(T354=regle!$C$11,regle!$C$23,
IF(T354=regle!$D$11,regle!$D$23,
IF(T354=regle!$E$11,regle!$E$23,
IF(T354=regle!$F$11,regle!$F$23,
IF(T354=regle!$G$11,regle!$G$23,
IF(T354=regle!$H$11,regle!$H$23,
IF(T354=regle!$I$11,regle!$I$23,
IF(T354=regle!$J$11,regle!$J$23,
IF(T354=regle!$K$11,regle!$K$23,0))))))))))))</f>
        <v>0</v>
      </c>
      <c r="AE354" s="17">
        <f>IF($A354,$J354*(IF(U354=regle!$B$11,regle!$B$23*IF(AN354=-2,1+regle!$B$35,1),
IF(U354=regle!$C$11,regle!$C$23,
IF(U354=regle!$D$11,regle!$D$23,
IF(U354=regle!$E$11,regle!$E$23,
IF(U354=regle!$F$11,regle!$F$23,
IF(U354=regle!$G$11,regle!$G$23,
IF(U354=regle!$H$11,regle!$H$23,
IF(U354=regle!$I$11,regle!$I$23,
IF(U354=regle!$J$11,regle!$J$23,
IF(U354=regle!$K$11,regle!$K$23,0))))))))))))</f>
        <v>0</v>
      </c>
      <c r="AF354" s="17">
        <f>IF($A354,$J354*(IF(V354=regle!$B$11,regle!$B$23*IF(AO354=-2,1+regle!$B$35,1),
IF(V354=regle!$C$11,regle!$C$23,
IF(V354=regle!$D$11,regle!$D$23,
IF(V354=regle!$E$11,regle!$E$23,
IF(V354=regle!$F$11,regle!$F$23,
IF(V354=regle!$G$11,regle!$G$23,
IF(V354=regle!$H$11,regle!$H$23,
IF(V354=regle!$I$11,regle!$I$23,
IF(V354=regle!$J$11,regle!$J$23,
IF(V354=regle!$K$11,regle!$K$23,0))))))))))))</f>
        <v>0</v>
      </c>
      <c r="AG354" s="17">
        <f>IF($A354,$J354*(IF(W354=regle!$B$11,regle!$B$23*IF(AP354=-2,1+regle!$B$35,1),
IF(W354=regle!$C$11,regle!$C$23,
IF(W354=regle!$D$11,regle!$D$23,
IF(W354=regle!$E$11,regle!$E$23,
IF(W354=regle!$F$11,regle!$F$23,
IF(W354=regle!$G$11,regle!$G$23,
IF(W354=regle!$H$11,regle!$H$23,
IF(W354=regle!$I$11,regle!$I$23,
IF(W354=regle!$J$11,regle!$J$23,
IF(W354=regle!$K$11,regle!$K$23,0))))))))))))</f>
        <v>522.62400000000002</v>
      </c>
      <c r="AH354" s="17">
        <f>IF($A354,$J354*(IF(X354=regle!$B$11,regle!$B$23*IF(AQ354=-2,1+regle!$B$35,1),
IF(X354=regle!$C$11,regle!$C$23,
IF(X354=regle!$D$11,regle!$D$23,
IF(X354=regle!$E$11,regle!$E$23,
IF(X354=regle!$F$11,regle!$F$23,
IF(X354=regle!$G$11,regle!$G$23,
IF(X354=regle!$H$11,regle!$H$23,
IF(X354=regle!$I$11,regle!$I$23,
IF(X354=regle!$J$11,regle!$J$23,
IF(X354=regle!$K$11,regle!$K$23,0))))))))))))</f>
        <v>0</v>
      </c>
      <c r="AI354" s="17">
        <f>IF($A354,$J354*(IF(Y354=regle!$B$11,regle!$B$23*IF(AR354=-2,1+regle!$B$35,1),
IF(Y354=regle!$C$11,regle!$C$23,
IF(Y354=regle!$D$11,regle!$D$23,
IF(Y354=regle!$E$11,regle!$E$23,
IF(Y354=regle!$F$11,regle!$F$23,
IF(Y354=regle!$G$11,regle!$G$23,
IF(Y354=regle!$H$11,regle!$H$23,
IF(Y354=regle!$I$11,regle!$I$23,
IF(Y354=regle!$J$11,regle!$J$23,
IF(Y354=regle!$K$11,regle!$K$23,0))))))))))))</f>
        <v>0</v>
      </c>
      <c r="AJ354" s="17">
        <f>IF($A354,$J354*(IF(Z354=regle!$B$11,regle!$B$23*IF(AS354=-2,1+regle!$B$35,1),
IF(Z354=regle!$C$11,regle!$C$23,
IF(Z354=regle!$D$11,regle!$D$23,
IF(Z354=regle!$E$11,regle!$E$23,
IF(Z354=regle!$F$11,regle!$F$23,
IF(Z354=regle!$G$11,regle!$G$23,
IF(Z354=regle!$H$11,regle!$H$23,
IF(Z354=regle!$I$11,regle!$I$23,
IF(Z354=regle!$J$11,regle!$J$23,
IF(Z354=regle!$K$11,regle!$K$23,0))))))))))))</f>
        <v>0</v>
      </c>
      <c r="AK354" s="16">
        <f>IF(OR(Q354=regle!$J$11,Q354=regle!$K$11),-2,IF(Q354=regle!$B$11,0,IF(AK$1=$AK$1,IF($O354,-1,regle!$B$2-$M354),IF(AJ354=-1,-1,AJ354+1))))</f>
        <v>21</v>
      </c>
      <c r="AL354" s="16">
        <f>IF(OR(R354=regle!$J$11,R354=regle!$K$11),-2,IF(R354=regle!$B$11,0,IF(AL$1=$AK$1,IF($O354,-1,regle!$B$2-$M354),IF(AK354=-1,-1,AK354+1))))</f>
        <v>22</v>
      </c>
      <c r="AM354" s="16">
        <f>IF(OR(S354=regle!$J$11,S354=regle!$K$11),-2,IF(S354=regle!$B$11,0,IF(AM$1=$AK$1,IF($O354,-1,regle!$B$2-$M354),IF(AL354=-1,-1,AL354+1))))</f>
        <v>23</v>
      </c>
      <c r="AN354" s="16">
        <f>IF(OR(T354=regle!$J$11,T354=regle!$K$11),-2,IF(T354=regle!$B$11,0,IF(AN$1=$AK$1,IF($O354,-1,regle!$B$2-$M354),IF(AM354=-1,-1,AM354+1))))</f>
        <v>24</v>
      </c>
      <c r="AO354" s="16">
        <f>IF(OR(U354=regle!$J$11,U354=regle!$K$11),-2,IF(U354=regle!$B$11,0,IF(AO$1=$AK$1,IF($O354,-1,regle!$B$2-$M354),IF(AN354=-1,-1,AN354+1))))</f>
        <v>25</v>
      </c>
      <c r="AP354" s="16">
        <f>IF(OR(V354=regle!$J$11,V354=regle!$K$11),-2,IF(V354=regle!$B$11,0,IF(AP$1=$AK$1,IF($O354,-1,regle!$B$2-$M354),IF(AO354=-1,-1,AO354+1))))</f>
        <v>26</v>
      </c>
      <c r="AQ354" s="16">
        <f>IF(OR(W354=regle!$J$11,W354=regle!$K$11),-2,IF(W354=regle!$B$11,0,IF(AQ$1=$AK$1,IF($O354,-1,regle!$B$2-$M354),IF(AP354=-1,-1,AP354+1))))</f>
        <v>27</v>
      </c>
      <c r="AR354" s="16">
        <f>IF(OR(X354=regle!$J$11,X354=regle!$K$11),-2,IF(X354=regle!$B$11,0,IF(AR$1=$AK$1,IF($O354,-1,regle!$B$2-$M354),IF(AQ354=-1,-1,AQ354+1))))</f>
        <v>28</v>
      </c>
      <c r="AS354" s="16">
        <f>IF(OR(Y354=regle!$J$11,Y354=regle!$K$11),-2,IF(Y354=regle!$B$11,0,IF(AS$1=$AK$1,IF($O354,-1,regle!$B$2-$M354),IF(AR354=-1,-1,AR354+1))))</f>
        <v>29</v>
      </c>
      <c r="AT354" s="16">
        <f>IF(OR(Z354=regle!$J$11,Z354=regle!$K$11),-2,IF(Z354=regle!$B$11,0,IF(AT$1=$AK$1,IF($O354,-1,regle!$B$2-$M354),IF(AS354=-1,-1,AS354+1))))</f>
        <v>30</v>
      </c>
    </row>
    <row r="355" spans="1:46" x14ac:dyDescent="0.25">
      <c r="A355" t="b">
        <f>modif1!A355</f>
        <v>1</v>
      </c>
      <c r="B355">
        <f>ROW(modif1!B355)</f>
        <v>355</v>
      </c>
      <c r="C355" t="str">
        <f>modif1!C358</f>
        <v>171</v>
      </c>
      <c r="D355" t="str">
        <f>modif1!D355</f>
        <v>LE TUZAN</v>
      </c>
      <c r="E355">
        <f>modif1!E355</f>
        <v>21</v>
      </c>
      <c r="F355" t="str">
        <f>modif1!F355</f>
        <v>METAIRIES DE TABARTON</v>
      </c>
      <c r="G355" t="str">
        <f>modif1!G355</f>
        <v>0A</v>
      </c>
      <c r="H355">
        <f>modif1!H355</f>
        <v>848</v>
      </c>
      <c r="I355" t="str">
        <f>modif1!I355</f>
        <v>k</v>
      </c>
      <c r="J355" s="11">
        <f>modif1!J355</f>
        <v>0.2762</v>
      </c>
      <c r="K355" t="str">
        <f>modif1!K355</f>
        <v>SL</v>
      </c>
      <c r="L355" t="str">
        <f>modif1!L355</f>
        <v>PM</v>
      </c>
      <c r="M355">
        <f>modif1!M355</f>
        <v>2003</v>
      </c>
      <c r="N355" t="str">
        <f>modif1!N355</f>
        <v>SL-PM_2003</v>
      </c>
      <c r="O355" t="b">
        <f>modif1!O355</f>
        <v>0</v>
      </c>
      <c r="P355">
        <v>40</v>
      </c>
      <c r="R355" t="s">
        <v>1805</v>
      </c>
      <c r="W355" t="s">
        <v>1806</v>
      </c>
      <c r="Z355"/>
      <c r="AA355" s="17">
        <f>IF($A355,$J355*(IF(Q355=regle!$B$11,regle!$B$23*IF(AJ355=-2,1+regle!$B$35,1),
IF(Q355=regle!$C$11,regle!$C$23,
IF(Q355=regle!$D$11,regle!$D$23,
IF(Q355=regle!$E$11,regle!$E$23,
IF(Q355=regle!$F$11,regle!$F$23,
IF(Q355=regle!$G$11,regle!$G$23,
IF(Q355=regle!$H$11,regle!$H$23,
IF(Q355=regle!$I$11,regle!$I$23,
IF(Q355=regle!$J$11,regle!$J$23,
IF(Q355=regle!$K$11,regle!$K$23,0))))))))))))</f>
        <v>0</v>
      </c>
      <c r="AB355" s="17">
        <f>IF($A355,$J355*(IF(R355=regle!$B$11,regle!$B$23*IF(AK355=-2,1+regle!$B$35,1),
IF(R355=regle!$C$11,regle!$C$23,
IF(R355=regle!$D$11,regle!$D$23,
IF(R355=regle!$E$11,regle!$E$23,
IF(R355=regle!$F$11,regle!$F$23,
IF(R355=regle!$G$11,regle!$G$23,
IF(R355=regle!$H$11,regle!$H$23,
IF(R355=regle!$I$11,regle!$I$23,
IF(R355=regle!$J$11,regle!$J$23,
IF(R355=regle!$K$11,regle!$K$23,0))))))))))))</f>
        <v>388.88959999999997</v>
      </c>
      <c r="AC355" s="17">
        <f>IF($A355,$J355*(IF(S355=regle!$B$11,regle!$B$23*IF(AL355=-2,1+regle!$B$35,1),
IF(S355=regle!$C$11,regle!$C$23,
IF(S355=regle!$D$11,regle!$D$23,
IF(S355=regle!$E$11,regle!$E$23,
IF(S355=regle!$F$11,regle!$F$23,
IF(S355=regle!$G$11,regle!$G$23,
IF(S355=regle!$H$11,regle!$H$23,
IF(S355=regle!$I$11,regle!$I$23,
IF(S355=regle!$J$11,regle!$J$23,
IF(S355=regle!$K$11,regle!$K$23,0))))))))))))</f>
        <v>0</v>
      </c>
      <c r="AD355" s="17">
        <f>IF($A355,$J355*(IF(T355=regle!$B$11,regle!$B$23*IF(AM355=-2,1+regle!$B$35,1),
IF(T355=regle!$C$11,regle!$C$23,
IF(T355=regle!$D$11,regle!$D$23,
IF(T355=regle!$E$11,regle!$E$23,
IF(T355=regle!$F$11,regle!$F$23,
IF(T355=regle!$G$11,regle!$G$23,
IF(T355=regle!$H$11,regle!$H$23,
IF(T355=regle!$I$11,regle!$I$23,
IF(T355=regle!$J$11,regle!$J$23,
IF(T355=regle!$K$11,regle!$K$23,0))))))))))))</f>
        <v>0</v>
      </c>
      <c r="AE355" s="17">
        <f>IF($A355,$J355*(IF(U355=regle!$B$11,regle!$B$23*IF(AN355=-2,1+regle!$B$35,1),
IF(U355=regle!$C$11,regle!$C$23,
IF(U355=regle!$D$11,regle!$D$23,
IF(U355=regle!$E$11,regle!$E$23,
IF(U355=regle!$F$11,regle!$F$23,
IF(U355=regle!$G$11,regle!$G$23,
IF(U355=regle!$H$11,regle!$H$23,
IF(U355=regle!$I$11,regle!$I$23,
IF(U355=regle!$J$11,regle!$J$23,
IF(U355=regle!$K$11,regle!$K$23,0))))))))))))</f>
        <v>0</v>
      </c>
      <c r="AF355" s="17">
        <f>IF($A355,$J355*(IF(V355=regle!$B$11,regle!$B$23*IF(AO355=-2,1+regle!$B$35,1),
IF(V355=regle!$C$11,regle!$C$23,
IF(V355=regle!$D$11,regle!$D$23,
IF(V355=regle!$E$11,regle!$E$23,
IF(V355=regle!$F$11,regle!$F$23,
IF(V355=regle!$G$11,regle!$G$23,
IF(V355=regle!$H$11,regle!$H$23,
IF(V355=regle!$I$11,regle!$I$23,
IF(V355=regle!$J$11,regle!$J$23,
IF(V355=regle!$K$11,regle!$K$23,0))))))))))))</f>
        <v>0</v>
      </c>
      <c r="AG355" s="17">
        <f>IF($A355,$J355*(IF(W355=regle!$B$11,regle!$B$23*IF(AP355=-2,1+regle!$B$35,1),
IF(W355=regle!$C$11,regle!$C$23,
IF(W355=regle!$D$11,regle!$D$23,
IF(W355=regle!$E$11,regle!$E$23,
IF(W355=regle!$F$11,regle!$F$23,
IF(W355=regle!$G$11,regle!$G$23,
IF(W355=regle!$H$11,regle!$H$23,
IF(W355=regle!$I$11,regle!$I$23,
IF(W355=regle!$J$11,regle!$J$23,
IF(W355=regle!$K$11,regle!$K$23,0))))))))))))</f>
        <v>353.536</v>
      </c>
      <c r="AH355" s="17">
        <f>IF($A355,$J355*(IF(X355=regle!$B$11,regle!$B$23*IF(AQ355=-2,1+regle!$B$35,1),
IF(X355=regle!$C$11,regle!$C$23,
IF(X355=regle!$D$11,regle!$D$23,
IF(X355=regle!$E$11,regle!$E$23,
IF(X355=regle!$F$11,regle!$F$23,
IF(X355=regle!$G$11,regle!$G$23,
IF(X355=regle!$H$11,regle!$H$23,
IF(X355=regle!$I$11,regle!$I$23,
IF(X355=regle!$J$11,regle!$J$23,
IF(X355=regle!$K$11,regle!$K$23,0))))))))))))</f>
        <v>0</v>
      </c>
      <c r="AI355" s="17">
        <f>IF($A355,$J355*(IF(Y355=regle!$B$11,regle!$B$23*IF(AR355=-2,1+regle!$B$35,1),
IF(Y355=regle!$C$11,regle!$C$23,
IF(Y355=regle!$D$11,regle!$D$23,
IF(Y355=regle!$E$11,regle!$E$23,
IF(Y355=regle!$F$11,regle!$F$23,
IF(Y355=regle!$G$11,regle!$G$23,
IF(Y355=regle!$H$11,regle!$H$23,
IF(Y355=regle!$I$11,regle!$I$23,
IF(Y355=regle!$J$11,regle!$J$23,
IF(Y355=regle!$K$11,regle!$K$23,0))))))))))))</f>
        <v>0</v>
      </c>
      <c r="AJ355" s="17">
        <f>IF($A355,$J355*(IF(Z355=regle!$B$11,regle!$B$23*IF(AS355=-2,1+regle!$B$35,1),
IF(Z355=regle!$C$11,regle!$C$23,
IF(Z355=regle!$D$11,regle!$D$23,
IF(Z355=regle!$E$11,regle!$E$23,
IF(Z355=regle!$F$11,regle!$F$23,
IF(Z355=regle!$G$11,regle!$G$23,
IF(Z355=regle!$H$11,regle!$H$23,
IF(Z355=regle!$I$11,regle!$I$23,
IF(Z355=regle!$J$11,regle!$J$23,
IF(Z355=regle!$K$11,regle!$K$23,0))))))))))))</f>
        <v>0</v>
      </c>
      <c r="AK355" s="16">
        <f>IF(OR(Q355=regle!$J$11,Q355=regle!$K$11),-2,IF(Q355=regle!$B$11,0,IF(AK$1=$AK$1,IF($O355,-1,regle!$B$2-$M355),IF(AJ355=-1,-1,AJ355+1))))</f>
        <v>21</v>
      </c>
      <c r="AL355" s="16">
        <f>IF(OR(R355=regle!$J$11,R355=regle!$K$11),-2,IF(R355=regle!$B$11,0,IF(AL$1=$AK$1,IF($O355,-1,regle!$B$2-$M355),IF(AK355=-1,-1,AK355+1))))</f>
        <v>22</v>
      </c>
      <c r="AM355" s="16">
        <f>IF(OR(S355=regle!$J$11,S355=regle!$K$11),-2,IF(S355=regle!$B$11,0,IF(AM$1=$AK$1,IF($O355,-1,regle!$B$2-$M355),IF(AL355=-1,-1,AL355+1))))</f>
        <v>23</v>
      </c>
      <c r="AN355" s="16">
        <f>IF(OR(T355=regle!$J$11,T355=regle!$K$11),-2,IF(T355=regle!$B$11,0,IF(AN$1=$AK$1,IF($O355,-1,regle!$B$2-$M355),IF(AM355=-1,-1,AM355+1))))</f>
        <v>24</v>
      </c>
      <c r="AO355" s="16">
        <f>IF(OR(U355=regle!$J$11,U355=regle!$K$11),-2,IF(U355=regle!$B$11,0,IF(AO$1=$AK$1,IF($O355,-1,regle!$B$2-$M355),IF(AN355=-1,-1,AN355+1))))</f>
        <v>25</v>
      </c>
      <c r="AP355" s="16">
        <f>IF(OR(V355=regle!$J$11,V355=regle!$K$11),-2,IF(V355=regle!$B$11,0,IF(AP$1=$AK$1,IF($O355,-1,regle!$B$2-$M355),IF(AO355=-1,-1,AO355+1))))</f>
        <v>26</v>
      </c>
      <c r="AQ355" s="16">
        <f>IF(OR(W355=regle!$J$11,W355=regle!$K$11),-2,IF(W355=regle!$B$11,0,IF(AQ$1=$AK$1,IF($O355,-1,regle!$B$2-$M355),IF(AP355=-1,-1,AP355+1))))</f>
        <v>27</v>
      </c>
      <c r="AR355" s="16">
        <f>IF(OR(X355=regle!$J$11,X355=regle!$K$11),-2,IF(X355=regle!$B$11,0,IF(AR$1=$AK$1,IF($O355,-1,regle!$B$2-$M355),IF(AQ355=-1,-1,AQ355+1))))</f>
        <v>28</v>
      </c>
      <c r="AS355" s="16">
        <f>IF(OR(Y355=regle!$J$11,Y355=regle!$K$11),-2,IF(Y355=regle!$B$11,0,IF(AS$1=$AK$1,IF($O355,-1,regle!$B$2-$M355),IF(AR355=-1,-1,AR355+1))))</f>
        <v>29</v>
      </c>
      <c r="AT355" s="16">
        <f>IF(OR(Z355=regle!$J$11,Z355=regle!$K$11),-2,IF(Z355=regle!$B$11,0,IF(AT$1=$AK$1,IF($O355,-1,regle!$B$2-$M355),IF(AS355=-1,-1,AS355+1))))</f>
        <v>30</v>
      </c>
    </row>
    <row r="356" spans="1:46" x14ac:dyDescent="0.25">
      <c r="A356" t="b">
        <f>modif1!A356</f>
        <v>1</v>
      </c>
      <c r="B356">
        <f>ROW(modif1!B356)</f>
        <v>356</v>
      </c>
      <c r="C356" t="str">
        <f>modif1!C359</f>
        <v>536</v>
      </c>
      <c r="D356" t="str">
        <f>modif1!D356</f>
        <v>LE TUZAN</v>
      </c>
      <c r="E356">
        <f>modif1!E356</f>
        <v>21</v>
      </c>
      <c r="F356" t="str">
        <f>modif1!F356</f>
        <v>METAIRIES DE TABARTON</v>
      </c>
      <c r="G356" t="str">
        <f>modif1!G356</f>
        <v>0A</v>
      </c>
      <c r="H356">
        <f>modif1!H356</f>
        <v>415</v>
      </c>
      <c r="I356" t="str">
        <f>modif1!I356</f>
        <v>k</v>
      </c>
      <c r="J356" s="11">
        <f>modif1!J356</f>
        <v>0.2626</v>
      </c>
      <c r="K356" t="str">
        <f>modif1!K356</f>
        <v>SL</v>
      </c>
      <c r="L356" t="str">
        <f>modif1!L356</f>
        <v>PM</v>
      </c>
      <c r="M356">
        <f>modif1!M356</f>
        <v>2003</v>
      </c>
      <c r="N356" t="str">
        <f>modif1!N356</f>
        <v>SL-PM_2003</v>
      </c>
      <c r="O356" t="b">
        <f>modif1!O356</f>
        <v>0</v>
      </c>
      <c r="P356">
        <v>40</v>
      </c>
      <c r="R356" t="s">
        <v>1805</v>
      </c>
      <c r="W356" t="s">
        <v>1806</v>
      </c>
      <c r="Z356"/>
      <c r="AA356" s="17">
        <f>IF($A356,$J356*(IF(Q356=regle!$B$11,regle!$B$23*IF(AJ356=-2,1+regle!$B$35,1),
IF(Q356=regle!$C$11,regle!$C$23,
IF(Q356=regle!$D$11,regle!$D$23,
IF(Q356=regle!$E$11,regle!$E$23,
IF(Q356=regle!$F$11,regle!$F$23,
IF(Q356=regle!$G$11,regle!$G$23,
IF(Q356=regle!$H$11,regle!$H$23,
IF(Q356=regle!$I$11,regle!$I$23,
IF(Q356=regle!$J$11,regle!$J$23,
IF(Q356=regle!$K$11,regle!$K$23,0))))))))))))</f>
        <v>0</v>
      </c>
      <c r="AB356" s="17">
        <f>IF($A356,$J356*(IF(R356=regle!$B$11,regle!$B$23*IF(AK356=-2,1+regle!$B$35,1),
IF(R356=regle!$C$11,regle!$C$23,
IF(R356=regle!$D$11,regle!$D$23,
IF(R356=regle!$E$11,regle!$E$23,
IF(R356=regle!$F$11,regle!$F$23,
IF(R356=regle!$G$11,regle!$G$23,
IF(R356=regle!$H$11,regle!$H$23,
IF(R356=regle!$I$11,regle!$I$23,
IF(R356=regle!$J$11,regle!$J$23,
IF(R356=regle!$K$11,regle!$K$23,0))))))))))))</f>
        <v>369.74079999999998</v>
      </c>
      <c r="AC356" s="17">
        <f>IF($A356,$J356*(IF(S356=regle!$B$11,regle!$B$23*IF(AL356=-2,1+regle!$B$35,1),
IF(S356=regle!$C$11,regle!$C$23,
IF(S356=regle!$D$11,regle!$D$23,
IF(S356=regle!$E$11,regle!$E$23,
IF(S356=regle!$F$11,regle!$F$23,
IF(S356=regle!$G$11,regle!$G$23,
IF(S356=regle!$H$11,regle!$H$23,
IF(S356=regle!$I$11,regle!$I$23,
IF(S356=regle!$J$11,regle!$J$23,
IF(S356=regle!$K$11,regle!$K$23,0))))))))))))</f>
        <v>0</v>
      </c>
      <c r="AD356" s="17">
        <f>IF($A356,$J356*(IF(T356=regle!$B$11,regle!$B$23*IF(AM356=-2,1+regle!$B$35,1),
IF(T356=regle!$C$11,regle!$C$23,
IF(T356=regle!$D$11,regle!$D$23,
IF(T356=regle!$E$11,regle!$E$23,
IF(T356=regle!$F$11,regle!$F$23,
IF(T356=regle!$G$11,regle!$G$23,
IF(T356=regle!$H$11,regle!$H$23,
IF(T356=regle!$I$11,regle!$I$23,
IF(T356=regle!$J$11,regle!$J$23,
IF(T356=regle!$K$11,regle!$K$23,0))))))))))))</f>
        <v>0</v>
      </c>
      <c r="AE356" s="17">
        <f>IF($A356,$J356*(IF(U356=regle!$B$11,regle!$B$23*IF(AN356=-2,1+regle!$B$35,1),
IF(U356=regle!$C$11,regle!$C$23,
IF(U356=regle!$D$11,regle!$D$23,
IF(U356=regle!$E$11,regle!$E$23,
IF(U356=regle!$F$11,regle!$F$23,
IF(U356=regle!$G$11,regle!$G$23,
IF(U356=regle!$H$11,regle!$H$23,
IF(U356=regle!$I$11,regle!$I$23,
IF(U356=regle!$J$11,regle!$J$23,
IF(U356=regle!$K$11,regle!$K$23,0))))))))))))</f>
        <v>0</v>
      </c>
      <c r="AF356" s="17">
        <f>IF($A356,$J356*(IF(V356=regle!$B$11,regle!$B$23*IF(AO356=-2,1+regle!$B$35,1),
IF(V356=regle!$C$11,regle!$C$23,
IF(V356=regle!$D$11,regle!$D$23,
IF(V356=regle!$E$11,regle!$E$23,
IF(V356=regle!$F$11,regle!$F$23,
IF(V356=regle!$G$11,regle!$G$23,
IF(V356=regle!$H$11,regle!$H$23,
IF(V356=regle!$I$11,regle!$I$23,
IF(V356=regle!$J$11,regle!$J$23,
IF(V356=regle!$K$11,regle!$K$23,0))))))))))))</f>
        <v>0</v>
      </c>
      <c r="AG356" s="17">
        <f>IF($A356,$J356*(IF(W356=regle!$B$11,regle!$B$23*IF(AP356=-2,1+regle!$B$35,1),
IF(W356=regle!$C$11,regle!$C$23,
IF(W356=regle!$D$11,regle!$D$23,
IF(W356=regle!$E$11,regle!$E$23,
IF(W356=regle!$F$11,regle!$F$23,
IF(W356=regle!$G$11,regle!$G$23,
IF(W356=regle!$H$11,regle!$H$23,
IF(W356=regle!$I$11,regle!$I$23,
IF(W356=regle!$J$11,regle!$J$23,
IF(W356=regle!$K$11,regle!$K$23,0))))))))))))</f>
        <v>336.12799999999999</v>
      </c>
      <c r="AH356" s="17">
        <f>IF($A356,$J356*(IF(X356=regle!$B$11,regle!$B$23*IF(AQ356=-2,1+regle!$B$35,1),
IF(X356=regle!$C$11,regle!$C$23,
IF(X356=regle!$D$11,regle!$D$23,
IF(X356=regle!$E$11,regle!$E$23,
IF(X356=regle!$F$11,regle!$F$23,
IF(X356=regle!$G$11,regle!$G$23,
IF(X356=regle!$H$11,regle!$H$23,
IF(X356=regle!$I$11,regle!$I$23,
IF(X356=regle!$J$11,regle!$J$23,
IF(X356=regle!$K$11,regle!$K$23,0))))))))))))</f>
        <v>0</v>
      </c>
      <c r="AI356" s="17">
        <f>IF($A356,$J356*(IF(Y356=regle!$B$11,regle!$B$23*IF(AR356=-2,1+regle!$B$35,1),
IF(Y356=regle!$C$11,regle!$C$23,
IF(Y356=regle!$D$11,regle!$D$23,
IF(Y356=regle!$E$11,regle!$E$23,
IF(Y356=regle!$F$11,regle!$F$23,
IF(Y356=regle!$G$11,regle!$G$23,
IF(Y356=regle!$H$11,regle!$H$23,
IF(Y356=regle!$I$11,regle!$I$23,
IF(Y356=regle!$J$11,regle!$J$23,
IF(Y356=regle!$K$11,regle!$K$23,0))))))))))))</f>
        <v>0</v>
      </c>
      <c r="AJ356" s="17">
        <f>IF($A356,$J356*(IF(Z356=regle!$B$11,regle!$B$23*IF(AS356=-2,1+regle!$B$35,1),
IF(Z356=regle!$C$11,regle!$C$23,
IF(Z356=regle!$D$11,regle!$D$23,
IF(Z356=regle!$E$11,regle!$E$23,
IF(Z356=regle!$F$11,regle!$F$23,
IF(Z356=regle!$G$11,regle!$G$23,
IF(Z356=regle!$H$11,regle!$H$23,
IF(Z356=regle!$I$11,regle!$I$23,
IF(Z356=regle!$J$11,regle!$J$23,
IF(Z356=regle!$K$11,regle!$K$23,0))))))))))))</f>
        <v>0</v>
      </c>
      <c r="AK356" s="16">
        <f>IF(OR(Q356=regle!$J$11,Q356=regle!$K$11),-2,IF(Q356=regle!$B$11,0,IF(AK$1=$AK$1,IF($O356,-1,regle!$B$2-$M356),IF(AJ356=-1,-1,AJ356+1))))</f>
        <v>21</v>
      </c>
      <c r="AL356" s="16">
        <f>IF(OR(R356=regle!$J$11,R356=regle!$K$11),-2,IF(R356=regle!$B$11,0,IF(AL$1=$AK$1,IF($O356,-1,regle!$B$2-$M356),IF(AK356=-1,-1,AK356+1))))</f>
        <v>22</v>
      </c>
      <c r="AM356" s="16">
        <f>IF(OR(S356=regle!$J$11,S356=regle!$K$11),-2,IF(S356=regle!$B$11,0,IF(AM$1=$AK$1,IF($O356,-1,regle!$B$2-$M356),IF(AL356=-1,-1,AL356+1))))</f>
        <v>23</v>
      </c>
      <c r="AN356" s="16">
        <f>IF(OR(T356=regle!$J$11,T356=regle!$K$11),-2,IF(T356=regle!$B$11,0,IF(AN$1=$AK$1,IF($O356,-1,regle!$B$2-$M356),IF(AM356=-1,-1,AM356+1))))</f>
        <v>24</v>
      </c>
      <c r="AO356" s="16">
        <f>IF(OR(U356=regle!$J$11,U356=regle!$K$11),-2,IF(U356=regle!$B$11,0,IF(AO$1=$AK$1,IF($O356,-1,regle!$B$2-$M356),IF(AN356=-1,-1,AN356+1))))</f>
        <v>25</v>
      </c>
      <c r="AP356" s="16">
        <f>IF(OR(V356=regle!$J$11,V356=regle!$K$11),-2,IF(V356=regle!$B$11,0,IF(AP$1=$AK$1,IF($O356,-1,regle!$B$2-$M356),IF(AO356=-1,-1,AO356+1))))</f>
        <v>26</v>
      </c>
      <c r="AQ356" s="16">
        <f>IF(OR(W356=regle!$J$11,W356=regle!$K$11),-2,IF(W356=regle!$B$11,0,IF(AQ$1=$AK$1,IF($O356,-1,regle!$B$2-$M356),IF(AP356=-1,-1,AP356+1))))</f>
        <v>27</v>
      </c>
      <c r="AR356" s="16">
        <f>IF(OR(X356=regle!$J$11,X356=regle!$K$11),-2,IF(X356=regle!$B$11,0,IF(AR$1=$AK$1,IF($O356,-1,regle!$B$2-$M356),IF(AQ356=-1,-1,AQ356+1))))</f>
        <v>28</v>
      </c>
      <c r="AS356" s="16">
        <f>IF(OR(Y356=regle!$J$11,Y356=regle!$K$11),-2,IF(Y356=regle!$B$11,0,IF(AS$1=$AK$1,IF($O356,-1,regle!$B$2-$M356),IF(AR356=-1,-1,AR356+1))))</f>
        <v>29</v>
      </c>
      <c r="AT356" s="16">
        <f>IF(OR(Z356=regle!$J$11,Z356=regle!$K$11),-2,IF(Z356=regle!$B$11,0,IF(AT$1=$AK$1,IF($O356,-1,regle!$B$2-$M356),IF(AS356=-1,-1,AS356+1))))</f>
        <v>30</v>
      </c>
    </row>
    <row r="357" spans="1:46" x14ac:dyDescent="0.25">
      <c r="A357" t="b">
        <f>modif1!A357</f>
        <v>1</v>
      </c>
      <c r="B357">
        <f>ROW(modif1!B357)</f>
        <v>357</v>
      </c>
      <c r="C357" t="str">
        <f>modif1!C360</f>
        <v>536</v>
      </c>
      <c r="D357" t="str">
        <f>modif1!D357</f>
        <v>MANO</v>
      </c>
      <c r="E357">
        <f>modif1!E357</f>
        <v>6</v>
      </c>
      <c r="F357" t="str">
        <f>modif1!F357</f>
        <v>BARRAT</v>
      </c>
      <c r="G357" t="str">
        <f>modif1!G357</f>
        <v>0C</v>
      </c>
      <c r="H357">
        <f>modif1!H357</f>
        <v>172</v>
      </c>
      <c r="I357" t="str">
        <f>modif1!I357</f>
        <v>j</v>
      </c>
      <c r="J357" s="11">
        <f>modif1!J357</f>
        <v>2.2059000000000002</v>
      </c>
      <c r="K357" t="str">
        <f>modif1!K357</f>
        <v>PLA</v>
      </c>
      <c r="L357" t="str">
        <f>modif1!L357</f>
        <v>PM</v>
      </c>
      <c r="M357">
        <f>modif1!M357</f>
        <v>1997</v>
      </c>
      <c r="N357" t="str">
        <f>modif1!N357</f>
        <v>PLA-PM_1997</v>
      </c>
      <c r="O357" t="b">
        <f>modif1!O357</f>
        <v>0</v>
      </c>
      <c r="P357">
        <v>40</v>
      </c>
      <c r="Q357" s="22"/>
      <c r="R357" t="s">
        <v>1806</v>
      </c>
      <c r="Y357" t="s">
        <v>63</v>
      </c>
      <c r="Z357" t="s">
        <v>1868</v>
      </c>
      <c r="AA357" s="17">
        <f>IF($A357,$J357*(IF(Q357=regle!$B$11,regle!$B$23*IF(AJ357=-2,1+regle!$B$35,1),
IF(Q357=regle!$C$11,regle!$C$23,
IF(Q357=regle!$D$11,regle!$D$23,
IF(Q357=regle!$E$11,regle!$E$23,
IF(Q357=regle!$F$11,regle!$F$23,
IF(Q357=regle!$G$11,regle!$G$23,
IF(Q357=regle!$H$11,regle!$H$23,
IF(Q357=regle!$I$11,regle!$I$23,
IF(Q357=regle!$J$11,regle!$J$23,
IF(Q357=regle!$K$11,regle!$K$23,0))))))))))))</f>
        <v>0</v>
      </c>
      <c r="AB357" s="17">
        <f>IF($A357,$J357*(IF(R357=regle!$B$11,regle!$B$23*IF(AK357=-2,1+regle!$B$35,1),
IF(R357=regle!$C$11,regle!$C$23,
IF(R357=regle!$D$11,regle!$D$23,
IF(R357=regle!$E$11,regle!$E$23,
IF(R357=regle!$F$11,regle!$F$23,
IF(R357=regle!$G$11,regle!$G$23,
IF(R357=regle!$H$11,regle!$H$23,
IF(R357=regle!$I$11,regle!$I$23,
IF(R357=regle!$J$11,regle!$J$23,
IF(R357=regle!$K$11,regle!$K$23,0))))))))))))</f>
        <v>2823.5520000000001</v>
      </c>
      <c r="AC357" s="17">
        <f>IF($A357,$J357*(IF(S357=regle!$B$11,regle!$B$23*IF(AL357=-2,1+regle!$B$35,1),
IF(S357=regle!$C$11,regle!$C$23,
IF(S357=regle!$D$11,regle!$D$23,
IF(S357=regle!$E$11,regle!$E$23,
IF(S357=regle!$F$11,regle!$F$23,
IF(S357=regle!$G$11,regle!$G$23,
IF(S357=regle!$H$11,regle!$H$23,
IF(S357=regle!$I$11,regle!$I$23,
IF(S357=regle!$J$11,regle!$J$23,
IF(S357=regle!$K$11,regle!$K$23,0))))))))))))</f>
        <v>0</v>
      </c>
      <c r="AD357" s="17">
        <f>IF($A357,$J357*(IF(T357=regle!$B$11,regle!$B$23*IF(AM357=-2,1+regle!$B$35,1),
IF(T357=regle!$C$11,regle!$C$23,
IF(T357=regle!$D$11,regle!$D$23,
IF(T357=regle!$E$11,regle!$E$23,
IF(T357=regle!$F$11,regle!$F$23,
IF(T357=regle!$G$11,regle!$G$23,
IF(T357=regle!$H$11,regle!$H$23,
IF(T357=regle!$I$11,regle!$I$23,
IF(T357=regle!$J$11,regle!$J$23,
IF(T357=regle!$K$11,regle!$K$23,0))))))))))))</f>
        <v>0</v>
      </c>
      <c r="AE357" s="17">
        <f>IF($A357,$J357*(IF(U357=regle!$B$11,regle!$B$23*IF(AN357=-2,1+regle!$B$35,1),
IF(U357=regle!$C$11,regle!$C$23,
IF(U357=regle!$D$11,regle!$D$23,
IF(U357=regle!$E$11,regle!$E$23,
IF(U357=regle!$F$11,regle!$F$23,
IF(U357=regle!$G$11,regle!$G$23,
IF(U357=regle!$H$11,regle!$H$23,
IF(U357=regle!$I$11,regle!$I$23,
IF(U357=regle!$J$11,regle!$J$23,
IF(U357=regle!$K$11,regle!$K$23,0))))))))))))</f>
        <v>0</v>
      </c>
      <c r="AF357" s="17">
        <f>IF($A357,$J357*(IF(V357=regle!$B$11,regle!$B$23*IF(AO357=-2,1+regle!$B$35,1),
IF(V357=regle!$C$11,regle!$C$23,
IF(V357=regle!$D$11,regle!$D$23,
IF(V357=regle!$E$11,regle!$E$23,
IF(V357=regle!$F$11,regle!$F$23,
IF(V357=regle!$G$11,regle!$G$23,
IF(V357=regle!$H$11,regle!$H$23,
IF(V357=regle!$I$11,regle!$I$23,
IF(V357=regle!$J$11,regle!$J$23,
IF(V357=regle!$K$11,regle!$K$23,0))))))))))))</f>
        <v>0</v>
      </c>
      <c r="AG357" s="17">
        <f>IF($A357,$J357*(IF(W357=regle!$B$11,regle!$B$23*IF(AP357=-2,1+regle!$B$35,1),
IF(W357=regle!$C$11,regle!$C$23,
IF(W357=regle!$D$11,regle!$D$23,
IF(W357=regle!$E$11,regle!$E$23,
IF(W357=regle!$F$11,regle!$F$23,
IF(W357=regle!$G$11,regle!$G$23,
IF(W357=regle!$H$11,regle!$H$23,
IF(W357=regle!$I$11,regle!$I$23,
IF(W357=regle!$J$11,regle!$J$23,
IF(W357=regle!$K$11,regle!$K$23,0))))))))))))</f>
        <v>0</v>
      </c>
      <c r="AH357" s="17">
        <f>IF($A357,$J357*(IF(X357=regle!$B$11,regle!$B$23*IF(AQ357=-2,1+regle!$B$35,1),
IF(X357=regle!$C$11,regle!$C$23,
IF(X357=regle!$D$11,regle!$D$23,
IF(X357=regle!$E$11,regle!$E$23,
IF(X357=regle!$F$11,regle!$F$23,
IF(X357=regle!$G$11,regle!$G$23,
IF(X357=regle!$H$11,regle!$H$23,
IF(X357=regle!$I$11,regle!$I$23,
IF(X357=regle!$J$11,regle!$J$23,
IF(X357=regle!$K$11,regle!$K$23,0))))))))))))</f>
        <v>0</v>
      </c>
      <c r="AI357" s="17">
        <f>IF($A357,$J357*(IF(Y357=regle!$B$11,regle!$B$23*IF(AR357=-2,1+regle!$B$35,1),
IF(Y357=regle!$C$11,regle!$C$23,
IF(Y357=regle!$D$11,regle!$D$23,
IF(Y357=regle!$E$11,regle!$E$23,
IF(Y357=regle!$F$11,regle!$F$23,
IF(Y357=regle!$G$11,regle!$G$23,
IF(Y357=regle!$H$11,regle!$H$23,
IF(Y357=regle!$I$11,regle!$I$23,
IF(Y357=regle!$J$11,regle!$J$23,
IF(Y357=regle!$K$11,regle!$K$23,0))))))))))))</f>
        <v>19411.920000000002</v>
      </c>
      <c r="AJ357" s="17">
        <f>IF($A357,$J357*(IF(Z357=regle!$B$11,regle!$B$23*IF(AS357=-2,1+regle!$B$35,1),
IF(Z357=regle!$C$11,regle!$C$23,
IF(Z357=regle!$D$11,regle!$D$23,
IF(Z357=regle!$E$11,regle!$E$23,
IF(Z357=regle!$F$11,regle!$F$23,
IF(Z357=regle!$G$11,regle!$G$23,
IF(Z357=regle!$H$11,regle!$H$23,
IF(Z357=regle!$I$11,regle!$I$23,
IF(Z357=regle!$J$11,regle!$J$23,
IF(Z357=regle!$K$11,regle!$K$23,0))))))))))))</f>
        <v>-4125.0330000000013</v>
      </c>
      <c r="AK357" s="16">
        <f>IF(OR(Q357=regle!$J$11,Q357=regle!$K$11),-2,IF(Q357=regle!$B$11,0,IF(AK$1=$AK$1,IF($O357,-1,regle!$B$2-$M357),IF(AJ357=-1,-1,AJ357+1))))</f>
        <v>27</v>
      </c>
      <c r="AL357" s="16">
        <f>IF(OR(R357=regle!$J$11,R357=regle!$K$11),-2,IF(R357=regle!$B$11,0,IF(AL$1=$AK$1,IF($O357,-1,regle!$B$2-$M357),IF(AK357=-1,-1,AK357+1))))</f>
        <v>28</v>
      </c>
      <c r="AM357" s="16">
        <f>IF(OR(S357=regle!$J$11,S357=regle!$K$11),-2,IF(S357=regle!$B$11,0,IF(AM$1=$AK$1,IF($O357,-1,regle!$B$2-$M357),IF(AL357=-1,-1,AL357+1))))</f>
        <v>29</v>
      </c>
      <c r="AN357" s="16">
        <f>IF(OR(T357=regle!$J$11,T357=regle!$K$11),-2,IF(T357=regle!$B$11,0,IF(AN$1=$AK$1,IF($O357,-1,regle!$B$2-$M357),IF(AM357=-1,-1,AM357+1))))</f>
        <v>30</v>
      </c>
      <c r="AO357" s="16">
        <f>IF(OR(U357=regle!$J$11,U357=regle!$K$11),-2,IF(U357=regle!$B$11,0,IF(AO$1=$AK$1,IF($O357,-1,regle!$B$2-$M357),IF(AN357=-1,-1,AN357+1))))</f>
        <v>31</v>
      </c>
      <c r="AP357" s="16">
        <f>IF(OR(V357=regle!$J$11,V357=regle!$K$11),-2,IF(V357=regle!$B$11,0,IF(AP$1=$AK$1,IF($O357,-1,regle!$B$2-$M357),IF(AO357=-1,-1,AO357+1))))</f>
        <v>32</v>
      </c>
      <c r="AQ357" s="16">
        <f>IF(OR(W357=regle!$J$11,W357=regle!$K$11),-2,IF(W357=regle!$B$11,0,IF(AQ$1=$AK$1,IF($O357,-1,regle!$B$2-$M357),IF(AP357=-1,-1,AP357+1))))</f>
        <v>33</v>
      </c>
      <c r="AR357" s="16">
        <f>IF(OR(X357=regle!$J$11,X357=regle!$K$11),-2,IF(X357=regle!$B$11,0,IF(AR$1=$AK$1,IF($O357,-1,regle!$B$2-$M357),IF(AQ357=-1,-1,AQ357+1))))</f>
        <v>34</v>
      </c>
      <c r="AS357" s="16">
        <f>IF(OR(Y357=regle!$J$11,Y357=regle!$K$11),-2,IF(Y357=regle!$B$11,0,IF(AS$1=$AK$1,IF($O357,-1,regle!$B$2-$M357),IF(AR357=-1,-1,AR357+1))))</f>
        <v>-2</v>
      </c>
      <c r="AT357" s="16">
        <f>IF(OR(Z357=regle!$J$11,Z357=regle!$K$11),-2,IF(Z357=regle!$B$11,0,IF(AT$1=$AK$1,IF($O357,-1,regle!$B$2-$M357),IF(AS357=-1,-1,AS357+1))))</f>
        <v>0</v>
      </c>
    </row>
    <row r="358" spans="1:46" x14ac:dyDescent="0.25">
      <c r="A358" t="b">
        <f>modif1!A358</f>
        <v>1</v>
      </c>
      <c r="B358">
        <f>ROW(modif1!B358)</f>
        <v>358</v>
      </c>
      <c r="C358" t="str">
        <f>modif1!C361</f>
        <v>536</v>
      </c>
      <c r="D358" t="str">
        <f>modif1!D358</f>
        <v>MANO</v>
      </c>
      <c r="E358">
        <f>modif1!E358</f>
        <v>6</v>
      </c>
      <c r="F358" t="str">
        <f>modif1!F358</f>
        <v>BARRAT</v>
      </c>
      <c r="G358" t="str">
        <f>modif1!G358</f>
        <v>0C</v>
      </c>
      <c r="H358">
        <f>modif1!H358</f>
        <v>175</v>
      </c>
      <c r="I358" t="str">
        <f>modif1!I358</f>
        <v>j</v>
      </c>
      <c r="J358" s="11">
        <f>modif1!J358</f>
        <v>0.96540000000000004</v>
      </c>
      <c r="K358" t="str">
        <f>modif1!K358</f>
        <v>PLA</v>
      </c>
      <c r="L358" t="str">
        <f>modif1!L358</f>
        <v>PM</v>
      </c>
      <c r="M358">
        <f>modif1!M358</f>
        <v>1997</v>
      </c>
      <c r="N358" t="str">
        <f>modif1!N358</f>
        <v>PLA-PM_1997</v>
      </c>
      <c r="O358" t="b">
        <f>modif1!O358</f>
        <v>0</v>
      </c>
      <c r="P358">
        <v>40</v>
      </c>
      <c r="Q358" s="22"/>
      <c r="R358" t="s">
        <v>1806</v>
      </c>
      <c r="Y358" t="s">
        <v>63</v>
      </c>
      <c r="Z358" t="s">
        <v>1868</v>
      </c>
      <c r="AA358" s="17">
        <f>IF($A358,$J358*(IF(Q358=regle!$B$11,regle!$B$23*IF(AJ358=-2,1+regle!$B$35,1),
IF(Q358=regle!$C$11,regle!$C$23,
IF(Q358=regle!$D$11,regle!$D$23,
IF(Q358=regle!$E$11,regle!$E$23,
IF(Q358=regle!$F$11,regle!$F$23,
IF(Q358=regle!$G$11,regle!$G$23,
IF(Q358=regle!$H$11,regle!$H$23,
IF(Q358=regle!$I$11,regle!$I$23,
IF(Q358=regle!$J$11,regle!$J$23,
IF(Q358=regle!$K$11,regle!$K$23,0))))))))))))</f>
        <v>0</v>
      </c>
      <c r="AB358" s="17">
        <f>IF($A358,$J358*(IF(R358=regle!$B$11,regle!$B$23*IF(AK358=-2,1+regle!$B$35,1),
IF(R358=regle!$C$11,regle!$C$23,
IF(R358=regle!$D$11,regle!$D$23,
IF(R358=regle!$E$11,regle!$E$23,
IF(R358=regle!$F$11,regle!$F$23,
IF(R358=regle!$G$11,regle!$G$23,
IF(R358=regle!$H$11,regle!$H$23,
IF(R358=regle!$I$11,regle!$I$23,
IF(R358=regle!$J$11,regle!$J$23,
IF(R358=regle!$K$11,regle!$K$23,0))))))))))))</f>
        <v>1235.712</v>
      </c>
      <c r="AC358" s="17">
        <f>IF($A358,$J358*(IF(S358=regle!$B$11,regle!$B$23*IF(AL358=-2,1+regle!$B$35,1),
IF(S358=regle!$C$11,regle!$C$23,
IF(S358=regle!$D$11,regle!$D$23,
IF(S358=regle!$E$11,regle!$E$23,
IF(S358=regle!$F$11,regle!$F$23,
IF(S358=regle!$G$11,regle!$G$23,
IF(S358=regle!$H$11,regle!$H$23,
IF(S358=regle!$I$11,regle!$I$23,
IF(S358=regle!$J$11,regle!$J$23,
IF(S358=regle!$K$11,regle!$K$23,0))))))))))))</f>
        <v>0</v>
      </c>
      <c r="AD358" s="17">
        <f>IF($A358,$J358*(IF(T358=regle!$B$11,regle!$B$23*IF(AM358=-2,1+regle!$B$35,1),
IF(T358=regle!$C$11,regle!$C$23,
IF(T358=regle!$D$11,regle!$D$23,
IF(T358=regle!$E$11,regle!$E$23,
IF(T358=regle!$F$11,regle!$F$23,
IF(T358=regle!$G$11,regle!$G$23,
IF(T358=regle!$H$11,regle!$H$23,
IF(T358=regle!$I$11,regle!$I$23,
IF(T358=regle!$J$11,regle!$J$23,
IF(T358=regle!$K$11,regle!$K$23,0))))))))))))</f>
        <v>0</v>
      </c>
      <c r="AE358" s="17">
        <f>IF($A358,$J358*(IF(U358=regle!$B$11,regle!$B$23*IF(AN358=-2,1+regle!$B$35,1),
IF(U358=regle!$C$11,regle!$C$23,
IF(U358=regle!$D$11,regle!$D$23,
IF(U358=regle!$E$11,regle!$E$23,
IF(U358=regle!$F$11,regle!$F$23,
IF(U358=regle!$G$11,regle!$G$23,
IF(U358=regle!$H$11,regle!$H$23,
IF(U358=regle!$I$11,regle!$I$23,
IF(U358=regle!$J$11,regle!$J$23,
IF(U358=regle!$K$11,regle!$K$23,0))))))))))))</f>
        <v>0</v>
      </c>
      <c r="AF358" s="17">
        <f>IF($A358,$J358*(IF(V358=regle!$B$11,regle!$B$23*IF(AO358=-2,1+regle!$B$35,1),
IF(V358=regle!$C$11,regle!$C$23,
IF(V358=regle!$D$11,regle!$D$23,
IF(V358=regle!$E$11,regle!$E$23,
IF(V358=regle!$F$11,regle!$F$23,
IF(V358=regle!$G$11,regle!$G$23,
IF(V358=regle!$H$11,regle!$H$23,
IF(V358=regle!$I$11,regle!$I$23,
IF(V358=regle!$J$11,regle!$J$23,
IF(V358=regle!$K$11,regle!$K$23,0))))))))))))</f>
        <v>0</v>
      </c>
      <c r="AG358" s="17">
        <f>IF($A358,$J358*(IF(W358=regle!$B$11,regle!$B$23*IF(AP358=-2,1+regle!$B$35,1),
IF(W358=regle!$C$11,regle!$C$23,
IF(W358=regle!$D$11,regle!$D$23,
IF(W358=regle!$E$11,regle!$E$23,
IF(W358=regle!$F$11,regle!$F$23,
IF(W358=regle!$G$11,regle!$G$23,
IF(W358=regle!$H$11,regle!$H$23,
IF(W358=regle!$I$11,regle!$I$23,
IF(W358=regle!$J$11,regle!$J$23,
IF(W358=regle!$K$11,regle!$K$23,0))))))))))))</f>
        <v>0</v>
      </c>
      <c r="AH358" s="17">
        <f>IF($A358,$J358*(IF(X358=regle!$B$11,regle!$B$23*IF(AQ358=-2,1+regle!$B$35,1),
IF(X358=regle!$C$11,regle!$C$23,
IF(X358=regle!$D$11,regle!$D$23,
IF(X358=regle!$E$11,regle!$E$23,
IF(X358=regle!$F$11,regle!$F$23,
IF(X358=regle!$G$11,regle!$G$23,
IF(X358=regle!$H$11,regle!$H$23,
IF(X358=regle!$I$11,regle!$I$23,
IF(X358=regle!$J$11,regle!$J$23,
IF(X358=regle!$K$11,regle!$K$23,0))))))))))))</f>
        <v>0</v>
      </c>
      <c r="AI358" s="17">
        <f>IF($A358,$J358*(IF(Y358=regle!$B$11,regle!$B$23*IF(AR358=-2,1+regle!$B$35,1),
IF(Y358=regle!$C$11,regle!$C$23,
IF(Y358=regle!$D$11,regle!$D$23,
IF(Y358=regle!$E$11,regle!$E$23,
IF(Y358=regle!$F$11,regle!$F$23,
IF(Y358=regle!$G$11,regle!$G$23,
IF(Y358=regle!$H$11,regle!$H$23,
IF(Y358=regle!$I$11,regle!$I$23,
IF(Y358=regle!$J$11,regle!$J$23,
IF(Y358=regle!$K$11,regle!$K$23,0))))))))))))</f>
        <v>8495.52</v>
      </c>
      <c r="AJ358" s="17">
        <f>IF($A358,$J358*(IF(Z358=regle!$B$11,regle!$B$23*IF(AS358=-2,1+regle!$B$35,1),
IF(Z358=regle!$C$11,regle!$C$23,
IF(Z358=regle!$D$11,regle!$D$23,
IF(Z358=regle!$E$11,regle!$E$23,
IF(Z358=regle!$F$11,regle!$F$23,
IF(Z358=regle!$G$11,regle!$G$23,
IF(Z358=regle!$H$11,regle!$H$23,
IF(Z358=regle!$I$11,regle!$I$23,
IF(Z358=regle!$J$11,regle!$J$23,
IF(Z358=regle!$K$11,regle!$K$23,0))))))))))))</f>
        <v>-1805.2980000000002</v>
      </c>
      <c r="AK358" s="16">
        <f>IF(OR(Q358=regle!$J$11,Q358=regle!$K$11),-2,IF(Q358=regle!$B$11,0,IF(AK$1=$AK$1,IF($O358,-1,regle!$B$2-$M358),IF(AJ358=-1,-1,AJ358+1))))</f>
        <v>27</v>
      </c>
      <c r="AL358" s="16">
        <f>IF(OR(R358=regle!$J$11,R358=regle!$K$11),-2,IF(R358=regle!$B$11,0,IF(AL$1=$AK$1,IF($O358,-1,regle!$B$2-$M358),IF(AK358=-1,-1,AK358+1))))</f>
        <v>28</v>
      </c>
      <c r="AM358" s="16">
        <f>IF(OR(S358=regle!$J$11,S358=regle!$K$11),-2,IF(S358=regle!$B$11,0,IF(AM$1=$AK$1,IF($O358,-1,regle!$B$2-$M358),IF(AL358=-1,-1,AL358+1))))</f>
        <v>29</v>
      </c>
      <c r="AN358" s="16">
        <f>IF(OR(T358=regle!$J$11,T358=regle!$K$11),-2,IF(T358=regle!$B$11,0,IF(AN$1=$AK$1,IF($O358,-1,regle!$B$2-$M358),IF(AM358=-1,-1,AM358+1))))</f>
        <v>30</v>
      </c>
      <c r="AO358" s="16">
        <f>IF(OR(U358=regle!$J$11,U358=regle!$K$11),-2,IF(U358=regle!$B$11,0,IF(AO$1=$AK$1,IF($O358,-1,regle!$B$2-$M358),IF(AN358=-1,-1,AN358+1))))</f>
        <v>31</v>
      </c>
      <c r="AP358" s="16">
        <f>IF(OR(V358=regle!$J$11,V358=regle!$K$11),-2,IF(V358=regle!$B$11,0,IF(AP$1=$AK$1,IF($O358,-1,regle!$B$2-$M358),IF(AO358=-1,-1,AO358+1))))</f>
        <v>32</v>
      </c>
      <c r="AQ358" s="16">
        <f>IF(OR(W358=regle!$J$11,W358=regle!$K$11),-2,IF(W358=regle!$B$11,0,IF(AQ$1=$AK$1,IF($O358,-1,regle!$B$2-$M358),IF(AP358=-1,-1,AP358+1))))</f>
        <v>33</v>
      </c>
      <c r="AR358" s="16">
        <f>IF(OR(X358=regle!$J$11,X358=regle!$K$11),-2,IF(X358=regle!$B$11,0,IF(AR$1=$AK$1,IF($O358,-1,regle!$B$2-$M358),IF(AQ358=-1,-1,AQ358+1))))</f>
        <v>34</v>
      </c>
      <c r="AS358" s="16">
        <f>IF(OR(Y358=regle!$J$11,Y358=regle!$K$11),-2,IF(Y358=regle!$B$11,0,IF(AS$1=$AK$1,IF($O358,-1,regle!$B$2-$M358),IF(AR358=-1,-1,AR358+1))))</f>
        <v>-2</v>
      </c>
      <c r="AT358" s="16">
        <f>IF(OR(Z358=regle!$J$11,Z358=regle!$K$11),-2,IF(Z358=regle!$B$11,0,IF(AT$1=$AK$1,IF($O358,-1,regle!$B$2-$M358),IF(AS358=-1,-1,AS358+1))))</f>
        <v>0</v>
      </c>
    </row>
    <row r="359" spans="1:46" x14ac:dyDescent="0.25">
      <c r="A359" t="b">
        <f>modif1!A359</f>
        <v>1</v>
      </c>
      <c r="B359">
        <f>ROW(modif1!B359)</f>
        <v>359</v>
      </c>
      <c r="C359" t="str">
        <f>modif1!C362</f>
        <v>536</v>
      </c>
      <c r="D359" t="str">
        <f>modif1!D359</f>
        <v>LE TUZAN</v>
      </c>
      <c r="E359">
        <f>modif1!E359</f>
        <v>7</v>
      </c>
      <c r="F359" t="str">
        <f>modif1!F359</f>
        <v>CHOUSSE</v>
      </c>
      <c r="G359" t="str">
        <f>modif1!G359</f>
        <v>0A</v>
      </c>
      <c r="H359">
        <f>modif1!H359</f>
        <v>680</v>
      </c>
      <c r="I359" t="str">
        <f>modif1!I359</f>
        <v>k</v>
      </c>
      <c r="J359" s="11">
        <f>modif1!J359</f>
        <v>8.1114999999999995</v>
      </c>
      <c r="K359" t="str">
        <f>modif1!K359</f>
        <v>SL</v>
      </c>
      <c r="L359" t="str">
        <f>modif1!L359</f>
        <v>PM</v>
      </c>
      <c r="M359">
        <f>modif1!M359</f>
        <v>1995</v>
      </c>
      <c r="N359" t="str">
        <f>modif1!N359</f>
        <v>SL-PM_1995</v>
      </c>
      <c r="O359" t="b">
        <f>modif1!O359</f>
        <v>0</v>
      </c>
      <c r="P359">
        <v>40</v>
      </c>
      <c r="W359" t="s">
        <v>63</v>
      </c>
      <c r="X359" t="s">
        <v>1868</v>
      </c>
      <c r="Z359" t="s">
        <v>1872</v>
      </c>
      <c r="AA359" s="17">
        <f>IF($A359,$J359*(IF(Q359=regle!$B$11,regle!$B$23*IF(AJ359=-2,1+regle!$B$35,1),
IF(Q359=regle!$C$11,regle!$C$23,
IF(Q359=regle!$D$11,regle!$D$23,
IF(Q359=regle!$E$11,regle!$E$23,
IF(Q359=regle!$F$11,regle!$F$23,
IF(Q359=regle!$G$11,regle!$G$23,
IF(Q359=regle!$H$11,regle!$H$23,
IF(Q359=regle!$I$11,regle!$I$23,
IF(Q359=regle!$J$11,regle!$J$23,
IF(Q359=regle!$K$11,regle!$K$23,0))))))))))))</f>
        <v>0</v>
      </c>
      <c r="AB359" s="17">
        <f>IF($A359,$J359*(IF(R359=regle!$B$11,regle!$B$23*IF(AK359=-2,1+regle!$B$35,1),
IF(R359=regle!$C$11,regle!$C$23,
IF(R359=regle!$D$11,regle!$D$23,
IF(R359=regle!$E$11,regle!$E$23,
IF(R359=regle!$F$11,regle!$F$23,
IF(R359=regle!$G$11,regle!$G$23,
IF(R359=regle!$H$11,regle!$H$23,
IF(R359=regle!$I$11,regle!$I$23,
IF(R359=regle!$J$11,regle!$J$23,
IF(R359=regle!$K$11,regle!$K$23,0))))))))))))</f>
        <v>0</v>
      </c>
      <c r="AC359" s="17">
        <f>IF($A359,$J359*(IF(S359=regle!$B$11,regle!$B$23*IF(AL359=-2,1+regle!$B$35,1),
IF(S359=regle!$C$11,regle!$C$23,
IF(S359=regle!$D$11,regle!$D$23,
IF(S359=regle!$E$11,regle!$E$23,
IF(S359=regle!$F$11,regle!$F$23,
IF(S359=regle!$G$11,regle!$G$23,
IF(S359=regle!$H$11,regle!$H$23,
IF(S359=regle!$I$11,regle!$I$23,
IF(S359=regle!$J$11,regle!$J$23,
IF(S359=regle!$K$11,regle!$K$23,0))))))))))))</f>
        <v>0</v>
      </c>
      <c r="AD359" s="17">
        <f>IF($A359,$J359*(IF(T359=regle!$B$11,regle!$B$23*IF(AM359=-2,1+regle!$B$35,1),
IF(T359=regle!$C$11,regle!$C$23,
IF(T359=regle!$D$11,regle!$D$23,
IF(T359=regle!$E$11,regle!$E$23,
IF(T359=regle!$F$11,regle!$F$23,
IF(T359=regle!$G$11,regle!$G$23,
IF(T359=regle!$H$11,regle!$H$23,
IF(T359=regle!$I$11,regle!$I$23,
IF(T359=regle!$J$11,regle!$J$23,
IF(T359=regle!$K$11,regle!$K$23,0))))))))))))</f>
        <v>0</v>
      </c>
      <c r="AE359" s="17">
        <f>IF($A359,$J359*(IF(U359=regle!$B$11,regle!$B$23*IF(AN359=-2,1+regle!$B$35,1),
IF(U359=regle!$C$11,regle!$C$23,
IF(U359=regle!$D$11,regle!$D$23,
IF(U359=regle!$E$11,regle!$E$23,
IF(U359=regle!$F$11,regle!$F$23,
IF(U359=regle!$G$11,regle!$G$23,
IF(U359=regle!$H$11,regle!$H$23,
IF(U359=regle!$I$11,regle!$I$23,
IF(U359=regle!$J$11,regle!$J$23,
IF(U359=regle!$K$11,regle!$K$23,0))))))))))))</f>
        <v>0</v>
      </c>
      <c r="AF359" s="17">
        <f>IF($A359,$J359*(IF(V359=regle!$B$11,regle!$B$23*IF(AO359=-2,1+regle!$B$35,1),
IF(V359=regle!$C$11,regle!$C$23,
IF(V359=regle!$D$11,regle!$D$23,
IF(V359=regle!$E$11,regle!$E$23,
IF(V359=regle!$F$11,regle!$F$23,
IF(V359=regle!$G$11,regle!$G$23,
IF(V359=regle!$H$11,regle!$H$23,
IF(V359=regle!$I$11,regle!$I$23,
IF(V359=regle!$J$11,regle!$J$23,
IF(V359=regle!$K$11,regle!$K$23,0))))))))))))</f>
        <v>0</v>
      </c>
      <c r="AG359" s="17">
        <f>IF($A359,$J359*(IF(W359=regle!$B$11,regle!$B$23*IF(AP359=-2,1+regle!$B$35,1),
IF(W359=regle!$C$11,regle!$C$23,
IF(W359=regle!$D$11,regle!$D$23,
IF(W359=regle!$E$11,regle!$E$23,
IF(W359=regle!$F$11,regle!$F$23,
IF(W359=regle!$G$11,regle!$G$23,
IF(W359=regle!$H$11,regle!$H$23,
IF(W359=regle!$I$11,regle!$I$23,
IF(W359=regle!$J$11,regle!$J$23,
IF(W359=regle!$K$11,regle!$K$23,0))))))))))))</f>
        <v>71381.2</v>
      </c>
      <c r="AH359" s="17">
        <f>IF($A359,$J359*(IF(X359=regle!$B$11,regle!$B$23*IF(AQ359=-2,1+regle!$B$35,1),
IF(X359=regle!$C$11,regle!$C$23,
IF(X359=regle!$D$11,regle!$D$23,
IF(X359=regle!$E$11,regle!$E$23,
IF(X359=regle!$F$11,regle!$F$23,
IF(X359=regle!$G$11,regle!$G$23,
IF(X359=regle!$H$11,regle!$H$23,
IF(X359=regle!$I$11,regle!$I$23,
IF(X359=regle!$J$11,regle!$J$23,
IF(X359=regle!$K$11,regle!$K$23,0))))))))))))</f>
        <v>-15168.505000000001</v>
      </c>
      <c r="AI359" s="17">
        <f>IF($A359,$J359*(IF(Y359=regle!$B$11,regle!$B$23*IF(AR359=-2,1+regle!$B$35,1),
IF(Y359=regle!$C$11,regle!$C$23,
IF(Y359=regle!$D$11,regle!$D$23,
IF(Y359=regle!$E$11,regle!$E$23,
IF(Y359=regle!$F$11,regle!$F$23,
IF(Y359=regle!$G$11,regle!$G$23,
IF(Y359=regle!$H$11,regle!$H$23,
IF(Y359=regle!$I$11,regle!$I$23,
IF(Y359=regle!$J$11,regle!$J$23,
IF(Y359=regle!$K$11,regle!$K$23,0))))))))))))</f>
        <v>0</v>
      </c>
      <c r="AJ359" s="17">
        <f>IF($A359,$J359*(IF(Z359=regle!$B$11,regle!$B$23*IF(AS359=-2,1+regle!$B$35,1),
IF(Z359=regle!$C$11,regle!$C$23,
IF(Z359=regle!$D$11,regle!$D$23,
IF(Z359=regle!$E$11,regle!$E$23,
IF(Z359=regle!$F$11,regle!$F$23,
IF(Z359=regle!$G$11,regle!$G$23,
IF(Z359=regle!$H$11,regle!$H$23,
IF(Z359=regle!$I$11,regle!$I$23,
IF(Z359=regle!$J$11,regle!$J$23,
IF(Z359=regle!$K$11,regle!$K$23,0))))))))))))</f>
        <v>-608.36249999999995</v>
      </c>
      <c r="AK359" s="16">
        <f>IF(OR(Q359=regle!$J$11,Q359=regle!$K$11),-2,IF(Q359=regle!$B$11,0,IF(AK$1=$AK$1,IF($O359,-1,regle!$B$2-$M359),IF(AJ359=-1,-1,AJ359+1))))</f>
        <v>29</v>
      </c>
      <c r="AL359" s="16">
        <f>IF(OR(R359=regle!$J$11,R359=regle!$K$11),-2,IF(R359=regle!$B$11,0,IF(AL$1=$AK$1,IF($O359,-1,regle!$B$2-$M359),IF(AK359=-1,-1,AK359+1))))</f>
        <v>30</v>
      </c>
      <c r="AM359" s="16">
        <f>IF(OR(S359=regle!$J$11,S359=regle!$K$11),-2,IF(S359=regle!$B$11,0,IF(AM$1=$AK$1,IF($O359,-1,regle!$B$2-$M359),IF(AL359=-1,-1,AL359+1))))</f>
        <v>31</v>
      </c>
      <c r="AN359" s="16">
        <f>IF(OR(T359=regle!$J$11,T359=regle!$K$11),-2,IF(T359=regle!$B$11,0,IF(AN$1=$AK$1,IF($O359,-1,regle!$B$2-$M359),IF(AM359=-1,-1,AM359+1))))</f>
        <v>32</v>
      </c>
      <c r="AO359" s="16">
        <f>IF(OR(U359=regle!$J$11,U359=regle!$K$11),-2,IF(U359=regle!$B$11,0,IF(AO$1=$AK$1,IF($O359,-1,regle!$B$2-$M359),IF(AN359=-1,-1,AN359+1))))</f>
        <v>33</v>
      </c>
      <c r="AP359" s="16">
        <f>IF(OR(V359=regle!$J$11,V359=regle!$K$11),-2,IF(V359=regle!$B$11,0,IF(AP$1=$AK$1,IF($O359,-1,regle!$B$2-$M359),IF(AO359=-1,-1,AO359+1))))</f>
        <v>34</v>
      </c>
      <c r="AQ359" s="16">
        <f>IF(OR(W359=regle!$J$11,W359=regle!$K$11),-2,IF(W359=regle!$B$11,0,IF(AQ$1=$AK$1,IF($O359,-1,regle!$B$2-$M359),IF(AP359=-1,-1,AP359+1))))</f>
        <v>-2</v>
      </c>
      <c r="AR359" s="16">
        <f>IF(OR(X359=regle!$J$11,X359=regle!$K$11),-2,IF(X359=regle!$B$11,0,IF(AR$1=$AK$1,IF($O359,-1,regle!$B$2-$M359),IF(AQ359=-1,-1,AQ359+1))))</f>
        <v>0</v>
      </c>
      <c r="AS359" s="16">
        <f>IF(OR(Y359=regle!$J$11,Y359=regle!$K$11),-2,IF(Y359=regle!$B$11,0,IF(AS$1=$AK$1,IF($O359,-1,regle!$B$2-$M359),IF(AR359=-1,-1,AR359+1))))</f>
        <v>1</v>
      </c>
      <c r="AT359" s="16">
        <f>IF(OR(Z359=regle!$J$11,Z359=regle!$K$11),-2,IF(Z359=regle!$B$11,0,IF(AT$1=$AK$1,IF($O359,-1,regle!$B$2-$M359),IF(AS359=-1,-1,AS359+1))))</f>
        <v>2</v>
      </c>
    </row>
    <row r="360" spans="1:46" x14ac:dyDescent="0.25">
      <c r="A360" t="b">
        <f>modif1!A360</f>
        <v>1</v>
      </c>
      <c r="B360">
        <f>ROW(modif1!B360)</f>
        <v>360</v>
      </c>
      <c r="C360" t="str">
        <f>modif1!C363</f>
        <v>536</v>
      </c>
      <c r="D360" t="str">
        <f>modif1!D360</f>
        <v>LE TUZAN</v>
      </c>
      <c r="E360">
        <f>modif1!E360</f>
        <v>7</v>
      </c>
      <c r="F360" t="str">
        <f>modif1!F360</f>
        <v>CHOUSSE</v>
      </c>
      <c r="G360" t="str">
        <f>modif1!G360</f>
        <v>0A</v>
      </c>
      <c r="H360">
        <f>modif1!H360</f>
        <v>716</v>
      </c>
      <c r="I360" t="str">
        <f>modif1!I360</f>
        <v/>
      </c>
      <c r="J360" s="11">
        <f>modif1!J360</f>
        <v>1.1859999999999999</v>
      </c>
      <c r="K360" t="str">
        <f>modif1!K360</f>
        <v>PLA</v>
      </c>
      <c r="L360" t="str">
        <f>modif1!L360</f>
        <v>PM</v>
      </c>
      <c r="M360">
        <f>modif1!M360</f>
        <v>1995</v>
      </c>
      <c r="N360" t="str">
        <f>modif1!N360</f>
        <v>PLA-PM_1995</v>
      </c>
      <c r="O360" t="b">
        <f>modif1!O360</f>
        <v>0</v>
      </c>
      <c r="P360">
        <v>40</v>
      </c>
      <c r="W360" t="s">
        <v>63</v>
      </c>
      <c r="X360" t="s">
        <v>1868</v>
      </c>
      <c r="Z360" t="s">
        <v>1872</v>
      </c>
      <c r="AA360" s="17">
        <f>IF($A360,$J360*(IF(Q360=regle!$B$11,regle!$B$23*IF(AJ360=-2,1+regle!$B$35,1),
IF(Q360=regle!$C$11,regle!$C$23,
IF(Q360=regle!$D$11,regle!$D$23,
IF(Q360=regle!$E$11,regle!$E$23,
IF(Q360=regle!$F$11,regle!$F$23,
IF(Q360=regle!$G$11,regle!$G$23,
IF(Q360=regle!$H$11,regle!$H$23,
IF(Q360=regle!$I$11,regle!$I$23,
IF(Q360=regle!$J$11,regle!$J$23,
IF(Q360=regle!$K$11,regle!$K$23,0))))))))))))</f>
        <v>0</v>
      </c>
      <c r="AB360" s="17">
        <f>IF($A360,$J360*(IF(R360=regle!$B$11,regle!$B$23*IF(AK360=-2,1+regle!$B$35,1),
IF(R360=regle!$C$11,regle!$C$23,
IF(R360=regle!$D$11,regle!$D$23,
IF(R360=regle!$E$11,regle!$E$23,
IF(R360=regle!$F$11,regle!$F$23,
IF(R360=regle!$G$11,regle!$G$23,
IF(R360=regle!$H$11,regle!$H$23,
IF(R360=regle!$I$11,regle!$I$23,
IF(R360=regle!$J$11,regle!$J$23,
IF(R360=regle!$K$11,regle!$K$23,0))))))))))))</f>
        <v>0</v>
      </c>
      <c r="AC360" s="17">
        <f>IF($A360,$J360*(IF(S360=regle!$B$11,regle!$B$23*IF(AL360=-2,1+regle!$B$35,1),
IF(S360=regle!$C$11,regle!$C$23,
IF(S360=regle!$D$11,regle!$D$23,
IF(S360=regle!$E$11,regle!$E$23,
IF(S360=regle!$F$11,regle!$F$23,
IF(S360=regle!$G$11,regle!$G$23,
IF(S360=regle!$H$11,regle!$H$23,
IF(S360=regle!$I$11,regle!$I$23,
IF(S360=regle!$J$11,regle!$J$23,
IF(S360=regle!$K$11,regle!$K$23,0))))))))))))</f>
        <v>0</v>
      </c>
      <c r="AD360" s="17">
        <f>IF($A360,$J360*(IF(T360=regle!$B$11,regle!$B$23*IF(AM360=-2,1+regle!$B$35,1),
IF(T360=regle!$C$11,regle!$C$23,
IF(T360=regle!$D$11,regle!$D$23,
IF(T360=regle!$E$11,regle!$E$23,
IF(T360=regle!$F$11,regle!$F$23,
IF(T360=regle!$G$11,regle!$G$23,
IF(T360=regle!$H$11,regle!$H$23,
IF(T360=regle!$I$11,regle!$I$23,
IF(T360=regle!$J$11,regle!$J$23,
IF(T360=regle!$K$11,regle!$K$23,0))))))))))))</f>
        <v>0</v>
      </c>
      <c r="AE360" s="17">
        <f>IF($A360,$J360*(IF(U360=regle!$B$11,regle!$B$23*IF(AN360=-2,1+regle!$B$35,1),
IF(U360=regle!$C$11,regle!$C$23,
IF(U360=regle!$D$11,regle!$D$23,
IF(U360=regle!$E$11,regle!$E$23,
IF(U360=regle!$F$11,regle!$F$23,
IF(U360=regle!$G$11,regle!$G$23,
IF(U360=regle!$H$11,regle!$H$23,
IF(U360=regle!$I$11,regle!$I$23,
IF(U360=regle!$J$11,regle!$J$23,
IF(U360=regle!$K$11,regle!$K$23,0))))))))))))</f>
        <v>0</v>
      </c>
      <c r="AF360" s="17">
        <f>IF($A360,$J360*(IF(V360=regle!$B$11,regle!$B$23*IF(AO360=-2,1+regle!$B$35,1),
IF(V360=regle!$C$11,regle!$C$23,
IF(V360=regle!$D$11,regle!$D$23,
IF(V360=regle!$E$11,regle!$E$23,
IF(V360=regle!$F$11,regle!$F$23,
IF(V360=regle!$G$11,regle!$G$23,
IF(V360=regle!$H$11,regle!$H$23,
IF(V360=regle!$I$11,regle!$I$23,
IF(V360=regle!$J$11,regle!$J$23,
IF(V360=regle!$K$11,regle!$K$23,0))))))))))))</f>
        <v>0</v>
      </c>
      <c r="AG360" s="17">
        <f>IF($A360,$J360*(IF(W360=regle!$B$11,regle!$B$23*IF(AP360=-2,1+regle!$B$35,1),
IF(W360=regle!$C$11,regle!$C$23,
IF(W360=regle!$D$11,regle!$D$23,
IF(W360=regle!$E$11,regle!$E$23,
IF(W360=regle!$F$11,regle!$F$23,
IF(W360=regle!$G$11,regle!$G$23,
IF(W360=regle!$H$11,regle!$H$23,
IF(W360=regle!$I$11,regle!$I$23,
IF(W360=regle!$J$11,regle!$J$23,
IF(W360=regle!$K$11,regle!$K$23,0))))))))))))</f>
        <v>10436.799999999999</v>
      </c>
      <c r="AH360" s="17">
        <f>IF($A360,$J360*(IF(X360=regle!$B$11,regle!$B$23*IF(AQ360=-2,1+regle!$B$35,1),
IF(X360=regle!$C$11,regle!$C$23,
IF(X360=regle!$D$11,regle!$D$23,
IF(X360=regle!$E$11,regle!$E$23,
IF(X360=regle!$F$11,regle!$F$23,
IF(X360=regle!$G$11,regle!$G$23,
IF(X360=regle!$H$11,regle!$H$23,
IF(X360=regle!$I$11,regle!$I$23,
IF(X360=regle!$J$11,regle!$J$23,
IF(X360=regle!$K$11,regle!$K$23,0))))))))))))</f>
        <v>-2217.8200000000002</v>
      </c>
      <c r="AI360" s="17">
        <f>IF($A360,$J360*(IF(Y360=regle!$B$11,regle!$B$23*IF(AR360=-2,1+regle!$B$35,1),
IF(Y360=regle!$C$11,regle!$C$23,
IF(Y360=regle!$D$11,regle!$D$23,
IF(Y360=regle!$E$11,regle!$E$23,
IF(Y360=regle!$F$11,regle!$F$23,
IF(Y360=regle!$G$11,regle!$G$23,
IF(Y360=regle!$H$11,regle!$H$23,
IF(Y360=regle!$I$11,regle!$I$23,
IF(Y360=regle!$J$11,regle!$J$23,
IF(Y360=regle!$K$11,regle!$K$23,0))))))))))))</f>
        <v>0</v>
      </c>
      <c r="AJ360" s="17">
        <f>IF($A360,$J360*(IF(Z360=regle!$B$11,regle!$B$23*IF(AS360=-2,1+regle!$B$35,1),
IF(Z360=regle!$C$11,regle!$C$23,
IF(Z360=regle!$D$11,regle!$D$23,
IF(Z360=regle!$E$11,regle!$E$23,
IF(Z360=regle!$F$11,regle!$F$23,
IF(Z360=regle!$G$11,regle!$G$23,
IF(Z360=regle!$H$11,regle!$H$23,
IF(Z360=regle!$I$11,regle!$I$23,
IF(Z360=regle!$J$11,regle!$J$23,
IF(Z360=regle!$K$11,regle!$K$23,0))))))))))))</f>
        <v>-88.949999999999989</v>
      </c>
      <c r="AK360" s="16">
        <f>IF(OR(Q360=regle!$J$11,Q360=regle!$K$11),-2,IF(Q360=regle!$B$11,0,IF(AK$1=$AK$1,IF($O360,-1,regle!$B$2-$M360),IF(AJ360=-1,-1,AJ360+1))))</f>
        <v>29</v>
      </c>
      <c r="AL360" s="16">
        <f>IF(OR(R360=regle!$J$11,R360=regle!$K$11),-2,IF(R360=regle!$B$11,0,IF(AL$1=$AK$1,IF($O360,-1,regle!$B$2-$M360),IF(AK360=-1,-1,AK360+1))))</f>
        <v>30</v>
      </c>
      <c r="AM360" s="16">
        <f>IF(OR(S360=regle!$J$11,S360=regle!$K$11),-2,IF(S360=regle!$B$11,0,IF(AM$1=$AK$1,IF($O360,-1,regle!$B$2-$M360),IF(AL360=-1,-1,AL360+1))))</f>
        <v>31</v>
      </c>
      <c r="AN360" s="16">
        <f>IF(OR(T360=regle!$J$11,T360=regle!$K$11),-2,IF(T360=regle!$B$11,0,IF(AN$1=$AK$1,IF($O360,-1,regle!$B$2-$M360),IF(AM360=-1,-1,AM360+1))))</f>
        <v>32</v>
      </c>
      <c r="AO360" s="16">
        <f>IF(OR(U360=regle!$J$11,U360=regle!$K$11),-2,IF(U360=regle!$B$11,0,IF(AO$1=$AK$1,IF($O360,-1,regle!$B$2-$M360),IF(AN360=-1,-1,AN360+1))))</f>
        <v>33</v>
      </c>
      <c r="AP360" s="16">
        <f>IF(OR(V360=regle!$J$11,V360=regle!$K$11),-2,IF(V360=regle!$B$11,0,IF(AP$1=$AK$1,IF($O360,-1,regle!$B$2-$M360),IF(AO360=-1,-1,AO360+1))))</f>
        <v>34</v>
      </c>
      <c r="AQ360" s="16">
        <f>IF(OR(W360=regle!$J$11,W360=regle!$K$11),-2,IF(W360=regle!$B$11,0,IF(AQ$1=$AK$1,IF($O360,-1,regle!$B$2-$M360),IF(AP360=-1,-1,AP360+1))))</f>
        <v>-2</v>
      </c>
      <c r="AR360" s="16">
        <f>IF(OR(X360=regle!$J$11,X360=regle!$K$11),-2,IF(X360=regle!$B$11,0,IF(AR$1=$AK$1,IF($O360,-1,regle!$B$2-$M360),IF(AQ360=-1,-1,AQ360+1))))</f>
        <v>0</v>
      </c>
      <c r="AS360" s="16">
        <f>IF(OR(Y360=regle!$J$11,Y360=regle!$K$11),-2,IF(Y360=regle!$B$11,0,IF(AS$1=$AK$1,IF($O360,-1,regle!$B$2-$M360),IF(AR360=-1,-1,AR360+1))))</f>
        <v>1</v>
      </c>
      <c r="AT360" s="16">
        <f>IF(OR(Z360=regle!$J$11,Z360=regle!$K$11),-2,IF(Z360=regle!$B$11,0,IF(AT$1=$AK$1,IF($O360,-1,regle!$B$2-$M360),IF(AS360=-1,-1,AS360+1))))</f>
        <v>2</v>
      </c>
    </row>
    <row r="361" spans="1:46" x14ac:dyDescent="0.25">
      <c r="A361" t="b">
        <f>modif1!A361</f>
        <v>1</v>
      </c>
      <c r="B361">
        <f>ROW(modif1!B361)</f>
        <v>361</v>
      </c>
      <c r="C361" t="str">
        <f>modif1!C364</f>
        <v>536</v>
      </c>
      <c r="D361" t="str">
        <f>modif1!D361</f>
        <v>LE TUZAN</v>
      </c>
      <c r="E361">
        <f>modif1!E361</f>
        <v>7</v>
      </c>
      <c r="F361" t="str">
        <f>modif1!F361</f>
        <v>CHOUSSE</v>
      </c>
      <c r="G361" t="str">
        <f>modif1!G361</f>
        <v>0A</v>
      </c>
      <c r="H361">
        <f>modif1!H361</f>
        <v>706</v>
      </c>
      <c r="I361" t="str">
        <f>modif1!I361</f>
        <v/>
      </c>
      <c r="J361" s="11">
        <f>modif1!J361</f>
        <v>0.75980000000000003</v>
      </c>
      <c r="K361" t="str">
        <f>modif1!K361</f>
        <v>SL</v>
      </c>
      <c r="L361" t="str">
        <f>modif1!L361</f>
        <v>PM</v>
      </c>
      <c r="M361">
        <f>modif1!M361</f>
        <v>1995</v>
      </c>
      <c r="N361" t="str">
        <f>modif1!N361</f>
        <v>SL-PM_1995</v>
      </c>
      <c r="O361" t="b">
        <f>modif1!O361</f>
        <v>0</v>
      </c>
      <c r="P361">
        <v>25</v>
      </c>
      <c r="W361" t="s">
        <v>63</v>
      </c>
      <c r="X361" s="22"/>
      <c r="Y361" s="22"/>
      <c r="Z361" t="s">
        <v>1868</v>
      </c>
      <c r="AA361" s="17">
        <f>IF($A361,$J361*(IF(Q361=regle!$B$11,regle!$B$23*IF(AJ361=-2,1+regle!$B$35,1),
IF(Q361=regle!$C$11,regle!$C$23,
IF(Q361=regle!$D$11,regle!$D$23,
IF(Q361=regle!$E$11,regle!$E$23,
IF(Q361=regle!$F$11,regle!$F$23,
IF(Q361=regle!$G$11,regle!$G$23,
IF(Q361=regle!$H$11,regle!$H$23,
IF(Q361=regle!$I$11,regle!$I$23,
IF(Q361=regle!$J$11,regle!$J$23,
IF(Q361=regle!$K$11,regle!$K$23,0))))))))))))</f>
        <v>0</v>
      </c>
      <c r="AB361" s="17">
        <f>IF($A361,$J361*(IF(R361=regle!$B$11,regle!$B$23*IF(AK361=-2,1+regle!$B$35,1),
IF(R361=regle!$C$11,regle!$C$23,
IF(R361=regle!$D$11,regle!$D$23,
IF(R361=regle!$E$11,regle!$E$23,
IF(R361=regle!$F$11,regle!$F$23,
IF(R361=regle!$G$11,regle!$G$23,
IF(R361=regle!$H$11,regle!$H$23,
IF(R361=regle!$I$11,regle!$I$23,
IF(R361=regle!$J$11,regle!$J$23,
IF(R361=regle!$K$11,regle!$K$23,0))))))))))))</f>
        <v>0</v>
      </c>
      <c r="AC361" s="17">
        <f>IF($A361,$J361*(IF(S361=regle!$B$11,regle!$B$23*IF(AL361=-2,1+regle!$B$35,1),
IF(S361=regle!$C$11,regle!$C$23,
IF(S361=regle!$D$11,regle!$D$23,
IF(S361=regle!$E$11,regle!$E$23,
IF(S361=regle!$F$11,regle!$F$23,
IF(S361=regle!$G$11,regle!$G$23,
IF(S361=regle!$H$11,regle!$H$23,
IF(S361=regle!$I$11,regle!$I$23,
IF(S361=regle!$J$11,regle!$J$23,
IF(S361=regle!$K$11,regle!$K$23,0))))))))))))</f>
        <v>0</v>
      </c>
      <c r="AD361" s="17">
        <f>IF($A361,$J361*(IF(T361=regle!$B$11,regle!$B$23*IF(AM361=-2,1+regle!$B$35,1),
IF(T361=regle!$C$11,regle!$C$23,
IF(T361=regle!$D$11,regle!$D$23,
IF(T361=regle!$E$11,regle!$E$23,
IF(T361=regle!$F$11,regle!$F$23,
IF(T361=regle!$G$11,regle!$G$23,
IF(T361=regle!$H$11,regle!$H$23,
IF(T361=regle!$I$11,regle!$I$23,
IF(T361=regle!$J$11,regle!$J$23,
IF(T361=regle!$K$11,regle!$K$23,0))))))))))))</f>
        <v>0</v>
      </c>
      <c r="AE361" s="17">
        <f>IF($A361,$J361*(IF(U361=regle!$B$11,regle!$B$23*IF(AN361=-2,1+regle!$B$35,1),
IF(U361=regle!$C$11,regle!$C$23,
IF(U361=regle!$D$11,regle!$D$23,
IF(U361=regle!$E$11,regle!$E$23,
IF(U361=regle!$F$11,regle!$F$23,
IF(U361=regle!$G$11,regle!$G$23,
IF(U361=regle!$H$11,regle!$H$23,
IF(U361=regle!$I$11,regle!$I$23,
IF(U361=regle!$J$11,regle!$J$23,
IF(U361=regle!$K$11,regle!$K$23,0))))))))))))</f>
        <v>0</v>
      </c>
      <c r="AF361" s="17">
        <f>IF($A361,$J361*(IF(V361=regle!$B$11,regle!$B$23*IF(AO361=-2,1+regle!$B$35,1),
IF(V361=regle!$C$11,regle!$C$23,
IF(V361=regle!$D$11,regle!$D$23,
IF(V361=regle!$E$11,regle!$E$23,
IF(V361=regle!$F$11,regle!$F$23,
IF(V361=regle!$G$11,regle!$G$23,
IF(V361=regle!$H$11,regle!$H$23,
IF(V361=regle!$I$11,regle!$I$23,
IF(V361=regle!$J$11,regle!$J$23,
IF(V361=regle!$K$11,regle!$K$23,0))))))))))))</f>
        <v>0</v>
      </c>
      <c r="AG361" s="17">
        <f>IF($A361,$J361*(IF(W361=regle!$B$11,regle!$B$23*IF(AP361=-2,1+regle!$B$35,1),
IF(W361=regle!$C$11,regle!$C$23,
IF(W361=regle!$D$11,regle!$D$23,
IF(W361=regle!$E$11,regle!$E$23,
IF(W361=regle!$F$11,regle!$F$23,
IF(W361=regle!$G$11,regle!$G$23,
IF(W361=regle!$H$11,regle!$H$23,
IF(W361=regle!$I$11,regle!$I$23,
IF(W361=regle!$J$11,regle!$J$23,
IF(W361=regle!$K$11,regle!$K$23,0))))))))))))</f>
        <v>6686.2400000000007</v>
      </c>
      <c r="AH361" s="17">
        <f>IF($A361,$J361*(IF(X361=regle!$B$11,regle!$B$23*IF(AQ361=-2,1+regle!$B$35,1),
IF(X361=regle!$C$11,regle!$C$23,
IF(X361=regle!$D$11,regle!$D$23,
IF(X361=regle!$E$11,regle!$E$23,
IF(X361=regle!$F$11,regle!$F$23,
IF(X361=regle!$G$11,regle!$G$23,
IF(X361=regle!$H$11,regle!$H$23,
IF(X361=regle!$I$11,regle!$I$23,
IF(X361=regle!$J$11,regle!$J$23,
IF(X361=regle!$K$11,regle!$K$23,0))))))))))))</f>
        <v>0</v>
      </c>
      <c r="AI361" s="17">
        <f>IF($A361,$J361*(IF(Y361=regle!$B$11,regle!$B$23*IF(AR361=-2,1+regle!$B$35,1),
IF(Y361=regle!$C$11,regle!$C$23,
IF(Y361=regle!$D$11,regle!$D$23,
IF(Y361=regle!$E$11,regle!$E$23,
IF(Y361=regle!$F$11,regle!$F$23,
IF(Y361=regle!$G$11,regle!$G$23,
IF(Y361=regle!$H$11,regle!$H$23,
IF(Y361=regle!$I$11,regle!$I$23,
IF(Y361=regle!$J$11,regle!$J$23,
IF(Y361=regle!$K$11,regle!$K$23,0))))))))))))</f>
        <v>0</v>
      </c>
      <c r="AJ361" s="17">
        <f>IF($A361,$J361*(IF(Z361=regle!$B$11,regle!$B$23*IF(AS361=-2,1+regle!$B$35,1),
IF(Z361=regle!$C$11,regle!$C$23,
IF(Z361=regle!$D$11,regle!$D$23,
IF(Z361=regle!$E$11,regle!$E$23,
IF(Z361=regle!$F$11,regle!$F$23,
IF(Z361=regle!$G$11,regle!$G$23,
IF(Z361=regle!$H$11,regle!$H$23,
IF(Z361=regle!$I$11,regle!$I$23,
IF(Z361=regle!$J$11,regle!$J$23,
IF(Z361=regle!$K$11,regle!$K$23,0))))))))))))</f>
        <v>-1291.6600000000001</v>
      </c>
      <c r="AK361" s="16">
        <f>IF(OR(Q361=regle!$J$11,Q361=regle!$K$11),-2,IF(Q361=regle!$B$11,0,IF(AK$1=$AK$1,IF($O361,-1,regle!$B$2-$M361),IF(AJ361=-1,-1,AJ361+1))))</f>
        <v>29</v>
      </c>
      <c r="AL361" s="16">
        <f>IF(OR(R361=regle!$J$11,R361=regle!$K$11),-2,IF(R361=regle!$B$11,0,IF(AL$1=$AK$1,IF($O361,-1,regle!$B$2-$M361),IF(AK361=-1,-1,AK361+1))))</f>
        <v>30</v>
      </c>
      <c r="AM361" s="16">
        <f>IF(OR(S361=regle!$J$11,S361=regle!$K$11),-2,IF(S361=regle!$B$11,0,IF(AM$1=$AK$1,IF($O361,-1,regle!$B$2-$M361),IF(AL361=-1,-1,AL361+1))))</f>
        <v>31</v>
      </c>
      <c r="AN361" s="16">
        <f>IF(OR(T361=regle!$J$11,T361=regle!$K$11),-2,IF(T361=regle!$B$11,0,IF(AN$1=$AK$1,IF($O361,-1,regle!$B$2-$M361),IF(AM361=-1,-1,AM361+1))))</f>
        <v>32</v>
      </c>
      <c r="AO361" s="16">
        <f>IF(OR(U361=regle!$J$11,U361=regle!$K$11),-2,IF(U361=regle!$B$11,0,IF(AO$1=$AK$1,IF($O361,-1,regle!$B$2-$M361),IF(AN361=-1,-1,AN361+1))))</f>
        <v>33</v>
      </c>
      <c r="AP361" s="16">
        <f>IF(OR(V361=regle!$J$11,V361=regle!$K$11),-2,IF(V361=regle!$B$11,0,IF(AP$1=$AK$1,IF($O361,-1,regle!$B$2-$M361),IF(AO361=-1,-1,AO361+1))))</f>
        <v>34</v>
      </c>
      <c r="AQ361" s="16">
        <f>IF(OR(W361=regle!$J$11,W361=regle!$K$11),-2,IF(W361=regle!$B$11,0,IF(AQ$1=$AK$1,IF($O361,-1,regle!$B$2-$M361),IF(AP361=-1,-1,AP361+1))))</f>
        <v>-2</v>
      </c>
      <c r="AR361" s="16">
        <f>IF(OR(X361=regle!$J$11,X361=regle!$K$11),-2,IF(X361=regle!$B$11,0,IF(AR$1=$AK$1,IF($O361,-1,regle!$B$2-$M361),IF(AQ361=-1,-1,AQ361+1))))</f>
        <v>-1</v>
      </c>
      <c r="AS361" s="16">
        <f>IF(OR(Y361=regle!$J$11,Y361=regle!$K$11),-2,IF(Y361=regle!$B$11,0,IF(AS$1=$AK$1,IF($O361,-1,regle!$B$2-$M361),IF(AR361=-1,-1,AR361+1))))</f>
        <v>-1</v>
      </c>
      <c r="AT361" s="16">
        <f>IF(OR(Z361=regle!$J$11,Z361=regle!$K$11),-2,IF(Z361=regle!$B$11,0,IF(AT$1=$AK$1,IF($O361,-1,regle!$B$2-$M361),IF(AS361=-1,-1,AS361+1))))</f>
        <v>0</v>
      </c>
    </row>
    <row r="362" spans="1:46" x14ac:dyDescent="0.25">
      <c r="A362" t="b">
        <f>modif1!A362</f>
        <v>1</v>
      </c>
      <c r="B362">
        <f>ROW(modif1!B362)</f>
        <v>362</v>
      </c>
      <c r="C362" t="str">
        <f>modif1!C365</f>
        <v>202</v>
      </c>
      <c r="D362" t="str">
        <f>modif1!D362</f>
        <v>LE TUZAN</v>
      </c>
      <c r="E362">
        <f>modif1!E362</f>
        <v>7</v>
      </c>
      <c r="F362" t="str">
        <f>modif1!F362</f>
        <v>CHOUSSE</v>
      </c>
      <c r="G362" t="str">
        <f>modif1!G362</f>
        <v>0A</v>
      </c>
      <c r="H362">
        <f>modif1!H362</f>
        <v>678</v>
      </c>
      <c r="I362" t="str">
        <f>modif1!I362</f>
        <v/>
      </c>
      <c r="J362" s="11">
        <f>modif1!J362</f>
        <v>0.59009999999999996</v>
      </c>
      <c r="K362" t="str">
        <f>modif1!K362</f>
        <v>SL</v>
      </c>
      <c r="L362" t="str">
        <f>modif1!L362</f>
        <v>PM</v>
      </c>
      <c r="M362">
        <f>modif1!M362</f>
        <v>1995</v>
      </c>
      <c r="N362" t="str">
        <f>modif1!N362</f>
        <v>SL-PM_1995</v>
      </c>
      <c r="O362" t="b">
        <f>modif1!O362</f>
        <v>0</v>
      </c>
      <c r="P362">
        <v>40</v>
      </c>
      <c r="W362" t="s">
        <v>63</v>
      </c>
      <c r="X362" t="s">
        <v>1868</v>
      </c>
      <c r="Z362" t="s">
        <v>1872</v>
      </c>
      <c r="AA362" s="17">
        <f>IF($A362,$J362*(IF(Q362=regle!$B$11,regle!$B$23*IF(AJ362=-2,1+regle!$B$35,1),
IF(Q362=regle!$C$11,regle!$C$23,
IF(Q362=regle!$D$11,regle!$D$23,
IF(Q362=regle!$E$11,regle!$E$23,
IF(Q362=regle!$F$11,regle!$F$23,
IF(Q362=regle!$G$11,regle!$G$23,
IF(Q362=regle!$H$11,regle!$H$23,
IF(Q362=regle!$I$11,regle!$I$23,
IF(Q362=regle!$J$11,regle!$J$23,
IF(Q362=regle!$K$11,regle!$K$23,0))))))))))))</f>
        <v>0</v>
      </c>
      <c r="AB362" s="17">
        <f>IF($A362,$J362*(IF(R362=regle!$B$11,regle!$B$23*IF(AK362=-2,1+regle!$B$35,1),
IF(R362=regle!$C$11,regle!$C$23,
IF(R362=regle!$D$11,regle!$D$23,
IF(R362=regle!$E$11,regle!$E$23,
IF(R362=regle!$F$11,regle!$F$23,
IF(R362=regle!$G$11,regle!$G$23,
IF(R362=regle!$H$11,regle!$H$23,
IF(R362=regle!$I$11,regle!$I$23,
IF(R362=regle!$J$11,regle!$J$23,
IF(R362=regle!$K$11,regle!$K$23,0))))))))))))</f>
        <v>0</v>
      </c>
      <c r="AC362" s="17">
        <f>IF($A362,$J362*(IF(S362=regle!$B$11,regle!$B$23*IF(AL362=-2,1+regle!$B$35,1),
IF(S362=regle!$C$11,regle!$C$23,
IF(S362=regle!$D$11,regle!$D$23,
IF(S362=regle!$E$11,regle!$E$23,
IF(S362=regle!$F$11,regle!$F$23,
IF(S362=regle!$G$11,regle!$G$23,
IF(S362=regle!$H$11,regle!$H$23,
IF(S362=regle!$I$11,regle!$I$23,
IF(S362=regle!$J$11,regle!$J$23,
IF(S362=regle!$K$11,regle!$K$23,0))))))))))))</f>
        <v>0</v>
      </c>
      <c r="AD362" s="17">
        <f>IF($A362,$J362*(IF(T362=regle!$B$11,regle!$B$23*IF(AM362=-2,1+regle!$B$35,1),
IF(T362=regle!$C$11,regle!$C$23,
IF(T362=regle!$D$11,regle!$D$23,
IF(T362=regle!$E$11,regle!$E$23,
IF(T362=regle!$F$11,regle!$F$23,
IF(T362=regle!$G$11,regle!$G$23,
IF(T362=regle!$H$11,regle!$H$23,
IF(T362=regle!$I$11,regle!$I$23,
IF(T362=regle!$J$11,regle!$J$23,
IF(T362=regle!$K$11,regle!$K$23,0))))))))))))</f>
        <v>0</v>
      </c>
      <c r="AE362" s="17">
        <f>IF($A362,$J362*(IF(U362=regle!$B$11,regle!$B$23*IF(AN362=-2,1+regle!$B$35,1),
IF(U362=regle!$C$11,regle!$C$23,
IF(U362=regle!$D$11,regle!$D$23,
IF(U362=regle!$E$11,regle!$E$23,
IF(U362=regle!$F$11,regle!$F$23,
IF(U362=regle!$G$11,regle!$G$23,
IF(U362=regle!$H$11,regle!$H$23,
IF(U362=regle!$I$11,regle!$I$23,
IF(U362=regle!$J$11,regle!$J$23,
IF(U362=regle!$K$11,regle!$K$23,0))))))))))))</f>
        <v>0</v>
      </c>
      <c r="AF362" s="17">
        <f>IF($A362,$J362*(IF(V362=regle!$B$11,regle!$B$23*IF(AO362=-2,1+regle!$B$35,1),
IF(V362=regle!$C$11,regle!$C$23,
IF(V362=regle!$D$11,regle!$D$23,
IF(V362=regle!$E$11,regle!$E$23,
IF(V362=regle!$F$11,regle!$F$23,
IF(V362=regle!$G$11,regle!$G$23,
IF(V362=regle!$H$11,regle!$H$23,
IF(V362=regle!$I$11,regle!$I$23,
IF(V362=regle!$J$11,regle!$J$23,
IF(V362=regle!$K$11,regle!$K$23,0))))))))))))</f>
        <v>0</v>
      </c>
      <c r="AG362" s="17">
        <f>IF($A362,$J362*(IF(W362=regle!$B$11,regle!$B$23*IF(AP362=-2,1+regle!$B$35,1),
IF(W362=regle!$C$11,regle!$C$23,
IF(W362=regle!$D$11,regle!$D$23,
IF(W362=regle!$E$11,regle!$E$23,
IF(W362=regle!$F$11,regle!$F$23,
IF(W362=regle!$G$11,regle!$G$23,
IF(W362=regle!$H$11,regle!$H$23,
IF(W362=regle!$I$11,regle!$I$23,
IF(W362=regle!$J$11,regle!$J$23,
IF(W362=regle!$K$11,regle!$K$23,0))))))))))))</f>
        <v>5192.8799999999992</v>
      </c>
      <c r="AH362" s="17">
        <f>IF($A362,$J362*(IF(X362=regle!$B$11,regle!$B$23*IF(AQ362=-2,1+regle!$B$35,1),
IF(X362=regle!$C$11,regle!$C$23,
IF(X362=regle!$D$11,regle!$D$23,
IF(X362=regle!$E$11,regle!$E$23,
IF(X362=regle!$F$11,regle!$F$23,
IF(X362=regle!$G$11,regle!$G$23,
IF(X362=regle!$H$11,regle!$H$23,
IF(X362=regle!$I$11,regle!$I$23,
IF(X362=regle!$J$11,regle!$J$23,
IF(X362=regle!$K$11,regle!$K$23,0))))))))))))</f>
        <v>-1103.4870000000001</v>
      </c>
      <c r="AI362" s="17">
        <f>IF($A362,$J362*(IF(Y362=regle!$B$11,regle!$B$23*IF(AR362=-2,1+regle!$B$35,1),
IF(Y362=regle!$C$11,regle!$C$23,
IF(Y362=regle!$D$11,regle!$D$23,
IF(Y362=regle!$E$11,regle!$E$23,
IF(Y362=regle!$F$11,regle!$F$23,
IF(Y362=regle!$G$11,regle!$G$23,
IF(Y362=regle!$H$11,regle!$H$23,
IF(Y362=regle!$I$11,regle!$I$23,
IF(Y362=regle!$J$11,regle!$J$23,
IF(Y362=regle!$K$11,regle!$K$23,0))))))))))))</f>
        <v>0</v>
      </c>
      <c r="AJ362" s="17">
        <f>IF($A362,$J362*(IF(Z362=regle!$B$11,regle!$B$23*IF(AS362=-2,1+regle!$B$35,1),
IF(Z362=regle!$C$11,regle!$C$23,
IF(Z362=regle!$D$11,regle!$D$23,
IF(Z362=regle!$E$11,regle!$E$23,
IF(Z362=regle!$F$11,regle!$F$23,
IF(Z362=regle!$G$11,regle!$G$23,
IF(Z362=regle!$H$11,regle!$H$23,
IF(Z362=regle!$I$11,regle!$I$23,
IF(Z362=regle!$J$11,regle!$J$23,
IF(Z362=regle!$K$11,regle!$K$23,0))))))))))))</f>
        <v>-44.2575</v>
      </c>
      <c r="AK362" s="16">
        <f>IF(OR(Q362=regle!$J$11,Q362=regle!$K$11),-2,IF(Q362=regle!$B$11,0,IF(AK$1=$AK$1,IF($O362,-1,regle!$B$2-$M362),IF(AJ362=-1,-1,AJ362+1))))</f>
        <v>29</v>
      </c>
      <c r="AL362" s="16">
        <f>IF(OR(R362=regle!$J$11,R362=regle!$K$11),-2,IF(R362=regle!$B$11,0,IF(AL$1=$AK$1,IF($O362,-1,regle!$B$2-$M362),IF(AK362=-1,-1,AK362+1))))</f>
        <v>30</v>
      </c>
      <c r="AM362" s="16">
        <f>IF(OR(S362=regle!$J$11,S362=regle!$K$11),-2,IF(S362=regle!$B$11,0,IF(AM$1=$AK$1,IF($O362,-1,regle!$B$2-$M362),IF(AL362=-1,-1,AL362+1))))</f>
        <v>31</v>
      </c>
      <c r="AN362" s="16">
        <f>IF(OR(T362=regle!$J$11,T362=regle!$K$11),-2,IF(T362=regle!$B$11,0,IF(AN$1=$AK$1,IF($O362,-1,regle!$B$2-$M362),IF(AM362=-1,-1,AM362+1))))</f>
        <v>32</v>
      </c>
      <c r="AO362" s="16">
        <f>IF(OR(U362=regle!$J$11,U362=regle!$K$11),-2,IF(U362=regle!$B$11,0,IF(AO$1=$AK$1,IF($O362,-1,regle!$B$2-$M362),IF(AN362=-1,-1,AN362+1))))</f>
        <v>33</v>
      </c>
      <c r="AP362" s="16">
        <f>IF(OR(V362=regle!$J$11,V362=regle!$K$11),-2,IF(V362=regle!$B$11,0,IF(AP$1=$AK$1,IF($O362,-1,regle!$B$2-$M362),IF(AO362=-1,-1,AO362+1))))</f>
        <v>34</v>
      </c>
      <c r="AQ362" s="16">
        <f>IF(OR(W362=regle!$J$11,W362=regle!$K$11),-2,IF(W362=regle!$B$11,0,IF(AQ$1=$AK$1,IF($O362,-1,regle!$B$2-$M362),IF(AP362=-1,-1,AP362+1))))</f>
        <v>-2</v>
      </c>
      <c r="AR362" s="16">
        <f>IF(OR(X362=regle!$J$11,X362=regle!$K$11),-2,IF(X362=regle!$B$11,0,IF(AR$1=$AK$1,IF($O362,-1,regle!$B$2-$M362),IF(AQ362=-1,-1,AQ362+1))))</f>
        <v>0</v>
      </c>
      <c r="AS362" s="16">
        <f>IF(OR(Y362=regle!$J$11,Y362=regle!$K$11),-2,IF(Y362=regle!$B$11,0,IF(AS$1=$AK$1,IF($O362,-1,regle!$B$2-$M362),IF(AR362=-1,-1,AR362+1))))</f>
        <v>1</v>
      </c>
      <c r="AT362" s="16">
        <f>IF(OR(Z362=regle!$J$11,Z362=regle!$K$11),-2,IF(Z362=regle!$B$11,0,IF(AT$1=$AK$1,IF($O362,-1,regle!$B$2-$M362),IF(AS362=-1,-1,AS362+1))))</f>
        <v>2</v>
      </c>
    </row>
    <row r="363" spans="1:46" x14ac:dyDescent="0.25">
      <c r="A363" t="b">
        <f>modif1!A363</f>
        <v>1</v>
      </c>
      <c r="B363">
        <f>ROW(modif1!B363)</f>
        <v>363</v>
      </c>
      <c r="C363" t="str">
        <f>modif1!C366</f>
        <v>202</v>
      </c>
      <c r="D363" t="str">
        <f>modif1!D363</f>
        <v>LE TUZAN</v>
      </c>
      <c r="E363">
        <f>modif1!E363</f>
        <v>7</v>
      </c>
      <c r="F363" t="str">
        <f>modif1!F363</f>
        <v>CHOUSSE</v>
      </c>
      <c r="G363" t="str">
        <f>modif1!G363</f>
        <v>0A</v>
      </c>
      <c r="H363">
        <f>modif1!H363</f>
        <v>700</v>
      </c>
      <c r="I363" t="str">
        <f>modif1!I363</f>
        <v>k</v>
      </c>
      <c r="J363" s="11">
        <f>modif1!J363</f>
        <v>8.5400000000000004E-2</v>
      </c>
      <c r="K363" t="str">
        <f>modif1!K363</f>
        <v>SN</v>
      </c>
      <c r="L363" t="str">
        <f>modif1!L363</f>
        <v>PM</v>
      </c>
      <c r="M363">
        <f>modif1!M363</f>
        <v>1990</v>
      </c>
      <c r="N363" t="str">
        <f>modif1!N363</f>
        <v>SN-PM_1990</v>
      </c>
      <c r="O363" t="b">
        <f>modif1!O363</f>
        <v>0</v>
      </c>
      <c r="P363">
        <v>40</v>
      </c>
      <c r="R363" t="s">
        <v>63</v>
      </c>
      <c r="S363" s="22"/>
      <c r="T363" s="22"/>
      <c r="U363" t="s">
        <v>1868</v>
      </c>
      <c r="W363" t="s">
        <v>1872</v>
      </c>
      <c r="Y363" s="22"/>
      <c r="Z363" t="s">
        <v>1870</v>
      </c>
      <c r="AA363" s="17">
        <f>IF($A363,$J363*(IF(Q363=regle!$B$11,regle!$B$23*IF(AJ363=-2,1+regle!$B$35,1),
IF(Q363=regle!$C$11,regle!$C$23,
IF(Q363=regle!$D$11,regle!$D$23,
IF(Q363=regle!$E$11,regle!$E$23,
IF(Q363=regle!$F$11,regle!$F$23,
IF(Q363=regle!$G$11,regle!$G$23,
IF(Q363=regle!$H$11,regle!$H$23,
IF(Q363=regle!$I$11,regle!$I$23,
IF(Q363=regle!$J$11,regle!$J$23,
IF(Q363=regle!$K$11,regle!$K$23,0))))))))))))</f>
        <v>0</v>
      </c>
      <c r="AB363" s="17">
        <f>IF($A363,$J363*(IF(R363=regle!$B$11,regle!$B$23*IF(AK363=-2,1+regle!$B$35,1),
IF(R363=regle!$C$11,regle!$C$23,
IF(R363=regle!$D$11,regle!$D$23,
IF(R363=regle!$E$11,regle!$E$23,
IF(R363=regle!$F$11,regle!$F$23,
IF(R363=regle!$G$11,regle!$G$23,
IF(R363=regle!$H$11,regle!$H$23,
IF(R363=regle!$I$11,regle!$I$23,
IF(R363=regle!$J$11,regle!$J$23,
IF(R363=regle!$K$11,regle!$K$23,0))))))))))))</f>
        <v>751.52</v>
      </c>
      <c r="AC363" s="17">
        <f>IF($A363,$J363*(IF(S363=regle!$B$11,regle!$B$23*IF(AL363=-2,1+regle!$B$35,1),
IF(S363=regle!$C$11,regle!$C$23,
IF(S363=regle!$D$11,regle!$D$23,
IF(S363=regle!$E$11,regle!$E$23,
IF(S363=regle!$F$11,regle!$F$23,
IF(S363=regle!$G$11,regle!$G$23,
IF(S363=regle!$H$11,regle!$H$23,
IF(S363=regle!$I$11,regle!$I$23,
IF(S363=regle!$J$11,regle!$J$23,
IF(S363=regle!$K$11,regle!$K$23,0))))))))))))</f>
        <v>0</v>
      </c>
      <c r="AD363" s="17">
        <f>IF($A363,$J363*(IF(T363=regle!$B$11,regle!$B$23*IF(AM363=-2,1+regle!$B$35,1),
IF(T363=regle!$C$11,regle!$C$23,
IF(T363=regle!$D$11,regle!$D$23,
IF(T363=regle!$E$11,regle!$E$23,
IF(T363=regle!$F$11,regle!$F$23,
IF(T363=regle!$G$11,regle!$G$23,
IF(T363=regle!$H$11,regle!$H$23,
IF(T363=regle!$I$11,regle!$I$23,
IF(T363=regle!$J$11,regle!$J$23,
IF(T363=regle!$K$11,regle!$K$23,0))))))))))))</f>
        <v>0</v>
      </c>
      <c r="AE363" s="17">
        <f>IF($A363,$J363*(IF(U363=regle!$B$11,regle!$B$23*IF(AN363=-2,1+regle!$B$35,1),
IF(U363=regle!$C$11,regle!$C$23,
IF(U363=regle!$D$11,regle!$D$23,
IF(U363=regle!$E$11,regle!$E$23,
IF(U363=regle!$F$11,regle!$F$23,
IF(U363=regle!$G$11,regle!$G$23,
IF(U363=regle!$H$11,regle!$H$23,
IF(U363=regle!$I$11,regle!$I$23,
IF(U363=regle!$J$11,regle!$J$23,
IF(U363=regle!$K$11,regle!$K$23,0))))))))))))</f>
        <v>-145.18</v>
      </c>
      <c r="AF363" s="17">
        <f>IF($A363,$J363*(IF(V363=regle!$B$11,regle!$B$23*IF(AO363=-2,1+regle!$B$35,1),
IF(V363=regle!$C$11,regle!$C$23,
IF(V363=regle!$D$11,regle!$D$23,
IF(V363=regle!$E$11,regle!$E$23,
IF(V363=regle!$F$11,regle!$F$23,
IF(V363=regle!$G$11,regle!$G$23,
IF(V363=regle!$H$11,regle!$H$23,
IF(V363=regle!$I$11,regle!$I$23,
IF(V363=regle!$J$11,regle!$J$23,
IF(V363=regle!$K$11,regle!$K$23,0))))))))))))</f>
        <v>0</v>
      </c>
      <c r="AG363" s="17">
        <f>IF($A363,$J363*(IF(W363=regle!$B$11,regle!$B$23*IF(AP363=-2,1+regle!$B$35,1),
IF(W363=regle!$C$11,regle!$C$23,
IF(W363=regle!$D$11,regle!$D$23,
IF(W363=regle!$E$11,regle!$E$23,
IF(W363=regle!$F$11,regle!$F$23,
IF(W363=regle!$G$11,regle!$G$23,
IF(W363=regle!$H$11,regle!$H$23,
IF(W363=regle!$I$11,regle!$I$23,
IF(W363=regle!$J$11,regle!$J$23,
IF(W363=regle!$K$11,regle!$K$23,0))))))))))))</f>
        <v>-6.4050000000000002</v>
      </c>
      <c r="AH363" s="17">
        <f>IF($A363,$J363*(IF(X363=regle!$B$11,regle!$B$23*IF(AQ363=-2,1+regle!$B$35,1),
IF(X363=regle!$C$11,regle!$C$23,
IF(X363=regle!$D$11,regle!$D$23,
IF(X363=regle!$E$11,regle!$E$23,
IF(X363=regle!$F$11,regle!$F$23,
IF(X363=regle!$G$11,regle!$G$23,
IF(X363=regle!$H$11,regle!$H$23,
IF(X363=regle!$I$11,regle!$I$23,
IF(X363=regle!$J$11,regle!$J$23,
IF(X363=regle!$K$11,regle!$K$23,0))))))))))))</f>
        <v>0</v>
      </c>
      <c r="AI363" s="17">
        <f>IF($A363,$J363*(IF(Y363=regle!$B$11,regle!$B$23*IF(AR363=-2,1+regle!$B$35,1),
IF(Y363=regle!$C$11,regle!$C$23,
IF(Y363=regle!$D$11,regle!$D$23,
IF(Y363=regle!$E$11,regle!$E$23,
IF(Y363=regle!$F$11,regle!$F$23,
IF(Y363=regle!$G$11,regle!$G$23,
IF(Y363=regle!$H$11,regle!$H$23,
IF(Y363=regle!$I$11,regle!$I$23,
IF(Y363=regle!$J$11,regle!$J$23,
IF(Y363=regle!$K$11,regle!$K$23,0))))))))))))</f>
        <v>0</v>
      </c>
      <c r="AJ363" s="17">
        <f>IF($A363,$J363*(IF(Z363=regle!$B$11,regle!$B$23*IF(AS363=-2,1+regle!$B$35,1),
IF(Z363=regle!$C$11,regle!$C$23,
IF(Z363=regle!$D$11,regle!$D$23,
IF(Z363=regle!$E$11,regle!$E$23,
IF(Z363=regle!$F$11,regle!$F$23,
IF(Z363=regle!$G$11,regle!$G$23,
IF(Z363=regle!$H$11,regle!$H$23,
IF(Z363=regle!$I$11,regle!$I$23,
IF(Z363=regle!$J$11,regle!$J$23,
IF(Z363=regle!$K$11,regle!$K$23,0))))))))))))</f>
        <v>-7.6859999999999999</v>
      </c>
      <c r="AK363" s="16">
        <f>IF(OR(Q363=regle!$J$11,Q363=regle!$K$11),-2,IF(Q363=regle!$B$11,0,IF(AK$1=$AK$1,IF($O363,-1,regle!$B$2-$M363),IF(AJ363=-1,-1,AJ363+1))))</f>
        <v>34</v>
      </c>
      <c r="AL363" s="16">
        <f>IF(OR(R363=regle!$J$11,R363=regle!$K$11),-2,IF(R363=regle!$B$11,0,IF(AL$1=$AK$1,IF($O363,-1,regle!$B$2-$M363),IF(AK363=-1,-1,AK363+1))))</f>
        <v>-2</v>
      </c>
      <c r="AM363" s="16">
        <f>IF(OR(S363=regle!$J$11,S363=regle!$K$11),-2,IF(S363=regle!$B$11,0,IF(AM$1=$AK$1,IF($O363,-1,regle!$B$2-$M363),IF(AL363=-1,-1,AL363+1))))</f>
        <v>-1</v>
      </c>
      <c r="AN363" s="16">
        <f>IF(OR(T363=regle!$J$11,T363=regle!$K$11),-2,IF(T363=regle!$B$11,0,IF(AN$1=$AK$1,IF($O363,-1,regle!$B$2-$M363),IF(AM363=-1,-1,AM363+1))))</f>
        <v>-1</v>
      </c>
      <c r="AO363" s="16">
        <f>IF(OR(U363=regle!$J$11,U363=regle!$K$11),-2,IF(U363=regle!$B$11,0,IF(AO$1=$AK$1,IF($O363,-1,regle!$B$2-$M363),IF(AN363=-1,-1,AN363+1))))</f>
        <v>0</v>
      </c>
      <c r="AP363" s="16">
        <f>IF(OR(V363=regle!$J$11,V363=regle!$K$11),-2,IF(V363=regle!$B$11,0,IF(AP$1=$AK$1,IF($O363,-1,regle!$B$2-$M363),IF(AO363=-1,-1,AO363+1))))</f>
        <v>1</v>
      </c>
      <c r="AQ363" s="16">
        <f>IF(OR(W363=regle!$J$11,W363=regle!$K$11),-2,IF(W363=regle!$B$11,0,IF(AQ$1=$AK$1,IF($O363,-1,regle!$B$2-$M363),IF(AP363=-1,-1,AP363+1))))</f>
        <v>2</v>
      </c>
      <c r="AR363" s="16">
        <f>IF(OR(X363=regle!$J$11,X363=regle!$K$11),-2,IF(X363=regle!$B$11,0,IF(AR$1=$AK$1,IF($O363,-1,regle!$B$2-$M363),IF(AQ363=-1,-1,AQ363+1))))</f>
        <v>3</v>
      </c>
      <c r="AS363" s="16">
        <f>IF(OR(Y363=regle!$J$11,Y363=regle!$K$11),-2,IF(Y363=regle!$B$11,0,IF(AS$1=$AK$1,IF($O363,-1,regle!$B$2-$M363),IF(AR363=-1,-1,AR363+1))))</f>
        <v>4</v>
      </c>
      <c r="AT363" s="16">
        <f>IF(OR(Z363=regle!$J$11,Z363=regle!$K$11),-2,IF(Z363=regle!$B$11,0,IF(AT$1=$AK$1,IF($O363,-1,regle!$B$2-$M363),IF(AS363=-1,-1,AS363+1))))</f>
        <v>5</v>
      </c>
    </row>
    <row r="364" spans="1:46" x14ac:dyDescent="0.25">
      <c r="A364" t="b">
        <f>modif1!A364</f>
        <v>1</v>
      </c>
      <c r="B364">
        <f>ROW(modif1!B364)</f>
        <v>364</v>
      </c>
      <c r="C364" t="str">
        <f>modif1!C367</f>
        <v>202</v>
      </c>
      <c r="D364" t="str">
        <f>modif1!D364</f>
        <v>LE TUZAN</v>
      </c>
      <c r="E364">
        <f>modif1!E364</f>
        <v>21</v>
      </c>
      <c r="F364" t="str">
        <f>modif1!F364</f>
        <v>METAIRIES DE TABARTON</v>
      </c>
      <c r="G364" t="str">
        <f>modif1!G364</f>
        <v>0A</v>
      </c>
      <c r="H364">
        <f>modif1!H364</f>
        <v>523</v>
      </c>
      <c r="I364" t="str">
        <f>modif1!I364</f>
        <v>c</v>
      </c>
      <c r="J364" s="11">
        <f>modif1!J364</f>
        <v>3.2961</v>
      </c>
      <c r="K364" t="str">
        <f>modif1!K364</f>
        <v>SL</v>
      </c>
      <c r="L364" t="str">
        <f>modif1!L364</f>
        <v>PM</v>
      </c>
      <c r="M364">
        <f>modif1!M364</f>
        <v>1988</v>
      </c>
      <c r="N364" t="str">
        <f>modif1!N364</f>
        <v>SL-PM_1988</v>
      </c>
      <c r="O364" t="b">
        <f>modif1!O364</f>
        <v>0</v>
      </c>
      <c r="P364">
        <v>40</v>
      </c>
      <c r="R364" t="s">
        <v>63</v>
      </c>
      <c r="S364" t="s">
        <v>1868</v>
      </c>
      <c r="U364" t="s">
        <v>1872</v>
      </c>
      <c r="W364" t="s">
        <v>1870</v>
      </c>
      <c r="Z364" t="s">
        <v>1871</v>
      </c>
      <c r="AA364" s="17">
        <f>IF($A364,$J364*(IF(Q364=regle!$B$11,regle!$B$23*IF(AJ364=-2,1+regle!$B$35,1),
IF(Q364=regle!$C$11,regle!$C$23,
IF(Q364=regle!$D$11,regle!$D$23,
IF(Q364=regle!$E$11,regle!$E$23,
IF(Q364=regle!$F$11,regle!$F$23,
IF(Q364=regle!$G$11,regle!$G$23,
IF(Q364=regle!$H$11,regle!$H$23,
IF(Q364=regle!$I$11,regle!$I$23,
IF(Q364=regle!$J$11,regle!$J$23,
IF(Q364=regle!$K$11,regle!$K$23,0))))))))))))</f>
        <v>0</v>
      </c>
      <c r="AB364" s="17">
        <f>IF($A364,$J364*(IF(R364=regle!$B$11,regle!$B$23*IF(AK364=-2,1+regle!$B$35,1),
IF(R364=regle!$C$11,regle!$C$23,
IF(R364=regle!$D$11,regle!$D$23,
IF(R364=regle!$E$11,regle!$E$23,
IF(R364=regle!$F$11,regle!$F$23,
IF(R364=regle!$G$11,regle!$G$23,
IF(R364=regle!$H$11,regle!$H$23,
IF(R364=regle!$I$11,regle!$I$23,
IF(R364=regle!$J$11,regle!$J$23,
IF(R364=regle!$K$11,regle!$K$23,0))))))))))))</f>
        <v>29005.68</v>
      </c>
      <c r="AC364" s="17">
        <f>IF($A364,$J364*(IF(S364=regle!$B$11,regle!$B$23*IF(AL364=-2,1+regle!$B$35,1),
IF(S364=regle!$C$11,regle!$C$23,
IF(S364=regle!$D$11,regle!$D$23,
IF(S364=regle!$E$11,regle!$E$23,
IF(S364=regle!$F$11,regle!$F$23,
IF(S364=regle!$G$11,regle!$G$23,
IF(S364=regle!$H$11,regle!$H$23,
IF(S364=regle!$I$11,regle!$I$23,
IF(S364=regle!$J$11,regle!$J$23,
IF(S364=regle!$K$11,regle!$K$23,0))))))))))))</f>
        <v>-6163.7070000000012</v>
      </c>
      <c r="AD364" s="17">
        <f>IF($A364,$J364*(IF(T364=regle!$B$11,regle!$B$23*IF(AM364=-2,1+regle!$B$35,1),
IF(T364=regle!$C$11,regle!$C$23,
IF(T364=regle!$D$11,regle!$D$23,
IF(T364=regle!$E$11,regle!$E$23,
IF(T364=regle!$F$11,regle!$F$23,
IF(T364=regle!$G$11,regle!$G$23,
IF(T364=regle!$H$11,regle!$H$23,
IF(T364=regle!$I$11,regle!$I$23,
IF(T364=regle!$J$11,regle!$J$23,
IF(T364=regle!$K$11,regle!$K$23,0))))))))))))</f>
        <v>0</v>
      </c>
      <c r="AE364" s="17">
        <f>IF($A364,$J364*(IF(U364=regle!$B$11,regle!$B$23*IF(AN364=-2,1+regle!$B$35,1),
IF(U364=regle!$C$11,regle!$C$23,
IF(U364=regle!$D$11,regle!$D$23,
IF(U364=regle!$E$11,regle!$E$23,
IF(U364=regle!$F$11,regle!$F$23,
IF(U364=regle!$G$11,regle!$G$23,
IF(U364=regle!$H$11,regle!$H$23,
IF(U364=regle!$I$11,regle!$I$23,
IF(U364=regle!$J$11,regle!$J$23,
IF(U364=regle!$K$11,regle!$K$23,0))))))))))))</f>
        <v>-247.20750000000001</v>
      </c>
      <c r="AF364" s="17">
        <f>IF($A364,$J364*(IF(V364=regle!$B$11,regle!$B$23*IF(AO364=-2,1+regle!$B$35,1),
IF(V364=regle!$C$11,regle!$C$23,
IF(V364=regle!$D$11,regle!$D$23,
IF(V364=regle!$E$11,regle!$E$23,
IF(V364=regle!$F$11,regle!$F$23,
IF(V364=regle!$G$11,regle!$G$23,
IF(V364=regle!$H$11,regle!$H$23,
IF(V364=regle!$I$11,regle!$I$23,
IF(V364=regle!$J$11,regle!$J$23,
IF(V364=regle!$K$11,regle!$K$23,0))))))))))))</f>
        <v>0</v>
      </c>
      <c r="AG364" s="17">
        <f>IF($A364,$J364*(IF(W364=regle!$B$11,regle!$B$23*IF(AP364=-2,1+regle!$B$35,1),
IF(W364=regle!$C$11,regle!$C$23,
IF(W364=regle!$D$11,regle!$D$23,
IF(W364=regle!$E$11,regle!$E$23,
IF(W364=regle!$F$11,regle!$F$23,
IF(W364=regle!$G$11,regle!$G$23,
IF(W364=regle!$H$11,regle!$H$23,
IF(W364=regle!$I$11,regle!$I$23,
IF(W364=regle!$J$11,regle!$J$23,
IF(W364=regle!$K$11,regle!$K$23,0))))))))))))</f>
        <v>-296.649</v>
      </c>
      <c r="AH364" s="17">
        <f>IF($A364,$J364*(IF(X364=regle!$B$11,regle!$B$23*IF(AQ364=-2,1+regle!$B$35,1),
IF(X364=regle!$C$11,regle!$C$23,
IF(X364=regle!$D$11,regle!$D$23,
IF(X364=regle!$E$11,regle!$E$23,
IF(X364=regle!$F$11,regle!$F$23,
IF(X364=regle!$G$11,regle!$G$23,
IF(X364=regle!$H$11,regle!$H$23,
IF(X364=regle!$I$11,regle!$I$23,
IF(X364=regle!$J$11,regle!$J$23,
IF(X364=regle!$K$11,regle!$K$23,0))))))))))))</f>
        <v>0</v>
      </c>
      <c r="AI364" s="17">
        <f>IF($A364,$J364*(IF(Y364=regle!$B$11,regle!$B$23*IF(AR364=-2,1+regle!$B$35,1),
IF(Y364=regle!$C$11,regle!$C$23,
IF(Y364=regle!$D$11,regle!$D$23,
IF(Y364=regle!$E$11,regle!$E$23,
IF(Y364=regle!$F$11,regle!$F$23,
IF(Y364=regle!$G$11,regle!$G$23,
IF(Y364=regle!$H$11,regle!$H$23,
IF(Y364=regle!$I$11,regle!$I$23,
IF(Y364=regle!$J$11,regle!$J$23,
IF(Y364=regle!$K$11,regle!$K$23,0))))))))))))</f>
        <v>0</v>
      </c>
      <c r="AJ364" s="17">
        <f>IF($A364,$J364*(IF(Z364=regle!$B$11,regle!$B$23*IF(AS364=-2,1+regle!$B$35,1),
IF(Z364=regle!$C$11,regle!$C$23,
IF(Z364=regle!$D$11,regle!$D$23,
IF(Z364=regle!$E$11,regle!$E$23,
IF(Z364=regle!$F$11,regle!$F$23,
IF(Z364=regle!$G$11,regle!$G$23,
IF(Z364=regle!$H$11,regle!$H$23,
IF(Z364=regle!$I$11,regle!$I$23,
IF(Z364=regle!$J$11,regle!$J$23,
IF(Z364=regle!$K$11,regle!$K$23,0))))))))))))</f>
        <v>-296.649</v>
      </c>
      <c r="AK364" s="16">
        <f>IF(OR(Q364=regle!$J$11,Q364=regle!$K$11),-2,IF(Q364=regle!$B$11,0,IF(AK$1=$AK$1,IF($O364,-1,regle!$B$2-$M364),IF(AJ364=-1,-1,AJ364+1))))</f>
        <v>36</v>
      </c>
      <c r="AL364" s="16">
        <f>IF(OR(R364=regle!$J$11,R364=regle!$K$11),-2,IF(R364=regle!$B$11,0,IF(AL$1=$AK$1,IF($O364,-1,regle!$B$2-$M364),IF(AK364=-1,-1,AK364+1))))</f>
        <v>-2</v>
      </c>
      <c r="AM364" s="16">
        <f>IF(OR(S364=regle!$J$11,S364=regle!$K$11),-2,IF(S364=regle!$B$11,0,IF(AM$1=$AK$1,IF($O364,-1,regle!$B$2-$M364),IF(AL364=-1,-1,AL364+1))))</f>
        <v>0</v>
      </c>
      <c r="AN364" s="16">
        <f>IF(OR(T364=regle!$J$11,T364=regle!$K$11),-2,IF(T364=regle!$B$11,0,IF(AN$1=$AK$1,IF($O364,-1,regle!$B$2-$M364),IF(AM364=-1,-1,AM364+1))))</f>
        <v>1</v>
      </c>
      <c r="AO364" s="16">
        <f>IF(OR(U364=regle!$J$11,U364=regle!$K$11),-2,IF(U364=regle!$B$11,0,IF(AO$1=$AK$1,IF($O364,-1,regle!$B$2-$M364),IF(AN364=-1,-1,AN364+1))))</f>
        <v>2</v>
      </c>
      <c r="AP364" s="16">
        <f>IF(OR(V364=regle!$J$11,V364=regle!$K$11),-2,IF(V364=regle!$B$11,0,IF(AP$1=$AK$1,IF($O364,-1,regle!$B$2-$M364),IF(AO364=-1,-1,AO364+1))))</f>
        <v>3</v>
      </c>
      <c r="AQ364" s="16">
        <f>IF(OR(W364=regle!$J$11,W364=regle!$K$11),-2,IF(W364=regle!$B$11,0,IF(AQ$1=$AK$1,IF($O364,-1,regle!$B$2-$M364),IF(AP364=-1,-1,AP364+1))))</f>
        <v>4</v>
      </c>
      <c r="AR364" s="16">
        <f>IF(OR(X364=regle!$J$11,X364=regle!$K$11),-2,IF(X364=regle!$B$11,0,IF(AR$1=$AK$1,IF($O364,-1,regle!$B$2-$M364),IF(AQ364=-1,-1,AQ364+1))))</f>
        <v>5</v>
      </c>
      <c r="AS364" s="16">
        <f>IF(OR(Y364=regle!$J$11,Y364=regle!$K$11),-2,IF(Y364=regle!$B$11,0,IF(AS$1=$AK$1,IF($O364,-1,regle!$B$2-$M364),IF(AR364=-1,-1,AR364+1))))</f>
        <v>6</v>
      </c>
      <c r="AT364" s="16">
        <f>IF(OR(Z364=regle!$J$11,Z364=regle!$K$11),-2,IF(Z364=regle!$B$11,0,IF(AT$1=$AK$1,IF($O364,-1,regle!$B$2-$M364),IF(AS364=-1,-1,AS364+1))))</f>
        <v>7</v>
      </c>
    </row>
    <row r="365" spans="1:46" x14ac:dyDescent="0.25">
      <c r="A365" t="b">
        <f>modif1!A365</f>
        <v>1</v>
      </c>
      <c r="B365">
        <f>ROW(modif1!B365)</f>
        <v>365</v>
      </c>
      <c r="C365" t="str">
        <f>modif1!C368</f>
        <v>202</v>
      </c>
      <c r="D365" t="str">
        <f>modif1!D365</f>
        <v>HOSTENS</v>
      </c>
      <c r="E365">
        <f>modif1!E365</f>
        <v>13</v>
      </c>
      <c r="F365" t="str">
        <f>modif1!F365</f>
        <v>LA BROUSTETTE</v>
      </c>
      <c r="G365" t="str">
        <f>modif1!G365</f>
        <v>0B</v>
      </c>
      <c r="H365">
        <f>modif1!H365</f>
        <v>1249</v>
      </c>
      <c r="I365" t="str">
        <f>modif1!I365</f>
        <v>l</v>
      </c>
      <c r="J365" s="11">
        <f>modif1!J365</f>
        <v>7.8768000000000002</v>
      </c>
      <c r="K365" t="str">
        <f>modif1!K365</f>
        <v>SL</v>
      </c>
      <c r="L365" t="str">
        <f>modif1!L365</f>
        <v>PM</v>
      </c>
      <c r="M365">
        <f>modif1!M365</f>
        <v>1987</v>
      </c>
      <c r="N365" t="str">
        <f>modif1!N365</f>
        <v>SL-PM_1987</v>
      </c>
      <c r="O365" t="b">
        <f>modif1!O365</f>
        <v>0</v>
      </c>
      <c r="P365">
        <v>40</v>
      </c>
      <c r="R365" t="s">
        <v>63</v>
      </c>
      <c r="S365" t="s">
        <v>1868</v>
      </c>
      <c r="U365" t="s">
        <v>1872</v>
      </c>
      <c r="W365" t="s">
        <v>1870</v>
      </c>
      <c r="Z365" t="s">
        <v>1871</v>
      </c>
      <c r="AA365" s="17">
        <f>IF($A365,$J365*(IF(Q365=regle!$B$11,regle!$B$23*IF(AJ365=-2,1+regle!$B$35,1),
IF(Q365=regle!$C$11,regle!$C$23,
IF(Q365=regle!$D$11,regle!$D$23,
IF(Q365=regle!$E$11,regle!$E$23,
IF(Q365=regle!$F$11,regle!$F$23,
IF(Q365=regle!$G$11,regle!$G$23,
IF(Q365=regle!$H$11,regle!$H$23,
IF(Q365=regle!$I$11,regle!$I$23,
IF(Q365=regle!$J$11,regle!$J$23,
IF(Q365=regle!$K$11,regle!$K$23,0))))))))))))</f>
        <v>0</v>
      </c>
      <c r="AB365" s="17">
        <f>IF($A365,$J365*(IF(R365=regle!$B$11,regle!$B$23*IF(AK365=-2,1+regle!$B$35,1),
IF(R365=regle!$C$11,regle!$C$23,
IF(R365=regle!$D$11,regle!$D$23,
IF(R365=regle!$E$11,regle!$E$23,
IF(R365=regle!$F$11,regle!$F$23,
IF(R365=regle!$G$11,regle!$G$23,
IF(R365=regle!$H$11,regle!$H$23,
IF(R365=regle!$I$11,regle!$I$23,
IF(R365=regle!$J$11,regle!$J$23,
IF(R365=regle!$K$11,regle!$K$23,0))))))))))))</f>
        <v>69315.839999999997</v>
      </c>
      <c r="AC365" s="17">
        <f>IF($A365,$J365*(IF(S365=regle!$B$11,regle!$B$23*IF(AL365=-2,1+regle!$B$35,1),
IF(S365=regle!$C$11,regle!$C$23,
IF(S365=regle!$D$11,regle!$D$23,
IF(S365=regle!$E$11,regle!$E$23,
IF(S365=regle!$F$11,regle!$F$23,
IF(S365=regle!$G$11,regle!$G$23,
IF(S365=regle!$H$11,regle!$H$23,
IF(S365=regle!$I$11,regle!$I$23,
IF(S365=regle!$J$11,regle!$J$23,
IF(S365=regle!$K$11,regle!$K$23,0))))))))))))</f>
        <v>-14729.616000000002</v>
      </c>
      <c r="AD365" s="17">
        <f>IF($A365,$J365*(IF(T365=regle!$B$11,regle!$B$23*IF(AM365=-2,1+regle!$B$35,1),
IF(T365=regle!$C$11,regle!$C$23,
IF(T365=regle!$D$11,regle!$D$23,
IF(T365=regle!$E$11,regle!$E$23,
IF(T365=regle!$F$11,regle!$F$23,
IF(T365=regle!$G$11,regle!$G$23,
IF(T365=regle!$H$11,regle!$H$23,
IF(T365=regle!$I$11,regle!$I$23,
IF(T365=regle!$J$11,regle!$J$23,
IF(T365=regle!$K$11,regle!$K$23,0))))))))))))</f>
        <v>0</v>
      </c>
      <c r="AE365" s="17">
        <f>IF($A365,$J365*(IF(U365=regle!$B$11,regle!$B$23*IF(AN365=-2,1+regle!$B$35,1),
IF(U365=regle!$C$11,regle!$C$23,
IF(U365=regle!$D$11,regle!$D$23,
IF(U365=regle!$E$11,regle!$E$23,
IF(U365=regle!$F$11,regle!$F$23,
IF(U365=regle!$G$11,regle!$G$23,
IF(U365=regle!$H$11,regle!$H$23,
IF(U365=regle!$I$11,regle!$I$23,
IF(U365=regle!$J$11,regle!$J$23,
IF(U365=regle!$K$11,regle!$K$23,0))))))))))))</f>
        <v>-590.76</v>
      </c>
      <c r="AF365" s="17">
        <f>IF($A365,$J365*(IF(V365=regle!$B$11,regle!$B$23*IF(AO365=-2,1+regle!$B$35,1),
IF(V365=regle!$C$11,regle!$C$23,
IF(V365=regle!$D$11,regle!$D$23,
IF(V365=regle!$E$11,regle!$E$23,
IF(V365=regle!$F$11,regle!$F$23,
IF(V365=regle!$G$11,regle!$G$23,
IF(V365=regle!$H$11,regle!$H$23,
IF(V365=regle!$I$11,regle!$I$23,
IF(V365=regle!$J$11,regle!$J$23,
IF(V365=regle!$K$11,regle!$K$23,0))))))))))))</f>
        <v>0</v>
      </c>
      <c r="AG365" s="17">
        <f>IF($A365,$J365*(IF(W365=regle!$B$11,regle!$B$23*IF(AP365=-2,1+regle!$B$35,1),
IF(W365=regle!$C$11,regle!$C$23,
IF(W365=regle!$D$11,regle!$D$23,
IF(W365=regle!$E$11,regle!$E$23,
IF(W365=regle!$F$11,regle!$F$23,
IF(W365=regle!$G$11,regle!$G$23,
IF(W365=regle!$H$11,regle!$H$23,
IF(W365=regle!$I$11,regle!$I$23,
IF(W365=regle!$J$11,regle!$J$23,
IF(W365=regle!$K$11,regle!$K$23,0))))))))))))</f>
        <v>-708.91200000000003</v>
      </c>
      <c r="AH365" s="17">
        <f>IF($A365,$J365*(IF(X365=regle!$B$11,regle!$B$23*IF(AQ365=-2,1+regle!$B$35,1),
IF(X365=regle!$C$11,regle!$C$23,
IF(X365=regle!$D$11,regle!$D$23,
IF(X365=regle!$E$11,regle!$E$23,
IF(X365=regle!$F$11,regle!$F$23,
IF(X365=regle!$G$11,regle!$G$23,
IF(X365=regle!$H$11,regle!$H$23,
IF(X365=regle!$I$11,regle!$I$23,
IF(X365=regle!$J$11,regle!$J$23,
IF(X365=regle!$K$11,regle!$K$23,0))))))))))))</f>
        <v>0</v>
      </c>
      <c r="AI365" s="17">
        <f>IF($A365,$J365*(IF(Y365=regle!$B$11,regle!$B$23*IF(AR365=-2,1+regle!$B$35,1),
IF(Y365=regle!$C$11,regle!$C$23,
IF(Y365=regle!$D$11,regle!$D$23,
IF(Y365=regle!$E$11,regle!$E$23,
IF(Y365=regle!$F$11,regle!$F$23,
IF(Y365=regle!$G$11,regle!$G$23,
IF(Y365=regle!$H$11,regle!$H$23,
IF(Y365=regle!$I$11,regle!$I$23,
IF(Y365=regle!$J$11,regle!$J$23,
IF(Y365=regle!$K$11,regle!$K$23,0))))))))))))</f>
        <v>0</v>
      </c>
      <c r="AJ365" s="17">
        <f>IF($A365,$J365*(IF(Z365=regle!$B$11,regle!$B$23*IF(AS365=-2,1+regle!$B$35,1),
IF(Z365=regle!$C$11,regle!$C$23,
IF(Z365=regle!$D$11,regle!$D$23,
IF(Z365=regle!$E$11,regle!$E$23,
IF(Z365=regle!$F$11,regle!$F$23,
IF(Z365=regle!$G$11,regle!$G$23,
IF(Z365=regle!$H$11,regle!$H$23,
IF(Z365=regle!$I$11,regle!$I$23,
IF(Z365=regle!$J$11,regle!$J$23,
IF(Z365=regle!$K$11,regle!$K$23,0))))))))))))</f>
        <v>-708.91200000000003</v>
      </c>
      <c r="AK365" s="16">
        <f>IF(OR(Q365=regle!$J$11,Q365=regle!$K$11),-2,IF(Q365=regle!$B$11,0,IF(AK$1=$AK$1,IF($O365,-1,regle!$B$2-$M365),IF(AJ365=-1,-1,AJ365+1))))</f>
        <v>37</v>
      </c>
      <c r="AL365" s="16">
        <f>IF(OR(R365=regle!$J$11,R365=regle!$K$11),-2,IF(R365=regle!$B$11,0,IF(AL$1=$AK$1,IF($O365,-1,regle!$B$2-$M365),IF(AK365=-1,-1,AK365+1))))</f>
        <v>-2</v>
      </c>
      <c r="AM365" s="16">
        <f>IF(OR(S365=regle!$J$11,S365=regle!$K$11),-2,IF(S365=regle!$B$11,0,IF(AM$1=$AK$1,IF($O365,-1,regle!$B$2-$M365),IF(AL365=-1,-1,AL365+1))))</f>
        <v>0</v>
      </c>
      <c r="AN365" s="16">
        <f>IF(OR(T365=regle!$J$11,T365=regle!$K$11),-2,IF(T365=regle!$B$11,0,IF(AN$1=$AK$1,IF($O365,-1,regle!$B$2-$M365),IF(AM365=-1,-1,AM365+1))))</f>
        <v>1</v>
      </c>
      <c r="AO365" s="16">
        <f>IF(OR(U365=regle!$J$11,U365=regle!$K$11),-2,IF(U365=regle!$B$11,0,IF(AO$1=$AK$1,IF($O365,-1,regle!$B$2-$M365),IF(AN365=-1,-1,AN365+1))))</f>
        <v>2</v>
      </c>
      <c r="AP365" s="16">
        <f>IF(OR(V365=regle!$J$11,V365=regle!$K$11),-2,IF(V365=regle!$B$11,0,IF(AP$1=$AK$1,IF($O365,-1,regle!$B$2-$M365),IF(AO365=-1,-1,AO365+1))))</f>
        <v>3</v>
      </c>
      <c r="AQ365" s="16">
        <f>IF(OR(W365=regle!$J$11,W365=regle!$K$11),-2,IF(W365=regle!$B$11,0,IF(AQ$1=$AK$1,IF($O365,-1,regle!$B$2-$M365),IF(AP365=-1,-1,AP365+1))))</f>
        <v>4</v>
      </c>
      <c r="AR365" s="16">
        <f>IF(OR(X365=regle!$J$11,X365=regle!$K$11),-2,IF(X365=regle!$B$11,0,IF(AR$1=$AK$1,IF($O365,-1,regle!$B$2-$M365),IF(AQ365=-1,-1,AQ365+1))))</f>
        <v>5</v>
      </c>
      <c r="AS365" s="16">
        <f>IF(OR(Y365=regle!$J$11,Y365=regle!$K$11),-2,IF(Y365=regle!$B$11,0,IF(AS$1=$AK$1,IF($O365,-1,regle!$B$2-$M365),IF(AR365=-1,-1,AR365+1))))</f>
        <v>6</v>
      </c>
      <c r="AT365" s="16">
        <f>IF(OR(Z365=regle!$J$11,Z365=regle!$K$11),-2,IF(Z365=regle!$B$11,0,IF(AT$1=$AK$1,IF($O365,-1,regle!$B$2-$M365),IF(AS365=-1,-1,AS365+1))))</f>
        <v>7</v>
      </c>
    </row>
    <row r="366" spans="1:46" x14ac:dyDescent="0.25">
      <c r="A366" t="b">
        <f>modif1!A366</f>
        <v>1</v>
      </c>
      <c r="B366">
        <f>ROW(modif1!B366)</f>
        <v>366</v>
      </c>
      <c r="C366" t="str">
        <f>modif1!C369</f>
        <v>202</v>
      </c>
      <c r="D366" t="str">
        <f>modif1!D366</f>
        <v>HOSTENS</v>
      </c>
      <c r="E366">
        <f>modif1!E366</f>
        <v>13</v>
      </c>
      <c r="F366" t="str">
        <f>modif1!F366</f>
        <v>LA BROUSTETTE</v>
      </c>
      <c r="G366" t="str">
        <f>modif1!G366</f>
        <v>0B</v>
      </c>
      <c r="H366">
        <f>modif1!H366</f>
        <v>1224</v>
      </c>
      <c r="I366" t="str">
        <f>modif1!I366</f>
        <v/>
      </c>
      <c r="J366" s="11">
        <f>modif1!J366</f>
        <v>3.694</v>
      </c>
      <c r="K366" t="str">
        <f>modif1!K366</f>
        <v>SL</v>
      </c>
      <c r="L366" t="str">
        <f>modif1!L366</f>
        <v>PM</v>
      </c>
      <c r="M366">
        <f>modif1!M366</f>
        <v>1987</v>
      </c>
      <c r="N366" t="str">
        <f>modif1!N366</f>
        <v>SL-PM_1987</v>
      </c>
      <c r="O366" t="b">
        <f>modif1!O366</f>
        <v>0</v>
      </c>
      <c r="P366">
        <v>40</v>
      </c>
      <c r="Q366" s="22"/>
      <c r="R366" s="22" t="s">
        <v>63</v>
      </c>
      <c r="S366" t="s">
        <v>1868</v>
      </c>
      <c r="U366" t="s">
        <v>1872</v>
      </c>
      <c r="W366" t="s">
        <v>1870</v>
      </c>
      <c r="Z366" t="s">
        <v>1871</v>
      </c>
      <c r="AA366" s="17">
        <f>IF($A366,$J366*(IF(Q366=regle!$B$11,regle!$B$23*IF(AJ366=-2,1+regle!$B$35,1),
IF(Q366=regle!$C$11,regle!$C$23,
IF(Q366=regle!$D$11,regle!$D$23,
IF(Q366=regle!$E$11,regle!$E$23,
IF(Q366=regle!$F$11,regle!$F$23,
IF(Q366=regle!$G$11,regle!$G$23,
IF(Q366=regle!$H$11,regle!$H$23,
IF(Q366=regle!$I$11,regle!$I$23,
IF(Q366=regle!$J$11,regle!$J$23,
IF(Q366=regle!$K$11,regle!$K$23,0))))))))))))</f>
        <v>0</v>
      </c>
      <c r="AB366" s="17">
        <f>IF($A366,$J366*(IF(R366=regle!$B$11,regle!$B$23*IF(AK366=-2,1+regle!$B$35,1),
IF(R366=regle!$C$11,regle!$C$23,
IF(R366=regle!$D$11,regle!$D$23,
IF(R366=regle!$E$11,regle!$E$23,
IF(R366=regle!$F$11,regle!$F$23,
IF(R366=regle!$G$11,regle!$G$23,
IF(R366=regle!$H$11,regle!$H$23,
IF(R366=regle!$I$11,regle!$I$23,
IF(R366=regle!$J$11,regle!$J$23,
IF(R366=regle!$K$11,regle!$K$23,0))))))))))))</f>
        <v>32507.200000000001</v>
      </c>
      <c r="AC366" s="17">
        <f>IF($A366,$J366*(IF(S366=regle!$B$11,regle!$B$23*IF(AL366=-2,1+regle!$B$35,1),
IF(S366=regle!$C$11,regle!$C$23,
IF(S366=regle!$D$11,regle!$D$23,
IF(S366=regle!$E$11,regle!$E$23,
IF(S366=regle!$F$11,regle!$F$23,
IF(S366=regle!$G$11,regle!$G$23,
IF(S366=regle!$H$11,regle!$H$23,
IF(S366=regle!$I$11,regle!$I$23,
IF(S366=regle!$J$11,regle!$J$23,
IF(S366=regle!$K$11,regle!$K$23,0))))))))))))</f>
        <v>-6907.7800000000007</v>
      </c>
      <c r="AD366" s="17">
        <f>IF($A366,$J366*(IF(T366=regle!$B$11,regle!$B$23*IF(AM366=-2,1+regle!$B$35,1),
IF(T366=regle!$C$11,regle!$C$23,
IF(T366=regle!$D$11,regle!$D$23,
IF(T366=regle!$E$11,regle!$E$23,
IF(T366=regle!$F$11,regle!$F$23,
IF(T366=regle!$G$11,regle!$G$23,
IF(T366=regle!$H$11,regle!$H$23,
IF(T366=regle!$I$11,regle!$I$23,
IF(T366=regle!$J$11,regle!$J$23,
IF(T366=regle!$K$11,regle!$K$23,0))))))))))))</f>
        <v>0</v>
      </c>
      <c r="AE366" s="17">
        <f>IF($A366,$J366*(IF(U366=regle!$B$11,regle!$B$23*IF(AN366=-2,1+regle!$B$35,1),
IF(U366=regle!$C$11,regle!$C$23,
IF(U366=regle!$D$11,regle!$D$23,
IF(U366=regle!$E$11,regle!$E$23,
IF(U366=regle!$F$11,regle!$F$23,
IF(U366=regle!$G$11,regle!$G$23,
IF(U366=regle!$H$11,regle!$H$23,
IF(U366=regle!$I$11,regle!$I$23,
IF(U366=regle!$J$11,regle!$J$23,
IF(U366=regle!$K$11,regle!$K$23,0))))))))))))</f>
        <v>-277.05</v>
      </c>
      <c r="AF366" s="17">
        <f>IF($A366,$J366*(IF(V366=regle!$B$11,regle!$B$23*IF(AO366=-2,1+regle!$B$35,1),
IF(V366=regle!$C$11,regle!$C$23,
IF(V366=regle!$D$11,regle!$D$23,
IF(V366=regle!$E$11,regle!$E$23,
IF(V366=regle!$F$11,regle!$F$23,
IF(V366=regle!$G$11,regle!$G$23,
IF(V366=regle!$H$11,regle!$H$23,
IF(V366=regle!$I$11,regle!$I$23,
IF(V366=regle!$J$11,regle!$J$23,
IF(V366=regle!$K$11,regle!$K$23,0))))))))))))</f>
        <v>0</v>
      </c>
      <c r="AG366" s="17">
        <f>IF($A366,$J366*(IF(W366=regle!$B$11,regle!$B$23*IF(AP366=-2,1+regle!$B$35,1),
IF(W366=regle!$C$11,regle!$C$23,
IF(W366=regle!$D$11,regle!$D$23,
IF(W366=regle!$E$11,regle!$E$23,
IF(W366=regle!$F$11,regle!$F$23,
IF(W366=regle!$G$11,regle!$G$23,
IF(W366=regle!$H$11,regle!$H$23,
IF(W366=regle!$I$11,regle!$I$23,
IF(W366=regle!$J$11,regle!$J$23,
IF(W366=regle!$K$11,regle!$K$23,0))))))))))))</f>
        <v>-332.46</v>
      </c>
      <c r="AH366" s="17">
        <f>IF($A366,$J366*(IF(X366=regle!$B$11,regle!$B$23*IF(AQ366=-2,1+regle!$B$35,1),
IF(X366=regle!$C$11,regle!$C$23,
IF(X366=regle!$D$11,regle!$D$23,
IF(X366=regle!$E$11,regle!$E$23,
IF(X366=regle!$F$11,regle!$F$23,
IF(X366=regle!$G$11,regle!$G$23,
IF(X366=regle!$H$11,regle!$H$23,
IF(X366=regle!$I$11,regle!$I$23,
IF(X366=regle!$J$11,regle!$J$23,
IF(X366=regle!$K$11,regle!$K$23,0))))))))))))</f>
        <v>0</v>
      </c>
      <c r="AI366" s="17">
        <f>IF($A366,$J366*(IF(Y366=regle!$B$11,regle!$B$23*IF(AR366=-2,1+regle!$B$35,1),
IF(Y366=regle!$C$11,regle!$C$23,
IF(Y366=regle!$D$11,regle!$D$23,
IF(Y366=regle!$E$11,regle!$E$23,
IF(Y366=regle!$F$11,regle!$F$23,
IF(Y366=regle!$G$11,regle!$G$23,
IF(Y366=regle!$H$11,regle!$H$23,
IF(Y366=regle!$I$11,regle!$I$23,
IF(Y366=regle!$J$11,regle!$J$23,
IF(Y366=regle!$K$11,regle!$K$23,0))))))))))))</f>
        <v>0</v>
      </c>
      <c r="AJ366" s="17">
        <f>IF($A366,$J366*(IF(Z366=regle!$B$11,regle!$B$23*IF(AS366=-2,1+regle!$B$35,1),
IF(Z366=regle!$C$11,regle!$C$23,
IF(Z366=regle!$D$11,regle!$D$23,
IF(Z366=regle!$E$11,regle!$E$23,
IF(Z366=regle!$F$11,regle!$F$23,
IF(Z366=regle!$G$11,regle!$G$23,
IF(Z366=regle!$H$11,regle!$H$23,
IF(Z366=regle!$I$11,regle!$I$23,
IF(Z366=regle!$J$11,regle!$J$23,
IF(Z366=regle!$K$11,regle!$K$23,0))))))))))))</f>
        <v>-332.46</v>
      </c>
      <c r="AK366" s="16">
        <f>IF(OR(Q366=regle!$J$11,Q366=regle!$K$11),-2,IF(Q366=regle!$B$11,0,IF(AK$1=$AK$1,IF($O366,-1,regle!$B$2-$M366),IF(AJ366=-1,-1,AJ366+1))))</f>
        <v>37</v>
      </c>
      <c r="AL366" s="16">
        <f>IF(OR(R366=regle!$J$11,R366=regle!$K$11),-2,IF(R366=regle!$B$11,0,IF(AL$1=$AK$1,IF($O366,-1,regle!$B$2-$M366),IF(AK366=-1,-1,AK366+1))))</f>
        <v>-2</v>
      </c>
      <c r="AM366" s="16">
        <f>IF(OR(S366=regle!$J$11,S366=regle!$K$11),-2,IF(S366=regle!$B$11,0,IF(AM$1=$AK$1,IF($O366,-1,regle!$B$2-$M366),IF(AL366=-1,-1,AL366+1))))</f>
        <v>0</v>
      </c>
      <c r="AN366" s="16">
        <f>IF(OR(T366=regle!$J$11,T366=regle!$K$11),-2,IF(T366=regle!$B$11,0,IF(AN$1=$AK$1,IF($O366,-1,regle!$B$2-$M366),IF(AM366=-1,-1,AM366+1))))</f>
        <v>1</v>
      </c>
      <c r="AO366" s="16">
        <f>IF(OR(U366=regle!$J$11,U366=regle!$K$11),-2,IF(U366=regle!$B$11,0,IF(AO$1=$AK$1,IF($O366,-1,regle!$B$2-$M366),IF(AN366=-1,-1,AN366+1))))</f>
        <v>2</v>
      </c>
      <c r="AP366" s="16">
        <f>IF(OR(V366=regle!$J$11,V366=regle!$K$11),-2,IF(V366=regle!$B$11,0,IF(AP$1=$AK$1,IF($O366,-1,regle!$B$2-$M366),IF(AO366=-1,-1,AO366+1))))</f>
        <v>3</v>
      </c>
      <c r="AQ366" s="16">
        <f>IF(OR(W366=regle!$J$11,W366=regle!$K$11),-2,IF(W366=regle!$B$11,0,IF(AQ$1=$AK$1,IF($O366,-1,regle!$B$2-$M366),IF(AP366=-1,-1,AP366+1))))</f>
        <v>4</v>
      </c>
      <c r="AR366" s="16">
        <f>IF(OR(X366=regle!$J$11,X366=regle!$K$11),-2,IF(X366=regle!$B$11,0,IF(AR$1=$AK$1,IF($O366,-1,regle!$B$2-$M366),IF(AQ366=-1,-1,AQ366+1))))</f>
        <v>5</v>
      </c>
      <c r="AS366" s="16">
        <f>IF(OR(Y366=regle!$J$11,Y366=regle!$K$11),-2,IF(Y366=regle!$B$11,0,IF(AS$1=$AK$1,IF($O366,-1,regle!$B$2-$M366),IF(AR366=-1,-1,AR366+1))))</f>
        <v>6</v>
      </c>
      <c r="AT366" s="16">
        <f>IF(OR(Z366=regle!$J$11,Z366=regle!$K$11),-2,IF(Z366=regle!$B$11,0,IF(AT$1=$AK$1,IF($O366,-1,regle!$B$2-$M366),IF(AS366=-1,-1,AS366+1))))</f>
        <v>7</v>
      </c>
    </row>
    <row r="367" spans="1:46" x14ac:dyDescent="0.25">
      <c r="A367" t="b">
        <f>modif1!A367</f>
        <v>1</v>
      </c>
      <c r="B367">
        <f>ROW(modif1!B367)</f>
        <v>367</v>
      </c>
      <c r="C367" t="str">
        <f>modif1!C370</f>
        <v>202</v>
      </c>
      <c r="D367" t="str">
        <f>modif1!D367</f>
        <v>HOSTENS</v>
      </c>
      <c r="E367">
        <f>modif1!E367</f>
        <v>13</v>
      </c>
      <c r="F367" t="str">
        <f>modif1!F367</f>
        <v>LA BROUSTETTE</v>
      </c>
      <c r="G367" t="str">
        <f>modif1!G367</f>
        <v>0B</v>
      </c>
      <c r="H367">
        <f>modif1!H367</f>
        <v>1247</v>
      </c>
      <c r="I367" t="str">
        <f>modif1!I367</f>
        <v/>
      </c>
      <c r="J367" s="11">
        <f>modif1!J367</f>
        <v>2</v>
      </c>
      <c r="K367" t="str">
        <f>modif1!K367</f>
        <v>SL</v>
      </c>
      <c r="L367" t="str">
        <f>modif1!L367</f>
        <v>PM</v>
      </c>
      <c r="M367">
        <f>modif1!M367</f>
        <v>1987</v>
      </c>
      <c r="N367" t="str">
        <f>modif1!N367</f>
        <v>SL-PM_1987</v>
      </c>
      <c r="O367" t="b">
        <f>modif1!O367</f>
        <v>0</v>
      </c>
      <c r="P367">
        <v>40</v>
      </c>
      <c r="Q367" t="s">
        <v>63</v>
      </c>
      <c r="R367" s="22"/>
      <c r="S367" t="s">
        <v>1868</v>
      </c>
      <c r="U367" t="s">
        <v>1872</v>
      </c>
      <c r="W367" t="s">
        <v>1870</v>
      </c>
      <c r="Z367" t="s">
        <v>1871</v>
      </c>
      <c r="AA367" s="17">
        <f>IF($A367,$J367*(IF(Q367=regle!$B$11,regle!$B$23*IF(AJ367=-2,1+regle!$B$35,1),
IF(Q367=regle!$C$11,regle!$C$23,
IF(Q367=regle!$D$11,regle!$D$23,
IF(Q367=regle!$E$11,regle!$E$23,
IF(Q367=regle!$F$11,regle!$F$23,
IF(Q367=regle!$G$11,regle!$G$23,
IF(Q367=regle!$H$11,regle!$H$23,
IF(Q367=regle!$I$11,regle!$I$23,
IF(Q367=regle!$J$11,regle!$J$23,
IF(Q367=regle!$K$11,regle!$K$23,0))))))))))))</f>
        <v>17600</v>
      </c>
      <c r="AB367" s="17">
        <f>IF($A367,$J367*(IF(R367=regle!$B$11,regle!$B$23*IF(AK367=-2,1+regle!$B$35,1),
IF(R367=regle!$C$11,regle!$C$23,
IF(R367=regle!$D$11,regle!$D$23,
IF(R367=regle!$E$11,regle!$E$23,
IF(R367=regle!$F$11,regle!$F$23,
IF(R367=regle!$G$11,regle!$G$23,
IF(R367=regle!$H$11,regle!$H$23,
IF(R367=regle!$I$11,regle!$I$23,
IF(R367=regle!$J$11,regle!$J$23,
IF(R367=regle!$K$11,regle!$K$23,0))))))))))))</f>
        <v>0</v>
      </c>
      <c r="AC367" s="17">
        <f>IF($A367,$J367*(IF(S367=regle!$B$11,regle!$B$23*IF(AL367=-2,1+regle!$B$35,1),
IF(S367=regle!$C$11,regle!$C$23,
IF(S367=regle!$D$11,regle!$D$23,
IF(S367=regle!$E$11,regle!$E$23,
IF(S367=regle!$F$11,regle!$F$23,
IF(S367=regle!$G$11,regle!$G$23,
IF(S367=regle!$H$11,regle!$H$23,
IF(S367=regle!$I$11,regle!$I$23,
IF(S367=regle!$J$11,regle!$J$23,
IF(S367=regle!$K$11,regle!$K$23,0))))))))))))</f>
        <v>-3400</v>
      </c>
      <c r="AD367" s="17">
        <f>IF($A367,$J367*(IF(T367=regle!$B$11,regle!$B$23*IF(AM367=-2,1+regle!$B$35,1),
IF(T367=regle!$C$11,regle!$C$23,
IF(T367=regle!$D$11,regle!$D$23,
IF(T367=regle!$E$11,regle!$E$23,
IF(T367=regle!$F$11,regle!$F$23,
IF(T367=regle!$G$11,regle!$G$23,
IF(T367=regle!$H$11,regle!$H$23,
IF(T367=regle!$I$11,regle!$I$23,
IF(T367=regle!$J$11,regle!$J$23,
IF(T367=regle!$K$11,regle!$K$23,0))))))))))))</f>
        <v>0</v>
      </c>
      <c r="AE367" s="17">
        <f>IF($A367,$J367*(IF(U367=regle!$B$11,regle!$B$23*IF(AN367=-2,1+regle!$B$35,1),
IF(U367=regle!$C$11,regle!$C$23,
IF(U367=regle!$D$11,regle!$D$23,
IF(U367=regle!$E$11,regle!$E$23,
IF(U367=regle!$F$11,regle!$F$23,
IF(U367=regle!$G$11,regle!$G$23,
IF(U367=regle!$H$11,regle!$H$23,
IF(U367=regle!$I$11,regle!$I$23,
IF(U367=regle!$J$11,regle!$J$23,
IF(U367=regle!$K$11,regle!$K$23,0))))))))))))</f>
        <v>-150</v>
      </c>
      <c r="AF367" s="17">
        <f>IF($A367,$J367*(IF(V367=regle!$B$11,regle!$B$23*IF(AO367=-2,1+regle!$B$35,1),
IF(V367=regle!$C$11,regle!$C$23,
IF(V367=regle!$D$11,regle!$D$23,
IF(V367=regle!$E$11,regle!$E$23,
IF(V367=regle!$F$11,regle!$F$23,
IF(V367=regle!$G$11,regle!$G$23,
IF(V367=regle!$H$11,regle!$H$23,
IF(V367=regle!$I$11,regle!$I$23,
IF(V367=regle!$J$11,regle!$J$23,
IF(V367=regle!$K$11,regle!$K$23,0))))))))))))</f>
        <v>0</v>
      </c>
      <c r="AG367" s="17">
        <f>IF($A367,$J367*(IF(W367=regle!$B$11,regle!$B$23*IF(AP367=-2,1+regle!$B$35,1),
IF(W367=regle!$C$11,regle!$C$23,
IF(W367=regle!$D$11,regle!$D$23,
IF(W367=regle!$E$11,regle!$E$23,
IF(W367=regle!$F$11,regle!$F$23,
IF(W367=regle!$G$11,regle!$G$23,
IF(W367=regle!$H$11,regle!$H$23,
IF(W367=regle!$I$11,regle!$I$23,
IF(W367=regle!$J$11,regle!$J$23,
IF(W367=regle!$K$11,regle!$K$23,0))))))))))))</f>
        <v>-180</v>
      </c>
      <c r="AH367" s="17">
        <f>IF($A367,$J367*(IF(X367=regle!$B$11,regle!$B$23*IF(AQ367=-2,1+regle!$B$35,1),
IF(X367=regle!$C$11,regle!$C$23,
IF(X367=regle!$D$11,regle!$D$23,
IF(X367=regle!$E$11,regle!$E$23,
IF(X367=regle!$F$11,regle!$F$23,
IF(X367=regle!$G$11,regle!$G$23,
IF(X367=regle!$H$11,regle!$H$23,
IF(X367=regle!$I$11,regle!$I$23,
IF(X367=regle!$J$11,regle!$J$23,
IF(X367=regle!$K$11,regle!$K$23,0))))))))))))</f>
        <v>0</v>
      </c>
      <c r="AI367" s="17">
        <f>IF($A367,$J367*(IF(Y367=regle!$B$11,regle!$B$23*IF(AR367=-2,1+regle!$B$35,1),
IF(Y367=regle!$C$11,regle!$C$23,
IF(Y367=regle!$D$11,regle!$D$23,
IF(Y367=regle!$E$11,regle!$E$23,
IF(Y367=regle!$F$11,regle!$F$23,
IF(Y367=regle!$G$11,regle!$G$23,
IF(Y367=regle!$H$11,regle!$H$23,
IF(Y367=regle!$I$11,regle!$I$23,
IF(Y367=regle!$J$11,regle!$J$23,
IF(Y367=regle!$K$11,regle!$K$23,0))))))))))))</f>
        <v>0</v>
      </c>
      <c r="AJ367" s="17">
        <f>IF($A367,$J367*(IF(Z367=regle!$B$11,regle!$B$23*IF(AS367=-2,1+regle!$B$35,1),
IF(Z367=regle!$C$11,regle!$C$23,
IF(Z367=regle!$D$11,regle!$D$23,
IF(Z367=regle!$E$11,regle!$E$23,
IF(Z367=regle!$F$11,regle!$F$23,
IF(Z367=regle!$G$11,regle!$G$23,
IF(Z367=regle!$H$11,regle!$H$23,
IF(Z367=regle!$I$11,regle!$I$23,
IF(Z367=regle!$J$11,regle!$J$23,
IF(Z367=regle!$K$11,regle!$K$23,0))))))))))))</f>
        <v>-180</v>
      </c>
      <c r="AK367" s="16">
        <f>IF(OR(Q367=regle!$J$11,Q367=regle!$K$11),-2,IF(Q367=regle!$B$11,0,IF(AK$1=$AK$1,IF($O367,-1,regle!$B$2-$M367),IF(AJ367=-1,-1,AJ367+1))))</f>
        <v>-2</v>
      </c>
      <c r="AL367" s="16">
        <f>IF(OR(R367=regle!$J$11,R367=regle!$K$11),-2,IF(R367=regle!$B$11,0,IF(AL$1=$AK$1,IF($O367,-1,regle!$B$2-$M367),IF(AK367=-1,-1,AK367+1))))</f>
        <v>-1</v>
      </c>
      <c r="AM367" s="16">
        <f>IF(OR(S367=regle!$J$11,S367=regle!$K$11),-2,IF(S367=regle!$B$11,0,IF(AM$1=$AK$1,IF($O367,-1,regle!$B$2-$M367),IF(AL367=-1,-1,AL367+1))))</f>
        <v>0</v>
      </c>
      <c r="AN367" s="16">
        <f>IF(OR(T367=regle!$J$11,T367=regle!$K$11),-2,IF(T367=regle!$B$11,0,IF(AN$1=$AK$1,IF($O367,-1,regle!$B$2-$M367),IF(AM367=-1,-1,AM367+1))))</f>
        <v>1</v>
      </c>
      <c r="AO367" s="16">
        <f>IF(OR(U367=regle!$J$11,U367=regle!$K$11),-2,IF(U367=regle!$B$11,0,IF(AO$1=$AK$1,IF($O367,-1,regle!$B$2-$M367),IF(AN367=-1,-1,AN367+1))))</f>
        <v>2</v>
      </c>
      <c r="AP367" s="16">
        <f>IF(OR(V367=regle!$J$11,V367=regle!$K$11),-2,IF(V367=regle!$B$11,0,IF(AP$1=$AK$1,IF($O367,-1,regle!$B$2-$M367),IF(AO367=-1,-1,AO367+1))))</f>
        <v>3</v>
      </c>
      <c r="AQ367" s="16">
        <f>IF(OR(W367=regle!$J$11,W367=regle!$K$11),-2,IF(W367=regle!$B$11,0,IF(AQ$1=$AK$1,IF($O367,-1,regle!$B$2-$M367),IF(AP367=-1,-1,AP367+1))))</f>
        <v>4</v>
      </c>
      <c r="AR367" s="16">
        <f>IF(OR(X367=regle!$J$11,X367=regle!$K$11),-2,IF(X367=regle!$B$11,0,IF(AR$1=$AK$1,IF($O367,-1,regle!$B$2-$M367),IF(AQ367=-1,-1,AQ367+1))))</f>
        <v>5</v>
      </c>
      <c r="AS367" s="16">
        <f>IF(OR(Y367=regle!$J$11,Y367=regle!$K$11),-2,IF(Y367=regle!$B$11,0,IF(AS$1=$AK$1,IF($O367,-1,regle!$B$2-$M367),IF(AR367=-1,-1,AR367+1))))</f>
        <v>6</v>
      </c>
      <c r="AT367" s="16">
        <f>IF(OR(Z367=regle!$J$11,Z367=regle!$K$11),-2,IF(Z367=regle!$B$11,0,IF(AT$1=$AK$1,IF($O367,-1,regle!$B$2-$M367),IF(AS367=-1,-1,AS367+1))))</f>
        <v>7</v>
      </c>
    </row>
    <row r="368" spans="1:46" x14ac:dyDescent="0.25">
      <c r="A368" t="b">
        <f>modif1!A368</f>
        <v>1</v>
      </c>
      <c r="B368">
        <f>ROW(modif1!B368)</f>
        <v>368</v>
      </c>
      <c r="C368" t="str">
        <f>modif1!C371</f>
        <v>202</v>
      </c>
      <c r="D368" t="str">
        <f>modif1!D368</f>
        <v>HOSTENS</v>
      </c>
      <c r="E368">
        <f>modif1!E368</f>
        <v>13</v>
      </c>
      <c r="F368" t="str">
        <f>modif1!F368</f>
        <v>LA BROUSTETTE</v>
      </c>
      <c r="G368" t="str">
        <f>modif1!G368</f>
        <v>0B</v>
      </c>
      <c r="H368">
        <f>modif1!H368</f>
        <v>1237</v>
      </c>
      <c r="I368" t="str">
        <f>modif1!I368</f>
        <v/>
      </c>
      <c r="J368" s="11">
        <f>modif1!J368</f>
        <v>0.9375</v>
      </c>
      <c r="K368" t="str">
        <f>modif1!K368</f>
        <v>SL</v>
      </c>
      <c r="L368" t="str">
        <f>modif1!L368</f>
        <v>PM</v>
      </c>
      <c r="M368">
        <f>modif1!M368</f>
        <v>1987</v>
      </c>
      <c r="N368" t="str">
        <f>modif1!N368</f>
        <v>SL-PM_1987</v>
      </c>
      <c r="O368" t="b">
        <f>modif1!O368</f>
        <v>0</v>
      </c>
      <c r="P368">
        <v>40</v>
      </c>
      <c r="Q368" t="s">
        <v>63</v>
      </c>
      <c r="R368" s="22"/>
      <c r="S368" t="s">
        <v>1868</v>
      </c>
      <c r="U368" t="s">
        <v>1872</v>
      </c>
      <c r="W368" s="22"/>
      <c r="X368" t="s">
        <v>1870</v>
      </c>
      <c r="Z368" t="s">
        <v>1871</v>
      </c>
      <c r="AA368" s="17">
        <f>IF($A368,$J368*(IF(Q368=regle!$B$11,regle!$B$23*IF(AJ368=-2,1+regle!$B$35,1),
IF(Q368=regle!$C$11,regle!$C$23,
IF(Q368=regle!$D$11,regle!$D$23,
IF(Q368=regle!$E$11,regle!$E$23,
IF(Q368=regle!$F$11,regle!$F$23,
IF(Q368=regle!$G$11,regle!$G$23,
IF(Q368=regle!$H$11,regle!$H$23,
IF(Q368=regle!$I$11,regle!$I$23,
IF(Q368=regle!$J$11,regle!$J$23,
IF(Q368=regle!$K$11,regle!$K$23,0))))))))))))</f>
        <v>8250</v>
      </c>
      <c r="AB368" s="17">
        <f>IF($A368,$J368*(IF(R368=regle!$B$11,regle!$B$23*IF(AK368=-2,1+regle!$B$35,1),
IF(R368=regle!$C$11,regle!$C$23,
IF(R368=regle!$D$11,regle!$D$23,
IF(R368=regle!$E$11,regle!$E$23,
IF(R368=regle!$F$11,regle!$F$23,
IF(R368=regle!$G$11,regle!$G$23,
IF(R368=regle!$H$11,regle!$H$23,
IF(R368=regle!$I$11,regle!$I$23,
IF(R368=regle!$J$11,regle!$J$23,
IF(R368=regle!$K$11,regle!$K$23,0))))))))))))</f>
        <v>0</v>
      </c>
      <c r="AC368" s="17">
        <f>IF($A368,$J368*(IF(S368=regle!$B$11,regle!$B$23*IF(AL368=-2,1+regle!$B$35,1),
IF(S368=regle!$C$11,regle!$C$23,
IF(S368=regle!$D$11,regle!$D$23,
IF(S368=regle!$E$11,regle!$E$23,
IF(S368=regle!$F$11,regle!$F$23,
IF(S368=regle!$G$11,regle!$G$23,
IF(S368=regle!$H$11,regle!$H$23,
IF(S368=regle!$I$11,regle!$I$23,
IF(S368=regle!$J$11,regle!$J$23,
IF(S368=regle!$K$11,regle!$K$23,0))))))))))))</f>
        <v>-1593.75</v>
      </c>
      <c r="AD368" s="17">
        <f>IF($A368,$J368*(IF(T368=regle!$B$11,regle!$B$23*IF(AM368=-2,1+regle!$B$35,1),
IF(T368=regle!$C$11,regle!$C$23,
IF(T368=regle!$D$11,regle!$D$23,
IF(T368=regle!$E$11,regle!$E$23,
IF(T368=regle!$F$11,regle!$F$23,
IF(T368=regle!$G$11,regle!$G$23,
IF(T368=regle!$H$11,regle!$H$23,
IF(T368=regle!$I$11,regle!$I$23,
IF(T368=regle!$J$11,regle!$J$23,
IF(T368=regle!$K$11,regle!$K$23,0))))))))))))</f>
        <v>0</v>
      </c>
      <c r="AE368" s="17">
        <f>IF($A368,$J368*(IF(U368=regle!$B$11,regle!$B$23*IF(AN368=-2,1+regle!$B$35,1),
IF(U368=regle!$C$11,regle!$C$23,
IF(U368=regle!$D$11,regle!$D$23,
IF(U368=regle!$E$11,regle!$E$23,
IF(U368=regle!$F$11,regle!$F$23,
IF(U368=regle!$G$11,regle!$G$23,
IF(U368=regle!$H$11,regle!$H$23,
IF(U368=regle!$I$11,regle!$I$23,
IF(U368=regle!$J$11,regle!$J$23,
IF(U368=regle!$K$11,regle!$K$23,0))))))))))))</f>
        <v>-70.3125</v>
      </c>
      <c r="AF368" s="17">
        <f>IF($A368,$J368*(IF(V368=regle!$B$11,regle!$B$23*IF(AO368=-2,1+regle!$B$35,1),
IF(V368=regle!$C$11,regle!$C$23,
IF(V368=regle!$D$11,regle!$D$23,
IF(V368=regle!$E$11,regle!$E$23,
IF(V368=regle!$F$11,regle!$F$23,
IF(V368=regle!$G$11,regle!$G$23,
IF(V368=regle!$H$11,regle!$H$23,
IF(V368=regle!$I$11,regle!$I$23,
IF(V368=regle!$J$11,regle!$J$23,
IF(V368=regle!$K$11,regle!$K$23,0))))))))))))</f>
        <v>0</v>
      </c>
      <c r="AG368" s="17">
        <f>IF($A368,$J368*(IF(W368=regle!$B$11,regle!$B$23*IF(AP368=-2,1+regle!$B$35,1),
IF(W368=regle!$C$11,regle!$C$23,
IF(W368=regle!$D$11,regle!$D$23,
IF(W368=regle!$E$11,regle!$E$23,
IF(W368=regle!$F$11,regle!$F$23,
IF(W368=regle!$G$11,regle!$G$23,
IF(W368=regle!$H$11,regle!$H$23,
IF(W368=regle!$I$11,regle!$I$23,
IF(W368=regle!$J$11,regle!$J$23,
IF(W368=regle!$K$11,regle!$K$23,0))))))))))))</f>
        <v>0</v>
      </c>
      <c r="AH368" s="17">
        <f>IF($A368,$J368*(IF(X368=regle!$B$11,regle!$B$23*IF(AQ368=-2,1+regle!$B$35,1),
IF(X368=regle!$C$11,regle!$C$23,
IF(X368=regle!$D$11,regle!$D$23,
IF(X368=regle!$E$11,regle!$E$23,
IF(X368=regle!$F$11,regle!$F$23,
IF(X368=regle!$G$11,regle!$G$23,
IF(X368=regle!$H$11,regle!$H$23,
IF(X368=regle!$I$11,regle!$I$23,
IF(X368=regle!$J$11,regle!$J$23,
IF(X368=regle!$K$11,regle!$K$23,0))))))))))))</f>
        <v>-84.375</v>
      </c>
      <c r="AI368" s="17">
        <f>IF($A368,$J368*(IF(Y368=regle!$B$11,regle!$B$23*IF(AR368=-2,1+regle!$B$35,1),
IF(Y368=regle!$C$11,regle!$C$23,
IF(Y368=regle!$D$11,regle!$D$23,
IF(Y368=regle!$E$11,regle!$E$23,
IF(Y368=regle!$F$11,regle!$F$23,
IF(Y368=regle!$G$11,regle!$G$23,
IF(Y368=regle!$H$11,regle!$H$23,
IF(Y368=regle!$I$11,regle!$I$23,
IF(Y368=regle!$J$11,regle!$J$23,
IF(Y368=regle!$K$11,regle!$K$23,0))))))))))))</f>
        <v>0</v>
      </c>
      <c r="AJ368" s="17">
        <f>IF($A368,$J368*(IF(Z368=regle!$B$11,regle!$B$23*IF(AS368=-2,1+regle!$B$35,1),
IF(Z368=regle!$C$11,regle!$C$23,
IF(Z368=regle!$D$11,regle!$D$23,
IF(Z368=regle!$E$11,regle!$E$23,
IF(Z368=regle!$F$11,regle!$F$23,
IF(Z368=regle!$G$11,regle!$G$23,
IF(Z368=regle!$H$11,regle!$H$23,
IF(Z368=regle!$I$11,regle!$I$23,
IF(Z368=regle!$J$11,regle!$J$23,
IF(Z368=regle!$K$11,regle!$K$23,0))))))))))))</f>
        <v>-84.375</v>
      </c>
      <c r="AK368" s="16">
        <f>IF(OR(Q368=regle!$J$11,Q368=regle!$K$11),-2,IF(Q368=regle!$B$11,0,IF(AK$1=$AK$1,IF($O368,-1,regle!$B$2-$M368),IF(AJ368=-1,-1,AJ368+1))))</f>
        <v>-2</v>
      </c>
      <c r="AL368" s="16">
        <f>IF(OR(R368=regle!$J$11,R368=regle!$K$11),-2,IF(R368=regle!$B$11,0,IF(AL$1=$AK$1,IF($O368,-1,regle!$B$2-$M368),IF(AK368=-1,-1,AK368+1))))</f>
        <v>-1</v>
      </c>
      <c r="AM368" s="16">
        <f>IF(OR(S368=regle!$J$11,S368=regle!$K$11),-2,IF(S368=regle!$B$11,0,IF(AM$1=$AK$1,IF($O368,-1,regle!$B$2-$M368),IF(AL368=-1,-1,AL368+1))))</f>
        <v>0</v>
      </c>
      <c r="AN368" s="16">
        <f>IF(OR(T368=regle!$J$11,T368=regle!$K$11),-2,IF(T368=regle!$B$11,0,IF(AN$1=$AK$1,IF($O368,-1,regle!$B$2-$M368),IF(AM368=-1,-1,AM368+1))))</f>
        <v>1</v>
      </c>
      <c r="AO368" s="16">
        <f>IF(OR(U368=regle!$J$11,U368=regle!$K$11),-2,IF(U368=regle!$B$11,0,IF(AO$1=$AK$1,IF($O368,-1,regle!$B$2-$M368),IF(AN368=-1,-1,AN368+1))))</f>
        <v>2</v>
      </c>
      <c r="AP368" s="16">
        <f>IF(OR(V368=regle!$J$11,V368=regle!$K$11),-2,IF(V368=regle!$B$11,0,IF(AP$1=$AK$1,IF($O368,-1,regle!$B$2-$M368),IF(AO368=-1,-1,AO368+1))))</f>
        <v>3</v>
      </c>
      <c r="AQ368" s="16">
        <f>IF(OR(W368=regle!$J$11,W368=regle!$K$11),-2,IF(W368=regle!$B$11,0,IF(AQ$1=$AK$1,IF($O368,-1,regle!$B$2-$M368),IF(AP368=-1,-1,AP368+1))))</f>
        <v>4</v>
      </c>
      <c r="AR368" s="16">
        <f>IF(OR(X368=regle!$J$11,X368=regle!$K$11),-2,IF(X368=regle!$B$11,0,IF(AR$1=$AK$1,IF($O368,-1,regle!$B$2-$M368),IF(AQ368=-1,-1,AQ368+1))))</f>
        <v>5</v>
      </c>
      <c r="AS368" s="16">
        <f>IF(OR(Y368=regle!$J$11,Y368=regle!$K$11),-2,IF(Y368=regle!$B$11,0,IF(AS$1=$AK$1,IF($O368,-1,regle!$B$2-$M368),IF(AR368=-1,-1,AR368+1))))</f>
        <v>6</v>
      </c>
      <c r="AT368" s="16">
        <f>IF(OR(Z368=regle!$J$11,Z368=regle!$K$11),-2,IF(Z368=regle!$B$11,0,IF(AT$1=$AK$1,IF($O368,-1,regle!$B$2-$M368),IF(AS368=-1,-1,AS368+1))))</f>
        <v>7</v>
      </c>
    </row>
    <row r="369" spans="1:46" x14ac:dyDescent="0.25">
      <c r="A369" t="b">
        <f>modif1!A369</f>
        <v>1</v>
      </c>
      <c r="B369">
        <f>ROW(modif1!B369)</f>
        <v>369</v>
      </c>
      <c r="C369" t="str">
        <f>modif1!C372</f>
        <v>202</v>
      </c>
      <c r="D369" t="str">
        <f>modif1!D369</f>
        <v>HOSTENS</v>
      </c>
      <c r="E369">
        <f>modif1!E369</f>
        <v>13</v>
      </c>
      <c r="F369" t="str">
        <f>modif1!F369</f>
        <v>LA BROUSTETTE</v>
      </c>
      <c r="G369" t="str">
        <f>modif1!G369</f>
        <v>0B</v>
      </c>
      <c r="H369">
        <f>modif1!H369</f>
        <v>1226</v>
      </c>
      <c r="I369" t="str">
        <f>modif1!I369</f>
        <v/>
      </c>
      <c r="J369" s="11">
        <f>modif1!J369</f>
        <v>0.89200000000000002</v>
      </c>
      <c r="K369" t="str">
        <f>modif1!K369</f>
        <v>SL</v>
      </c>
      <c r="L369" t="str">
        <f>modif1!L369</f>
        <v>PM</v>
      </c>
      <c r="M369">
        <f>modif1!M369</f>
        <v>1987</v>
      </c>
      <c r="N369" t="str">
        <f>modif1!N369</f>
        <v>SL-PM_1987</v>
      </c>
      <c r="O369" t="b">
        <f>modif1!O369</f>
        <v>0</v>
      </c>
      <c r="P369">
        <v>25</v>
      </c>
      <c r="Q369" t="s">
        <v>63</v>
      </c>
      <c r="R369" s="22"/>
      <c r="S369" t="s">
        <v>1868</v>
      </c>
      <c r="Z369"/>
      <c r="AA369" s="17">
        <f>IF($A369,$J369*(IF(Q369=regle!$B$11,regle!$B$23*IF(AJ369=-2,1+regle!$B$35,1),
IF(Q369=regle!$C$11,regle!$C$23,
IF(Q369=regle!$D$11,regle!$D$23,
IF(Q369=regle!$E$11,regle!$E$23,
IF(Q369=regle!$F$11,regle!$F$23,
IF(Q369=regle!$G$11,regle!$G$23,
IF(Q369=regle!$H$11,regle!$H$23,
IF(Q369=regle!$I$11,regle!$I$23,
IF(Q369=regle!$J$11,regle!$J$23,
IF(Q369=regle!$K$11,regle!$K$23,0))))))))))))</f>
        <v>7849.6</v>
      </c>
      <c r="AB369" s="17">
        <f>IF($A369,$J369*(IF(R369=regle!$B$11,regle!$B$23*IF(AK369=-2,1+regle!$B$35,1),
IF(R369=regle!$C$11,regle!$C$23,
IF(R369=regle!$D$11,regle!$D$23,
IF(R369=regle!$E$11,regle!$E$23,
IF(R369=regle!$F$11,regle!$F$23,
IF(R369=regle!$G$11,regle!$G$23,
IF(R369=regle!$H$11,regle!$H$23,
IF(R369=regle!$I$11,regle!$I$23,
IF(R369=regle!$J$11,regle!$J$23,
IF(R369=regle!$K$11,regle!$K$23,0))))))))))))</f>
        <v>0</v>
      </c>
      <c r="AC369" s="17">
        <f>IF($A369,$J369*(IF(S369=regle!$B$11,regle!$B$23*IF(AL369=-2,1+regle!$B$35,1),
IF(S369=regle!$C$11,regle!$C$23,
IF(S369=regle!$D$11,regle!$D$23,
IF(S369=regle!$E$11,regle!$E$23,
IF(S369=regle!$F$11,regle!$F$23,
IF(S369=regle!$G$11,regle!$G$23,
IF(S369=regle!$H$11,regle!$H$23,
IF(S369=regle!$I$11,regle!$I$23,
IF(S369=regle!$J$11,regle!$J$23,
IF(S369=regle!$K$11,regle!$K$23,0))))))))))))</f>
        <v>-1516.4</v>
      </c>
      <c r="AD369" s="17">
        <f>IF($A369,$J369*(IF(T369=regle!$B$11,regle!$B$23*IF(AM369=-2,1+regle!$B$35,1),
IF(T369=regle!$C$11,regle!$C$23,
IF(T369=regle!$D$11,regle!$D$23,
IF(T369=regle!$E$11,regle!$E$23,
IF(T369=regle!$F$11,regle!$F$23,
IF(T369=regle!$G$11,regle!$G$23,
IF(T369=regle!$H$11,regle!$H$23,
IF(T369=regle!$I$11,regle!$I$23,
IF(T369=regle!$J$11,regle!$J$23,
IF(T369=regle!$K$11,regle!$K$23,0))))))))))))</f>
        <v>0</v>
      </c>
      <c r="AE369" s="17">
        <f>IF($A369,$J369*(IF(U369=regle!$B$11,regle!$B$23*IF(AN369=-2,1+regle!$B$35,1),
IF(U369=regle!$C$11,regle!$C$23,
IF(U369=regle!$D$11,regle!$D$23,
IF(U369=regle!$E$11,regle!$E$23,
IF(U369=regle!$F$11,regle!$F$23,
IF(U369=regle!$G$11,regle!$G$23,
IF(U369=regle!$H$11,regle!$H$23,
IF(U369=regle!$I$11,regle!$I$23,
IF(U369=regle!$J$11,regle!$J$23,
IF(U369=regle!$K$11,regle!$K$23,0))))))))))))</f>
        <v>0</v>
      </c>
      <c r="AF369" s="17">
        <f>IF($A369,$J369*(IF(V369=regle!$B$11,regle!$B$23*IF(AO369=-2,1+regle!$B$35,1),
IF(V369=regle!$C$11,regle!$C$23,
IF(V369=regle!$D$11,regle!$D$23,
IF(V369=regle!$E$11,regle!$E$23,
IF(V369=regle!$F$11,regle!$F$23,
IF(V369=regle!$G$11,regle!$G$23,
IF(V369=regle!$H$11,regle!$H$23,
IF(V369=regle!$I$11,regle!$I$23,
IF(V369=regle!$J$11,regle!$J$23,
IF(V369=regle!$K$11,regle!$K$23,0))))))))))))</f>
        <v>0</v>
      </c>
      <c r="AG369" s="17">
        <f>IF($A369,$J369*(IF(W369=regle!$B$11,regle!$B$23*IF(AP369=-2,1+regle!$B$35,1),
IF(W369=regle!$C$11,regle!$C$23,
IF(W369=regle!$D$11,regle!$D$23,
IF(W369=regle!$E$11,regle!$E$23,
IF(W369=regle!$F$11,regle!$F$23,
IF(W369=regle!$G$11,regle!$G$23,
IF(W369=regle!$H$11,regle!$H$23,
IF(W369=regle!$I$11,regle!$I$23,
IF(W369=regle!$J$11,regle!$J$23,
IF(W369=regle!$K$11,regle!$K$23,0))))))))))))</f>
        <v>0</v>
      </c>
      <c r="AH369" s="17">
        <f>IF($A369,$J369*(IF(X369=regle!$B$11,regle!$B$23*IF(AQ369=-2,1+regle!$B$35,1),
IF(X369=regle!$C$11,regle!$C$23,
IF(X369=regle!$D$11,regle!$D$23,
IF(X369=regle!$E$11,regle!$E$23,
IF(X369=regle!$F$11,regle!$F$23,
IF(X369=regle!$G$11,regle!$G$23,
IF(X369=regle!$H$11,regle!$H$23,
IF(X369=regle!$I$11,regle!$I$23,
IF(X369=regle!$J$11,regle!$J$23,
IF(X369=regle!$K$11,regle!$K$23,0))))))))))))</f>
        <v>0</v>
      </c>
      <c r="AI369" s="17">
        <f>IF($A369,$J369*(IF(Y369=regle!$B$11,regle!$B$23*IF(AR369=-2,1+regle!$B$35,1),
IF(Y369=regle!$C$11,regle!$C$23,
IF(Y369=regle!$D$11,regle!$D$23,
IF(Y369=regle!$E$11,regle!$E$23,
IF(Y369=regle!$F$11,regle!$F$23,
IF(Y369=regle!$G$11,regle!$G$23,
IF(Y369=regle!$H$11,regle!$H$23,
IF(Y369=regle!$I$11,regle!$I$23,
IF(Y369=regle!$J$11,regle!$J$23,
IF(Y369=regle!$K$11,regle!$K$23,0))))))))))))</f>
        <v>0</v>
      </c>
      <c r="AJ369" s="17">
        <f>IF($A369,$J369*(IF(Z369=regle!$B$11,regle!$B$23*IF(AS369=-2,1+regle!$B$35,1),
IF(Z369=regle!$C$11,regle!$C$23,
IF(Z369=regle!$D$11,regle!$D$23,
IF(Z369=regle!$E$11,regle!$E$23,
IF(Z369=regle!$F$11,regle!$F$23,
IF(Z369=regle!$G$11,regle!$G$23,
IF(Z369=regle!$H$11,regle!$H$23,
IF(Z369=regle!$I$11,regle!$I$23,
IF(Z369=regle!$J$11,regle!$J$23,
IF(Z369=regle!$K$11,regle!$K$23,0))))))))))))</f>
        <v>0</v>
      </c>
      <c r="AK369" s="16">
        <f>IF(OR(Q369=regle!$J$11,Q369=regle!$K$11),-2,IF(Q369=regle!$B$11,0,IF(AK$1=$AK$1,IF($O369,-1,regle!$B$2-$M369),IF(AJ369=-1,-1,AJ369+1))))</f>
        <v>-2</v>
      </c>
      <c r="AL369" s="16">
        <f>IF(OR(R369=regle!$J$11,R369=regle!$K$11),-2,IF(R369=regle!$B$11,0,IF(AL$1=$AK$1,IF($O369,-1,regle!$B$2-$M369),IF(AK369=-1,-1,AK369+1))))</f>
        <v>-1</v>
      </c>
      <c r="AM369" s="16">
        <f>IF(OR(S369=regle!$J$11,S369=regle!$K$11),-2,IF(S369=regle!$B$11,0,IF(AM$1=$AK$1,IF($O369,-1,regle!$B$2-$M369),IF(AL369=-1,-1,AL369+1))))</f>
        <v>0</v>
      </c>
      <c r="AN369" s="16">
        <f>IF(OR(T369=regle!$J$11,T369=regle!$K$11),-2,IF(T369=regle!$B$11,0,IF(AN$1=$AK$1,IF($O369,-1,regle!$B$2-$M369),IF(AM369=-1,-1,AM369+1))))</f>
        <v>1</v>
      </c>
      <c r="AO369" s="16">
        <f>IF(OR(U369=regle!$J$11,U369=regle!$K$11),-2,IF(U369=regle!$B$11,0,IF(AO$1=$AK$1,IF($O369,-1,regle!$B$2-$M369),IF(AN369=-1,-1,AN369+1))))</f>
        <v>2</v>
      </c>
      <c r="AP369" s="16">
        <f>IF(OR(V369=regle!$J$11,V369=regle!$K$11),-2,IF(V369=regle!$B$11,0,IF(AP$1=$AK$1,IF($O369,-1,regle!$B$2-$M369),IF(AO369=-1,-1,AO369+1))))</f>
        <v>3</v>
      </c>
      <c r="AQ369" s="16">
        <f>IF(OR(W369=regle!$J$11,W369=regle!$K$11),-2,IF(W369=regle!$B$11,0,IF(AQ$1=$AK$1,IF($O369,-1,regle!$B$2-$M369),IF(AP369=-1,-1,AP369+1))))</f>
        <v>4</v>
      </c>
      <c r="AR369" s="16">
        <f>IF(OR(X369=regle!$J$11,X369=regle!$K$11),-2,IF(X369=regle!$B$11,0,IF(AR$1=$AK$1,IF($O369,-1,regle!$B$2-$M369),IF(AQ369=-1,-1,AQ369+1))))</f>
        <v>5</v>
      </c>
      <c r="AS369" s="16">
        <f>IF(OR(Y369=regle!$J$11,Y369=regle!$K$11),-2,IF(Y369=regle!$B$11,0,IF(AS$1=$AK$1,IF($O369,-1,regle!$B$2-$M369),IF(AR369=-1,-1,AR369+1))))</f>
        <v>6</v>
      </c>
      <c r="AT369" s="16">
        <f>IF(OR(Z369=regle!$J$11,Z369=regle!$K$11),-2,IF(Z369=regle!$B$11,0,IF(AT$1=$AK$1,IF($O369,-1,regle!$B$2-$M369),IF(AS369=-1,-1,AS369+1))))</f>
        <v>7</v>
      </c>
    </row>
    <row r="370" spans="1:46" x14ac:dyDescent="0.25">
      <c r="A370" t="b">
        <f>modif1!A370</f>
        <v>1</v>
      </c>
      <c r="B370">
        <f>ROW(modif1!B370)</f>
        <v>370</v>
      </c>
      <c r="C370" t="str">
        <f>modif1!C373</f>
        <v>202</v>
      </c>
      <c r="D370" t="str">
        <f>modif1!D370</f>
        <v>HOSTENS</v>
      </c>
      <c r="E370">
        <f>modif1!E370</f>
        <v>13</v>
      </c>
      <c r="F370" t="str">
        <f>modif1!F370</f>
        <v>LA BROUSTETTE</v>
      </c>
      <c r="G370" t="str">
        <f>modif1!G370</f>
        <v>0B</v>
      </c>
      <c r="H370">
        <f>modif1!H370</f>
        <v>1249</v>
      </c>
      <c r="I370" t="str">
        <f>modif1!I370</f>
        <v>o</v>
      </c>
      <c r="J370" s="11">
        <f>modif1!J370</f>
        <v>0.7853</v>
      </c>
      <c r="K370" t="str">
        <f>modif1!K370</f>
        <v>SL</v>
      </c>
      <c r="L370" t="str">
        <f>modif1!L370</f>
        <v>PM</v>
      </c>
      <c r="M370">
        <f>modif1!M370</f>
        <v>1987</v>
      </c>
      <c r="N370" t="str">
        <f>modif1!N370</f>
        <v>SL-PM_1987</v>
      </c>
      <c r="O370" t="b">
        <f>modif1!O370</f>
        <v>0</v>
      </c>
      <c r="P370">
        <v>25</v>
      </c>
      <c r="Q370" t="s">
        <v>63</v>
      </c>
      <c r="R370" s="22"/>
      <c r="S370" t="s">
        <v>1868</v>
      </c>
      <c r="Z370"/>
      <c r="AA370" s="17">
        <f>IF($A370,$J370*(IF(Q370=regle!$B$11,regle!$B$23*IF(AJ370=-2,1+regle!$B$35,1),
IF(Q370=regle!$C$11,regle!$C$23,
IF(Q370=regle!$D$11,regle!$D$23,
IF(Q370=regle!$E$11,regle!$E$23,
IF(Q370=regle!$F$11,regle!$F$23,
IF(Q370=regle!$G$11,regle!$G$23,
IF(Q370=regle!$H$11,regle!$H$23,
IF(Q370=regle!$I$11,regle!$I$23,
IF(Q370=regle!$J$11,regle!$J$23,
IF(Q370=regle!$K$11,regle!$K$23,0))))))))))))</f>
        <v>6910.64</v>
      </c>
      <c r="AB370" s="17">
        <f>IF($A370,$J370*(IF(R370=regle!$B$11,regle!$B$23*IF(AK370=-2,1+regle!$B$35,1),
IF(R370=regle!$C$11,regle!$C$23,
IF(R370=regle!$D$11,regle!$D$23,
IF(R370=regle!$E$11,regle!$E$23,
IF(R370=regle!$F$11,regle!$F$23,
IF(R370=regle!$G$11,regle!$G$23,
IF(R370=regle!$H$11,regle!$H$23,
IF(R370=regle!$I$11,regle!$I$23,
IF(R370=regle!$J$11,regle!$J$23,
IF(R370=regle!$K$11,regle!$K$23,0))))))))))))</f>
        <v>0</v>
      </c>
      <c r="AC370" s="17">
        <f>IF($A370,$J370*(IF(S370=regle!$B$11,regle!$B$23*IF(AL370=-2,1+regle!$B$35,1),
IF(S370=regle!$C$11,regle!$C$23,
IF(S370=regle!$D$11,regle!$D$23,
IF(S370=regle!$E$11,regle!$E$23,
IF(S370=regle!$F$11,regle!$F$23,
IF(S370=regle!$G$11,regle!$G$23,
IF(S370=regle!$H$11,regle!$H$23,
IF(S370=regle!$I$11,regle!$I$23,
IF(S370=regle!$J$11,regle!$J$23,
IF(S370=regle!$K$11,regle!$K$23,0))))))))))))</f>
        <v>-1335.01</v>
      </c>
      <c r="AD370" s="17">
        <f>IF($A370,$J370*(IF(T370=regle!$B$11,regle!$B$23*IF(AM370=-2,1+regle!$B$35,1),
IF(T370=regle!$C$11,regle!$C$23,
IF(T370=regle!$D$11,regle!$D$23,
IF(T370=regle!$E$11,regle!$E$23,
IF(T370=regle!$F$11,regle!$F$23,
IF(T370=regle!$G$11,regle!$G$23,
IF(T370=regle!$H$11,regle!$H$23,
IF(T370=regle!$I$11,regle!$I$23,
IF(T370=regle!$J$11,regle!$J$23,
IF(T370=regle!$K$11,regle!$K$23,0))))))))))))</f>
        <v>0</v>
      </c>
      <c r="AE370" s="17">
        <f>IF($A370,$J370*(IF(U370=regle!$B$11,regle!$B$23*IF(AN370=-2,1+regle!$B$35,1),
IF(U370=regle!$C$11,regle!$C$23,
IF(U370=regle!$D$11,regle!$D$23,
IF(U370=regle!$E$11,regle!$E$23,
IF(U370=regle!$F$11,regle!$F$23,
IF(U370=regle!$G$11,regle!$G$23,
IF(U370=regle!$H$11,regle!$H$23,
IF(U370=regle!$I$11,regle!$I$23,
IF(U370=regle!$J$11,regle!$J$23,
IF(U370=regle!$K$11,regle!$K$23,0))))))))))))</f>
        <v>0</v>
      </c>
      <c r="AF370" s="17">
        <f>IF($A370,$J370*(IF(V370=regle!$B$11,regle!$B$23*IF(AO370=-2,1+regle!$B$35,1),
IF(V370=regle!$C$11,regle!$C$23,
IF(V370=regle!$D$11,regle!$D$23,
IF(V370=regle!$E$11,regle!$E$23,
IF(V370=regle!$F$11,regle!$F$23,
IF(V370=regle!$G$11,regle!$G$23,
IF(V370=regle!$H$11,regle!$H$23,
IF(V370=regle!$I$11,regle!$I$23,
IF(V370=regle!$J$11,regle!$J$23,
IF(V370=regle!$K$11,regle!$K$23,0))))))))))))</f>
        <v>0</v>
      </c>
      <c r="AG370" s="17">
        <f>IF($A370,$J370*(IF(W370=regle!$B$11,regle!$B$23*IF(AP370=-2,1+regle!$B$35,1),
IF(W370=regle!$C$11,regle!$C$23,
IF(W370=regle!$D$11,regle!$D$23,
IF(W370=regle!$E$11,regle!$E$23,
IF(W370=regle!$F$11,regle!$F$23,
IF(W370=regle!$G$11,regle!$G$23,
IF(W370=regle!$H$11,regle!$H$23,
IF(W370=regle!$I$11,regle!$I$23,
IF(W370=regle!$J$11,regle!$J$23,
IF(W370=regle!$K$11,regle!$K$23,0))))))))))))</f>
        <v>0</v>
      </c>
      <c r="AH370" s="17">
        <f>IF($A370,$J370*(IF(X370=regle!$B$11,regle!$B$23*IF(AQ370=-2,1+regle!$B$35,1),
IF(X370=regle!$C$11,regle!$C$23,
IF(X370=regle!$D$11,regle!$D$23,
IF(X370=regle!$E$11,regle!$E$23,
IF(X370=regle!$F$11,regle!$F$23,
IF(X370=regle!$G$11,regle!$G$23,
IF(X370=regle!$H$11,regle!$H$23,
IF(X370=regle!$I$11,regle!$I$23,
IF(X370=regle!$J$11,regle!$J$23,
IF(X370=regle!$K$11,regle!$K$23,0))))))))))))</f>
        <v>0</v>
      </c>
      <c r="AI370" s="17">
        <f>IF($A370,$J370*(IF(Y370=regle!$B$11,regle!$B$23*IF(AR370=-2,1+regle!$B$35,1),
IF(Y370=regle!$C$11,regle!$C$23,
IF(Y370=regle!$D$11,regle!$D$23,
IF(Y370=regle!$E$11,regle!$E$23,
IF(Y370=regle!$F$11,regle!$F$23,
IF(Y370=regle!$G$11,regle!$G$23,
IF(Y370=regle!$H$11,regle!$H$23,
IF(Y370=regle!$I$11,regle!$I$23,
IF(Y370=regle!$J$11,regle!$J$23,
IF(Y370=regle!$K$11,regle!$K$23,0))))))))))))</f>
        <v>0</v>
      </c>
      <c r="AJ370" s="17">
        <f>IF($A370,$J370*(IF(Z370=regle!$B$11,regle!$B$23*IF(AS370=-2,1+regle!$B$35,1),
IF(Z370=regle!$C$11,regle!$C$23,
IF(Z370=regle!$D$11,regle!$D$23,
IF(Z370=regle!$E$11,regle!$E$23,
IF(Z370=regle!$F$11,regle!$F$23,
IF(Z370=regle!$G$11,regle!$G$23,
IF(Z370=regle!$H$11,regle!$H$23,
IF(Z370=regle!$I$11,regle!$I$23,
IF(Z370=regle!$J$11,regle!$J$23,
IF(Z370=regle!$K$11,regle!$K$23,0))))))))))))</f>
        <v>0</v>
      </c>
      <c r="AK370" s="16">
        <f>IF(OR(Q370=regle!$J$11,Q370=regle!$K$11),-2,IF(Q370=regle!$B$11,0,IF(AK$1=$AK$1,IF($O370,-1,regle!$B$2-$M370),IF(AJ370=-1,-1,AJ370+1))))</f>
        <v>-2</v>
      </c>
      <c r="AL370" s="16">
        <f>IF(OR(R370=regle!$J$11,R370=regle!$K$11),-2,IF(R370=regle!$B$11,0,IF(AL$1=$AK$1,IF($O370,-1,regle!$B$2-$M370),IF(AK370=-1,-1,AK370+1))))</f>
        <v>-1</v>
      </c>
      <c r="AM370" s="16">
        <f>IF(OR(S370=regle!$J$11,S370=regle!$K$11),-2,IF(S370=regle!$B$11,0,IF(AM$1=$AK$1,IF($O370,-1,regle!$B$2-$M370),IF(AL370=-1,-1,AL370+1))))</f>
        <v>0</v>
      </c>
      <c r="AN370" s="16">
        <f>IF(OR(T370=regle!$J$11,T370=regle!$K$11),-2,IF(T370=regle!$B$11,0,IF(AN$1=$AK$1,IF($O370,-1,regle!$B$2-$M370),IF(AM370=-1,-1,AM370+1))))</f>
        <v>1</v>
      </c>
      <c r="AO370" s="16">
        <f>IF(OR(U370=regle!$J$11,U370=regle!$K$11),-2,IF(U370=regle!$B$11,0,IF(AO$1=$AK$1,IF($O370,-1,regle!$B$2-$M370),IF(AN370=-1,-1,AN370+1))))</f>
        <v>2</v>
      </c>
      <c r="AP370" s="16">
        <f>IF(OR(V370=regle!$J$11,V370=regle!$K$11),-2,IF(V370=regle!$B$11,0,IF(AP$1=$AK$1,IF($O370,-1,regle!$B$2-$M370),IF(AO370=-1,-1,AO370+1))))</f>
        <v>3</v>
      </c>
      <c r="AQ370" s="16">
        <f>IF(OR(W370=regle!$J$11,W370=regle!$K$11),-2,IF(W370=regle!$B$11,0,IF(AQ$1=$AK$1,IF($O370,-1,regle!$B$2-$M370),IF(AP370=-1,-1,AP370+1))))</f>
        <v>4</v>
      </c>
      <c r="AR370" s="16">
        <f>IF(OR(X370=regle!$J$11,X370=regle!$K$11),-2,IF(X370=regle!$B$11,0,IF(AR$1=$AK$1,IF($O370,-1,regle!$B$2-$M370),IF(AQ370=-1,-1,AQ370+1))))</f>
        <v>5</v>
      </c>
      <c r="AS370" s="16">
        <f>IF(OR(Y370=regle!$J$11,Y370=regle!$K$11),-2,IF(Y370=regle!$B$11,0,IF(AS$1=$AK$1,IF($O370,-1,regle!$B$2-$M370),IF(AR370=-1,-1,AR370+1))))</f>
        <v>6</v>
      </c>
      <c r="AT370" s="16">
        <f>IF(OR(Z370=regle!$J$11,Z370=regle!$K$11),-2,IF(Z370=regle!$B$11,0,IF(AT$1=$AK$1,IF($O370,-1,regle!$B$2-$M370),IF(AS370=-1,-1,AS370+1))))</f>
        <v>7</v>
      </c>
    </row>
    <row r="371" spans="1:46" x14ac:dyDescent="0.25">
      <c r="A371" t="b">
        <f>modif1!A371</f>
        <v>1</v>
      </c>
      <c r="B371">
        <f>ROW(modif1!B371)</f>
        <v>371</v>
      </c>
      <c r="C371" t="str">
        <f>modif1!C374</f>
        <v>202</v>
      </c>
      <c r="D371" t="str">
        <f>modif1!D371</f>
        <v>HOSTENS</v>
      </c>
      <c r="E371">
        <f>modif1!E371</f>
        <v>13</v>
      </c>
      <c r="F371" t="str">
        <f>modif1!F371</f>
        <v>LA BROUSTETTE</v>
      </c>
      <c r="G371" t="str">
        <f>modif1!G371</f>
        <v>0B</v>
      </c>
      <c r="H371">
        <f>modif1!H371</f>
        <v>1222</v>
      </c>
      <c r="I371" t="str">
        <f>modif1!I371</f>
        <v/>
      </c>
      <c r="J371" s="11">
        <f>modif1!J371</f>
        <v>0.60099999999999998</v>
      </c>
      <c r="K371" t="str">
        <f>modif1!K371</f>
        <v>SL</v>
      </c>
      <c r="L371" t="str">
        <f>modif1!L371</f>
        <v>PM</v>
      </c>
      <c r="M371">
        <f>modif1!M371</f>
        <v>1987</v>
      </c>
      <c r="N371" t="str">
        <f>modif1!N371</f>
        <v>SL-PM_1987</v>
      </c>
      <c r="O371" t="b">
        <f>modif1!O371</f>
        <v>0</v>
      </c>
      <c r="P371">
        <v>25</v>
      </c>
      <c r="Q371" t="s">
        <v>63</v>
      </c>
      <c r="R371" s="22"/>
      <c r="S371" t="s">
        <v>1868</v>
      </c>
      <c r="Z371"/>
      <c r="AA371" s="17">
        <f>IF($A371,$J371*(IF(Q371=regle!$B$11,regle!$B$23*IF(AJ371=-2,1+regle!$B$35,1),
IF(Q371=regle!$C$11,regle!$C$23,
IF(Q371=regle!$D$11,regle!$D$23,
IF(Q371=regle!$E$11,regle!$E$23,
IF(Q371=regle!$F$11,regle!$F$23,
IF(Q371=regle!$G$11,regle!$G$23,
IF(Q371=regle!$H$11,regle!$H$23,
IF(Q371=regle!$I$11,regle!$I$23,
IF(Q371=regle!$J$11,regle!$J$23,
IF(Q371=regle!$K$11,regle!$K$23,0))))))))))))</f>
        <v>5288.8</v>
      </c>
      <c r="AB371" s="17">
        <f>IF($A371,$J371*(IF(R371=regle!$B$11,regle!$B$23*IF(AK371=-2,1+regle!$B$35,1),
IF(R371=regle!$C$11,regle!$C$23,
IF(R371=regle!$D$11,regle!$D$23,
IF(R371=regle!$E$11,regle!$E$23,
IF(R371=regle!$F$11,regle!$F$23,
IF(R371=regle!$G$11,regle!$G$23,
IF(R371=regle!$H$11,regle!$H$23,
IF(R371=regle!$I$11,regle!$I$23,
IF(R371=regle!$J$11,regle!$J$23,
IF(R371=regle!$K$11,regle!$K$23,0))))))))))))</f>
        <v>0</v>
      </c>
      <c r="AC371" s="17">
        <f>IF($A371,$J371*(IF(S371=regle!$B$11,regle!$B$23*IF(AL371=-2,1+regle!$B$35,1),
IF(S371=regle!$C$11,regle!$C$23,
IF(S371=regle!$D$11,regle!$D$23,
IF(S371=regle!$E$11,regle!$E$23,
IF(S371=regle!$F$11,regle!$F$23,
IF(S371=regle!$G$11,regle!$G$23,
IF(S371=regle!$H$11,regle!$H$23,
IF(S371=regle!$I$11,regle!$I$23,
IF(S371=regle!$J$11,regle!$J$23,
IF(S371=regle!$K$11,regle!$K$23,0))))))))))))</f>
        <v>-1021.6999999999999</v>
      </c>
      <c r="AD371" s="17">
        <f>IF($A371,$J371*(IF(T371=regle!$B$11,regle!$B$23*IF(AM371=-2,1+regle!$B$35,1),
IF(T371=regle!$C$11,regle!$C$23,
IF(T371=regle!$D$11,regle!$D$23,
IF(T371=regle!$E$11,regle!$E$23,
IF(T371=regle!$F$11,regle!$F$23,
IF(T371=regle!$G$11,regle!$G$23,
IF(T371=regle!$H$11,regle!$H$23,
IF(T371=regle!$I$11,regle!$I$23,
IF(T371=regle!$J$11,regle!$J$23,
IF(T371=regle!$K$11,regle!$K$23,0))))))))))))</f>
        <v>0</v>
      </c>
      <c r="AE371" s="17">
        <f>IF($A371,$J371*(IF(U371=regle!$B$11,regle!$B$23*IF(AN371=-2,1+regle!$B$35,1),
IF(U371=regle!$C$11,regle!$C$23,
IF(U371=regle!$D$11,regle!$D$23,
IF(U371=regle!$E$11,regle!$E$23,
IF(U371=regle!$F$11,regle!$F$23,
IF(U371=regle!$G$11,regle!$G$23,
IF(U371=regle!$H$11,regle!$H$23,
IF(U371=regle!$I$11,regle!$I$23,
IF(U371=regle!$J$11,regle!$J$23,
IF(U371=regle!$K$11,regle!$K$23,0))))))))))))</f>
        <v>0</v>
      </c>
      <c r="AF371" s="17">
        <f>IF($A371,$J371*(IF(V371=regle!$B$11,regle!$B$23*IF(AO371=-2,1+regle!$B$35,1),
IF(V371=regle!$C$11,regle!$C$23,
IF(V371=regle!$D$11,regle!$D$23,
IF(V371=regle!$E$11,regle!$E$23,
IF(V371=regle!$F$11,regle!$F$23,
IF(V371=regle!$G$11,regle!$G$23,
IF(V371=regle!$H$11,regle!$H$23,
IF(V371=regle!$I$11,regle!$I$23,
IF(V371=regle!$J$11,regle!$J$23,
IF(V371=regle!$K$11,regle!$K$23,0))))))))))))</f>
        <v>0</v>
      </c>
      <c r="AG371" s="17">
        <f>IF($A371,$J371*(IF(W371=regle!$B$11,regle!$B$23*IF(AP371=-2,1+regle!$B$35,1),
IF(W371=regle!$C$11,regle!$C$23,
IF(W371=regle!$D$11,regle!$D$23,
IF(W371=regle!$E$11,regle!$E$23,
IF(W371=regle!$F$11,regle!$F$23,
IF(W371=regle!$G$11,regle!$G$23,
IF(W371=regle!$H$11,regle!$H$23,
IF(W371=regle!$I$11,regle!$I$23,
IF(W371=regle!$J$11,regle!$J$23,
IF(W371=regle!$K$11,regle!$K$23,0))))))))))))</f>
        <v>0</v>
      </c>
      <c r="AH371" s="17">
        <f>IF($A371,$J371*(IF(X371=regle!$B$11,regle!$B$23*IF(AQ371=-2,1+regle!$B$35,1),
IF(X371=regle!$C$11,regle!$C$23,
IF(X371=regle!$D$11,regle!$D$23,
IF(X371=regle!$E$11,regle!$E$23,
IF(X371=regle!$F$11,regle!$F$23,
IF(X371=regle!$G$11,regle!$G$23,
IF(X371=regle!$H$11,regle!$H$23,
IF(X371=regle!$I$11,regle!$I$23,
IF(X371=regle!$J$11,regle!$J$23,
IF(X371=regle!$K$11,regle!$K$23,0))))))))))))</f>
        <v>0</v>
      </c>
      <c r="AI371" s="17">
        <f>IF($A371,$J371*(IF(Y371=regle!$B$11,regle!$B$23*IF(AR371=-2,1+regle!$B$35,1),
IF(Y371=regle!$C$11,regle!$C$23,
IF(Y371=regle!$D$11,regle!$D$23,
IF(Y371=regle!$E$11,regle!$E$23,
IF(Y371=regle!$F$11,regle!$F$23,
IF(Y371=regle!$G$11,regle!$G$23,
IF(Y371=regle!$H$11,regle!$H$23,
IF(Y371=regle!$I$11,regle!$I$23,
IF(Y371=regle!$J$11,regle!$J$23,
IF(Y371=regle!$K$11,regle!$K$23,0))))))))))))</f>
        <v>0</v>
      </c>
      <c r="AJ371" s="17">
        <f>IF($A371,$J371*(IF(Z371=regle!$B$11,regle!$B$23*IF(AS371=-2,1+regle!$B$35,1),
IF(Z371=regle!$C$11,regle!$C$23,
IF(Z371=regle!$D$11,regle!$D$23,
IF(Z371=regle!$E$11,regle!$E$23,
IF(Z371=regle!$F$11,regle!$F$23,
IF(Z371=regle!$G$11,regle!$G$23,
IF(Z371=regle!$H$11,regle!$H$23,
IF(Z371=regle!$I$11,regle!$I$23,
IF(Z371=regle!$J$11,regle!$J$23,
IF(Z371=regle!$K$11,regle!$K$23,0))))))))))))</f>
        <v>0</v>
      </c>
      <c r="AK371" s="16">
        <f>IF(OR(Q371=regle!$J$11,Q371=regle!$K$11),-2,IF(Q371=regle!$B$11,0,IF(AK$1=$AK$1,IF($O371,-1,regle!$B$2-$M371),IF(AJ371=-1,-1,AJ371+1))))</f>
        <v>-2</v>
      </c>
      <c r="AL371" s="16">
        <f>IF(OR(R371=regle!$J$11,R371=regle!$K$11),-2,IF(R371=regle!$B$11,0,IF(AL$1=$AK$1,IF($O371,-1,regle!$B$2-$M371),IF(AK371=-1,-1,AK371+1))))</f>
        <v>-1</v>
      </c>
      <c r="AM371" s="16">
        <f>IF(OR(S371=regle!$J$11,S371=regle!$K$11),-2,IF(S371=regle!$B$11,0,IF(AM$1=$AK$1,IF($O371,-1,regle!$B$2-$M371),IF(AL371=-1,-1,AL371+1))))</f>
        <v>0</v>
      </c>
      <c r="AN371" s="16">
        <f>IF(OR(T371=regle!$J$11,T371=regle!$K$11),-2,IF(T371=regle!$B$11,0,IF(AN$1=$AK$1,IF($O371,-1,regle!$B$2-$M371),IF(AM371=-1,-1,AM371+1))))</f>
        <v>1</v>
      </c>
      <c r="AO371" s="16">
        <f>IF(OR(U371=regle!$J$11,U371=regle!$K$11),-2,IF(U371=regle!$B$11,0,IF(AO$1=$AK$1,IF($O371,-1,regle!$B$2-$M371),IF(AN371=-1,-1,AN371+1))))</f>
        <v>2</v>
      </c>
      <c r="AP371" s="16">
        <f>IF(OR(V371=regle!$J$11,V371=regle!$K$11),-2,IF(V371=regle!$B$11,0,IF(AP$1=$AK$1,IF($O371,-1,regle!$B$2-$M371),IF(AO371=-1,-1,AO371+1))))</f>
        <v>3</v>
      </c>
      <c r="AQ371" s="16">
        <f>IF(OR(W371=regle!$J$11,W371=regle!$K$11),-2,IF(W371=regle!$B$11,0,IF(AQ$1=$AK$1,IF($O371,-1,regle!$B$2-$M371),IF(AP371=-1,-1,AP371+1))))</f>
        <v>4</v>
      </c>
      <c r="AR371" s="16">
        <f>IF(OR(X371=regle!$J$11,X371=regle!$K$11),-2,IF(X371=regle!$B$11,0,IF(AR$1=$AK$1,IF($O371,-1,regle!$B$2-$M371),IF(AQ371=-1,-1,AQ371+1))))</f>
        <v>5</v>
      </c>
      <c r="AS371" s="16">
        <f>IF(OR(Y371=regle!$J$11,Y371=regle!$K$11),-2,IF(Y371=regle!$B$11,0,IF(AS$1=$AK$1,IF($O371,-1,regle!$B$2-$M371),IF(AR371=-1,-1,AR371+1))))</f>
        <v>6</v>
      </c>
      <c r="AT371" s="16">
        <f>IF(OR(Z371=regle!$J$11,Z371=regle!$K$11),-2,IF(Z371=regle!$B$11,0,IF(AT$1=$AK$1,IF($O371,-1,regle!$B$2-$M371),IF(AS371=-1,-1,AS371+1))))</f>
        <v>7</v>
      </c>
    </row>
    <row r="372" spans="1:46" x14ac:dyDescent="0.25">
      <c r="A372" t="b">
        <f>modif1!A372</f>
        <v>1</v>
      </c>
      <c r="B372">
        <f>ROW(modif1!B372)</f>
        <v>372</v>
      </c>
      <c r="C372" t="str">
        <f>modif1!C375</f>
        <v>202</v>
      </c>
      <c r="D372" t="str">
        <f>modif1!D372</f>
        <v>HOSTENS</v>
      </c>
      <c r="E372">
        <f>modif1!E372</f>
        <v>13</v>
      </c>
      <c r="F372" t="str">
        <f>modif1!F372</f>
        <v>LA BROUSTETTE</v>
      </c>
      <c r="G372" t="str">
        <f>modif1!G372</f>
        <v>0B</v>
      </c>
      <c r="H372">
        <f>modif1!H372</f>
        <v>1246</v>
      </c>
      <c r="I372" t="str">
        <f>modif1!I372</f>
        <v>l</v>
      </c>
      <c r="J372" s="11">
        <f>modif1!J372</f>
        <v>0.39700000000000002</v>
      </c>
      <c r="K372" t="str">
        <f>modif1!K372</f>
        <v>SL</v>
      </c>
      <c r="L372" t="str">
        <f>modif1!L372</f>
        <v>PM</v>
      </c>
      <c r="M372">
        <f>modif1!M372</f>
        <v>1987</v>
      </c>
      <c r="N372" t="str">
        <f>modif1!N372</f>
        <v>SL-PM_1987</v>
      </c>
      <c r="O372" t="b">
        <f>modif1!O372</f>
        <v>0</v>
      </c>
      <c r="P372">
        <v>25</v>
      </c>
      <c r="Q372" t="s">
        <v>63</v>
      </c>
      <c r="R372" s="22"/>
      <c r="S372" t="s">
        <v>1868</v>
      </c>
      <c r="Z372"/>
      <c r="AA372" s="17">
        <f>IF($A372,$J372*(IF(Q372=regle!$B$11,regle!$B$23*IF(AJ372=-2,1+regle!$B$35,1),
IF(Q372=regle!$C$11,regle!$C$23,
IF(Q372=regle!$D$11,regle!$D$23,
IF(Q372=regle!$E$11,regle!$E$23,
IF(Q372=regle!$F$11,regle!$F$23,
IF(Q372=regle!$G$11,regle!$G$23,
IF(Q372=regle!$H$11,regle!$H$23,
IF(Q372=regle!$I$11,regle!$I$23,
IF(Q372=regle!$J$11,regle!$J$23,
IF(Q372=regle!$K$11,regle!$K$23,0))))))))))))</f>
        <v>3493.6000000000004</v>
      </c>
      <c r="AB372" s="17">
        <f>IF($A372,$J372*(IF(R372=regle!$B$11,regle!$B$23*IF(AK372=-2,1+regle!$B$35,1),
IF(R372=regle!$C$11,regle!$C$23,
IF(R372=regle!$D$11,regle!$D$23,
IF(R372=regle!$E$11,regle!$E$23,
IF(R372=regle!$F$11,regle!$F$23,
IF(R372=regle!$G$11,regle!$G$23,
IF(R372=regle!$H$11,regle!$H$23,
IF(R372=regle!$I$11,regle!$I$23,
IF(R372=regle!$J$11,regle!$J$23,
IF(R372=regle!$K$11,regle!$K$23,0))))))))))))</f>
        <v>0</v>
      </c>
      <c r="AC372" s="17">
        <f>IF($A372,$J372*(IF(S372=regle!$B$11,regle!$B$23*IF(AL372=-2,1+regle!$B$35,1),
IF(S372=regle!$C$11,regle!$C$23,
IF(S372=regle!$D$11,regle!$D$23,
IF(S372=regle!$E$11,regle!$E$23,
IF(S372=regle!$F$11,regle!$F$23,
IF(S372=regle!$G$11,regle!$G$23,
IF(S372=regle!$H$11,regle!$H$23,
IF(S372=regle!$I$11,regle!$I$23,
IF(S372=regle!$J$11,regle!$J$23,
IF(S372=regle!$K$11,regle!$K$23,0))))))))))))</f>
        <v>-674.9</v>
      </c>
      <c r="AD372" s="17">
        <f>IF($A372,$J372*(IF(T372=regle!$B$11,regle!$B$23*IF(AM372=-2,1+regle!$B$35,1),
IF(T372=regle!$C$11,regle!$C$23,
IF(T372=regle!$D$11,regle!$D$23,
IF(T372=regle!$E$11,regle!$E$23,
IF(T372=regle!$F$11,regle!$F$23,
IF(T372=regle!$G$11,regle!$G$23,
IF(T372=regle!$H$11,regle!$H$23,
IF(T372=regle!$I$11,regle!$I$23,
IF(T372=regle!$J$11,regle!$J$23,
IF(T372=regle!$K$11,regle!$K$23,0))))))))))))</f>
        <v>0</v>
      </c>
      <c r="AE372" s="17">
        <f>IF($A372,$J372*(IF(U372=regle!$B$11,regle!$B$23*IF(AN372=-2,1+regle!$B$35,1),
IF(U372=regle!$C$11,regle!$C$23,
IF(U372=regle!$D$11,regle!$D$23,
IF(U372=regle!$E$11,regle!$E$23,
IF(U372=regle!$F$11,regle!$F$23,
IF(U372=regle!$G$11,regle!$G$23,
IF(U372=regle!$H$11,regle!$H$23,
IF(U372=regle!$I$11,regle!$I$23,
IF(U372=regle!$J$11,regle!$J$23,
IF(U372=regle!$K$11,regle!$K$23,0))))))))))))</f>
        <v>0</v>
      </c>
      <c r="AF372" s="17">
        <f>IF($A372,$J372*(IF(V372=regle!$B$11,regle!$B$23*IF(AO372=-2,1+regle!$B$35,1),
IF(V372=regle!$C$11,regle!$C$23,
IF(V372=regle!$D$11,regle!$D$23,
IF(V372=regle!$E$11,regle!$E$23,
IF(V372=regle!$F$11,regle!$F$23,
IF(V372=regle!$G$11,regle!$G$23,
IF(V372=regle!$H$11,regle!$H$23,
IF(V372=regle!$I$11,regle!$I$23,
IF(V372=regle!$J$11,regle!$J$23,
IF(V372=regle!$K$11,regle!$K$23,0))))))))))))</f>
        <v>0</v>
      </c>
      <c r="AG372" s="17">
        <f>IF($A372,$J372*(IF(W372=regle!$B$11,regle!$B$23*IF(AP372=-2,1+regle!$B$35,1),
IF(W372=regle!$C$11,regle!$C$23,
IF(W372=regle!$D$11,regle!$D$23,
IF(W372=regle!$E$11,regle!$E$23,
IF(W372=regle!$F$11,regle!$F$23,
IF(W372=regle!$G$11,regle!$G$23,
IF(W372=regle!$H$11,regle!$H$23,
IF(W372=regle!$I$11,regle!$I$23,
IF(W372=regle!$J$11,regle!$J$23,
IF(W372=regle!$K$11,regle!$K$23,0))))))))))))</f>
        <v>0</v>
      </c>
      <c r="AH372" s="17">
        <f>IF($A372,$J372*(IF(X372=regle!$B$11,regle!$B$23*IF(AQ372=-2,1+regle!$B$35,1),
IF(X372=regle!$C$11,regle!$C$23,
IF(X372=regle!$D$11,regle!$D$23,
IF(X372=regle!$E$11,regle!$E$23,
IF(X372=regle!$F$11,regle!$F$23,
IF(X372=regle!$G$11,regle!$G$23,
IF(X372=regle!$H$11,regle!$H$23,
IF(X372=regle!$I$11,regle!$I$23,
IF(X372=regle!$J$11,regle!$J$23,
IF(X372=regle!$K$11,regle!$K$23,0))))))))))))</f>
        <v>0</v>
      </c>
      <c r="AI372" s="17">
        <f>IF($A372,$J372*(IF(Y372=regle!$B$11,regle!$B$23*IF(AR372=-2,1+regle!$B$35,1),
IF(Y372=regle!$C$11,regle!$C$23,
IF(Y372=regle!$D$11,regle!$D$23,
IF(Y372=regle!$E$11,regle!$E$23,
IF(Y372=regle!$F$11,regle!$F$23,
IF(Y372=regle!$G$11,regle!$G$23,
IF(Y372=regle!$H$11,regle!$H$23,
IF(Y372=regle!$I$11,regle!$I$23,
IF(Y372=regle!$J$11,regle!$J$23,
IF(Y372=regle!$K$11,regle!$K$23,0))))))))))))</f>
        <v>0</v>
      </c>
      <c r="AJ372" s="17">
        <f>IF($A372,$J372*(IF(Z372=regle!$B$11,regle!$B$23*IF(AS372=-2,1+regle!$B$35,1),
IF(Z372=regle!$C$11,regle!$C$23,
IF(Z372=regle!$D$11,regle!$D$23,
IF(Z372=regle!$E$11,regle!$E$23,
IF(Z372=regle!$F$11,regle!$F$23,
IF(Z372=regle!$G$11,regle!$G$23,
IF(Z372=regle!$H$11,regle!$H$23,
IF(Z372=regle!$I$11,regle!$I$23,
IF(Z372=regle!$J$11,regle!$J$23,
IF(Z372=regle!$K$11,regle!$K$23,0))))))))))))</f>
        <v>0</v>
      </c>
      <c r="AK372" s="16">
        <f>IF(OR(Q372=regle!$J$11,Q372=regle!$K$11),-2,IF(Q372=regle!$B$11,0,IF(AK$1=$AK$1,IF($O372,-1,regle!$B$2-$M372),IF(AJ372=-1,-1,AJ372+1))))</f>
        <v>-2</v>
      </c>
      <c r="AL372" s="16">
        <f>IF(OR(R372=regle!$J$11,R372=regle!$K$11),-2,IF(R372=regle!$B$11,0,IF(AL$1=$AK$1,IF($O372,-1,regle!$B$2-$M372),IF(AK372=-1,-1,AK372+1))))</f>
        <v>-1</v>
      </c>
      <c r="AM372" s="16">
        <f>IF(OR(S372=regle!$J$11,S372=regle!$K$11),-2,IF(S372=regle!$B$11,0,IF(AM$1=$AK$1,IF($O372,-1,regle!$B$2-$M372),IF(AL372=-1,-1,AL372+1))))</f>
        <v>0</v>
      </c>
      <c r="AN372" s="16">
        <f>IF(OR(T372=regle!$J$11,T372=regle!$K$11),-2,IF(T372=regle!$B$11,0,IF(AN$1=$AK$1,IF($O372,-1,regle!$B$2-$M372),IF(AM372=-1,-1,AM372+1))))</f>
        <v>1</v>
      </c>
      <c r="AO372" s="16">
        <f>IF(OR(U372=regle!$J$11,U372=regle!$K$11),-2,IF(U372=regle!$B$11,0,IF(AO$1=$AK$1,IF($O372,-1,regle!$B$2-$M372),IF(AN372=-1,-1,AN372+1))))</f>
        <v>2</v>
      </c>
      <c r="AP372" s="16">
        <f>IF(OR(V372=regle!$J$11,V372=regle!$K$11),-2,IF(V372=regle!$B$11,0,IF(AP$1=$AK$1,IF($O372,-1,regle!$B$2-$M372),IF(AO372=-1,-1,AO372+1))))</f>
        <v>3</v>
      </c>
      <c r="AQ372" s="16">
        <f>IF(OR(W372=regle!$J$11,W372=regle!$K$11),-2,IF(W372=regle!$B$11,0,IF(AQ$1=$AK$1,IF($O372,-1,regle!$B$2-$M372),IF(AP372=-1,-1,AP372+1))))</f>
        <v>4</v>
      </c>
      <c r="AR372" s="16">
        <f>IF(OR(X372=regle!$J$11,X372=regle!$K$11),-2,IF(X372=regle!$B$11,0,IF(AR$1=$AK$1,IF($O372,-1,regle!$B$2-$M372),IF(AQ372=-1,-1,AQ372+1))))</f>
        <v>5</v>
      </c>
      <c r="AS372" s="16">
        <f>IF(OR(Y372=regle!$J$11,Y372=regle!$K$11),-2,IF(Y372=regle!$B$11,0,IF(AS$1=$AK$1,IF($O372,-1,regle!$B$2-$M372),IF(AR372=-1,-1,AR372+1))))</f>
        <v>6</v>
      </c>
      <c r="AT372" s="16">
        <f>IF(OR(Z372=regle!$J$11,Z372=regle!$K$11),-2,IF(Z372=regle!$B$11,0,IF(AT$1=$AK$1,IF($O372,-1,regle!$B$2-$M372),IF(AS372=-1,-1,AS372+1))))</f>
        <v>7</v>
      </c>
    </row>
    <row r="373" spans="1:46" x14ac:dyDescent="0.25">
      <c r="A373" t="b">
        <f>modif1!A373</f>
        <v>1</v>
      </c>
      <c r="B373">
        <f>ROW(modif1!B373)</f>
        <v>373</v>
      </c>
      <c r="C373" t="str">
        <f>modif1!C376</f>
        <v>202</v>
      </c>
      <c r="D373" t="str">
        <f>modif1!D373</f>
        <v>HOSTENS</v>
      </c>
      <c r="E373">
        <f>modif1!E373</f>
        <v>13</v>
      </c>
      <c r="F373" t="str">
        <f>modif1!F373</f>
        <v>LA BROUSTETTE</v>
      </c>
      <c r="G373" t="str">
        <f>modif1!G373</f>
        <v>0B</v>
      </c>
      <c r="H373">
        <f>modif1!H373</f>
        <v>1248</v>
      </c>
      <c r="I373" t="str">
        <f>modif1!I373</f>
        <v/>
      </c>
      <c r="J373" s="11">
        <f>modif1!J373</f>
        <v>0.22850000000000001</v>
      </c>
      <c r="K373" t="str">
        <f>modif1!K373</f>
        <v>SL</v>
      </c>
      <c r="L373" t="str">
        <f>modif1!L373</f>
        <v>PM</v>
      </c>
      <c r="M373">
        <f>modif1!M373</f>
        <v>1987</v>
      </c>
      <c r="N373" t="str">
        <f>modif1!N373</f>
        <v>SL-PM_1987</v>
      </c>
      <c r="O373" t="b">
        <f>modif1!O373</f>
        <v>0</v>
      </c>
      <c r="P373">
        <v>25</v>
      </c>
      <c r="Q373" t="s">
        <v>63</v>
      </c>
      <c r="R373" s="22"/>
      <c r="S373" t="s">
        <v>1868</v>
      </c>
      <c r="Z373"/>
      <c r="AA373" s="17">
        <f>IF($A373,$J373*(IF(Q373=regle!$B$11,regle!$B$23*IF(AJ373=-2,1+regle!$B$35,1),
IF(Q373=regle!$C$11,regle!$C$23,
IF(Q373=regle!$D$11,regle!$D$23,
IF(Q373=regle!$E$11,regle!$E$23,
IF(Q373=regle!$F$11,regle!$F$23,
IF(Q373=regle!$G$11,regle!$G$23,
IF(Q373=regle!$H$11,regle!$H$23,
IF(Q373=regle!$I$11,regle!$I$23,
IF(Q373=regle!$J$11,regle!$J$23,
IF(Q373=regle!$K$11,regle!$K$23,0))))))))))))</f>
        <v>2010.8000000000002</v>
      </c>
      <c r="AB373" s="17">
        <f>IF($A373,$J373*(IF(R373=regle!$B$11,regle!$B$23*IF(AK373=-2,1+regle!$B$35,1),
IF(R373=regle!$C$11,regle!$C$23,
IF(R373=regle!$D$11,regle!$D$23,
IF(R373=regle!$E$11,regle!$E$23,
IF(R373=regle!$F$11,regle!$F$23,
IF(R373=regle!$G$11,regle!$G$23,
IF(R373=regle!$H$11,regle!$H$23,
IF(R373=regle!$I$11,regle!$I$23,
IF(R373=regle!$J$11,regle!$J$23,
IF(R373=regle!$K$11,regle!$K$23,0))))))))))))</f>
        <v>0</v>
      </c>
      <c r="AC373" s="17">
        <f>IF($A373,$J373*(IF(S373=regle!$B$11,regle!$B$23*IF(AL373=-2,1+regle!$B$35,1),
IF(S373=regle!$C$11,regle!$C$23,
IF(S373=regle!$D$11,regle!$D$23,
IF(S373=regle!$E$11,regle!$E$23,
IF(S373=regle!$F$11,regle!$F$23,
IF(S373=regle!$G$11,regle!$G$23,
IF(S373=regle!$H$11,regle!$H$23,
IF(S373=regle!$I$11,regle!$I$23,
IF(S373=regle!$J$11,regle!$J$23,
IF(S373=regle!$K$11,regle!$K$23,0))))))))))))</f>
        <v>-388.45</v>
      </c>
      <c r="AD373" s="17">
        <f>IF($A373,$J373*(IF(T373=regle!$B$11,regle!$B$23*IF(AM373=-2,1+regle!$B$35,1),
IF(T373=regle!$C$11,regle!$C$23,
IF(T373=regle!$D$11,regle!$D$23,
IF(T373=regle!$E$11,regle!$E$23,
IF(T373=regle!$F$11,regle!$F$23,
IF(T373=regle!$G$11,regle!$G$23,
IF(T373=regle!$H$11,regle!$H$23,
IF(T373=regle!$I$11,regle!$I$23,
IF(T373=regle!$J$11,regle!$J$23,
IF(T373=regle!$K$11,regle!$K$23,0))))))))))))</f>
        <v>0</v>
      </c>
      <c r="AE373" s="17">
        <f>IF($A373,$J373*(IF(U373=regle!$B$11,regle!$B$23*IF(AN373=-2,1+regle!$B$35,1),
IF(U373=regle!$C$11,regle!$C$23,
IF(U373=regle!$D$11,regle!$D$23,
IF(U373=regle!$E$11,regle!$E$23,
IF(U373=regle!$F$11,regle!$F$23,
IF(U373=regle!$G$11,regle!$G$23,
IF(U373=regle!$H$11,regle!$H$23,
IF(U373=regle!$I$11,regle!$I$23,
IF(U373=regle!$J$11,regle!$J$23,
IF(U373=regle!$K$11,regle!$K$23,0))))))))))))</f>
        <v>0</v>
      </c>
      <c r="AF373" s="17">
        <f>IF($A373,$J373*(IF(V373=regle!$B$11,regle!$B$23*IF(AO373=-2,1+regle!$B$35,1),
IF(V373=regle!$C$11,regle!$C$23,
IF(V373=regle!$D$11,regle!$D$23,
IF(V373=regle!$E$11,regle!$E$23,
IF(V373=regle!$F$11,regle!$F$23,
IF(V373=regle!$G$11,regle!$G$23,
IF(V373=regle!$H$11,regle!$H$23,
IF(V373=regle!$I$11,regle!$I$23,
IF(V373=regle!$J$11,regle!$J$23,
IF(V373=regle!$K$11,regle!$K$23,0))))))))))))</f>
        <v>0</v>
      </c>
      <c r="AG373" s="17">
        <f>IF($A373,$J373*(IF(W373=regle!$B$11,regle!$B$23*IF(AP373=-2,1+regle!$B$35,1),
IF(W373=regle!$C$11,regle!$C$23,
IF(W373=regle!$D$11,regle!$D$23,
IF(W373=regle!$E$11,regle!$E$23,
IF(W373=regle!$F$11,regle!$F$23,
IF(W373=regle!$G$11,regle!$G$23,
IF(W373=regle!$H$11,regle!$H$23,
IF(W373=regle!$I$11,regle!$I$23,
IF(W373=regle!$J$11,regle!$J$23,
IF(W373=regle!$K$11,regle!$K$23,0))))))))))))</f>
        <v>0</v>
      </c>
      <c r="AH373" s="17">
        <f>IF($A373,$J373*(IF(X373=regle!$B$11,regle!$B$23*IF(AQ373=-2,1+regle!$B$35,1),
IF(X373=regle!$C$11,regle!$C$23,
IF(X373=regle!$D$11,regle!$D$23,
IF(X373=regle!$E$11,regle!$E$23,
IF(X373=regle!$F$11,regle!$F$23,
IF(X373=regle!$G$11,regle!$G$23,
IF(X373=regle!$H$11,regle!$H$23,
IF(X373=regle!$I$11,regle!$I$23,
IF(X373=regle!$J$11,regle!$J$23,
IF(X373=regle!$K$11,regle!$K$23,0))))))))))))</f>
        <v>0</v>
      </c>
      <c r="AI373" s="17">
        <f>IF($A373,$J373*(IF(Y373=regle!$B$11,regle!$B$23*IF(AR373=-2,1+regle!$B$35,1),
IF(Y373=regle!$C$11,regle!$C$23,
IF(Y373=regle!$D$11,regle!$D$23,
IF(Y373=regle!$E$11,regle!$E$23,
IF(Y373=regle!$F$11,regle!$F$23,
IF(Y373=regle!$G$11,regle!$G$23,
IF(Y373=regle!$H$11,regle!$H$23,
IF(Y373=regle!$I$11,regle!$I$23,
IF(Y373=regle!$J$11,regle!$J$23,
IF(Y373=regle!$K$11,regle!$K$23,0))))))))))))</f>
        <v>0</v>
      </c>
      <c r="AJ373" s="17">
        <f>IF($A373,$J373*(IF(Z373=regle!$B$11,regle!$B$23*IF(AS373=-2,1+regle!$B$35,1),
IF(Z373=regle!$C$11,regle!$C$23,
IF(Z373=regle!$D$11,regle!$D$23,
IF(Z373=regle!$E$11,regle!$E$23,
IF(Z373=regle!$F$11,regle!$F$23,
IF(Z373=regle!$G$11,regle!$G$23,
IF(Z373=regle!$H$11,regle!$H$23,
IF(Z373=regle!$I$11,regle!$I$23,
IF(Z373=regle!$J$11,regle!$J$23,
IF(Z373=regle!$K$11,regle!$K$23,0))))))))))))</f>
        <v>0</v>
      </c>
      <c r="AK373" s="16">
        <f>IF(OR(Q373=regle!$J$11,Q373=regle!$K$11),-2,IF(Q373=regle!$B$11,0,IF(AK$1=$AK$1,IF($O373,-1,regle!$B$2-$M373),IF(AJ373=-1,-1,AJ373+1))))</f>
        <v>-2</v>
      </c>
      <c r="AL373" s="16">
        <f>IF(OR(R373=regle!$J$11,R373=regle!$K$11),-2,IF(R373=regle!$B$11,0,IF(AL$1=$AK$1,IF($O373,-1,regle!$B$2-$M373),IF(AK373=-1,-1,AK373+1))))</f>
        <v>-1</v>
      </c>
      <c r="AM373" s="16">
        <f>IF(OR(S373=regle!$J$11,S373=regle!$K$11),-2,IF(S373=regle!$B$11,0,IF(AM$1=$AK$1,IF($O373,-1,regle!$B$2-$M373),IF(AL373=-1,-1,AL373+1))))</f>
        <v>0</v>
      </c>
      <c r="AN373" s="16">
        <f>IF(OR(T373=regle!$J$11,T373=regle!$K$11),-2,IF(T373=regle!$B$11,0,IF(AN$1=$AK$1,IF($O373,-1,regle!$B$2-$M373),IF(AM373=-1,-1,AM373+1))))</f>
        <v>1</v>
      </c>
      <c r="AO373" s="16">
        <f>IF(OR(U373=regle!$J$11,U373=regle!$K$11),-2,IF(U373=regle!$B$11,0,IF(AO$1=$AK$1,IF($O373,-1,regle!$B$2-$M373),IF(AN373=-1,-1,AN373+1))))</f>
        <v>2</v>
      </c>
      <c r="AP373" s="16">
        <f>IF(OR(V373=regle!$J$11,V373=regle!$K$11),-2,IF(V373=regle!$B$11,0,IF(AP$1=$AK$1,IF($O373,-1,regle!$B$2-$M373),IF(AO373=-1,-1,AO373+1))))</f>
        <v>3</v>
      </c>
      <c r="AQ373" s="16">
        <f>IF(OR(W373=regle!$J$11,W373=regle!$K$11),-2,IF(W373=regle!$B$11,0,IF(AQ$1=$AK$1,IF($O373,-1,regle!$B$2-$M373),IF(AP373=-1,-1,AP373+1))))</f>
        <v>4</v>
      </c>
      <c r="AR373" s="16">
        <f>IF(OR(X373=regle!$J$11,X373=regle!$K$11),-2,IF(X373=regle!$B$11,0,IF(AR$1=$AK$1,IF($O373,-1,regle!$B$2-$M373),IF(AQ373=-1,-1,AQ373+1))))</f>
        <v>5</v>
      </c>
      <c r="AS373" s="16">
        <f>IF(OR(Y373=regle!$J$11,Y373=regle!$K$11),-2,IF(Y373=regle!$B$11,0,IF(AS$1=$AK$1,IF($O373,-1,regle!$B$2-$M373),IF(AR373=-1,-1,AR373+1))))</f>
        <v>6</v>
      </c>
      <c r="AT373" s="16">
        <f>IF(OR(Z373=regle!$J$11,Z373=regle!$K$11),-2,IF(Z373=regle!$B$11,0,IF(AT$1=$AK$1,IF($O373,-1,regle!$B$2-$M373),IF(AS373=-1,-1,AS373+1))))</f>
        <v>7</v>
      </c>
    </row>
    <row r="374" spans="1:46" x14ac:dyDescent="0.25">
      <c r="A374" t="b">
        <f>modif1!A374</f>
        <v>1</v>
      </c>
      <c r="B374">
        <f>ROW(modif1!B374)</f>
        <v>374</v>
      </c>
      <c r="C374" t="str">
        <f>modif1!C377</f>
        <v>536</v>
      </c>
      <c r="D374" t="str">
        <f>modif1!D374</f>
        <v>HOSTENS</v>
      </c>
      <c r="E374">
        <f>modif1!E374</f>
        <v>11</v>
      </c>
      <c r="F374" t="str">
        <f>modif1!F374</f>
        <v>LES CAZALAS</v>
      </c>
      <c r="G374" t="str">
        <f>modif1!G374</f>
        <v>0B</v>
      </c>
      <c r="H374">
        <f>modif1!H374</f>
        <v>1187</v>
      </c>
      <c r="I374" t="str">
        <f>modif1!I374</f>
        <v>k</v>
      </c>
      <c r="J374" s="11">
        <f>modif1!J374</f>
        <v>0.90339999999999998</v>
      </c>
      <c r="K374" t="str">
        <f>modif1!K374</f>
        <v>SL</v>
      </c>
      <c r="L374" t="str">
        <f>modif1!L374</f>
        <v>PM</v>
      </c>
      <c r="M374">
        <f>modif1!M374</f>
        <v>1984</v>
      </c>
      <c r="N374" t="str">
        <f>modif1!N374</f>
        <v>SL-PM_1984</v>
      </c>
      <c r="O374" t="b">
        <f>modif1!O374</f>
        <v>0</v>
      </c>
      <c r="P374">
        <v>25</v>
      </c>
      <c r="Q374" t="s">
        <v>63</v>
      </c>
      <c r="R374" s="22"/>
      <c r="S374" t="s">
        <v>1868</v>
      </c>
      <c r="Z374"/>
      <c r="AA374" s="17">
        <f>IF($A374,$J374*(IF(Q374=regle!$B$11,regle!$B$23*IF(AJ374=-2,1+regle!$B$35,1),
IF(Q374=regle!$C$11,regle!$C$23,
IF(Q374=regle!$D$11,regle!$D$23,
IF(Q374=regle!$E$11,regle!$E$23,
IF(Q374=regle!$F$11,regle!$F$23,
IF(Q374=regle!$G$11,regle!$G$23,
IF(Q374=regle!$H$11,regle!$H$23,
IF(Q374=regle!$I$11,regle!$I$23,
IF(Q374=regle!$J$11,regle!$J$23,
IF(Q374=regle!$K$11,regle!$K$23,0))))))))))))</f>
        <v>7949.92</v>
      </c>
      <c r="AB374" s="17">
        <f>IF($A374,$J374*(IF(R374=regle!$B$11,regle!$B$23*IF(AK374=-2,1+regle!$B$35,1),
IF(R374=regle!$C$11,regle!$C$23,
IF(R374=regle!$D$11,regle!$D$23,
IF(R374=regle!$E$11,regle!$E$23,
IF(R374=regle!$F$11,regle!$F$23,
IF(R374=regle!$G$11,regle!$G$23,
IF(R374=regle!$H$11,regle!$H$23,
IF(R374=regle!$I$11,regle!$I$23,
IF(R374=regle!$J$11,regle!$J$23,
IF(R374=regle!$K$11,regle!$K$23,0))))))))))))</f>
        <v>0</v>
      </c>
      <c r="AC374" s="17">
        <f>IF($A374,$J374*(IF(S374=regle!$B$11,regle!$B$23*IF(AL374=-2,1+regle!$B$35,1),
IF(S374=regle!$C$11,regle!$C$23,
IF(S374=regle!$D$11,regle!$D$23,
IF(S374=regle!$E$11,regle!$E$23,
IF(S374=regle!$F$11,regle!$F$23,
IF(S374=regle!$G$11,regle!$G$23,
IF(S374=regle!$H$11,regle!$H$23,
IF(S374=regle!$I$11,regle!$I$23,
IF(S374=regle!$J$11,regle!$J$23,
IF(S374=regle!$K$11,regle!$K$23,0))))))))))))</f>
        <v>-1535.78</v>
      </c>
      <c r="AD374" s="17">
        <f>IF($A374,$J374*(IF(T374=regle!$B$11,regle!$B$23*IF(AM374=-2,1+regle!$B$35,1),
IF(T374=regle!$C$11,regle!$C$23,
IF(T374=regle!$D$11,regle!$D$23,
IF(T374=regle!$E$11,regle!$E$23,
IF(T374=regle!$F$11,regle!$F$23,
IF(T374=regle!$G$11,regle!$G$23,
IF(T374=regle!$H$11,regle!$H$23,
IF(T374=regle!$I$11,regle!$I$23,
IF(T374=regle!$J$11,regle!$J$23,
IF(T374=regle!$K$11,regle!$K$23,0))))))))))))</f>
        <v>0</v>
      </c>
      <c r="AE374" s="17">
        <f>IF($A374,$J374*(IF(U374=regle!$B$11,regle!$B$23*IF(AN374=-2,1+regle!$B$35,1),
IF(U374=regle!$C$11,regle!$C$23,
IF(U374=regle!$D$11,regle!$D$23,
IF(U374=regle!$E$11,regle!$E$23,
IF(U374=regle!$F$11,regle!$F$23,
IF(U374=regle!$G$11,regle!$G$23,
IF(U374=regle!$H$11,regle!$H$23,
IF(U374=regle!$I$11,regle!$I$23,
IF(U374=regle!$J$11,regle!$J$23,
IF(U374=regle!$K$11,regle!$K$23,0))))))))))))</f>
        <v>0</v>
      </c>
      <c r="AF374" s="17">
        <f>IF($A374,$J374*(IF(V374=regle!$B$11,regle!$B$23*IF(AO374=-2,1+regle!$B$35,1),
IF(V374=regle!$C$11,regle!$C$23,
IF(V374=regle!$D$11,regle!$D$23,
IF(V374=regle!$E$11,regle!$E$23,
IF(V374=regle!$F$11,regle!$F$23,
IF(V374=regle!$G$11,regle!$G$23,
IF(V374=regle!$H$11,regle!$H$23,
IF(V374=regle!$I$11,regle!$I$23,
IF(V374=regle!$J$11,regle!$J$23,
IF(V374=regle!$K$11,regle!$K$23,0))))))))))))</f>
        <v>0</v>
      </c>
      <c r="AG374" s="17">
        <f>IF($A374,$J374*(IF(W374=regle!$B$11,regle!$B$23*IF(AP374=-2,1+regle!$B$35,1),
IF(W374=regle!$C$11,regle!$C$23,
IF(W374=regle!$D$11,regle!$D$23,
IF(W374=regle!$E$11,regle!$E$23,
IF(W374=regle!$F$11,regle!$F$23,
IF(W374=regle!$G$11,regle!$G$23,
IF(W374=regle!$H$11,regle!$H$23,
IF(W374=regle!$I$11,regle!$I$23,
IF(W374=regle!$J$11,regle!$J$23,
IF(W374=regle!$K$11,regle!$K$23,0))))))))))))</f>
        <v>0</v>
      </c>
      <c r="AH374" s="17">
        <f>IF($A374,$J374*(IF(X374=regle!$B$11,regle!$B$23*IF(AQ374=-2,1+regle!$B$35,1),
IF(X374=regle!$C$11,regle!$C$23,
IF(X374=regle!$D$11,regle!$D$23,
IF(X374=regle!$E$11,regle!$E$23,
IF(X374=regle!$F$11,regle!$F$23,
IF(X374=regle!$G$11,regle!$G$23,
IF(X374=regle!$H$11,regle!$H$23,
IF(X374=regle!$I$11,regle!$I$23,
IF(X374=regle!$J$11,regle!$J$23,
IF(X374=regle!$K$11,regle!$K$23,0))))))))))))</f>
        <v>0</v>
      </c>
      <c r="AI374" s="17">
        <f>IF($A374,$J374*(IF(Y374=regle!$B$11,regle!$B$23*IF(AR374=-2,1+regle!$B$35,1),
IF(Y374=regle!$C$11,regle!$C$23,
IF(Y374=regle!$D$11,regle!$D$23,
IF(Y374=regle!$E$11,regle!$E$23,
IF(Y374=regle!$F$11,regle!$F$23,
IF(Y374=regle!$G$11,regle!$G$23,
IF(Y374=regle!$H$11,regle!$H$23,
IF(Y374=regle!$I$11,regle!$I$23,
IF(Y374=regle!$J$11,regle!$J$23,
IF(Y374=regle!$K$11,regle!$K$23,0))))))))))))</f>
        <v>0</v>
      </c>
      <c r="AJ374" s="17">
        <f>IF($A374,$J374*(IF(Z374=regle!$B$11,regle!$B$23*IF(AS374=-2,1+regle!$B$35,1),
IF(Z374=regle!$C$11,regle!$C$23,
IF(Z374=regle!$D$11,regle!$D$23,
IF(Z374=regle!$E$11,regle!$E$23,
IF(Z374=regle!$F$11,regle!$F$23,
IF(Z374=regle!$G$11,regle!$G$23,
IF(Z374=regle!$H$11,regle!$H$23,
IF(Z374=regle!$I$11,regle!$I$23,
IF(Z374=regle!$J$11,regle!$J$23,
IF(Z374=regle!$K$11,regle!$K$23,0))))))))))))</f>
        <v>0</v>
      </c>
      <c r="AK374" s="16">
        <f>IF(OR(Q374=regle!$J$11,Q374=regle!$K$11),-2,IF(Q374=regle!$B$11,0,IF(AK$1=$AK$1,IF($O374,-1,regle!$B$2-$M374),IF(AJ374=-1,-1,AJ374+1))))</f>
        <v>-2</v>
      </c>
      <c r="AL374" s="16">
        <f>IF(OR(R374=regle!$J$11,R374=regle!$K$11),-2,IF(R374=regle!$B$11,0,IF(AL$1=$AK$1,IF($O374,-1,regle!$B$2-$M374),IF(AK374=-1,-1,AK374+1))))</f>
        <v>-1</v>
      </c>
      <c r="AM374" s="16">
        <f>IF(OR(S374=regle!$J$11,S374=regle!$K$11),-2,IF(S374=regle!$B$11,0,IF(AM$1=$AK$1,IF($O374,-1,regle!$B$2-$M374),IF(AL374=-1,-1,AL374+1))))</f>
        <v>0</v>
      </c>
      <c r="AN374" s="16">
        <f>IF(OR(T374=regle!$J$11,T374=regle!$K$11),-2,IF(T374=regle!$B$11,0,IF(AN$1=$AK$1,IF($O374,-1,regle!$B$2-$M374),IF(AM374=-1,-1,AM374+1))))</f>
        <v>1</v>
      </c>
      <c r="AO374" s="16">
        <f>IF(OR(U374=regle!$J$11,U374=regle!$K$11),-2,IF(U374=regle!$B$11,0,IF(AO$1=$AK$1,IF($O374,-1,regle!$B$2-$M374),IF(AN374=-1,-1,AN374+1))))</f>
        <v>2</v>
      </c>
      <c r="AP374" s="16">
        <f>IF(OR(V374=regle!$J$11,V374=regle!$K$11),-2,IF(V374=regle!$B$11,0,IF(AP$1=$AK$1,IF($O374,-1,regle!$B$2-$M374),IF(AO374=-1,-1,AO374+1))))</f>
        <v>3</v>
      </c>
      <c r="AQ374" s="16">
        <f>IF(OR(W374=regle!$J$11,W374=regle!$K$11),-2,IF(W374=regle!$B$11,0,IF(AQ$1=$AK$1,IF($O374,-1,regle!$B$2-$M374),IF(AP374=-1,-1,AP374+1))))</f>
        <v>4</v>
      </c>
      <c r="AR374" s="16">
        <f>IF(OR(X374=regle!$J$11,X374=regle!$K$11),-2,IF(X374=regle!$B$11,0,IF(AR$1=$AK$1,IF($O374,-1,regle!$B$2-$M374),IF(AQ374=-1,-1,AQ374+1))))</f>
        <v>5</v>
      </c>
      <c r="AS374" s="16">
        <f>IF(OR(Y374=regle!$J$11,Y374=regle!$K$11),-2,IF(Y374=regle!$B$11,0,IF(AS$1=$AK$1,IF($O374,-1,regle!$B$2-$M374),IF(AR374=-1,-1,AR374+1))))</f>
        <v>6</v>
      </c>
      <c r="AT374" s="16">
        <f>IF(OR(Z374=regle!$J$11,Z374=regle!$K$11),-2,IF(Z374=regle!$B$11,0,IF(AT$1=$AK$1,IF($O374,-1,regle!$B$2-$M374),IF(AS374=-1,-1,AS374+1))))</f>
        <v>7</v>
      </c>
    </row>
    <row r="375" spans="1:46" x14ac:dyDescent="0.25">
      <c r="A375" t="b">
        <f>modif1!A375</f>
        <v>1</v>
      </c>
      <c r="B375">
        <f>ROW(modif1!B375)</f>
        <v>375</v>
      </c>
      <c r="C375" t="str">
        <f>modif1!C378</f>
        <v>536</v>
      </c>
      <c r="D375" t="str">
        <f>modif1!D375</f>
        <v>HOSTENS</v>
      </c>
      <c r="E375">
        <f>modif1!E375</f>
        <v>11</v>
      </c>
      <c r="F375" t="str">
        <f>modif1!F375</f>
        <v>LES CAZALAS</v>
      </c>
      <c r="G375" t="str">
        <f>modif1!G375</f>
        <v>0B</v>
      </c>
      <c r="H375">
        <f>modif1!H375</f>
        <v>1184</v>
      </c>
      <c r="I375" t="str">
        <f>modif1!I375</f>
        <v>l</v>
      </c>
      <c r="J375" s="11">
        <f>modif1!J375</f>
        <v>3.2121</v>
      </c>
      <c r="K375" t="str">
        <f>modif1!K375</f>
        <v>SL</v>
      </c>
      <c r="L375" t="str">
        <f>modif1!L375</f>
        <v>PM</v>
      </c>
      <c r="M375">
        <f>modif1!M375</f>
        <v>1973</v>
      </c>
      <c r="N375" t="str">
        <f>modif1!N375</f>
        <v>SL-PM_1973</v>
      </c>
      <c r="O375" t="b">
        <f>modif1!O375</f>
        <v>0</v>
      </c>
      <c r="P375">
        <v>25</v>
      </c>
      <c r="Q375" t="s">
        <v>63</v>
      </c>
      <c r="R375" s="22"/>
      <c r="S375" t="s">
        <v>1868</v>
      </c>
      <c r="Z375"/>
      <c r="AA375" s="17">
        <f>IF($A375,$J375*(IF(Q375=regle!$B$11,regle!$B$23*IF(AJ375=-2,1+regle!$B$35,1),
IF(Q375=regle!$C$11,regle!$C$23,
IF(Q375=regle!$D$11,regle!$D$23,
IF(Q375=regle!$E$11,regle!$E$23,
IF(Q375=regle!$F$11,regle!$F$23,
IF(Q375=regle!$G$11,regle!$G$23,
IF(Q375=regle!$H$11,regle!$H$23,
IF(Q375=regle!$I$11,regle!$I$23,
IF(Q375=regle!$J$11,regle!$J$23,
IF(Q375=regle!$K$11,regle!$K$23,0))))))))))))</f>
        <v>28266.48</v>
      </c>
      <c r="AB375" s="17">
        <f>IF($A375,$J375*(IF(R375=regle!$B$11,regle!$B$23*IF(AK375=-2,1+regle!$B$35,1),
IF(R375=regle!$C$11,regle!$C$23,
IF(R375=regle!$D$11,regle!$D$23,
IF(R375=regle!$E$11,regle!$E$23,
IF(R375=regle!$F$11,regle!$F$23,
IF(R375=regle!$G$11,regle!$G$23,
IF(R375=regle!$H$11,regle!$H$23,
IF(R375=regle!$I$11,regle!$I$23,
IF(R375=regle!$J$11,regle!$J$23,
IF(R375=regle!$K$11,regle!$K$23,0))))))))))))</f>
        <v>0</v>
      </c>
      <c r="AC375" s="17">
        <f>IF($A375,$J375*(IF(S375=regle!$B$11,regle!$B$23*IF(AL375=-2,1+regle!$B$35,1),
IF(S375=regle!$C$11,regle!$C$23,
IF(S375=regle!$D$11,regle!$D$23,
IF(S375=regle!$E$11,regle!$E$23,
IF(S375=regle!$F$11,regle!$F$23,
IF(S375=regle!$G$11,regle!$G$23,
IF(S375=regle!$H$11,regle!$H$23,
IF(S375=regle!$I$11,regle!$I$23,
IF(S375=regle!$J$11,regle!$J$23,
IF(S375=regle!$K$11,regle!$K$23,0))))))))))))</f>
        <v>-5460.57</v>
      </c>
      <c r="AD375" s="17">
        <f>IF($A375,$J375*(IF(T375=regle!$B$11,regle!$B$23*IF(AM375=-2,1+regle!$B$35,1),
IF(T375=regle!$C$11,regle!$C$23,
IF(T375=regle!$D$11,regle!$D$23,
IF(T375=regle!$E$11,regle!$E$23,
IF(T375=regle!$F$11,regle!$F$23,
IF(T375=regle!$G$11,regle!$G$23,
IF(T375=regle!$H$11,regle!$H$23,
IF(T375=regle!$I$11,regle!$I$23,
IF(T375=regle!$J$11,regle!$J$23,
IF(T375=regle!$K$11,regle!$K$23,0))))))))))))</f>
        <v>0</v>
      </c>
      <c r="AE375" s="17">
        <f>IF($A375,$J375*(IF(U375=regle!$B$11,regle!$B$23*IF(AN375=-2,1+regle!$B$35,1),
IF(U375=regle!$C$11,regle!$C$23,
IF(U375=regle!$D$11,regle!$D$23,
IF(U375=regle!$E$11,regle!$E$23,
IF(U375=regle!$F$11,regle!$F$23,
IF(U375=regle!$G$11,regle!$G$23,
IF(U375=regle!$H$11,regle!$H$23,
IF(U375=regle!$I$11,regle!$I$23,
IF(U375=regle!$J$11,regle!$J$23,
IF(U375=regle!$K$11,regle!$K$23,0))))))))))))</f>
        <v>0</v>
      </c>
      <c r="AF375" s="17">
        <f>IF($A375,$J375*(IF(V375=regle!$B$11,regle!$B$23*IF(AO375=-2,1+regle!$B$35,1),
IF(V375=regle!$C$11,regle!$C$23,
IF(V375=regle!$D$11,regle!$D$23,
IF(V375=regle!$E$11,regle!$E$23,
IF(V375=regle!$F$11,regle!$F$23,
IF(V375=regle!$G$11,regle!$G$23,
IF(V375=regle!$H$11,regle!$H$23,
IF(V375=regle!$I$11,regle!$I$23,
IF(V375=regle!$J$11,regle!$J$23,
IF(V375=regle!$K$11,regle!$K$23,0))))))))))))</f>
        <v>0</v>
      </c>
      <c r="AG375" s="17">
        <f>IF($A375,$J375*(IF(W375=regle!$B$11,regle!$B$23*IF(AP375=-2,1+regle!$B$35,1),
IF(W375=regle!$C$11,regle!$C$23,
IF(W375=regle!$D$11,regle!$D$23,
IF(W375=regle!$E$11,regle!$E$23,
IF(W375=regle!$F$11,regle!$F$23,
IF(W375=regle!$G$11,regle!$G$23,
IF(W375=regle!$H$11,regle!$H$23,
IF(W375=regle!$I$11,regle!$I$23,
IF(W375=regle!$J$11,regle!$J$23,
IF(W375=regle!$K$11,regle!$K$23,0))))))))))))</f>
        <v>0</v>
      </c>
      <c r="AH375" s="17">
        <f>IF($A375,$J375*(IF(X375=regle!$B$11,regle!$B$23*IF(AQ375=-2,1+regle!$B$35,1),
IF(X375=regle!$C$11,regle!$C$23,
IF(X375=regle!$D$11,regle!$D$23,
IF(X375=regle!$E$11,regle!$E$23,
IF(X375=regle!$F$11,regle!$F$23,
IF(X375=regle!$G$11,regle!$G$23,
IF(X375=regle!$H$11,regle!$H$23,
IF(X375=regle!$I$11,regle!$I$23,
IF(X375=regle!$J$11,regle!$J$23,
IF(X375=regle!$K$11,regle!$K$23,0))))))))))))</f>
        <v>0</v>
      </c>
      <c r="AI375" s="17">
        <f>IF($A375,$J375*(IF(Y375=regle!$B$11,regle!$B$23*IF(AR375=-2,1+regle!$B$35,1),
IF(Y375=regle!$C$11,regle!$C$23,
IF(Y375=regle!$D$11,regle!$D$23,
IF(Y375=regle!$E$11,regle!$E$23,
IF(Y375=regle!$F$11,regle!$F$23,
IF(Y375=regle!$G$11,regle!$G$23,
IF(Y375=regle!$H$11,regle!$H$23,
IF(Y375=regle!$I$11,regle!$I$23,
IF(Y375=regle!$J$11,regle!$J$23,
IF(Y375=regle!$K$11,regle!$K$23,0))))))))))))</f>
        <v>0</v>
      </c>
      <c r="AJ375" s="17">
        <f>IF($A375,$J375*(IF(Z375=regle!$B$11,regle!$B$23*IF(AS375=-2,1+regle!$B$35,1),
IF(Z375=regle!$C$11,regle!$C$23,
IF(Z375=regle!$D$11,regle!$D$23,
IF(Z375=regle!$E$11,regle!$E$23,
IF(Z375=regle!$F$11,regle!$F$23,
IF(Z375=regle!$G$11,regle!$G$23,
IF(Z375=regle!$H$11,regle!$H$23,
IF(Z375=regle!$I$11,regle!$I$23,
IF(Z375=regle!$J$11,regle!$J$23,
IF(Z375=regle!$K$11,regle!$K$23,0))))))))))))</f>
        <v>0</v>
      </c>
      <c r="AK375" s="16">
        <f>IF(OR(Q375=regle!$J$11,Q375=regle!$K$11),-2,IF(Q375=regle!$B$11,0,IF(AK$1=$AK$1,IF($O375,-1,regle!$B$2-$M375),IF(AJ375=-1,-1,AJ375+1))))</f>
        <v>-2</v>
      </c>
      <c r="AL375" s="16">
        <f>IF(OR(R375=regle!$J$11,R375=regle!$K$11),-2,IF(R375=regle!$B$11,0,IF(AL$1=$AK$1,IF($O375,-1,regle!$B$2-$M375),IF(AK375=-1,-1,AK375+1))))</f>
        <v>-1</v>
      </c>
      <c r="AM375" s="16">
        <f>IF(OR(S375=regle!$J$11,S375=regle!$K$11),-2,IF(S375=regle!$B$11,0,IF(AM$1=$AK$1,IF($O375,-1,regle!$B$2-$M375),IF(AL375=-1,-1,AL375+1))))</f>
        <v>0</v>
      </c>
      <c r="AN375" s="16">
        <f>IF(OR(T375=regle!$J$11,T375=regle!$K$11),-2,IF(T375=regle!$B$11,0,IF(AN$1=$AK$1,IF($O375,-1,regle!$B$2-$M375),IF(AM375=-1,-1,AM375+1))))</f>
        <v>1</v>
      </c>
      <c r="AO375" s="16">
        <f>IF(OR(U375=regle!$J$11,U375=regle!$K$11),-2,IF(U375=regle!$B$11,0,IF(AO$1=$AK$1,IF($O375,-1,regle!$B$2-$M375),IF(AN375=-1,-1,AN375+1))))</f>
        <v>2</v>
      </c>
      <c r="AP375" s="16">
        <f>IF(OR(V375=regle!$J$11,V375=regle!$K$11),-2,IF(V375=regle!$B$11,0,IF(AP$1=$AK$1,IF($O375,-1,regle!$B$2-$M375),IF(AO375=-1,-1,AO375+1))))</f>
        <v>3</v>
      </c>
      <c r="AQ375" s="16">
        <f>IF(OR(W375=regle!$J$11,W375=regle!$K$11),-2,IF(W375=regle!$B$11,0,IF(AQ$1=$AK$1,IF($O375,-1,regle!$B$2-$M375),IF(AP375=-1,-1,AP375+1))))</f>
        <v>4</v>
      </c>
      <c r="AR375" s="16">
        <f>IF(OR(X375=regle!$J$11,X375=regle!$K$11),-2,IF(X375=regle!$B$11,0,IF(AR$1=$AK$1,IF($O375,-1,regle!$B$2-$M375),IF(AQ375=-1,-1,AQ375+1))))</f>
        <v>5</v>
      </c>
      <c r="AS375" s="16">
        <f>IF(OR(Y375=regle!$J$11,Y375=regle!$K$11),-2,IF(Y375=regle!$B$11,0,IF(AS$1=$AK$1,IF($O375,-1,regle!$B$2-$M375),IF(AR375=-1,-1,AR375+1))))</f>
        <v>6</v>
      </c>
      <c r="AT375" s="16">
        <f>IF(OR(Z375=regle!$J$11,Z375=regle!$K$11),-2,IF(Z375=regle!$B$11,0,IF(AT$1=$AK$1,IF($O375,-1,regle!$B$2-$M375),IF(AS375=-1,-1,AS375+1))))</f>
        <v>7</v>
      </c>
    </row>
    <row r="376" spans="1:46" x14ac:dyDescent="0.25">
      <c r="A376" t="b">
        <f>modif1!A376</f>
        <v>1</v>
      </c>
      <c r="B376">
        <f>ROW(modif1!B376)</f>
        <v>376</v>
      </c>
      <c r="C376" t="str">
        <f>modif1!C379</f>
        <v>202</v>
      </c>
      <c r="D376" t="str">
        <f>modif1!D376</f>
        <v>HOSTENS</v>
      </c>
      <c r="E376">
        <f>modif1!E376</f>
        <v>11</v>
      </c>
      <c r="F376" t="str">
        <f>modif1!F376</f>
        <v>LES CAZALAS</v>
      </c>
      <c r="G376" t="str">
        <f>modif1!G376</f>
        <v>0B</v>
      </c>
      <c r="H376">
        <f>modif1!H376</f>
        <v>1185</v>
      </c>
      <c r="I376" t="str">
        <f>modif1!I376</f>
        <v/>
      </c>
      <c r="J376" s="11">
        <f>modif1!J376</f>
        <v>6.0000000000000001E-3</v>
      </c>
      <c r="K376" t="str">
        <f>modif1!K376</f>
        <v>SL</v>
      </c>
      <c r="L376" t="str">
        <f>modif1!L376</f>
        <v>PM</v>
      </c>
      <c r="M376">
        <f>modif1!M376</f>
        <v>1973</v>
      </c>
      <c r="N376" t="str">
        <f>modif1!N376</f>
        <v>SL-PM_1973</v>
      </c>
      <c r="O376" t="b">
        <f>modif1!O376</f>
        <v>0</v>
      </c>
      <c r="P376">
        <v>40</v>
      </c>
      <c r="Q376" t="s">
        <v>63</v>
      </c>
      <c r="R376" s="22"/>
      <c r="S376" t="s">
        <v>1868</v>
      </c>
      <c r="U376" t="s">
        <v>1872</v>
      </c>
      <c r="W376" t="s">
        <v>1870</v>
      </c>
      <c r="Z376" t="s">
        <v>1871</v>
      </c>
      <c r="AA376" s="17">
        <f>IF($A376,$J376*(IF(Q376=regle!$B$11,regle!$B$23*IF(AJ376=-2,1+regle!$B$35,1),
IF(Q376=regle!$C$11,regle!$C$23,
IF(Q376=regle!$D$11,regle!$D$23,
IF(Q376=regle!$E$11,regle!$E$23,
IF(Q376=regle!$F$11,regle!$F$23,
IF(Q376=regle!$G$11,regle!$G$23,
IF(Q376=regle!$H$11,regle!$H$23,
IF(Q376=regle!$I$11,regle!$I$23,
IF(Q376=regle!$J$11,regle!$J$23,
IF(Q376=regle!$K$11,regle!$K$23,0))))))))))))</f>
        <v>52.800000000000004</v>
      </c>
      <c r="AB376" s="17">
        <f>IF($A376,$J376*(IF(R376=regle!$B$11,regle!$B$23*IF(AK376=-2,1+regle!$B$35,1),
IF(R376=regle!$C$11,regle!$C$23,
IF(R376=regle!$D$11,regle!$D$23,
IF(R376=regle!$E$11,regle!$E$23,
IF(R376=regle!$F$11,regle!$F$23,
IF(R376=regle!$G$11,regle!$G$23,
IF(R376=regle!$H$11,regle!$H$23,
IF(R376=regle!$I$11,regle!$I$23,
IF(R376=regle!$J$11,regle!$J$23,
IF(R376=regle!$K$11,regle!$K$23,0))))))))))))</f>
        <v>0</v>
      </c>
      <c r="AC376" s="17">
        <f>IF($A376,$J376*(IF(S376=regle!$B$11,regle!$B$23*IF(AL376=-2,1+regle!$B$35,1),
IF(S376=regle!$C$11,regle!$C$23,
IF(S376=regle!$D$11,regle!$D$23,
IF(S376=regle!$E$11,regle!$E$23,
IF(S376=regle!$F$11,regle!$F$23,
IF(S376=regle!$G$11,regle!$G$23,
IF(S376=regle!$H$11,regle!$H$23,
IF(S376=regle!$I$11,regle!$I$23,
IF(S376=regle!$J$11,regle!$J$23,
IF(S376=regle!$K$11,regle!$K$23,0))))))))))))</f>
        <v>-10.200000000000001</v>
      </c>
      <c r="AD376" s="17">
        <f>IF($A376,$J376*(IF(T376=regle!$B$11,regle!$B$23*IF(AM376=-2,1+regle!$B$35,1),
IF(T376=regle!$C$11,regle!$C$23,
IF(T376=regle!$D$11,regle!$D$23,
IF(T376=regle!$E$11,regle!$E$23,
IF(T376=regle!$F$11,regle!$F$23,
IF(T376=regle!$G$11,regle!$G$23,
IF(T376=regle!$H$11,regle!$H$23,
IF(T376=regle!$I$11,regle!$I$23,
IF(T376=regle!$J$11,regle!$J$23,
IF(T376=regle!$K$11,regle!$K$23,0))))))))))))</f>
        <v>0</v>
      </c>
      <c r="AE376" s="17">
        <f>IF($A376,$J376*(IF(U376=regle!$B$11,regle!$B$23*IF(AN376=-2,1+regle!$B$35,1),
IF(U376=regle!$C$11,regle!$C$23,
IF(U376=regle!$D$11,regle!$D$23,
IF(U376=regle!$E$11,regle!$E$23,
IF(U376=regle!$F$11,regle!$F$23,
IF(U376=regle!$G$11,regle!$G$23,
IF(U376=regle!$H$11,regle!$H$23,
IF(U376=regle!$I$11,regle!$I$23,
IF(U376=regle!$J$11,regle!$J$23,
IF(U376=regle!$K$11,regle!$K$23,0))))))))))))</f>
        <v>-0.45</v>
      </c>
      <c r="AF376" s="17">
        <f>IF($A376,$J376*(IF(V376=regle!$B$11,regle!$B$23*IF(AO376=-2,1+regle!$B$35,1),
IF(V376=regle!$C$11,regle!$C$23,
IF(V376=regle!$D$11,regle!$D$23,
IF(V376=regle!$E$11,regle!$E$23,
IF(V376=regle!$F$11,regle!$F$23,
IF(V376=regle!$G$11,regle!$G$23,
IF(V376=regle!$H$11,regle!$H$23,
IF(V376=regle!$I$11,regle!$I$23,
IF(V376=regle!$J$11,regle!$J$23,
IF(V376=regle!$K$11,regle!$K$23,0))))))))))))</f>
        <v>0</v>
      </c>
      <c r="AG376" s="17">
        <f>IF($A376,$J376*(IF(W376=regle!$B$11,regle!$B$23*IF(AP376=-2,1+regle!$B$35,1),
IF(W376=regle!$C$11,regle!$C$23,
IF(W376=regle!$D$11,regle!$D$23,
IF(W376=regle!$E$11,regle!$E$23,
IF(W376=regle!$F$11,regle!$F$23,
IF(W376=regle!$G$11,regle!$G$23,
IF(W376=regle!$H$11,regle!$H$23,
IF(W376=regle!$I$11,regle!$I$23,
IF(W376=regle!$J$11,regle!$J$23,
IF(W376=regle!$K$11,regle!$K$23,0))))))))))))</f>
        <v>-0.54</v>
      </c>
      <c r="AH376" s="17">
        <f>IF($A376,$J376*(IF(X376=regle!$B$11,regle!$B$23*IF(AQ376=-2,1+regle!$B$35,1),
IF(X376=regle!$C$11,regle!$C$23,
IF(X376=regle!$D$11,regle!$D$23,
IF(X376=regle!$E$11,regle!$E$23,
IF(X376=regle!$F$11,regle!$F$23,
IF(X376=regle!$G$11,regle!$G$23,
IF(X376=regle!$H$11,regle!$H$23,
IF(X376=regle!$I$11,regle!$I$23,
IF(X376=regle!$J$11,regle!$J$23,
IF(X376=regle!$K$11,regle!$K$23,0))))))))))))</f>
        <v>0</v>
      </c>
      <c r="AI376" s="17">
        <f>IF($A376,$J376*(IF(Y376=regle!$B$11,regle!$B$23*IF(AR376=-2,1+regle!$B$35,1),
IF(Y376=regle!$C$11,regle!$C$23,
IF(Y376=regle!$D$11,regle!$D$23,
IF(Y376=regle!$E$11,regle!$E$23,
IF(Y376=regle!$F$11,regle!$F$23,
IF(Y376=regle!$G$11,regle!$G$23,
IF(Y376=regle!$H$11,regle!$H$23,
IF(Y376=regle!$I$11,regle!$I$23,
IF(Y376=regle!$J$11,regle!$J$23,
IF(Y376=regle!$K$11,regle!$K$23,0))))))))))))</f>
        <v>0</v>
      </c>
      <c r="AJ376" s="17">
        <f>IF($A376,$J376*(IF(Z376=regle!$B$11,regle!$B$23*IF(AS376=-2,1+regle!$B$35,1),
IF(Z376=regle!$C$11,regle!$C$23,
IF(Z376=regle!$D$11,regle!$D$23,
IF(Z376=regle!$E$11,regle!$E$23,
IF(Z376=regle!$F$11,regle!$F$23,
IF(Z376=regle!$G$11,regle!$G$23,
IF(Z376=regle!$H$11,regle!$H$23,
IF(Z376=regle!$I$11,regle!$I$23,
IF(Z376=regle!$J$11,regle!$J$23,
IF(Z376=regle!$K$11,regle!$K$23,0))))))))))))</f>
        <v>-0.54</v>
      </c>
      <c r="AK376" s="16">
        <f>IF(OR(Q376=regle!$J$11,Q376=regle!$K$11),-2,IF(Q376=regle!$B$11,0,IF(AK$1=$AK$1,IF($O376,-1,regle!$B$2-$M376),IF(AJ376=-1,-1,AJ376+1))))</f>
        <v>-2</v>
      </c>
      <c r="AL376" s="16">
        <f>IF(OR(R376=regle!$J$11,R376=regle!$K$11),-2,IF(R376=regle!$B$11,0,IF(AL$1=$AK$1,IF($O376,-1,regle!$B$2-$M376),IF(AK376=-1,-1,AK376+1))))</f>
        <v>-1</v>
      </c>
      <c r="AM376" s="16">
        <f>IF(OR(S376=regle!$J$11,S376=regle!$K$11),-2,IF(S376=regle!$B$11,0,IF(AM$1=$AK$1,IF($O376,-1,regle!$B$2-$M376),IF(AL376=-1,-1,AL376+1))))</f>
        <v>0</v>
      </c>
      <c r="AN376" s="16">
        <f>IF(OR(T376=regle!$J$11,T376=regle!$K$11),-2,IF(T376=regle!$B$11,0,IF(AN$1=$AK$1,IF($O376,-1,regle!$B$2-$M376),IF(AM376=-1,-1,AM376+1))))</f>
        <v>1</v>
      </c>
      <c r="AO376" s="16">
        <f>IF(OR(U376=regle!$J$11,U376=regle!$K$11),-2,IF(U376=regle!$B$11,0,IF(AO$1=$AK$1,IF($O376,-1,regle!$B$2-$M376),IF(AN376=-1,-1,AN376+1))))</f>
        <v>2</v>
      </c>
      <c r="AP376" s="16">
        <f>IF(OR(V376=regle!$J$11,V376=regle!$K$11),-2,IF(V376=regle!$B$11,0,IF(AP$1=$AK$1,IF($O376,-1,regle!$B$2-$M376),IF(AO376=-1,-1,AO376+1))))</f>
        <v>3</v>
      </c>
      <c r="AQ376" s="16">
        <f>IF(OR(W376=regle!$J$11,W376=regle!$K$11),-2,IF(W376=regle!$B$11,0,IF(AQ$1=$AK$1,IF($O376,-1,regle!$B$2-$M376),IF(AP376=-1,-1,AP376+1))))</f>
        <v>4</v>
      </c>
      <c r="AR376" s="16">
        <f>IF(OR(X376=regle!$J$11,X376=regle!$K$11),-2,IF(X376=regle!$B$11,0,IF(AR$1=$AK$1,IF($O376,-1,regle!$B$2-$M376),IF(AQ376=-1,-1,AQ376+1))))</f>
        <v>5</v>
      </c>
      <c r="AS376" s="16">
        <f>IF(OR(Y376=regle!$J$11,Y376=regle!$K$11),-2,IF(Y376=regle!$B$11,0,IF(AS$1=$AK$1,IF($O376,-1,regle!$B$2-$M376),IF(AR376=-1,-1,AR376+1))))</f>
        <v>6</v>
      </c>
      <c r="AT376" s="16">
        <f>IF(OR(Z376=regle!$J$11,Z376=regle!$K$11),-2,IF(Z376=regle!$B$11,0,IF(AT$1=$AK$1,IF($O376,-1,regle!$B$2-$M376),IF(AS376=-1,-1,AS376+1))))</f>
        <v>7</v>
      </c>
    </row>
    <row r="377" spans="1:46" x14ac:dyDescent="0.25">
      <c r="A377" t="b">
        <f>modif1!A377</f>
        <v>0</v>
      </c>
      <c r="B377">
        <f>ROW(modif1!B377)</f>
        <v>377</v>
      </c>
      <c r="C377" t="str">
        <f>modif1!C380</f>
        <v>202</v>
      </c>
      <c r="D377" t="str">
        <f>modif1!D377</f>
        <v>LE TUZAN</v>
      </c>
      <c r="E377">
        <f>modif1!E377</f>
        <v>11</v>
      </c>
      <c r="F377" t="str">
        <f>modif1!F377</f>
        <v>LA HONTEYRE</v>
      </c>
      <c r="G377" t="str">
        <f>modif1!G377</f>
        <v>0A</v>
      </c>
      <c r="H377">
        <f>modif1!H377</f>
        <v>254</v>
      </c>
      <c r="I377" t="str">
        <f>modif1!I377</f>
        <v>j</v>
      </c>
      <c r="J377" s="11">
        <f>modif1!J377</f>
        <v>0.50339999999999996</v>
      </c>
      <c r="K377" t="str">
        <f>modif1!K377</f>
        <v>TAIL</v>
      </c>
      <c r="L377" t="str">
        <f>modif1!L377</f>
        <v>FEUIL</v>
      </c>
      <c r="M377">
        <f>modif1!M377</f>
        <v>2015</v>
      </c>
      <c r="N377" t="str">
        <f>modif1!N377</f>
        <v>TAIL-FEUIL_2015</v>
      </c>
      <c r="O377" t="b">
        <f>modif1!O377</f>
        <v>0</v>
      </c>
      <c r="Z377"/>
      <c r="AA377" s="17" t="b">
        <f>IF($A377,$J377*(IF(Q377=regle!$B$11,regle!$B$23*IF(AJ377=-2,1+regle!$B$35,1),
IF(Q377=regle!$C$11,regle!$C$23,
IF(Q377=regle!$D$11,regle!$D$23,
IF(Q377=regle!$E$11,regle!$E$23,
IF(Q377=regle!$F$11,regle!$F$23,
IF(Q377=regle!$G$11,regle!$G$23,
IF(Q377=regle!$H$11,regle!$H$23,
IF(Q377=regle!$I$11,regle!$I$23,
IF(Q377=regle!$J$11,regle!$J$23,
IF(Q377=regle!$K$11,regle!$K$23,0))))))))))))</f>
        <v>0</v>
      </c>
      <c r="AB377" s="17" t="b">
        <f>IF($A377,$J377*(IF(R377=regle!$B$11,regle!$B$23*IF(AK377=-2,1+regle!$B$35,1),
IF(R377=regle!$C$11,regle!$C$23,
IF(R377=regle!$D$11,regle!$D$23,
IF(R377=regle!$E$11,regle!$E$23,
IF(R377=regle!$F$11,regle!$F$23,
IF(R377=regle!$G$11,regle!$G$23,
IF(R377=regle!$H$11,regle!$H$23,
IF(R377=regle!$I$11,regle!$I$23,
IF(R377=regle!$J$11,regle!$J$23,
IF(R377=regle!$K$11,regle!$K$23,0))))))))))))</f>
        <v>0</v>
      </c>
      <c r="AC377" s="17" t="b">
        <f>IF($A377,$J377*(IF(S377=regle!$B$11,regle!$B$23*IF(AL377=-2,1+regle!$B$35,1),
IF(S377=regle!$C$11,regle!$C$23,
IF(S377=regle!$D$11,regle!$D$23,
IF(S377=regle!$E$11,regle!$E$23,
IF(S377=regle!$F$11,regle!$F$23,
IF(S377=regle!$G$11,regle!$G$23,
IF(S377=regle!$H$11,regle!$H$23,
IF(S377=regle!$I$11,regle!$I$23,
IF(S377=regle!$J$11,regle!$J$23,
IF(S377=regle!$K$11,regle!$K$23,0))))))))))))</f>
        <v>0</v>
      </c>
      <c r="AD377" s="17" t="b">
        <f>IF($A377,$J377*(IF(T377=regle!$B$11,regle!$B$23*IF(AM377=-2,1+regle!$B$35,1),
IF(T377=regle!$C$11,regle!$C$23,
IF(T377=regle!$D$11,regle!$D$23,
IF(T377=regle!$E$11,regle!$E$23,
IF(T377=regle!$F$11,regle!$F$23,
IF(T377=regle!$G$11,regle!$G$23,
IF(T377=regle!$H$11,regle!$H$23,
IF(T377=regle!$I$11,regle!$I$23,
IF(T377=regle!$J$11,regle!$J$23,
IF(T377=regle!$K$11,regle!$K$23,0))))))))))))</f>
        <v>0</v>
      </c>
      <c r="AE377" s="17" t="b">
        <f>IF($A377,$J377*(IF(U377=regle!$B$11,regle!$B$23*IF(AN377=-2,1+regle!$B$35,1),
IF(U377=regle!$C$11,regle!$C$23,
IF(U377=regle!$D$11,regle!$D$23,
IF(U377=regle!$E$11,regle!$E$23,
IF(U377=regle!$F$11,regle!$F$23,
IF(U377=regle!$G$11,regle!$G$23,
IF(U377=regle!$H$11,regle!$H$23,
IF(U377=regle!$I$11,regle!$I$23,
IF(U377=regle!$J$11,regle!$J$23,
IF(U377=regle!$K$11,regle!$K$23,0))))))))))))</f>
        <v>0</v>
      </c>
      <c r="AF377" s="17" t="b">
        <f>IF($A377,$J377*(IF(V377=regle!$B$11,regle!$B$23*IF(AO377=-2,1+regle!$B$35,1),
IF(V377=regle!$C$11,regle!$C$23,
IF(V377=regle!$D$11,regle!$D$23,
IF(V377=regle!$E$11,regle!$E$23,
IF(V377=regle!$F$11,regle!$F$23,
IF(V377=regle!$G$11,regle!$G$23,
IF(V377=regle!$H$11,regle!$H$23,
IF(V377=regle!$I$11,regle!$I$23,
IF(V377=regle!$J$11,regle!$J$23,
IF(V377=regle!$K$11,regle!$K$23,0))))))))))))</f>
        <v>0</v>
      </c>
      <c r="AG377" s="17" t="b">
        <f>IF($A377,$J377*(IF(W377=regle!$B$11,regle!$B$23*IF(AP377=-2,1+regle!$B$35,1),
IF(W377=regle!$C$11,regle!$C$23,
IF(W377=regle!$D$11,regle!$D$23,
IF(W377=regle!$E$11,regle!$E$23,
IF(W377=regle!$F$11,regle!$F$23,
IF(W377=regle!$G$11,regle!$G$23,
IF(W377=regle!$H$11,regle!$H$23,
IF(W377=regle!$I$11,regle!$I$23,
IF(W377=regle!$J$11,regle!$J$23,
IF(W377=regle!$K$11,regle!$K$23,0))))))))))))</f>
        <v>0</v>
      </c>
      <c r="AH377" s="17" t="b">
        <f>IF($A377,$J377*(IF(X377=regle!$B$11,regle!$B$23*IF(AQ377=-2,1+regle!$B$35,1),
IF(X377=regle!$C$11,regle!$C$23,
IF(X377=regle!$D$11,regle!$D$23,
IF(X377=regle!$E$11,regle!$E$23,
IF(X377=regle!$F$11,regle!$F$23,
IF(X377=regle!$G$11,regle!$G$23,
IF(X377=regle!$H$11,regle!$H$23,
IF(X377=regle!$I$11,regle!$I$23,
IF(X377=regle!$J$11,regle!$J$23,
IF(X377=regle!$K$11,regle!$K$23,0))))))))))))</f>
        <v>0</v>
      </c>
      <c r="AI377" s="17" t="b">
        <f>IF($A377,$J377*(IF(Y377=regle!$B$11,regle!$B$23*IF(AR377=-2,1+regle!$B$35,1),
IF(Y377=regle!$C$11,regle!$C$23,
IF(Y377=regle!$D$11,regle!$D$23,
IF(Y377=regle!$E$11,regle!$E$23,
IF(Y377=regle!$F$11,regle!$F$23,
IF(Y377=regle!$G$11,regle!$G$23,
IF(Y377=regle!$H$11,regle!$H$23,
IF(Y377=regle!$I$11,regle!$I$23,
IF(Y377=regle!$J$11,regle!$J$23,
IF(Y377=regle!$K$11,regle!$K$23,0))))))))))))</f>
        <v>0</v>
      </c>
      <c r="AJ377" s="17" t="b">
        <f>IF($A377,$J377*(IF(Z377=regle!$B$11,regle!$B$23*IF(AS377=-2,1+regle!$B$35,1),
IF(Z377=regle!$C$11,regle!$C$23,
IF(Z377=regle!$D$11,regle!$D$23,
IF(Z377=regle!$E$11,regle!$E$23,
IF(Z377=regle!$F$11,regle!$F$23,
IF(Z377=regle!$G$11,regle!$G$23,
IF(Z377=regle!$H$11,regle!$H$23,
IF(Z377=regle!$I$11,regle!$I$23,
IF(Z377=regle!$J$11,regle!$J$23,
IF(Z377=regle!$K$11,regle!$K$23,0))))))))))))</f>
        <v>0</v>
      </c>
      <c r="AK377" s="16">
        <f>IF(OR(Q377=regle!$J$11,Q377=regle!$K$11),-2,IF(Q377=regle!$B$11,0,IF(AK$1=$AK$1,IF($O377,-1,regle!$B$2-$M377),IF(AJ377=-1,-1,AJ377+1))))</f>
        <v>9</v>
      </c>
      <c r="AL377" s="16">
        <f>IF(OR(R377=regle!$J$11,R377=regle!$K$11),-2,IF(R377=regle!$B$11,0,IF(AL$1=$AK$1,IF($O377,-1,regle!$B$2-$M377),IF(AK377=-1,-1,AK377+1))))</f>
        <v>10</v>
      </c>
      <c r="AM377" s="16">
        <f>IF(OR(S377=regle!$J$11,S377=regle!$K$11),-2,IF(S377=regle!$B$11,0,IF(AM$1=$AK$1,IF($O377,-1,regle!$B$2-$M377),IF(AL377=-1,-1,AL377+1))))</f>
        <v>11</v>
      </c>
      <c r="AN377" s="16">
        <f>IF(OR(T377=regle!$J$11,T377=regle!$K$11),-2,IF(T377=regle!$B$11,0,IF(AN$1=$AK$1,IF($O377,-1,regle!$B$2-$M377),IF(AM377=-1,-1,AM377+1))))</f>
        <v>12</v>
      </c>
      <c r="AO377" s="16">
        <f>IF(OR(U377=regle!$J$11,U377=regle!$K$11),-2,IF(U377=regle!$B$11,0,IF(AO$1=$AK$1,IF($O377,-1,regle!$B$2-$M377),IF(AN377=-1,-1,AN377+1))))</f>
        <v>13</v>
      </c>
      <c r="AP377" s="16">
        <f>IF(OR(V377=regle!$J$11,V377=regle!$K$11),-2,IF(V377=regle!$B$11,0,IF(AP$1=$AK$1,IF($O377,-1,regle!$B$2-$M377),IF(AO377=-1,-1,AO377+1))))</f>
        <v>14</v>
      </c>
      <c r="AQ377" s="16">
        <f>IF(OR(W377=regle!$J$11,W377=regle!$K$11),-2,IF(W377=regle!$B$11,0,IF(AQ$1=$AK$1,IF($O377,-1,regle!$B$2-$M377),IF(AP377=-1,-1,AP377+1))))</f>
        <v>15</v>
      </c>
      <c r="AR377" s="16">
        <f>IF(OR(X377=regle!$J$11,X377=regle!$K$11),-2,IF(X377=regle!$B$11,0,IF(AR$1=$AK$1,IF($O377,-1,regle!$B$2-$M377),IF(AQ377=-1,-1,AQ377+1))))</f>
        <v>16</v>
      </c>
      <c r="AS377" s="16">
        <f>IF(OR(Y377=regle!$J$11,Y377=regle!$K$11),-2,IF(Y377=regle!$B$11,0,IF(AS$1=$AK$1,IF($O377,-1,regle!$B$2-$M377),IF(AR377=-1,-1,AR377+1))))</f>
        <v>17</v>
      </c>
      <c r="AT377" s="16">
        <f>IF(OR(Z377=regle!$J$11,Z377=regle!$K$11),-2,IF(Z377=regle!$B$11,0,IF(AT$1=$AK$1,IF($O377,-1,regle!$B$2-$M377),IF(AS377=-1,-1,AS377+1))))</f>
        <v>18</v>
      </c>
    </row>
    <row r="378" spans="1:46" x14ac:dyDescent="0.25">
      <c r="A378" t="b">
        <f>modif1!A378</f>
        <v>0</v>
      </c>
      <c r="B378">
        <f>ROW(modif1!B378)</f>
        <v>378</v>
      </c>
      <c r="C378" t="str">
        <f>modif1!C381</f>
        <v>202</v>
      </c>
      <c r="D378" t="str">
        <f>modif1!D378</f>
        <v>LE TUZAN</v>
      </c>
      <c r="E378">
        <f>modif1!E378</f>
        <v>14</v>
      </c>
      <c r="F378" t="str">
        <f>modif1!F378</f>
        <v>TABARTON-OUEST</v>
      </c>
      <c r="G378" t="str">
        <f>modif1!G378</f>
        <v>0B</v>
      </c>
      <c r="H378">
        <f>modif1!H378</f>
        <v>658</v>
      </c>
      <c r="I378" t="str">
        <f>modif1!I378</f>
        <v>j</v>
      </c>
      <c r="J378" s="11">
        <f>modif1!J378</f>
        <v>4.8208000000000002</v>
      </c>
      <c r="K378" t="str">
        <f>modif1!K378</f>
        <v>TAIL</v>
      </c>
      <c r="L378" t="str">
        <f>modif1!L378</f>
        <v>FEUIL</v>
      </c>
      <c r="M378">
        <f>modif1!M378</f>
        <v>2013</v>
      </c>
      <c r="N378" t="str">
        <f>modif1!N378</f>
        <v>TAIL-FEUIL_2013</v>
      </c>
      <c r="O378" t="b">
        <f>modif1!O378</f>
        <v>0</v>
      </c>
      <c r="Z378"/>
      <c r="AA378" s="17" t="b">
        <f>IF($A378,$J378*(IF(Q378=regle!$B$11,regle!$B$23*IF(AJ378=-2,1+regle!$B$35,1),
IF(Q378=regle!$C$11,regle!$C$23,
IF(Q378=regle!$D$11,regle!$D$23,
IF(Q378=regle!$E$11,regle!$E$23,
IF(Q378=regle!$F$11,regle!$F$23,
IF(Q378=regle!$G$11,regle!$G$23,
IF(Q378=regle!$H$11,regle!$H$23,
IF(Q378=regle!$I$11,regle!$I$23,
IF(Q378=regle!$J$11,regle!$J$23,
IF(Q378=regle!$K$11,regle!$K$23,0))))))))))))</f>
        <v>0</v>
      </c>
      <c r="AB378" s="17" t="b">
        <f>IF($A378,$J378*(IF(R378=regle!$B$11,regle!$B$23*IF(AK378=-2,1+regle!$B$35,1),
IF(R378=regle!$C$11,regle!$C$23,
IF(R378=regle!$D$11,regle!$D$23,
IF(R378=regle!$E$11,regle!$E$23,
IF(R378=regle!$F$11,regle!$F$23,
IF(R378=regle!$G$11,regle!$G$23,
IF(R378=regle!$H$11,regle!$H$23,
IF(R378=regle!$I$11,regle!$I$23,
IF(R378=regle!$J$11,regle!$J$23,
IF(R378=regle!$K$11,regle!$K$23,0))))))))))))</f>
        <v>0</v>
      </c>
      <c r="AC378" s="17" t="b">
        <f>IF($A378,$J378*(IF(S378=regle!$B$11,regle!$B$23*IF(AL378=-2,1+regle!$B$35,1),
IF(S378=regle!$C$11,regle!$C$23,
IF(S378=regle!$D$11,regle!$D$23,
IF(S378=regle!$E$11,regle!$E$23,
IF(S378=regle!$F$11,regle!$F$23,
IF(S378=regle!$G$11,regle!$G$23,
IF(S378=regle!$H$11,regle!$H$23,
IF(S378=regle!$I$11,regle!$I$23,
IF(S378=regle!$J$11,regle!$J$23,
IF(S378=regle!$K$11,regle!$K$23,0))))))))))))</f>
        <v>0</v>
      </c>
      <c r="AD378" s="17" t="b">
        <f>IF($A378,$J378*(IF(T378=regle!$B$11,regle!$B$23*IF(AM378=-2,1+regle!$B$35,1),
IF(T378=regle!$C$11,regle!$C$23,
IF(T378=regle!$D$11,regle!$D$23,
IF(T378=regle!$E$11,regle!$E$23,
IF(T378=regle!$F$11,regle!$F$23,
IF(T378=regle!$G$11,regle!$G$23,
IF(T378=regle!$H$11,regle!$H$23,
IF(T378=regle!$I$11,regle!$I$23,
IF(T378=regle!$J$11,regle!$J$23,
IF(T378=regle!$K$11,regle!$K$23,0))))))))))))</f>
        <v>0</v>
      </c>
      <c r="AE378" s="17" t="b">
        <f>IF($A378,$J378*(IF(U378=regle!$B$11,regle!$B$23*IF(AN378=-2,1+regle!$B$35,1),
IF(U378=regle!$C$11,regle!$C$23,
IF(U378=regle!$D$11,regle!$D$23,
IF(U378=regle!$E$11,regle!$E$23,
IF(U378=regle!$F$11,regle!$F$23,
IF(U378=regle!$G$11,regle!$G$23,
IF(U378=regle!$H$11,regle!$H$23,
IF(U378=regle!$I$11,regle!$I$23,
IF(U378=regle!$J$11,regle!$J$23,
IF(U378=regle!$K$11,regle!$K$23,0))))))))))))</f>
        <v>0</v>
      </c>
      <c r="AF378" s="17" t="b">
        <f>IF($A378,$J378*(IF(V378=regle!$B$11,regle!$B$23*IF(AO378=-2,1+regle!$B$35,1),
IF(V378=regle!$C$11,regle!$C$23,
IF(V378=regle!$D$11,regle!$D$23,
IF(V378=regle!$E$11,regle!$E$23,
IF(V378=regle!$F$11,regle!$F$23,
IF(V378=regle!$G$11,regle!$G$23,
IF(V378=regle!$H$11,regle!$H$23,
IF(V378=regle!$I$11,regle!$I$23,
IF(V378=regle!$J$11,regle!$J$23,
IF(V378=regle!$K$11,regle!$K$23,0))))))))))))</f>
        <v>0</v>
      </c>
      <c r="AG378" s="17" t="b">
        <f>IF($A378,$J378*(IF(W378=regle!$B$11,regle!$B$23*IF(AP378=-2,1+regle!$B$35,1),
IF(W378=regle!$C$11,regle!$C$23,
IF(W378=regle!$D$11,regle!$D$23,
IF(W378=regle!$E$11,regle!$E$23,
IF(W378=regle!$F$11,regle!$F$23,
IF(W378=regle!$G$11,regle!$G$23,
IF(W378=regle!$H$11,regle!$H$23,
IF(W378=regle!$I$11,regle!$I$23,
IF(W378=regle!$J$11,regle!$J$23,
IF(W378=regle!$K$11,regle!$K$23,0))))))))))))</f>
        <v>0</v>
      </c>
      <c r="AH378" s="17" t="b">
        <f>IF($A378,$J378*(IF(X378=regle!$B$11,regle!$B$23*IF(AQ378=-2,1+regle!$B$35,1),
IF(X378=regle!$C$11,regle!$C$23,
IF(X378=regle!$D$11,regle!$D$23,
IF(X378=regle!$E$11,regle!$E$23,
IF(X378=regle!$F$11,regle!$F$23,
IF(X378=regle!$G$11,regle!$G$23,
IF(X378=regle!$H$11,regle!$H$23,
IF(X378=regle!$I$11,regle!$I$23,
IF(X378=regle!$J$11,regle!$J$23,
IF(X378=regle!$K$11,regle!$K$23,0))))))))))))</f>
        <v>0</v>
      </c>
      <c r="AI378" s="17" t="b">
        <f>IF($A378,$J378*(IF(Y378=regle!$B$11,regle!$B$23*IF(AR378=-2,1+regle!$B$35,1),
IF(Y378=regle!$C$11,regle!$C$23,
IF(Y378=regle!$D$11,regle!$D$23,
IF(Y378=regle!$E$11,regle!$E$23,
IF(Y378=regle!$F$11,regle!$F$23,
IF(Y378=regle!$G$11,regle!$G$23,
IF(Y378=regle!$H$11,regle!$H$23,
IF(Y378=regle!$I$11,regle!$I$23,
IF(Y378=regle!$J$11,regle!$J$23,
IF(Y378=regle!$K$11,regle!$K$23,0))))))))))))</f>
        <v>0</v>
      </c>
      <c r="AJ378" s="17" t="b">
        <f>IF($A378,$J378*(IF(Z378=regle!$B$11,regle!$B$23*IF(AS378=-2,1+regle!$B$35,1),
IF(Z378=regle!$C$11,regle!$C$23,
IF(Z378=regle!$D$11,regle!$D$23,
IF(Z378=regle!$E$11,regle!$E$23,
IF(Z378=regle!$F$11,regle!$F$23,
IF(Z378=regle!$G$11,regle!$G$23,
IF(Z378=regle!$H$11,regle!$H$23,
IF(Z378=regle!$I$11,regle!$I$23,
IF(Z378=regle!$J$11,regle!$J$23,
IF(Z378=regle!$K$11,regle!$K$23,0))))))))))))</f>
        <v>0</v>
      </c>
      <c r="AK378" s="16">
        <f>IF(OR(Q378=regle!$J$11,Q378=regle!$K$11),-2,IF(Q378=regle!$B$11,0,IF(AK$1=$AK$1,IF($O378,-1,regle!$B$2-$M378),IF(AJ378=-1,-1,AJ378+1))))</f>
        <v>11</v>
      </c>
      <c r="AL378" s="16">
        <f>IF(OR(R378=regle!$J$11,R378=regle!$K$11),-2,IF(R378=regle!$B$11,0,IF(AL$1=$AK$1,IF($O378,-1,regle!$B$2-$M378),IF(AK378=-1,-1,AK378+1))))</f>
        <v>12</v>
      </c>
      <c r="AM378" s="16">
        <f>IF(OR(S378=regle!$J$11,S378=regle!$K$11),-2,IF(S378=regle!$B$11,0,IF(AM$1=$AK$1,IF($O378,-1,regle!$B$2-$M378),IF(AL378=-1,-1,AL378+1))))</f>
        <v>13</v>
      </c>
      <c r="AN378" s="16">
        <f>IF(OR(T378=regle!$J$11,T378=regle!$K$11),-2,IF(T378=regle!$B$11,0,IF(AN$1=$AK$1,IF($O378,-1,regle!$B$2-$M378),IF(AM378=-1,-1,AM378+1))))</f>
        <v>14</v>
      </c>
      <c r="AO378" s="16">
        <f>IF(OR(U378=regle!$J$11,U378=regle!$K$11),-2,IF(U378=regle!$B$11,0,IF(AO$1=$AK$1,IF($O378,-1,regle!$B$2-$M378),IF(AN378=-1,-1,AN378+1))))</f>
        <v>15</v>
      </c>
      <c r="AP378" s="16">
        <f>IF(OR(V378=regle!$J$11,V378=regle!$K$11),-2,IF(V378=regle!$B$11,0,IF(AP$1=$AK$1,IF($O378,-1,regle!$B$2-$M378),IF(AO378=-1,-1,AO378+1))))</f>
        <v>16</v>
      </c>
      <c r="AQ378" s="16">
        <f>IF(OR(W378=regle!$J$11,W378=regle!$K$11),-2,IF(W378=regle!$B$11,0,IF(AQ$1=$AK$1,IF($O378,-1,regle!$B$2-$M378),IF(AP378=-1,-1,AP378+1))))</f>
        <v>17</v>
      </c>
      <c r="AR378" s="16">
        <f>IF(OR(X378=regle!$J$11,X378=regle!$K$11),-2,IF(X378=regle!$B$11,0,IF(AR$1=$AK$1,IF($O378,-1,regle!$B$2-$M378),IF(AQ378=-1,-1,AQ378+1))))</f>
        <v>18</v>
      </c>
      <c r="AS378" s="16">
        <f>IF(OR(Y378=regle!$J$11,Y378=regle!$K$11),-2,IF(Y378=regle!$B$11,0,IF(AS$1=$AK$1,IF($O378,-1,regle!$B$2-$M378),IF(AR378=-1,-1,AR378+1))))</f>
        <v>19</v>
      </c>
      <c r="AT378" s="16">
        <f>IF(OR(Z378=regle!$J$11,Z378=regle!$K$11),-2,IF(Z378=regle!$B$11,0,IF(AT$1=$AK$1,IF($O378,-1,regle!$B$2-$M378),IF(AS378=-1,-1,AS378+1))))</f>
        <v>20</v>
      </c>
    </row>
    <row r="379" spans="1:46" x14ac:dyDescent="0.25">
      <c r="A379" t="b">
        <f>modif1!A379</f>
        <v>0</v>
      </c>
      <c r="B379">
        <f>ROW(modif1!B379)</f>
        <v>379</v>
      </c>
      <c r="C379" t="str">
        <f>modif1!C382</f>
        <v>202</v>
      </c>
      <c r="D379" t="str">
        <f>modif1!D379</f>
        <v>HOSTENS</v>
      </c>
      <c r="E379">
        <f>modif1!E379</f>
        <v>8</v>
      </c>
      <c r="F379" t="str">
        <f>modif1!F379</f>
        <v>LES BECS</v>
      </c>
      <c r="G379" t="str">
        <f>modif1!G379</f>
        <v>0B</v>
      </c>
      <c r="H379">
        <f>modif1!H379</f>
        <v>1216</v>
      </c>
      <c r="I379" t="str">
        <f>modif1!I379</f>
        <v/>
      </c>
      <c r="J379" s="11">
        <f>modif1!J379</f>
        <v>1.633</v>
      </c>
      <c r="K379" t="str">
        <f>modif1!K379</f>
        <v>TAIL</v>
      </c>
      <c r="L379" t="str">
        <f>modif1!L379</f>
        <v>FEUIL</v>
      </c>
      <c r="M379">
        <f>modif1!M379</f>
        <v>2013</v>
      </c>
      <c r="N379" t="str">
        <f>modif1!N379</f>
        <v>TAIL-FEUIL_2013</v>
      </c>
      <c r="O379" t="b">
        <f>modif1!O379</f>
        <v>0</v>
      </c>
      <c r="Z379"/>
      <c r="AA379" s="17" t="b">
        <f>IF($A379,$J379*(IF(Q379=regle!$B$11,regle!$B$23*IF(AJ379=-2,1+regle!$B$35,1),
IF(Q379=regle!$C$11,regle!$C$23,
IF(Q379=regle!$D$11,regle!$D$23,
IF(Q379=regle!$E$11,regle!$E$23,
IF(Q379=regle!$F$11,regle!$F$23,
IF(Q379=regle!$G$11,regle!$G$23,
IF(Q379=regle!$H$11,regle!$H$23,
IF(Q379=regle!$I$11,regle!$I$23,
IF(Q379=regle!$J$11,regle!$J$23,
IF(Q379=regle!$K$11,regle!$K$23,0))))))))))))</f>
        <v>0</v>
      </c>
      <c r="AB379" s="17" t="b">
        <f>IF($A379,$J379*(IF(R379=regle!$B$11,regle!$B$23*IF(AK379=-2,1+regle!$B$35,1),
IF(R379=regle!$C$11,regle!$C$23,
IF(R379=regle!$D$11,regle!$D$23,
IF(R379=regle!$E$11,regle!$E$23,
IF(R379=regle!$F$11,regle!$F$23,
IF(R379=regle!$G$11,regle!$G$23,
IF(R379=regle!$H$11,regle!$H$23,
IF(R379=regle!$I$11,regle!$I$23,
IF(R379=regle!$J$11,regle!$J$23,
IF(R379=regle!$K$11,regle!$K$23,0))))))))))))</f>
        <v>0</v>
      </c>
      <c r="AC379" s="17" t="b">
        <f>IF($A379,$J379*(IF(S379=regle!$B$11,regle!$B$23*IF(AL379=-2,1+regle!$B$35,1),
IF(S379=regle!$C$11,regle!$C$23,
IF(S379=regle!$D$11,regle!$D$23,
IF(S379=regle!$E$11,regle!$E$23,
IF(S379=regle!$F$11,regle!$F$23,
IF(S379=regle!$G$11,regle!$G$23,
IF(S379=regle!$H$11,regle!$H$23,
IF(S379=regle!$I$11,regle!$I$23,
IF(S379=regle!$J$11,regle!$J$23,
IF(S379=regle!$K$11,regle!$K$23,0))))))))))))</f>
        <v>0</v>
      </c>
      <c r="AD379" s="17" t="b">
        <f>IF($A379,$J379*(IF(T379=regle!$B$11,regle!$B$23*IF(AM379=-2,1+regle!$B$35,1),
IF(T379=regle!$C$11,regle!$C$23,
IF(T379=regle!$D$11,regle!$D$23,
IF(T379=regle!$E$11,regle!$E$23,
IF(T379=regle!$F$11,regle!$F$23,
IF(T379=regle!$G$11,regle!$G$23,
IF(T379=regle!$H$11,regle!$H$23,
IF(T379=regle!$I$11,regle!$I$23,
IF(T379=regle!$J$11,regle!$J$23,
IF(T379=regle!$K$11,regle!$K$23,0))))))))))))</f>
        <v>0</v>
      </c>
      <c r="AE379" s="17" t="b">
        <f>IF($A379,$J379*(IF(U379=regle!$B$11,regle!$B$23*IF(AN379=-2,1+regle!$B$35,1),
IF(U379=regle!$C$11,regle!$C$23,
IF(U379=regle!$D$11,regle!$D$23,
IF(U379=regle!$E$11,regle!$E$23,
IF(U379=regle!$F$11,regle!$F$23,
IF(U379=regle!$G$11,regle!$G$23,
IF(U379=regle!$H$11,regle!$H$23,
IF(U379=regle!$I$11,regle!$I$23,
IF(U379=regle!$J$11,regle!$J$23,
IF(U379=regle!$K$11,regle!$K$23,0))))))))))))</f>
        <v>0</v>
      </c>
      <c r="AF379" s="17" t="b">
        <f>IF($A379,$J379*(IF(V379=regle!$B$11,regle!$B$23*IF(AO379=-2,1+regle!$B$35,1),
IF(V379=regle!$C$11,regle!$C$23,
IF(V379=regle!$D$11,regle!$D$23,
IF(V379=regle!$E$11,regle!$E$23,
IF(V379=regle!$F$11,regle!$F$23,
IF(V379=regle!$G$11,regle!$G$23,
IF(V379=regle!$H$11,regle!$H$23,
IF(V379=regle!$I$11,regle!$I$23,
IF(V379=regle!$J$11,regle!$J$23,
IF(V379=regle!$K$11,regle!$K$23,0))))))))))))</f>
        <v>0</v>
      </c>
      <c r="AG379" s="17" t="b">
        <f>IF($A379,$J379*(IF(W379=regle!$B$11,regle!$B$23*IF(AP379=-2,1+regle!$B$35,1),
IF(W379=regle!$C$11,regle!$C$23,
IF(W379=regle!$D$11,regle!$D$23,
IF(W379=regle!$E$11,regle!$E$23,
IF(W379=regle!$F$11,regle!$F$23,
IF(W379=regle!$G$11,regle!$G$23,
IF(W379=regle!$H$11,regle!$H$23,
IF(W379=regle!$I$11,regle!$I$23,
IF(W379=regle!$J$11,regle!$J$23,
IF(W379=regle!$K$11,regle!$K$23,0))))))))))))</f>
        <v>0</v>
      </c>
      <c r="AH379" s="17" t="b">
        <f>IF($A379,$J379*(IF(X379=regle!$B$11,regle!$B$23*IF(AQ379=-2,1+regle!$B$35,1),
IF(X379=regle!$C$11,regle!$C$23,
IF(X379=regle!$D$11,regle!$D$23,
IF(X379=regle!$E$11,regle!$E$23,
IF(X379=regle!$F$11,regle!$F$23,
IF(X379=regle!$G$11,regle!$G$23,
IF(X379=regle!$H$11,regle!$H$23,
IF(X379=regle!$I$11,regle!$I$23,
IF(X379=regle!$J$11,regle!$J$23,
IF(X379=regle!$K$11,regle!$K$23,0))))))))))))</f>
        <v>0</v>
      </c>
      <c r="AI379" s="17" t="b">
        <f>IF($A379,$J379*(IF(Y379=regle!$B$11,regle!$B$23*IF(AR379=-2,1+regle!$B$35,1),
IF(Y379=regle!$C$11,regle!$C$23,
IF(Y379=regle!$D$11,regle!$D$23,
IF(Y379=regle!$E$11,regle!$E$23,
IF(Y379=regle!$F$11,regle!$F$23,
IF(Y379=regle!$G$11,regle!$G$23,
IF(Y379=regle!$H$11,regle!$H$23,
IF(Y379=regle!$I$11,regle!$I$23,
IF(Y379=regle!$J$11,regle!$J$23,
IF(Y379=regle!$K$11,regle!$K$23,0))))))))))))</f>
        <v>0</v>
      </c>
      <c r="AJ379" s="17" t="b">
        <f>IF($A379,$J379*(IF(Z379=regle!$B$11,regle!$B$23*IF(AS379=-2,1+regle!$B$35,1),
IF(Z379=regle!$C$11,regle!$C$23,
IF(Z379=regle!$D$11,regle!$D$23,
IF(Z379=regle!$E$11,regle!$E$23,
IF(Z379=regle!$F$11,regle!$F$23,
IF(Z379=regle!$G$11,regle!$G$23,
IF(Z379=regle!$H$11,regle!$H$23,
IF(Z379=regle!$I$11,regle!$I$23,
IF(Z379=regle!$J$11,regle!$J$23,
IF(Z379=regle!$K$11,regle!$K$23,0))))))))))))</f>
        <v>0</v>
      </c>
      <c r="AK379" s="16">
        <f>IF(OR(Q379=regle!$J$11,Q379=regle!$K$11),-2,IF(Q379=regle!$B$11,0,IF(AK$1=$AK$1,IF($O379,-1,regle!$B$2-$M379),IF(AJ379=-1,-1,AJ379+1))))</f>
        <v>11</v>
      </c>
      <c r="AL379" s="16">
        <f>IF(OR(R379=regle!$J$11,R379=regle!$K$11),-2,IF(R379=regle!$B$11,0,IF(AL$1=$AK$1,IF($O379,-1,regle!$B$2-$M379),IF(AK379=-1,-1,AK379+1))))</f>
        <v>12</v>
      </c>
      <c r="AM379" s="16">
        <f>IF(OR(S379=regle!$J$11,S379=regle!$K$11),-2,IF(S379=regle!$B$11,0,IF(AM$1=$AK$1,IF($O379,-1,regle!$B$2-$M379),IF(AL379=-1,-1,AL379+1))))</f>
        <v>13</v>
      </c>
      <c r="AN379" s="16">
        <f>IF(OR(T379=regle!$J$11,T379=regle!$K$11),-2,IF(T379=regle!$B$11,0,IF(AN$1=$AK$1,IF($O379,-1,regle!$B$2-$M379),IF(AM379=-1,-1,AM379+1))))</f>
        <v>14</v>
      </c>
      <c r="AO379" s="16">
        <f>IF(OR(U379=regle!$J$11,U379=regle!$K$11),-2,IF(U379=regle!$B$11,0,IF(AO$1=$AK$1,IF($O379,-1,regle!$B$2-$M379),IF(AN379=-1,-1,AN379+1))))</f>
        <v>15</v>
      </c>
      <c r="AP379" s="16">
        <f>IF(OR(V379=regle!$J$11,V379=regle!$K$11),-2,IF(V379=regle!$B$11,0,IF(AP$1=$AK$1,IF($O379,-1,regle!$B$2-$M379),IF(AO379=-1,-1,AO379+1))))</f>
        <v>16</v>
      </c>
      <c r="AQ379" s="16">
        <f>IF(OR(W379=regle!$J$11,W379=regle!$K$11),-2,IF(W379=regle!$B$11,0,IF(AQ$1=$AK$1,IF($O379,-1,regle!$B$2-$M379),IF(AP379=-1,-1,AP379+1))))</f>
        <v>17</v>
      </c>
      <c r="AR379" s="16">
        <f>IF(OR(X379=regle!$J$11,X379=regle!$K$11),-2,IF(X379=regle!$B$11,0,IF(AR$1=$AK$1,IF($O379,-1,regle!$B$2-$M379),IF(AQ379=-1,-1,AQ379+1))))</f>
        <v>18</v>
      </c>
      <c r="AS379" s="16">
        <f>IF(OR(Y379=regle!$J$11,Y379=regle!$K$11),-2,IF(Y379=regle!$B$11,0,IF(AS$1=$AK$1,IF($O379,-1,regle!$B$2-$M379),IF(AR379=-1,-1,AR379+1))))</f>
        <v>19</v>
      </c>
      <c r="AT379" s="16">
        <f>IF(OR(Z379=regle!$J$11,Z379=regle!$K$11),-2,IF(Z379=regle!$B$11,0,IF(AT$1=$AK$1,IF($O379,-1,regle!$B$2-$M379),IF(AS379=-1,-1,AS379+1))))</f>
        <v>20</v>
      </c>
    </row>
    <row r="380" spans="1:46" x14ac:dyDescent="0.25">
      <c r="A380" t="b">
        <f>modif1!A380</f>
        <v>0</v>
      </c>
      <c r="B380">
        <f>ROW(modif1!B380)</f>
        <v>380</v>
      </c>
      <c r="C380" t="str">
        <f>modif1!C383</f>
        <v>202</v>
      </c>
      <c r="D380" t="str">
        <f>modif1!D380</f>
        <v>HOSTENS</v>
      </c>
      <c r="E380">
        <f>modif1!E380</f>
        <v>13</v>
      </c>
      <c r="F380" t="str">
        <f>modif1!F380</f>
        <v>LA BROUSTETTE</v>
      </c>
      <c r="G380" t="str">
        <f>modif1!G380</f>
        <v>0B</v>
      </c>
      <c r="H380">
        <f>modif1!H380</f>
        <v>1229</v>
      </c>
      <c r="I380" t="str">
        <f>modif1!I380</f>
        <v/>
      </c>
      <c r="J380" s="11">
        <f>modif1!J380</f>
        <v>0.97</v>
      </c>
      <c r="K380" t="str">
        <f>modif1!K380</f>
        <v>TAIL</v>
      </c>
      <c r="L380" t="str">
        <f>modif1!L380</f>
        <v>FEUIL</v>
      </c>
      <c r="M380">
        <f>modif1!M380</f>
        <v>2013</v>
      </c>
      <c r="N380" t="str">
        <f>modif1!N380</f>
        <v>TAIL-FEUIL_2013</v>
      </c>
      <c r="O380" t="b">
        <f>modif1!O380</f>
        <v>0</v>
      </c>
      <c r="Z380"/>
      <c r="AA380" s="17" t="b">
        <f>IF($A380,$J380*(IF(Q380=regle!$B$11,regle!$B$23*IF(AJ380=-2,1+regle!$B$35,1),
IF(Q380=regle!$C$11,regle!$C$23,
IF(Q380=regle!$D$11,regle!$D$23,
IF(Q380=regle!$E$11,regle!$E$23,
IF(Q380=regle!$F$11,regle!$F$23,
IF(Q380=regle!$G$11,regle!$G$23,
IF(Q380=regle!$H$11,regle!$H$23,
IF(Q380=regle!$I$11,regle!$I$23,
IF(Q380=regle!$J$11,regle!$J$23,
IF(Q380=regle!$K$11,regle!$K$23,0))))))))))))</f>
        <v>0</v>
      </c>
      <c r="AB380" s="17" t="b">
        <f>IF($A380,$J380*(IF(R380=regle!$B$11,regle!$B$23*IF(AK380=-2,1+regle!$B$35,1),
IF(R380=regle!$C$11,regle!$C$23,
IF(R380=regle!$D$11,regle!$D$23,
IF(R380=regle!$E$11,regle!$E$23,
IF(R380=regle!$F$11,regle!$F$23,
IF(R380=regle!$G$11,regle!$G$23,
IF(R380=regle!$H$11,regle!$H$23,
IF(R380=regle!$I$11,regle!$I$23,
IF(R380=regle!$J$11,regle!$J$23,
IF(R380=regle!$K$11,regle!$K$23,0))))))))))))</f>
        <v>0</v>
      </c>
      <c r="AC380" s="17" t="b">
        <f>IF($A380,$J380*(IF(S380=regle!$B$11,regle!$B$23*IF(AL380=-2,1+regle!$B$35,1),
IF(S380=regle!$C$11,regle!$C$23,
IF(S380=regle!$D$11,regle!$D$23,
IF(S380=regle!$E$11,regle!$E$23,
IF(S380=regle!$F$11,regle!$F$23,
IF(S380=regle!$G$11,regle!$G$23,
IF(S380=regle!$H$11,regle!$H$23,
IF(S380=regle!$I$11,regle!$I$23,
IF(S380=regle!$J$11,regle!$J$23,
IF(S380=regle!$K$11,regle!$K$23,0))))))))))))</f>
        <v>0</v>
      </c>
      <c r="AD380" s="17" t="b">
        <f>IF($A380,$J380*(IF(T380=regle!$B$11,regle!$B$23*IF(AM380=-2,1+regle!$B$35,1),
IF(T380=regle!$C$11,regle!$C$23,
IF(T380=regle!$D$11,regle!$D$23,
IF(T380=regle!$E$11,regle!$E$23,
IF(T380=regle!$F$11,regle!$F$23,
IF(T380=regle!$G$11,regle!$G$23,
IF(T380=regle!$H$11,regle!$H$23,
IF(T380=regle!$I$11,regle!$I$23,
IF(T380=regle!$J$11,regle!$J$23,
IF(T380=regle!$K$11,regle!$K$23,0))))))))))))</f>
        <v>0</v>
      </c>
      <c r="AE380" s="17" t="b">
        <f>IF($A380,$J380*(IF(U380=regle!$B$11,regle!$B$23*IF(AN380=-2,1+regle!$B$35,1),
IF(U380=regle!$C$11,regle!$C$23,
IF(U380=regle!$D$11,regle!$D$23,
IF(U380=regle!$E$11,regle!$E$23,
IF(U380=regle!$F$11,regle!$F$23,
IF(U380=regle!$G$11,regle!$G$23,
IF(U380=regle!$H$11,regle!$H$23,
IF(U380=regle!$I$11,regle!$I$23,
IF(U380=regle!$J$11,regle!$J$23,
IF(U380=regle!$K$11,regle!$K$23,0))))))))))))</f>
        <v>0</v>
      </c>
      <c r="AF380" s="17" t="b">
        <f>IF($A380,$J380*(IF(V380=regle!$B$11,regle!$B$23*IF(AO380=-2,1+regle!$B$35,1),
IF(V380=regle!$C$11,regle!$C$23,
IF(V380=regle!$D$11,regle!$D$23,
IF(V380=regle!$E$11,regle!$E$23,
IF(V380=regle!$F$11,regle!$F$23,
IF(V380=regle!$G$11,regle!$G$23,
IF(V380=regle!$H$11,regle!$H$23,
IF(V380=regle!$I$11,regle!$I$23,
IF(V380=regle!$J$11,regle!$J$23,
IF(V380=regle!$K$11,regle!$K$23,0))))))))))))</f>
        <v>0</v>
      </c>
      <c r="AG380" s="17" t="b">
        <f>IF($A380,$J380*(IF(W380=regle!$B$11,regle!$B$23*IF(AP380=-2,1+regle!$B$35,1),
IF(W380=regle!$C$11,regle!$C$23,
IF(W380=regle!$D$11,regle!$D$23,
IF(W380=regle!$E$11,regle!$E$23,
IF(W380=regle!$F$11,regle!$F$23,
IF(W380=regle!$G$11,regle!$G$23,
IF(W380=regle!$H$11,regle!$H$23,
IF(W380=regle!$I$11,regle!$I$23,
IF(W380=regle!$J$11,regle!$J$23,
IF(W380=regle!$K$11,regle!$K$23,0))))))))))))</f>
        <v>0</v>
      </c>
      <c r="AH380" s="17" t="b">
        <f>IF($A380,$J380*(IF(X380=regle!$B$11,regle!$B$23*IF(AQ380=-2,1+regle!$B$35,1),
IF(X380=regle!$C$11,regle!$C$23,
IF(X380=regle!$D$11,regle!$D$23,
IF(X380=regle!$E$11,regle!$E$23,
IF(X380=regle!$F$11,regle!$F$23,
IF(X380=regle!$G$11,regle!$G$23,
IF(X380=regle!$H$11,regle!$H$23,
IF(X380=regle!$I$11,regle!$I$23,
IF(X380=regle!$J$11,regle!$J$23,
IF(X380=regle!$K$11,regle!$K$23,0))))))))))))</f>
        <v>0</v>
      </c>
      <c r="AI380" s="17" t="b">
        <f>IF($A380,$J380*(IF(Y380=regle!$B$11,regle!$B$23*IF(AR380=-2,1+regle!$B$35,1),
IF(Y380=regle!$C$11,regle!$C$23,
IF(Y380=regle!$D$11,regle!$D$23,
IF(Y380=regle!$E$11,regle!$E$23,
IF(Y380=regle!$F$11,regle!$F$23,
IF(Y380=regle!$G$11,regle!$G$23,
IF(Y380=regle!$H$11,regle!$H$23,
IF(Y380=regle!$I$11,regle!$I$23,
IF(Y380=regle!$J$11,regle!$J$23,
IF(Y380=regle!$K$11,regle!$K$23,0))))))))))))</f>
        <v>0</v>
      </c>
      <c r="AJ380" s="17" t="b">
        <f>IF($A380,$J380*(IF(Z380=regle!$B$11,regle!$B$23*IF(AS380=-2,1+regle!$B$35,1),
IF(Z380=regle!$C$11,regle!$C$23,
IF(Z380=regle!$D$11,regle!$D$23,
IF(Z380=regle!$E$11,regle!$E$23,
IF(Z380=regle!$F$11,regle!$F$23,
IF(Z380=regle!$G$11,regle!$G$23,
IF(Z380=regle!$H$11,regle!$H$23,
IF(Z380=regle!$I$11,regle!$I$23,
IF(Z380=regle!$J$11,regle!$J$23,
IF(Z380=regle!$K$11,regle!$K$23,0))))))))))))</f>
        <v>0</v>
      </c>
      <c r="AK380" s="16">
        <f>IF(OR(Q380=regle!$J$11,Q380=regle!$K$11),-2,IF(Q380=regle!$B$11,0,IF(AK$1=$AK$1,IF($O380,-1,regle!$B$2-$M380),IF(AJ380=-1,-1,AJ380+1))))</f>
        <v>11</v>
      </c>
      <c r="AL380" s="16">
        <f>IF(OR(R380=regle!$J$11,R380=regle!$K$11),-2,IF(R380=regle!$B$11,0,IF(AL$1=$AK$1,IF($O380,-1,regle!$B$2-$M380),IF(AK380=-1,-1,AK380+1))))</f>
        <v>12</v>
      </c>
      <c r="AM380" s="16">
        <f>IF(OR(S380=regle!$J$11,S380=regle!$K$11),-2,IF(S380=regle!$B$11,0,IF(AM$1=$AK$1,IF($O380,-1,regle!$B$2-$M380),IF(AL380=-1,-1,AL380+1))))</f>
        <v>13</v>
      </c>
      <c r="AN380" s="16">
        <f>IF(OR(T380=regle!$J$11,T380=regle!$K$11),-2,IF(T380=regle!$B$11,0,IF(AN$1=$AK$1,IF($O380,-1,regle!$B$2-$M380),IF(AM380=-1,-1,AM380+1))))</f>
        <v>14</v>
      </c>
      <c r="AO380" s="16">
        <f>IF(OR(U380=regle!$J$11,U380=regle!$K$11),-2,IF(U380=regle!$B$11,0,IF(AO$1=$AK$1,IF($O380,-1,regle!$B$2-$M380),IF(AN380=-1,-1,AN380+1))))</f>
        <v>15</v>
      </c>
      <c r="AP380" s="16">
        <f>IF(OR(V380=regle!$J$11,V380=regle!$K$11),-2,IF(V380=regle!$B$11,0,IF(AP$1=$AK$1,IF($O380,-1,regle!$B$2-$M380),IF(AO380=-1,-1,AO380+1))))</f>
        <v>16</v>
      </c>
      <c r="AQ380" s="16">
        <f>IF(OR(W380=regle!$J$11,W380=regle!$K$11),-2,IF(W380=regle!$B$11,0,IF(AQ$1=$AK$1,IF($O380,-1,regle!$B$2-$M380),IF(AP380=-1,-1,AP380+1))))</f>
        <v>17</v>
      </c>
      <c r="AR380" s="16">
        <f>IF(OR(X380=regle!$J$11,X380=regle!$K$11),-2,IF(X380=regle!$B$11,0,IF(AR$1=$AK$1,IF($O380,-1,regle!$B$2-$M380),IF(AQ380=-1,-1,AQ380+1))))</f>
        <v>18</v>
      </c>
      <c r="AS380" s="16">
        <f>IF(OR(Y380=regle!$J$11,Y380=regle!$K$11),-2,IF(Y380=regle!$B$11,0,IF(AS$1=$AK$1,IF($O380,-1,regle!$B$2-$M380),IF(AR380=-1,-1,AR380+1))))</f>
        <v>19</v>
      </c>
      <c r="AT380" s="16">
        <f>IF(OR(Z380=regle!$J$11,Z380=regle!$K$11),-2,IF(Z380=regle!$B$11,0,IF(AT$1=$AK$1,IF($O380,-1,regle!$B$2-$M380),IF(AS380=-1,-1,AS380+1))))</f>
        <v>20</v>
      </c>
    </row>
    <row r="381" spans="1:46" x14ac:dyDescent="0.25">
      <c r="A381" t="b">
        <f>modif1!A381</f>
        <v>0</v>
      </c>
      <c r="B381">
        <f>ROW(modif1!B381)</f>
        <v>381</v>
      </c>
      <c r="C381" t="str">
        <f>modif1!C384</f>
        <v>202</v>
      </c>
      <c r="D381" t="str">
        <f>modif1!D381</f>
        <v>HOSTENS</v>
      </c>
      <c r="E381">
        <f>modif1!E381</f>
        <v>11</v>
      </c>
      <c r="F381" t="str">
        <f>modif1!F381</f>
        <v>LES CAZALAS</v>
      </c>
      <c r="G381" t="str">
        <f>modif1!G381</f>
        <v>0B</v>
      </c>
      <c r="H381">
        <f>modif1!H381</f>
        <v>1186</v>
      </c>
      <c r="I381" t="str">
        <f>modif1!I381</f>
        <v/>
      </c>
      <c r="J381" s="11">
        <f>modif1!J381</f>
        <v>0.45</v>
      </c>
      <c r="K381" t="str">
        <f>modif1!K381</f>
        <v>TAIL</v>
      </c>
      <c r="L381" t="str">
        <f>modif1!L381</f>
        <v>FEUIL</v>
      </c>
      <c r="M381">
        <f>modif1!M381</f>
        <v>2013</v>
      </c>
      <c r="N381" t="str">
        <f>modif1!N381</f>
        <v>TAIL-FEUIL_2013</v>
      </c>
      <c r="O381" t="b">
        <f>modif1!O381</f>
        <v>0</v>
      </c>
      <c r="Z381"/>
      <c r="AA381" s="17" t="b">
        <f>IF($A381,$J381*(IF(Q381=regle!$B$11,regle!$B$23*IF(AJ381=-2,1+regle!$B$35,1),
IF(Q381=regle!$C$11,regle!$C$23,
IF(Q381=regle!$D$11,regle!$D$23,
IF(Q381=regle!$E$11,regle!$E$23,
IF(Q381=regle!$F$11,regle!$F$23,
IF(Q381=regle!$G$11,regle!$G$23,
IF(Q381=regle!$H$11,regle!$H$23,
IF(Q381=regle!$I$11,regle!$I$23,
IF(Q381=regle!$J$11,regle!$J$23,
IF(Q381=regle!$K$11,regle!$K$23,0))))))))))))</f>
        <v>0</v>
      </c>
      <c r="AB381" s="17" t="b">
        <f>IF($A381,$J381*(IF(R381=regle!$B$11,regle!$B$23*IF(AK381=-2,1+regle!$B$35,1),
IF(R381=regle!$C$11,regle!$C$23,
IF(R381=regle!$D$11,regle!$D$23,
IF(R381=regle!$E$11,regle!$E$23,
IF(R381=regle!$F$11,regle!$F$23,
IF(R381=regle!$G$11,regle!$G$23,
IF(R381=regle!$H$11,regle!$H$23,
IF(R381=regle!$I$11,regle!$I$23,
IF(R381=regle!$J$11,regle!$J$23,
IF(R381=regle!$K$11,regle!$K$23,0))))))))))))</f>
        <v>0</v>
      </c>
      <c r="AC381" s="17" t="b">
        <f>IF($A381,$J381*(IF(S381=regle!$B$11,regle!$B$23*IF(AL381=-2,1+regle!$B$35,1),
IF(S381=regle!$C$11,regle!$C$23,
IF(S381=regle!$D$11,regle!$D$23,
IF(S381=regle!$E$11,regle!$E$23,
IF(S381=regle!$F$11,regle!$F$23,
IF(S381=regle!$G$11,regle!$G$23,
IF(S381=regle!$H$11,regle!$H$23,
IF(S381=regle!$I$11,regle!$I$23,
IF(S381=regle!$J$11,regle!$J$23,
IF(S381=regle!$K$11,regle!$K$23,0))))))))))))</f>
        <v>0</v>
      </c>
      <c r="AD381" s="17" t="b">
        <f>IF($A381,$J381*(IF(T381=regle!$B$11,regle!$B$23*IF(AM381=-2,1+regle!$B$35,1),
IF(T381=regle!$C$11,regle!$C$23,
IF(T381=regle!$D$11,regle!$D$23,
IF(T381=regle!$E$11,regle!$E$23,
IF(T381=regle!$F$11,regle!$F$23,
IF(T381=regle!$G$11,regle!$G$23,
IF(T381=regle!$H$11,regle!$H$23,
IF(T381=regle!$I$11,regle!$I$23,
IF(T381=regle!$J$11,regle!$J$23,
IF(T381=regle!$K$11,regle!$K$23,0))))))))))))</f>
        <v>0</v>
      </c>
      <c r="AE381" s="17" t="b">
        <f>IF($A381,$J381*(IF(U381=regle!$B$11,regle!$B$23*IF(AN381=-2,1+regle!$B$35,1),
IF(U381=regle!$C$11,regle!$C$23,
IF(U381=regle!$D$11,regle!$D$23,
IF(U381=regle!$E$11,regle!$E$23,
IF(U381=regle!$F$11,regle!$F$23,
IF(U381=regle!$G$11,regle!$G$23,
IF(U381=regle!$H$11,regle!$H$23,
IF(U381=regle!$I$11,regle!$I$23,
IF(U381=regle!$J$11,regle!$J$23,
IF(U381=regle!$K$11,regle!$K$23,0))))))))))))</f>
        <v>0</v>
      </c>
      <c r="AF381" s="17" t="b">
        <f>IF($A381,$J381*(IF(V381=regle!$B$11,regle!$B$23*IF(AO381=-2,1+regle!$B$35,1),
IF(V381=regle!$C$11,regle!$C$23,
IF(V381=regle!$D$11,regle!$D$23,
IF(V381=regle!$E$11,regle!$E$23,
IF(V381=regle!$F$11,regle!$F$23,
IF(V381=regle!$G$11,regle!$G$23,
IF(V381=regle!$H$11,regle!$H$23,
IF(V381=regle!$I$11,regle!$I$23,
IF(V381=regle!$J$11,regle!$J$23,
IF(V381=regle!$K$11,regle!$K$23,0))))))))))))</f>
        <v>0</v>
      </c>
      <c r="AG381" s="17" t="b">
        <f>IF($A381,$J381*(IF(W381=regle!$B$11,regle!$B$23*IF(AP381=-2,1+regle!$B$35,1),
IF(W381=regle!$C$11,regle!$C$23,
IF(W381=regle!$D$11,regle!$D$23,
IF(W381=regle!$E$11,regle!$E$23,
IF(W381=regle!$F$11,regle!$F$23,
IF(W381=regle!$G$11,regle!$G$23,
IF(W381=regle!$H$11,regle!$H$23,
IF(W381=regle!$I$11,regle!$I$23,
IF(W381=regle!$J$11,regle!$J$23,
IF(W381=regle!$K$11,regle!$K$23,0))))))))))))</f>
        <v>0</v>
      </c>
      <c r="AH381" s="17" t="b">
        <f>IF($A381,$J381*(IF(X381=regle!$B$11,regle!$B$23*IF(AQ381=-2,1+regle!$B$35,1),
IF(X381=regle!$C$11,regle!$C$23,
IF(X381=regle!$D$11,regle!$D$23,
IF(X381=regle!$E$11,regle!$E$23,
IF(X381=regle!$F$11,regle!$F$23,
IF(X381=regle!$G$11,regle!$G$23,
IF(X381=regle!$H$11,regle!$H$23,
IF(X381=regle!$I$11,regle!$I$23,
IF(X381=regle!$J$11,regle!$J$23,
IF(X381=regle!$K$11,regle!$K$23,0))))))))))))</f>
        <v>0</v>
      </c>
      <c r="AI381" s="17" t="b">
        <f>IF($A381,$J381*(IF(Y381=regle!$B$11,regle!$B$23*IF(AR381=-2,1+regle!$B$35,1),
IF(Y381=regle!$C$11,regle!$C$23,
IF(Y381=regle!$D$11,regle!$D$23,
IF(Y381=regle!$E$11,regle!$E$23,
IF(Y381=regle!$F$11,regle!$F$23,
IF(Y381=regle!$G$11,regle!$G$23,
IF(Y381=regle!$H$11,regle!$H$23,
IF(Y381=regle!$I$11,regle!$I$23,
IF(Y381=regle!$J$11,regle!$J$23,
IF(Y381=regle!$K$11,regle!$K$23,0))))))))))))</f>
        <v>0</v>
      </c>
      <c r="AJ381" s="17" t="b">
        <f>IF($A381,$J381*(IF(Z381=regle!$B$11,regle!$B$23*IF(AS381=-2,1+regle!$B$35,1),
IF(Z381=regle!$C$11,regle!$C$23,
IF(Z381=regle!$D$11,regle!$D$23,
IF(Z381=regle!$E$11,regle!$E$23,
IF(Z381=regle!$F$11,regle!$F$23,
IF(Z381=regle!$G$11,regle!$G$23,
IF(Z381=regle!$H$11,regle!$H$23,
IF(Z381=regle!$I$11,regle!$I$23,
IF(Z381=regle!$J$11,regle!$J$23,
IF(Z381=regle!$K$11,regle!$K$23,0))))))))))))</f>
        <v>0</v>
      </c>
      <c r="AK381" s="16">
        <f>IF(OR(Q381=regle!$J$11,Q381=regle!$K$11),-2,IF(Q381=regle!$B$11,0,IF(AK$1=$AK$1,IF($O381,-1,regle!$B$2-$M381),IF(AJ381=-1,-1,AJ381+1))))</f>
        <v>11</v>
      </c>
      <c r="AL381" s="16">
        <f>IF(OR(R381=regle!$J$11,R381=regle!$K$11),-2,IF(R381=regle!$B$11,0,IF(AL$1=$AK$1,IF($O381,-1,regle!$B$2-$M381),IF(AK381=-1,-1,AK381+1))))</f>
        <v>12</v>
      </c>
      <c r="AM381" s="16">
        <f>IF(OR(S381=regle!$J$11,S381=regle!$K$11),-2,IF(S381=regle!$B$11,0,IF(AM$1=$AK$1,IF($O381,-1,regle!$B$2-$M381),IF(AL381=-1,-1,AL381+1))))</f>
        <v>13</v>
      </c>
      <c r="AN381" s="16">
        <f>IF(OR(T381=regle!$J$11,T381=regle!$K$11),-2,IF(T381=regle!$B$11,0,IF(AN$1=$AK$1,IF($O381,-1,regle!$B$2-$M381),IF(AM381=-1,-1,AM381+1))))</f>
        <v>14</v>
      </c>
      <c r="AO381" s="16">
        <f>IF(OR(U381=regle!$J$11,U381=regle!$K$11),-2,IF(U381=regle!$B$11,0,IF(AO$1=$AK$1,IF($O381,-1,regle!$B$2-$M381),IF(AN381=-1,-1,AN381+1))))</f>
        <v>15</v>
      </c>
      <c r="AP381" s="16">
        <f>IF(OR(V381=regle!$J$11,V381=regle!$K$11),-2,IF(V381=regle!$B$11,0,IF(AP$1=$AK$1,IF($O381,-1,regle!$B$2-$M381),IF(AO381=-1,-1,AO381+1))))</f>
        <v>16</v>
      </c>
      <c r="AQ381" s="16">
        <f>IF(OR(W381=regle!$J$11,W381=regle!$K$11),-2,IF(W381=regle!$B$11,0,IF(AQ$1=$AK$1,IF($O381,-1,regle!$B$2-$M381),IF(AP381=-1,-1,AP381+1))))</f>
        <v>17</v>
      </c>
      <c r="AR381" s="16">
        <f>IF(OR(X381=regle!$J$11,X381=regle!$K$11),-2,IF(X381=regle!$B$11,0,IF(AR$1=$AK$1,IF($O381,-1,regle!$B$2-$M381),IF(AQ381=-1,-1,AQ381+1))))</f>
        <v>18</v>
      </c>
      <c r="AS381" s="16">
        <f>IF(OR(Y381=regle!$J$11,Y381=regle!$K$11),-2,IF(Y381=regle!$B$11,0,IF(AS$1=$AK$1,IF($O381,-1,regle!$B$2-$M381),IF(AR381=-1,-1,AR381+1))))</f>
        <v>19</v>
      </c>
      <c r="AT381" s="16">
        <f>IF(OR(Z381=regle!$J$11,Z381=regle!$K$11),-2,IF(Z381=regle!$B$11,0,IF(AT$1=$AK$1,IF($O381,-1,regle!$B$2-$M381),IF(AS381=-1,-1,AS381+1))))</f>
        <v>20</v>
      </c>
    </row>
    <row r="382" spans="1:46" x14ac:dyDescent="0.25">
      <c r="A382" t="b">
        <f>modif1!A382</f>
        <v>0</v>
      </c>
      <c r="B382">
        <f>ROW(modif1!B382)</f>
        <v>382</v>
      </c>
      <c r="C382" t="str">
        <f>modif1!C385</f>
        <v>202</v>
      </c>
      <c r="D382" t="str">
        <f>modif1!D382</f>
        <v>HOSTENS</v>
      </c>
      <c r="E382">
        <f>modif1!E382</f>
        <v>13</v>
      </c>
      <c r="F382" t="str">
        <f>modif1!F382</f>
        <v>LA BROUSTETTE</v>
      </c>
      <c r="G382" t="str">
        <f>modif1!G382</f>
        <v>0B</v>
      </c>
      <c r="H382">
        <f>modif1!H382</f>
        <v>1234</v>
      </c>
      <c r="I382" t="str">
        <f>modif1!I382</f>
        <v/>
      </c>
      <c r="J382" s="11">
        <f>modif1!J382</f>
        <v>0.42699999999999999</v>
      </c>
      <c r="K382" t="str">
        <f>modif1!K382</f>
        <v>TAIL</v>
      </c>
      <c r="L382" t="str">
        <f>modif1!L382</f>
        <v>FEUIL</v>
      </c>
      <c r="M382">
        <f>modif1!M382</f>
        <v>2013</v>
      </c>
      <c r="N382" t="str">
        <f>modif1!N382</f>
        <v>TAIL-FEUIL_2013</v>
      </c>
      <c r="O382" t="b">
        <f>modif1!O382</f>
        <v>0</v>
      </c>
      <c r="Z382"/>
      <c r="AA382" s="17" t="b">
        <f>IF($A382,$J382*(IF(Q382=regle!$B$11,regle!$B$23*IF(AJ382=-2,1+regle!$B$35,1),
IF(Q382=regle!$C$11,regle!$C$23,
IF(Q382=regle!$D$11,regle!$D$23,
IF(Q382=regle!$E$11,regle!$E$23,
IF(Q382=regle!$F$11,regle!$F$23,
IF(Q382=regle!$G$11,regle!$G$23,
IF(Q382=regle!$H$11,regle!$H$23,
IF(Q382=regle!$I$11,regle!$I$23,
IF(Q382=regle!$J$11,regle!$J$23,
IF(Q382=regle!$K$11,regle!$K$23,0))))))))))))</f>
        <v>0</v>
      </c>
      <c r="AB382" s="17" t="b">
        <f>IF($A382,$J382*(IF(R382=regle!$B$11,regle!$B$23*IF(AK382=-2,1+regle!$B$35,1),
IF(R382=regle!$C$11,regle!$C$23,
IF(R382=regle!$D$11,regle!$D$23,
IF(R382=regle!$E$11,regle!$E$23,
IF(R382=regle!$F$11,regle!$F$23,
IF(R382=regle!$G$11,regle!$G$23,
IF(R382=regle!$H$11,regle!$H$23,
IF(R382=regle!$I$11,regle!$I$23,
IF(R382=regle!$J$11,regle!$J$23,
IF(R382=regle!$K$11,regle!$K$23,0))))))))))))</f>
        <v>0</v>
      </c>
      <c r="AC382" s="17" t="b">
        <f>IF($A382,$J382*(IF(S382=regle!$B$11,regle!$B$23*IF(AL382=-2,1+regle!$B$35,1),
IF(S382=regle!$C$11,regle!$C$23,
IF(S382=regle!$D$11,regle!$D$23,
IF(S382=regle!$E$11,regle!$E$23,
IF(S382=regle!$F$11,regle!$F$23,
IF(S382=regle!$G$11,regle!$G$23,
IF(S382=regle!$H$11,regle!$H$23,
IF(S382=regle!$I$11,regle!$I$23,
IF(S382=regle!$J$11,regle!$J$23,
IF(S382=regle!$K$11,regle!$K$23,0))))))))))))</f>
        <v>0</v>
      </c>
      <c r="AD382" s="17" t="b">
        <f>IF($A382,$J382*(IF(T382=regle!$B$11,regle!$B$23*IF(AM382=-2,1+regle!$B$35,1),
IF(T382=regle!$C$11,regle!$C$23,
IF(T382=regle!$D$11,regle!$D$23,
IF(T382=regle!$E$11,regle!$E$23,
IF(T382=regle!$F$11,regle!$F$23,
IF(T382=regle!$G$11,regle!$G$23,
IF(T382=regle!$H$11,regle!$H$23,
IF(T382=regle!$I$11,regle!$I$23,
IF(T382=regle!$J$11,regle!$J$23,
IF(T382=regle!$K$11,regle!$K$23,0))))))))))))</f>
        <v>0</v>
      </c>
      <c r="AE382" s="17" t="b">
        <f>IF($A382,$J382*(IF(U382=regle!$B$11,regle!$B$23*IF(AN382=-2,1+regle!$B$35,1),
IF(U382=regle!$C$11,regle!$C$23,
IF(U382=regle!$D$11,regle!$D$23,
IF(U382=regle!$E$11,regle!$E$23,
IF(U382=regle!$F$11,regle!$F$23,
IF(U382=regle!$G$11,regle!$G$23,
IF(U382=regle!$H$11,regle!$H$23,
IF(U382=regle!$I$11,regle!$I$23,
IF(U382=regle!$J$11,regle!$J$23,
IF(U382=regle!$K$11,regle!$K$23,0))))))))))))</f>
        <v>0</v>
      </c>
      <c r="AF382" s="17" t="b">
        <f>IF($A382,$J382*(IF(V382=regle!$B$11,regle!$B$23*IF(AO382=-2,1+regle!$B$35,1),
IF(V382=regle!$C$11,regle!$C$23,
IF(V382=regle!$D$11,regle!$D$23,
IF(V382=regle!$E$11,regle!$E$23,
IF(V382=regle!$F$11,regle!$F$23,
IF(V382=regle!$G$11,regle!$G$23,
IF(V382=regle!$H$11,regle!$H$23,
IF(V382=regle!$I$11,regle!$I$23,
IF(V382=regle!$J$11,regle!$J$23,
IF(V382=regle!$K$11,regle!$K$23,0))))))))))))</f>
        <v>0</v>
      </c>
      <c r="AG382" s="17" t="b">
        <f>IF($A382,$J382*(IF(W382=regle!$B$11,regle!$B$23*IF(AP382=-2,1+regle!$B$35,1),
IF(W382=regle!$C$11,regle!$C$23,
IF(W382=regle!$D$11,regle!$D$23,
IF(W382=regle!$E$11,regle!$E$23,
IF(W382=regle!$F$11,regle!$F$23,
IF(W382=regle!$G$11,regle!$G$23,
IF(W382=regle!$H$11,regle!$H$23,
IF(W382=regle!$I$11,regle!$I$23,
IF(W382=regle!$J$11,regle!$J$23,
IF(W382=regle!$K$11,regle!$K$23,0))))))))))))</f>
        <v>0</v>
      </c>
      <c r="AH382" s="17" t="b">
        <f>IF($A382,$J382*(IF(X382=regle!$B$11,regle!$B$23*IF(AQ382=-2,1+regle!$B$35,1),
IF(X382=regle!$C$11,regle!$C$23,
IF(X382=regle!$D$11,regle!$D$23,
IF(X382=regle!$E$11,regle!$E$23,
IF(X382=regle!$F$11,regle!$F$23,
IF(X382=regle!$G$11,regle!$G$23,
IF(X382=regle!$H$11,regle!$H$23,
IF(X382=regle!$I$11,regle!$I$23,
IF(X382=regle!$J$11,regle!$J$23,
IF(X382=regle!$K$11,regle!$K$23,0))))))))))))</f>
        <v>0</v>
      </c>
      <c r="AI382" s="17" t="b">
        <f>IF($A382,$J382*(IF(Y382=regle!$B$11,regle!$B$23*IF(AR382=-2,1+regle!$B$35,1),
IF(Y382=regle!$C$11,regle!$C$23,
IF(Y382=regle!$D$11,regle!$D$23,
IF(Y382=regle!$E$11,regle!$E$23,
IF(Y382=regle!$F$11,regle!$F$23,
IF(Y382=regle!$G$11,regle!$G$23,
IF(Y382=regle!$H$11,regle!$H$23,
IF(Y382=regle!$I$11,regle!$I$23,
IF(Y382=regle!$J$11,regle!$J$23,
IF(Y382=regle!$K$11,regle!$K$23,0))))))))))))</f>
        <v>0</v>
      </c>
      <c r="AJ382" s="17" t="b">
        <f>IF($A382,$J382*(IF(Z382=regle!$B$11,regle!$B$23*IF(AS382=-2,1+regle!$B$35,1),
IF(Z382=regle!$C$11,regle!$C$23,
IF(Z382=regle!$D$11,regle!$D$23,
IF(Z382=regle!$E$11,regle!$E$23,
IF(Z382=regle!$F$11,regle!$F$23,
IF(Z382=regle!$G$11,regle!$G$23,
IF(Z382=regle!$H$11,regle!$H$23,
IF(Z382=regle!$I$11,regle!$I$23,
IF(Z382=regle!$J$11,regle!$J$23,
IF(Z382=regle!$K$11,regle!$K$23,0))))))))))))</f>
        <v>0</v>
      </c>
      <c r="AK382" s="16">
        <f>IF(OR(Q382=regle!$J$11,Q382=regle!$K$11),-2,IF(Q382=regle!$B$11,0,IF(AK$1=$AK$1,IF($O382,-1,regle!$B$2-$M382),IF(AJ382=-1,-1,AJ382+1))))</f>
        <v>11</v>
      </c>
      <c r="AL382" s="16">
        <f>IF(OR(R382=regle!$J$11,R382=regle!$K$11),-2,IF(R382=regle!$B$11,0,IF(AL$1=$AK$1,IF($O382,-1,regle!$B$2-$M382),IF(AK382=-1,-1,AK382+1))))</f>
        <v>12</v>
      </c>
      <c r="AM382" s="16">
        <f>IF(OR(S382=regle!$J$11,S382=regle!$K$11),-2,IF(S382=regle!$B$11,0,IF(AM$1=$AK$1,IF($O382,-1,regle!$B$2-$M382),IF(AL382=-1,-1,AL382+1))))</f>
        <v>13</v>
      </c>
      <c r="AN382" s="16">
        <f>IF(OR(T382=regle!$J$11,T382=regle!$K$11),-2,IF(T382=regle!$B$11,0,IF(AN$1=$AK$1,IF($O382,-1,regle!$B$2-$M382),IF(AM382=-1,-1,AM382+1))))</f>
        <v>14</v>
      </c>
      <c r="AO382" s="16">
        <f>IF(OR(U382=regle!$J$11,U382=regle!$K$11),-2,IF(U382=regle!$B$11,0,IF(AO$1=$AK$1,IF($O382,-1,regle!$B$2-$M382),IF(AN382=-1,-1,AN382+1))))</f>
        <v>15</v>
      </c>
      <c r="AP382" s="16">
        <f>IF(OR(V382=regle!$J$11,V382=regle!$K$11),-2,IF(V382=regle!$B$11,0,IF(AP$1=$AK$1,IF($O382,-1,regle!$B$2-$M382),IF(AO382=-1,-1,AO382+1))))</f>
        <v>16</v>
      </c>
      <c r="AQ382" s="16">
        <f>IF(OR(W382=regle!$J$11,W382=regle!$K$11),-2,IF(W382=regle!$B$11,0,IF(AQ$1=$AK$1,IF($O382,-1,regle!$B$2-$M382),IF(AP382=-1,-1,AP382+1))))</f>
        <v>17</v>
      </c>
      <c r="AR382" s="16">
        <f>IF(OR(X382=regle!$J$11,X382=regle!$K$11),-2,IF(X382=regle!$B$11,0,IF(AR$1=$AK$1,IF($O382,-1,regle!$B$2-$M382),IF(AQ382=-1,-1,AQ382+1))))</f>
        <v>18</v>
      </c>
      <c r="AS382" s="16">
        <f>IF(OR(Y382=regle!$J$11,Y382=regle!$K$11),-2,IF(Y382=regle!$B$11,0,IF(AS$1=$AK$1,IF($O382,-1,regle!$B$2-$M382),IF(AR382=-1,-1,AR382+1))))</f>
        <v>19</v>
      </c>
      <c r="AT382" s="16">
        <f>IF(OR(Z382=regle!$J$11,Z382=regle!$K$11),-2,IF(Z382=regle!$B$11,0,IF(AT$1=$AK$1,IF($O382,-1,regle!$B$2-$M382),IF(AS382=-1,-1,AS382+1))))</f>
        <v>20</v>
      </c>
    </row>
    <row r="383" spans="1:46" x14ac:dyDescent="0.25">
      <c r="A383" t="b">
        <f>modif1!A383</f>
        <v>0</v>
      </c>
      <c r="B383">
        <f>ROW(modif1!B383)</f>
        <v>383</v>
      </c>
      <c r="C383" t="str">
        <f>modif1!C386</f>
        <v>202</v>
      </c>
      <c r="D383" t="str">
        <f>modif1!D383</f>
        <v>HOSTENS</v>
      </c>
      <c r="E383">
        <f>modif1!E383</f>
        <v>13</v>
      </c>
      <c r="F383" t="str">
        <f>modif1!F383</f>
        <v>LA BROUSTETTE</v>
      </c>
      <c r="G383" t="str">
        <f>modif1!G383</f>
        <v>0B</v>
      </c>
      <c r="H383">
        <f>modif1!H383</f>
        <v>1230</v>
      </c>
      <c r="I383" t="str">
        <f>modif1!I383</f>
        <v/>
      </c>
      <c r="J383" s="11">
        <f>modif1!J383</f>
        <v>0.372</v>
      </c>
      <c r="K383" t="str">
        <f>modif1!K383</f>
        <v>TAIL</v>
      </c>
      <c r="L383" t="str">
        <f>modif1!L383</f>
        <v>FEUIL</v>
      </c>
      <c r="M383">
        <f>modif1!M383</f>
        <v>2013</v>
      </c>
      <c r="N383" t="str">
        <f>modif1!N383</f>
        <v>TAIL-FEUIL_2013</v>
      </c>
      <c r="O383" t="b">
        <f>modif1!O383</f>
        <v>0</v>
      </c>
      <c r="Z383"/>
      <c r="AA383" s="17" t="b">
        <f>IF($A383,$J383*(IF(Q383=regle!$B$11,regle!$B$23*IF(AJ383=-2,1+regle!$B$35,1),
IF(Q383=regle!$C$11,regle!$C$23,
IF(Q383=regle!$D$11,regle!$D$23,
IF(Q383=regle!$E$11,regle!$E$23,
IF(Q383=regle!$F$11,regle!$F$23,
IF(Q383=regle!$G$11,regle!$G$23,
IF(Q383=regle!$H$11,regle!$H$23,
IF(Q383=regle!$I$11,regle!$I$23,
IF(Q383=regle!$J$11,regle!$J$23,
IF(Q383=regle!$K$11,regle!$K$23,0))))))))))))</f>
        <v>0</v>
      </c>
      <c r="AB383" s="17" t="b">
        <f>IF($A383,$J383*(IF(R383=regle!$B$11,regle!$B$23*IF(AK383=-2,1+regle!$B$35,1),
IF(R383=regle!$C$11,regle!$C$23,
IF(R383=regle!$D$11,regle!$D$23,
IF(R383=regle!$E$11,regle!$E$23,
IF(R383=regle!$F$11,regle!$F$23,
IF(R383=regle!$G$11,regle!$G$23,
IF(R383=regle!$H$11,regle!$H$23,
IF(R383=regle!$I$11,regle!$I$23,
IF(R383=regle!$J$11,regle!$J$23,
IF(R383=regle!$K$11,regle!$K$23,0))))))))))))</f>
        <v>0</v>
      </c>
      <c r="AC383" s="17" t="b">
        <f>IF($A383,$J383*(IF(S383=regle!$B$11,regle!$B$23*IF(AL383=-2,1+regle!$B$35,1),
IF(S383=regle!$C$11,regle!$C$23,
IF(S383=regle!$D$11,regle!$D$23,
IF(S383=regle!$E$11,regle!$E$23,
IF(S383=regle!$F$11,regle!$F$23,
IF(S383=regle!$G$11,regle!$G$23,
IF(S383=regle!$H$11,regle!$H$23,
IF(S383=regle!$I$11,regle!$I$23,
IF(S383=regle!$J$11,regle!$J$23,
IF(S383=regle!$K$11,regle!$K$23,0))))))))))))</f>
        <v>0</v>
      </c>
      <c r="AD383" s="17" t="b">
        <f>IF($A383,$J383*(IF(T383=regle!$B$11,regle!$B$23*IF(AM383=-2,1+regle!$B$35,1),
IF(T383=regle!$C$11,regle!$C$23,
IF(T383=regle!$D$11,regle!$D$23,
IF(T383=regle!$E$11,regle!$E$23,
IF(T383=regle!$F$11,regle!$F$23,
IF(T383=regle!$G$11,regle!$G$23,
IF(T383=regle!$H$11,regle!$H$23,
IF(T383=regle!$I$11,regle!$I$23,
IF(T383=regle!$J$11,regle!$J$23,
IF(T383=regle!$K$11,regle!$K$23,0))))))))))))</f>
        <v>0</v>
      </c>
      <c r="AE383" s="17" t="b">
        <f>IF($A383,$J383*(IF(U383=regle!$B$11,regle!$B$23*IF(AN383=-2,1+regle!$B$35,1),
IF(U383=regle!$C$11,regle!$C$23,
IF(U383=regle!$D$11,regle!$D$23,
IF(U383=regle!$E$11,regle!$E$23,
IF(U383=regle!$F$11,regle!$F$23,
IF(U383=regle!$G$11,regle!$G$23,
IF(U383=regle!$H$11,regle!$H$23,
IF(U383=regle!$I$11,regle!$I$23,
IF(U383=regle!$J$11,regle!$J$23,
IF(U383=regle!$K$11,regle!$K$23,0))))))))))))</f>
        <v>0</v>
      </c>
      <c r="AF383" s="17" t="b">
        <f>IF($A383,$J383*(IF(V383=regle!$B$11,regle!$B$23*IF(AO383=-2,1+regle!$B$35,1),
IF(V383=regle!$C$11,regle!$C$23,
IF(V383=regle!$D$11,regle!$D$23,
IF(V383=regle!$E$11,regle!$E$23,
IF(V383=regle!$F$11,regle!$F$23,
IF(V383=regle!$G$11,regle!$G$23,
IF(V383=regle!$H$11,regle!$H$23,
IF(V383=regle!$I$11,regle!$I$23,
IF(V383=regle!$J$11,regle!$J$23,
IF(V383=regle!$K$11,regle!$K$23,0))))))))))))</f>
        <v>0</v>
      </c>
      <c r="AG383" s="17" t="b">
        <f>IF($A383,$J383*(IF(W383=regle!$B$11,regle!$B$23*IF(AP383=-2,1+regle!$B$35,1),
IF(W383=regle!$C$11,regle!$C$23,
IF(W383=regle!$D$11,regle!$D$23,
IF(W383=regle!$E$11,regle!$E$23,
IF(W383=regle!$F$11,regle!$F$23,
IF(W383=regle!$G$11,regle!$G$23,
IF(W383=regle!$H$11,regle!$H$23,
IF(W383=regle!$I$11,regle!$I$23,
IF(W383=regle!$J$11,regle!$J$23,
IF(W383=regle!$K$11,regle!$K$23,0))))))))))))</f>
        <v>0</v>
      </c>
      <c r="AH383" s="17" t="b">
        <f>IF($A383,$J383*(IF(X383=regle!$B$11,regle!$B$23*IF(AQ383=-2,1+regle!$B$35,1),
IF(X383=regle!$C$11,regle!$C$23,
IF(X383=regle!$D$11,regle!$D$23,
IF(X383=regle!$E$11,regle!$E$23,
IF(X383=regle!$F$11,regle!$F$23,
IF(X383=regle!$G$11,regle!$G$23,
IF(X383=regle!$H$11,regle!$H$23,
IF(X383=regle!$I$11,regle!$I$23,
IF(X383=regle!$J$11,regle!$J$23,
IF(X383=regle!$K$11,regle!$K$23,0))))))))))))</f>
        <v>0</v>
      </c>
      <c r="AI383" s="17" t="b">
        <f>IF($A383,$J383*(IF(Y383=regle!$B$11,regle!$B$23*IF(AR383=-2,1+regle!$B$35,1),
IF(Y383=regle!$C$11,regle!$C$23,
IF(Y383=regle!$D$11,regle!$D$23,
IF(Y383=regle!$E$11,regle!$E$23,
IF(Y383=regle!$F$11,regle!$F$23,
IF(Y383=regle!$G$11,regle!$G$23,
IF(Y383=regle!$H$11,regle!$H$23,
IF(Y383=regle!$I$11,regle!$I$23,
IF(Y383=regle!$J$11,regle!$J$23,
IF(Y383=regle!$K$11,regle!$K$23,0))))))))))))</f>
        <v>0</v>
      </c>
      <c r="AJ383" s="17" t="b">
        <f>IF($A383,$J383*(IF(Z383=regle!$B$11,regle!$B$23*IF(AS383=-2,1+regle!$B$35,1),
IF(Z383=regle!$C$11,regle!$C$23,
IF(Z383=regle!$D$11,regle!$D$23,
IF(Z383=regle!$E$11,regle!$E$23,
IF(Z383=regle!$F$11,regle!$F$23,
IF(Z383=regle!$G$11,regle!$G$23,
IF(Z383=regle!$H$11,regle!$H$23,
IF(Z383=regle!$I$11,regle!$I$23,
IF(Z383=regle!$J$11,regle!$J$23,
IF(Z383=regle!$K$11,regle!$K$23,0))))))))))))</f>
        <v>0</v>
      </c>
      <c r="AK383" s="16">
        <f>IF(OR(Q383=regle!$J$11,Q383=regle!$K$11),-2,IF(Q383=regle!$B$11,0,IF(AK$1=$AK$1,IF($O383,-1,regle!$B$2-$M383),IF(AJ383=-1,-1,AJ383+1))))</f>
        <v>11</v>
      </c>
      <c r="AL383" s="16">
        <f>IF(OR(R383=regle!$J$11,R383=regle!$K$11),-2,IF(R383=regle!$B$11,0,IF(AL$1=$AK$1,IF($O383,-1,regle!$B$2-$M383),IF(AK383=-1,-1,AK383+1))))</f>
        <v>12</v>
      </c>
      <c r="AM383" s="16">
        <f>IF(OR(S383=regle!$J$11,S383=regle!$K$11),-2,IF(S383=regle!$B$11,0,IF(AM$1=$AK$1,IF($O383,-1,regle!$B$2-$M383),IF(AL383=-1,-1,AL383+1))))</f>
        <v>13</v>
      </c>
      <c r="AN383" s="16">
        <f>IF(OR(T383=regle!$J$11,T383=regle!$K$11),-2,IF(T383=regle!$B$11,0,IF(AN$1=$AK$1,IF($O383,-1,regle!$B$2-$M383),IF(AM383=-1,-1,AM383+1))))</f>
        <v>14</v>
      </c>
      <c r="AO383" s="16">
        <f>IF(OR(U383=regle!$J$11,U383=regle!$K$11),-2,IF(U383=regle!$B$11,0,IF(AO$1=$AK$1,IF($O383,-1,regle!$B$2-$M383),IF(AN383=-1,-1,AN383+1))))</f>
        <v>15</v>
      </c>
      <c r="AP383" s="16">
        <f>IF(OR(V383=regle!$J$11,V383=regle!$K$11),-2,IF(V383=regle!$B$11,0,IF(AP$1=$AK$1,IF($O383,-1,regle!$B$2-$M383),IF(AO383=-1,-1,AO383+1))))</f>
        <v>16</v>
      </c>
      <c r="AQ383" s="16">
        <f>IF(OR(W383=regle!$J$11,W383=regle!$K$11),-2,IF(W383=regle!$B$11,0,IF(AQ$1=$AK$1,IF($O383,-1,regle!$B$2-$M383),IF(AP383=-1,-1,AP383+1))))</f>
        <v>17</v>
      </c>
      <c r="AR383" s="16">
        <f>IF(OR(X383=regle!$J$11,X383=regle!$K$11),-2,IF(X383=regle!$B$11,0,IF(AR$1=$AK$1,IF($O383,-1,regle!$B$2-$M383),IF(AQ383=-1,-1,AQ383+1))))</f>
        <v>18</v>
      </c>
      <c r="AS383" s="16">
        <f>IF(OR(Y383=regle!$J$11,Y383=regle!$K$11),-2,IF(Y383=regle!$B$11,0,IF(AS$1=$AK$1,IF($O383,-1,regle!$B$2-$M383),IF(AR383=-1,-1,AR383+1))))</f>
        <v>19</v>
      </c>
      <c r="AT383" s="16">
        <f>IF(OR(Z383=regle!$J$11,Z383=regle!$K$11),-2,IF(Z383=regle!$B$11,0,IF(AT$1=$AK$1,IF($O383,-1,regle!$B$2-$M383),IF(AS383=-1,-1,AS383+1))))</f>
        <v>20</v>
      </c>
    </row>
    <row r="384" spans="1:46" x14ac:dyDescent="0.25">
      <c r="A384" t="b">
        <f>modif1!A384</f>
        <v>0</v>
      </c>
      <c r="B384">
        <f>ROW(modif1!B384)</f>
        <v>384</v>
      </c>
      <c r="C384" t="str">
        <f>modif1!C387</f>
        <v>202</v>
      </c>
      <c r="D384" t="str">
        <f>modif1!D384</f>
        <v>HOSTENS</v>
      </c>
      <c r="E384">
        <f>modif1!E384</f>
        <v>8</v>
      </c>
      <c r="F384" t="str">
        <f>modif1!F384</f>
        <v>LES BECS</v>
      </c>
      <c r="G384" t="str">
        <f>modif1!G384</f>
        <v>0B</v>
      </c>
      <c r="H384">
        <f>modif1!H384</f>
        <v>1214</v>
      </c>
      <c r="I384" t="str">
        <f>modif1!I384</f>
        <v>k</v>
      </c>
      <c r="J384" s="11">
        <f>modif1!J384</f>
        <v>0.3629</v>
      </c>
      <c r="K384" t="str">
        <f>modif1!K384</f>
        <v>TAIL</v>
      </c>
      <c r="L384" t="str">
        <f>modif1!L384</f>
        <v>FEUIL</v>
      </c>
      <c r="M384">
        <f>modif1!M384</f>
        <v>2013</v>
      </c>
      <c r="N384" t="str">
        <f>modif1!N384</f>
        <v>TAIL-FEUIL_2013</v>
      </c>
      <c r="O384" t="b">
        <f>modif1!O384</f>
        <v>0</v>
      </c>
      <c r="Z384"/>
      <c r="AA384" s="17" t="b">
        <f>IF($A384,$J384*(IF(Q384=regle!$B$11,regle!$B$23*IF(AJ384=-2,1+regle!$B$35,1),
IF(Q384=regle!$C$11,regle!$C$23,
IF(Q384=regle!$D$11,regle!$D$23,
IF(Q384=regle!$E$11,regle!$E$23,
IF(Q384=regle!$F$11,regle!$F$23,
IF(Q384=regle!$G$11,regle!$G$23,
IF(Q384=regle!$H$11,regle!$H$23,
IF(Q384=regle!$I$11,regle!$I$23,
IF(Q384=regle!$J$11,regle!$J$23,
IF(Q384=regle!$K$11,regle!$K$23,0))))))))))))</f>
        <v>0</v>
      </c>
      <c r="AB384" s="17" t="b">
        <f>IF($A384,$J384*(IF(R384=regle!$B$11,regle!$B$23*IF(AK384=-2,1+regle!$B$35,1),
IF(R384=regle!$C$11,regle!$C$23,
IF(R384=regle!$D$11,regle!$D$23,
IF(R384=regle!$E$11,regle!$E$23,
IF(R384=regle!$F$11,regle!$F$23,
IF(R384=regle!$G$11,regle!$G$23,
IF(R384=regle!$H$11,regle!$H$23,
IF(R384=regle!$I$11,regle!$I$23,
IF(R384=regle!$J$11,regle!$J$23,
IF(R384=regle!$K$11,regle!$K$23,0))))))))))))</f>
        <v>0</v>
      </c>
      <c r="AC384" s="17" t="b">
        <f>IF($A384,$J384*(IF(S384=regle!$B$11,regle!$B$23*IF(AL384=-2,1+regle!$B$35,1),
IF(S384=regle!$C$11,regle!$C$23,
IF(S384=regle!$D$11,regle!$D$23,
IF(S384=regle!$E$11,regle!$E$23,
IF(S384=regle!$F$11,regle!$F$23,
IF(S384=regle!$G$11,regle!$G$23,
IF(S384=regle!$H$11,regle!$H$23,
IF(S384=regle!$I$11,regle!$I$23,
IF(S384=regle!$J$11,regle!$J$23,
IF(S384=regle!$K$11,regle!$K$23,0))))))))))))</f>
        <v>0</v>
      </c>
      <c r="AD384" s="17" t="b">
        <f>IF($A384,$J384*(IF(T384=regle!$B$11,regle!$B$23*IF(AM384=-2,1+regle!$B$35,1),
IF(T384=regle!$C$11,regle!$C$23,
IF(T384=regle!$D$11,regle!$D$23,
IF(T384=regle!$E$11,regle!$E$23,
IF(T384=regle!$F$11,regle!$F$23,
IF(T384=regle!$G$11,regle!$G$23,
IF(T384=regle!$H$11,regle!$H$23,
IF(T384=regle!$I$11,regle!$I$23,
IF(T384=regle!$J$11,regle!$J$23,
IF(T384=regle!$K$11,regle!$K$23,0))))))))))))</f>
        <v>0</v>
      </c>
      <c r="AE384" s="17" t="b">
        <f>IF($A384,$J384*(IF(U384=regle!$B$11,regle!$B$23*IF(AN384=-2,1+regle!$B$35,1),
IF(U384=regle!$C$11,regle!$C$23,
IF(U384=regle!$D$11,regle!$D$23,
IF(U384=regle!$E$11,regle!$E$23,
IF(U384=regle!$F$11,regle!$F$23,
IF(U384=regle!$G$11,regle!$G$23,
IF(U384=regle!$H$11,regle!$H$23,
IF(U384=regle!$I$11,regle!$I$23,
IF(U384=regle!$J$11,regle!$J$23,
IF(U384=regle!$K$11,regle!$K$23,0))))))))))))</f>
        <v>0</v>
      </c>
      <c r="AF384" s="17" t="b">
        <f>IF($A384,$J384*(IF(V384=regle!$B$11,regle!$B$23*IF(AO384=-2,1+regle!$B$35,1),
IF(V384=regle!$C$11,regle!$C$23,
IF(V384=regle!$D$11,regle!$D$23,
IF(V384=regle!$E$11,regle!$E$23,
IF(V384=regle!$F$11,regle!$F$23,
IF(V384=regle!$G$11,regle!$G$23,
IF(V384=regle!$H$11,regle!$H$23,
IF(V384=regle!$I$11,regle!$I$23,
IF(V384=regle!$J$11,regle!$J$23,
IF(V384=regle!$K$11,regle!$K$23,0))))))))))))</f>
        <v>0</v>
      </c>
      <c r="AG384" s="17" t="b">
        <f>IF($A384,$J384*(IF(W384=regle!$B$11,regle!$B$23*IF(AP384=-2,1+regle!$B$35,1),
IF(W384=regle!$C$11,regle!$C$23,
IF(W384=regle!$D$11,regle!$D$23,
IF(W384=regle!$E$11,regle!$E$23,
IF(W384=regle!$F$11,regle!$F$23,
IF(W384=regle!$G$11,regle!$G$23,
IF(W384=regle!$H$11,regle!$H$23,
IF(W384=regle!$I$11,regle!$I$23,
IF(W384=regle!$J$11,regle!$J$23,
IF(W384=regle!$K$11,regle!$K$23,0))))))))))))</f>
        <v>0</v>
      </c>
      <c r="AH384" s="17" t="b">
        <f>IF($A384,$J384*(IF(X384=regle!$B$11,regle!$B$23*IF(AQ384=-2,1+regle!$B$35,1),
IF(X384=regle!$C$11,regle!$C$23,
IF(X384=regle!$D$11,regle!$D$23,
IF(X384=regle!$E$11,regle!$E$23,
IF(X384=regle!$F$11,regle!$F$23,
IF(X384=regle!$G$11,regle!$G$23,
IF(X384=regle!$H$11,regle!$H$23,
IF(X384=regle!$I$11,regle!$I$23,
IF(X384=regle!$J$11,regle!$J$23,
IF(X384=regle!$K$11,regle!$K$23,0))))))))))))</f>
        <v>0</v>
      </c>
      <c r="AI384" s="17" t="b">
        <f>IF($A384,$J384*(IF(Y384=regle!$B$11,regle!$B$23*IF(AR384=-2,1+regle!$B$35,1),
IF(Y384=regle!$C$11,regle!$C$23,
IF(Y384=regle!$D$11,regle!$D$23,
IF(Y384=regle!$E$11,regle!$E$23,
IF(Y384=regle!$F$11,regle!$F$23,
IF(Y384=regle!$G$11,regle!$G$23,
IF(Y384=regle!$H$11,regle!$H$23,
IF(Y384=regle!$I$11,regle!$I$23,
IF(Y384=regle!$J$11,regle!$J$23,
IF(Y384=regle!$K$11,regle!$K$23,0))))))))))))</f>
        <v>0</v>
      </c>
      <c r="AJ384" s="17" t="b">
        <f>IF($A384,$J384*(IF(Z384=regle!$B$11,regle!$B$23*IF(AS384=-2,1+regle!$B$35,1),
IF(Z384=regle!$C$11,regle!$C$23,
IF(Z384=regle!$D$11,regle!$D$23,
IF(Z384=regle!$E$11,regle!$E$23,
IF(Z384=regle!$F$11,regle!$F$23,
IF(Z384=regle!$G$11,regle!$G$23,
IF(Z384=regle!$H$11,regle!$H$23,
IF(Z384=regle!$I$11,regle!$I$23,
IF(Z384=regle!$J$11,regle!$J$23,
IF(Z384=regle!$K$11,regle!$K$23,0))))))))))))</f>
        <v>0</v>
      </c>
      <c r="AK384" s="16">
        <f>IF(OR(Q384=regle!$J$11,Q384=regle!$K$11),-2,IF(Q384=regle!$B$11,0,IF(AK$1=$AK$1,IF($O384,-1,regle!$B$2-$M384),IF(AJ384=-1,-1,AJ384+1))))</f>
        <v>11</v>
      </c>
      <c r="AL384" s="16">
        <f>IF(OR(R384=regle!$J$11,R384=regle!$K$11),-2,IF(R384=regle!$B$11,0,IF(AL$1=$AK$1,IF($O384,-1,regle!$B$2-$M384),IF(AK384=-1,-1,AK384+1))))</f>
        <v>12</v>
      </c>
      <c r="AM384" s="16">
        <f>IF(OR(S384=regle!$J$11,S384=regle!$K$11),-2,IF(S384=regle!$B$11,0,IF(AM$1=$AK$1,IF($O384,-1,regle!$B$2-$M384),IF(AL384=-1,-1,AL384+1))))</f>
        <v>13</v>
      </c>
      <c r="AN384" s="16">
        <f>IF(OR(T384=regle!$J$11,T384=regle!$K$11),-2,IF(T384=regle!$B$11,0,IF(AN$1=$AK$1,IF($O384,-1,regle!$B$2-$M384),IF(AM384=-1,-1,AM384+1))))</f>
        <v>14</v>
      </c>
      <c r="AO384" s="16">
        <f>IF(OR(U384=regle!$J$11,U384=regle!$K$11),-2,IF(U384=regle!$B$11,0,IF(AO$1=$AK$1,IF($O384,-1,regle!$B$2-$M384),IF(AN384=-1,-1,AN384+1))))</f>
        <v>15</v>
      </c>
      <c r="AP384" s="16">
        <f>IF(OR(V384=regle!$J$11,V384=regle!$K$11),-2,IF(V384=regle!$B$11,0,IF(AP$1=$AK$1,IF($O384,-1,regle!$B$2-$M384),IF(AO384=-1,-1,AO384+1))))</f>
        <v>16</v>
      </c>
      <c r="AQ384" s="16">
        <f>IF(OR(W384=regle!$J$11,W384=regle!$K$11),-2,IF(W384=regle!$B$11,0,IF(AQ$1=$AK$1,IF($O384,-1,regle!$B$2-$M384),IF(AP384=-1,-1,AP384+1))))</f>
        <v>17</v>
      </c>
      <c r="AR384" s="16">
        <f>IF(OR(X384=regle!$J$11,X384=regle!$K$11),-2,IF(X384=regle!$B$11,0,IF(AR$1=$AK$1,IF($O384,-1,regle!$B$2-$M384),IF(AQ384=-1,-1,AQ384+1))))</f>
        <v>18</v>
      </c>
      <c r="AS384" s="16">
        <f>IF(OR(Y384=regle!$J$11,Y384=regle!$K$11),-2,IF(Y384=regle!$B$11,0,IF(AS$1=$AK$1,IF($O384,-1,regle!$B$2-$M384),IF(AR384=-1,-1,AR384+1))))</f>
        <v>19</v>
      </c>
      <c r="AT384" s="16">
        <f>IF(OR(Z384=regle!$J$11,Z384=regle!$K$11),-2,IF(Z384=regle!$B$11,0,IF(AT$1=$AK$1,IF($O384,-1,regle!$B$2-$M384),IF(AS384=-1,-1,AS384+1))))</f>
        <v>20</v>
      </c>
    </row>
    <row r="385" spans="1:46" x14ac:dyDescent="0.25">
      <c r="A385" t="b">
        <f>modif1!A385</f>
        <v>0</v>
      </c>
      <c r="B385">
        <f>ROW(modif1!B385)</f>
        <v>385</v>
      </c>
      <c r="C385" t="str">
        <f>modif1!C388</f>
        <v>202</v>
      </c>
      <c r="D385" t="str">
        <f>modif1!D385</f>
        <v>HOSTENS</v>
      </c>
      <c r="E385">
        <f>modif1!E385</f>
        <v>13</v>
      </c>
      <c r="F385" t="str">
        <f>modif1!F385</f>
        <v>LA BROUSTETTE</v>
      </c>
      <c r="G385" t="str">
        <f>modif1!G385</f>
        <v>0B</v>
      </c>
      <c r="H385">
        <f>modif1!H385</f>
        <v>1223</v>
      </c>
      <c r="I385" t="str">
        <f>modif1!I385</f>
        <v/>
      </c>
      <c r="J385" s="11">
        <f>modif1!J385</f>
        <v>0.33600000000000002</v>
      </c>
      <c r="K385" t="str">
        <f>modif1!K385</f>
        <v>TAIL</v>
      </c>
      <c r="L385" t="str">
        <f>modif1!L385</f>
        <v>FEUIL</v>
      </c>
      <c r="M385">
        <f>modif1!M385</f>
        <v>2013</v>
      </c>
      <c r="N385" t="str">
        <f>modif1!N385</f>
        <v>TAIL-FEUIL_2013</v>
      </c>
      <c r="O385" t="b">
        <f>modif1!O385</f>
        <v>0</v>
      </c>
      <c r="Z385"/>
      <c r="AA385" s="17" t="b">
        <f>IF($A385,$J385*(IF(Q385=regle!$B$11,regle!$B$23*IF(AJ385=-2,1+regle!$B$35,1),
IF(Q385=regle!$C$11,regle!$C$23,
IF(Q385=regle!$D$11,regle!$D$23,
IF(Q385=regle!$E$11,regle!$E$23,
IF(Q385=regle!$F$11,regle!$F$23,
IF(Q385=regle!$G$11,regle!$G$23,
IF(Q385=regle!$H$11,regle!$H$23,
IF(Q385=regle!$I$11,regle!$I$23,
IF(Q385=regle!$J$11,regle!$J$23,
IF(Q385=regle!$K$11,regle!$K$23,0))))))))))))</f>
        <v>0</v>
      </c>
      <c r="AB385" s="17" t="b">
        <f>IF($A385,$J385*(IF(R385=regle!$B$11,regle!$B$23*IF(AK385=-2,1+regle!$B$35,1),
IF(R385=regle!$C$11,regle!$C$23,
IF(R385=regle!$D$11,regle!$D$23,
IF(R385=regle!$E$11,regle!$E$23,
IF(R385=regle!$F$11,regle!$F$23,
IF(R385=regle!$G$11,regle!$G$23,
IF(R385=regle!$H$11,regle!$H$23,
IF(R385=regle!$I$11,regle!$I$23,
IF(R385=regle!$J$11,regle!$J$23,
IF(R385=regle!$K$11,regle!$K$23,0))))))))))))</f>
        <v>0</v>
      </c>
      <c r="AC385" s="17" t="b">
        <f>IF($A385,$J385*(IF(S385=regle!$B$11,regle!$B$23*IF(AL385=-2,1+regle!$B$35,1),
IF(S385=regle!$C$11,regle!$C$23,
IF(S385=regle!$D$11,regle!$D$23,
IF(S385=regle!$E$11,regle!$E$23,
IF(S385=regle!$F$11,regle!$F$23,
IF(S385=regle!$G$11,regle!$G$23,
IF(S385=regle!$H$11,regle!$H$23,
IF(S385=regle!$I$11,regle!$I$23,
IF(S385=regle!$J$11,regle!$J$23,
IF(S385=regle!$K$11,regle!$K$23,0))))))))))))</f>
        <v>0</v>
      </c>
      <c r="AD385" s="17" t="b">
        <f>IF($A385,$J385*(IF(T385=regle!$B$11,regle!$B$23*IF(AM385=-2,1+regle!$B$35,1),
IF(T385=regle!$C$11,regle!$C$23,
IF(T385=regle!$D$11,regle!$D$23,
IF(T385=regle!$E$11,regle!$E$23,
IF(T385=regle!$F$11,regle!$F$23,
IF(T385=regle!$G$11,regle!$G$23,
IF(T385=regle!$H$11,regle!$H$23,
IF(T385=regle!$I$11,regle!$I$23,
IF(T385=regle!$J$11,regle!$J$23,
IF(T385=regle!$K$11,regle!$K$23,0))))))))))))</f>
        <v>0</v>
      </c>
      <c r="AE385" s="17" t="b">
        <f>IF($A385,$J385*(IF(U385=regle!$B$11,regle!$B$23*IF(AN385=-2,1+regle!$B$35,1),
IF(U385=regle!$C$11,regle!$C$23,
IF(U385=regle!$D$11,regle!$D$23,
IF(U385=regle!$E$11,regle!$E$23,
IF(U385=regle!$F$11,regle!$F$23,
IF(U385=regle!$G$11,regle!$G$23,
IF(U385=regle!$H$11,regle!$H$23,
IF(U385=regle!$I$11,regle!$I$23,
IF(U385=regle!$J$11,regle!$J$23,
IF(U385=regle!$K$11,regle!$K$23,0))))))))))))</f>
        <v>0</v>
      </c>
      <c r="AF385" s="17" t="b">
        <f>IF($A385,$J385*(IF(V385=regle!$B$11,regle!$B$23*IF(AO385=-2,1+regle!$B$35,1),
IF(V385=regle!$C$11,regle!$C$23,
IF(V385=regle!$D$11,regle!$D$23,
IF(V385=regle!$E$11,regle!$E$23,
IF(V385=regle!$F$11,regle!$F$23,
IF(V385=regle!$G$11,regle!$G$23,
IF(V385=regle!$H$11,regle!$H$23,
IF(V385=regle!$I$11,regle!$I$23,
IF(V385=regle!$J$11,regle!$J$23,
IF(V385=regle!$K$11,regle!$K$23,0))))))))))))</f>
        <v>0</v>
      </c>
      <c r="AG385" s="17" t="b">
        <f>IF($A385,$J385*(IF(W385=regle!$B$11,regle!$B$23*IF(AP385=-2,1+regle!$B$35,1),
IF(W385=regle!$C$11,regle!$C$23,
IF(W385=regle!$D$11,regle!$D$23,
IF(W385=regle!$E$11,regle!$E$23,
IF(W385=regle!$F$11,regle!$F$23,
IF(W385=regle!$G$11,regle!$G$23,
IF(W385=regle!$H$11,regle!$H$23,
IF(W385=regle!$I$11,regle!$I$23,
IF(W385=regle!$J$11,regle!$J$23,
IF(W385=regle!$K$11,regle!$K$23,0))))))))))))</f>
        <v>0</v>
      </c>
      <c r="AH385" s="17" t="b">
        <f>IF($A385,$J385*(IF(X385=regle!$B$11,regle!$B$23*IF(AQ385=-2,1+regle!$B$35,1),
IF(X385=regle!$C$11,regle!$C$23,
IF(X385=regle!$D$11,regle!$D$23,
IF(X385=regle!$E$11,regle!$E$23,
IF(X385=regle!$F$11,regle!$F$23,
IF(X385=regle!$G$11,regle!$G$23,
IF(X385=regle!$H$11,regle!$H$23,
IF(X385=regle!$I$11,regle!$I$23,
IF(X385=regle!$J$11,regle!$J$23,
IF(X385=regle!$K$11,regle!$K$23,0))))))))))))</f>
        <v>0</v>
      </c>
      <c r="AI385" s="17" t="b">
        <f>IF($A385,$J385*(IF(Y385=regle!$B$11,regle!$B$23*IF(AR385=-2,1+regle!$B$35,1),
IF(Y385=regle!$C$11,regle!$C$23,
IF(Y385=regle!$D$11,regle!$D$23,
IF(Y385=regle!$E$11,regle!$E$23,
IF(Y385=regle!$F$11,regle!$F$23,
IF(Y385=regle!$G$11,regle!$G$23,
IF(Y385=regle!$H$11,regle!$H$23,
IF(Y385=regle!$I$11,regle!$I$23,
IF(Y385=regle!$J$11,regle!$J$23,
IF(Y385=regle!$K$11,regle!$K$23,0))))))))))))</f>
        <v>0</v>
      </c>
      <c r="AJ385" s="17" t="b">
        <f>IF($A385,$J385*(IF(Z385=regle!$B$11,regle!$B$23*IF(AS385=-2,1+regle!$B$35,1),
IF(Z385=regle!$C$11,regle!$C$23,
IF(Z385=regle!$D$11,regle!$D$23,
IF(Z385=regle!$E$11,regle!$E$23,
IF(Z385=regle!$F$11,regle!$F$23,
IF(Z385=regle!$G$11,regle!$G$23,
IF(Z385=regle!$H$11,regle!$H$23,
IF(Z385=regle!$I$11,regle!$I$23,
IF(Z385=regle!$J$11,regle!$J$23,
IF(Z385=regle!$K$11,regle!$K$23,0))))))))))))</f>
        <v>0</v>
      </c>
      <c r="AK385" s="16">
        <f>IF(OR(Q385=regle!$J$11,Q385=regle!$K$11),-2,IF(Q385=regle!$B$11,0,IF(AK$1=$AK$1,IF($O385,-1,regle!$B$2-$M385),IF(AJ385=-1,-1,AJ385+1))))</f>
        <v>11</v>
      </c>
      <c r="AL385" s="16">
        <f>IF(OR(R385=regle!$J$11,R385=regle!$K$11),-2,IF(R385=regle!$B$11,0,IF(AL$1=$AK$1,IF($O385,-1,regle!$B$2-$M385),IF(AK385=-1,-1,AK385+1))))</f>
        <v>12</v>
      </c>
      <c r="AM385" s="16">
        <f>IF(OR(S385=regle!$J$11,S385=regle!$K$11),-2,IF(S385=regle!$B$11,0,IF(AM$1=$AK$1,IF($O385,-1,regle!$B$2-$M385),IF(AL385=-1,-1,AL385+1))))</f>
        <v>13</v>
      </c>
      <c r="AN385" s="16">
        <f>IF(OR(T385=regle!$J$11,T385=regle!$K$11),-2,IF(T385=regle!$B$11,0,IF(AN$1=$AK$1,IF($O385,-1,regle!$B$2-$M385),IF(AM385=-1,-1,AM385+1))))</f>
        <v>14</v>
      </c>
      <c r="AO385" s="16">
        <f>IF(OR(U385=regle!$J$11,U385=regle!$K$11),-2,IF(U385=regle!$B$11,0,IF(AO$1=$AK$1,IF($O385,-1,regle!$B$2-$M385),IF(AN385=-1,-1,AN385+1))))</f>
        <v>15</v>
      </c>
      <c r="AP385" s="16">
        <f>IF(OR(V385=regle!$J$11,V385=regle!$K$11),-2,IF(V385=regle!$B$11,0,IF(AP$1=$AK$1,IF($O385,-1,regle!$B$2-$M385),IF(AO385=-1,-1,AO385+1))))</f>
        <v>16</v>
      </c>
      <c r="AQ385" s="16">
        <f>IF(OR(W385=regle!$J$11,W385=regle!$K$11),-2,IF(W385=regle!$B$11,0,IF(AQ$1=$AK$1,IF($O385,-1,regle!$B$2-$M385),IF(AP385=-1,-1,AP385+1))))</f>
        <v>17</v>
      </c>
      <c r="AR385" s="16">
        <f>IF(OR(X385=regle!$J$11,X385=regle!$K$11),-2,IF(X385=regle!$B$11,0,IF(AR$1=$AK$1,IF($O385,-1,regle!$B$2-$M385),IF(AQ385=-1,-1,AQ385+1))))</f>
        <v>18</v>
      </c>
      <c r="AS385" s="16">
        <f>IF(OR(Y385=regle!$J$11,Y385=regle!$K$11),-2,IF(Y385=regle!$B$11,0,IF(AS$1=$AK$1,IF($O385,-1,regle!$B$2-$M385),IF(AR385=-1,-1,AR385+1))))</f>
        <v>19</v>
      </c>
      <c r="AT385" s="16">
        <f>IF(OR(Z385=regle!$J$11,Z385=regle!$K$11),-2,IF(Z385=regle!$B$11,0,IF(AT$1=$AK$1,IF($O385,-1,regle!$B$2-$M385),IF(AS385=-1,-1,AS385+1))))</f>
        <v>20</v>
      </c>
    </row>
    <row r="386" spans="1:46" x14ac:dyDescent="0.25">
      <c r="A386" t="b">
        <f>modif1!A386</f>
        <v>0</v>
      </c>
      <c r="B386">
        <f>ROW(modif1!B386)</f>
        <v>386</v>
      </c>
      <c r="C386" t="str">
        <f>modif1!C389</f>
        <v>202</v>
      </c>
      <c r="D386" t="str">
        <f>modif1!D386</f>
        <v>HOSTENS</v>
      </c>
      <c r="E386">
        <f>modif1!E386</f>
        <v>13</v>
      </c>
      <c r="F386" t="str">
        <f>modif1!F386</f>
        <v>LA BROUSTETTE</v>
      </c>
      <c r="G386" t="str">
        <f>modif1!G386</f>
        <v>0B</v>
      </c>
      <c r="H386">
        <f>modif1!H386</f>
        <v>1231</v>
      </c>
      <c r="I386" t="str">
        <f>modif1!I386</f>
        <v/>
      </c>
      <c r="J386" s="11">
        <f>modif1!J386</f>
        <v>0.29399999999999998</v>
      </c>
      <c r="K386" t="str">
        <f>modif1!K386</f>
        <v>TAIL</v>
      </c>
      <c r="L386" t="str">
        <f>modif1!L386</f>
        <v>FEUIL</v>
      </c>
      <c r="M386">
        <f>modif1!M386</f>
        <v>2013</v>
      </c>
      <c r="N386" t="str">
        <f>modif1!N386</f>
        <v>TAIL-FEUIL_2013</v>
      </c>
      <c r="O386" t="b">
        <f>modif1!O386</f>
        <v>0</v>
      </c>
      <c r="Z386"/>
      <c r="AA386" s="17" t="b">
        <f>IF($A386,$J386*(IF(Q386=regle!$B$11,regle!$B$23*IF(AJ386=-2,1+regle!$B$35,1),
IF(Q386=regle!$C$11,regle!$C$23,
IF(Q386=regle!$D$11,regle!$D$23,
IF(Q386=regle!$E$11,regle!$E$23,
IF(Q386=regle!$F$11,regle!$F$23,
IF(Q386=regle!$G$11,regle!$G$23,
IF(Q386=regle!$H$11,regle!$H$23,
IF(Q386=regle!$I$11,regle!$I$23,
IF(Q386=regle!$J$11,regle!$J$23,
IF(Q386=regle!$K$11,regle!$K$23,0))))))))))))</f>
        <v>0</v>
      </c>
      <c r="AB386" s="17" t="b">
        <f>IF($A386,$J386*(IF(R386=regle!$B$11,regle!$B$23*IF(AK386=-2,1+regle!$B$35,1),
IF(R386=regle!$C$11,regle!$C$23,
IF(R386=regle!$D$11,regle!$D$23,
IF(R386=regle!$E$11,regle!$E$23,
IF(R386=regle!$F$11,regle!$F$23,
IF(R386=regle!$G$11,regle!$G$23,
IF(R386=regle!$H$11,regle!$H$23,
IF(R386=regle!$I$11,regle!$I$23,
IF(R386=regle!$J$11,regle!$J$23,
IF(R386=regle!$K$11,regle!$K$23,0))))))))))))</f>
        <v>0</v>
      </c>
      <c r="AC386" s="17" t="b">
        <f>IF($A386,$J386*(IF(S386=regle!$B$11,regle!$B$23*IF(AL386=-2,1+regle!$B$35,1),
IF(S386=regle!$C$11,regle!$C$23,
IF(S386=regle!$D$11,regle!$D$23,
IF(S386=regle!$E$11,regle!$E$23,
IF(S386=regle!$F$11,regle!$F$23,
IF(S386=regle!$G$11,regle!$G$23,
IF(S386=regle!$H$11,regle!$H$23,
IF(S386=regle!$I$11,regle!$I$23,
IF(S386=regle!$J$11,regle!$J$23,
IF(S386=regle!$K$11,regle!$K$23,0))))))))))))</f>
        <v>0</v>
      </c>
      <c r="AD386" s="17" t="b">
        <f>IF($A386,$J386*(IF(T386=regle!$B$11,regle!$B$23*IF(AM386=-2,1+regle!$B$35,1),
IF(T386=regle!$C$11,regle!$C$23,
IF(T386=regle!$D$11,regle!$D$23,
IF(T386=regle!$E$11,regle!$E$23,
IF(T386=regle!$F$11,regle!$F$23,
IF(T386=regle!$G$11,regle!$G$23,
IF(T386=regle!$H$11,regle!$H$23,
IF(T386=regle!$I$11,regle!$I$23,
IF(T386=regle!$J$11,regle!$J$23,
IF(T386=regle!$K$11,regle!$K$23,0))))))))))))</f>
        <v>0</v>
      </c>
      <c r="AE386" s="17" t="b">
        <f>IF($A386,$J386*(IF(U386=regle!$B$11,regle!$B$23*IF(AN386=-2,1+regle!$B$35,1),
IF(U386=regle!$C$11,regle!$C$23,
IF(U386=regle!$D$11,regle!$D$23,
IF(U386=regle!$E$11,regle!$E$23,
IF(U386=regle!$F$11,regle!$F$23,
IF(U386=regle!$G$11,regle!$G$23,
IF(U386=regle!$H$11,regle!$H$23,
IF(U386=regle!$I$11,regle!$I$23,
IF(U386=regle!$J$11,regle!$J$23,
IF(U386=regle!$K$11,regle!$K$23,0))))))))))))</f>
        <v>0</v>
      </c>
      <c r="AF386" s="17" t="b">
        <f>IF($A386,$J386*(IF(V386=regle!$B$11,regle!$B$23*IF(AO386=-2,1+regle!$B$35,1),
IF(V386=regle!$C$11,regle!$C$23,
IF(V386=regle!$D$11,regle!$D$23,
IF(V386=regle!$E$11,regle!$E$23,
IF(V386=regle!$F$11,regle!$F$23,
IF(V386=regle!$G$11,regle!$G$23,
IF(V386=regle!$H$11,regle!$H$23,
IF(V386=regle!$I$11,regle!$I$23,
IF(V386=regle!$J$11,regle!$J$23,
IF(V386=regle!$K$11,regle!$K$23,0))))))))))))</f>
        <v>0</v>
      </c>
      <c r="AG386" s="17" t="b">
        <f>IF($A386,$J386*(IF(W386=regle!$B$11,regle!$B$23*IF(AP386=-2,1+regle!$B$35,1),
IF(W386=regle!$C$11,regle!$C$23,
IF(W386=regle!$D$11,regle!$D$23,
IF(W386=regle!$E$11,regle!$E$23,
IF(W386=regle!$F$11,regle!$F$23,
IF(W386=regle!$G$11,regle!$G$23,
IF(W386=regle!$H$11,regle!$H$23,
IF(W386=regle!$I$11,regle!$I$23,
IF(W386=regle!$J$11,regle!$J$23,
IF(W386=regle!$K$11,regle!$K$23,0))))))))))))</f>
        <v>0</v>
      </c>
      <c r="AH386" s="17" t="b">
        <f>IF($A386,$J386*(IF(X386=regle!$B$11,regle!$B$23*IF(AQ386=-2,1+regle!$B$35,1),
IF(X386=regle!$C$11,regle!$C$23,
IF(X386=regle!$D$11,regle!$D$23,
IF(X386=regle!$E$11,regle!$E$23,
IF(X386=regle!$F$11,regle!$F$23,
IF(X386=regle!$G$11,regle!$G$23,
IF(X386=regle!$H$11,regle!$H$23,
IF(X386=regle!$I$11,regle!$I$23,
IF(X386=regle!$J$11,regle!$J$23,
IF(X386=regle!$K$11,regle!$K$23,0))))))))))))</f>
        <v>0</v>
      </c>
      <c r="AI386" s="17" t="b">
        <f>IF($A386,$J386*(IF(Y386=regle!$B$11,regle!$B$23*IF(AR386=-2,1+regle!$B$35,1),
IF(Y386=regle!$C$11,regle!$C$23,
IF(Y386=regle!$D$11,regle!$D$23,
IF(Y386=regle!$E$11,regle!$E$23,
IF(Y386=regle!$F$11,regle!$F$23,
IF(Y386=regle!$G$11,regle!$G$23,
IF(Y386=regle!$H$11,regle!$H$23,
IF(Y386=regle!$I$11,regle!$I$23,
IF(Y386=regle!$J$11,regle!$J$23,
IF(Y386=regle!$K$11,regle!$K$23,0))))))))))))</f>
        <v>0</v>
      </c>
      <c r="AJ386" s="17" t="b">
        <f>IF($A386,$J386*(IF(Z386=regle!$B$11,regle!$B$23*IF(AS386=-2,1+regle!$B$35,1),
IF(Z386=regle!$C$11,regle!$C$23,
IF(Z386=regle!$D$11,regle!$D$23,
IF(Z386=regle!$E$11,regle!$E$23,
IF(Z386=regle!$F$11,regle!$F$23,
IF(Z386=regle!$G$11,regle!$G$23,
IF(Z386=regle!$H$11,regle!$H$23,
IF(Z386=regle!$I$11,regle!$I$23,
IF(Z386=regle!$J$11,regle!$J$23,
IF(Z386=regle!$K$11,regle!$K$23,0))))))))))))</f>
        <v>0</v>
      </c>
      <c r="AK386" s="16">
        <f>IF(OR(Q386=regle!$J$11,Q386=regle!$K$11),-2,IF(Q386=regle!$B$11,0,IF(AK$1=$AK$1,IF($O386,-1,regle!$B$2-$M386),IF(AJ386=-1,-1,AJ386+1))))</f>
        <v>11</v>
      </c>
      <c r="AL386" s="16">
        <f>IF(OR(R386=regle!$J$11,R386=regle!$K$11),-2,IF(R386=regle!$B$11,0,IF(AL$1=$AK$1,IF($O386,-1,regle!$B$2-$M386),IF(AK386=-1,-1,AK386+1))))</f>
        <v>12</v>
      </c>
      <c r="AM386" s="16">
        <f>IF(OR(S386=regle!$J$11,S386=regle!$K$11),-2,IF(S386=regle!$B$11,0,IF(AM$1=$AK$1,IF($O386,-1,regle!$B$2-$M386),IF(AL386=-1,-1,AL386+1))))</f>
        <v>13</v>
      </c>
      <c r="AN386" s="16">
        <f>IF(OR(T386=regle!$J$11,T386=regle!$K$11),-2,IF(T386=regle!$B$11,0,IF(AN$1=$AK$1,IF($O386,-1,regle!$B$2-$M386),IF(AM386=-1,-1,AM386+1))))</f>
        <v>14</v>
      </c>
      <c r="AO386" s="16">
        <f>IF(OR(U386=regle!$J$11,U386=regle!$K$11),-2,IF(U386=regle!$B$11,0,IF(AO$1=$AK$1,IF($O386,-1,regle!$B$2-$M386),IF(AN386=-1,-1,AN386+1))))</f>
        <v>15</v>
      </c>
      <c r="AP386" s="16">
        <f>IF(OR(V386=regle!$J$11,V386=regle!$K$11),-2,IF(V386=regle!$B$11,0,IF(AP$1=$AK$1,IF($O386,-1,regle!$B$2-$M386),IF(AO386=-1,-1,AO386+1))))</f>
        <v>16</v>
      </c>
      <c r="AQ386" s="16">
        <f>IF(OR(W386=regle!$J$11,W386=regle!$K$11),-2,IF(W386=regle!$B$11,0,IF(AQ$1=$AK$1,IF($O386,-1,regle!$B$2-$M386),IF(AP386=-1,-1,AP386+1))))</f>
        <v>17</v>
      </c>
      <c r="AR386" s="16">
        <f>IF(OR(X386=regle!$J$11,X386=regle!$K$11),-2,IF(X386=regle!$B$11,0,IF(AR$1=$AK$1,IF($O386,-1,regle!$B$2-$M386),IF(AQ386=-1,-1,AQ386+1))))</f>
        <v>18</v>
      </c>
      <c r="AS386" s="16">
        <f>IF(OR(Y386=regle!$J$11,Y386=regle!$K$11),-2,IF(Y386=regle!$B$11,0,IF(AS$1=$AK$1,IF($O386,-1,regle!$B$2-$M386),IF(AR386=-1,-1,AR386+1))))</f>
        <v>19</v>
      </c>
      <c r="AT386" s="16">
        <f>IF(OR(Z386=regle!$J$11,Z386=regle!$K$11),-2,IF(Z386=regle!$B$11,0,IF(AT$1=$AK$1,IF($O386,-1,regle!$B$2-$M386),IF(AS386=-1,-1,AS386+1))))</f>
        <v>20</v>
      </c>
    </row>
    <row r="387" spans="1:46" x14ac:dyDescent="0.25">
      <c r="A387" t="b">
        <f>modif1!A387</f>
        <v>0</v>
      </c>
      <c r="B387">
        <f>ROW(modif1!B387)</f>
        <v>387</v>
      </c>
      <c r="C387" t="str">
        <f>modif1!C390</f>
        <v>202</v>
      </c>
      <c r="D387" t="str">
        <f>modif1!D387</f>
        <v>HOSTENS</v>
      </c>
      <c r="E387">
        <f>modif1!E387</f>
        <v>13</v>
      </c>
      <c r="F387" t="str">
        <f>modif1!F387</f>
        <v>LA BROUSTETTE</v>
      </c>
      <c r="G387" t="str">
        <f>modif1!G387</f>
        <v>0B</v>
      </c>
      <c r="H387">
        <f>modif1!H387</f>
        <v>1232</v>
      </c>
      <c r="I387" t="str">
        <f>modif1!I387</f>
        <v/>
      </c>
      <c r="J387" s="11">
        <f>modif1!J387</f>
        <v>0.20899999999999999</v>
      </c>
      <c r="K387" t="str">
        <f>modif1!K387</f>
        <v>TAIL</v>
      </c>
      <c r="L387" t="str">
        <f>modif1!L387</f>
        <v>FEUIL</v>
      </c>
      <c r="M387">
        <f>modif1!M387</f>
        <v>2013</v>
      </c>
      <c r="N387" t="str">
        <f>modif1!N387</f>
        <v>TAIL-FEUIL_2013</v>
      </c>
      <c r="O387" t="b">
        <f>modif1!O387</f>
        <v>0</v>
      </c>
      <c r="Z387"/>
      <c r="AA387" s="17" t="b">
        <f>IF($A387,$J387*(IF(Q387=regle!$B$11,regle!$B$23*IF(AJ387=-2,1+regle!$B$35,1),
IF(Q387=regle!$C$11,regle!$C$23,
IF(Q387=regle!$D$11,regle!$D$23,
IF(Q387=regle!$E$11,regle!$E$23,
IF(Q387=regle!$F$11,regle!$F$23,
IF(Q387=regle!$G$11,regle!$G$23,
IF(Q387=regle!$H$11,regle!$H$23,
IF(Q387=regle!$I$11,regle!$I$23,
IF(Q387=regle!$J$11,regle!$J$23,
IF(Q387=regle!$K$11,regle!$K$23,0))))))))))))</f>
        <v>0</v>
      </c>
      <c r="AB387" s="17" t="b">
        <f>IF($A387,$J387*(IF(R387=regle!$B$11,regle!$B$23*IF(AK387=-2,1+regle!$B$35,1),
IF(R387=regle!$C$11,regle!$C$23,
IF(R387=regle!$D$11,regle!$D$23,
IF(R387=regle!$E$11,regle!$E$23,
IF(R387=regle!$F$11,regle!$F$23,
IF(R387=regle!$G$11,regle!$G$23,
IF(R387=regle!$H$11,regle!$H$23,
IF(R387=regle!$I$11,regle!$I$23,
IF(R387=regle!$J$11,regle!$J$23,
IF(R387=regle!$K$11,regle!$K$23,0))))))))))))</f>
        <v>0</v>
      </c>
      <c r="AC387" s="17" t="b">
        <f>IF($A387,$J387*(IF(S387=regle!$B$11,regle!$B$23*IF(AL387=-2,1+regle!$B$35,1),
IF(S387=regle!$C$11,regle!$C$23,
IF(S387=regle!$D$11,regle!$D$23,
IF(S387=regle!$E$11,regle!$E$23,
IF(S387=regle!$F$11,regle!$F$23,
IF(S387=regle!$G$11,regle!$G$23,
IF(S387=regle!$H$11,regle!$H$23,
IF(S387=regle!$I$11,regle!$I$23,
IF(S387=regle!$J$11,regle!$J$23,
IF(S387=regle!$K$11,regle!$K$23,0))))))))))))</f>
        <v>0</v>
      </c>
      <c r="AD387" s="17" t="b">
        <f>IF($A387,$J387*(IF(T387=regle!$B$11,regle!$B$23*IF(AM387=-2,1+regle!$B$35,1),
IF(T387=regle!$C$11,regle!$C$23,
IF(T387=regle!$D$11,regle!$D$23,
IF(T387=regle!$E$11,regle!$E$23,
IF(T387=regle!$F$11,regle!$F$23,
IF(T387=regle!$G$11,regle!$G$23,
IF(T387=regle!$H$11,regle!$H$23,
IF(T387=regle!$I$11,regle!$I$23,
IF(T387=regle!$J$11,regle!$J$23,
IF(T387=regle!$K$11,regle!$K$23,0))))))))))))</f>
        <v>0</v>
      </c>
      <c r="AE387" s="17" t="b">
        <f>IF($A387,$J387*(IF(U387=regle!$B$11,regle!$B$23*IF(AN387=-2,1+regle!$B$35,1),
IF(U387=regle!$C$11,regle!$C$23,
IF(U387=regle!$D$11,regle!$D$23,
IF(U387=regle!$E$11,regle!$E$23,
IF(U387=regle!$F$11,regle!$F$23,
IF(U387=regle!$G$11,regle!$G$23,
IF(U387=regle!$H$11,regle!$H$23,
IF(U387=regle!$I$11,regle!$I$23,
IF(U387=regle!$J$11,regle!$J$23,
IF(U387=regle!$K$11,regle!$K$23,0))))))))))))</f>
        <v>0</v>
      </c>
      <c r="AF387" s="17" t="b">
        <f>IF($A387,$J387*(IF(V387=regle!$B$11,regle!$B$23*IF(AO387=-2,1+regle!$B$35,1),
IF(V387=regle!$C$11,regle!$C$23,
IF(V387=regle!$D$11,regle!$D$23,
IF(V387=regle!$E$11,regle!$E$23,
IF(V387=regle!$F$11,regle!$F$23,
IF(V387=regle!$G$11,regle!$G$23,
IF(V387=regle!$H$11,regle!$H$23,
IF(V387=regle!$I$11,regle!$I$23,
IF(V387=regle!$J$11,regle!$J$23,
IF(V387=regle!$K$11,regle!$K$23,0))))))))))))</f>
        <v>0</v>
      </c>
      <c r="AG387" s="17" t="b">
        <f>IF($A387,$J387*(IF(W387=regle!$B$11,regle!$B$23*IF(AP387=-2,1+regle!$B$35,1),
IF(W387=regle!$C$11,regle!$C$23,
IF(W387=regle!$D$11,regle!$D$23,
IF(W387=regle!$E$11,regle!$E$23,
IF(W387=regle!$F$11,regle!$F$23,
IF(W387=regle!$G$11,regle!$G$23,
IF(W387=regle!$H$11,regle!$H$23,
IF(W387=regle!$I$11,regle!$I$23,
IF(W387=regle!$J$11,regle!$J$23,
IF(W387=regle!$K$11,regle!$K$23,0))))))))))))</f>
        <v>0</v>
      </c>
      <c r="AH387" s="17" t="b">
        <f>IF($A387,$J387*(IF(X387=regle!$B$11,regle!$B$23*IF(AQ387=-2,1+regle!$B$35,1),
IF(X387=regle!$C$11,regle!$C$23,
IF(X387=regle!$D$11,regle!$D$23,
IF(X387=regle!$E$11,regle!$E$23,
IF(X387=regle!$F$11,regle!$F$23,
IF(X387=regle!$G$11,regle!$G$23,
IF(X387=regle!$H$11,regle!$H$23,
IF(X387=regle!$I$11,regle!$I$23,
IF(X387=regle!$J$11,regle!$J$23,
IF(X387=regle!$K$11,regle!$K$23,0))))))))))))</f>
        <v>0</v>
      </c>
      <c r="AI387" s="17" t="b">
        <f>IF($A387,$J387*(IF(Y387=regle!$B$11,regle!$B$23*IF(AR387=-2,1+regle!$B$35,1),
IF(Y387=regle!$C$11,regle!$C$23,
IF(Y387=regle!$D$11,regle!$D$23,
IF(Y387=regle!$E$11,regle!$E$23,
IF(Y387=regle!$F$11,regle!$F$23,
IF(Y387=regle!$G$11,regle!$G$23,
IF(Y387=regle!$H$11,regle!$H$23,
IF(Y387=regle!$I$11,regle!$I$23,
IF(Y387=regle!$J$11,regle!$J$23,
IF(Y387=regle!$K$11,regle!$K$23,0))))))))))))</f>
        <v>0</v>
      </c>
      <c r="AJ387" s="17" t="b">
        <f>IF($A387,$J387*(IF(Z387=regle!$B$11,regle!$B$23*IF(AS387=-2,1+regle!$B$35,1),
IF(Z387=regle!$C$11,regle!$C$23,
IF(Z387=regle!$D$11,regle!$D$23,
IF(Z387=regle!$E$11,regle!$E$23,
IF(Z387=regle!$F$11,regle!$F$23,
IF(Z387=regle!$G$11,regle!$G$23,
IF(Z387=regle!$H$11,regle!$H$23,
IF(Z387=regle!$I$11,regle!$I$23,
IF(Z387=regle!$J$11,regle!$J$23,
IF(Z387=regle!$K$11,regle!$K$23,0))))))))))))</f>
        <v>0</v>
      </c>
      <c r="AK387" s="16">
        <f>IF(OR(Q387=regle!$J$11,Q387=regle!$K$11),-2,IF(Q387=regle!$B$11,0,IF(AK$1=$AK$1,IF($O387,-1,regle!$B$2-$M387),IF(AJ387=-1,-1,AJ387+1))))</f>
        <v>11</v>
      </c>
      <c r="AL387" s="16">
        <f>IF(OR(R387=regle!$J$11,R387=regle!$K$11),-2,IF(R387=regle!$B$11,0,IF(AL$1=$AK$1,IF($O387,-1,regle!$B$2-$M387),IF(AK387=-1,-1,AK387+1))))</f>
        <v>12</v>
      </c>
      <c r="AM387" s="16">
        <f>IF(OR(S387=regle!$J$11,S387=regle!$K$11),-2,IF(S387=regle!$B$11,0,IF(AM$1=$AK$1,IF($O387,-1,regle!$B$2-$M387),IF(AL387=-1,-1,AL387+1))))</f>
        <v>13</v>
      </c>
      <c r="AN387" s="16">
        <f>IF(OR(T387=regle!$J$11,T387=regle!$K$11),-2,IF(T387=regle!$B$11,0,IF(AN$1=$AK$1,IF($O387,-1,regle!$B$2-$M387),IF(AM387=-1,-1,AM387+1))))</f>
        <v>14</v>
      </c>
      <c r="AO387" s="16">
        <f>IF(OR(U387=regle!$J$11,U387=regle!$K$11),-2,IF(U387=regle!$B$11,0,IF(AO$1=$AK$1,IF($O387,-1,regle!$B$2-$M387),IF(AN387=-1,-1,AN387+1))))</f>
        <v>15</v>
      </c>
      <c r="AP387" s="16">
        <f>IF(OR(V387=regle!$J$11,V387=regle!$K$11),-2,IF(V387=regle!$B$11,0,IF(AP$1=$AK$1,IF($O387,-1,regle!$B$2-$M387),IF(AO387=-1,-1,AO387+1))))</f>
        <v>16</v>
      </c>
      <c r="AQ387" s="16">
        <f>IF(OR(W387=regle!$J$11,W387=regle!$K$11),-2,IF(W387=regle!$B$11,0,IF(AQ$1=$AK$1,IF($O387,-1,regle!$B$2-$M387),IF(AP387=-1,-1,AP387+1))))</f>
        <v>17</v>
      </c>
      <c r="AR387" s="16">
        <f>IF(OR(X387=regle!$J$11,X387=regle!$K$11),-2,IF(X387=regle!$B$11,0,IF(AR$1=$AK$1,IF($O387,-1,regle!$B$2-$M387),IF(AQ387=-1,-1,AQ387+1))))</f>
        <v>18</v>
      </c>
      <c r="AS387" s="16">
        <f>IF(OR(Y387=regle!$J$11,Y387=regle!$K$11),-2,IF(Y387=regle!$B$11,0,IF(AS$1=$AK$1,IF($O387,-1,regle!$B$2-$M387),IF(AR387=-1,-1,AR387+1))))</f>
        <v>19</v>
      </c>
      <c r="AT387" s="16">
        <f>IF(OR(Z387=regle!$J$11,Z387=regle!$K$11),-2,IF(Z387=regle!$B$11,0,IF(AT$1=$AK$1,IF($O387,-1,regle!$B$2-$M387),IF(AS387=-1,-1,AS387+1))))</f>
        <v>20</v>
      </c>
    </row>
    <row r="388" spans="1:46" x14ac:dyDescent="0.25">
      <c r="A388" t="b">
        <f>modif1!A388</f>
        <v>0</v>
      </c>
      <c r="B388">
        <f>ROW(modif1!B388)</f>
        <v>388</v>
      </c>
      <c r="C388" t="str">
        <f>modif1!C391</f>
        <v>202</v>
      </c>
      <c r="D388" t="str">
        <f>modif1!D388</f>
        <v>HOSTENS</v>
      </c>
      <c r="E388">
        <f>modif1!E388</f>
        <v>11</v>
      </c>
      <c r="F388" t="str">
        <f>modif1!F388</f>
        <v>LES CAZALAS</v>
      </c>
      <c r="G388" t="str">
        <f>modif1!G388</f>
        <v>0B</v>
      </c>
      <c r="H388">
        <f>modif1!H388</f>
        <v>1201</v>
      </c>
      <c r="I388" t="str">
        <f>modif1!I388</f>
        <v>k</v>
      </c>
      <c r="J388" s="11">
        <f>modif1!J388</f>
        <v>0.15620000000000001</v>
      </c>
      <c r="K388" t="str">
        <f>modif1!K388</f>
        <v>TAIL</v>
      </c>
      <c r="L388" t="str">
        <f>modif1!L388</f>
        <v>FEUIL</v>
      </c>
      <c r="M388">
        <f>modif1!M388</f>
        <v>2013</v>
      </c>
      <c r="N388" t="str">
        <f>modif1!N388</f>
        <v>TAIL-FEUIL_2013</v>
      </c>
      <c r="O388" t="b">
        <f>modif1!O388</f>
        <v>0</v>
      </c>
      <c r="Z388"/>
      <c r="AA388" s="17" t="b">
        <f>IF($A388,$J388*(IF(Q388=regle!$B$11,regle!$B$23*IF(AJ388=-2,1+regle!$B$35,1),
IF(Q388=regle!$C$11,regle!$C$23,
IF(Q388=regle!$D$11,regle!$D$23,
IF(Q388=regle!$E$11,regle!$E$23,
IF(Q388=regle!$F$11,regle!$F$23,
IF(Q388=regle!$G$11,regle!$G$23,
IF(Q388=regle!$H$11,regle!$H$23,
IF(Q388=regle!$I$11,regle!$I$23,
IF(Q388=regle!$J$11,regle!$J$23,
IF(Q388=regle!$K$11,regle!$K$23,0))))))))))))</f>
        <v>0</v>
      </c>
      <c r="AB388" s="17" t="b">
        <f>IF($A388,$J388*(IF(R388=regle!$B$11,regle!$B$23*IF(AK388=-2,1+regle!$B$35,1),
IF(R388=regle!$C$11,regle!$C$23,
IF(R388=regle!$D$11,regle!$D$23,
IF(R388=regle!$E$11,regle!$E$23,
IF(R388=regle!$F$11,regle!$F$23,
IF(R388=regle!$G$11,regle!$G$23,
IF(R388=regle!$H$11,regle!$H$23,
IF(R388=regle!$I$11,regle!$I$23,
IF(R388=regle!$J$11,regle!$J$23,
IF(R388=regle!$K$11,regle!$K$23,0))))))))))))</f>
        <v>0</v>
      </c>
      <c r="AC388" s="17" t="b">
        <f>IF($A388,$J388*(IF(S388=regle!$B$11,regle!$B$23*IF(AL388=-2,1+regle!$B$35,1),
IF(S388=regle!$C$11,regle!$C$23,
IF(S388=regle!$D$11,regle!$D$23,
IF(S388=regle!$E$11,regle!$E$23,
IF(S388=regle!$F$11,regle!$F$23,
IF(S388=regle!$G$11,regle!$G$23,
IF(S388=regle!$H$11,regle!$H$23,
IF(S388=regle!$I$11,regle!$I$23,
IF(S388=regle!$J$11,regle!$J$23,
IF(S388=regle!$K$11,regle!$K$23,0))))))))))))</f>
        <v>0</v>
      </c>
      <c r="AD388" s="17" t="b">
        <f>IF($A388,$J388*(IF(T388=regle!$B$11,regle!$B$23*IF(AM388=-2,1+regle!$B$35,1),
IF(T388=regle!$C$11,regle!$C$23,
IF(T388=regle!$D$11,regle!$D$23,
IF(T388=regle!$E$11,regle!$E$23,
IF(T388=regle!$F$11,regle!$F$23,
IF(T388=regle!$G$11,regle!$G$23,
IF(T388=regle!$H$11,regle!$H$23,
IF(T388=regle!$I$11,regle!$I$23,
IF(T388=regle!$J$11,regle!$J$23,
IF(T388=regle!$K$11,regle!$K$23,0))))))))))))</f>
        <v>0</v>
      </c>
      <c r="AE388" s="17" t="b">
        <f>IF($A388,$J388*(IF(U388=regle!$B$11,regle!$B$23*IF(AN388=-2,1+regle!$B$35,1),
IF(U388=regle!$C$11,regle!$C$23,
IF(U388=regle!$D$11,regle!$D$23,
IF(U388=regle!$E$11,regle!$E$23,
IF(U388=regle!$F$11,regle!$F$23,
IF(U388=regle!$G$11,regle!$G$23,
IF(U388=regle!$H$11,regle!$H$23,
IF(U388=regle!$I$11,regle!$I$23,
IF(U388=regle!$J$11,regle!$J$23,
IF(U388=regle!$K$11,regle!$K$23,0))))))))))))</f>
        <v>0</v>
      </c>
      <c r="AF388" s="17" t="b">
        <f>IF($A388,$J388*(IF(V388=regle!$B$11,regle!$B$23*IF(AO388=-2,1+regle!$B$35,1),
IF(V388=regle!$C$11,regle!$C$23,
IF(V388=regle!$D$11,regle!$D$23,
IF(V388=regle!$E$11,regle!$E$23,
IF(V388=regle!$F$11,regle!$F$23,
IF(V388=regle!$G$11,regle!$G$23,
IF(V388=regle!$H$11,regle!$H$23,
IF(V388=regle!$I$11,regle!$I$23,
IF(V388=regle!$J$11,regle!$J$23,
IF(V388=regle!$K$11,regle!$K$23,0))))))))))))</f>
        <v>0</v>
      </c>
      <c r="AG388" s="17" t="b">
        <f>IF($A388,$J388*(IF(W388=regle!$B$11,regle!$B$23*IF(AP388=-2,1+regle!$B$35,1),
IF(W388=regle!$C$11,regle!$C$23,
IF(W388=regle!$D$11,regle!$D$23,
IF(W388=regle!$E$11,regle!$E$23,
IF(W388=regle!$F$11,regle!$F$23,
IF(W388=regle!$G$11,regle!$G$23,
IF(W388=regle!$H$11,regle!$H$23,
IF(W388=regle!$I$11,regle!$I$23,
IF(W388=regle!$J$11,regle!$J$23,
IF(W388=regle!$K$11,regle!$K$23,0))))))))))))</f>
        <v>0</v>
      </c>
      <c r="AH388" s="17" t="b">
        <f>IF($A388,$J388*(IF(X388=regle!$B$11,regle!$B$23*IF(AQ388=-2,1+regle!$B$35,1),
IF(X388=regle!$C$11,regle!$C$23,
IF(X388=regle!$D$11,regle!$D$23,
IF(X388=regle!$E$11,regle!$E$23,
IF(X388=regle!$F$11,regle!$F$23,
IF(X388=regle!$G$11,regle!$G$23,
IF(X388=regle!$H$11,regle!$H$23,
IF(X388=regle!$I$11,regle!$I$23,
IF(X388=regle!$J$11,regle!$J$23,
IF(X388=regle!$K$11,regle!$K$23,0))))))))))))</f>
        <v>0</v>
      </c>
      <c r="AI388" s="17" t="b">
        <f>IF($A388,$J388*(IF(Y388=regle!$B$11,regle!$B$23*IF(AR388=-2,1+regle!$B$35,1),
IF(Y388=regle!$C$11,regle!$C$23,
IF(Y388=regle!$D$11,regle!$D$23,
IF(Y388=regle!$E$11,regle!$E$23,
IF(Y388=regle!$F$11,regle!$F$23,
IF(Y388=regle!$G$11,regle!$G$23,
IF(Y388=regle!$H$11,regle!$H$23,
IF(Y388=regle!$I$11,regle!$I$23,
IF(Y388=regle!$J$11,regle!$J$23,
IF(Y388=regle!$K$11,regle!$K$23,0))))))))))))</f>
        <v>0</v>
      </c>
      <c r="AJ388" s="17" t="b">
        <f>IF($A388,$J388*(IF(Z388=regle!$B$11,regle!$B$23*IF(AS388=-2,1+regle!$B$35,1),
IF(Z388=regle!$C$11,regle!$C$23,
IF(Z388=regle!$D$11,regle!$D$23,
IF(Z388=regle!$E$11,regle!$E$23,
IF(Z388=regle!$F$11,regle!$F$23,
IF(Z388=regle!$G$11,regle!$G$23,
IF(Z388=regle!$H$11,regle!$H$23,
IF(Z388=regle!$I$11,regle!$I$23,
IF(Z388=regle!$J$11,regle!$J$23,
IF(Z388=regle!$K$11,regle!$K$23,0))))))))))))</f>
        <v>0</v>
      </c>
      <c r="AK388" s="16">
        <f>IF(OR(Q388=regle!$J$11,Q388=regle!$K$11),-2,IF(Q388=regle!$B$11,0,IF(AK$1=$AK$1,IF($O388,-1,regle!$B$2-$M388),IF(AJ388=-1,-1,AJ388+1))))</f>
        <v>11</v>
      </c>
      <c r="AL388" s="16">
        <f>IF(OR(R388=regle!$J$11,R388=regle!$K$11),-2,IF(R388=regle!$B$11,0,IF(AL$1=$AK$1,IF($O388,-1,regle!$B$2-$M388),IF(AK388=-1,-1,AK388+1))))</f>
        <v>12</v>
      </c>
      <c r="AM388" s="16">
        <f>IF(OR(S388=regle!$J$11,S388=regle!$K$11),-2,IF(S388=regle!$B$11,0,IF(AM$1=$AK$1,IF($O388,-1,regle!$B$2-$M388),IF(AL388=-1,-1,AL388+1))))</f>
        <v>13</v>
      </c>
      <c r="AN388" s="16">
        <f>IF(OR(T388=regle!$J$11,T388=regle!$K$11),-2,IF(T388=regle!$B$11,0,IF(AN$1=$AK$1,IF($O388,-1,regle!$B$2-$M388),IF(AM388=-1,-1,AM388+1))))</f>
        <v>14</v>
      </c>
      <c r="AO388" s="16">
        <f>IF(OR(U388=regle!$J$11,U388=regle!$K$11),-2,IF(U388=regle!$B$11,0,IF(AO$1=$AK$1,IF($O388,-1,regle!$B$2-$M388),IF(AN388=-1,-1,AN388+1))))</f>
        <v>15</v>
      </c>
      <c r="AP388" s="16">
        <f>IF(OR(V388=regle!$J$11,V388=regle!$K$11),-2,IF(V388=regle!$B$11,0,IF(AP$1=$AK$1,IF($O388,-1,regle!$B$2-$M388),IF(AO388=-1,-1,AO388+1))))</f>
        <v>16</v>
      </c>
      <c r="AQ388" s="16">
        <f>IF(OR(W388=regle!$J$11,W388=regle!$K$11),-2,IF(W388=regle!$B$11,0,IF(AQ$1=$AK$1,IF($O388,-1,regle!$B$2-$M388),IF(AP388=-1,-1,AP388+1))))</f>
        <v>17</v>
      </c>
      <c r="AR388" s="16">
        <f>IF(OR(X388=regle!$J$11,X388=regle!$K$11),-2,IF(X388=regle!$B$11,0,IF(AR$1=$AK$1,IF($O388,-1,regle!$B$2-$M388),IF(AQ388=-1,-1,AQ388+1))))</f>
        <v>18</v>
      </c>
      <c r="AS388" s="16">
        <f>IF(OR(Y388=regle!$J$11,Y388=regle!$K$11),-2,IF(Y388=regle!$B$11,0,IF(AS$1=$AK$1,IF($O388,-1,regle!$B$2-$M388),IF(AR388=-1,-1,AR388+1))))</f>
        <v>19</v>
      </c>
      <c r="AT388" s="16">
        <f>IF(OR(Z388=regle!$J$11,Z388=regle!$K$11),-2,IF(Z388=regle!$B$11,0,IF(AT$1=$AK$1,IF($O388,-1,regle!$B$2-$M388),IF(AS388=-1,-1,AS388+1))))</f>
        <v>20</v>
      </c>
    </row>
    <row r="389" spans="1:46" x14ac:dyDescent="0.25">
      <c r="A389" t="b">
        <f>modif1!A389</f>
        <v>0</v>
      </c>
      <c r="B389">
        <f>ROW(modif1!B389)</f>
        <v>389</v>
      </c>
      <c r="C389" t="str">
        <f>modif1!C392</f>
        <v>536</v>
      </c>
      <c r="D389" t="str">
        <f>modif1!D389</f>
        <v>HOSTENS</v>
      </c>
      <c r="E389">
        <f>modif1!E389</f>
        <v>8</v>
      </c>
      <c r="F389" t="str">
        <f>modif1!F389</f>
        <v>LES BECS</v>
      </c>
      <c r="G389" t="str">
        <f>modif1!G389</f>
        <v>0B</v>
      </c>
      <c r="H389">
        <f>modif1!H389</f>
        <v>1207</v>
      </c>
      <c r="I389" t="str">
        <f>modif1!I389</f>
        <v/>
      </c>
      <c r="J389" s="11">
        <f>modif1!J389</f>
        <v>0.14799999999999999</v>
      </c>
      <c r="K389" t="str">
        <f>modif1!K389</f>
        <v>TAIL</v>
      </c>
      <c r="L389" t="str">
        <f>modif1!L389</f>
        <v>FEUIL</v>
      </c>
      <c r="M389">
        <f>modif1!M389</f>
        <v>2013</v>
      </c>
      <c r="N389" t="str">
        <f>modif1!N389</f>
        <v>TAIL-FEUIL_2013</v>
      </c>
      <c r="O389" t="b">
        <f>modif1!O389</f>
        <v>0</v>
      </c>
      <c r="Z389"/>
      <c r="AA389" s="17" t="b">
        <f>IF($A389,$J389*(IF(Q389=regle!$B$11,regle!$B$23*IF(AJ389=-2,1+regle!$B$35,1),
IF(Q389=regle!$C$11,regle!$C$23,
IF(Q389=regle!$D$11,regle!$D$23,
IF(Q389=regle!$E$11,regle!$E$23,
IF(Q389=regle!$F$11,regle!$F$23,
IF(Q389=regle!$G$11,regle!$G$23,
IF(Q389=regle!$H$11,regle!$H$23,
IF(Q389=regle!$I$11,regle!$I$23,
IF(Q389=regle!$J$11,regle!$J$23,
IF(Q389=regle!$K$11,regle!$K$23,0))))))))))))</f>
        <v>0</v>
      </c>
      <c r="AB389" s="17" t="b">
        <f>IF($A389,$J389*(IF(R389=regle!$B$11,regle!$B$23*IF(AK389=-2,1+regle!$B$35,1),
IF(R389=regle!$C$11,regle!$C$23,
IF(R389=regle!$D$11,regle!$D$23,
IF(R389=regle!$E$11,regle!$E$23,
IF(R389=regle!$F$11,regle!$F$23,
IF(R389=regle!$G$11,regle!$G$23,
IF(R389=regle!$H$11,regle!$H$23,
IF(R389=regle!$I$11,regle!$I$23,
IF(R389=regle!$J$11,regle!$J$23,
IF(R389=regle!$K$11,regle!$K$23,0))))))))))))</f>
        <v>0</v>
      </c>
      <c r="AC389" s="17" t="b">
        <f>IF($A389,$J389*(IF(S389=regle!$B$11,regle!$B$23*IF(AL389=-2,1+regle!$B$35,1),
IF(S389=regle!$C$11,regle!$C$23,
IF(S389=regle!$D$11,regle!$D$23,
IF(S389=regle!$E$11,regle!$E$23,
IF(S389=regle!$F$11,regle!$F$23,
IF(S389=regle!$G$11,regle!$G$23,
IF(S389=regle!$H$11,regle!$H$23,
IF(S389=regle!$I$11,regle!$I$23,
IF(S389=regle!$J$11,regle!$J$23,
IF(S389=regle!$K$11,regle!$K$23,0))))))))))))</f>
        <v>0</v>
      </c>
      <c r="AD389" s="17" t="b">
        <f>IF($A389,$J389*(IF(T389=regle!$B$11,regle!$B$23*IF(AM389=-2,1+regle!$B$35,1),
IF(T389=regle!$C$11,regle!$C$23,
IF(T389=regle!$D$11,regle!$D$23,
IF(T389=regle!$E$11,regle!$E$23,
IF(T389=regle!$F$11,regle!$F$23,
IF(T389=regle!$G$11,regle!$G$23,
IF(T389=regle!$H$11,regle!$H$23,
IF(T389=regle!$I$11,regle!$I$23,
IF(T389=regle!$J$11,regle!$J$23,
IF(T389=regle!$K$11,regle!$K$23,0))))))))))))</f>
        <v>0</v>
      </c>
      <c r="AE389" s="17" t="b">
        <f>IF($A389,$J389*(IF(U389=regle!$B$11,regle!$B$23*IF(AN389=-2,1+regle!$B$35,1),
IF(U389=regle!$C$11,regle!$C$23,
IF(U389=regle!$D$11,regle!$D$23,
IF(U389=regle!$E$11,regle!$E$23,
IF(U389=regle!$F$11,regle!$F$23,
IF(U389=regle!$G$11,regle!$G$23,
IF(U389=regle!$H$11,regle!$H$23,
IF(U389=regle!$I$11,regle!$I$23,
IF(U389=regle!$J$11,regle!$J$23,
IF(U389=regle!$K$11,regle!$K$23,0))))))))))))</f>
        <v>0</v>
      </c>
      <c r="AF389" s="17" t="b">
        <f>IF($A389,$J389*(IF(V389=regle!$B$11,regle!$B$23*IF(AO389=-2,1+regle!$B$35,1),
IF(V389=regle!$C$11,regle!$C$23,
IF(V389=regle!$D$11,regle!$D$23,
IF(V389=regle!$E$11,regle!$E$23,
IF(V389=regle!$F$11,regle!$F$23,
IF(V389=regle!$G$11,regle!$G$23,
IF(V389=regle!$H$11,regle!$H$23,
IF(V389=regle!$I$11,regle!$I$23,
IF(V389=regle!$J$11,regle!$J$23,
IF(V389=regle!$K$11,regle!$K$23,0))))))))))))</f>
        <v>0</v>
      </c>
      <c r="AG389" s="17" t="b">
        <f>IF($A389,$J389*(IF(W389=regle!$B$11,regle!$B$23*IF(AP389=-2,1+regle!$B$35,1),
IF(W389=regle!$C$11,regle!$C$23,
IF(W389=regle!$D$11,regle!$D$23,
IF(W389=regle!$E$11,regle!$E$23,
IF(W389=regle!$F$11,regle!$F$23,
IF(W389=regle!$G$11,regle!$G$23,
IF(W389=regle!$H$11,regle!$H$23,
IF(W389=regle!$I$11,regle!$I$23,
IF(W389=regle!$J$11,regle!$J$23,
IF(W389=regle!$K$11,regle!$K$23,0))))))))))))</f>
        <v>0</v>
      </c>
      <c r="AH389" s="17" t="b">
        <f>IF($A389,$J389*(IF(X389=regle!$B$11,regle!$B$23*IF(AQ389=-2,1+regle!$B$35,1),
IF(X389=regle!$C$11,regle!$C$23,
IF(X389=regle!$D$11,regle!$D$23,
IF(X389=regle!$E$11,regle!$E$23,
IF(X389=regle!$F$11,regle!$F$23,
IF(X389=regle!$G$11,regle!$G$23,
IF(X389=regle!$H$11,regle!$H$23,
IF(X389=regle!$I$11,regle!$I$23,
IF(X389=regle!$J$11,regle!$J$23,
IF(X389=regle!$K$11,regle!$K$23,0))))))))))))</f>
        <v>0</v>
      </c>
      <c r="AI389" s="17" t="b">
        <f>IF($A389,$J389*(IF(Y389=regle!$B$11,regle!$B$23*IF(AR389=-2,1+regle!$B$35,1),
IF(Y389=regle!$C$11,regle!$C$23,
IF(Y389=regle!$D$11,regle!$D$23,
IF(Y389=regle!$E$11,regle!$E$23,
IF(Y389=regle!$F$11,regle!$F$23,
IF(Y389=regle!$G$11,regle!$G$23,
IF(Y389=regle!$H$11,regle!$H$23,
IF(Y389=regle!$I$11,regle!$I$23,
IF(Y389=regle!$J$11,regle!$J$23,
IF(Y389=regle!$K$11,regle!$K$23,0))))))))))))</f>
        <v>0</v>
      </c>
      <c r="AJ389" s="17" t="b">
        <f>IF($A389,$J389*(IF(Z389=regle!$B$11,regle!$B$23*IF(AS389=-2,1+regle!$B$35,1),
IF(Z389=regle!$C$11,regle!$C$23,
IF(Z389=regle!$D$11,regle!$D$23,
IF(Z389=regle!$E$11,regle!$E$23,
IF(Z389=regle!$F$11,regle!$F$23,
IF(Z389=regle!$G$11,regle!$G$23,
IF(Z389=regle!$H$11,regle!$H$23,
IF(Z389=regle!$I$11,regle!$I$23,
IF(Z389=regle!$J$11,regle!$J$23,
IF(Z389=regle!$K$11,regle!$K$23,0))))))))))))</f>
        <v>0</v>
      </c>
      <c r="AK389" s="16">
        <f>IF(OR(Q389=regle!$J$11,Q389=regle!$K$11),-2,IF(Q389=regle!$B$11,0,IF(AK$1=$AK$1,IF($O389,-1,regle!$B$2-$M389),IF(AJ389=-1,-1,AJ389+1))))</f>
        <v>11</v>
      </c>
      <c r="AL389" s="16">
        <f>IF(OR(R389=regle!$J$11,R389=regle!$K$11),-2,IF(R389=regle!$B$11,0,IF(AL$1=$AK$1,IF($O389,-1,regle!$B$2-$M389),IF(AK389=-1,-1,AK389+1))))</f>
        <v>12</v>
      </c>
      <c r="AM389" s="16">
        <f>IF(OR(S389=regle!$J$11,S389=regle!$K$11),-2,IF(S389=regle!$B$11,0,IF(AM$1=$AK$1,IF($O389,-1,regle!$B$2-$M389),IF(AL389=-1,-1,AL389+1))))</f>
        <v>13</v>
      </c>
      <c r="AN389" s="16">
        <f>IF(OR(T389=regle!$J$11,T389=regle!$K$11),-2,IF(T389=regle!$B$11,0,IF(AN$1=$AK$1,IF($O389,-1,regle!$B$2-$M389),IF(AM389=-1,-1,AM389+1))))</f>
        <v>14</v>
      </c>
      <c r="AO389" s="16">
        <f>IF(OR(U389=regle!$J$11,U389=regle!$K$11),-2,IF(U389=regle!$B$11,0,IF(AO$1=$AK$1,IF($O389,-1,regle!$B$2-$M389),IF(AN389=-1,-1,AN389+1))))</f>
        <v>15</v>
      </c>
      <c r="AP389" s="16">
        <f>IF(OR(V389=regle!$J$11,V389=regle!$K$11),-2,IF(V389=regle!$B$11,0,IF(AP$1=$AK$1,IF($O389,-1,regle!$B$2-$M389),IF(AO389=-1,-1,AO389+1))))</f>
        <v>16</v>
      </c>
      <c r="AQ389" s="16">
        <f>IF(OR(W389=regle!$J$11,W389=regle!$K$11),-2,IF(W389=regle!$B$11,0,IF(AQ$1=$AK$1,IF($O389,-1,regle!$B$2-$M389),IF(AP389=-1,-1,AP389+1))))</f>
        <v>17</v>
      </c>
      <c r="AR389" s="16">
        <f>IF(OR(X389=regle!$J$11,X389=regle!$K$11),-2,IF(X389=regle!$B$11,0,IF(AR$1=$AK$1,IF($O389,-1,regle!$B$2-$M389),IF(AQ389=-1,-1,AQ389+1))))</f>
        <v>18</v>
      </c>
      <c r="AS389" s="16">
        <f>IF(OR(Y389=regle!$J$11,Y389=regle!$K$11),-2,IF(Y389=regle!$B$11,0,IF(AS$1=$AK$1,IF($O389,-1,regle!$B$2-$M389),IF(AR389=-1,-1,AR389+1))))</f>
        <v>19</v>
      </c>
      <c r="AT389" s="16">
        <f>IF(OR(Z389=regle!$J$11,Z389=regle!$K$11),-2,IF(Z389=regle!$B$11,0,IF(AT$1=$AK$1,IF($O389,-1,regle!$B$2-$M389),IF(AS389=-1,-1,AS389+1))))</f>
        <v>20</v>
      </c>
    </row>
    <row r="390" spans="1:46" x14ac:dyDescent="0.25">
      <c r="A390" t="b">
        <f>modif1!A390</f>
        <v>0</v>
      </c>
      <c r="B390">
        <f>ROW(modif1!B390)</f>
        <v>390</v>
      </c>
      <c r="C390" t="str">
        <f>modif1!C393</f>
        <v>536</v>
      </c>
      <c r="D390" t="str">
        <f>modif1!D390</f>
        <v>HOSTENS</v>
      </c>
      <c r="E390">
        <f>modif1!E390</f>
        <v>8</v>
      </c>
      <c r="F390" t="str">
        <f>modif1!F390</f>
        <v>LES BECS</v>
      </c>
      <c r="G390" t="str">
        <f>modif1!G390</f>
        <v>0B</v>
      </c>
      <c r="H390">
        <f>modif1!H390</f>
        <v>1217</v>
      </c>
      <c r="I390" t="str">
        <f>modif1!I390</f>
        <v/>
      </c>
      <c r="J390" s="11">
        <f>modif1!J390</f>
        <v>0.13450000000000001</v>
      </c>
      <c r="K390" t="str">
        <f>modif1!K390</f>
        <v>TAIL</v>
      </c>
      <c r="L390" t="str">
        <f>modif1!L390</f>
        <v>FEUIL</v>
      </c>
      <c r="M390">
        <f>modif1!M390</f>
        <v>2013</v>
      </c>
      <c r="N390" t="str">
        <f>modif1!N390</f>
        <v>TAIL-FEUIL_2013</v>
      </c>
      <c r="O390" t="b">
        <f>modif1!O390</f>
        <v>0</v>
      </c>
      <c r="Z390"/>
      <c r="AA390" s="17" t="b">
        <f>IF($A390,$J390*(IF(Q390=regle!$B$11,regle!$B$23*IF(AJ390=-2,1+regle!$B$35,1),
IF(Q390=regle!$C$11,regle!$C$23,
IF(Q390=regle!$D$11,regle!$D$23,
IF(Q390=regle!$E$11,regle!$E$23,
IF(Q390=regle!$F$11,regle!$F$23,
IF(Q390=regle!$G$11,regle!$G$23,
IF(Q390=regle!$H$11,regle!$H$23,
IF(Q390=regle!$I$11,regle!$I$23,
IF(Q390=regle!$J$11,regle!$J$23,
IF(Q390=regle!$K$11,regle!$K$23,0))))))))))))</f>
        <v>0</v>
      </c>
      <c r="AB390" s="17" t="b">
        <f>IF($A390,$J390*(IF(R390=regle!$B$11,regle!$B$23*IF(AK390=-2,1+regle!$B$35,1),
IF(R390=regle!$C$11,regle!$C$23,
IF(R390=regle!$D$11,regle!$D$23,
IF(R390=regle!$E$11,regle!$E$23,
IF(R390=regle!$F$11,regle!$F$23,
IF(R390=regle!$G$11,regle!$G$23,
IF(R390=regle!$H$11,regle!$H$23,
IF(R390=regle!$I$11,regle!$I$23,
IF(R390=regle!$J$11,regle!$J$23,
IF(R390=regle!$K$11,regle!$K$23,0))))))))))))</f>
        <v>0</v>
      </c>
      <c r="AC390" s="17" t="b">
        <f>IF($A390,$J390*(IF(S390=regle!$B$11,regle!$B$23*IF(AL390=-2,1+regle!$B$35,1),
IF(S390=regle!$C$11,regle!$C$23,
IF(S390=regle!$D$11,regle!$D$23,
IF(S390=regle!$E$11,regle!$E$23,
IF(S390=regle!$F$11,regle!$F$23,
IF(S390=regle!$G$11,regle!$G$23,
IF(S390=regle!$H$11,regle!$H$23,
IF(S390=regle!$I$11,regle!$I$23,
IF(S390=regle!$J$11,regle!$J$23,
IF(S390=regle!$K$11,regle!$K$23,0))))))))))))</f>
        <v>0</v>
      </c>
      <c r="AD390" s="17" t="b">
        <f>IF($A390,$J390*(IF(T390=regle!$B$11,regle!$B$23*IF(AM390=-2,1+regle!$B$35,1),
IF(T390=regle!$C$11,regle!$C$23,
IF(T390=regle!$D$11,regle!$D$23,
IF(T390=regle!$E$11,regle!$E$23,
IF(T390=regle!$F$11,regle!$F$23,
IF(T390=regle!$G$11,regle!$G$23,
IF(T390=regle!$H$11,regle!$H$23,
IF(T390=regle!$I$11,regle!$I$23,
IF(T390=regle!$J$11,regle!$J$23,
IF(T390=regle!$K$11,regle!$K$23,0))))))))))))</f>
        <v>0</v>
      </c>
      <c r="AE390" s="17" t="b">
        <f>IF($A390,$J390*(IF(U390=regle!$B$11,regle!$B$23*IF(AN390=-2,1+regle!$B$35,1),
IF(U390=regle!$C$11,regle!$C$23,
IF(U390=regle!$D$11,regle!$D$23,
IF(U390=regle!$E$11,regle!$E$23,
IF(U390=regle!$F$11,regle!$F$23,
IF(U390=regle!$G$11,regle!$G$23,
IF(U390=regle!$H$11,regle!$H$23,
IF(U390=regle!$I$11,regle!$I$23,
IF(U390=regle!$J$11,regle!$J$23,
IF(U390=regle!$K$11,regle!$K$23,0))))))))))))</f>
        <v>0</v>
      </c>
      <c r="AF390" s="17" t="b">
        <f>IF($A390,$J390*(IF(V390=regle!$B$11,regle!$B$23*IF(AO390=-2,1+regle!$B$35,1),
IF(V390=regle!$C$11,regle!$C$23,
IF(V390=regle!$D$11,regle!$D$23,
IF(V390=regle!$E$11,regle!$E$23,
IF(V390=regle!$F$11,regle!$F$23,
IF(V390=regle!$G$11,regle!$G$23,
IF(V390=regle!$H$11,regle!$H$23,
IF(V390=regle!$I$11,regle!$I$23,
IF(V390=regle!$J$11,regle!$J$23,
IF(V390=regle!$K$11,regle!$K$23,0))))))))))))</f>
        <v>0</v>
      </c>
      <c r="AG390" s="17" t="b">
        <f>IF($A390,$J390*(IF(W390=regle!$B$11,regle!$B$23*IF(AP390=-2,1+regle!$B$35,1),
IF(W390=regle!$C$11,regle!$C$23,
IF(W390=regle!$D$11,regle!$D$23,
IF(W390=regle!$E$11,regle!$E$23,
IF(W390=regle!$F$11,regle!$F$23,
IF(W390=regle!$G$11,regle!$G$23,
IF(W390=regle!$H$11,regle!$H$23,
IF(W390=regle!$I$11,regle!$I$23,
IF(W390=regle!$J$11,regle!$J$23,
IF(W390=regle!$K$11,regle!$K$23,0))))))))))))</f>
        <v>0</v>
      </c>
      <c r="AH390" s="17" t="b">
        <f>IF($A390,$J390*(IF(X390=regle!$B$11,regle!$B$23*IF(AQ390=-2,1+regle!$B$35,1),
IF(X390=regle!$C$11,regle!$C$23,
IF(X390=regle!$D$11,regle!$D$23,
IF(X390=regle!$E$11,regle!$E$23,
IF(X390=regle!$F$11,regle!$F$23,
IF(X390=regle!$G$11,regle!$G$23,
IF(X390=regle!$H$11,regle!$H$23,
IF(X390=regle!$I$11,regle!$I$23,
IF(X390=regle!$J$11,regle!$J$23,
IF(X390=regle!$K$11,regle!$K$23,0))))))))))))</f>
        <v>0</v>
      </c>
      <c r="AI390" s="17" t="b">
        <f>IF($A390,$J390*(IF(Y390=regle!$B$11,regle!$B$23*IF(AR390=-2,1+regle!$B$35,1),
IF(Y390=regle!$C$11,regle!$C$23,
IF(Y390=regle!$D$11,regle!$D$23,
IF(Y390=regle!$E$11,regle!$E$23,
IF(Y390=regle!$F$11,regle!$F$23,
IF(Y390=regle!$G$11,regle!$G$23,
IF(Y390=regle!$H$11,regle!$H$23,
IF(Y390=regle!$I$11,regle!$I$23,
IF(Y390=regle!$J$11,regle!$J$23,
IF(Y390=regle!$K$11,regle!$K$23,0))))))))))))</f>
        <v>0</v>
      </c>
      <c r="AJ390" s="17" t="b">
        <f>IF($A390,$J390*(IF(Z390=regle!$B$11,regle!$B$23*IF(AS390=-2,1+regle!$B$35,1),
IF(Z390=regle!$C$11,regle!$C$23,
IF(Z390=regle!$D$11,regle!$D$23,
IF(Z390=regle!$E$11,regle!$E$23,
IF(Z390=regle!$F$11,regle!$F$23,
IF(Z390=regle!$G$11,regle!$G$23,
IF(Z390=regle!$H$11,regle!$H$23,
IF(Z390=regle!$I$11,regle!$I$23,
IF(Z390=regle!$J$11,regle!$J$23,
IF(Z390=regle!$K$11,regle!$K$23,0))))))))))))</f>
        <v>0</v>
      </c>
      <c r="AK390" s="16">
        <f>IF(OR(Q390=regle!$J$11,Q390=regle!$K$11),-2,IF(Q390=regle!$B$11,0,IF(AK$1=$AK$1,IF($O390,-1,regle!$B$2-$M390),IF(AJ390=-1,-1,AJ390+1))))</f>
        <v>11</v>
      </c>
      <c r="AL390" s="16">
        <f>IF(OR(R390=regle!$J$11,R390=regle!$K$11),-2,IF(R390=regle!$B$11,0,IF(AL$1=$AK$1,IF($O390,-1,regle!$B$2-$M390),IF(AK390=-1,-1,AK390+1))))</f>
        <v>12</v>
      </c>
      <c r="AM390" s="16">
        <f>IF(OR(S390=regle!$J$11,S390=regle!$K$11),-2,IF(S390=regle!$B$11,0,IF(AM$1=$AK$1,IF($O390,-1,regle!$B$2-$M390),IF(AL390=-1,-1,AL390+1))))</f>
        <v>13</v>
      </c>
      <c r="AN390" s="16">
        <f>IF(OR(T390=regle!$J$11,T390=regle!$K$11),-2,IF(T390=regle!$B$11,0,IF(AN$1=$AK$1,IF($O390,-1,regle!$B$2-$M390),IF(AM390=-1,-1,AM390+1))))</f>
        <v>14</v>
      </c>
      <c r="AO390" s="16">
        <f>IF(OR(U390=regle!$J$11,U390=regle!$K$11),-2,IF(U390=regle!$B$11,0,IF(AO$1=$AK$1,IF($O390,-1,regle!$B$2-$M390),IF(AN390=-1,-1,AN390+1))))</f>
        <v>15</v>
      </c>
      <c r="AP390" s="16">
        <f>IF(OR(V390=regle!$J$11,V390=regle!$K$11),-2,IF(V390=regle!$B$11,0,IF(AP$1=$AK$1,IF($O390,-1,regle!$B$2-$M390),IF(AO390=-1,-1,AO390+1))))</f>
        <v>16</v>
      </c>
      <c r="AQ390" s="16">
        <f>IF(OR(W390=regle!$J$11,W390=regle!$K$11),-2,IF(W390=regle!$B$11,0,IF(AQ$1=$AK$1,IF($O390,-1,regle!$B$2-$M390),IF(AP390=-1,-1,AP390+1))))</f>
        <v>17</v>
      </c>
      <c r="AR390" s="16">
        <f>IF(OR(X390=regle!$J$11,X390=regle!$K$11),-2,IF(X390=regle!$B$11,0,IF(AR$1=$AK$1,IF($O390,-1,regle!$B$2-$M390),IF(AQ390=-1,-1,AQ390+1))))</f>
        <v>18</v>
      </c>
      <c r="AS390" s="16">
        <f>IF(OR(Y390=regle!$J$11,Y390=regle!$K$11),-2,IF(Y390=regle!$B$11,0,IF(AS$1=$AK$1,IF($O390,-1,regle!$B$2-$M390),IF(AR390=-1,-1,AR390+1))))</f>
        <v>19</v>
      </c>
      <c r="AT390" s="16">
        <f>IF(OR(Z390=regle!$J$11,Z390=regle!$K$11),-2,IF(Z390=regle!$B$11,0,IF(AT$1=$AK$1,IF($O390,-1,regle!$B$2-$M390),IF(AS390=-1,-1,AS390+1))))</f>
        <v>20</v>
      </c>
    </row>
    <row r="391" spans="1:46" x14ac:dyDescent="0.25">
      <c r="A391" t="b">
        <f>modif1!A391</f>
        <v>0</v>
      </c>
      <c r="B391">
        <f>ROW(modif1!B391)</f>
        <v>391</v>
      </c>
      <c r="C391" t="str">
        <f>modif1!C394</f>
        <v>171</v>
      </c>
      <c r="D391" t="str">
        <f>modif1!D391</f>
        <v>HOSTENS</v>
      </c>
      <c r="E391">
        <f>modif1!E391</f>
        <v>8</v>
      </c>
      <c r="F391" t="str">
        <f>modif1!F391</f>
        <v>LES BECS</v>
      </c>
      <c r="G391" t="str">
        <f>modif1!G391</f>
        <v>0B</v>
      </c>
      <c r="H391">
        <f>modif1!H391</f>
        <v>1205</v>
      </c>
      <c r="I391" t="str">
        <f>modif1!I391</f>
        <v/>
      </c>
      <c r="J391" s="11">
        <f>modif1!J391</f>
        <v>9.6500000000000002E-2</v>
      </c>
      <c r="K391" t="str">
        <f>modif1!K391</f>
        <v>TAIL</v>
      </c>
      <c r="L391" t="str">
        <f>modif1!L391</f>
        <v>FEUIL</v>
      </c>
      <c r="M391">
        <f>modif1!M391</f>
        <v>2013</v>
      </c>
      <c r="N391" t="str">
        <f>modif1!N391</f>
        <v>TAIL-FEUIL_2013</v>
      </c>
      <c r="O391" t="b">
        <f>modif1!O391</f>
        <v>0</v>
      </c>
      <c r="Z391"/>
      <c r="AA391" s="17" t="b">
        <f>IF($A391,$J391*(IF(Q391=regle!$B$11,regle!$B$23*IF(AJ391=-2,1+regle!$B$35,1),
IF(Q391=regle!$C$11,regle!$C$23,
IF(Q391=regle!$D$11,regle!$D$23,
IF(Q391=regle!$E$11,regle!$E$23,
IF(Q391=regle!$F$11,regle!$F$23,
IF(Q391=regle!$G$11,regle!$G$23,
IF(Q391=regle!$H$11,regle!$H$23,
IF(Q391=regle!$I$11,regle!$I$23,
IF(Q391=regle!$J$11,regle!$J$23,
IF(Q391=regle!$K$11,regle!$K$23,0))))))))))))</f>
        <v>0</v>
      </c>
      <c r="AB391" s="17" t="b">
        <f>IF($A391,$J391*(IF(R391=regle!$B$11,regle!$B$23*IF(AK391=-2,1+regle!$B$35,1),
IF(R391=regle!$C$11,regle!$C$23,
IF(R391=regle!$D$11,regle!$D$23,
IF(R391=regle!$E$11,regle!$E$23,
IF(R391=regle!$F$11,regle!$F$23,
IF(R391=regle!$G$11,regle!$G$23,
IF(R391=regle!$H$11,regle!$H$23,
IF(R391=regle!$I$11,regle!$I$23,
IF(R391=regle!$J$11,regle!$J$23,
IF(R391=regle!$K$11,regle!$K$23,0))))))))))))</f>
        <v>0</v>
      </c>
      <c r="AC391" s="17" t="b">
        <f>IF($A391,$J391*(IF(S391=regle!$B$11,regle!$B$23*IF(AL391=-2,1+regle!$B$35,1),
IF(S391=regle!$C$11,regle!$C$23,
IF(S391=regle!$D$11,regle!$D$23,
IF(S391=regle!$E$11,regle!$E$23,
IF(S391=regle!$F$11,regle!$F$23,
IF(S391=regle!$G$11,regle!$G$23,
IF(S391=regle!$H$11,regle!$H$23,
IF(S391=regle!$I$11,regle!$I$23,
IF(S391=regle!$J$11,regle!$J$23,
IF(S391=regle!$K$11,regle!$K$23,0))))))))))))</f>
        <v>0</v>
      </c>
      <c r="AD391" s="17" t="b">
        <f>IF($A391,$J391*(IF(T391=regle!$B$11,regle!$B$23*IF(AM391=-2,1+regle!$B$35,1),
IF(T391=regle!$C$11,regle!$C$23,
IF(T391=regle!$D$11,regle!$D$23,
IF(T391=regle!$E$11,regle!$E$23,
IF(T391=regle!$F$11,regle!$F$23,
IF(T391=regle!$G$11,regle!$G$23,
IF(T391=regle!$H$11,regle!$H$23,
IF(T391=regle!$I$11,regle!$I$23,
IF(T391=regle!$J$11,regle!$J$23,
IF(T391=regle!$K$11,regle!$K$23,0))))))))))))</f>
        <v>0</v>
      </c>
      <c r="AE391" s="17" t="b">
        <f>IF($A391,$J391*(IF(U391=regle!$B$11,regle!$B$23*IF(AN391=-2,1+regle!$B$35,1),
IF(U391=regle!$C$11,regle!$C$23,
IF(U391=regle!$D$11,regle!$D$23,
IF(U391=regle!$E$11,regle!$E$23,
IF(U391=regle!$F$11,regle!$F$23,
IF(U391=regle!$G$11,regle!$G$23,
IF(U391=regle!$H$11,regle!$H$23,
IF(U391=regle!$I$11,regle!$I$23,
IF(U391=regle!$J$11,regle!$J$23,
IF(U391=regle!$K$11,regle!$K$23,0))))))))))))</f>
        <v>0</v>
      </c>
      <c r="AF391" s="17" t="b">
        <f>IF($A391,$J391*(IF(V391=regle!$B$11,regle!$B$23*IF(AO391=-2,1+regle!$B$35,1),
IF(V391=regle!$C$11,regle!$C$23,
IF(V391=regle!$D$11,regle!$D$23,
IF(V391=regle!$E$11,regle!$E$23,
IF(V391=regle!$F$11,regle!$F$23,
IF(V391=regle!$G$11,regle!$G$23,
IF(V391=regle!$H$11,regle!$H$23,
IF(V391=regle!$I$11,regle!$I$23,
IF(V391=regle!$J$11,regle!$J$23,
IF(V391=regle!$K$11,regle!$K$23,0))))))))))))</f>
        <v>0</v>
      </c>
      <c r="AG391" s="17" t="b">
        <f>IF($A391,$J391*(IF(W391=regle!$B$11,regle!$B$23*IF(AP391=-2,1+regle!$B$35,1),
IF(W391=regle!$C$11,regle!$C$23,
IF(W391=regle!$D$11,regle!$D$23,
IF(W391=regle!$E$11,regle!$E$23,
IF(W391=regle!$F$11,regle!$F$23,
IF(W391=regle!$G$11,regle!$G$23,
IF(W391=regle!$H$11,regle!$H$23,
IF(W391=regle!$I$11,regle!$I$23,
IF(W391=regle!$J$11,regle!$J$23,
IF(W391=regle!$K$11,regle!$K$23,0))))))))))))</f>
        <v>0</v>
      </c>
      <c r="AH391" s="17" t="b">
        <f>IF($A391,$J391*(IF(X391=regle!$B$11,regle!$B$23*IF(AQ391=-2,1+regle!$B$35,1),
IF(X391=regle!$C$11,regle!$C$23,
IF(X391=regle!$D$11,regle!$D$23,
IF(X391=regle!$E$11,regle!$E$23,
IF(X391=regle!$F$11,regle!$F$23,
IF(X391=regle!$G$11,regle!$G$23,
IF(X391=regle!$H$11,regle!$H$23,
IF(X391=regle!$I$11,regle!$I$23,
IF(X391=regle!$J$11,regle!$J$23,
IF(X391=regle!$K$11,regle!$K$23,0))))))))))))</f>
        <v>0</v>
      </c>
      <c r="AI391" s="17" t="b">
        <f>IF($A391,$J391*(IF(Y391=regle!$B$11,regle!$B$23*IF(AR391=-2,1+regle!$B$35,1),
IF(Y391=regle!$C$11,regle!$C$23,
IF(Y391=regle!$D$11,regle!$D$23,
IF(Y391=regle!$E$11,regle!$E$23,
IF(Y391=regle!$F$11,regle!$F$23,
IF(Y391=regle!$G$11,regle!$G$23,
IF(Y391=regle!$H$11,regle!$H$23,
IF(Y391=regle!$I$11,regle!$I$23,
IF(Y391=regle!$J$11,regle!$J$23,
IF(Y391=regle!$K$11,regle!$K$23,0))))))))))))</f>
        <v>0</v>
      </c>
      <c r="AJ391" s="17" t="b">
        <f>IF($A391,$J391*(IF(Z391=regle!$B$11,regle!$B$23*IF(AS391=-2,1+regle!$B$35,1),
IF(Z391=regle!$C$11,regle!$C$23,
IF(Z391=regle!$D$11,regle!$D$23,
IF(Z391=regle!$E$11,regle!$E$23,
IF(Z391=regle!$F$11,regle!$F$23,
IF(Z391=regle!$G$11,regle!$G$23,
IF(Z391=regle!$H$11,regle!$H$23,
IF(Z391=regle!$I$11,regle!$I$23,
IF(Z391=regle!$J$11,regle!$J$23,
IF(Z391=regle!$K$11,regle!$K$23,0))))))))))))</f>
        <v>0</v>
      </c>
      <c r="AK391" s="16">
        <f>IF(OR(Q391=regle!$J$11,Q391=regle!$K$11),-2,IF(Q391=regle!$B$11,0,IF(AK$1=$AK$1,IF($O391,-1,regle!$B$2-$M391),IF(AJ391=-1,-1,AJ391+1))))</f>
        <v>11</v>
      </c>
      <c r="AL391" s="16">
        <f>IF(OR(R391=regle!$J$11,R391=regle!$K$11),-2,IF(R391=regle!$B$11,0,IF(AL$1=$AK$1,IF($O391,-1,regle!$B$2-$M391),IF(AK391=-1,-1,AK391+1))))</f>
        <v>12</v>
      </c>
      <c r="AM391" s="16">
        <f>IF(OR(S391=regle!$J$11,S391=regle!$K$11),-2,IF(S391=regle!$B$11,0,IF(AM$1=$AK$1,IF($O391,-1,regle!$B$2-$M391),IF(AL391=-1,-1,AL391+1))))</f>
        <v>13</v>
      </c>
      <c r="AN391" s="16">
        <f>IF(OR(T391=regle!$J$11,T391=regle!$K$11),-2,IF(T391=regle!$B$11,0,IF(AN$1=$AK$1,IF($O391,-1,regle!$B$2-$M391),IF(AM391=-1,-1,AM391+1))))</f>
        <v>14</v>
      </c>
      <c r="AO391" s="16">
        <f>IF(OR(U391=regle!$J$11,U391=regle!$K$11),-2,IF(U391=regle!$B$11,0,IF(AO$1=$AK$1,IF($O391,-1,regle!$B$2-$M391),IF(AN391=-1,-1,AN391+1))))</f>
        <v>15</v>
      </c>
      <c r="AP391" s="16">
        <f>IF(OR(V391=regle!$J$11,V391=regle!$K$11),-2,IF(V391=regle!$B$11,0,IF(AP$1=$AK$1,IF($O391,-1,regle!$B$2-$M391),IF(AO391=-1,-1,AO391+1))))</f>
        <v>16</v>
      </c>
      <c r="AQ391" s="16">
        <f>IF(OR(W391=regle!$J$11,W391=regle!$K$11),-2,IF(W391=regle!$B$11,0,IF(AQ$1=$AK$1,IF($O391,-1,regle!$B$2-$M391),IF(AP391=-1,-1,AP391+1))))</f>
        <v>17</v>
      </c>
      <c r="AR391" s="16">
        <f>IF(OR(X391=regle!$J$11,X391=regle!$K$11),-2,IF(X391=regle!$B$11,0,IF(AR$1=$AK$1,IF($O391,-1,regle!$B$2-$M391),IF(AQ391=-1,-1,AQ391+1))))</f>
        <v>18</v>
      </c>
      <c r="AS391" s="16">
        <f>IF(OR(Y391=regle!$J$11,Y391=regle!$K$11),-2,IF(Y391=regle!$B$11,0,IF(AS$1=$AK$1,IF($O391,-1,regle!$B$2-$M391),IF(AR391=-1,-1,AR391+1))))</f>
        <v>19</v>
      </c>
      <c r="AT391" s="16">
        <f>IF(OR(Z391=regle!$J$11,Z391=regle!$K$11),-2,IF(Z391=regle!$B$11,0,IF(AT$1=$AK$1,IF($O391,-1,regle!$B$2-$M391),IF(AS391=-1,-1,AS391+1))))</f>
        <v>20</v>
      </c>
    </row>
    <row r="392" spans="1:46" x14ac:dyDescent="0.25">
      <c r="A392" t="b">
        <f>modif1!A392</f>
        <v>0</v>
      </c>
      <c r="B392">
        <f>ROW(modif1!B392)</f>
        <v>392</v>
      </c>
      <c r="C392" t="str">
        <f>modif1!C395</f>
        <v>171</v>
      </c>
      <c r="D392" t="str">
        <f>modif1!D392</f>
        <v>LE TUZAN</v>
      </c>
      <c r="E392">
        <f>modif1!E392</f>
        <v>21</v>
      </c>
      <c r="F392" t="str">
        <f>modif1!F392</f>
        <v>METAIRIES DE TABARTON</v>
      </c>
      <c r="G392" t="str">
        <f>modif1!G392</f>
        <v>0A</v>
      </c>
      <c r="H392">
        <f>modif1!H392</f>
        <v>847</v>
      </c>
      <c r="I392" t="str">
        <f>modif1!I392</f>
        <v>kk</v>
      </c>
      <c r="J392" s="11">
        <f>modif1!J392</f>
        <v>0.2114</v>
      </c>
      <c r="K392" t="str">
        <f>modif1!K392</f>
        <v>TAIL</v>
      </c>
      <c r="L392" t="str">
        <f>modif1!L392</f>
        <v>FEUIL</v>
      </c>
      <c r="M392">
        <f>modif1!M392</f>
        <v>2003</v>
      </c>
      <c r="N392" t="str">
        <f>modif1!N392</f>
        <v>TAIL-FEUIL_2003</v>
      </c>
      <c r="O392" t="b">
        <f>modif1!O392</f>
        <v>0</v>
      </c>
      <c r="Z392"/>
      <c r="AA392" s="17" t="b">
        <f>IF($A392,$J392*(IF(Q392=regle!$B$11,regle!$B$23*IF(AJ392=-2,1+regle!$B$35,1),
IF(Q392=regle!$C$11,regle!$C$23,
IF(Q392=regle!$D$11,regle!$D$23,
IF(Q392=regle!$E$11,regle!$E$23,
IF(Q392=regle!$F$11,regle!$F$23,
IF(Q392=regle!$G$11,regle!$G$23,
IF(Q392=regle!$H$11,regle!$H$23,
IF(Q392=regle!$I$11,regle!$I$23,
IF(Q392=regle!$J$11,regle!$J$23,
IF(Q392=regle!$K$11,regle!$K$23,0))))))))))))</f>
        <v>0</v>
      </c>
      <c r="AB392" s="17" t="b">
        <f>IF($A392,$J392*(IF(R392=regle!$B$11,regle!$B$23*IF(AK392=-2,1+regle!$B$35,1),
IF(R392=regle!$C$11,regle!$C$23,
IF(R392=regle!$D$11,regle!$D$23,
IF(R392=regle!$E$11,regle!$E$23,
IF(R392=regle!$F$11,regle!$F$23,
IF(R392=regle!$G$11,regle!$G$23,
IF(R392=regle!$H$11,regle!$H$23,
IF(R392=regle!$I$11,regle!$I$23,
IF(R392=regle!$J$11,regle!$J$23,
IF(R392=regle!$K$11,regle!$K$23,0))))))))))))</f>
        <v>0</v>
      </c>
      <c r="AC392" s="17" t="b">
        <f>IF($A392,$J392*(IF(S392=regle!$B$11,regle!$B$23*IF(AL392=-2,1+regle!$B$35,1),
IF(S392=regle!$C$11,regle!$C$23,
IF(S392=regle!$D$11,regle!$D$23,
IF(S392=regle!$E$11,regle!$E$23,
IF(S392=regle!$F$11,regle!$F$23,
IF(S392=regle!$G$11,regle!$G$23,
IF(S392=regle!$H$11,regle!$H$23,
IF(S392=regle!$I$11,regle!$I$23,
IF(S392=regle!$J$11,regle!$J$23,
IF(S392=regle!$K$11,regle!$K$23,0))))))))))))</f>
        <v>0</v>
      </c>
      <c r="AD392" s="17" t="b">
        <f>IF($A392,$J392*(IF(T392=regle!$B$11,regle!$B$23*IF(AM392=-2,1+regle!$B$35,1),
IF(T392=regle!$C$11,regle!$C$23,
IF(T392=regle!$D$11,regle!$D$23,
IF(T392=regle!$E$11,regle!$E$23,
IF(T392=regle!$F$11,regle!$F$23,
IF(T392=regle!$G$11,regle!$G$23,
IF(T392=regle!$H$11,regle!$H$23,
IF(T392=regle!$I$11,regle!$I$23,
IF(T392=regle!$J$11,regle!$J$23,
IF(T392=regle!$K$11,regle!$K$23,0))))))))))))</f>
        <v>0</v>
      </c>
      <c r="AE392" s="17" t="b">
        <f>IF($A392,$J392*(IF(U392=regle!$B$11,regle!$B$23*IF(AN392=-2,1+regle!$B$35,1),
IF(U392=regle!$C$11,regle!$C$23,
IF(U392=regle!$D$11,regle!$D$23,
IF(U392=regle!$E$11,regle!$E$23,
IF(U392=regle!$F$11,regle!$F$23,
IF(U392=regle!$G$11,regle!$G$23,
IF(U392=regle!$H$11,regle!$H$23,
IF(U392=regle!$I$11,regle!$I$23,
IF(U392=regle!$J$11,regle!$J$23,
IF(U392=regle!$K$11,regle!$K$23,0))))))))))))</f>
        <v>0</v>
      </c>
      <c r="AF392" s="17" t="b">
        <f>IF($A392,$J392*(IF(V392=regle!$B$11,regle!$B$23*IF(AO392=-2,1+regle!$B$35,1),
IF(V392=regle!$C$11,regle!$C$23,
IF(V392=regle!$D$11,regle!$D$23,
IF(V392=regle!$E$11,regle!$E$23,
IF(V392=regle!$F$11,regle!$F$23,
IF(V392=regle!$G$11,regle!$G$23,
IF(V392=regle!$H$11,regle!$H$23,
IF(V392=regle!$I$11,regle!$I$23,
IF(V392=regle!$J$11,regle!$J$23,
IF(V392=regle!$K$11,regle!$K$23,0))))))))))))</f>
        <v>0</v>
      </c>
      <c r="AG392" s="17" t="b">
        <f>IF($A392,$J392*(IF(W392=regle!$B$11,regle!$B$23*IF(AP392=-2,1+regle!$B$35,1),
IF(W392=regle!$C$11,regle!$C$23,
IF(W392=regle!$D$11,regle!$D$23,
IF(W392=regle!$E$11,regle!$E$23,
IF(W392=regle!$F$11,regle!$F$23,
IF(W392=regle!$G$11,regle!$G$23,
IF(W392=regle!$H$11,regle!$H$23,
IF(W392=regle!$I$11,regle!$I$23,
IF(W392=regle!$J$11,regle!$J$23,
IF(W392=regle!$K$11,regle!$K$23,0))))))))))))</f>
        <v>0</v>
      </c>
      <c r="AH392" s="17" t="b">
        <f>IF($A392,$J392*(IF(X392=regle!$B$11,regle!$B$23*IF(AQ392=-2,1+regle!$B$35,1),
IF(X392=regle!$C$11,regle!$C$23,
IF(X392=regle!$D$11,regle!$D$23,
IF(X392=regle!$E$11,regle!$E$23,
IF(X392=regle!$F$11,regle!$F$23,
IF(X392=regle!$G$11,regle!$G$23,
IF(X392=regle!$H$11,regle!$H$23,
IF(X392=regle!$I$11,regle!$I$23,
IF(X392=regle!$J$11,regle!$J$23,
IF(X392=regle!$K$11,regle!$K$23,0))))))))))))</f>
        <v>0</v>
      </c>
      <c r="AI392" s="17" t="b">
        <f>IF($A392,$J392*(IF(Y392=regle!$B$11,regle!$B$23*IF(AR392=-2,1+regle!$B$35,1),
IF(Y392=regle!$C$11,regle!$C$23,
IF(Y392=regle!$D$11,regle!$D$23,
IF(Y392=regle!$E$11,regle!$E$23,
IF(Y392=regle!$F$11,regle!$F$23,
IF(Y392=regle!$G$11,regle!$G$23,
IF(Y392=regle!$H$11,regle!$H$23,
IF(Y392=regle!$I$11,regle!$I$23,
IF(Y392=regle!$J$11,regle!$J$23,
IF(Y392=regle!$K$11,regle!$K$23,0))))))))))))</f>
        <v>0</v>
      </c>
      <c r="AJ392" s="17" t="b">
        <f>IF($A392,$J392*(IF(Z392=regle!$B$11,regle!$B$23*IF(AS392=-2,1+regle!$B$35,1),
IF(Z392=regle!$C$11,regle!$C$23,
IF(Z392=regle!$D$11,regle!$D$23,
IF(Z392=regle!$E$11,regle!$E$23,
IF(Z392=regle!$F$11,regle!$F$23,
IF(Z392=regle!$G$11,regle!$G$23,
IF(Z392=regle!$H$11,regle!$H$23,
IF(Z392=regle!$I$11,regle!$I$23,
IF(Z392=regle!$J$11,regle!$J$23,
IF(Z392=regle!$K$11,regle!$K$23,0))))))))))))</f>
        <v>0</v>
      </c>
      <c r="AK392" s="16">
        <f>IF(OR(Q392=regle!$J$11,Q392=regle!$K$11),-2,IF(Q392=regle!$B$11,0,IF(AK$1=$AK$1,IF($O392,-1,regle!$B$2-$M392),IF(AJ392=-1,-1,AJ392+1))))</f>
        <v>21</v>
      </c>
      <c r="AL392" s="16">
        <f>IF(OR(R392=regle!$J$11,R392=regle!$K$11),-2,IF(R392=regle!$B$11,0,IF(AL$1=$AK$1,IF($O392,-1,regle!$B$2-$M392),IF(AK392=-1,-1,AK392+1))))</f>
        <v>22</v>
      </c>
      <c r="AM392" s="16">
        <f>IF(OR(S392=regle!$J$11,S392=regle!$K$11),-2,IF(S392=regle!$B$11,0,IF(AM$1=$AK$1,IF($O392,-1,regle!$B$2-$M392),IF(AL392=-1,-1,AL392+1))))</f>
        <v>23</v>
      </c>
      <c r="AN392" s="16">
        <f>IF(OR(T392=regle!$J$11,T392=regle!$K$11),-2,IF(T392=regle!$B$11,0,IF(AN$1=$AK$1,IF($O392,-1,regle!$B$2-$M392),IF(AM392=-1,-1,AM392+1))))</f>
        <v>24</v>
      </c>
      <c r="AO392" s="16">
        <f>IF(OR(U392=regle!$J$11,U392=regle!$K$11),-2,IF(U392=regle!$B$11,0,IF(AO$1=$AK$1,IF($O392,-1,regle!$B$2-$M392),IF(AN392=-1,-1,AN392+1))))</f>
        <v>25</v>
      </c>
      <c r="AP392" s="16">
        <f>IF(OR(V392=regle!$J$11,V392=regle!$K$11),-2,IF(V392=regle!$B$11,0,IF(AP$1=$AK$1,IF($O392,-1,regle!$B$2-$M392),IF(AO392=-1,-1,AO392+1))))</f>
        <v>26</v>
      </c>
      <c r="AQ392" s="16">
        <f>IF(OR(W392=regle!$J$11,W392=regle!$K$11),-2,IF(W392=regle!$B$11,0,IF(AQ$1=$AK$1,IF($O392,-1,regle!$B$2-$M392),IF(AP392=-1,-1,AP392+1))))</f>
        <v>27</v>
      </c>
      <c r="AR392" s="16">
        <f>IF(OR(X392=regle!$J$11,X392=regle!$K$11),-2,IF(X392=regle!$B$11,0,IF(AR$1=$AK$1,IF($O392,-1,regle!$B$2-$M392),IF(AQ392=-1,-1,AQ392+1))))</f>
        <v>28</v>
      </c>
      <c r="AS392" s="16">
        <f>IF(OR(Y392=regle!$J$11,Y392=regle!$K$11),-2,IF(Y392=regle!$B$11,0,IF(AS$1=$AK$1,IF($O392,-1,regle!$B$2-$M392),IF(AR392=-1,-1,AR392+1))))</f>
        <v>29</v>
      </c>
      <c r="AT392" s="16">
        <f>IF(OR(Z392=regle!$J$11,Z392=regle!$K$11),-2,IF(Z392=regle!$B$11,0,IF(AT$1=$AK$1,IF($O392,-1,regle!$B$2-$M392),IF(AS392=-1,-1,AS392+1))))</f>
        <v>30</v>
      </c>
    </row>
    <row r="393" spans="1:46" x14ac:dyDescent="0.25">
      <c r="A393" t="b">
        <f>modif1!A393</f>
        <v>0</v>
      </c>
      <c r="B393">
        <f>ROW(modif1!B393)</f>
        <v>393</v>
      </c>
      <c r="C393" t="str">
        <f>modif1!C396</f>
        <v>171</v>
      </c>
      <c r="D393" t="str">
        <f>modif1!D393</f>
        <v>LE TUZAN</v>
      </c>
      <c r="E393">
        <f>modif1!E393</f>
        <v>14</v>
      </c>
      <c r="F393" t="str">
        <f>modif1!F393</f>
        <v>TABARTON-OUEST</v>
      </c>
      <c r="G393" t="str">
        <f>modif1!G393</f>
        <v>0B</v>
      </c>
      <c r="H393">
        <f>modif1!H393</f>
        <v>659</v>
      </c>
      <c r="I393" t="str">
        <f>modif1!I393</f>
        <v>o</v>
      </c>
      <c r="J393" s="11">
        <f>modif1!J393</f>
        <v>0.43669999999999998</v>
      </c>
      <c r="K393" t="str">
        <f>modif1!K393</f>
        <v>TAIL</v>
      </c>
      <c r="L393" t="str">
        <f>modif1!L393</f>
        <v>FEUIL</v>
      </c>
      <c r="M393">
        <f>modif1!M393</f>
        <v>2000</v>
      </c>
      <c r="N393" t="str">
        <f>modif1!N393</f>
        <v>TAIL-FEUIL_2000</v>
      </c>
      <c r="O393" t="b">
        <f>modif1!O393</f>
        <v>0</v>
      </c>
      <c r="Z393"/>
      <c r="AA393" s="17" t="b">
        <f>IF($A393,$J393*(IF(Q393=regle!$B$11,regle!$B$23*IF(AJ393=-2,1+regle!$B$35,1),
IF(Q393=regle!$C$11,regle!$C$23,
IF(Q393=regle!$D$11,regle!$D$23,
IF(Q393=regle!$E$11,regle!$E$23,
IF(Q393=regle!$F$11,regle!$F$23,
IF(Q393=regle!$G$11,regle!$G$23,
IF(Q393=regle!$H$11,regle!$H$23,
IF(Q393=regle!$I$11,regle!$I$23,
IF(Q393=regle!$J$11,regle!$J$23,
IF(Q393=regle!$K$11,regle!$K$23,0))))))))))))</f>
        <v>0</v>
      </c>
      <c r="AB393" s="17" t="b">
        <f>IF($A393,$J393*(IF(R393=regle!$B$11,regle!$B$23*IF(AK393=-2,1+regle!$B$35,1),
IF(R393=regle!$C$11,regle!$C$23,
IF(R393=regle!$D$11,regle!$D$23,
IF(R393=regle!$E$11,regle!$E$23,
IF(R393=regle!$F$11,regle!$F$23,
IF(R393=regle!$G$11,regle!$G$23,
IF(R393=regle!$H$11,regle!$H$23,
IF(R393=regle!$I$11,regle!$I$23,
IF(R393=regle!$J$11,regle!$J$23,
IF(R393=regle!$K$11,regle!$K$23,0))))))))))))</f>
        <v>0</v>
      </c>
      <c r="AC393" s="17" t="b">
        <f>IF($A393,$J393*(IF(S393=regle!$B$11,regle!$B$23*IF(AL393=-2,1+regle!$B$35,1),
IF(S393=regle!$C$11,regle!$C$23,
IF(S393=regle!$D$11,regle!$D$23,
IF(S393=regle!$E$11,regle!$E$23,
IF(S393=regle!$F$11,regle!$F$23,
IF(S393=regle!$G$11,regle!$G$23,
IF(S393=regle!$H$11,regle!$H$23,
IF(S393=regle!$I$11,regle!$I$23,
IF(S393=regle!$J$11,regle!$J$23,
IF(S393=regle!$K$11,regle!$K$23,0))))))))))))</f>
        <v>0</v>
      </c>
      <c r="AD393" s="17" t="b">
        <f>IF($A393,$J393*(IF(T393=regle!$B$11,regle!$B$23*IF(AM393=-2,1+regle!$B$35,1),
IF(T393=regle!$C$11,regle!$C$23,
IF(T393=regle!$D$11,regle!$D$23,
IF(T393=regle!$E$11,regle!$E$23,
IF(T393=regle!$F$11,regle!$F$23,
IF(T393=regle!$G$11,regle!$G$23,
IF(T393=regle!$H$11,regle!$H$23,
IF(T393=regle!$I$11,regle!$I$23,
IF(T393=regle!$J$11,regle!$J$23,
IF(T393=regle!$K$11,regle!$K$23,0))))))))))))</f>
        <v>0</v>
      </c>
      <c r="AE393" s="17" t="b">
        <f>IF($A393,$J393*(IF(U393=regle!$B$11,regle!$B$23*IF(AN393=-2,1+regle!$B$35,1),
IF(U393=regle!$C$11,regle!$C$23,
IF(U393=regle!$D$11,regle!$D$23,
IF(U393=regle!$E$11,regle!$E$23,
IF(U393=regle!$F$11,regle!$F$23,
IF(U393=regle!$G$11,regle!$G$23,
IF(U393=regle!$H$11,regle!$H$23,
IF(U393=regle!$I$11,regle!$I$23,
IF(U393=regle!$J$11,regle!$J$23,
IF(U393=regle!$K$11,regle!$K$23,0))))))))))))</f>
        <v>0</v>
      </c>
      <c r="AF393" s="17" t="b">
        <f>IF($A393,$J393*(IF(V393=regle!$B$11,regle!$B$23*IF(AO393=-2,1+regle!$B$35,1),
IF(V393=regle!$C$11,regle!$C$23,
IF(V393=regle!$D$11,regle!$D$23,
IF(V393=regle!$E$11,regle!$E$23,
IF(V393=regle!$F$11,regle!$F$23,
IF(V393=regle!$G$11,regle!$G$23,
IF(V393=regle!$H$11,regle!$H$23,
IF(V393=regle!$I$11,regle!$I$23,
IF(V393=regle!$J$11,regle!$J$23,
IF(V393=regle!$K$11,regle!$K$23,0))))))))))))</f>
        <v>0</v>
      </c>
      <c r="AG393" s="17" t="b">
        <f>IF($A393,$J393*(IF(W393=regle!$B$11,regle!$B$23*IF(AP393=-2,1+regle!$B$35,1),
IF(W393=regle!$C$11,regle!$C$23,
IF(W393=regle!$D$11,regle!$D$23,
IF(W393=regle!$E$11,regle!$E$23,
IF(W393=regle!$F$11,regle!$F$23,
IF(W393=regle!$G$11,regle!$G$23,
IF(W393=regle!$H$11,regle!$H$23,
IF(W393=regle!$I$11,regle!$I$23,
IF(W393=regle!$J$11,regle!$J$23,
IF(W393=regle!$K$11,regle!$K$23,0))))))))))))</f>
        <v>0</v>
      </c>
      <c r="AH393" s="17" t="b">
        <f>IF($A393,$J393*(IF(X393=regle!$B$11,regle!$B$23*IF(AQ393=-2,1+regle!$B$35,1),
IF(X393=regle!$C$11,regle!$C$23,
IF(X393=regle!$D$11,regle!$D$23,
IF(X393=regle!$E$11,regle!$E$23,
IF(X393=regle!$F$11,regle!$F$23,
IF(X393=regle!$G$11,regle!$G$23,
IF(X393=regle!$H$11,regle!$H$23,
IF(X393=regle!$I$11,regle!$I$23,
IF(X393=regle!$J$11,regle!$J$23,
IF(X393=regle!$K$11,regle!$K$23,0))))))))))))</f>
        <v>0</v>
      </c>
      <c r="AI393" s="17" t="b">
        <f>IF($A393,$J393*(IF(Y393=regle!$B$11,regle!$B$23*IF(AR393=-2,1+regle!$B$35,1),
IF(Y393=regle!$C$11,regle!$C$23,
IF(Y393=regle!$D$11,regle!$D$23,
IF(Y393=regle!$E$11,regle!$E$23,
IF(Y393=regle!$F$11,regle!$F$23,
IF(Y393=regle!$G$11,regle!$G$23,
IF(Y393=regle!$H$11,regle!$H$23,
IF(Y393=regle!$I$11,regle!$I$23,
IF(Y393=regle!$J$11,regle!$J$23,
IF(Y393=regle!$K$11,regle!$K$23,0))))))))))))</f>
        <v>0</v>
      </c>
      <c r="AJ393" s="17" t="b">
        <f>IF($A393,$J393*(IF(Z393=regle!$B$11,regle!$B$23*IF(AS393=-2,1+regle!$B$35,1),
IF(Z393=regle!$C$11,regle!$C$23,
IF(Z393=regle!$D$11,regle!$D$23,
IF(Z393=regle!$E$11,regle!$E$23,
IF(Z393=regle!$F$11,regle!$F$23,
IF(Z393=regle!$G$11,regle!$G$23,
IF(Z393=regle!$H$11,regle!$H$23,
IF(Z393=regle!$I$11,regle!$I$23,
IF(Z393=regle!$J$11,regle!$J$23,
IF(Z393=regle!$K$11,regle!$K$23,0))))))))))))</f>
        <v>0</v>
      </c>
      <c r="AK393" s="16">
        <f>IF(OR(Q393=regle!$J$11,Q393=regle!$K$11),-2,IF(Q393=regle!$B$11,0,IF(AK$1=$AK$1,IF($O393,-1,regle!$B$2-$M393),IF(AJ393=-1,-1,AJ393+1))))</f>
        <v>24</v>
      </c>
      <c r="AL393" s="16">
        <f>IF(OR(R393=regle!$J$11,R393=regle!$K$11),-2,IF(R393=regle!$B$11,0,IF(AL$1=$AK$1,IF($O393,-1,regle!$B$2-$M393),IF(AK393=-1,-1,AK393+1))))</f>
        <v>25</v>
      </c>
      <c r="AM393" s="16">
        <f>IF(OR(S393=regle!$J$11,S393=regle!$K$11),-2,IF(S393=regle!$B$11,0,IF(AM$1=$AK$1,IF($O393,-1,regle!$B$2-$M393),IF(AL393=-1,-1,AL393+1))))</f>
        <v>26</v>
      </c>
      <c r="AN393" s="16">
        <f>IF(OR(T393=regle!$J$11,T393=regle!$K$11),-2,IF(T393=regle!$B$11,0,IF(AN$1=$AK$1,IF($O393,-1,regle!$B$2-$M393),IF(AM393=-1,-1,AM393+1))))</f>
        <v>27</v>
      </c>
      <c r="AO393" s="16">
        <f>IF(OR(U393=regle!$J$11,U393=regle!$K$11),-2,IF(U393=regle!$B$11,0,IF(AO$1=$AK$1,IF($O393,-1,regle!$B$2-$M393),IF(AN393=-1,-1,AN393+1))))</f>
        <v>28</v>
      </c>
      <c r="AP393" s="16">
        <f>IF(OR(V393=regle!$J$11,V393=regle!$K$11),-2,IF(V393=regle!$B$11,0,IF(AP$1=$AK$1,IF($O393,-1,regle!$B$2-$M393),IF(AO393=-1,-1,AO393+1))))</f>
        <v>29</v>
      </c>
      <c r="AQ393" s="16">
        <f>IF(OR(W393=regle!$J$11,W393=regle!$K$11),-2,IF(W393=regle!$B$11,0,IF(AQ$1=$AK$1,IF($O393,-1,regle!$B$2-$M393),IF(AP393=-1,-1,AP393+1))))</f>
        <v>30</v>
      </c>
      <c r="AR393" s="16">
        <f>IF(OR(X393=regle!$J$11,X393=regle!$K$11),-2,IF(X393=regle!$B$11,0,IF(AR$1=$AK$1,IF($O393,-1,regle!$B$2-$M393),IF(AQ393=-1,-1,AQ393+1))))</f>
        <v>31</v>
      </c>
      <c r="AS393" s="16">
        <f>IF(OR(Y393=regle!$J$11,Y393=regle!$K$11),-2,IF(Y393=regle!$B$11,0,IF(AS$1=$AK$1,IF($O393,-1,regle!$B$2-$M393),IF(AR393=-1,-1,AR393+1))))</f>
        <v>32</v>
      </c>
      <c r="AT393" s="16">
        <f>IF(OR(Z393=regle!$J$11,Z393=regle!$K$11),-2,IF(Z393=regle!$B$11,0,IF(AT$1=$AK$1,IF($O393,-1,regle!$B$2-$M393),IF(AS393=-1,-1,AS393+1))))</f>
        <v>33</v>
      </c>
    </row>
    <row r="394" spans="1:46" x14ac:dyDescent="0.25">
      <c r="A394" t="b">
        <f>modif1!A394</f>
        <v>0</v>
      </c>
      <c r="B394">
        <f>ROW(modif1!B394)</f>
        <v>394</v>
      </c>
      <c r="C394" t="str">
        <f>modif1!C397</f>
        <v>200</v>
      </c>
      <c r="D394" t="str">
        <f>modif1!D394</f>
        <v>MANO</v>
      </c>
      <c r="E394">
        <f>modif1!E394</f>
        <v>17</v>
      </c>
      <c r="F394" t="str">
        <f>modif1!F394</f>
        <v>LANDE DE TABARTON</v>
      </c>
      <c r="G394" t="str">
        <f>modif1!G394</f>
        <v>0B</v>
      </c>
      <c r="H394">
        <f>modif1!H394</f>
        <v>300</v>
      </c>
      <c r="I394" t="str">
        <f>modif1!I394</f>
        <v/>
      </c>
      <c r="J394" s="11">
        <f>modif1!J394</f>
        <v>0.32</v>
      </c>
      <c r="K394" t="str">
        <f>modif1!K394</f>
        <v>TAIL</v>
      </c>
      <c r="L394" t="str">
        <f>modif1!L394</f>
        <v>FEUIL</v>
      </c>
      <c r="M394">
        <f>modif1!M394</f>
        <v>1997</v>
      </c>
      <c r="N394" t="str">
        <f>modif1!N394</f>
        <v>TAIL-FEUIL_1997</v>
      </c>
      <c r="O394" t="b">
        <f>modif1!O394</f>
        <v>0</v>
      </c>
      <c r="Z394"/>
      <c r="AA394" s="17" t="b">
        <f>IF($A394,$J394*(IF(Q394=regle!$B$11,regle!$B$23*IF(AJ394=-2,1+regle!$B$35,1),
IF(Q394=regle!$C$11,regle!$C$23,
IF(Q394=regle!$D$11,regle!$D$23,
IF(Q394=regle!$E$11,regle!$E$23,
IF(Q394=regle!$F$11,regle!$F$23,
IF(Q394=regle!$G$11,regle!$G$23,
IF(Q394=regle!$H$11,regle!$H$23,
IF(Q394=regle!$I$11,regle!$I$23,
IF(Q394=regle!$J$11,regle!$J$23,
IF(Q394=regle!$K$11,regle!$K$23,0))))))))))))</f>
        <v>0</v>
      </c>
      <c r="AB394" s="17" t="b">
        <f>IF($A394,$J394*(IF(R394=regle!$B$11,regle!$B$23*IF(AK394=-2,1+regle!$B$35,1),
IF(R394=regle!$C$11,regle!$C$23,
IF(R394=regle!$D$11,regle!$D$23,
IF(R394=regle!$E$11,regle!$E$23,
IF(R394=regle!$F$11,regle!$F$23,
IF(R394=regle!$G$11,regle!$G$23,
IF(R394=regle!$H$11,regle!$H$23,
IF(R394=regle!$I$11,regle!$I$23,
IF(R394=regle!$J$11,regle!$J$23,
IF(R394=regle!$K$11,regle!$K$23,0))))))))))))</f>
        <v>0</v>
      </c>
      <c r="AC394" s="17" t="b">
        <f>IF($A394,$J394*(IF(S394=regle!$B$11,regle!$B$23*IF(AL394=-2,1+regle!$B$35,1),
IF(S394=regle!$C$11,regle!$C$23,
IF(S394=regle!$D$11,regle!$D$23,
IF(S394=regle!$E$11,regle!$E$23,
IF(S394=regle!$F$11,regle!$F$23,
IF(S394=regle!$G$11,regle!$G$23,
IF(S394=regle!$H$11,regle!$H$23,
IF(S394=regle!$I$11,regle!$I$23,
IF(S394=regle!$J$11,regle!$J$23,
IF(S394=regle!$K$11,regle!$K$23,0))))))))))))</f>
        <v>0</v>
      </c>
      <c r="AD394" s="17" t="b">
        <f>IF($A394,$J394*(IF(T394=regle!$B$11,regle!$B$23*IF(AM394=-2,1+regle!$B$35,1),
IF(T394=regle!$C$11,regle!$C$23,
IF(T394=regle!$D$11,regle!$D$23,
IF(T394=regle!$E$11,regle!$E$23,
IF(T394=regle!$F$11,regle!$F$23,
IF(T394=regle!$G$11,regle!$G$23,
IF(T394=regle!$H$11,regle!$H$23,
IF(T394=regle!$I$11,regle!$I$23,
IF(T394=regle!$J$11,regle!$J$23,
IF(T394=regle!$K$11,regle!$K$23,0))))))))))))</f>
        <v>0</v>
      </c>
      <c r="AE394" s="17" t="b">
        <f>IF($A394,$J394*(IF(U394=regle!$B$11,regle!$B$23*IF(AN394=-2,1+regle!$B$35,1),
IF(U394=regle!$C$11,regle!$C$23,
IF(U394=regle!$D$11,regle!$D$23,
IF(U394=regle!$E$11,regle!$E$23,
IF(U394=regle!$F$11,regle!$F$23,
IF(U394=regle!$G$11,regle!$G$23,
IF(U394=regle!$H$11,regle!$H$23,
IF(U394=regle!$I$11,regle!$I$23,
IF(U394=regle!$J$11,regle!$J$23,
IF(U394=regle!$K$11,regle!$K$23,0))))))))))))</f>
        <v>0</v>
      </c>
      <c r="AF394" s="17" t="b">
        <f>IF($A394,$J394*(IF(V394=regle!$B$11,regle!$B$23*IF(AO394=-2,1+regle!$B$35,1),
IF(V394=regle!$C$11,regle!$C$23,
IF(V394=regle!$D$11,regle!$D$23,
IF(V394=regle!$E$11,regle!$E$23,
IF(V394=regle!$F$11,regle!$F$23,
IF(V394=regle!$G$11,regle!$G$23,
IF(V394=regle!$H$11,regle!$H$23,
IF(V394=regle!$I$11,regle!$I$23,
IF(V394=regle!$J$11,regle!$J$23,
IF(V394=regle!$K$11,regle!$K$23,0))))))))))))</f>
        <v>0</v>
      </c>
      <c r="AG394" s="17" t="b">
        <f>IF($A394,$J394*(IF(W394=regle!$B$11,regle!$B$23*IF(AP394=-2,1+regle!$B$35,1),
IF(W394=regle!$C$11,regle!$C$23,
IF(W394=regle!$D$11,regle!$D$23,
IF(W394=regle!$E$11,regle!$E$23,
IF(W394=regle!$F$11,regle!$F$23,
IF(W394=regle!$G$11,regle!$G$23,
IF(W394=regle!$H$11,regle!$H$23,
IF(W394=regle!$I$11,regle!$I$23,
IF(W394=regle!$J$11,regle!$J$23,
IF(W394=regle!$K$11,regle!$K$23,0))))))))))))</f>
        <v>0</v>
      </c>
      <c r="AH394" s="17" t="b">
        <f>IF($A394,$J394*(IF(X394=regle!$B$11,regle!$B$23*IF(AQ394=-2,1+regle!$B$35,1),
IF(X394=regle!$C$11,regle!$C$23,
IF(X394=regle!$D$11,regle!$D$23,
IF(X394=regle!$E$11,regle!$E$23,
IF(X394=regle!$F$11,regle!$F$23,
IF(X394=regle!$G$11,regle!$G$23,
IF(X394=regle!$H$11,regle!$H$23,
IF(X394=regle!$I$11,regle!$I$23,
IF(X394=regle!$J$11,regle!$J$23,
IF(X394=regle!$K$11,regle!$K$23,0))))))))))))</f>
        <v>0</v>
      </c>
      <c r="AI394" s="17" t="b">
        <f>IF($A394,$J394*(IF(Y394=regle!$B$11,regle!$B$23*IF(AR394=-2,1+regle!$B$35,1),
IF(Y394=regle!$C$11,regle!$C$23,
IF(Y394=regle!$D$11,regle!$D$23,
IF(Y394=regle!$E$11,regle!$E$23,
IF(Y394=regle!$F$11,regle!$F$23,
IF(Y394=regle!$G$11,regle!$G$23,
IF(Y394=regle!$H$11,regle!$H$23,
IF(Y394=regle!$I$11,regle!$I$23,
IF(Y394=regle!$J$11,regle!$J$23,
IF(Y394=regle!$K$11,regle!$K$23,0))))))))))))</f>
        <v>0</v>
      </c>
      <c r="AJ394" s="17" t="b">
        <f>IF($A394,$J394*(IF(Z394=regle!$B$11,regle!$B$23*IF(AS394=-2,1+regle!$B$35,1),
IF(Z394=regle!$C$11,regle!$C$23,
IF(Z394=regle!$D$11,regle!$D$23,
IF(Z394=regle!$E$11,regle!$E$23,
IF(Z394=regle!$F$11,regle!$F$23,
IF(Z394=regle!$G$11,regle!$G$23,
IF(Z394=regle!$H$11,regle!$H$23,
IF(Z394=regle!$I$11,regle!$I$23,
IF(Z394=regle!$J$11,regle!$J$23,
IF(Z394=regle!$K$11,regle!$K$23,0))))))))))))</f>
        <v>0</v>
      </c>
      <c r="AK394" s="16">
        <f>IF(OR(Q394=regle!$J$11,Q394=regle!$K$11),-2,IF(Q394=regle!$B$11,0,IF(AK$1=$AK$1,IF($O394,-1,regle!$B$2-$M394),IF(AJ394=-1,-1,AJ394+1))))</f>
        <v>27</v>
      </c>
      <c r="AL394" s="16">
        <f>IF(OR(R394=regle!$J$11,R394=regle!$K$11),-2,IF(R394=regle!$B$11,0,IF(AL$1=$AK$1,IF($O394,-1,regle!$B$2-$M394),IF(AK394=-1,-1,AK394+1))))</f>
        <v>28</v>
      </c>
      <c r="AM394" s="16">
        <f>IF(OR(S394=regle!$J$11,S394=regle!$K$11),-2,IF(S394=regle!$B$11,0,IF(AM$1=$AK$1,IF($O394,-1,regle!$B$2-$M394),IF(AL394=-1,-1,AL394+1))))</f>
        <v>29</v>
      </c>
      <c r="AN394" s="16">
        <f>IF(OR(T394=regle!$J$11,T394=regle!$K$11),-2,IF(T394=regle!$B$11,0,IF(AN$1=$AK$1,IF($O394,-1,regle!$B$2-$M394),IF(AM394=-1,-1,AM394+1))))</f>
        <v>30</v>
      </c>
      <c r="AO394" s="16">
        <f>IF(OR(U394=regle!$J$11,U394=regle!$K$11),-2,IF(U394=regle!$B$11,0,IF(AO$1=$AK$1,IF($O394,-1,regle!$B$2-$M394),IF(AN394=-1,-1,AN394+1))))</f>
        <v>31</v>
      </c>
      <c r="AP394" s="16">
        <f>IF(OR(V394=regle!$J$11,V394=regle!$K$11),-2,IF(V394=regle!$B$11,0,IF(AP$1=$AK$1,IF($O394,-1,regle!$B$2-$M394),IF(AO394=-1,-1,AO394+1))))</f>
        <v>32</v>
      </c>
      <c r="AQ394" s="16">
        <f>IF(OR(W394=regle!$J$11,W394=regle!$K$11),-2,IF(W394=regle!$B$11,0,IF(AQ$1=$AK$1,IF($O394,-1,regle!$B$2-$M394),IF(AP394=-1,-1,AP394+1))))</f>
        <v>33</v>
      </c>
      <c r="AR394" s="16">
        <f>IF(OR(X394=regle!$J$11,X394=regle!$K$11),-2,IF(X394=regle!$B$11,0,IF(AR$1=$AK$1,IF($O394,-1,regle!$B$2-$M394),IF(AQ394=-1,-1,AQ394+1))))</f>
        <v>34</v>
      </c>
      <c r="AS394" s="16">
        <f>IF(OR(Y394=regle!$J$11,Y394=regle!$K$11),-2,IF(Y394=regle!$B$11,0,IF(AS$1=$AK$1,IF($O394,-1,regle!$B$2-$M394),IF(AR394=-1,-1,AR394+1))))</f>
        <v>35</v>
      </c>
      <c r="AT394" s="16">
        <f>IF(OR(Z394=regle!$J$11,Z394=regle!$K$11),-2,IF(Z394=regle!$B$11,0,IF(AT$1=$AK$1,IF($O394,-1,regle!$B$2-$M394),IF(AS394=-1,-1,AS394+1))))</f>
        <v>36</v>
      </c>
    </row>
    <row r="395" spans="1:46" x14ac:dyDescent="0.25">
      <c r="A395" t="b">
        <f>modif1!A395</f>
        <v>0</v>
      </c>
      <c r="B395">
        <f>ROW(modif1!B395)</f>
        <v>395</v>
      </c>
      <c r="C395" t="str">
        <f>modif1!C398</f>
        <v>200</v>
      </c>
      <c r="D395" t="str">
        <f>modif1!D395</f>
        <v>MANO</v>
      </c>
      <c r="E395">
        <f>modif1!E395</f>
        <v>17</v>
      </c>
      <c r="F395" t="str">
        <f>modif1!F395</f>
        <v>LANDE DE TABARTON</v>
      </c>
      <c r="G395" t="str">
        <f>modif1!G395</f>
        <v>0B</v>
      </c>
      <c r="H395">
        <f>modif1!H395</f>
        <v>305</v>
      </c>
      <c r="I395" t="str">
        <f>modif1!I395</f>
        <v/>
      </c>
      <c r="J395" s="11">
        <f>modif1!J395</f>
        <v>0.24279999999999999</v>
      </c>
      <c r="K395" t="str">
        <f>modif1!K395</f>
        <v>TAIL</v>
      </c>
      <c r="L395" t="str">
        <f>modif1!L395</f>
        <v>FEUIL</v>
      </c>
      <c r="M395">
        <f>modif1!M395</f>
        <v>1997</v>
      </c>
      <c r="N395" t="str">
        <f>modif1!N395</f>
        <v>TAIL-FEUIL_1997</v>
      </c>
      <c r="O395" t="b">
        <f>modif1!O395</f>
        <v>0</v>
      </c>
      <c r="Z395"/>
      <c r="AA395" s="17" t="b">
        <f>IF($A395,$J395*(IF(Q395=regle!$B$11,regle!$B$23*IF(AJ395=-2,1+regle!$B$35,1),
IF(Q395=regle!$C$11,regle!$C$23,
IF(Q395=regle!$D$11,regle!$D$23,
IF(Q395=regle!$E$11,regle!$E$23,
IF(Q395=regle!$F$11,regle!$F$23,
IF(Q395=regle!$G$11,regle!$G$23,
IF(Q395=regle!$H$11,regle!$H$23,
IF(Q395=regle!$I$11,regle!$I$23,
IF(Q395=regle!$J$11,regle!$J$23,
IF(Q395=regle!$K$11,regle!$K$23,0))))))))))))</f>
        <v>0</v>
      </c>
      <c r="AB395" s="17" t="b">
        <f>IF($A395,$J395*(IF(R395=regle!$B$11,regle!$B$23*IF(AK395=-2,1+regle!$B$35,1),
IF(R395=regle!$C$11,regle!$C$23,
IF(R395=regle!$D$11,regle!$D$23,
IF(R395=regle!$E$11,regle!$E$23,
IF(R395=regle!$F$11,regle!$F$23,
IF(R395=regle!$G$11,regle!$G$23,
IF(R395=regle!$H$11,regle!$H$23,
IF(R395=regle!$I$11,regle!$I$23,
IF(R395=regle!$J$11,regle!$J$23,
IF(R395=regle!$K$11,regle!$K$23,0))))))))))))</f>
        <v>0</v>
      </c>
      <c r="AC395" s="17" t="b">
        <f>IF($A395,$J395*(IF(S395=regle!$B$11,regle!$B$23*IF(AL395=-2,1+regle!$B$35,1),
IF(S395=regle!$C$11,regle!$C$23,
IF(S395=regle!$D$11,regle!$D$23,
IF(S395=regle!$E$11,regle!$E$23,
IF(S395=regle!$F$11,regle!$F$23,
IF(S395=regle!$G$11,regle!$G$23,
IF(S395=regle!$H$11,regle!$H$23,
IF(S395=regle!$I$11,regle!$I$23,
IF(S395=regle!$J$11,regle!$J$23,
IF(S395=regle!$K$11,regle!$K$23,0))))))))))))</f>
        <v>0</v>
      </c>
      <c r="AD395" s="17" t="b">
        <f>IF($A395,$J395*(IF(T395=regle!$B$11,regle!$B$23*IF(AM395=-2,1+regle!$B$35,1),
IF(T395=regle!$C$11,regle!$C$23,
IF(T395=regle!$D$11,regle!$D$23,
IF(T395=regle!$E$11,regle!$E$23,
IF(T395=regle!$F$11,regle!$F$23,
IF(T395=regle!$G$11,regle!$G$23,
IF(T395=regle!$H$11,regle!$H$23,
IF(T395=regle!$I$11,regle!$I$23,
IF(T395=regle!$J$11,regle!$J$23,
IF(T395=regle!$K$11,regle!$K$23,0))))))))))))</f>
        <v>0</v>
      </c>
      <c r="AE395" s="17" t="b">
        <f>IF($A395,$J395*(IF(U395=regle!$B$11,regle!$B$23*IF(AN395=-2,1+regle!$B$35,1),
IF(U395=regle!$C$11,regle!$C$23,
IF(U395=regle!$D$11,regle!$D$23,
IF(U395=regle!$E$11,regle!$E$23,
IF(U395=regle!$F$11,regle!$F$23,
IF(U395=regle!$G$11,regle!$G$23,
IF(U395=regle!$H$11,regle!$H$23,
IF(U395=regle!$I$11,regle!$I$23,
IF(U395=regle!$J$11,regle!$J$23,
IF(U395=regle!$K$11,regle!$K$23,0))))))))))))</f>
        <v>0</v>
      </c>
      <c r="AF395" s="17" t="b">
        <f>IF($A395,$J395*(IF(V395=regle!$B$11,regle!$B$23*IF(AO395=-2,1+regle!$B$35,1),
IF(V395=regle!$C$11,regle!$C$23,
IF(V395=regle!$D$11,regle!$D$23,
IF(V395=regle!$E$11,regle!$E$23,
IF(V395=regle!$F$11,regle!$F$23,
IF(V395=regle!$G$11,regle!$G$23,
IF(V395=regle!$H$11,regle!$H$23,
IF(V395=regle!$I$11,regle!$I$23,
IF(V395=regle!$J$11,regle!$J$23,
IF(V395=regle!$K$11,regle!$K$23,0))))))))))))</f>
        <v>0</v>
      </c>
      <c r="AG395" s="17" t="b">
        <f>IF($A395,$J395*(IF(W395=regle!$B$11,regle!$B$23*IF(AP395=-2,1+regle!$B$35,1),
IF(W395=regle!$C$11,regle!$C$23,
IF(W395=regle!$D$11,regle!$D$23,
IF(W395=regle!$E$11,regle!$E$23,
IF(W395=regle!$F$11,regle!$F$23,
IF(W395=regle!$G$11,regle!$G$23,
IF(W395=regle!$H$11,regle!$H$23,
IF(W395=regle!$I$11,regle!$I$23,
IF(W395=regle!$J$11,regle!$J$23,
IF(W395=regle!$K$11,regle!$K$23,0))))))))))))</f>
        <v>0</v>
      </c>
      <c r="AH395" s="17" t="b">
        <f>IF($A395,$J395*(IF(X395=regle!$B$11,regle!$B$23*IF(AQ395=-2,1+regle!$B$35,1),
IF(X395=regle!$C$11,regle!$C$23,
IF(X395=regle!$D$11,regle!$D$23,
IF(X395=regle!$E$11,regle!$E$23,
IF(X395=regle!$F$11,regle!$F$23,
IF(X395=regle!$G$11,regle!$G$23,
IF(X395=regle!$H$11,regle!$H$23,
IF(X395=regle!$I$11,regle!$I$23,
IF(X395=regle!$J$11,regle!$J$23,
IF(X395=regle!$K$11,regle!$K$23,0))))))))))))</f>
        <v>0</v>
      </c>
      <c r="AI395" s="17" t="b">
        <f>IF($A395,$J395*(IF(Y395=regle!$B$11,regle!$B$23*IF(AR395=-2,1+regle!$B$35,1),
IF(Y395=regle!$C$11,regle!$C$23,
IF(Y395=regle!$D$11,regle!$D$23,
IF(Y395=regle!$E$11,regle!$E$23,
IF(Y395=regle!$F$11,regle!$F$23,
IF(Y395=regle!$G$11,regle!$G$23,
IF(Y395=regle!$H$11,regle!$H$23,
IF(Y395=regle!$I$11,regle!$I$23,
IF(Y395=regle!$J$11,regle!$J$23,
IF(Y395=regle!$K$11,regle!$K$23,0))))))))))))</f>
        <v>0</v>
      </c>
      <c r="AJ395" s="17" t="b">
        <f>IF($A395,$J395*(IF(Z395=regle!$B$11,regle!$B$23*IF(AS395=-2,1+regle!$B$35,1),
IF(Z395=regle!$C$11,regle!$C$23,
IF(Z395=regle!$D$11,regle!$D$23,
IF(Z395=regle!$E$11,regle!$E$23,
IF(Z395=regle!$F$11,regle!$F$23,
IF(Z395=regle!$G$11,regle!$G$23,
IF(Z395=regle!$H$11,regle!$H$23,
IF(Z395=regle!$I$11,regle!$I$23,
IF(Z395=regle!$J$11,regle!$J$23,
IF(Z395=regle!$K$11,regle!$K$23,0))))))))))))</f>
        <v>0</v>
      </c>
      <c r="AK395" s="16">
        <f>IF(OR(Q395=regle!$J$11,Q395=regle!$K$11),-2,IF(Q395=regle!$B$11,0,IF(AK$1=$AK$1,IF($O395,-1,regle!$B$2-$M395),IF(AJ395=-1,-1,AJ395+1))))</f>
        <v>27</v>
      </c>
      <c r="AL395" s="16">
        <f>IF(OR(R395=regle!$J$11,R395=regle!$K$11),-2,IF(R395=regle!$B$11,0,IF(AL$1=$AK$1,IF($O395,-1,regle!$B$2-$M395),IF(AK395=-1,-1,AK395+1))))</f>
        <v>28</v>
      </c>
      <c r="AM395" s="16">
        <f>IF(OR(S395=regle!$J$11,S395=regle!$K$11),-2,IF(S395=regle!$B$11,0,IF(AM$1=$AK$1,IF($O395,-1,regle!$B$2-$M395),IF(AL395=-1,-1,AL395+1))))</f>
        <v>29</v>
      </c>
      <c r="AN395" s="16">
        <f>IF(OR(T395=regle!$J$11,T395=regle!$K$11),-2,IF(T395=regle!$B$11,0,IF(AN$1=$AK$1,IF($O395,-1,regle!$B$2-$M395),IF(AM395=-1,-1,AM395+1))))</f>
        <v>30</v>
      </c>
      <c r="AO395" s="16">
        <f>IF(OR(U395=regle!$J$11,U395=regle!$K$11),-2,IF(U395=regle!$B$11,0,IF(AO$1=$AK$1,IF($O395,-1,regle!$B$2-$M395),IF(AN395=-1,-1,AN395+1))))</f>
        <v>31</v>
      </c>
      <c r="AP395" s="16">
        <f>IF(OR(V395=regle!$J$11,V395=regle!$K$11),-2,IF(V395=regle!$B$11,0,IF(AP$1=$AK$1,IF($O395,-1,regle!$B$2-$M395),IF(AO395=-1,-1,AO395+1))))</f>
        <v>32</v>
      </c>
      <c r="AQ395" s="16">
        <f>IF(OR(W395=regle!$J$11,W395=regle!$K$11),-2,IF(W395=regle!$B$11,0,IF(AQ$1=$AK$1,IF($O395,-1,regle!$B$2-$M395),IF(AP395=-1,-1,AP395+1))))</f>
        <v>33</v>
      </c>
      <c r="AR395" s="16">
        <f>IF(OR(X395=regle!$J$11,X395=regle!$K$11),-2,IF(X395=regle!$B$11,0,IF(AR$1=$AK$1,IF($O395,-1,regle!$B$2-$M395),IF(AQ395=-1,-1,AQ395+1))))</f>
        <v>34</v>
      </c>
      <c r="AS395" s="16">
        <f>IF(OR(Y395=regle!$J$11,Y395=regle!$K$11),-2,IF(Y395=regle!$B$11,0,IF(AS$1=$AK$1,IF($O395,-1,regle!$B$2-$M395),IF(AR395=-1,-1,AR395+1))))</f>
        <v>35</v>
      </c>
      <c r="AT395" s="16">
        <f>IF(OR(Z395=regle!$J$11,Z395=regle!$K$11),-2,IF(Z395=regle!$B$11,0,IF(AT$1=$AK$1,IF($O395,-1,regle!$B$2-$M395),IF(AS395=-1,-1,AS395+1))))</f>
        <v>36</v>
      </c>
    </row>
    <row r="396" spans="1:46" x14ac:dyDescent="0.25">
      <c r="A396" t="b">
        <f>modif1!A396</f>
        <v>0</v>
      </c>
      <c r="B396">
        <f>ROW(modif1!B396)</f>
        <v>396</v>
      </c>
      <c r="C396" t="str">
        <f>modif1!C399</f>
        <v>200</v>
      </c>
      <c r="D396" t="str">
        <f>modif1!D396</f>
        <v>MANO</v>
      </c>
      <c r="E396">
        <f>modif1!E396</f>
        <v>17</v>
      </c>
      <c r="F396" t="str">
        <f>modif1!F396</f>
        <v>LANDE DE TABARTON</v>
      </c>
      <c r="G396" t="str">
        <f>modif1!G396</f>
        <v>0B</v>
      </c>
      <c r="H396">
        <f>modif1!H396</f>
        <v>301</v>
      </c>
      <c r="I396" t="str">
        <f>modif1!I396</f>
        <v/>
      </c>
      <c r="J396" s="11">
        <f>modif1!J396</f>
        <v>2.1000000000000001E-2</v>
      </c>
      <c r="K396" t="str">
        <f>modif1!K396</f>
        <v>TAIL</v>
      </c>
      <c r="L396" t="str">
        <f>modif1!L396</f>
        <v>FEUIL</v>
      </c>
      <c r="M396">
        <f>modif1!M396</f>
        <v>1997</v>
      </c>
      <c r="N396" t="str">
        <f>modif1!N396</f>
        <v>TAIL-FEUIL_1997</v>
      </c>
      <c r="O396" t="b">
        <f>modif1!O396</f>
        <v>0</v>
      </c>
      <c r="Z396"/>
      <c r="AA396" s="17" t="b">
        <f>IF($A396,$J396*(IF(Q396=regle!$B$11,regle!$B$23*IF(AJ396=-2,1+regle!$B$35,1),
IF(Q396=regle!$C$11,regle!$C$23,
IF(Q396=regle!$D$11,regle!$D$23,
IF(Q396=regle!$E$11,regle!$E$23,
IF(Q396=regle!$F$11,regle!$F$23,
IF(Q396=regle!$G$11,regle!$G$23,
IF(Q396=regle!$H$11,regle!$H$23,
IF(Q396=regle!$I$11,regle!$I$23,
IF(Q396=regle!$J$11,regle!$J$23,
IF(Q396=regle!$K$11,regle!$K$23,0))))))))))))</f>
        <v>0</v>
      </c>
      <c r="AB396" s="17" t="b">
        <f>IF($A396,$J396*(IF(R396=regle!$B$11,regle!$B$23*IF(AK396=-2,1+regle!$B$35,1),
IF(R396=regle!$C$11,regle!$C$23,
IF(R396=regle!$D$11,regle!$D$23,
IF(R396=regle!$E$11,regle!$E$23,
IF(R396=regle!$F$11,regle!$F$23,
IF(R396=regle!$G$11,regle!$G$23,
IF(R396=regle!$H$11,regle!$H$23,
IF(R396=regle!$I$11,regle!$I$23,
IF(R396=regle!$J$11,regle!$J$23,
IF(R396=regle!$K$11,regle!$K$23,0))))))))))))</f>
        <v>0</v>
      </c>
      <c r="AC396" s="17" t="b">
        <f>IF($A396,$J396*(IF(S396=regle!$B$11,regle!$B$23*IF(AL396=-2,1+regle!$B$35,1),
IF(S396=regle!$C$11,regle!$C$23,
IF(S396=regle!$D$11,regle!$D$23,
IF(S396=regle!$E$11,regle!$E$23,
IF(S396=regle!$F$11,regle!$F$23,
IF(S396=regle!$G$11,regle!$G$23,
IF(S396=regle!$H$11,regle!$H$23,
IF(S396=regle!$I$11,regle!$I$23,
IF(S396=regle!$J$11,regle!$J$23,
IF(S396=regle!$K$11,regle!$K$23,0))))))))))))</f>
        <v>0</v>
      </c>
      <c r="AD396" s="17" t="b">
        <f>IF($A396,$J396*(IF(T396=regle!$B$11,regle!$B$23*IF(AM396=-2,1+regle!$B$35,1),
IF(T396=regle!$C$11,regle!$C$23,
IF(T396=regle!$D$11,regle!$D$23,
IF(T396=regle!$E$11,regle!$E$23,
IF(T396=regle!$F$11,regle!$F$23,
IF(T396=regle!$G$11,regle!$G$23,
IF(T396=regle!$H$11,regle!$H$23,
IF(T396=regle!$I$11,regle!$I$23,
IF(T396=regle!$J$11,regle!$J$23,
IF(T396=regle!$K$11,regle!$K$23,0))))))))))))</f>
        <v>0</v>
      </c>
      <c r="AE396" s="17" t="b">
        <f>IF($A396,$J396*(IF(U396=regle!$B$11,regle!$B$23*IF(AN396=-2,1+regle!$B$35,1),
IF(U396=regle!$C$11,regle!$C$23,
IF(U396=regle!$D$11,regle!$D$23,
IF(U396=regle!$E$11,regle!$E$23,
IF(U396=regle!$F$11,regle!$F$23,
IF(U396=regle!$G$11,regle!$G$23,
IF(U396=regle!$H$11,regle!$H$23,
IF(U396=regle!$I$11,regle!$I$23,
IF(U396=regle!$J$11,regle!$J$23,
IF(U396=regle!$K$11,regle!$K$23,0))))))))))))</f>
        <v>0</v>
      </c>
      <c r="AF396" s="17" t="b">
        <f>IF($A396,$J396*(IF(V396=regle!$B$11,regle!$B$23*IF(AO396=-2,1+regle!$B$35,1),
IF(V396=regle!$C$11,regle!$C$23,
IF(V396=regle!$D$11,regle!$D$23,
IF(V396=regle!$E$11,regle!$E$23,
IF(V396=regle!$F$11,regle!$F$23,
IF(V396=regle!$G$11,regle!$G$23,
IF(V396=regle!$H$11,regle!$H$23,
IF(V396=regle!$I$11,regle!$I$23,
IF(V396=regle!$J$11,regle!$J$23,
IF(V396=regle!$K$11,regle!$K$23,0))))))))))))</f>
        <v>0</v>
      </c>
      <c r="AG396" s="17" t="b">
        <f>IF($A396,$J396*(IF(W396=regle!$B$11,regle!$B$23*IF(AP396=-2,1+regle!$B$35,1),
IF(W396=regle!$C$11,regle!$C$23,
IF(W396=regle!$D$11,regle!$D$23,
IF(W396=regle!$E$11,regle!$E$23,
IF(W396=regle!$F$11,regle!$F$23,
IF(W396=regle!$G$11,regle!$G$23,
IF(W396=regle!$H$11,regle!$H$23,
IF(W396=regle!$I$11,regle!$I$23,
IF(W396=regle!$J$11,regle!$J$23,
IF(W396=regle!$K$11,regle!$K$23,0))))))))))))</f>
        <v>0</v>
      </c>
      <c r="AH396" s="17" t="b">
        <f>IF($A396,$J396*(IF(X396=regle!$B$11,regle!$B$23*IF(AQ396=-2,1+regle!$B$35,1),
IF(X396=regle!$C$11,regle!$C$23,
IF(X396=regle!$D$11,regle!$D$23,
IF(X396=regle!$E$11,regle!$E$23,
IF(X396=regle!$F$11,regle!$F$23,
IF(X396=regle!$G$11,regle!$G$23,
IF(X396=regle!$H$11,regle!$H$23,
IF(X396=regle!$I$11,regle!$I$23,
IF(X396=regle!$J$11,regle!$J$23,
IF(X396=regle!$K$11,regle!$K$23,0))))))))))))</f>
        <v>0</v>
      </c>
      <c r="AI396" s="17" t="b">
        <f>IF($A396,$J396*(IF(Y396=regle!$B$11,regle!$B$23*IF(AR396=-2,1+regle!$B$35,1),
IF(Y396=regle!$C$11,regle!$C$23,
IF(Y396=regle!$D$11,regle!$D$23,
IF(Y396=regle!$E$11,regle!$E$23,
IF(Y396=regle!$F$11,regle!$F$23,
IF(Y396=regle!$G$11,regle!$G$23,
IF(Y396=regle!$H$11,regle!$H$23,
IF(Y396=regle!$I$11,regle!$I$23,
IF(Y396=regle!$J$11,regle!$J$23,
IF(Y396=regle!$K$11,regle!$K$23,0))))))))))))</f>
        <v>0</v>
      </c>
      <c r="AJ396" s="17" t="b">
        <f>IF($A396,$J396*(IF(Z396=regle!$B$11,regle!$B$23*IF(AS396=-2,1+regle!$B$35,1),
IF(Z396=regle!$C$11,regle!$C$23,
IF(Z396=regle!$D$11,regle!$D$23,
IF(Z396=regle!$E$11,regle!$E$23,
IF(Z396=regle!$F$11,regle!$F$23,
IF(Z396=regle!$G$11,regle!$G$23,
IF(Z396=regle!$H$11,regle!$H$23,
IF(Z396=regle!$I$11,regle!$I$23,
IF(Z396=regle!$J$11,regle!$J$23,
IF(Z396=regle!$K$11,regle!$K$23,0))))))))))))</f>
        <v>0</v>
      </c>
      <c r="AK396" s="16">
        <f>IF(OR(Q396=regle!$J$11,Q396=regle!$K$11),-2,IF(Q396=regle!$B$11,0,IF(AK$1=$AK$1,IF($O396,-1,regle!$B$2-$M396),IF(AJ396=-1,-1,AJ396+1))))</f>
        <v>27</v>
      </c>
      <c r="AL396" s="16">
        <f>IF(OR(R396=regle!$J$11,R396=regle!$K$11),-2,IF(R396=regle!$B$11,0,IF(AL$1=$AK$1,IF($O396,-1,regle!$B$2-$M396),IF(AK396=-1,-1,AK396+1))))</f>
        <v>28</v>
      </c>
      <c r="AM396" s="16">
        <f>IF(OR(S396=regle!$J$11,S396=regle!$K$11),-2,IF(S396=regle!$B$11,0,IF(AM$1=$AK$1,IF($O396,-1,regle!$B$2-$M396),IF(AL396=-1,-1,AL396+1))))</f>
        <v>29</v>
      </c>
      <c r="AN396" s="16">
        <f>IF(OR(T396=regle!$J$11,T396=regle!$K$11),-2,IF(T396=regle!$B$11,0,IF(AN$1=$AK$1,IF($O396,-1,regle!$B$2-$M396),IF(AM396=-1,-1,AM396+1))))</f>
        <v>30</v>
      </c>
      <c r="AO396" s="16">
        <f>IF(OR(U396=regle!$J$11,U396=regle!$K$11),-2,IF(U396=regle!$B$11,0,IF(AO$1=$AK$1,IF($O396,-1,regle!$B$2-$M396),IF(AN396=-1,-1,AN396+1))))</f>
        <v>31</v>
      </c>
      <c r="AP396" s="16">
        <f>IF(OR(V396=regle!$J$11,V396=regle!$K$11),-2,IF(V396=regle!$B$11,0,IF(AP$1=$AK$1,IF($O396,-1,regle!$B$2-$M396),IF(AO396=-1,-1,AO396+1))))</f>
        <v>32</v>
      </c>
      <c r="AQ396" s="16">
        <f>IF(OR(W396=regle!$J$11,W396=regle!$K$11),-2,IF(W396=regle!$B$11,0,IF(AQ$1=$AK$1,IF($O396,-1,regle!$B$2-$M396),IF(AP396=-1,-1,AP396+1))))</f>
        <v>33</v>
      </c>
      <c r="AR396" s="16">
        <f>IF(OR(X396=regle!$J$11,X396=regle!$K$11),-2,IF(X396=regle!$B$11,0,IF(AR$1=$AK$1,IF($O396,-1,regle!$B$2-$M396),IF(AQ396=-1,-1,AQ396+1))))</f>
        <v>34</v>
      </c>
      <c r="AS396" s="16">
        <f>IF(OR(Y396=regle!$J$11,Y396=regle!$K$11),-2,IF(Y396=regle!$B$11,0,IF(AS$1=$AK$1,IF($O396,-1,regle!$B$2-$M396),IF(AR396=-1,-1,AR396+1))))</f>
        <v>35</v>
      </c>
      <c r="AT396" s="16">
        <f>IF(OR(Z396=regle!$J$11,Z396=regle!$K$11),-2,IF(Z396=regle!$B$11,0,IF(AT$1=$AK$1,IF($O396,-1,regle!$B$2-$M396),IF(AS396=-1,-1,AS396+1))))</f>
        <v>36</v>
      </c>
    </row>
    <row r="397" spans="1:46" x14ac:dyDescent="0.25">
      <c r="A397" t="b">
        <f>modif1!A397</f>
        <v>0</v>
      </c>
      <c r="B397">
        <f>ROW(modif1!B397)</f>
        <v>397</v>
      </c>
      <c r="C397" t="str">
        <f>modif1!C400</f>
        <v>202</v>
      </c>
      <c r="D397" t="str">
        <f>modif1!D397</f>
        <v>MOUSTEY</v>
      </c>
      <c r="E397">
        <f>modif1!E397</f>
        <v>18</v>
      </c>
      <c r="F397" t="str">
        <f>modif1!F397</f>
        <v>Quartier de Capsus</v>
      </c>
      <c r="G397" t="str">
        <f>modif1!G397</f>
        <v>0N</v>
      </c>
      <c r="H397">
        <f>modif1!H397</f>
        <v>715</v>
      </c>
      <c r="I397" t="str">
        <f>modif1!I397</f>
        <v/>
      </c>
      <c r="J397" s="11">
        <f>modif1!J397</f>
        <v>0.23100000000000001</v>
      </c>
      <c r="K397" t="str">
        <f>modif1!K397</f>
        <v>TAIL</v>
      </c>
      <c r="L397" t="str">
        <f>modif1!L397</f>
        <v>FEUIL</v>
      </c>
      <c r="M397">
        <f>modif1!M397</f>
        <v>1996</v>
      </c>
      <c r="N397" t="str">
        <f>modif1!N397</f>
        <v>TAIL-FEUIL_1996</v>
      </c>
      <c r="O397" t="b">
        <f>modif1!O397</f>
        <v>0</v>
      </c>
      <c r="Z397"/>
      <c r="AA397" s="17" t="b">
        <f>IF($A397,$J397*(IF(Q397=regle!$B$11,regle!$B$23*IF(AJ397=-2,1+regle!$B$35,1),
IF(Q397=regle!$C$11,regle!$C$23,
IF(Q397=regle!$D$11,regle!$D$23,
IF(Q397=regle!$E$11,regle!$E$23,
IF(Q397=regle!$F$11,regle!$F$23,
IF(Q397=regle!$G$11,regle!$G$23,
IF(Q397=regle!$H$11,regle!$H$23,
IF(Q397=regle!$I$11,regle!$I$23,
IF(Q397=regle!$J$11,regle!$J$23,
IF(Q397=regle!$K$11,regle!$K$23,0))))))))))))</f>
        <v>0</v>
      </c>
      <c r="AB397" s="17" t="b">
        <f>IF($A397,$J397*(IF(R397=regle!$B$11,regle!$B$23*IF(AK397=-2,1+regle!$B$35,1),
IF(R397=regle!$C$11,regle!$C$23,
IF(R397=regle!$D$11,regle!$D$23,
IF(R397=regle!$E$11,regle!$E$23,
IF(R397=regle!$F$11,regle!$F$23,
IF(R397=regle!$G$11,regle!$G$23,
IF(R397=regle!$H$11,regle!$H$23,
IF(R397=regle!$I$11,regle!$I$23,
IF(R397=regle!$J$11,regle!$J$23,
IF(R397=regle!$K$11,regle!$K$23,0))))))))))))</f>
        <v>0</v>
      </c>
      <c r="AC397" s="17" t="b">
        <f>IF($A397,$J397*(IF(S397=regle!$B$11,regle!$B$23*IF(AL397=-2,1+regle!$B$35,1),
IF(S397=regle!$C$11,regle!$C$23,
IF(S397=regle!$D$11,regle!$D$23,
IF(S397=regle!$E$11,regle!$E$23,
IF(S397=regle!$F$11,regle!$F$23,
IF(S397=regle!$G$11,regle!$G$23,
IF(S397=regle!$H$11,regle!$H$23,
IF(S397=regle!$I$11,regle!$I$23,
IF(S397=regle!$J$11,regle!$J$23,
IF(S397=regle!$K$11,regle!$K$23,0))))))))))))</f>
        <v>0</v>
      </c>
      <c r="AD397" s="17" t="b">
        <f>IF($A397,$J397*(IF(T397=regle!$B$11,regle!$B$23*IF(AM397=-2,1+regle!$B$35,1),
IF(T397=regle!$C$11,regle!$C$23,
IF(T397=regle!$D$11,regle!$D$23,
IF(T397=regle!$E$11,regle!$E$23,
IF(T397=regle!$F$11,regle!$F$23,
IF(T397=regle!$G$11,regle!$G$23,
IF(T397=regle!$H$11,regle!$H$23,
IF(T397=regle!$I$11,regle!$I$23,
IF(T397=regle!$J$11,regle!$J$23,
IF(T397=regle!$K$11,regle!$K$23,0))))))))))))</f>
        <v>0</v>
      </c>
      <c r="AE397" s="17" t="b">
        <f>IF($A397,$J397*(IF(U397=regle!$B$11,regle!$B$23*IF(AN397=-2,1+regle!$B$35,1),
IF(U397=regle!$C$11,regle!$C$23,
IF(U397=regle!$D$11,regle!$D$23,
IF(U397=regle!$E$11,regle!$E$23,
IF(U397=regle!$F$11,regle!$F$23,
IF(U397=regle!$G$11,regle!$G$23,
IF(U397=regle!$H$11,regle!$H$23,
IF(U397=regle!$I$11,regle!$I$23,
IF(U397=regle!$J$11,regle!$J$23,
IF(U397=regle!$K$11,regle!$K$23,0))))))))))))</f>
        <v>0</v>
      </c>
      <c r="AF397" s="17" t="b">
        <f>IF($A397,$J397*(IF(V397=regle!$B$11,regle!$B$23*IF(AO397=-2,1+regle!$B$35,1),
IF(V397=regle!$C$11,regle!$C$23,
IF(V397=regle!$D$11,regle!$D$23,
IF(V397=regle!$E$11,regle!$E$23,
IF(V397=regle!$F$11,regle!$F$23,
IF(V397=regle!$G$11,regle!$G$23,
IF(V397=regle!$H$11,regle!$H$23,
IF(V397=regle!$I$11,regle!$I$23,
IF(V397=regle!$J$11,regle!$J$23,
IF(V397=regle!$K$11,regle!$K$23,0))))))))))))</f>
        <v>0</v>
      </c>
      <c r="AG397" s="17" t="b">
        <f>IF($A397,$J397*(IF(W397=regle!$B$11,regle!$B$23*IF(AP397=-2,1+regle!$B$35,1),
IF(W397=regle!$C$11,regle!$C$23,
IF(W397=regle!$D$11,regle!$D$23,
IF(W397=regle!$E$11,regle!$E$23,
IF(W397=regle!$F$11,regle!$F$23,
IF(W397=regle!$G$11,regle!$G$23,
IF(W397=regle!$H$11,regle!$H$23,
IF(W397=regle!$I$11,regle!$I$23,
IF(W397=regle!$J$11,regle!$J$23,
IF(W397=regle!$K$11,regle!$K$23,0))))))))))))</f>
        <v>0</v>
      </c>
      <c r="AH397" s="17" t="b">
        <f>IF($A397,$J397*(IF(X397=regle!$B$11,regle!$B$23*IF(AQ397=-2,1+regle!$B$35,1),
IF(X397=regle!$C$11,regle!$C$23,
IF(X397=regle!$D$11,regle!$D$23,
IF(X397=regle!$E$11,regle!$E$23,
IF(X397=regle!$F$11,regle!$F$23,
IF(X397=regle!$G$11,regle!$G$23,
IF(X397=regle!$H$11,regle!$H$23,
IF(X397=regle!$I$11,regle!$I$23,
IF(X397=regle!$J$11,regle!$J$23,
IF(X397=regle!$K$11,regle!$K$23,0))))))))))))</f>
        <v>0</v>
      </c>
      <c r="AI397" s="17" t="b">
        <f>IF($A397,$J397*(IF(Y397=regle!$B$11,regle!$B$23*IF(AR397=-2,1+regle!$B$35,1),
IF(Y397=regle!$C$11,regle!$C$23,
IF(Y397=regle!$D$11,regle!$D$23,
IF(Y397=regle!$E$11,regle!$E$23,
IF(Y397=regle!$F$11,regle!$F$23,
IF(Y397=regle!$G$11,regle!$G$23,
IF(Y397=regle!$H$11,regle!$H$23,
IF(Y397=regle!$I$11,regle!$I$23,
IF(Y397=regle!$J$11,regle!$J$23,
IF(Y397=regle!$K$11,regle!$K$23,0))))))))))))</f>
        <v>0</v>
      </c>
      <c r="AJ397" s="17" t="b">
        <f>IF($A397,$J397*(IF(Z397=regle!$B$11,regle!$B$23*IF(AS397=-2,1+regle!$B$35,1),
IF(Z397=regle!$C$11,regle!$C$23,
IF(Z397=regle!$D$11,regle!$D$23,
IF(Z397=regle!$E$11,regle!$E$23,
IF(Z397=regle!$F$11,regle!$F$23,
IF(Z397=regle!$G$11,regle!$G$23,
IF(Z397=regle!$H$11,regle!$H$23,
IF(Z397=regle!$I$11,regle!$I$23,
IF(Z397=regle!$J$11,regle!$J$23,
IF(Z397=regle!$K$11,regle!$K$23,0))))))))))))</f>
        <v>0</v>
      </c>
      <c r="AK397" s="16">
        <f>IF(OR(Q397=regle!$J$11,Q397=regle!$K$11),-2,IF(Q397=regle!$B$11,0,IF(AK$1=$AK$1,IF($O397,-1,regle!$B$2-$M397),IF(AJ397=-1,-1,AJ397+1))))</f>
        <v>28</v>
      </c>
      <c r="AL397" s="16">
        <f>IF(OR(R397=regle!$J$11,R397=regle!$K$11),-2,IF(R397=regle!$B$11,0,IF(AL$1=$AK$1,IF($O397,-1,regle!$B$2-$M397),IF(AK397=-1,-1,AK397+1))))</f>
        <v>29</v>
      </c>
      <c r="AM397" s="16">
        <f>IF(OR(S397=regle!$J$11,S397=regle!$K$11),-2,IF(S397=regle!$B$11,0,IF(AM$1=$AK$1,IF($O397,-1,regle!$B$2-$M397),IF(AL397=-1,-1,AL397+1))))</f>
        <v>30</v>
      </c>
      <c r="AN397" s="16">
        <f>IF(OR(T397=regle!$J$11,T397=regle!$K$11),-2,IF(T397=regle!$B$11,0,IF(AN$1=$AK$1,IF($O397,-1,regle!$B$2-$M397),IF(AM397=-1,-1,AM397+1))))</f>
        <v>31</v>
      </c>
      <c r="AO397" s="16">
        <f>IF(OR(U397=regle!$J$11,U397=regle!$K$11),-2,IF(U397=regle!$B$11,0,IF(AO$1=$AK$1,IF($O397,-1,regle!$B$2-$M397),IF(AN397=-1,-1,AN397+1))))</f>
        <v>32</v>
      </c>
      <c r="AP397" s="16">
        <f>IF(OR(V397=regle!$J$11,V397=regle!$K$11),-2,IF(V397=regle!$B$11,0,IF(AP$1=$AK$1,IF($O397,-1,regle!$B$2-$M397),IF(AO397=-1,-1,AO397+1))))</f>
        <v>33</v>
      </c>
      <c r="AQ397" s="16">
        <f>IF(OR(W397=regle!$J$11,W397=regle!$K$11),-2,IF(W397=regle!$B$11,0,IF(AQ$1=$AK$1,IF($O397,-1,regle!$B$2-$M397),IF(AP397=-1,-1,AP397+1))))</f>
        <v>34</v>
      </c>
      <c r="AR397" s="16">
        <f>IF(OR(X397=regle!$J$11,X397=regle!$K$11),-2,IF(X397=regle!$B$11,0,IF(AR$1=$AK$1,IF($O397,-1,regle!$B$2-$M397),IF(AQ397=-1,-1,AQ397+1))))</f>
        <v>35</v>
      </c>
      <c r="AS397" s="16">
        <f>IF(OR(Y397=regle!$J$11,Y397=regle!$K$11),-2,IF(Y397=regle!$B$11,0,IF(AS$1=$AK$1,IF($O397,-1,regle!$B$2-$M397),IF(AR397=-1,-1,AR397+1))))</f>
        <v>36</v>
      </c>
      <c r="AT397" s="16">
        <f>IF(OR(Z397=regle!$J$11,Z397=regle!$K$11),-2,IF(Z397=regle!$B$11,0,IF(AT$1=$AK$1,IF($O397,-1,regle!$B$2-$M397),IF(AS397=-1,-1,AS397+1))))</f>
        <v>37</v>
      </c>
    </row>
    <row r="398" spans="1:46" x14ac:dyDescent="0.25">
      <c r="A398" t="b">
        <f>modif1!A398</f>
        <v>0</v>
      </c>
      <c r="B398">
        <f>ROW(modif1!B398)</f>
        <v>398</v>
      </c>
      <c r="C398" t="str">
        <f>modif1!C401</f>
        <v>536</v>
      </c>
      <c r="D398" t="str">
        <f>modif1!D398</f>
        <v>MOUSTEY</v>
      </c>
      <c r="E398">
        <f>modif1!E398</f>
        <v>9</v>
      </c>
      <c r="F398" t="str">
        <f>modif1!F398</f>
        <v>Peyroulet</v>
      </c>
      <c r="G398" t="str">
        <f>modif1!G398</f>
        <v>0N</v>
      </c>
      <c r="H398">
        <f>modif1!H398</f>
        <v>175</v>
      </c>
      <c r="I398" t="str">
        <f>modif1!I398</f>
        <v/>
      </c>
      <c r="J398" s="11">
        <f>modif1!J398</f>
        <v>9.6699999999999994E-2</v>
      </c>
      <c r="K398" t="str">
        <f>modif1!K398</f>
        <v>TAIL</v>
      </c>
      <c r="L398" t="str">
        <f>modif1!L398</f>
        <v>FEUIL</v>
      </c>
      <c r="M398">
        <f>modif1!M398</f>
        <v>1996</v>
      </c>
      <c r="N398" t="str">
        <f>modif1!N398</f>
        <v>TAIL-FEUIL_1996</v>
      </c>
      <c r="O398" t="b">
        <f>modif1!O398</f>
        <v>0</v>
      </c>
      <c r="Z398"/>
      <c r="AA398" s="17" t="b">
        <f>IF($A398,$J398*(IF(Q398=regle!$B$11,regle!$B$23*IF(AJ398=-2,1+regle!$B$35,1),
IF(Q398=regle!$C$11,regle!$C$23,
IF(Q398=regle!$D$11,regle!$D$23,
IF(Q398=regle!$E$11,regle!$E$23,
IF(Q398=regle!$F$11,regle!$F$23,
IF(Q398=regle!$G$11,regle!$G$23,
IF(Q398=regle!$H$11,regle!$H$23,
IF(Q398=regle!$I$11,regle!$I$23,
IF(Q398=regle!$J$11,regle!$J$23,
IF(Q398=regle!$K$11,regle!$K$23,0))))))))))))</f>
        <v>0</v>
      </c>
      <c r="AB398" s="17" t="b">
        <f>IF($A398,$J398*(IF(R398=regle!$B$11,regle!$B$23*IF(AK398=-2,1+regle!$B$35,1),
IF(R398=regle!$C$11,regle!$C$23,
IF(R398=regle!$D$11,regle!$D$23,
IF(R398=regle!$E$11,regle!$E$23,
IF(R398=regle!$F$11,regle!$F$23,
IF(R398=regle!$G$11,regle!$G$23,
IF(R398=regle!$H$11,regle!$H$23,
IF(R398=regle!$I$11,regle!$I$23,
IF(R398=regle!$J$11,regle!$J$23,
IF(R398=regle!$K$11,regle!$K$23,0))))))))))))</f>
        <v>0</v>
      </c>
      <c r="AC398" s="17" t="b">
        <f>IF($A398,$J398*(IF(S398=regle!$B$11,regle!$B$23*IF(AL398=-2,1+regle!$B$35,1),
IF(S398=regle!$C$11,regle!$C$23,
IF(S398=regle!$D$11,regle!$D$23,
IF(S398=regle!$E$11,regle!$E$23,
IF(S398=regle!$F$11,regle!$F$23,
IF(S398=regle!$G$11,regle!$G$23,
IF(S398=regle!$H$11,regle!$H$23,
IF(S398=regle!$I$11,regle!$I$23,
IF(S398=regle!$J$11,regle!$J$23,
IF(S398=regle!$K$11,regle!$K$23,0))))))))))))</f>
        <v>0</v>
      </c>
      <c r="AD398" s="17" t="b">
        <f>IF($A398,$J398*(IF(T398=regle!$B$11,regle!$B$23*IF(AM398=-2,1+regle!$B$35,1),
IF(T398=regle!$C$11,regle!$C$23,
IF(T398=regle!$D$11,regle!$D$23,
IF(T398=regle!$E$11,regle!$E$23,
IF(T398=regle!$F$11,regle!$F$23,
IF(T398=regle!$G$11,regle!$G$23,
IF(T398=regle!$H$11,regle!$H$23,
IF(T398=regle!$I$11,regle!$I$23,
IF(T398=regle!$J$11,regle!$J$23,
IF(T398=regle!$K$11,regle!$K$23,0))))))))))))</f>
        <v>0</v>
      </c>
      <c r="AE398" s="17" t="b">
        <f>IF($A398,$J398*(IF(U398=regle!$B$11,regle!$B$23*IF(AN398=-2,1+regle!$B$35,1),
IF(U398=regle!$C$11,regle!$C$23,
IF(U398=regle!$D$11,regle!$D$23,
IF(U398=regle!$E$11,regle!$E$23,
IF(U398=regle!$F$11,regle!$F$23,
IF(U398=regle!$G$11,regle!$G$23,
IF(U398=regle!$H$11,regle!$H$23,
IF(U398=regle!$I$11,regle!$I$23,
IF(U398=regle!$J$11,regle!$J$23,
IF(U398=regle!$K$11,regle!$K$23,0))))))))))))</f>
        <v>0</v>
      </c>
      <c r="AF398" s="17" t="b">
        <f>IF($A398,$J398*(IF(V398=regle!$B$11,regle!$B$23*IF(AO398=-2,1+regle!$B$35,1),
IF(V398=regle!$C$11,regle!$C$23,
IF(V398=regle!$D$11,regle!$D$23,
IF(V398=regle!$E$11,regle!$E$23,
IF(V398=regle!$F$11,regle!$F$23,
IF(V398=regle!$G$11,regle!$G$23,
IF(V398=regle!$H$11,regle!$H$23,
IF(V398=regle!$I$11,regle!$I$23,
IF(V398=regle!$J$11,regle!$J$23,
IF(V398=regle!$K$11,regle!$K$23,0))))))))))))</f>
        <v>0</v>
      </c>
      <c r="AG398" s="17" t="b">
        <f>IF($A398,$J398*(IF(W398=regle!$B$11,regle!$B$23*IF(AP398=-2,1+regle!$B$35,1),
IF(W398=regle!$C$11,regle!$C$23,
IF(W398=regle!$D$11,regle!$D$23,
IF(W398=regle!$E$11,regle!$E$23,
IF(W398=regle!$F$11,regle!$F$23,
IF(W398=regle!$G$11,regle!$G$23,
IF(W398=regle!$H$11,regle!$H$23,
IF(W398=regle!$I$11,regle!$I$23,
IF(W398=regle!$J$11,regle!$J$23,
IF(W398=regle!$K$11,regle!$K$23,0))))))))))))</f>
        <v>0</v>
      </c>
      <c r="AH398" s="17" t="b">
        <f>IF($A398,$J398*(IF(X398=regle!$B$11,regle!$B$23*IF(AQ398=-2,1+regle!$B$35,1),
IF(X398=regle!$C$11,regle!$C$23,
IF(X398=regle!$D$11,regle!$D$23,
IF(X398=regle!$E$11,regle!$E$23,
IF(X398=regle!$F$11,regle!$F$23,
IF(X398=regle!$G$11,regle!$G$23,
IF(X398=regle!$H$11,regle!$H$23,
IF(X398=regle!$I$11,regle!$I$23,
IF(X398=regle!$J$11,regle!$J$23,
IF(X398=regle!$K$11,regle!$K$23,0))))))))))))</f>
        <v>0</v>
      </c>
      <c r="AI398" s="17" t="b">
        <f>IF($A398,$J398*(IF(Y398=regle!$B$11,regle!$B$23*IF(AR398=-2,1+regle!$B$35,1),
IF(Y398=regle!$C$11,regle!$C$23,
IF(Y398=regle!$D$11,regle!$D$23,
IF(Y398=regle!$E$11,regle!$E$23,
IF(Y398=regle!$F$11,regle!$F$23,
IF(Y398=regle!$G$11,regle!$G$23,
IF(Y398=regle!$H$11,regle!$H$23,
IF(Y398=regle!$I$11,regle!$I$23,
IF(Y398=regle!$J$11,regle!$J$23,
IF(Y398=regle!$K$11,regle!$K$23,0))))))))))))</f>
        <v>0</v>
      </c>
      <c r="AJ398" s="17" t="b">
        <f>IF($A398,$J398*(IF(Z398=regle!$B$11,regle!$B$23*IF(AS398=-2,1+regle!$B$35,1),
IF(Z398=regle!$C$11,regle!$C$23,
IF(Z398=regle!$D$11,regle!$D$23,
IF(Z398=regle!$E$11,regle!$E$23,
IF(Z398=regle!$F$11,regle!$F$23,
IF(Z398=regle!$G$11,regle!$G$23,
IF(Z398=regle!$H$11,regle!$H$23,
IF(Z398=regle!$I$11,regle!$I$23,
IF(Z398=regle!$J$11,regle!$J$23,
IF(Z398=regle!$K$11,regle!$K$23,0))))))))))))</f>
        <v>0</v>
      </c>
      <c r="AK398" s="16">
        <f>IF(OR(Q398=regle!$J$11,Q398=regle!$K$11),-2,IF(Q398=regle!$B$11,0,IF(AK$1=$AK$1,IF($O398,-1,regle!$B$2-$M398),IF(AJ398=-1,-1,AJ398+1))))</f>
        <v>28</v>
      </c>
      <c r="AL398" s="16">
        <f>IF(OR(R398=regle!$J$11,R398=regle!$K$11),-2,IF(R398=regle!$B$11,0,IF(AL$1=$AK$1,IF($O398,-1,regle!$B$2-$M398),IF(AK398=-1,-1,AK398+1))))</f>
        <v>29</v>
      </c>
      <c r="AM398" s="16">
        <f>IF(OR(S398=regle!$J$11,S398=regle!$K$11),-2,IF(S398=regle!$B$11,0,IF(AM$1=$AK$1,IF($O398,-1,regle!$B$2-$M398),IF(AL398=-1,-1,AL398+1))))</f>
        <v>30</v>
      </c>
      <c r="AN398" s="16">
        <f>IF(OR(T398=regle!$J$11,T398=regle!$K$11),-2,IF(T398=regle!$B$11,0,IF(AN$1=$AK$1,IF($O398,-1,regle!$B$2-$M398),IF(AM398=-1,-1,AM398+1))))</f>
        <v>31</v>
      </c>
      <c r="AO398" s="16">
        <f>IF(OR(U398=regle!$J$11,U398=regle!$K$11),-2,IF(U398=regle!$B$11,0,IF(AO$1=$AK$1,IF($O398,-1,regle!$B$2-$M398),IF(AN398=-1,-1,AN398+1))))</f>
        <v>32</v>
      </c>
      <c r="AP398" s="16">
        <f>IF(OR(V398=regle!$J$11,V398=regle!$K$11),-2,IF(V398=regle!$B$11,0,IF(AP$1=$AK$1,IF($O398,-1,regle!$B$2-$M398),IF(AO398=-1,-1,AO398+1))))</f>
        <v>33</v>
      </c>
      <c r="AQ398" s="16">
        <f>IF(OR(W398=regle!$J$11,W398=regle!$K$11),-2,IF(W398=regle!$B$11,0,IF(AQ$1=$AK$1,IF($O398,-1,regle!$B$2-$M398),IF(AP398=-1,-1,AP398+1))))</f>
        <v>34</v>
      </c>
      <c r="AR398" s="16">
        <f>IF(OR(X398=regle!$J$11,X398=regle!$K$11),-2,IF(X398=regle!$B$11,0,IF(AR$1=$AK$1,IF($O398,-1,regle!$B$2-$M398),IF(AQ398=-1,-1,AQ398+1))))</f>
        <v>35</v>
      </c>
      <c r="AS398" s="16">
        <f>IF(OR(Y398=regle!$J$11,Y398=regle!$K$11),-2,IF(Y398=regle!$B$11,0,IF(AS$1=$AK$1,IF($O398,-1,regle!$B$2-$M398),IF(AR398=-1,-1,AR398+1))))</f>
        <v>36</v>
      </c>
      <c r="AT398" s="16">
        <f>IF(OR(Z398=regle!$J$11,Z398=regle!$K$11),-2,IF(Z398=regle!$B$11,0,IF(AT$1=$AK$1,IF($O398,-1,regle!$B$2-$M398),IF(AS398=-1,-1,AS398+1))))</f>
        <v>37</v>
      </c>
    </row>
    <row r="399" spans="1:46" x14ac:dyDescent="0.25">
      <c r="A399" t="b">
        <f>modif1!A399</f>
        <v>0</v>
      </c>
      <c r="B399">
        <f>ROW(modif1!B399)</f>
        <v>399</v>
      </c>
      <c r="C399" t="str">
        <f>modif1!C402</f>
        <v>536</v>
      </c>
      <c r="D399" t="str">
        <f>modif1!D399</f>
        <v>MOUSTEY</v>
      </c>
      <c r="E399">
        <f>modif1!E399</f>
        <v>4</v>
      </c>
      <c r="F399" t="str">
        <f>modif1!F399</f>
        <v>Kycs</v>
      </c>
      <c r="G399" t="str">
        <f>modif1!G399</f>
        <v>0M</v>
      </c>
      <c r="H399">
        <f>modif1!H399</f>
        <v>80</v>
      </c>
      <c r="I399" t="str">
        <f>modif1!I399</f>
        <v>q</v>
      </c>
      <c r="J399" s="11">
        <f>modif1!J399</f>
        <v>0.2646</v>
      </c>
      <c r="K399" t="str">
        <f>modif1!K399</f>
        <v>TAIL</v>
      </c>
      <c r="L399" t="str">
        <f>modif1!L399</f>
        <v>FEUIL</v>
      </c>
      <c r="M399">
        <f>modif1!M399</f>
        <v>1993</v>
      </c>
      <c r="N399" t="str">
        <f>modif1!N399</f>
        <v>TAIL-FEUIL_1993</v>
      </c>
      <c r="O399" t="b">
        <f>modif1!O399</f>
        <v>0</v>
      </c>
      <c r="Z399"/>
      <c r="AA399" s="17" t="b">
        <f>IF($A399,$J399*(IF(Q399=regle!$B$11,regle!$B$23*IF(AJ399=-2,1+regle!$B$35,1),
IF(Q399=regle!$C$11,regle!$C$23,
IF(Q399=regle!$D$11,regle!$D$23,
IF(Q399=regle!$E$11,regle!$E$23,
IF(Q399=regle!$F$11,regle!$F$23,
IF(Q399=regle!$G$11,regle!$G$23,
IF(Q399=regle!$H$11,regle!$H$23,
IF(Q399=regle!$I$11,regle!$I$23,
IF(Q399=regle!$J$11,regle!$J$23,
IF(Q399=regle!$K$11,regle!$K$23,0))))))))))))</f>
        <v>0</v>
      </c>
      <c r="AB399" s="17" t="b">
        <f>IF($A399,$J399*(IF(R399=regle!$B$11,regle!$B$23*IF(AK399=-2,1+regle!$B$35,1),
IF(R399=regle!$C$11,regle!$C$23,
IF(R399=regle!$D$11,regle!$D$23,
IF(R399=regle!$E$11,regle!$E$23,
IF(R399=regle!$F$11,regle!$F$23,
IF(R399=regle!$G$11,regle!$G$23,
IF(R399=regle!$H$11,regle!$H$23,
IF(R399=regle!$I$11,regle!$I$23,
IF(R399=regle!$J$11,regle!$J$23,
IF(R399=regle!$K$11,regle!$K$23,0))))))))))))</f>
        <v>0</v>
      </c>
      <c r="AC399" s="17" t="b">
        <f>IF($A399,$J399*(IF(S399=regle!$B$11,regle!$B$23*IF(AL399=-2,1+regle!$B$35,1),
IF(S399=regle!$C$11,regle!$C$23,
IF(S399=regle!$D$11,regle!$D$23,
IF(S399=regle!$E$11,regle!$E$23,
IF(S399=regle!$F$11,regle!$F$23,
IF(S399=regle!$G$11,regle!$G$23,
IF(S399=regle!$H$11,regle!$H$23,
IF(S399=regle!$I$11,regle!$I$23,
IF(S399=regle!$J$11,regle!$J$23,
IF(S399=regle!$K$11,regle!$K$23,0))))))))))))</f>
        <v>0</v>
      </c>
      <c r="AD399" s="17" t="b">
        <f>IF($A399,$J399*(IF(T399=regle!$B$11,regle!$B$23*IF(AM399=-2,1+regle!$B$35,1),
IF(T399=regle!$C$11,regle!$C$23,
IF(T399=regle!$D$11,regle!$D$23,
IF(T399=regle!$E$11,regle!$E$23,
IF(T399=regle!$F$11,regle!$F$23,
IF(T399=regle!$G$11,regle!$G$23,
IF(T399=regle!$H$11,regle!$H$23,
IF(T399=regle!$I$11,regle!$I$23,
IF(T399=regle!$J$11,regle!$J$23,
IF(T399=regle!$K$11,regle!$K$23,0))))))))))))</f>
        <v>0</v>
      </c>
      <c r="AE399" s="17" t="b">
        <f>IF($A399,$J399*(IF(U399=regle!$B$11,regle!$B$23*IF(AN399=-2,1+regle!$B$35,1),
IF(U399=regle!$C$11,regle!$C$23,
IF(U399=regle!$D$11,regle!$D$23,
IF(U399=regle!$E$11,regle!$E$23,
IF(U399=regle!$F$11,regle!$F$23,
IF(U399=regle!$G$11,regle!$G$23,
IF(U399=regle!$H$11,regle!$H$23,
IF(U399=regle!$I$11,regle!$I$23,
IF(U399=regle!$J$11,regle!$J$23,
IF(U399=regle!$K$11,regle!$K$23,0))))))))))))</f>
        <v>0</v>
      </c>
      <c r="AF399" s="17" t="b">
        <f>IF($A399,$J399*(IF(V399=regle!$B$11,regle!$B$23*IF(AO399=-2,1+regle!$B$35,1),
IF(V399=regle!$C$11,regle!$C$23,
IF(V399=regle!$D$11,regle!$D$23,
IF(V399=regle!$E$11,regle!$E$23,
IF(V399=regle!$F$11,regle!$F$23,
IF(V399=regle!$G$11,regle!$G$23,
IF(V399=regle!$H$11,regle!$H$23,
IF(V399=regle!$I$11,regle!$I$23,
IF(V399=regle!$J$11,regle!$J$23,
IF(V399=regle!$K$11,regle!$K$23,0))))))))))))</f>
        <v>0</v>
      </c>
      <c r="AG399" s="17" t="b">
        <f>IF($A399,$J399*(IF(W399=regle!$B$11,regle!$B$23*IF(AP399=-2,1+regle!$B$35,1),
IF(W399=regle!$C$11,regle!$C$23,
IF(W399=regle!$D$11,regle!$D$23,
IF(W399=regle!$E$11,regle!$E$23,
IF(W399=regle!$F$11,regle!$F$23,
IF(W399=regle!$G$11,regle!$G$23,
IF(W399=regle!$H$11,regle!$H$23,
IF(W399=regle!$I$11,regle!$I$23,
IF(W399=regle!$J$11,regle!$J$23,
IF(W399=regle!$K$11,regle!$K$23,0))))))))))))</f>
        <v>0</v>
      </c>
      <c r="AH399" s="17" t="b">
        <f>IF($A399,$J399*(IF(X399=regle!$B$11,regle!$B$23*IF(AQ399=-2,1+regle!$B$35,1),
IF(X399=regle!$C$11,regle!$C$23,
IF(X399=regle!$D$11,regle!$D$23,
IF(X399=regle!$E$11,regle!$E$23,
IF(X399=regle!$F$11,regle!$F$23,
IF(X399=regle!$G$11,regle!$G$23,
IF(X399=regle!$H$11,regle!$H$23,
IF(X399=regle!$I$11,regle!$I$23,
IF(X399=regle!$J$11,regle!$J$23,
IF(X399=regle!$K$11,regle!$K$23,0))))))))))))</f>
        <v>0</v>
      </c>
      <c r="AI399" s="17" t="b">
        <f>IF($A399,$J399*(IF(Y399=regle!$B$11,regle!$B$23*IF(AR399=-2,1+regle!$B$35,1),
IF(Y399=regle!$C$11,regle!$C$23,
IF(Y399=regle!$D$11,regle!$D$23,
IF(Y399=regle!$E$11,regle!$E$23,
IF(Y399=regle!$F$11,regle!$F$23,
IF(Y399=regle!$G$11,regle!$G$23,
IF(Y399=regle!$H$11,regle!$H$23,
IF(Y399=regle!$I$11,regle!$I$23,
IF(Y399=regle!$J$11,regle!$J$23,
IF(Y399=regle!$K$11,regle!$K$23,0))))))))))))</f>
        <v>0</v>
      </c>
      <c r="AJ399" s="17" t="b">
        <f>IF($A399,$J399*(IF(Z399=regle!$B$11,regle!$B$23*IF(AS399=-2,1+regle!$B$35,1),
IF(Z399=regle!$C$11,regle!$C$23,
IF(Z399=regle!$D$11,regle!$D$23,
IF(Z399=regle!$E$11,regle!$E$23,
IF(Z399=regle!$F$11,regle!$F$23,
IF(Z399=regle!$G$11,regle!$G$23,
IF(Z399=regle!$H$11,regle!$H$23,
IF(Z399=regle!$I$11,regle!$I$23,
IF(Z399=regle!$J$11,regle!$J$23,
IF(Z399=regle!$K$11,regle!$K$23,0))))))))))))</f>
        <v>0</v>
      </c>
      <c r="AK399" s="16">
        <f>IF(OR(Q399=regle!$J$11,Q399=regle!$K$11),-2,IF(Q399=regle!$B$11,0,IF(AK$1=$AK$1,IF($O399,-1,regle!$B$2-$M399),IF(AJ399=-1,-1,AJ399+1))))</f>
        <v>31</v>
      </c>
      <c r="AL399" s="16">
        <f>IF(OR(R399=regle!$J$11,R399=regle!$K$11),-2,IF(R399=regle!$B$11,0,IF(AL$1=$AK$1,IF($O399,-1,regle!$B$2-$M399),IF(AK399=-1,-1,AK399+1))))</f>
        <v>32</v>
      </c>
      <c r="AM399" s="16">
        <f>IF(OR(S399=regle!$J$11,S399=regle!$K$11),-2,IF(S399=regle!$B$11,0,IF(AM$1=$AK$1,IF($O399,-1,regle!$B$2-$M399),IF(AL399=-1,-1,AL399+1))))</f>
        <v>33</v>
      </c>
      <c r="AN399" s="16">
        <f>IF(OR(T399=regle!$J$11,T399=regle!$K$11),-2,IF(T399=regle!$B$11,0,IF(AN$1=$AK$1,IF($O399,-1,regle!$B$2-$M399),IF(AM399=-1,-1,AM399+1))))</f>
        <v>34</v>
      </c>
      <c r="AO399" s="16">
        <f>IF(OR(U399=regle!$J$11,U399=regle!$K$11),-2,IF(U399=regle!$B$11,0,IF(AO$1=$AK$1,IF($O399,-1,regle!$B$2-$M399),IF(AN399=-1,-1,AN399+1))))</f>
        <v>35</v>
      </c>
      <c r="AP399" s="16">
        <f>IF(OR(V399=regle!$J$11,V399=regle!$K$11),-2,IF(V399=regle!$B$11,0,IF(AP$1=$AK$1,IF($O399,-1,regle!$B$2-$M399),IF(AO399=-1,-1,AO399+1))))</f>
        <v>36</v>
      </c>
      <c r="AQ399" s="16">
        <f>IF(OR(W399=regle!$J$11,W399=regle!$K$11),-2,IF(W399=regle!$B$11,0,IF(AQ$1=$AK$1,IF($O399,-1,regle!$B$2-$M399),IF(AP399=-1,-1,AP399+1))))</f>
        <v>37</v>
      </c>
      <c r="AR399" s="16">
        <f>IF(OR(X399=regle!$J$11,X399=regle!$K$11),-2,IF(X399=regle!$B$11,0,IF(AR$1=$AK$1,IF($O399,-1,regle!$B$2-$M399),IF(AQ399=-1,-1,AQ399+1))))</f>
        <v>38</v>
      </c>
      <c r="AS399" s="16">
        <f>IF(OR(Y399=regle!$J$11,Y399=regle!$K$11),-2,IF(Y399=regle!$B$11,0,IF(AS$1=$AK$1,IF($O399,-1,regle!$B$2-$M399),IF(AR399=-1,-1,AR399+1))))</f>
        <v>39</v>
      </c>
      <c r="AT399" s="16">
        <f>IF(OR(Z399=regle!$J$11,Z399=regle!$K$11),-2,IF(Z399=regle!$B$11,0,IF(AT$1=$AK$1,IF($O399,-1,regle!$B$2-$M399),IF(AS399=-1,-1,AS399+1))))</f>
        <v>40</v>
      </c>
    </row>
    <row r="400" spans="1:46" x14ac:dyDescent="0.25">
      <c r="A400" t="b">
        <f>modif1!A400</f>
        <v>0</v>
      </c>
      <c r="B400">
        <f>ROW(modif1!B400)</f>
        <v>400</v>
      </c>
      <c r="C400" t="str">
        <f>modif1!C403</f>
        <v>536</v>
      </c>
      <c r="D400" t="str">
        <f>modif1!D400</f>
        <v>HOSTENS</v>
      </c>
      <c r="E400">
        <f>modif1!E400</f>
        <v>13</v>
      </c>
      <c r="F400" t="str">
        <f>modif1!F400</f>
        <v>LA BROUSTETTE</v>
      </c>
      <c r="G400" t="str">
        <f>modif1!G400</f>
        <v>0B</v>
      </c>
      <c r="H400">
        <f>modif1!H400</f>
        <v>1249</v>
      </c>
      <c r="I400" t="str">
        <f>modif1!I400</f>
        <v>n</v>
      </c>
      <c r="J400" s="11">
        <f>modif1!J400</f>
        <v>1.5903</v>
      </c>
      <c r="K400" t="str">
        <f>modif1!K400</f>
        <v>TAIL</v>
      </c>
      <c r="L400" t="str">
        <f>modif1!L400</f>
        <v>FEUIL</v>
      </c>
      <c r="M400">
        <f>modif1!M400</f>
        <v>1990</v>
      </c>
      <c r="N400" t="str">
        <f>modif1!N400</f>
        <v>TAIL-FEUIL_1990</v>
      </c>
      <c r="O400" t="b">
        <f>modif1!O400</f>
        <v>0</v>
      </c>
      <c r="Z400"/>
      <c r="AA400" s="17" t="b">
        <f>IF($A400,$J400*(IF(Q400=regle!$B$11,regle!$B$23*IF(AJ400=-2,1+regle!$B$35,1),
IF(Q400=regle!$C$11,regle!$C$23,
IF(Q400=regle!$D$11,regle!$D$23,
IF(Q400=regle!$E$11,regle!$E$23,
IF(Q400=regle!$F$11,regle!$F$23,
IF(Q400=regle!$G$11,regle!$G$23,
IF(Q400=regle!$H$11,regle!$H$23,
IF(Q400=regle!$I$11,regle!$I$23,
IF(Q400=regle!$J$11,regle!$J$23,
IF(Q400=regle!$K$11,regle!$K$23,0))))))))))))</f>
        <v>0</v>
      </c>
      <c r="AB400" s="17" t="b">
        <f>IF($A400,$J400*(IF(R400=regle!$B$11,regle!$B$23*IF(AK400=-2,1+regle!$B$35,1),
IF(R400=regle!$C$11,regle!$C$23,
IF(R400=regle!$D$11,regle!$D$23,
IF(R400=regle!$E$11,regle!$E$23,
IF(R400=regle!$F$11,regle!$F$23,
IF(R400=regle!$G$11,regle!$G$23,
IF(R400=regle!$H$11,regle!$H$23,
IF(R400=regle!$I$11,regle!$I$23,
IF(R400=regle!$J$11,regle!$J$23,
IF(R400=regle!$K$11,regle!$K$23,0))))))))))))</f>
        <v>0</v>
      </c>
      <c r="AC400" s="17" t="b">
        <f>IF($A400,$J400*(IF(S400=regle!$B$11,regle!$B$23*IF(AL400=-2,1+regle!$B$35,1),
IF(S400=regle!$C$11,regle!$C$23,
IF(S400=regle!$D$11,regle!$D$23,
IF(S400=regle!$E$11,regle!$E$23,
IF(S400=regle!$F$11,regle!$F$23,
IF(S400=regle!$G$11,regle!$G$23,
IF(S400=regle!$H$11,regle!$H$23,
IF(S400=regle!$I$11,regle!$I$23,
IF(S400=regle!$J$11,regle!$J$23,
IF(S400=regle!$K$11,regle!$K$23,0))))))))))))</f>
        <v>0</v>
      </c>
      <c r="AD400" s="17" t="b">
        <f>IF($A400,$J400*(IF(T400=regle!$B$11,regle!$B$23*IF(AM400=-2,1+regle!$B$35,1),
IF(T400=regle!$C$11,regle!$C$23,
IF(T400=regle!$D$11,regle!$D$23,
IF(T400=regle!$E$11,regle!$E$23,
IF(T400=regle!$F$11,regle!$F$23,
IF(T400=regle!$G$11,regle!$G$23,
IF(T400=regle!$H$11,regle!$H$23,
IF(T400=regle!$I$11,regle!$I$23,
IF(T400=regle!$J$11,regle!$J$23,
IF(T400=regle!$K$11,regle!$K$23,0))))))))))))</f>
        <v>0</v>
      </c>
      <c r="AE400" s="17" t="b">
        <f>IF($A400,$J400*(IF(U400=regle!$B$11,regle!$B$23*IF(AN400=-2,1+regle!$B$35,1),
IF(U400=regle!$C$11,regle!$C$23,
IF(U400=regle!$D$11,regle!$D$23,
IF(U400=regle!$E$11,regle!$E$23,
IF(U400=regle!$F$11,regle!$F$23,
IF(U400=regle!$G$11,regle!$G$23,
IF(U400=regle!$H$11,regle!$H$23,
IF(U400=regle!$I$11,regle!$I$23,
IF(U400=regle!$J$11,regle!$J$23,
IF(U400=regle!$K$11,regle!$K$23,0))))))))))))</f>
        <v>0</v>
      </c>
      <c r="AF400" s="17" t="b">
        <f>IF($A400,$J400*(IF(V400=regle!$B$11,regle!$B$23*IF(AO400=-2,1+regle!$B$35,1),
IF(V400=regle!$C$11,regle!$C$23,
IF(V400=regle!$D$11,regle!$D$23,
IF(V400=regle!$E$11,regle!$E$23,
IF(V400=regle!$F$11,regle!$F$23,
IF(V400=regle!$G$11,regle!$G$23,
IF(V400=regle!$H$11,regle!$H$23,
IF(V400=regle!$I$11,regle!$I$23,
IF(V400=regle!$J$11,regle!$J$23,
IF(V400=regle!$K$11,regle!$K$23,0))))))))))))</f>
        <v>0</v>
      </c>
      <c r="AG400" s="17" t="b">
        <f>IF($A400,$J400*(IF(W400=regle!$B$11,regle!$B$23*IF(AP400=-2,1+regle!$B$35,1),
IF(W400=regle!$C$11,regle!$C$23,
IF(W400=regle!$D$11,regle!$D$23,
IF(W400=regle!$E$11,regle!$E$23,
IF(W400=regle!$F$11,regle!$F$23,
IF(W400=regle!$G$11,regle!$G$23,
IF(W400=regle!$H$11,regle!$H$23,
IF(W400=regle!$I$11,regle!$I$23,
IF(W400=regle!$J$11,regle!$J$23,
IF(W400=regle!$K$11,regle!$K$23,0))))))))))))</f>
        <v>0</v>
      </c>
      <c r="AH400" s="17" t="b">
        <f>IF($A400,$J400*(IF(X400=regle!$B$11,regle!$B$23*IF(AQ400=-2,1+regle!$B$35,1),
IF(X400=regle!$C$11,regle!$C$23,
IF(X400=regle!$D$11,regle!$D$23,
IF(X400=regle!$E$11,regle!$E$23,
IF(X400=regle!$F$11,regle!$F$23,
IF(X400=regle!$G$11,regle!$G$23,
IF(X400=regle!$H$11,regle!$H$23,
IF(X400=regle!$I$11,regle!$I$23,
IF(X400=regle!$J$11,regle!$J$23,
IF(X400=regle!$K$11,regle!$K$23,0))))))))))))</f>
        <v>0</v>
      </c>
      <c r="AI400" s="17" t="b">
        <f>IF($A400,$J400*(IF(Y400=regle!$B$11,regle!$B$23*IF(AR400=-2,1+regle!$B$35,1),
IF(Y400=regle!$C$11,regle!$C$23,
IF(Y400=regle!$D$11,regle!$D$23,
IF(Y400=regle!$E$11,regle!$E$23,
IF(Y400=regle!$F$11,regle!$F$23,
IF(Y400=regle!$G$11,regle!$G$23,
IF(Y400=regle!$H$11,regle!$H$23,
IF(Y400=regle!$I$11,regle!$I$23,
IF(Y400=regle!$J$11,regle!$J$23,
IF(Y400=regle!$K$11,regle!$K$23,0))))))))))))</f>
        <v>0</v>
      </c>
      <c r="AJ400" s="17" t="b">
        <f>IF($A400,$J400*(IF(Z400=regle!$B$11,regle!$B$23*IF(AS400=-2,1+regle!$B$35,1),
IF(Z400=regle!$C$11,regle!$C$23,
IF(Z400=regle!$D$11,regle!$D$23,
IF(Z400=regle!$E$11,regle!$E$23,
IF(Z400=regle!$F$11,regle!$F$23,
IF(Z400=regle!$G$11,regle!$G$23,
IF(Z400=regle!$H$11,regle!$H$23,
IF(Z400=regle!$I$11,regle!$I$23,
IF(Z400=regle!$J$11,regle!$J$23,
IF(Z400=regle!$K$11,regle!$K$23,0))))))))))))</f>
        <v>0</v>
      </c>
      <c r="AK400" s="16">
        <f>IF(OR(Q400=regle!$J$11,Q400=regle!$K$11),-2,IF(Q400=regle!$B$11,0,IF(AK$1=$AK$1,IF($O400,-1,regle!$B$2-$M400),IF(AJ400=-1,-1,AJ400+1))))</f>
        <v>34</v>
      </c>
      <c r="AL400" s="16">
        <f>IF(OR(R400=regle!$J$11,R400=regle!$K$11),-2,IF(R400=regle!$B$11,0,IF(AL$1=$AK$1,IF($O400,-1,regle!$B$2-$M400),IF(AK400=-1,-1,AK400+1))))</f>
        <v>35</v>
      </c>
      <c r="AM400" s="16">
        <f>IF(OR(S400=regle!$J$11,S400=regle!$K$11),-2,IF(S400=regle!$B$11,0,IF(AM$1=$AK$1,IF($O400,-1,regle!$B$2-$M400),IF(AL400=-1,-1,AL400+1))))</f>
        <v>36</v>
      </c>
      <c r="AN400" s="16">
        <f>IF(OR(T400=regle!$J$11,T400=regle!$K$11),-2,IF(T400=regle!$B$11,0,IF(AN$1=$AK$1,IF($O400,-1,regle!$B$2-$M400),IF(AM400=-1,-1,AM400+1))))</f>
        <v>37</v>
      </c>
      <c r="AO400" s="16">
        <f>IF(OR(U400=regle!$J$11,U400=regle!$K$11),-2,IF(U400=regle!$B$11,0,IF(AO$1=$AK$1,IF($O400,-1,regle!$B$2-$M400),IF(AN400=-1,-1,AN400+1))))</f>
        <v>38</v>
      </c>
      <c r="AP400" s="16">
        <f>IF(OR(V400=regle!$J$11,V400=regle!$K$11),-2,IF(V400=regle!$B$11,0,IF(AP$1=$AK$1,IF($O400,-1,regle!$B$2-$M400),IF(AO400=-1,-1,AO400+1))))</f>
        <v>39</v>
      </c>
      <c r="AQ400" s="16">
        <f>IF(OR(W400=regle!$J$11,W400=regle!$K$11),-2,IF(W400=regle!$B$11,0,IF(AQ$1=$AK$1,IF($O400,-1,regle!$B$2-$M400),IF(AP400=-1,-1,AP400+1))))</f>
        <v>40</v>
      </c>
      <c r="AR400" s="16">
        <f>IF(OR(X400=regle!$J$11,X400=regle!$K$11),-2,IF(X400=regle!$B$11,0,IF(AR$1=$AK$1,IF($O400,-1,regle!$B$2-$M400),IF(AQ400=-1,-1,AQ400+1))))</f>
        <v>41</v>
      </c>
      <c r="AS400" s="16">
        <f>IF(OR(Y400=regle!$J$11,Y400=regle!$K$11),-2,IF(Y400=regle!$B$11,0,IF(AS$1=$AK$1,IF($O400,-1,regle!$B$2-$M400),IF(AR400=-1,-1,AR400+1))))</f>
        <v>42</v>
      </c>
      <c r="AT400" s="16">
        <f>IF(OR(Z400=regle!$J$11,Z400=regle!$K$11),-2,IF(Z400=regle!$B$11,0,IF(AT$1=$AK$1,IF($O400,-1,regle!$B$2-$M400),IF(AS400=-1,-1,AS400+1))))</f>
        <v>43</v>
      </c>
    </row>
    <row r="401" spans="1:46" x14ac:dyDescent="0.25">
      <c r="A401" t="b">
        <f>modif1!A401</f>
        <v>0</v>
      </c>
      <c r="B401">
        <f>ROW(modif1!B401)</f>
        <v>401</v>
      </c>
      <c r="C401" t="str">
        <f>modif1!C404</f>
        <v>536</v>
      </c>
      <c r="D401" t="str">
        <f>modif1!D401</f>
        <v>LE TUZAN</v>
      </c>
      <c r="E401">
        <f>modif1!E401</f>
        <v>11</v>
      </c>
      <c r="F401" t="str">
        <f>modif1!F401</f>
        <v>LA HONTEYRE</v>
      </c>
      <c r="G401" t="str">
        <f>modif1!G401</f>
        <v>0A</v>
      </c>
      <c r="H401">
        <f>modif1!H401</f>
        <v>256</v>
      </c>
      <c r="I401" t="str">
        <f>modif1!I401</f>
        <v>j</v>
      </c>
      <c r="J401" s="11">
        <f>modif1!J401</f>
        <v>0.4451</v>
      </c>
      <c r="K401" t="str">
        <f>modif1!K401</f>
        <v>TAIL</v>
      </c>
      <c r="L401" t="str">
        <f>modif1!L401</f>
        <v>FEUIL</v>
      </c>
      <c r="M401">
        <f>modif1!M401</f>
        <v>1990</v>
      </c>
      <c r="N401" t="str">
        <f>modif1!N401</f>
        <v>TAIL-FEUIL_1990</v>
      </c>
      <c r="O401" t="b">
        <f>modif1!O401</f>
        <v>0</v>
      </c>
      <c r="Z401"/>
      <c r="AA401" s="17" t="b">
        <f>IF($A401,$J401*(IF(Q401=regle!$B$11,regle!$B$23*IF(AJ401=-2,1+regle!$B$35,1),
IF(Q401=regle!$C$11,regle!$C$23,
IF(Q401=regle!$D$11,regle!$D$23,
IF(Q401=regle!$E$11,regle!$E$23,
IF(Q401=regle!$F$11,regle!$F$23,
IF(Q401=regle!$G$11,regle!$G$23,
IF(Q401=regle!$H$11,regle!$H$23,
IF(Q401=regle!$I$11,regle!$I$23,
IF(Q401=regle!$J$11,regle!$J$23,
IF(Q401=regle!$K$11,regle!$K$23,0))))))))))))</f>
        <v>0</v>
      </c>
      <c r="AB401" s="17" t="b">
        <f>IF($A401,$J401*(IF(R401=regle!$B$11,regle!$B$23*IF(AK401=-2,1+regle!$B$35,1),
IF(R401=regle!$C$11,regle!$C$23,
IF(R401=regle!$D$11,regle!$D$23,
IF(R401=regle!$E$11,regle!$E$23,
IF(R401=regle!$F$11,regle!$F$23,
IF(R401=regle!$G$11,regle!$G$23,
IF(R401=regle!$H$11,regle!$H$23,
IF(R401=regle!$I$11,regle!$I$23,
IF(R401=regle!$J$11,regle!$J$23,
IF(R401=regle!$K$11,regle!$K$23,0))))))))))))</f>
        <v>0</v>
      </c>
      <c r="AC401" s="17" t="b">
        <f>IF($A401,$J401*(IF(S401=regle!$B$11,regle!$B$23*IF(AL401=-2,1+regle!$B$35,1),
IF(S401=regle!$C$11,regle!$C$23,
IF(S401=regle!$D$11,regle!$D$23,
IF(S401=regle!$E$11,regle!$E$23,
IF(S401=regle!$F$11,regle!$F$23,
IF(S401=regle!$G$11,regle!$G$23,
IF(S401=regle!$H$11,regle!$H$23,
IF(S401=regle!$I$11,regle!$I$23,
IF(S401=regle!$J$11,regle!$J$23,
IF(S401=regle!$K$11,regle!$K$23,0))))))))))))</f>
        <v>0</v>
      </c>
      <c r="AD401" s="17" t="b">
        <f>IF($A401,$J401*(IF(T401=regle!$B$11,regle!$B$23*IF(AM401=-2,1+regle!$B$35,1),
IF(T401=regle!$C$11,regle!$C$23,
IF(T401=regle!$D$11,regle!$D$23,
IF(T401=regle!$E$11,regle!$E$23,
IF(T401=regle!$F$11,regle!$F$23,
IF(T401=regle!$G$11,regle!$G$23,
IF(T401=regle!$H$11,regle!$H$23,
IF(T401=regle!$I$11,regle!$I$23,
IF(T401=regle!$J$11,regle!$J$23,
IF(T401=regle!$K$11,regle!$K$23,0))))))))))))</f>
        <v>0</v>
      </c>
      <c r="AE401" s="17" t="b">
        <f>IF($A401,$J401*(IF(U401=regle!$B$11,regle!$B$23*IF(AN401=-2,1+regle!$B$35,1),
IF(U401=regle!$C$11,regle!$C$23,
IF(U401=regle!$D$11,regle!$D$23,
IF(U401=regle!$E$11,regle!$E$23,
IF(U401=regle!$F$11,regle!$F$23,
IF(U401=regle!$G$11,regle!$G$23,
IF(U401=regle!$H$11,regle!$H$23,
IF(U401=regle!$I$11,regle!$I$23,
IF(U401=regle!$J$11,regle!$J$23,
IF(U401=regle!$K$11,regle!$K$23,0))))))))))))</f>
        <v>0</v>
      </c>
      <c r="AF401" s="17" t="b">
        <f>IF($A401,$J401*(IF(V401=regle!$B$11,regle!$B$23*IF(AO401=-2,1+regle!$B$35,1),
IF(V401=regle!$C$11,regle!$C$23,
IF(V401=regle!$D$11,regle!$D$23,
IF(V401=regle!$E$11,regle!$E$23,
IF(V401=regle!$F$11,regle!$F$23,
IF(V401=regle!$G$11,regle!$G$23,
IF(V401=regle!$H$11,regle!$H$23,
IF(V401=regle!$I$11,regle!$I$23,
IF(V401=regle!$J$11,regle!$J$23,
IF(V401=regle!$K$11,regle!$K$23,0))))))))))))</f>
        <v>0</v>
      </c>
      <c r="AG401" s="17" t="b">
        <f>IF($A401,$J401*(IF(W401=regle!$B$11,regle!$B$23*IF(AP401=-2,1+regle!$B$35,1),
IF(W401=regle!$C$11,regle!$C$23,
IF(W401=regle!$D$11,regle!$D$23,
IF(W401=regle!$E$11,regle!$E$23,
IF(W401=regle!$F$11,regle!$F$23,
IF(W401=regle!$G$11,regle!$G$23,
IF(W401=regle!$H$11,regle!$H$23,
IF(W401=regle!$I$11,regle!$I$23,
IF(W401=regle!$J$11,regle!$J$23,
IF(W401=regle!$K$11,regle!$K$23,0))))))))))))</f>
        <v>0</v>
      </c>
      <c r="AH401" s="17" t="b">
        <f>IF($A401,$J401*(IF(X401=regle!$B$11,regle!$B$23*IF(AQ401=-2,1+regle!$B$35,1),
IF(X401=regle!$C$11,regle!$C$23,
IF(X401=regle!$D$11,regle!$D$23,
IF(X401=regle!$E$11,regle!$E$23,
IF(X401=regle!$F$11,regle!$F$23,
IF(X401=regle!$G$11,regle!$G$23,
IF(X401=regle!$H$11,regle!$H$23,
IF(X401=regle!$I$11,regle!$I$23,
IF(X401=regle!$J$11,regle!$J$23,
IF(X401=regle!$K$11,regle!$K$23,0))))))))))))</f>
        <v>0</v>
      </c>
      <c r="AI401" s="17" t="b">
        <f>IF($A401,$J401*(IF(Y401=regle!$B$11,regle!$B$23*IF(AR401=-2,1+regle!$B$35,1),
IF(Y401=regle!$C$11,regle!$C$23,
IF(Y401=regle!$D$11,regle!$D$23,
IF(Y401=regle!$E$11,regle!$E$23,
IF(Y401=regle!$F$11,regle!$F$23,
IF(Y401=regle!$G$11,regle!$G$23,
IF(Y401=regle!$H$11,regle!$H$23,
IF(Y401=regle!$I$11,regle!$I$23,
IF(Y401=regle!$J$11,regle!$J$23,
IF(Y401=regle!$K$11,regle!$K$23,0))))))))))))</f>
        <v>0</v>
      </c>
      <c r="AJ401" s="17" t="b">
        <f>IF($A401,$J401*(IF(Z401=regle!$B$11,regle!$B$23*IF(AS401=-2,1+regle!$B$35,1),
IF(Z401=regle!$C$11,regle!$C$23,
IF(Z401=regle!$D$11,regle!$D$23,
IF(Z401=regle!$E$11,regle!$E$23,
IF(Z401=regle!$F$11,regle!$F$23,
IF(Z401=regle!$G$11,regle!$G$23,
IF(Z401=regle!$H$11,regle!$H$23,
IF(Z401=regle!$I$11,regle!$I$23,
IF(Z401=regle!$J$11,regle!$J$23,
IF(Z401=regle!$K$11,regle!$K$23,0))))))))))))</f>
        <v>0</v>
      </c>
      <c r="AK401" s="16">
        <f>IF(OR(Q401=regle!$J$11,Q401=regle!$K$11),-2,IF(Q401=regle!$B$11,0,IF(AK$1=$AK$1,IF($O401,-1,regle!$B$2-$M401),IF(AJ401=-1,-1,AJ401+1))))</f>
        <v>34</v>
      </c>
      <c r="AL401" s="16">
        <f>IF(OR(R401=regle!$J$11,R401=regle!$K$11),-2,IF(R401=regle!$B$11,0,IF(AL$1=$AK$1,IF($O401,-1,regle!$B$2-$M401),IF(AK401=-1,-1,AK401+1))))</f>
        <v>35</v>
      </c>
      <c r="AM401" s="16">
        <f>IF(OR(S401=regle!$J$11,S401=regle!$K$11),-2,IF(S401=regle!$B$11,0,IF(AM$1=$AK$1,IF($O401,-1,regle!$B$2-$M401),IF(AL401=-1,-1,AL401+1))))</f>
        <v>36</v>
      </c>
      <c r="AN401" s="16">
        <f>IF(OR(T401=regle!$J$11,T401=regle!$K$11),-2,IF(T401=regle!$B$11,0,IF(AN$1=$AK$1,IF($O401,-1,regle!$B$2-$M401),IF(AM401=-1,-1,AM401+1))))</f>
        <v>37</v>
      </c>
      <c r="AO401" s="16">
        <f>IF(OR(U401=regle!$J$11,U401=regle!$K$11),-2,IF(U401=regle!$B$11,0,IF(AO$1=$AK$1,IF($O401,-1,regle!$B$2-$M401),IF(AN401=-1,-1,AN401+1))))</f>
        <v>38</v>
      </c>
      <c r="AP401" s="16">
        <f>IF(OR(V401=regle!$J$11,V401=regle!$K$11),-2,IF(V401=regle!$B$11,0,IF(AP$1=$AK$1,IF($O401,-1,regle!$B$2-$M401),IF(AO401=-1,-1,AO401+1))))</f>
        <v>39</v>
      </c>
      <c r="AQ401" s="16">
        <f>IF(OR(W401=regle!$J$11,W401=regle!$K$11),-2,IF(W401=regle!$B$11,0,IF(AQ$1=$AK$1,IF($O401,-1,regle!$B$2-$M401),IF(AP401=-1,-1,AP401+1))))</f>
        <v>40</v>
      </c>
      <c r="AR401" s="16">
        <f>IF(OR(X401=regle!$J$11,X401=regle!$K$11),-2,IF(X401=regle!$B$11,0,IF(AR$1=$AK$1,IF($O401,-1,regle!$B$2-$M401),IF(AQ401=-1,-1,AQ401+1))))</f>
        <v>41</v>
      </c>
      <c r="AS401" s="16">
        <f>IF(OR(Y401=regle!$J$11,Y401=regle!$K$11),-2,IF(Y401=regle!$B$11,0,IF(AS$1=$AK$1,IF($O401,-1,regle!$B$2-$M401),IF(AR401=-1,-1,AR401+1))))</f>
        <v>42</v>
      </c>
      <c r="AT401" s="16">
        <f>IF(OR(Z401=regle!$J$11,Z401=regle!$K$11),-2,IF(Z401=regle!$B$11,0,IF(AT$1=$AK$1,IF($O401,-1,regle!$B$2-$M401),IF(AS401=-1,-1,AS401+1))))</f>
        <v>43</v>
      </c>
    </row>
    <row r="402" spans="1:46" x14ac:dyDescent="0.25">
      <c r="A402" t="b">
        <f>modif1!A402</f>
        <v>0</v>
      </c>
      <c r="B402">
        <f>ROW(modif1!B402)</f>
        <v>402</v>
      </c>
      <c r="C402" t="str">
        <f>modif1!C405</f>
        <v>536</v>
      </c>
      <c r="D402" t="str">
        <f>modif1!D402</f>
        <v>LE TUZAN</v>
      </c>
      <c r="E402">
        <f>modif1!E402</f>
        <v>11</v>
      </c>
      <c r="F402" t="str">
        <f>modif1!F402</f>
        <v>LA HONTEYRE</v>
      </c>
      <c r="G402" t="str">
        <f>modif1!G402</f>
        <v>0A</v>
      </c>
      <c r="H402">
        <f>modif1!H402</f>
        <v>254</v>
      </c>
      <c r="I402" t="str">
        <f>modif1!I402</f>
        <v>l</v>
      </c>
      <c r="J402" s="11">
        <f>modif1!J402</f>
        <v>0.42309999999999998</v>
      </c>
      <c r="K402" t="str">
        <f>modif1!K402</f>
        <v>TAIL</v>
      </c>
      <c r="L402" t="str">
        <f>modif1!L402</f>
        <v>FEUIL</v>
      </c>
      <c r="M402">
        <f>modif1!M402</f>
        <v>1990</v>
      </c>
      <c r="N402" t="str">
        <f>modif1!N402</f>
        <v>TAIL-FEUIL_1990</v>
      </c>
      <c r="O402" t="b">
        <f>modif1!O402</f>
        <v>0</v>
      </c>
      <c r="Z402"/>
      <c r="AA402" s="17" t="b">
        <f>IF($A402,$J402*(IF(Q402=regle!$B$11,regle!$B$23*IF(AJ402=-2,1+regle!$B$35,1),
IF(Q402=regle!$C$11,regle!$C$23,
IF(Q402=regle!$D$11,regle!$D$23,
IF(Q402=regle!$E$11,regle!$E$23,
IF(Q402=regle!$F$11,regle!$F$23,
IF(Q402=regle!$G$11,regle!$G$23,
IF(Q402=regle!$H$11,regle!$H$23,
IF(Q402=regle!$I$11,regle!$I$23,
IF(Q402=regle!$J$11,regle!$J$23,
IF(Q402=regle!$K$11,regle!$K$23,0))))))))))))</f>
        <v>0</v>
      </c>
      <c r="AB402" s="17" t="b">
        <f>IF($A402,$J402*(IF(R402=regle!$B$11,regle!$B$23*IF(AK402=-2,1+regle!$B$35,1),
IF(R402=regle!$C$11,regle!$C$23,
IF(R402=regle!$D$11,regle!$D$23,
IF(R402=regle!$E$11,regle!$E$23,
IF(R402=regle!$F$11,regle!$F$23,
IF(R402=regle!$G$11,regle!$G$23,
IF(R402=regle!$H$11,regle!$H$23,
IF(R402=regle!$I$11,regle!$I$23,
IF(R402=regle!$J$11,regle!$J$23,
IF(R402=regle!$K$11,regle!$K$23,0))))))))))))</f>
        <v>0</v>
      </c>
      <c r="AC402" s="17" t="b">
        <f>IF($A402,$J402*(IF(S402=regle!$B$11,regle!$B$23*IF(AL402=-2,1+regle!$B$35,1),
IF(S402=regle!$C$11,regle!$C$23,
IF(S402=regle!$D$11,regle!$D$23,
IF(S402=regle!$E$11,regle!$E$23,
IF(S402=regle!$F$11,regle!$F$23,
IF(S402=regle!$G$11,regle!$G$23,
IF(S402=regle!$H$11,regle!$H$23,
IF(S402=regle!$I$11,regle!$I$23,
IF(S402=regle!$J$11,regle!$J$23,
IF(S402=regle!$K$11,regle!$K$23,0))))))))))))</f>
        <v>0</v>
      </c>
      <c r="AD402" s="17" t="b">
        <f>IF($A402,$J402*(IF(T402=regle!$B$11,regle!$B$23*IF(AM402=-2,1+regle!$B$35,1),
IF(T402=regle!$C$11,regle!$C$23,
IF(T402=regle!$D$11,regle!$D$23,
IF(T402=regle!$E$11,regle!$E$23,
IF(T402=regle!$F$11,regle!$F$23,
IF(T402=regle!$G$11,regle!$G$23,
IF(T402=regle!$H$11,regle!$H$23,
IF(T402=regle!$I$11,regle!$I$23,
IF(T402=regle!$J$11,regle!$J$23,
IF(T402=regle!$K$11,regle!$K$23,0))))))))))))</f>
        <v>0</v>
      </c>
      <c r="AE402" s="17" t="b">
        <f>IF($A402,$J402*(IF(U402=regle!$B$11,regle!$B$23*IF(AN402=-2,1+regle!$B$35,1),
IF(U402=regle!$C$11,regle!$C$23,
IF(U402=regle!$D$11,regle!$D$23,
IF(U402=regle!$E$11,regle!$E$23,
IF(U402=regle!$F$11,regle!$F$23,
IF(U402=regle!$G$11,regle!$G$23,
IF(U402=regle!$H$11,regle!$H$23,
IF(U402=regle!$I$11,regle!$I$23,
IF(U402=regle!$J$11,regle!$J$23,
IF(U402=regle!$K$11,regle!$K$23,0))))))))))))</f>
        <v>0</v>
      </c>
      <c r="AF402" s="17" t="b">
        <f>IF($A402,$J402*(IF(V402=regle!$B$11,regle!$B$23*IF(AO402=-2,1+regle!$B$35,1),
IF(V402=regle!$C$11,regle!$C$23,
IF(V402=regle!$D$11,regle!$D$23,
IF(V402=regle!$E$11,regle!$E$23,
IF(V402=regle!$F$11,regle!$F$23,
IF(V402=regle!$G$11,regle!$G$23,
IF(V402=regle!$H$11,regle!$H$23,
IF(V402=regle!$I$11,regle!$I$23,
IF(V402=regle!$J$11,regle!$J$23,
IF(V402=regle!$K$11,regle!$K$23,0))))))))))))</f>
        <v>0</v>
      </c>
      <c r="AG402" s="17" t="b">
        <f>IF($A402,$J402*(IF(W402=regle!$B$11,regle!$B$23*IF(AP402=-2,1+regle!$B$35,1),
IF(W402=regle!$C$11,regle!$C$23,
IF(W402=regle!$D$11,regle!$D$23,
IF(W402=regle!$E$11,regle!$E$23,
IF(W402=regle!$F$11,regle!$F$23,
IF(W402=regle!$G$11,regle!$G$23,
IF(W402=regle!$H$11,regle!$H$23,
IF(W402=regle!$I$11,regle!$I$23,
IF(W402=regle!$J$11,regle!$J$23,
IF(W402=regle!$K$11,regle!$K$23,0))))))))))))</f>
        <v>0</v>
      </c>
      <c r="AH402" s="17" t="b">
        <f>IF($A402,$J402*(IF(X402=regle!$B$11,regle!$B$23*IF(AQ402=-2,1+regle!$B$35,1),
IF(X402=regle!$C$11,regle!$C$23,
IF(X402=regle!$D$11,regle!$D$23,
IF(X402=regle!$E$11,regle!$E$23,
IF(X402=regle!$F$11,regle!$F$23,
IF(X402=regle!$G$11,regle!$G$23,
IF(X402=regle!$H$11,regle!$H$23,
IF(X402=regle!$I$11,regle!$I$23,
IF(X402=regle!$J$11,regle!$J$23,
IF(X402=regle!$K$11,regle!$K$23,0))))))))))))</f>
        <v>0</v>
      </c>
      <c r="AI402" s="17" t="b">
        <f>IF($A402,$J402*(IF(Y402=regle!$B$11,regle!$B$23*IF(AR402=-2,1+regle!$B$35,1),
IF(Y402=regle!$C$11,regle!$C$23,
IF(Y402=regle!$D$11,regle!$D$23,
IF(Y402=regle!$E$11,regle!$E$23,
IF(Y402=regle!$F$11,regle!$F$23,
IF(Y402=regle!$G$11,regle!$G$23,
IF(Y402=regle!$H$11,regle!$H$23,
IF(Y402=regle!$I$11,regle!$I$23,
IF(Y402=regle!$J$11,regle!$J$23,
IF(Y402=regle!$K$11,regle!$K$23,0))))))))))))</f>
        <v>0</v>
      </c>
      <c r="AJ402" s="17" t="b">
        <f>IF($A402,$J402*(IF(Z402=regle!$B$11,regle!$B$23*IF(AS402=-2,1+regle!$B$35,1),
IF(Z402=regle!$C$11,regle!$C$23,
IF(Z402=regle!$D$11,regle!$D$23,
IF(Z402=regle!$E$11,regle!$E$23,
IF(Z402=regle!$F$11,regle!$F$23,
IF(Z402=regle!$G$11,regle!$G$23,
IF(Z402=regle!$H$11,regle!$H$23,
IF(Z402=regle!$I$11,regle!$I$23,
IF(Z402=regle!$J$11,regle!$J$23,
IF(Z402=regle!$K$11,regle!$K$23,0))))))))))))</f>
        <v>0</v>
      </c>
      <c r="AK402" s="16">
        <f>IF(OR(Q402=regle!$J$11,Q402=regle!$K$11),-2,IF(Q402=regle!$B$11,0,IF(AK$1=$AK$1,IF($O402,-1,regle!$B$2-$M402),IF(AJ402=-1,-1,AJ402+1))))</f>
        <v>34</v>
      </c>
      <c r="AL402" s="16">
        <f>IF(OR(R402=regle!$J$11,R402=regle!$K$11),-2,IF(R402=regle!$B$11,0,IF(AL$1=$AK$1,IF($O402,-1,regle!$B$2-$M402),IF(AK402=-1,-1,AK402+1))))</f>
        <v>35</v>
      </c>
      <c r="AM402" s="16">
        <f>IF(OR(S402=regle!$J$11,S402=regle!$K$11),-2,IF(S402=regle!$B$11,0,IF(AM$1=$AK$1,IF($O402,-1,regle!$B$2-$M402),IF(AL402=-1,-1,AL402+1))))</f>
        <v>36</v>
      </c>
      <c r="AN402" s="16">
        <f>IF(OR(T402=regle!$J$11,T402=regle!$K$11),-2,IF(T402=regle!$B$11,0,IF(AN$1=$AK$1,IF($O402,-1,regle!$B$2-$M402),IF(AM402=-1,-1,AM402+1))))</f>
        <v>37</v>
      </c>
      <c r="AO402" s="16">
        <f>IF(OR(U402=regle!$J$11,U402=regle!$K$11),-2,IF(U402=regle!$B$11,0,IF(AO$1=$AK$1,IF($O402,-1,regle!$B$2-$M402),IF(AN402=-1,-1,AN402+1))))</f>
        <v>38</v>
      </c>
      <c r="AP402" s="16">
        <f>IF(OR(V402=regle!$J$11,V402=regle!$K$11),-2,IF(V402=regle!$B$11,0,IF(AP$1=$AK$1,IF($O402,-1,regle!$B$2-$M402),IF(AO402=-1,-1,AO402+1))))</f>
        <v>39</v>
      </c>
      <c r="AQ402" s="16">
        <f>IF(OR(W402=regle!$J$11,W402=regle!$K$11),-2,IF(W402=regle!$B$11,0,IF(AQ$1=$AK$1,IF($O402,-1,regle!$B$2-$M402),IF(AP402=-1,-1,AP402+1))))</f>
        <v>40</v>
      </c>
      <c r="AR402" s="16">
        <f>IF(OR(X402=regle!$J$11,X402=regle!$K$11),-2,IF(X402=regle!$B$11,0,IF(AR$1=$AK$1,IF($O402,-1,regle!$B$2-$M402),IF(AQ402=-1,-1,AQ402+1))))</f>
        <v>41</v>
      </c>
      <c r="AS402" s="16">
        <f>IF(OR(Y402=regle!$J$11,Y402=regle!$K$11),-2,IF(Y402=regle!$B$11,0,IF(AS$1=$AK$1,IF($O402,-1,regle!$B$2-$M402),IF(AR402=-1,-1,AR402+1))))</f>
        <v>42</v>
      </c>
      <c r="AT402" s="16">
        <f>IF(OR(Z402=regle!$J$11,Z402=regle!$K$11),-2,IF(Z402=regle!$B$11,0,IF(AT$1=$AK$1,IF($O402,-1,regle!$B$2-$M402),IF(AS402=-1,-1,AS402+1))))</f>
        <v>43</v>
      </c>
    </row>
    <row r="403" spans="1:46" x14ac:dyDescent="0.25">
      <c r="A403" t="b">
        <f>modif1!A403</f>
        <v>0</v>
      </c>
      <c r="B403">
        <f>ROW(modif1!B403)</f>
        <v>403</v>
      </c>
      <c r="C403" t="str">
        <f>modif1!C406</f>
        <v>536</v>
      </c>
      <c r="D403" t="str">
        <f>modif1!D403</f>
        <v>LE TUZAN</v>
      </c>
      <c r="E403">
        <f>modif1!E403</f>
        <v>21</v>
      </c>
      <c r="F403" t="str">
        <f>modif1!F403</f>
        <v>METAIRIES DE TABARTON</v>
      </c>
      <c r="G403" t="str">
        <f>modif1!G403</f>
        <v>0A</v>
      </c>
      <c r="H403">
        <f>modif1!H403</f>
        <v>523</v>
      </c>
      <c r="I403" t="str">
        <f>modif1!I403</f>
        <v>w</v>
      </c>
      <c r="J403" s="11">
        <f>modif1!J403</f>
        <v>4.5259999999999998</v>
      </c>
      <c r="K403" t="str">
        <f>modif1!K403</f>
        <v>TAIL</v>
      </c>
      <c r="L403" t="str">
        <f>modif1!L403</f>
        <v>FEUIL</v>
      </c>
      <c r="M403">
        <f>modif1!M403</f>
        <v>1987</v>
      </c>
      <c r="N403" t="str">
        <f>modif1!N403</f>
        <v>TAIL-FEUIL_1987</v>
      </c>
      <c r="O403" t="b">
        <f>modif1!O403</f>
        <v>0</v>
      </c>
      <c r="Z403"/>
      <c r="AA403" s="17" t="b">
        <f>IF($A403,$J403*(IF(Q403=regle!$B$11,regle!$B$23*IF(AJ403=-2,1+regle!$B$35,1),
IF(Q403=regle!$C$11,regle!$C$23,
IF(Q403=regle!$D$11,regle!$D$23,
IF(Q403=regle!$E$11,regle!$E$23,
IF(Q403=regle!$F$11,regle!$F$23,
IF(Q403=regle!$G$11,regle!$G$23,
IF(Q403=regle!$H$11,regle!$H$23,
IF(Q403=regle!$I$11,regle!$I$23,
IF(Q403=regle!$J$11,regle!$J$23,
IF(Q403=regle!$K$11,regle!$K$23,0))))))))))))</f>
        <v>0</v>
      </c>
      <c r="AB403" s="17" t="b">
        <f>IF($A403,$J403*(IF(R403=regle!$B$11,regle!$B$23*IF(AK403=-2,1+regle!$B$35,1),
IF(R403=regle!$C$11,regle!$C$23,
IF(R403=regle!$D$11,regle!$D$23,
IF(R403=regle!$E$11,regle!$E$23,
IF(R403=regle!$F$11,regle!$F$23,
IF(R403=regle!$G$11,regle!$G$23,
IF(R403=regle!$H$11,regle!$H$23,
IF(R403=regle!$I$11,regle!$I$23,
IF(R403=regle!$J$11,regle!$J$23,
IF(R403=regle!$K$11,regle!$K$23,0))))))))))))</f>
        <v>0</v>
      </c>
      <c r="AC403" s="17" t="b">
        <f>IF($A403,$J403*(IF(S403=regle!$B$11,regle!$B$23*IF(AL403=-2,1+regle!$B$35,1),
IF(S403=regle!$C$11,regle!$C$23,
IF(S403=regle!$D$11,regle!$D$23,
IF(S403=regle!$E$11,regle!$E$23,
IF(S403=regle!$F$11,regle!$F$23,
IF(S403=regle!$G$11,regle!$G$23,
IF(S403=regle!$H$11,regle!$H$23,
IF(S403=regle!$I$11,regle!$I$23,
IF(S403=regle!$J$11,regle!$J$23,
IF(S403=regle!$K$11,regle!$K$23,0))))))))))))</f>
        <v>0</v>
      </c>
      <c r="AD403" s="17" t="b">
        <f>IF($A403,$J403*(IF(T403=regle!$B$11,regle!$B$23*IF(AM403=-2,1+regle!$B$35,1),
IF(T403=regle!$C$11,regle!$C$23,
IF(T403=regle!$D$11,regle!$D$23,
IF(T403=regle!$E$11,regle!$E$23,
IF(T403=regle!$F$11,regle!$F$23,
IF(T403=regle!$G$11,regle!$G$23,
IF(T403=regle!$H$11,regle!$H$23,
IF(T403=regle!$I$11,regle!$I$23,
IF(T403=regle!$J$11,regle!$J$23,
IF(T403=regle!$K$11,regle!$K$23,0))))))))))))</f>
        <v>0</v>
      </c>
      <c r="AE403" s="17" t="b">
        <f>IF($A403,$J403*(IF(U403=regle!$B$11,regle!$B$23*IF(AN403=-2,1+regle!$B$35,1),
IF(U403=regle!$C$11,regle!$C$23,
IF(U403=regle!$D$11,regle!$D$23,
IF(U403=regle!$E$11,regle!$E$23,
IF(U403=regle!$F$11,regle!$F$23,
IF(U403=regle!$G$11,regle!$G$23,
IF(U403=regle!$H$11,regle!$H$23,
IF(U403=regle!$I$11,regle!$I$23,
IF(U403=regle!$J$11,regle!$J$23,
IF(U403=regle!$K$11,regle!$K$23,0))))))))))))</f>
        <v>0</v>
      </c>
      <c r="AF403" s="17" t="b">
        <f>IF($A403,$J403*(IF(V403=regle!$B$11,regle!$B$23*IF(AO403=-2,1+regle!$B$35,1),
IF(V403=regle!$C$11,regle!$C$23,
IF(V403=regle!$D$11,regle!$D$23,
IF(V403=regle!$E$11,regle!$E$23,
IF(V403=regle!$F$11,regle!$F$23,
IF(V403=regle!$G$11,regle!$G$23,
IF(V403=regle!$H$11,regle!$H$23,
IF(V403=regle!$I$11,regle!$I$23,
IF(V403=regle!$J$11,regle!$J$23,
IF(V403=regle!$K$11,regle!$K$23,0))))))))))))</f>
        <v>0</v>
      </c>
      <c r="AG403" s="17" t="b">
        <f>IF($A403,$J403*(IF(W403=regle!$B$11,regle!$B$23*IF(AP403=-2,1+regle!$B$35,1),
IF(W403=regle!$C$11,regle!$C$23,
IF(W403=regle!$D$11,regle!$D$23,
IF(W403=regle!$E$11,regle!$E$23,
IF(W403=regle!$F$11,regle!$F$23,
IF(W403=regle!$G$11,regle!$G$23,
IF(W403=regle!$H$11,regle!$H$23,
IF(W403=regle!$I$11,regle!$I$23,
IF(W403=regle!$J$11,regle!$J$23,
IF(W403=regle!$K$11,regle!$K$23,0))))))))))))</f>
        <v>0</v>
      </c>
      <c r="AH403" s="17" t="b">
        <f>IF($A403,$J403*(IF(X403=regle!$B$11,regle!$B$23*IF(AQ403=-2,1+regle!$B$35,1),
IF(X403=regle!$C$11,regle!$C$23,
IF(X403=regle!$D$11,regle!$D$23,
IF(X403=regle!$E$11,regle!$E$23,
IF(X403=regle!$F$11,regle!$F$23,
IF(X403=regle!$G$11,regle!$G$23,
IF(X403=regle!$H$11,regle!$H$23,
IF(X403=regle!$I$11,regle!$I$23,
IF(X403=regle!$J$11,regle!$J$23,
IF(X403=regle!$K$11,regle!$K$23,0))))))))))))</f>
        <v>0</v>
      </c>
      <c r="AI403" s="17" t="b">
        <f>IF($A403,$J403*(IF(Y403=regle!$B$11,regle!$B$23*IF(AR403=-2,1+regle!$B$35,1),
IF(Y403=regle!$C$11,regle!$C$23,
IF(Y403=regle!$D$11,regle!$D$23,
IF(Y403=regle!$E$11,regle!$E$23,
IF(Y403=regle!$F$11,regle!$F$23,
IF(Y403=regle!$G$11,regle!$G$23,
IF(Y403=regle!$H$11,regle!$H$23,
IF(Y403=regle!$I$11,regle!$I$23,
IF(Y403=regle!$J$11,regle!$J$23,
IF(Y403=regle!$K$11,regle!$K$23,0))))))))))))</f>
        <v>0</v>
      </c>
      <c r="AJ403" s="17" t="b">
        <f>IF($A403,$J403*(IF(Z403=regle!$B$11,regle!$B$23*IF(AS403=-2,1+regle!$B$35,1),
IF(Z403=regle!$C$11,regle!$C$23,
IF(Z403=regle!$D$11,regle!$D$23,
IF(Z403=regle!$E$11,regle!$E$23,
IF(Z403=regle!$F$11,regle!$F$23,
IF(Z403=regle!$G$11,regle!$G$23,
IF(Z403=regle!$H$11,regle!$H$23,
IF(Z403=regle!$I$11,regle!$I$23,
IF(Z403=regle!$J$11,regle!$J$23,
IF(Z403=regle!$K$11,regle!$K$23,0))))))))))))</f>
        <v>0</v>
      </c>
      <c r="AK403" s="16">
        <f>IF(OR(Q403=regle!$J$11,Q403=regle!$K$11),-2,IF(Q403=regle!$B$11,0,IF(AK$1=$AK$1,IF($O403,-1,regle!$B$2-$M403),IF(AJ403=-1,-1,AJ403+1))))</f>
        <v>37</v>
      </c>
      <c r="AL403" s="16">
        <f>IF(OR(R403=regle!$J$11,R403=regle!$K$11),-2,IF(R403=regle!$B$11,0,IF(AL$1=$AK$1,IF($O403,-1,regle!$B$2-$M403),IF(AK403=-1,-1,AK403+1))))</f>
        <v>38</v>
      </c>
      <c r="AM403" s="16">
        <f>IF(OR(S403=regle!$J$11,S403=regle!$K$11),-2,IF(S403=regle!$B$11,0,IF(AM$1=$AK$1,IF($O403,-1,regle!$B$2-$M403),IF(AL403=-1,-1,AL403+1))))</f>
        <v>39</v>
      </c>
      <c r="AN403" s="16">
        <f>IF(OR(T403=regle!$J$11,T403=regle!$K$11),-2,IF(T403=regle!$B$11,0,IF(AN$1=$AK$1,IF($O403,-1,regle!$B$2-$M403),IF(AM403=-1,-1,AM403+1))))</f>
        <v>40</v>
      </c>
      <c r="AO403" s="16">
        <f>IF(OR(U403=regle!$J$11,U403=regle!$K$11),-2,IF(U403=regle!$B$11,0,IF(AO$1=$AK$1,IF($O403,-1,regle!$B$2-$M403),IF(AN403=-1,-1,AN403+1))))</f>
        <v>41</v>
      </c>
      <c r="AP403" s="16">
        <f>IF(OR(V403=regle!$J$11,V403=regle!$K$11),-2,IF(V403=regle!$B$11,0,IF(AP$1=$AK$1,IF($O403,-1,regle!$B$2-$M403),IF(AO403=-1,-1,AO403+1))))</f>
        <v>42</v>
      </c>
      <c r="AQ403" s="16">
        <f>IF(OR(W403=regle!$J$11,W403=regle!$K$11),-2,IF(W403=regle!$B$11,0,IF(AQ$1=$AK$1,IF($O403,-1,regle!$B$2-$M403),IF(AP403=-1,-1,AP403+1))))</f>
        <v>43</v>
      </c>
      <c r="AR403" s="16">
        <f>IF(OR(X403=regle!$J$11,X403=regle!$K$11),-2,IF(X403=regle!$B$11,0,IF(AR$1=$AK$1,IF($O403,-1,regle!$B$2-$M403),IF(AQ403=-1,-1,AQ403+1))))</f>
        <v>44</v>
      </c>
      <c r="AS403" s="16">
        <f>IF(OR(Y403=regle!$J$11,Y403=regle!$K$11),-2,IF(Y403=regle!$B$11,0,IF(AS$1=$AK$1,IF($O403,-1,regle!$B$2-$M403),IF(AR403=-1,-1,AR403+1))))</f>
        <v>45</v>
      </c>
      <c r="AT403" s="16">
        <f>IF(OR(Z403=regle!$J$11,Z403=regle!$K$11),-2,IF(Z403=regle!$B$11,0,IF(AT$1=$AK$1,IF($O403,-1,regle!$B$2-$M403),IF(AS403=-1,-1,AS403+1))))</f>
        <v>46</v>
      </c>
    </row>
    <row r="404" spans="1:46" x14ac:dyDescent="0.25">
      <c r="A404" t="b">
        <f>modif1!A404</f>
        <v>0</v>
      </c>
      <c r="B404">
        <f>ROW(modif1!B404)</f>
        <v>404</v>
      </c>
      <c r="C404" t="str">
        <f>modif1!C407</f>
        <v>536</v>
      </c>
      <c r="D404" t="str">
        <f>modif1!D404</f>
        <v>LE TUZAN</v>
      </c>
      <c r="E404">
        <f>modif1!E404</f>
        <v>21</v>
      </c>
      <c r="F404" t="str">
        <f>modif1!F404</f>
        <v>METAIRIES DE TABARTON</v>
      </c>
      <c r="G404" t="str">
        <f>modif1!G404</f>
        <v>0A</v>
      </c>
      <c r="H404">
        <f>modif1!H404</f>
        <v>417</v>
      </c>
      <c r="I404" t="str">
        <f>modif1!I404</f>
        <v>a</v>
      </c>
      <c r="J404" s="11">
        <f>modif1!J404</f>
        <v>2.4418000000000002</v>
      </c>
      <c r="K404" t="str">
        <f>modif1!K404</f>
        <v>TAIL</v>
      </c>
      <c r="L404" t="str">
        <f>modif1!L404</f>
        <v>FEUIL</v>
      </c>
      <c r="M404">
        <f>modif1!M404</f>
        <v>1987</v>
      </c>
      <c r="N404" t="str">
        <f>modif1!N404</f>
        <v>TAIL-FEUIL_1987</v>
      </c>
      <c r="O404" t="b">
        <f>modif1!O404</f>
        <v>0</v>
      </c>
      <c r="Z404"/>
      <c r="AA404" s="17" t="b">
        <f>IF($A404,$J404*(IF(Q404=regle!$B$11,regle!$B$23*IF(AJ404=-2,1+regle!$B$35,1),
IF(Q404=regle!$C$11,regle!$C$23,
IF(Q404=regle!$D$11,regle!$D$23,
IF(Q404=regle!$E$11,regle!$E$23,
IF(Q404=regle!$F$11,regle!$F$23,
IF(Q404=regle!$G$11,regle!$G$23,
IF(Q404=regle!$H$11,regle!$H$23,
IF(Q404=regle!$I$11,regle!$I$23,
IF(Q404=regle!$J$11,regle!$J$23,
IF(Q404=regle!$K$11,regle!$K$23,0))))))))))))</f>
        <v>0</v>
      </c>
      <c r="AB404" s="17" t="b">
        <f>IF($A404,$J404*(IF(R404=regle!$B$11,regle!$B$23*IF(AK404=-2,1+regle!$B$35,1),
IF(R404=regle!$C$11,regle!$C$23,
IF(R404=regle!$D$11,regle!$D$23,
IF(R404=regle!$E$11,regle!$E$23,
IF(R404=regle!$F$11,regle!$F$23,
IF(R404=regle!$G$11,regle!$G$23,
IF(R404=regle!$H$11,regle!$H$23,
IF(R404=regle!$I$11,regle!$I$23,
IF(R404=regle!$J$11,regle!$J$23,
IF(R404=regle!$K$11,regle!$K$23,0))))))))))))</f>
        <v>0</v>
      </c>
      <c r="AC404" s="17" t="b">
        <f>IF($A404,$J404*(IF(S404=regle!$B$11,regle!$B$23*IF(AL404=-2,1+regle!$B$35,1),
IF(S404=regle!$C$11,regle!$C$23,
IF(S404=regle!$D$11,regle!$D$23,
IF(S404=regle!$E$11,regle!$E$23,
IF(S404=regle!$F$11,regle!$F$23,
IF(S404=regle!$G$11,regle!$G$23,
IF(S404=regle!$H$11,regle!$H$23,
IF(S404=regle!$I$11,regle!$I$23,
IF(S404=regle!$J$11,regle!$J$23,
IF(S404=regle!$K$11,regle!$K$23,0))))))))))))</f>
        <v>0</v>
      </c>
      <c r="AD404" s="17" t="b">
        <f>IF($A404,$J404*(IF(T404=regle!$B$11,regle!$B$23*IF(AM404=-2,1+regle!$B$35,1),
IF(T404=regle!$C$11,regle!$C$23,
IF(T404=regle!$D$11,regle!$D$23,
IF(T404=regle!$E$11,regle!$E$23,
IF(T404=regle!$F$11,regle!$F$23,
IF(T404=regle!$G$11,regle!$G$23,
IF(T404=regle!$H$11,regle!$H$23,
IF(T404=regle!$I$11,regle!$I$23,
IF(T404=regle!$J$11,regle!$J$23,
IF(T404=regle!$K$11,regle!$K$23,0))))))))))))</f>
        <v>0</v>
      </c>
      <c r="AE404" s="17" t="b">
        <f>IF($A404,$J404*(IF(U404=regle!$B$11,regle!$B$23*IF(AN404=-2,1+regle!$B$35,1),
IF(U404=regle!$C$11,regle!$C$23,
IF(U404=regle!$D$11,regle!$D$23,
IF(U404=regle!$E$11,regle!$E$23,
IF(U404=regle!$F$11,regle!$F$23,
IF(U404=regle!$G$11,regle!$G$23,
IF(U404=regle!$H$11,regle!$H$23,
IF(U404=regle!$I$11,regle!$I$23,
IF(U404=regle!$J$11,regle!$J$23,
IF(U404=regle!$K$11,regle!$K$23,0))))))))))))</f>
        <v>0</v>
      </c>
      <c r="AF404" s="17" t="b">
        <f>IF($A404,$J404*(IF(V404=regle!$B$11,regle!$B$23*IF(AO404=-2,1+regle!$B$35,1),
IF(V404=regle!$C$11,regle!$C$23,
IF(V404=regle!$D$11,regle!$D$23,
IF(V404=regle!$E$11,regle!$E$23,
IF(V404=regle!$F$11,regle!$F$23,
IF(V404=regle!$G$11,regle!$G$23,
IF(V404=regle!$H$11,regle!$H$23,
IF(V404=regle!$I$11,regle!$I$23,
IF(V404=regle!$J$11,regle!$J$23,
IF(V404=regle!$K$11,regle!$K$23,0))))))))))))</f>
        <v>0</v>
      </c>
      <c r="AG404" s="17" t="b">
        <f>IF($A404,$J404*(IF(W404=regle!$B$11,regle!$B$23*IF(AP404=-2,1+regle!$B$35,1),
IF(W404=regle!$C$11,regle!$C$23,
IF(W404=regle!$D$11,regle!$D$23,
IF(W404=regle!$E$11,regle!$E$23,
IF(W404=regle!$F$11,regle!$F$23,
IF(W404=regle!$G$11,regle!$G$23,
IF(W404=regle!$H$11,regle!$H$23,
IF(W404=regle!$I$11,regle!$I$23,
IF(W404=regle!$J$11,regle!$J$23,
IF(W404=regle!$K$11,regle!$K$23,0))))))))))))</f>
        <v>0</v>
      </c>
      <c r="AH404" s="17" t="b">
        <f>IF($A404,$J404*(IF(X404=regle!$B$11,regle!$B$23*IF(AQ404=-2,1+regle!$B$35,1),
IF(X404=regle!$C$11,regle!$C$23,
IF(X404=regle!$D$11,regle!$D$23,
IF(X404=regle!$E$11,regle!$E$23,
IF(X404=regle!$F$11,regle!$F$23,
IF(X404=regle!$G$11,regle!$G$23,
IF(X404=regle!$H$11,regle!$H$23,
IF(X404=regle!$I$11,regle!$I$23,
IF(X404=regle!$J$11,regle!$J$23,
IF(X404=regle!$K$11,regle!$K$23,0))))))))))))</f>
        <v>0</v>
      </c>
      <c r="AI404" s="17" t="b">
        <f>IF($A404,$J404*(IF(Y404=regle!$B$11,regle!$B$23*IF(AR404=-2,1+regle!$B$35,1),
IF(Y404=regle!$C$11,regle!$C$23,
IF(Y404=regle!$D$11,regle!$D$23,
IF(Y404=regle!$E$11,regle!$E$23,
IF(Y404=regle!$F$11,regle!$F$23,
IF(Y404=regle!$G$11,regle!$G$23,
IF(Y404=regle!$H$11,regle!$H$23,
IF(Y404=regle!$I$11,regle!$I$23,
IF(Y404=regle!$J$11,regle!$J$23,
IF(Y404=regle!$K$11,regle!$K$23,0))))))))))))</f>
        <v>0</v>
      </c>
      <c r="AJ404" s="17" t="b">
        <f>IF($A404,$J404*(IF(Z404=regle!$B$11,regle!$B$23*IF(AS404=-2,1+regle!$B$35,1),
IF(Z404=regle!$C$11,regle!$C$23,
IF(Z404=regle!$D$11,regle!$D$23,
IF(Z404=regle!$E$11,regle!$E$23,
IF(Z404=regle!$F$11,regle!$F$23,
IF(Z404=regle!$G$11,regle!$G$23,
IF(Z404=regle!$H$11,regle!$H$23,
IF(Z404=regle!$I$11,regle!$I$23,
IF(Z404=regle!$J$11,regle!$J$23,
IF(Z404=regle!$K$11,regle!$K$23,0))))))))))))</f>
        <v>0</v>
      </c>
      <c r="AK404" s="16">
        <f>IF(OR(Q404=regle!$J$11,Q404=regle!$K$11),-2,IF(Q404=regle!$B$11,0,IF(AK$1=$AK$1,IF($O404,-1,regle!$B$2-$M404),IF(AJ404=-1,-1,AJ404+1))))</f>
        <v>37</v>
      </c>
      <c r="AL404" s="16">
        <f>IF(OR(R404=regle!$J$11,R404=regle!$K$11),-2,IF(R404=regle!$B$11,0,IF(AL$1=$AK$1,IF($O404,-1,regle!$B$2-$M404),IF(AK404=-1,-1,AK404+1))))</f>
        <v>38</v>
      </c>
      <c r="AM404" s="16">
        <f>IF(OR(S404=regle!$J$11,S404=regle!$K$11),-2,IF(S404=regle!$B$11,0,IF(AM$1=$AK$1,IF($O404,-1,regle!$B$2-$M404),IF(AL404=-1,-1,AL404+1))))</f>
        <v>39</v>
      </c>
      <c r="AN404" s="16">
        <f>IF(OR(T404=regle!$J$11,T404=regle!$K$11),-2,IF(T404=regle!$B$11,0,IF(AN$1=$AK$1,IF($O404,-1,regle!$B$2-$M404),IF(AM404=-1,-1,AM404+1))))</f>
        <v>40</v>
      </c>
      <c r="AO404" s="16">
        <f>IF(OR(U404=regle!$J$11,U404=regle!$K$11),-2,IF(U404=regle!$B$11,0,IF(AO$1=$AK$1,IF($O404,-1,regle!$B$2-$M404),IF(AN404=-1,-1,AN404+1))))</f>
        <v>41</v>
      </c>
      <c r="AP404" s="16">
        <f>IF(OR(V404=regle!$J$11,V404=regle!$K$11),-2,IF(V404=regle!$B$11,0,IF(AP$1=$AK$1,IF($O404,-1,regle!$B$2-$M404),IF(AO404=-1,-1,AO404+1))))</f>
        <v>42</v>
      </c>
      <c r="AQ404" s="16">
        <f>IF(OR(W404=regle!$J$11,W404=regle!$K$11),-2,IF(W404=regle!$B$11,0,IF(AQ$1=$AK$1,IF($O404,-1,regle!$B$2-$M404),IF(AP404=-1,-1,AP404+1))))</f>
        <v>43</v>
      </c>
      <c r="AR404" s="16">
        <f>IF(OR(X404=regle!$J$11,X404=regle!$K$11),-2,IF(X404=regle!$B$11,0,IF(AR$1=$AK$1,IF($O404,-1,regle!$B$2-$M404),IF(AQ404=-1,-1,AQ404+1))))</f>
        <v>44</v>
      </c>
      <c r="AS404" s="16">
        <f>IF(OR(Y404=regle!$J$11,Y404=regle!$K$11),-2,IF(Y404=regle!$B$11,0,IF(AS$1=$AK$1,IF($O404,-1,regle!$B$2-$M404),IF(AR404=-1,-1,AR404+1))))</f>
        <v>45</v>
      </c>
      <c r="AT404" s="16">
        <f>IF(OR(Z404=regle!$J$11,Z404=regle!$K$11),-2,IF(Z404=regle!$B$11,0,IF(AT$1=$AK$1,IF($O404,-1,regle!$B$2-$M404),IF(AS404=-1,-1,AS404+1))))</f>
        <v>46</v>
      </c>
    </row>
    <row r="405" spans="1:46" x14ac:dyDescent="0.25">
      <c r="A405" t="b">
        <f>modif1!A405</f>
        <v>0</v>
      </c>
      <c r="B405">
        <f>ROW(modif1!B405)</f>
        <v>405</v>
      </c>
      <c r="C405" t="str">
        <f>modif1!C408</f>
        <v>536</v>
      </c>
      <c r="D405" t="str">
        <f>modif1!D405</f>
        <v>LE TUZAN</v>
      </c>
      <c r="E405">
        <f>modif1!E405</f>
        <v>21</v>
      </c>
      <c r="F405" t="str">
        <f>modif1!F405</f>
        <v>METAIRIES DE TABARTON</v>
      </c>
      <c r="G405" t="str">
        <f>modif1!G405</f>
        <v>0A</v>
      </c>
      <c r="H405">
        <f>modif1!H405</f>
        <v>407</v>
      </c>
      <c r="I405" t="str">
        <f>modif1!I405</f>
        <v>c</v>
      </c>
      <c r="J405" s="11">
        <f>modif1!J405</f>
        <v>1.3096000000000001</v>
      </c>
      <c r="K405" t="str">
        <f>modif1!K405</f>
        <v>TAIL</v>
      </c>
      <c r="L405" t="str">
        <f>modif1!L405</f>
        <v>FEUIL</v>
      </c>
      <c r="M405">
        <f>modif1!M405</f>
        <v>1987</v>
      </c>
      <c r="N405" t="str">
        <f>modif1!N405</f>
        <v>TAIL-FEUIL_1987</v>
      </c>
      <c r="O405" t="b">
        <f>modif1!O405</f>
        <v>0</v>
      </c>
      <c r="Z405"/>
      <c r="AA405" s="17" t="b">
        <f>IF($A405,$J405*(IF(Q405=regle!$B$11,regle!$B$23*IF(AJ405=-2,1+regle!$B$35,1),
IF(Q405=regle!$C$11,regle!$C$23,
IF(Q405=regle!$D$11,regle!$D$23,
IF(Q405=regle!$E$11,regle!$E$23,
IF(Q405=regle!$F$11,regle!$F$23,
IF(Q405=regle!$G$11,regle!$G$23,
IF(Q405=regle!$H$11,regle!$H$23,
IF(Q405=regle!$I$11,regle!$I$23,
IF(Q405=regle!$J$11,regle!$J$23,
IF(Q405=regle!$K$11,regle!$K$23,0))))))))))))</f>
        <v>0</v>
      </c>
      <c r="AB405" s="17" t="b">
        <f>IF($A405,$J405*(IF(R405=regle!$B$11,regle!$B$23*IF(AK405=-2,1+regle!$B$35,1),
IF(R405=regle!$C$11,regle!$C$23,
IF(R405=regle!$D$11,regle!$D$23,
IF(R405=regle!$E$11,regle!$E$23,
IF(R405=regle!$F$11,regle!$F$23,
IF(R405=regle!$G$11,regle!$G$23,
IF(R405=regle!$H$11,regle!$H$23,
IF(R405=regle!$I$11,regle!$I$23,
IF(R405=regle!$J$11,regle!$J$23,
IF(R405=regle!$K$11,regle!$K$23,0))))))))))))</f>
        <v>0</v>
      </c>
      <c r="AC405" s="17" t="b">
        <f>IF($A405,$J405*(IF(S405=regle!$B$11,regle!$B$23*IF(AL405=-2,1+regle!$B$35,1),
IF(S405=regle!$C$11,regle!$C$23,
IF(S405=regle!$D$11,regle!$D$23,
IF(S405=regle!$E$11,regle!$E$23,
IF(S405=regle!$F$11,regle!$F$23,
IF(S405=regle!$G$11,regle!$G$23,
IF(S405=regle!$H$11,regle!$H$23,
IF(S405=regle!$I$11,regle!$I$23,
IF(S405=regle!$J$11,regle!$J$23,
IF(S405=regle!$K$11,regle!$K$23,0))))))))))))</f>
        <v>0</v>
      </c>
      <c r="AD405" s="17" t="b">
        <f>IF($A405,$J405*(IF(T405=regle!$B$11,regle!$B$23*IF(AM405=-2,1+regle!$B$35,1),
IF(T405=regle!$C$11,regle!$C$23,
IF(T405=regle!$D$11,regle!$D$23,
IF(T405=regle!$E$11,regle!$E$23,
IF(T405=regle!$F$11,regle!$F$23,
IF(T405=regle!$G$11,regle!$G$23,
IF(T405=regle!$H$11,regle!$H$23,
IF(T405=regle!$I$11,regle!$I$23,
IF(T405=regle!$J$11,regle!$J$23,
IF(T405=regle!$K$11,regle!$K$23,0))))))))))))</f>
        <v>0</v>
      </c>
      <c r="AE405" s="17" t="b">
        <f>IF($A405,$J405*(IF(U405=regle!$B$11,regle!$B$23*IF(AN405=-2,1+regle!$B$35,1),
IF(U405=regle!$C$11,regle!$C$23,
IF(U405=regle!$D$11,regle!$D$23,
IF(U405=regle!$E$11,regle!$E$23,
IF(U405=regle!$F$11,regle!$F$23,
IF(U405=regle!$G$11,regle!$G$23,
IF(U405=regle!$H$11,regle!$H$23,
IF(U405=regle!$I$11,regle!$I$23,
IF(U405=regle!$J$11,regle!$J$23,
IF(U405=regle!$K$11,regle!$K$23,0))))))))))))</f>
        <v>0</v>
      </c>
      <c r="AF405" s="17" t="b">
        <f>IF($A405,$J405*(IF(V405=regle!$B$11,regle!$B$23*IF(AO405=-2,1+regle!$B$35,1),
IF(V405=regle!$C$11,regle!$C$23,
IF(V405=regle!$D$11,regle!$D$23,
IF(V405=regle!$E$11,regle!$E$23,
IF(V405=regle!$F$11,regle!$F$23,
IF(V405=regle!$G$11,regle!$G$23,
IF(V405=regle!$H$11,regle!$H$23,
IF(V405=regle!$I$11,regle!$I$23,
IF(V405=regle!$J$11,regle!$J$23,
IF(V405=regle!$K$11,regle!$K$23,0))))))))))))</f>
        <v>0</v>
      </c>
      <c r="AG405" s="17" t="b">
        <f>IF($A405,$J405*(IF(W405=regle!$B$11,regle!$B$23*IF(AP405=-2,1+regle!$B$35,1),
IF(W405=regle!$C$11,regle!$C$23,
IF(W405=regle!$D$11,regle!$D$23,
IF(W405=regle!$E$11,regle!$E$23,
IF(W405=regle!$F$11,regle!$F$23,
IF(W405=regle!$G$11,regle!$G$23,
IF(W405=regle!$H$11,regle!$H$23,
IF(W405=regle!$I$11,regle!$I$23,
IF(W405=regle!$J$11,regle!$J$23,
IF(W405=regle!$K$11,regle!$K$23,0))))))))))))</f>
        <v>0</v>
      </c>
      <c r="AH405" s="17" t="b">
        <f>IF($A405,$J405*(IF(X405=regle!$B$11,regle!$B$23*IF(AQ405=-2,1+regle!$B$35,1),
IF(X405=regle!$C$11,regle!$C$23,
IF(X405=regle!$D$11,regle!$D$23,
IF(X405=regle!$E$11,regle!$E$23,
IF(X405=regle!$F$11,regle!$F$23,
IF(X405=regle!$G$11,regle!$G$23,
IF(X405=regle!$H$11,regle!$H$23,
IF(X405=regle!$I$11,regle!$I$23,
IF(X405=regle!$J$11,regle!$J$23,
IF(X405=regle!$K$11,regle!$K$23,0))))))))))))</f>
        <v>0</v>
      </c>
      <c r="AI405" s="17" t="b">
        <f>IF($A405,$J405*(IF(Y405=regle!$B$11,regle!$B$23*IF(AR405=-2,1+regle!$B$35,1),
IF(Y405=regle!$C$11,regle!$C$23,
IF(Y405=regle!$D$11,regle!$D$23,
IF(Y405=regle!$E$11,regle!$E$23,
IF(Y405=regle!$F$11,regle!$F$23,
IF(Y405=regle!$G$11,regle!$G$23,
IF(Y405=regle!$H$11,regle!$H$23,
IF(Y405=regle!$I$11,regle!$I$23,
IF(Y405=regle!$J$11,regle!$J$23,
IF(Y405=regle!$K$11,regle!$K$23,0))))))))))))</f>
        <v>0</v>
      </c>
      <c r="AJ405" s="17" t="b">
        <f>IF($A405,$J405*(IF(Z405=regle!$B$11,regle!$B$23*IF(AS405=-2,1+regle!$B$35,1),
IF(Z405=regle!$C$11,regle!$C$23,
IF(Z405=regle!$D$11,regle!$D$23,
IF(Z405=regle!$E$11,regle!$E$23,
IF(Z405=regle!$F$11,regle!$F$23,
IF(Z405=regle!$G$11,regle!$G$23,
IF(Z405=regle!$H$11,regle!$H$23,
IF(Z405=regle!$I$11,regle!$I$23,
IF(Z405=regle!$J$11,regle!$J$23,
IF(Z405=regle!$K$11,regle!$K$23,0))))))))))))</f>
        <v>0</v>
      </c>
      <c r="AK405" s="16">
        <f>IF(OR(Q405=regle!$J$11,Q405=regle!$K$11),-2,IF(Q405=regle!$B$11,0,IF(AK$1=$AK$1,IF($O405,-1,regle!$B$2-$M405),IF(AJ405=-1,-1,AJ405+1))))</f>
        <v>37</v>
      </c>
      <c r="AL405" s="16">
        <f>IF(OR(R405=regle!$J$11,R405=regle!$K$11),-2,IF(R405=regle!$B$11,0,IF(AL$1=$AK$1,IF($O405,-1,regle!$B$2-$M405),IF(AK405=-1,-1,AK405+1))))</f>
        <v>38</v>
      </c>
      <c r="AM405" s="16">
        <f>IF(OR(S405=regle!$J$11,S405=regle!$K$11),-2,IF(S405=regle!$B$11,0,IF(AM$1=$AK$1,IF($O405,-1,regle!$B$2-$M405),IF(AL405=-1,-1,AL405+1))))</f>
        <v>39</v>
      </c>
      <c r="AN405" s="16">
        <f>IF(OR(T405=regle!$J$11,T405=regle!$K$11),-2,IF(T405=regle!$B$11,0,IF(AN$1=$AK$1,IF($O405,-1,regle!$B$2-$M405),IF(AM405=-1,-1,AM405+1))))</f>
        <v>40</v>
      </c>
      <c r="AO405" s="16">
        <f>IF(OR(U405=regle!$J$11,U405=regle!$K$11),-2,IF(U405=regle!$B$11,0,IF(AO$1=$AK$1,IF($O405,-1,regle!$B$2-$M405),IF(AN405=-1,-1,AN405+1))))</f>
        <v>41</v>
      </c>
      <c r="AP405" s="16">
        <f>IF(OR(V405=regle!$J$11,V405=regle!$K$11),-2,IF(V405=regle!$B$11,0,IF(AP$1=$AK$1,IF($O405,-1,regle!$B$2-$M405),IF(AO405=-1,-1,AO405+1))))</f>
        <v>42</v>
      </c>
      <c r="AQ405" s="16">
        <f>IF(OR(W405=regle!$J$11,W405=regle!$K$11),-2,IF(W405=regle!$B$11,0,IF(AQ$1=$AK$1,IF($O405,-1,regle!$B$2-$M405),IF(AP405=-1,-1,AP405+1))))</f>
        <v>43</v>
      </c>
      <c r="AR405" s="16">
        <f>IF(OR(X405=regle!$J$11,X405=regle!$K$11),-2,IF(X405=regle!$B$11,0,IF(AR$1=$AK$1,IF($O405,-1,regle!$B$2-$M405),IF(AQ405=-1,-1,AQ405+1))))</f>
        <v>44</v>
      </c>
      <c r="AS405" s="16">
        <f>IF(OR(Y405=regle!$J$11,Y405=regle!$K$11),-2,IF(Y405=regle!$B$11,0,IF(AS$1=$AK$1,IF($O405,-1,regle!$B$2-$M405),IF(AR405=-1,-1,AR405+1))))</f>
        <v>45</v>
      </c>
      <c r="AT405" s="16">
        <f>IF(OR(Z405=regle!$J$11,Z405=regle!$K$11),-2,IF(Z405=regle!$B$11,0,IF(AT$1=$AK$1,IF($O405,-1,regle!$B$2-$M405),IF(AS405=-1,-1,AS405+1))))</f>
        <v>46</v>
      </c>
    </row>
    <row r="406" spans="1:46" x14ac:dyDescent="0.25">
      <c r="A406" t="b">
        <f>modif1!A406</f>
        <v>0</v>
      </c>
      <c r="B406">
        <f>ROW(modif1!B406)</f>
        <v>406</v>
      </c>
      <c r="C406" t="str">
        <f>modif1!C409</f>
        <v>536</v>
      </c>
      <c r="D406" t="str">
        <f>modif1!D406</f>
        <v>LE TUZAN</v>
      </c>
      <c r="E406">
        <f>modif1!E406</f>
        <v>21</v>
      </c>
      <c r="F406" t="str">
        <f>modif1!F406</f>
        <v>METAIRIES DE TABARTON</v>
      </c>
      <c r="G406" t="str">
        <f>modif1!G406</f>
        <v>0A</v>
      </c>
      <c r="H406">
        <f>modif1!H406</f>
        <v>523</v>
      </c>
      <c r="I406" t="str">
        <f>modif1!I406</f>
        <v>v</v>
      </c>
      <c r="J406" s="11">
        <f>modif1!J406</f>
        <v>0.2964</v>
      </c>
      <c r="K406" t="str">
        <f>modif1!K406</f>
        <v>TAIL</v>
      </c>
      <c r="L406" t="str">
        <f>modif1!L406</f>
        <v>FEUIL</v>
      </c>
      <c r="M406">
        <f>modif1!M406</f>
        <v>1987</v>
      </c>
      <c r="N406" t="str">
        <f>modif1!N406</f>
        <v>TAIL-FEUIL_1987</v>
      </c>
      <c r="O406" t="b">
        <f>modif1!O406</f>
        <v>0</v>
      </c>
      <c r="Z406"/>
      <c r="AA406" s="17" t="b">
        <f>IF($A406,$J406*(IF(Q406=regle!$B$11,regle!$B$23*IF(AJ406=-2,1+regle!$B$35,1),
IF(Q406=regle!$C$11,regle!$C$23,
IF(Q406=regle!$D$11,regle!$D$23,
IF(Q406=regle!$E$11,regle!$E$23,
IF(Q406=regle!$F$11,regle!$F$23,
IF(Q406=regle!$G$11,regle!$G$23,
IF(Q406=regle!$H$11,regle!$H$23,
IF(Q406=regle!$I$11,regle!$I$23,
IF(Q406=regle!$J$11,regle!$J$23,
IF(Q406=regle!$K$11,regle!$K$23,0))))))))))))</f>
        <v>0</v>
      </c>
      <c r="AB406" s="17" t="b">
        <f>IF($A406,$J406*(IF(R406=regle!$B$11,regle!$B$23*IF(AK406=-2,1+regle!$B$35,1),
IF(R406=regle!$C$11,regle!$C$23,
IF(R406=regle!$D$11,regle!$D$23,
IF(R406=regle!$E$11,regle!$E$23,
IF(R406=regle!$F$11,regle!$F$23,
IF(R406=regle!$G$11,regle!$G$23,
IF(R406=regle!$H$11,regle!$H$23,
IF(R406=regle!$I$11,regle!$I$23,
IF(R406=regle!$J$11,regle!$J$23,
IF(R406=regle!$K$11,regle!$K$23,0))))))))))))</f>
        <v>0</v>
      </c>
      <c r="AC406" s="17" t="b">
        <f>IF($A406,$J406*(IF(S406=regle!$B$11,regle!$B$23*IF(AL406=-2,1+regle!$B$35,1),
IF(S406=regle!$C$11,regle!$C$23,
IF(S406=regle!$D$11,regle!$D$23,
IF(S406=regle!$E$11,regle!$E$23,
IF(S406=regle!$F$11,regle!$F$23,
IF(S406=regle!$G$11,regle!$G$23,
IF(S406=regle!$H$11,regle!$H$23,
IF(S406=regle!$I$11,regle!$I$23,
IF(S406=regle!$J$11,regle!$J$23,
IF(S406=regle!$K$11,regle!$K$23,0))))))))))))</f>
        <v>0</v>
      </c>
      <c r="AD406" s="17" t="b">
        <f>IF($A406,$J406*(IF(T406=regle!$B$11,regle!$B$23*IF(AM406=-2,1+regle!$B$35,1),
IF(T406=regle!$C$11,regle!$C$23,
IF(T406=regle!$D$11,regle!$D$23,
IF(T406=regle!$E$11,regle!$E$23,
IF(T406=regle!$F$11,regle!$F$23,
IF(T406=regle!$G$11,regle!$G$23,
IF(T406=regle!$H$11,regle!$H$23,
IF(T406=regle!$I$11,regle!$I$23,
IF(T406=regle!$J$11,regle!$J$23,
IF(T406=regle!$K$11,regle!$K$23,0))))))))))))</f>
        <v>0</v>
      </c>
      <c r="AE406" s="17" t="b">
        <f>IF($A406,$J406*(IF(U406=regle!$B$11,regle!$B$23*IF(AN406=-2,1+regle!$B$35,1),
IF(U406=regle!$C$11,regle!$C$23,
IF(U406=regle!$D$11,regle!$D$23,
IF(U406=regle!$E$11,regle!$E$23,
IF(U406=regle!$F$11,regle!$F$23,
IF(U406=regle!$G$11,regle!$G$23,
IF(U406=regle!$H$11,regle!$H$23,
IF(U406=regle!$I$11,regle!$I$23,
IF(U406=regle!$J$11,regle!$J$23,
IF(U406=regle!$K$11,regle!$K$23,0))))))))))))</f>
        <v>0</v>
      </c>
      <c r="AF406" s="17" t="b">
        <f>IF($A406,$J406*(IF(V406=regle!$B$11,regle!$B$23*IF(AO406=-2,1+regle!$B$35,1),
IF(V406=regle!$C$11,regle!$C$23,
IF(V406=regle!$D$11,regle!$D$23,
IF(V406=regle!$E$11,regle!$E$23,
IF(V406=regle!$F$11,regle!$F$23,
IF(V406=regle!$G$11,regle!$G$23,
IF(V406=regle!$H$11,regle!$H$23,
IF(V406=regle!$I$11,regle!$I$23,
IF(V406=regle!$J$11,regle!$J$23,
IF(V406=regle!$K$11,regle!$K$23,0))))))))))))</f>
        <v>0</v>
      </c>
      <c r="AG406" s="17" t="b">
        <f>IF($A406,$J406*(IF(W406=regle!$B$11,regle!$B$23*IF(AP406=-2,1+regle!$B$35,1),
IF(W406=regle!$C$11,regle!$C$23,
IF(W406=regle!$D$11,regle!$D$23,
IF(W406=regle!$E$11,regle!$E$23,
IF(W406=regle!$F$11,regle!$F$23,
IF(W406=regle!$G$11,regle!$G$23,
IF(W406=regle!$H$11,regle!$H$23,
IF(W406=regle!$I$11,regle!$I$23,
IF(W406=regle!$J$11,regle!$J$23,
IF(W406=regle!$K$11,regle!$K$23,0))))))))))))</f>
        <v>0</v>
      </c>
      <c r="AH406" s="17" t="b">
        <f>IF($A406,$J406*(IF(X406=regle!$B$11,regle!$B$23*IF(AQ406=-2,1+regle!$B$35,1),
IF(X406=regle!$C$11,regle!$C$23,
IF(X406=regle!$D$11,regle!$D$23,
IF(X406=regle!$E$11,regle!$E$23,
IF(X406=regle!$F$11,regle!$F$23,
IF(X406=regle!$G$11,regle!$G$23,
IF(X406=regle!$H$11,regle!$H$23,
IF(X406=regle!$I$11,regle!$I$23,
IF(X406=regle!$J$11,regle!$J$23,
IF(X406=regle!$K$11,regle!$K$23,0))))))))))))</f>
        <v>0</v>
      </c>
      <c r="AI406" s="17" t="b">
        <f>IF($A406,$J406*(IF(Y406=regle!$B$11,regle!$B$23*IF(AR406=-2,1+regle!$B$35,1),
IF(Y406=regle!$C$11,regle!$C$23,
IF(Y406=regle!$D$11,regle!$D$23,
IF(Y406=regle!$E$11,regle!$E$23,
IF(Y406=regle!$F$11,regle!$F$23,
IF(Y406=regle!$G$11,regle!$G$23,
IF(Y406=regle!$H$11,regle!$H$23,
IF(Y406=regle!$I$11,regle!$I$23,
IF(Y406=regle!$J$11,regle!$J$23,
IF(Y406=regle!$K$11,regle!$K$23,0))))))))))))</f>
        <v>0</v>
      </c>
      <c r="AJ406" s="17" t="b">
        <f>IF($A406,$J406*(IF(Z406=regle!$B$11,regle!$B$23*IF(AS406=-2,1+regle!$B$35,1),
IF(Z406=regle!$C$11,regle!$C$23,
IF(Z406=regle!$D$11,regle!$D$23,
IF(Z406=regle!$E$11,regle!$E$23,
IF(Z406=regle!$F$11,regle!$F$23,
IF(Z406=regle!$G$11,regle!$G$23,
IF(Z406=regle!$H$11,regle!$H$23,
IF(Z406=regle!$I$11,regle!$I$23,
IF(Z406=regle!$J$11,regle!$J$23,
IF(Z406=regle!$K$11,regle!$K$23,0))))))))))))</f>
        <v>0</v>
      </c>
      <c r="AK406" s="16">
        <f>IF(OR(Q406=regle!$J$11,Q406=regle!$K$11),-2,IF(Q406=regle!$B$11,0,IF(AK$1=$AK$1,IF($O406,-1,regle!$B$2-$M406),IF(AJ406=-1,-1,AJ406+1))))</f>
        <v>37</v>
      </c>
      <c r="AL406" s="16">
        <f>IF(OR(R406=regle!$J$11,R406=regle!$K$11),-2,IF(R406=regle!$B$11,0,IF(AL$1=$AK$1,IF($O406,-1,regle!$B$2-$M406),IF(AK406=-1,-1,AK406+1))))</f>
        <v>38</v>
      </c>
      <c r="AM406" s="16">
        <f>IF(OR(S406=regle!$J$11,S406=regle!$K$11),-2,IF(S406=regle!$B$11,0,IF(AM$1=$AK$1,IF($O406,-1,regle!$B$2-$M406),IF(AL406=-1,-1,AL406+1))))</f>
        <v>39</v>
      </c>
      <c r="AN406" s="16">
        <f>IF(OR(T406=regle!$J$11,T406=regle!$K$11),-2,IF(T406=regle!$B$11,0,IF(AN$1=$AK$1,IF($O406,-1,regle!$B$2-$M406),IF(AM406=-1,-1,AM406+1))))</f>
        <v>40</v>
      </c>
      <c r="AO406" s="16">
        <f>IF(OR(U406=regle!$J$11,U406=regle!$K$11),-2,IF(U406=regle!$B$11,0,IF(AO$1=$AK$1,IF($O406,-1,regle!$B$2-$M406),IF(AN406=-1,-1,AN406+1))))</f>
        <v>41</v>
      </c>
      <c r="AP406" s="16">
        <f>IF(OR(V406=regle!$J$11,V406=regle!$K$11),-2,IF(V406=regle!$B$11,0,IF(AP$1=$AK$1,IF($O406,-1,regle!$B$2-$M406),IF(AO406=-1,-1,AO406+1))))</f>
        <v>42</v>
      </c>
      <c r="AQ406" s="16">
        <f>IF(OR(W406=regle!$J$11,W406=regle!$K$11),-2,IF(W406=regle!$B$11,0,IF(AQ$1=$AK$1,IF($O406,-1,regle!$B$2-$M406),IF(AP406=-1,-1,AP406+1))))</f>
        <v>43</v>
      </c>
      <c r="AR406" s="16">
        <f>IF(OR(X406=regle!$J$11,X406=regle!$K$11),-2,IF(X406=regle!$B$11,0,IF(AR$1=$AK$1,IF($O406,-1,regle!$B$2-$M406),IF(AQ406=-1,-1,AQ406+1))))</f>
        <v>44</v>
      </c>
      <c r="AS406" s="16">
        <f>IF(OR(Y406=regle!$J$11,Y406=regle!$K$11),-2,IF(Y406=regle!$B$11,0,IF(AS$1=$AK$1,IF($O406,-1,regle!$B$2-$M406),IF(AR406=-1,-1,AR406+1))))</f>
        <v>45</v>
      </c>
      <c r="AT406" s="16">
        <f>IF(OR(Z406=regle!$J$11,Z406=regle!$K$11),-2,IF(Z406=regle!$B$11,0,IF(AT$1=$AK$1,IF($O406,-1,regle!$B$2-$M406),IF(AS406=-1,-1,AS406+1))))</f>
        <v>46</v>
      </c>
    </row>
    <row r="407" spans="1:46" x14ac:dyDescent="0.25">
      <c r="A407" t="b">
        <f>modif1!A407</f>
        <v>0</v>
      </c>
      <c r="B407">
        <f>ROW(modif1!B407)</f>
        <v>407</v>
      </c>
      <c r="C407" t="str">
        <f>modif1!C410</f>
        <v>200</v>
      </c>
      <c r="D407" t="str">
        <f>modif1!D407</f>
        <v>LE TUZAN</v>
      </c>
      <c r="E407">
        <f>modif1!E407</f>
        <v>21</v>
      </c>
      <c r="F407" t="str">
        <f>modif1!F407</f>
        <v>METAIRIES DE TABARTON</v>
      </c>
      <c r="G407" t="str">
        <f>modif1!G407</f>
        <v>0A</v>
      </c>
      <c r="H407">
        <f>modif1!H407</f>
        <v>417</v>
      </c>
      <c r="I407" t="str">
        <f>modif1!I407</f>
        <v>b</v>
      </c>
      <c r="J407" s="11">
        <f>modif1!J407</f>
        <v>0.25419999999999998</v>
      </c>
      <c r="K407" t="str">
        <f>modif1!K407</f>
        <v>TAIL</v>
      </c>
      <c r="L407" t="str">
        <f>modif1!L407</f>
        <v>FEUIL</v>
      </c>
      <c r="M407">
        <f>modif1!M407</f>
        <v>1987</v>
      </c>
      <c r="N407" t="str">
        <f>modif1!N407</f>
        <v>TAIL-FEUIL_1987</v>
      </c>
      <c r="O407" t="b">
        <f>modif1!O407</f>
        <v>0</v>
      </c>
      <c r="Z407"/>
      <c r="AA407" s="17" t="b">
        <f>IF($A407,$J407*(IF(Q407=regle!$B$11,regle!$B$23*IF(AJ407=-2,1+regle!$B$35,1),
IF(Q407=regle!$C$11,regle!$C$23,
IF(Q407=regle!$D$11,regle!$D$23,
IF(Q407=regle!$E$11,regle!$E$23,
IF(Q407=regle!$F$11,regle!$F$23,
IF(Q407=regle!$G$11,regle!$G$23,
IF(Q407=regle!$H$11,regle!$H$23,
IF(Q407=regle!$I$11,regle!$I$23,
IF(Q407=regle!$J$11,regle!$J$23,
IF(Q407=regle!$K$11,regle!$K$23,0))))))))))))</f>
        <v>0</v>
      </c>
      <c r="AB407" s="17" t="b">
        <f>IF($A407,$J407*(IF(R407=regle!$B$11,regle!$B$23*IF(AK407=-2,1+regle!$B$35,1),
IF(R407=regle!$C$11,regle!$C$23,
IF(R407=regle!$D$11,regle!$D$23,
IF(R407=regle!$E$11,regle!$E$23,
IF(R407=regle!$F$11,regle!$F$23,
IF(R407=regle!$G$11,regle!$G$23,
IF(R407=regle!$H$11,regle!$H$23,
IF(R407=regle!$I$11,regle!$I$23,
IF(R407=regle!$J$11,regle!$J$23,
IF(R407=regle!$K$11,regle!$K$23,0))))))))))))</f>
        <v>0</v>
      </c>
      <c r="AC407" s="17" t="b">
        <f>IF($A407,$J407*(IF(S407=regle!$B$11,regle!$B$23*IF(AL407=-2,1+regle!$B$35,1),
IF(S407=regle!$C$11,regle!$C$23,
IF(S407=regle!$D$11,regle!$D$23,
IF(S407=regle!$E$11,regle!$E$23,
IF(S407=regle!$F$11,regle!$F$23,
IF(S407=regle!$G$11,regle!$G$23,
IF(S407=regle!$H$11,regle!$H$23,
IF(S407=regle!$I$11,regle!$I$23,
IF(S407=regle!$J$11,regle!$J$23,
IF(S407=regle!$K$11,regle!$K$23,0))))))))))))</f>
        <v>0</v>
      </c>
      <c r="AD407" s="17" t="b">
        <f>IF($A407,$J407*(IF(T407=regle!$B$11,regle!$B$23*IF(AM407=-2,1+regle!$B$35,1),
IF(T407=regle!$C$11,regle!$C$23,
IF(T407=regle!$D$11,regle!$D$23,
IF(T407=regle!$E$11,regle!$E$23,
IF(T407=regle!$F$11,regle!$F$23,
IF(T407=regle!$G$11,regle!$G$23,
IF(T407=regle!$H$11,regle!$H$23,
IF(T407=regle!$I$11,regle!$I$23,
IF(T407=regle!$J$11,regle!$J$23,
IF(T407=regle!$K$11,regle!$K$23,0))))))))))))</f>
        <v>0</v>
      </c>
      <c r="AE407" s="17" t="b">
        <f>IF($A407,$J407*(IF(U407=regle!$B$11,regle!$B$23*IF(AN407=-2,1+regle!$B$35,1),
IF(U407=regle!$C$11,regle!$C$23,
IF(U407=regle!$D$11,regle!$D$23,
IF(U407=regle!$E$11,regle!$E$23,
IF(U407=regle!$F$11,regle!$F$23,
IF(U407=regle!$G$11,regle!$G$23,
IF(U407=regle!$H$11,regle!$H$23,
IF(U407=regle!$I$11,regle!$I$23,
IF(U407=regle!$J$11,regle!$J$23,
IF(U407=regle!$K$11,regle!$K$23,0))))))))))))</f>
        <v>0</v>
      </c>
      <c r="AF407" s="17" t="b">
        <f>IF($A407,$J407*(IF(V407=regle!$B$11,regle!$B$23*IF(AO407=-2,1+regle!$B$35,1),
IF(V407=regle!$C$11,regle!$C$23,
IF(V407=regle!$D$11,regle!$D$23,
IF(V407=regle!$E$11,regle!$E$23,
IF(V407=regle!$F$11,regle!$F$23,
IF(V407=regle!$G$11,regle!$G$23,
IF(V407=regle!$H$11,regle!$H$23,
IF(V407=regle!$I$11,regle!$I$23,
IF(V407=regle!$J$11,regle!$J$23,
IF(V407=regle!$K$11,regle!$K$23,0))))))))))))</f>
        <v>0</v>
      </c>
      <c r="AG407" s="17" t="b">
        <f>IF($A407,$J407*(IF(W407=regle!$B$11,regle!$B$23*IF(AP407=-2,1+regle!$B$35,1),
IF(W407=regle!$C$11,regle!$C$23,
IF(W407=regle!$D$11,regle!$D$23,
IF(W407=regle!$E$11,regle!$E$23,
IF(W407=regle!$F$11,regle!$F$23,
IF(W407=regle!$G$11,regle!$G$23,
IF(W407=regle!$H$11,regle!$H$23,
IF(W407=regle!$I$11,regle!$I$23,
IF(W407=regle!$J$11,regle!$J$23,
IF(W407=regle!$K$11,regle!$K$23,0))))))))))))</f>
        <v>0</v>
      </c>
      <c r="AH407" s="17" t="b">
        <f>IF($A407,$J407*(IF(X407=regle!$B$11,regle!$B$23*IF(AQ407=-2,1+regle!$B$35,1),
IF(X407=regle!$C$11,regle!$C$23,
IF(X407=regle!$D$11,regle!$D$23,
IF(X407=regle!$E$11,regle!$E$23,
IF(X407=regle!$F$11,regle!$F$23,
IF(X407=regle!$G$11,regle!$G$23,
IF(X407=regle!$H$11,regle!$H$23,
IF(X407=regle!$I$11,regle!$I$23,
IF(X407=regle!$J$11,regle!$J$23,
IF(X407=regle!$K$11,regle!$K$23,0))))))))))))</f>
        <v>0</v>
      </c>
      <c r="AI407" s="17" t="b">
        <f>IF($A407,$J407*(IF(Y407=regle!$B$11,regle!$B$23*IF(AR407=-2,1+regle!$B$35,1),
IF(Y407=regle!$C$11,regle!$C$23,
IF(Y407=regle!$D$11,regle!$D$23,
IF(Y407=regle!$E$11,regle!$E$23,
IF(Y407=regle!$F$11,regle!$F$23,
IF(Y407=regle!$G$11,regle!$G$23,
IF(Y407=regle!$H$11,regle!$H$23,
IF(Y407=regle!$I$11,regle!$I$23,
IF(Y407=regle!$J$11,regle!$J$23,
IF(Y407=regle!$K$11,regle!$K$23,0))))))))))))</f>
        <v>0</v>
      </c>
      <c r="AJ407" s="17" t="b">
        <f>IF($A407,$J407*(IF(Z407=regle!$B$11,regle!$B$23*IF(AS407=-2,1+regle!$B$35,1),
IF(Z407=regle!$C$11,regle!$C$23,
IF(Z407=regle!$D$11,regle!$D$23,
IF(Z407=regle!$E$11,regle!$E$23,
IF(Z407=regle!$F$11,regle!$F$23,
IF(Z407=regle!$G$11,regle!$G$23,
IF(Z407=regle!$H$11,regle!$H$23,
IF(Z407=regle!$I$11,regle!$I$23,
IF(Z407=regle!$J$11,regle!$J$23,
IF(Z407=regle!$K$11,regle!$K$23,0))))))))))))</f>
        <v>0</v>
      </c>
      <c r="AK407" s="16">
        <f>IF(OR(Q407=regle!$J$11,Q407=regle!$K$11),-2,IF(Q407=regle!$B$11,0,IF(AK$1=$AK$1,IF($O407,-1,regle!$B$2-$M407),IF(AJ407=-1,-1,AJ407+1))))</f>
        <v>37</v>
      </c>
      <c r="AL407" s="16">
        <f>IF(OR(R407=regle!$J$11,R407=regle!$K$11),-2,IF(R407=regle!$B$11,0,IF(AL$1=$AK$1,IF($O407,-1,regle!$B$2-$M407),IF(AK407=-1,-1,AK407+1))))</f>
        <v>38</v>
      </c>
      <c r="AM407" s="16">
        <f>IF(OR(S407=regle!$J$11,S407=regle!$K$11),-2,IF(S407=regle!$B$11,0,IF(AM$1=$AK$1,IF($O407,-1,regle!$B$2-$M407),IF(AL407=-1,-1,AL407+1))))</f>
        <v>39</v>
      </c>
      <c r="AN407" s="16">
        <f>IF(OR(T407=regle!$J$11,T407=regle!$K$11),-2,IF(T407=regle!$B$11,0,IF(AN$1=$AK$1,IF($O407,-1,regle!$B$2-$M407),IF(AM407=-1,-1,AM407+1))))</f>
        <v>40</v>
      </c>
      <c r="AO407" s="16">
        <f>IF(OR(U407=regle!$J$11,U407=regle!$K$11),-2,IF(U407=regle!$B$11,0,IF(AO$1=$AK$1,IF($O407,-1,regle!$B$2-$M407),IF(AN407=-1,-1,AN407+1))))</f>
        <v>41</v>
      </c>
      <c r="AP407" s="16">
        <f>IF(OR(V407=regle!$J$11,V407=regle!$K$11),-2,IF(V407=regle!$B$11,0,IF(AP$1=$AK$1,IF($O407,-1,regle!$B$2-$M407),IF(AO407=-1,-1,AO407+1))))</f>
        <v>42</v>
      </c>
      <c r="AQ407" s="16">
        <f>IF(OR(W407=regle!$J$11,W407=regle!$K$11),-2,IF(W407=regle!$B$11,0,IF(AQ$1=$AK$1,IF($O407,-1,regle!$B$2-$M407),IF(AP407=-1,-1,AP407+1))))</f>
        <v>43</v>
      </c>
      <c r="AR407" s="16">
        <f>IF(OR(X407=regle!$J$11,X407=regle!$K$11),-2,IF(X407=regle!$B$11,0,IF(AR$1=$AK$1,IF($O407,-1,regle!$B$2-$M407),IF(AQ407=-1,-1,AQ407+1))))</f>
        <v>44</v>
      </c>
      <c r="AS407" s="16">
        <f>IF(OR(Y407=regle!$J$11,Y407=regle!$K$11),-2,IF(Y407=regle!$B$11,0,IF(AS$1=$AK$1,IF($O407,-1,regle!$B$2-$M407),IF(AR407=-1,-1,AR407+1))))</f>
        <v>45</v>
      </c>
      <c r="AT407" s="16">
        <f>IF(OR(Z407=regle!$J$11,Z407=regle!$K$11),-2,IF(Z407=regle!$B$11,0,IF(AT$1=$AK$1,IF($O407,-1,regle!$B$2-$M407),IF(AS407=-1,-1,AS407+1))))</f>
        <v>46</v>
      </c>
    </row>
    <row r="408" spans="1:46" x14ac:dyDescent="0.25">
      <c r="A408" t="b">
        <f>modif1!A408</f>
        <v>0</v>
      </c>
      <c r="B408">
        <f>ROW(modif1!B408)</f>
        <v>408</v>
      </c>
      <c r="C408" t="str">
        <f>modif1!C411</f>
        <v>200</v>
      </c>
      <c r="D408" t="str">
        <f>modif1!D408</f>
        <v>LE TUZAN</v>
      </c>
      <c r="E408">
        <f>modif1!E408</f>
        <v>21</v>
      </c>
      <c r="F408" t="str">
        <f>modif1!F408</f>
        <v>METAIRIES DE TABARTON</v>
      </c>
      <c r="G408" t="str">
        <f>modif1!G408</f>
        <v>0A</v>
      </c>
      <c r="H408">
        <f>modif1!H408</f>
        <v>462</v>
      </c>
      <c r="I408" t="str">
        <f>modif1!I408</f>
        <v>b</v>
      </c>
      <c r="J408" s="11">
        <f>modif1!J408</f>
        <v>0.1699</v>
      </c>
      <c r="K408" t="str">
        <f>modif1!K408</f>
        <v>TAIL</v>
      </c>
      <c r="L408" t="str">
        <f>modif1!L408</f>
        <v>FEUIL</v>
      </c>
      <c r="M408">
        <f>modif1!M408</f>
        <v>1987</v>
      </c>
      <c r="N408" t="str">
        <f>modif1!N408</f>
        <v>TAIL-FEUIL_1987</v>
      </c>
      <c r="O408" t="b">
        <f>modif1!O408</f>
        <v>0</v>
      </c>
      <c r="Z408"/>
      <c r="AA408" s="17" t="b">
        <f>IF($A408,$J408*(IF(Q408=regle!$B$11,regle!$B$23*IF(AJ408=-2,1+regle!$B$35,1),
IF(Q408=regle!$C$11,regle!$C$23,
IF(Q408=regle!$D$11,regle!$D$23,
IF(Q408=regle!$E$11,regle!$E$23,
IF(Q408=regle!$F$11,regle!$F$23,
IF(Q408=regle!$G$11,regle!$G$23,
IF(Q408=regle!$H$11,regle!$H$23,
IF(Q408=regle!$I$11,regle!$I$23,
IF(Q408=regle!$J$11,regle!$J$23,
IF(Q408=regle!$K$11,regle!$K$23,0))))))))))))</f>
        <v>0</v>
      </c>
      <c r="AB408" s="17" t="b">
        <f>IF($A408,$J408*(IF(R408=regle!$B$11,regle!$B$23*IF(AK408=-2,1+regle!$B$35,1),
IF(R408=regle!$C$11,regle!$C$23,
IF(R408=regle!$D$11,regle!$D$23,
IF(R408=regle!$E$11,regle!$E$23,
IF(R408=regle!$F$11,regle!$F$23,
IF(R408=regle!$G$11,regle!$G$23,
IF(R408=regle!$H$11,regle!$H$23,
IF(R408=regle!$I$11,regle!$I$23,
IF(R408=regle!$J$11,regle!$J$23,
IF(R408=regle!$K$11,regle!$K$23,0))))))))))))</f>
        <v>0</v>
      </c>
      <c r="AC408" s="17" t="b">
        <f>IF($A408,$J408*(IF(S408=regle!$B$11,regle!$B$23*IF(AL408=-2,1+regle!$B$35,1),
IF(S408=regle!$C$11,regle!$C$23,
IF(S408=regle!$D$11,regle!$D$23,
IF(S408=regle!$E$11,regle!$E$23,
IF(S408=regle!$F$11,regle!$F$23,
IF(S408=regle!$G$11,regle!$G$23,
IF(S408=regle!$H$11,regle!$H$23,
IF(S408=regle!$I$11,regle!$I$23,
IF(S408=regle!$J$11,regle!$J$23,
IF(S408=regle!$K$11,regle!$K$23,0))))))))))))</f>
        <v>0</v>
      </c>
      <c r="AD408" s="17" t="b">
        <f>IF($A408,$J408*(IF(T408=regle!$B$11,regle!$B$23*IF(AM408=-2,1+regle!$B$35,1),
IF(T408=regle!$C$11,regle!$C$23,
IF(T408=regle!$D$11,regle!$D$23,
IF(T408=regle!$E$11,regle!$E$23,
IF(T408=regle!$F$11,regle!$F$23,
IF(T408=regle!$G$11,regle!$G$23,
IF(T408=regle!$H$11,regle!$H$23,
IF(T408=regle!$I$11,regle!$I$23,
IF(T408=regle!$J$11,regle!$J$23,
IF(T408=regle!$K$11,regle!$K$23,0))))))))))))</f>
        <v>0</v>
      </c>
      <c r="AE408" s="17" t="b">
        <f>IF($A408,$J408*(IF(U408=regle!$B$11,regle!$B$23*IF(AN408=-2,1+regle!$B$35,1),
IF(U408=regle!$C$11,regle!$C$23,
IF(U408=regle!$D$11,regle!$D$23,
IF(U408=regle!$E$11,regle!$E$23,
IF(U408=regle!$F$11,regle!$F$23,
IF(U408=regle!$G$11,regle!$G$23,
IF(U408=regle!$H$11,regle!$H$23,
IF(U408=regle!$I$11,regle!$I$23,
IF(U408=regle!$J$11,regle!$J$23,
IF(U408=regle!$K$11,regle!$K$23,0))))))))))))</f>
        <v>0</v>
      </c>
      <c r="AF408" s="17" t="b">
        <f>IF($A408,$J408*(IF(V408=regle!$B$11,regle!$B$23*IF(AO408=-2,1+regle!$B$35,1),
IF(V408=regle!$C$11,regle!$C$23,
IF(V408=regle!$D$11,regle!$D$23,
IF(V408=regle!$E$11,regle!$E$23,
IF(V408=regle!$F$11,regle!$F$23,
IF(V408=regle!$G$11,regle!$G$23,
IF(V408=regle!$H$11,regle!$H$23,
IF(V408=regle!$I$11,regle!$I$23,
IF(V408=regle!$J$11,regle!$J$23,
IF(V408=regle!$K$11,regle!$K$23,0))))))))))))</f>
        <v>0</v>
      </c>
      <c r="AG408" s="17" t="b">
        <f>IF($A408,$J408*(IF(W408=regle!$B$11,regle!$B$23*IF(AP408=-2,1+regle!$B$35,1),
IF(W408=regle!$C$11,regle!$C$23,
IF(W408=regle!$D$11,regle!$D$23,
IF(W408=regle!$E$11,regle!$E$23,
IF(W408=regle!$F$11,regle!$F$23,
IF(W408=regle!$G$11,regle!$G$23,
IF(W408=regle!$H$11,regle!$H$23,
IF(W408=regle!$I$11,regle!$I$23,
IF(W408=regle!$J$11,regle!$J$23,
IF(W408=regle!$K$11,regle!$K$23,0))))))))))))</f>
        <v>0</v>
      </c>
      <c r="AH408" s="17" t="b">
        <f>IF($A408,$J408*(IF(X408=regle!$B$11,regle!$B$23*IF(AQ408=-2,1+regle!$B$35,1),
IF(X408=regle!$C$11,regle!$C$23,
IF(X408=regle!$D$11,regle!$D$23,
IF(X408=regle!$E$11,regle!$E$23,
IF(X408=regle!$F$11,regle!$F$23,
IF(X408=regle!$G$11,regle!$G$23,
IF(X408=regle!$H$11,regle!$H$23,
IF(X408=regle!$I$11,regle!$I$23,
IF(X408=regle!$J$11,regle!$J$23,
IF(X408=regle!$K$11,regle!$K$23,0))))))))))))</f>
        <v>0</v>
      </c>
      <c r="AI408" s="17" t="b">
        <f>IF($A408,$J408*(IF(Y408=regle!$B$11,regle!$B$23*IF(AR408=-2,1+regle!$B$35,1),
IF(Y408=regle!$C$11,regle!$C$23,
IF(Y408=regle!$D$11,regle!$D$23,
IF(Y408=regle!$E$11,regle!$E$23,
IF(Y408=regle!$F$11,regle!$F$23,
IF(Y408=regle!$G$11,regle!$G$23,
IF(Y408=regle!$H$11,regle!$H$23,
IF(Y408=regle!$I$11,regle!$I$23,
IF(Y408=regle!$J$11,regle!$J$23,
IF(Y408=regle!$K$11,regle!$K$23,0))))))))))))</f>
        <v>0</v>
      </c>
      <c r="AJ408" s="17" t="b">
        <f>IF($A408,$J408*(IF(Z408=regle!$B$11,regle!$B$23*IF(AS408=-2,1+regle!$B$35,1),
IF(Z408=regle!$C$11,regle!$C$23,
IF(Z408=regle!$D$11,regle!$D$23,
IF(Z408=regle!$E$11,regle!$E$23,
IF(Z408=regle!$F$11,regle!$F$23,
IF(Z408=regle!$G$11,regle!$G$23,
IF(Z408=regle!$H$11,regle!$H$23,
IF(Z408=regle!$I$11,regle!$I$23,
IF(Z408=regle!$J$11,regle!$J$23,
IF(Z408=regle!$K$11,regle!$K$23,0))))))))))))</f>
        <v>0</v>
      </c>
      <c r="AK408" s="16">
        <f>IF(OR(Q408=regle!$J$11,Q408=regle!$K$11),-2,IF(Q408=regle!$B$11,0,IF(AK$1=$AK$1,IF($O408,-1,regle!$B$2-$M408),IF(AJ408=-1,-1,AJ408+1))))</f>
        <v>37</v>
      </c>
      <c r="AL408" s="16">
        <f>IF(OR(R408=regle!$J$11,R408=regle!$K$11),-2,IF(R408=regle!$B$11,0,IF(AL$1=$AK$1,IF($O408,-1,regle!$B$2-$M408),IF(AK408=-1,-1,AK408+1))))</f>
        <v>38</v>
      </c>
      <c r="AM408" s="16">
        <f>IF(OR(S408=regle!$J$11,S408=regle!$K$11),-2,IF(S408=regle!$B$11,0,IF(AM$1=$AK$1,IF($O408,-1,regle!$B$2-$M408),IF(AL408=-1,-1,AL408+1))))</f>
        <v>39</v>
      </c>
      <c r="AN408" s="16">
        <f>IF(OR(T408=regle!$J$11,T408=regle!$K$11),-2,IF(T408=regle!$B$11,0,IF(AN$1=$AK$1,IF($O408,-1,regle!$B$2-$M408),IF(AM408=-1,-1,AM408+1))))</f>
        <v>40</v>
      </c>
      <c r="AO408" s="16">
        <f>IF(OR(U408=regle!$J$11,U408=regle!$K$11),-2,IF(U408=regle!$B$11,0,IF(AO$1=$AK$1,IF($O408,-1,regle!$B$2-$M408),IF(AN408=-1,-1,AN408+1))))</f>
        <v>41</v>
      </c>
      <c r="AP408" s="16">
        <f>IF(OR(V408=regle!$J$11,V408=regle!$K$11),-2,IF(V408=regle!$B$11,0,IF(AP$1=$AK$1,IF($O408,-1,regle!$B$2-$M408),IF(AO408=-1,-1,AO408+1))))</f>
        <v>42</v>
      </c>
      <c r="AQ408" s="16">
        <f>IF(OR(W408=regle!$J$11,W408=regle!$K$11),-2,IF(W408=regle!$B$11,0,IF(AQ$1=$AK$1,IF($O408,-1,regle!$B$2-$M408),IF(AP408=-1,-1,AP408+1))))</f>
        <v>43</v>
      </c>
      <c r="AR408" s="16">
        <f>IF(OR(X408=regle!$J$11,X408=regle!$K$11),-2,IF(X408=regle!$B$11,0,IF(AR$1=$AK$1,IF($O408,-1,regle!$B$2-$M408),IF(AQ408=-1,-1,AQ408+1))))</f>
        <v>44</v>
      </c>
      <c r="AS408" s="16">
        <f>IF(OR(Y408=regle!$J$11,Y408=regle!$K$11),-2,IF(Y408=regle!$B$11,0,IF(AS$1=$AK$1,IF($O408,-1,regle!$B$2-$M408),IF(AR408=-1,-1,AR408+1))))</f>
        <v>45</v>
      </c>
      <c r="AT408" s="16">
        <f>IF(OR(Z408=regle!$J$11,Z408=regle!$K$11),-2,IF(Z408=regle!$B$11,0,IF(AT$1=$AK$1,IF($O408,-1,regle!$B$2-$M408),IF(AS408=-1,-1,AS408+1))))</f>
        <v>46</v>
      </c>
    </row>
    <row r="409" spans="1:46" x14ac:dyDescent="0.25">
      <c r="A409" t="b">
        <f>modif1!A409</f>
        <v>0</v>
      </c>
      <c r="B409">
        <f>ROW(modif1!B409)</f>
        <v>409</v>
      </c>
      <c r="C409" t="str">
        <f>modif1!C412</f>
        <v>200</v>
      </c>
      <c r="D409" t="str">
        <f>modif1!D409</f>
        <v>LE TUZAN</v>
      </c>
      <c r="E409">
        <f>modif1!E409</f>
        <v>21</v>
      </c>
      <c r="F409" t="str">
        <f>modif1!F409</f>
        <v>METAIRIES DE TABARTON</v>
      </c>
      <c r="G409" t="str">
        <f>modif1!G409</f>
        <v>0A</v>
      </c>
      <c r="H409">
        <f>modif1!H409</f>
        <v>407</v>
      </c>
      <c r="I409" t="str">
        <f>modif1!I409</f>
        <v>e</v>
      </c>
      <c r="J409" s="11">
        <f>modif1!J409</f>
        <v>0.12479999999999999</v>
      </c>
      <c r="K409" t="str">
        <f>modif1!K409</f>
        <v>TAIL</v>
      </c>
      <c r="L409" t="str">
        <f>modif1!L409</f>
        <v>FEUIL</v>
      </c>
      <c r="M409">
        <f>modif1!M409</f>
        <v>1987</v>
      </c>
      <c r="N409" t="str">
        <f>modif1!N409</f>
        <v>TAIL-FEUIL_1987</v>
      </c>
      <c r="O409" t="b">
        <f>modif1!O409</f>
        <v>0</v>
      </c>
      <c r="Z409"/>
      <c r="AA409" s="17" t="b">
        <f>IF($A409,$J409*(IF(Q409=regle!$B$11,regle!$B$23*IF(AJ409=-2,1+regle!$B$35,1),
IF(Q409=regle!$C$11,regle!$C$23,
IF(Q409=regle!$D$11,regle!$D$23,
IF(Q409=regle!$E$11,regle!$E$23,
IF(Q409=regle!$F$11,regle!$F$23,
IF(Q409=regle!$G$11,regle!$G$23,
IF(Q409=regle!$H$11,regle!$H$23,
IF(Q409=regle!$I$11,regle!$I$23,
IF(Q409=regle!$J$11,regle!$J$23,
IF(Q409=regle!$K$11,regle!$K$23,0))))))))))))</f>
        <v>0</v>
      </c>
      <c r="AB409" s="17" t="b">
        <f>IF($A409,$J409*(IF(R409=regle!$B$11,regle!$B$23*IF(AK409=-2,1+regle!$B$35,1),
IF(R409=regle!$C$11,regle!$C$23,
IF(R409=regle!$D$11,regle!$D$23,
IF(R409=regle!$E$11,regle!$E$23,
IF(R409=regle!$F$11,regle!$F$23,
IF(R409=regle!$G$11,regle!$G$23,
IF(R409=regle!$H$11,regle!$H$23,
IF(R409=regle!$I$11,regle!$I$23,
IF(R409=regle!$J$11,regle!$J$23,
IF(R409=regle!$K$11,regle!$K$23,0))))))))))))</f>
        <v>0</v>
      </c>
      <c r="AC409" s="17" t="b">
        <f>IF($A409,$J409*(IF(S409=regle!$B$11,regle!$B$23*IF(AL409=-2,1+regle!$B$35,1),
IF(S409=regle!$C$11,regle!$C$23,
IF(S409=regle!$D$11,regle!$D$23,
IF(S409=regle!$E$11,regle!$E$23,
IF(S409=regle!$F$11,regle!$F$23,
IF(S409=regle!$G$11,regle!$G$23,
IF(S409=regle!$H$11,regle!$H$23,
IF(S409=regle!$I$11,regle!$I$23,
IF(S409=regle!$J$11,regle!$J$23,
IF(S409=regle!$K$11,regle!$K$23,0))))))))))))</f>
        <v>0</v>
      </c>
      <c r="AD409" s="17" t="b">
        <f>IF($A409,$J409*(IF(T409=regle!$B$11,regle!$B$23*IF(AM409=-2,1+regle!$B$35,1),
IF(T409=regle!$C$11,regle!$C$23,
IF(T409=regle!$D$11,regle!$D$23,
IF(T409=regle!$E$11,regle!$E$23,
IF(T409=regle!$F$11,regle!$F$23,
IF(T409=regle!$G$11,regle!$G$23,
IF(T409=regle!$H$11,regle!$H$23,
IF(T409=regle!$I$11,regle!$I$23,
IF(T409=regle!$J$11,regle!$J$23,
IF(T409=regle!$K$11,regle!$K$23,0))))))))))))</f>
        <v>0</v>
      </c>
      <c r="AE409" s="17" t="b">
        <f>IF($A409,$J409*(IF(U409=regle!$B$11,regle!$B$23*IF(AN409=-2,1+regle!$B$35,1),
IF(U409=regle!$C$11,regle!$C$23,
IF(U409=regle!$D$11,regle!$D$23,
IF(U409=regle!$E$11,regle!$E$23,
IF(U409=regle!$F$11,regle!$F$23,
IF(U409=regle!$G$11,regle!$G$23,
IF(U409=regle!$H$11,regle!$H$23,
IF(U409=regle!$I$11,regle!$I$23,
IF(U409=regle!$J$11,regle!$J$23,
IF(U409=regle!$K$11,regle!$K$23,0))))))))))))</f>
        <v>0</v>
      </c>
      <c r="AF409" s="17" t="b">
        <f>IF($A409,$J409*(IF(V409=regle!$B$11,regle!$B$23*IF(AO409=-2,1+regle!$B$35,1),
IF(V409=regle!$C$11,regle!$C$23,
IF(V409=regle!$D$11,regle!$D$23,
IF(V409=regle!$E$11,regle!$E$23,
IF(V409=regle!$F$11,regle!$F$23,
IF(V409=regle!$G$11,regle!$G$23,
IF(V409=regle!$H$11,regle!$H$23,
IF(V409=regle!$I$11,regle!$I$23,
IF(V409=regle!$J$11,regle!$J$23,
IF(V409=regle!$K$11,regle!$K$23,0))))))))))))</f>
        <v>0</v>
      </c>
      <c r="AG409" s="17" t="b">
        <f>IF($A409,$J409*(IF(W409=regle!$B$11,regle!$B$23*IF(AP409=-2,1+regle!$B$35,1),
IF(W409=regle!$C$11,regle!$C$23,
IF(W409=regle!$D$11,regle!$D$23,
IF(W409=regle!$E$11,regle!$E$23,
IF(W409=regle!$F$11,regle!$F$23,
IF(W409=regle!$G$11,regle!$G$23,
IF(W409=regle!$H$11,regle!$H$23,
IF(W409=regle!$I$11,regle!$I$23,
IF(W409=regle!$J$11,regle!$J$23,
IF(W409=regle!$K$11,regle!$K$23,0))))))))))))</f>
        <v>0</v>
      </c>
      <c r="AH409" s="17" t="b">
        <f>IF($A409,$J409*(IF(X409=regle!$B$11,regle!$B$23*IF(AQ409=-2,1+regle!$B$35,1),
IF(X409=regle!$C$11,regle!$C$23,
IF(X409=regle!$D$11,regle!$D$23,
IF(X409=regle!$E$11,regle!$E$23,
IF(X409=regle!$F$11,regle!$F$23,
IF(X409=regle!$G$11,regle!$G$23,
IF(X409=regle!$H$11,regle!$H$23,
IF(X409=regle!$I$11,regle!$I$23,
IF(X409=regle!$J$11,regle!$J$23,
IF(X409=regle!$K$11,regle!$K$23,0))))))))))))</f>
        <v>0</v>
      </c>
      <c r="AI409" s="17" t="b">
        <f>IF($A409,$J409*(IF(Y409=regle!$B$11,regle!$B$23*IF(AR409=-2,1+regle!$B$35,1),
IF(Y409=regle!$C$11,regle!$C$23,
IF(Y409=regle!$D$11,regle!$D$23,
IF(Y409=regle!$E$11,regle!$E$23,
IF(Y409=regle!$F$11,regle!$F$23,
IF(Y409=regle!$G$11,regle!$G$23,
IF(Y409=regle!$H$11,regle!$H$23,
IF(Y409=regle!$I$11,regle!$I$23,
IF(Y409=regle!$J$11,regle!$J$23,
IF(Y409=regle!$K$11,regle!$K$23,0))))))))))))</f>
        <v>0</v>
      </c>
      <c r="AJ409" s="17" t="b">
        <f>IF($A409,$J409*(IF(Z409=regle!$B$11,regle!$B$23*IF(AS409=-2,1+regle!$B$35,1),
IF(Z409=regle!$C$11,regle!$C$23,
IF(Z409=regle!$D$11,regle!$D$23,
IF(Z409=regle!$E$11,regle!$E$23,
IF(Z409=regle!$F$11,regle!$F$23,
IF(Z409=regle!$G$11,regle!$G$23,
IF(Z409=regle!$H$11,regle!$H$23,
IF(Z409=regle!$I$11,regle!$I$23,
IF(Z409=regle!$J$11,regle!$J$23,
IF(Z409=regle!$K$11,regle!$K$23,0))))))))))))</f>
        <v>0</v>
      </c>
      <c r="AK409" s="16">
        <f>IF(OR(Q409=regle!$J$11,Q409=regle!$K$11),-2,IF(Q409=regle!$B$11,0,IF(AK$1=$AK$1,IF($O409,-1,regle!$B$2-$M409),IF(AJ409=-1,-1,AJ409+1))))</f>
        <v>37</v>
      </c>
      <c r="AL409" s="16">
        <f>IF(OR(R409=regle!$J$11,R409=regle!$K$11),-2,IF(R409=regle!$B$11,0,IF(AL$1=$AK$1,IF($O409,-1,regle!$B$2-$M409),IF(AK409=-1,-1,AK409+1))))</f>
        <v>38</v>
      </c>
      <c r="AM409" s="16">
        <f>IF(OR(S409=regle!$J$11,S409=regle!$K$11),-2,IF(S409=regle!$B$11,0,IF(AM$1=$AK$1,IF($O409,-1,regle!$B$2-$M409),IF(AL409=-1,-1,AL409+1))))</f>
        <v>39</v>
      </c>
      <c r="AN409" s="16">
        <f>IF(OR(T409=regle!$J$11,T409=regle!$K$11),-2,IF(T409=regle!$B$11,0,IF(AN$1=$AK$1,IF($O409,-1,regle!$B$2-$M409),IF(AM409=-1,-1,AM409+1))))</f>
        <v>40</v>
      </c>
      <c r="AO409" s="16">
        <f>IF(OR(U409=regle!$J$11,U409=regle!$K$11),-2,IF(U409=regle!$B$11,0,IF(AO$1=$AK$1,IF($O409,-1,regle!$B$2-$M409),IF(AN409=-1,-1,AN409+1))))</f>
        <v>41</v>
      </c>
      <c r="AP409" s="16">
        <f>IF(OR(V409=regle!$J$11,V409=regle!$K$11),-2,IF(V409=regle!$B$11,0,IF(AP$1=$AK$1,IF($O409,-1,regle!$B$2-$M409),IF(AO409=-1,-1,AO409+1))))</f>
        <v>42</v>
      </c>
      <c r="AQ409" s="16">
        <f>IF(OR(W409=regle!$J$11,W409=regle!$K$11),-2,IF(W409=regle!$B$11,0,IF(AQ$1=$AK$1,IF($O409,-1,regle!$B$2-$M409),IF(AP409=-1,-1,AP409+1))))</f>
        <v>43</v>
      </c>
      <c r="AR409" s="16">
        <f>IF(OR(X409=regle!$J$11,X409=regle!$K$11),-2,IF(X409=regle!$B$11,0,IF(AR$1=$AK$1,IF($O409,-1,regle!$B$2-$M409),IF(AQ409=-1,-1,AQ409+1))))</f>
        <v>44</v>
      </c>
      <c r="AS409" s="16">
        <f>IF(OR(Y409=regle!$J$11,Y409=regle!$K$11),-2,IF(Y409=regle!$B$11,0,IF(AS$1=$AK$1,IF($O409,-1,regle!$B$2-$M409),IF(AR409=-1,-1,AR409+1))))</f>
        <v>45</v>
      </c>
      <c r="AT409" s="16">
        <f>IF(OR(Z409=regle!$J$11,Z409=regle!$K$11),-2,IF(Z409=regle!$B$11,0,IF(AT$1=$AK$1,IF($O409,-1,regle!$B$2-$M409),IF(AS409=-1,-1,AS409+1))))</f>
        <v>46</v>
      </c>
    </row>
    <row r="410" spans="1:46" x14ac:dyDescent="0.25">
      <c r="A410" t="b">
        <f>modif1!A410</f>
        <v>0</v>
      </c>
      <c r="B410">
        <f>ROW(modif1!B410)</f>
        <v>410</v>
      </c>
      <c r="C410" t="str">
        <f>modif1!C413</f>
        <v>200</v>
      </c>
      <c r="D410" t="str">
        <f>modif1!D410</f>
        <v>MOUSTEY</v>
      </c>
      <c r="E410">
        <f>modif1!E410</f>
        <v>4</v>
      </c>
      <c r="F410" t="str">
        <f>modif1!F410</f>
        <v>Kycs</v>
      </c>
      <c r="G410" t="str">
        <f>modif1!G410</f>
        <v>0M</v>
      </c>
      <c r="H410">
        <f>modif1!H410</f>
        <v>33</v>
      </c>
      <c r="I410" t="str">
        <f>modif1!I410</f>
        <v>k</v>
      </c>
      <c r="J410" s="11">
        <f>modif1!J410</f>
        <v>3.1364000000000001</v>
      </c>
      <c r="K410" t="str">
        <f>modif1!K410</f>
        <v>TAIL</v>
      </c>
      <c r="L410" t="str">
        <f>modif1!L410</f>
        <v>FEUIL</v>
      </c>
      <c r="M410">
        <f>modif1!M410</f>
        <v>1986</v>
      </c>
      <c r="N410" t="str">
        <f>modif1!N410</f>
        <v>TAIL-FEUIL_1986</v>
      </c>
      <c r="O410" t="b">
        <f>modif1!O410</f>
        <v>0</v>
      </c>
      <c r="Z410"/>
      <c r="AA410" s="17" t="b">
        <f>IF($A410,$J410*(IF(Q410=regle!$B$11,regle!$B$23*IF(AJ410=-2,1+regle!$B$35,1),
IF(Q410=regle!$C$11,regle!$C$23,
IF(Q410=regle!$D$11,regle!$D$23,
IF(Q410=regle!$E$11,regle!$E$23,
IF(Q410=regle!$F$11,regle!$F$23,
IF(Q410=regle!$G$11,regle!$G$23,
IF(Q410=regle!$H$11,regle!$H$23,
IF(Q410=regle!$I$11,regle!$I$23,
IF(Q410=regle!$J$11,regle!$J$23,
IF(Q410=regle!$K$11,regle!$K$23,0))))))))))))</f>
        <v>0</v>
      </c>
      <c r="AB410" s="17" t="b">
        <f>IF($A410,$J410*(IF(R410=regle!$B$11,regle!$B$23*IF(AK410=-2,1+regle!$B$35,1),
IF(R410=regle!$C$11,regle!$C$23,
IF(R410=regle!$D$11,regle!$D$23,
IF(R410=regle!$E$11,regle!$E$23,
IF(R410=regle!$F$11,regle!$F$23,
IF(R410=regle!$G$11,regle!$G$23,
IF(R410=regle!$H$11,regle!$H$23,
IF(R410=regle!$I$11,regle!$I$23,
IF(R410=regle!$J$11,regle!$J$23,
IF(R410=regle!$K$11,regle!$K$23,0))))))))))))</f>
        <v>0</v>
      </c>
      <c r="AC410" s="17" t="b">
        <f>IF($A410,$J410*(IF(S410=regle!$B$11,regle!$B$23*IF(AL410=-2,1+regle!$B$35,1),
IF(S410=regle!$C$11,regle!$C$23,
IF(S410=regle!$D$11,regle!$D$23,
IF(S410=regle!$E$11,regle!$E$23,
IF(S410=regle!$F$11,regle!$F$23,
IF(S410=regle!$G$11,regle!$G$23,
IF(S410=regle!$H$11,regle!$H$23,
IF(S410=regle!$I$11,regle!$I$23,
IF(S410=regle!$J$11,regle!$J$23,
IF(S410=regle!$K$11,regle!$K$23,0))))))))))))</f>
        <v>0</v>
      </c>
      <c r="AD410" s="17" t="b">
        <f>IF($A410,$J410*(IF(T410=regle!$B$11,regle!$B$23*IF(AM410=-2,1+regle!$B$35,1),
IF(T410=regle!$C$11,regle!$C$23,
IF(T410=regle!$D$11,regle!$D$23,
IF(T410=regle!$E$11,regle!$E$23,
IF(T410=regle!$F$11,regle!$F$23,
IF(T410=regle!$G$11,regle!$G$23,
IF(T410=regle!$H$11,regle!$H$23,
IF(T410=regle!$I$11,regle!$I$23,
IF(T410=regle!$J$11,regle!$J$23,
IF(T410=regle!$K$11,regle!$K$23,0))))))))))))</f>
        <v>0</v>
      </c>
      <c r="AE410" s="17" t="b">
        <f>IF($A410,$J410*(IF(U410=regle!$B$11,regle!$B$23*IF(AN410=-2,1+regle!$B$35,1),
IF(U410=regle!$C$11,regle!$C$23,
IF(U410=regle!$D$11,regle!$D$23,
IF(U410=regle!$E$11,regle!$E$23,
IF(U410=regle!$F$11,regle!$F$23,
IF(U410=regle!$G$11,regle!$G$23,
IF(U410=regle!$H$11,regle!$H$23,
IF(U410=regle!$I$11,regle!$I$23,
IF(U410=regle!$J$11,regle!$J$23,
IF(U410=regle!$K$11,regle!$K$23,0))))))))))))</f>
        <v>0</v>
      </c>
      <c r="AF410" s="17" t="b">
        <f>IF($A410,$J410*(IF(V410=regle!$B$11,regle!$B$23*IF(AO410=-2,1+regle!$B$35,1),
IF(V410=regle!$C$11,regle!$C$23,
IF(V410=regle!$D$11,regle!$D$23,
IF(V410=regle!$E$11,regle!$E$23,
IF(V410=regle!$F$11,regle!$F$23,
IF(V410=regle!$G$11,regle!$G$23,
IF(V410=regle!$H$11,regle!$H$23,
IF(V410=regle!$I$11,regle!$I$23,
IF(V410=regle!$J$11,regle!$J$23,
IF(V410=regle!$K$11,regle!$K$23,0))))))))))))</f>
        <v>0</v>
      </c>
      <c r="AG410" s="17" t="b">
        <f>IF($A410,$J410*(IF(W410=regle!$B$11,regle!$B$23*IF(AP410=-2,1+regle!$B$35,1),
IF(W410=regle!$C$11,regle!$C$23,
IF(W410=regle!$D$11,regle!$D$23,
IF(W410=regle!$E$11,regle!$E$23,
IF(W410=regle!$F$11,regle!$F$23,
IF(W410=regle!$G$11,regle!$G$23,
IF(W410=regle!$H$11,regle!$H$23,
IF(W410=regle!$I$11,regle!$I$23,
IF(W410=regle!$J$11,regle!$J$23,
IF(W410=regle!$K$11,regle!$K$23,0))))))))))))</f>
        <v>0</v>
      </c>
      <c r="AH410" s="17" t="b">
        <f>IF($A410,$J410*(IF(X410=regle!$B$11,regle!$B$23*IF(AQ410=-2,1+regle!$B$35,1),
IF(X410=regle!$C$11,regle!$C$23,
IF(X410=regle!$D$11,regle!$D$23,
IF(X410=regle!$E$11,regle!$E$23,
IF(X410=regle!$F$11,regle!$F$23,
IF(X410=regle!$G$11,regle!$G$23,
IF(X410=regle!$H$11,regle!$H$23,
IF(X410=regle!$I$11,regle!$I$23,
IF(X410=regle!$J$11,regle!$J$23,
IF(X410=regle!$K$11,regle!$K$23,0))))))))))))</f>
        <v>0</v>
      </c>
      <c r="AI410" s="17" t="b">
        <f>IF($A410,$J410*(IF(Y410=regle!$B$11,regle!$B$23*IF(AR410=-2,1+regle!$B$35,1),
IF(Y410=regle!$C$11,regle!$C$23,
IF(Y410=regle!$D$11,regle!$D$23,
IF(Y410=regle!$E$11,regle!$E$23,
IF(Y410=regle!$F$11,regle!$F$23,
IF(Y410=regle!$G$11,regle!$G$23,
IF(Y410=regle!$H$11,regle!$H$23,
IF(Y410=regle!$I$11,regle!$I$23,
IF(Y410=regle!$J$11,regle!$J$23,
IF(Y410=regle!$K$11,regle!$K$23,0))))))))))))</f>
        <v>0</v>
      </c>
      <c r="AJ410" s="17" t="b">
        <f>IF($A410,$J410*(IF(Z410=regle!$B$11,regle!$B$23*IF(AS410=-2,1+regle!$B$35,1),
IF(Z410=regle!$C$11,regle!$C$23,
IF(Z410=regle!$D$11,regle!$D$23,
IF(Z410=regle!$E$11,regle!$E$23,
IF(Z410=regle!$F$11,regle!$F$23,
IF(Z410=regle!$G$11,regle!$G$23,
IF(Z410=regle!$H$11,regle!$H$23,
IF(Z410=regle!$I$11,regle!$I$23,
IF(Z410=regle!$J$11,regle!$J$23,
IF(Z410=regle!$K$11,regle!$K$23,0))))))))))))</f>
        <v>0</v>
      </c>
      <c r="AK410" s="16">
        <f>IF(OR(Q410=regle!$J$11,Q410=regle!$K$11),-2,IF(Q410=regle!$B$11,0,IF(AK$1=$AK$1,IF($O410,-1,regle!$B$2-$M410),IF(AJ410=-1,-1,AJ410+1))))</f>
        <v>38</v>
      </c>
      <c r="AL410" s="16">
        <f>IF(OR(R410=regle!$J$11,R410=regle!$K$11),-2,IF(R410=regle!$B$11,0,IF(AL$1=$AK$1,IF($O410,-1,regle!$B$2-$M410),IF(AK410=-1,-1,AK410+1))))</f>
        <v>39</v>
      </c>
      <c r="AM410" s="16">
        <f>IF(OR(S410=regle!$J$11,S410=regle!$K$11),-2,IF(S410=regle!$B$11,0,IF(AM$1=$AK$1,IF($O410,-1,regle!$B$2-$M410),IF(AL410=-1,-1,AL410+1))))</f>
        <v>40</v>
      </c>
      <c r="AN410" s="16">
        <f>IF(OR(T410=regle!$J$11,T410=regle!$K$11),-2,IF(T410=regle!$B$11,0,IF(AN$1=$AK$1,IF($O410,-1,regle!$B$2-$M410),IF(AM410=-1,-1,AM410+1))))</f>
        <v>41</v>
      </c>
      <c r="AO410" s="16">
        <f>IF(OR(U410=regle!$J$11,U410=regle!$K$11),-2,IF(U410=regle!$B$11,0,IF(AO$1=$AK$1,IF($O410,-1,regle!$B$2-$M410),IF(AN410=-1,-1,AN410+1))))</f>
        <v>42</v>
      </c>
      <c r="AP410" s="16">
        <f>IF(OR(V410=regle!$J$11,V410=regle!$K$11),-2,IF(V410=regle!$B$11,0,IF(AP$1=$AK$1,IF($O410,-1,regle!$B$2-$M410),IF(AO410=-1,-1,AO410+1))))</f>
        <v>43</v>
      </c>
      <c r="AQ410" s="16">
        <f>IF(OR(W410=regle!$J$11,W410=regle!$K$11),-2,IF(W410=regle!$B$11,0,IF(AQ$1=$AK$1,IF($O410,-1,regle!$B$2-$M410),IF(AP410=-1,-1,AP410+1))))</f>
        <v>44</v>
      </c>
      <c r="AR410" s="16">
        <f>IF(OR(X410=regle!$J$11,X410=regle!$K$11),-2,IF(X410=regle!$B$11,0,IF(AR$1=$AK$1,IF($O410,-1,regle!$B$2-$M410),IF(AQ410=-1,-1,AQ410+1))))</f>
        <v>45</v>
      </c>
      <c r="AS410" s="16">
        <f>IF(OR(Y410=regle!$J$11,Y410=regle!$K$11),-2,IF(Y410=regle!$B$11,0,IF(AS$1=$AK$1,IF($O410,-1,regle!$B$2-$M410),IF(AR410=-1,-1,AR410+1))))</f>
        <v>46</v>
      </c>
      <c r="AT410" s="16">
        <f>IF(OR(Z410=regle!$J$11,Z410=regle!$K$11),-2,IF(Z410=regle!$B$11,0,IF(AT$1=$AK$1,IF($O410,-1,regle!$B$2-$M410),IF(AS410=-1,-1,AS410+1))))</f>
        <v>47</v>
      </c>
    </row>
    <row r="411" spans="1:46" x14ac:dyDescent="0.25">
      <c r="A411" t="b">
        <f>modif1!A411</f>
        <v>0</v>
      </c>
      <c r="B411">
        <f>ROW(modif1!B411)</f>
        <v>411</v>
      </c>
      <c r="C411" t="str">
        <f>modif1!C414</f>
        <v>200</v>
      </c>
      <c r="D411" t="str">
        <f>modif1!D411</f>
        <v>MOUSTEY</v>
      </c>
      <c r="E411">
        <f>modif1!E411</f>
        <v>4</v>
      </c>
      <c r="F411" t="str">
        <f>modif1!F411</f>
        <v>Kycs</v>
      </c>
      <c r="G411" t="str">
        <f>modif1!G411</f>
        <v>0M</v>
      </c>
      <c r="H411">
        <f>modif1!H411</f>
        <v>80</v>
      </c>
      <c r="I411" t="str">
        <f>modif1!I411</f>
        <v>j</v>
      </c>
      <c r="J411" s="11">
        <f>modif1!J411</f>
        <v>1.7396</v>
      </c>
      <c r="K411" t="str">
        <f>modif1!K411</f>
        <v>TAIL</v>
      </c>
      <c r="L411" t="str">
        <f>modif1!L411</f>
        <v>FEUIL</v>
      </c>
      <c r="M411">
        <f>modif1!M411</f>
        <v>1986</v>
      </c>
      <c r="N411" t="str">
        <f>modif1!N411</f>
        <v>TAIL-FEUIL_1986</v>
      </c>
      <c r="O411" t="b">
        <f>modif1!O411</f>
        <v>0</v>
      </c>
      <c r="Z411"/>
      <c r="AA411" s="17" t="b">
        <f>IF($A411,$J411*(IF(Q411=regle!$B$11,regle!$B$23*IF(AJ411=-2,1+regle!$B$35,1),
IF(Q411=regle!$C$11,regle!$C$23,
IF(Q411=regle!$D$11,regle!$D$23,
IF(Q411=regle!$E$11,regle!$E$23,
IF(Q411=regle!$F$11,regle!$F$23,
IF(Q411=regle!$G$11,regle!$G$23,
IF(Q411=regle!$H$11,regle!$H$23,
IF(Q411=regle!$I$11,regle!$I$23,
IF(Q411=regle!$J$11,regle!$J$23,
IF(Q411=regle!$K$11,regle!$K$23,0))))))))))))</f>
        <v>0</v>
      </c>
      <c r="AB411" s="17" t="b">
        <f>IF($A411,$J411*(IF(R411=regle!$B$11,regle!$B$23*IF(AK411=-2,1+regle!$B$35,1),
IF(R411=regle!$C$11,regle!$C$23,
IF(R411=regle!$D$11,regle!$D$23,
IF(R411=regle!$E$11,regle!$E$23,
IF(R411=regle!$F$11,regle!$F$23,
IF(R411=regle!$G$11,regle!$G$23,
IF(R411=regle!$H$11,regle!$H$23,
IF(R411=regle!$I$11,regle!$I$23,
IF(R411=regle!$J$11,regle!$J$23,
IF(R411=regle!$K$11,regle!$K$23,0))))))))))))</f>
        <v>0</v>
      </c>
      <c r="AC411" s="17" t="b">
        <f>IF($A411,$J411*(IF(S411=regle!$B$11,regle!$B$23*IF(AL411=-2,1+regle!$B$35,1),
IF(S411=regle!$C$11,regle!$C$23,
IF(S411=regle!$D$11,regle!$D$23,
IF(S411=regle!$E$11,regle!$E$23,
IF(S411=regle!$F$11,regle!$F$23,
IF(S411=regle!$G$11,regle!$G$23,
IF(S411=regle!$H$11,regle!$H$23,
IF(S411=regle!$I$11,regle!$I$23,
IF(S411=regle!$J$11,regle!$J$23,
IF(S411=regle!$K$11,regle!$K$23,0))))))))))))</f>
        <v>0</v>
      </c>
      <c r="AD411" s="17" t="b">
        <f>IF($A411,$J411*(IF(T411=regle!$B$11,regle!$B$23*IF(AM411=-2,1+regle!$B$35,1),
IF(T411=regle!$C$11,regle!$C$23,
IF(T411=regle!$D$11,regle!$D$23,
IF(T411=regle!$E$11,regle!$E$23,
IF(T411=regle!$F$11,regle!$F$23,
IF(T411=regle!$G$11,regle!$G$23,
IF(T411=regle!$H$11,regle!$H$23,
IF(T411=regle!$I$11,regle!$I$23,
IF(T411=regle!$J$11,regle!$J$23,
IF(T411=regle!$K$11,regle!$K$23,0))))))))))))</f>
        <v>0</v>
      </c>
      <c r="AE411" s="17" t="b">
        <f>IF($A411,$J411*(IF(U411=regle!$B$11,regle!$B$23*IF(AN411=-2,1+regle!$B$35,1),
IF(U411=regle!$C$11,regle!$C$23,
IF(U411=regle!$D$11,regle!$D$23,
IF(U411=regle!$E$11,regle!$E$23,
IF(U411=regle!$F$11,regle!$F$23,
IF(U411=regle!$G$11,regle!$G$23,
IF(U411=regle!$H$11,regle!$H$23,
IF(U411=regle!$I$11,regle!$I$23,
IF(U411=regle!$J$11,regle!$J$23,
IF(U411=regle!$K$11,regle!$K$23,0))))))))))))</f>
        <v>0</v>
      </c>
      <c r="AF411" s="17" t="b">
        <f>IF($A411,$J411*(IF(V411=regle!$B$11,regle!$B$23*IF(AO411=-2,1+regle!$B$35,1),
IF(V411=regle!$C$11,regle!$C$23,
IF(V411=regle!$D$11,regle!$D$23,
IF(V411=regle!$E$11,regle!$E$23,
IF(V411=regle!$F$11,regle!$F$23,
IF(V411=regle!$G$11,regle!$G$23,
IF(V411=regle!$H$11,regle!$H$23,
IF(V411=regle!$I$11,regle!$I$23,
IF(V411=regle!$J$11,regle!$J$23,
IF(V411=regle!$K$11,regle!$K$23,0))))))))))))</f>
        <v>0</v>
      </c>
      <c r="AG411" s="17" t="b">
        <f>IF($A411,$J411*(IF(W411=regle!$B$11,regle!$B$23*IF(AP411=-2,1+regle!$B$35,1),
IF(W411=regle!$C$11,regle!$C$23,
IF(W411=regle!$D$11,regle!$D$23,
IF(W411=regle!$E$11,regle!$E$23,
IF(W411=regle!$F$11,regle!$F$23,
IF(W411=regle!$G$11,regle!$G$23,
IF(W411=regle!$H$11,regle!$H$23,
IF(W411=regle!$I$11,regle!$I$23,
IF(W411=regle!$J$11,regle!$J$23,
IF(W411=regle!$K$11,regle!$K$23,0))))))))))))</f>
        <v>0</v>
      </c>
      <c r="AH411" s="17" t="b">
        <f>IF($A411,$J411*(IF(X411=regle!$B$11,regle!$B$23*IF(AQ411=-2,1+regle!$B$35,1),
IF(X411=regle!$C$11,regle!$C$23,
IF(X411=regle!$D$11,regle!$D$23,
IF(X411=regle!$E$11,regle!$E$23,
IF(X411=regle!$F$11,regle!$F$23,
IF(X411=regle!$G$11,regle!$G$23,
IF(X411=regle!$H$11,regle!$H$23,
IF(X411=regle!$I$11,regle!$I$23,
IF(X411=regle!$J$11,regle!$J$23,
IF(X411=regle!$K$11,regle!$K$23,0))))))))))))</f>
        <v>0</v>
      </c>
      <c r="AI411" s="17" t="b">
        <f>IF($A411,$J411*(IF(Y411=regle!$B$11,regle!$B$23*IF(AR411=-2,1+regle!$B$35,1),
IF(Y411=regle!$C$11,regle!$C$23,
IF(Y411=regle!$D$11,regle!$D$23,
IF(Y411=regle!$E$11,regle!$E$23,
IF(Y411=regle!$F$11,regle!$F$23,
IF(Y411=regle!$G$11,regle!$G$23,
IF(Y411=regle!$H$11,regle!$H$23,
IF(Y411=regle!$I$11,regle!$I$23,
IF(Y411=regle!$J$11,regle!$J$23,
IF(Y411=regle!$K$11,regle!$K$23,0))))))))))))</f>
        <v>0</v>
      </c>
      <c r="AJ411" s="17" t="b">
        <f>IF($A411,$J411*(IF(Z411=regle!$B$11,regle!$B$23*IF(AS411=-2,1+regle!$B$35,1),
IF(Z411=regle!$C$11,regle!$C$23,
IF(Z411=regle!$D$11,regle!$D$23,
IF(Z411=regle!$E$11,regle!$E$23,
IF(Z411=regle!$F$11,regle!$F$23,
IF(Z411=regle!$G$11,regle!$G$23,
IF(Z411=regle!$H$11,regle!$H$23,
IF(Z411=regle!$I$11,regle!$I$23,
IF(Z411=regle!$J$11,regle!$J$23,
IF(Z411=regle!$K$11,regle!$K$23,0))))))))))))</f>
        <v>0</v>
      </c>
      <c r="AK411" s="16">
        <f>IF(OR(Q411=regle!$J$11,Q411=regle!$K$11),-2,IF(Q411=regle!$B$11,0,IF(AK$1=$AK$1,IF($O411,-1,regle!$B$2-$M411),IF(AJ411=-1,-1,AJ411+1))))</f>
        <v>38</v>
      </c>
      <c r="AL411" s="16">
        <f>IF(OR(R411=regle!$J$11,R411=regle!$K$11),-2,IF(R411=regle!$B$11,0,IF(AL$1=$AK$1,IF($O411,-1,regle!$B$2-$M411),IF(AK411=-1,-1,AK411+1))))</f>
        <v>39</v>
      </c>
      <c r="AM411" s="16">
        <f>IF(OR(S411=regle!$J$11,S411=regle!$K$11),-2,IF(S411=regle!$B$11,0,IF(AM$1=$AK$1,IF($O411,-1,regle!$B$2-$M411),IF(AL411=-1,-1,AL411+1))))</f>
        <v>40</v>
      </c>
      <c r="AN411" s="16">
        <f>IF(OR(T411=regle!$J$11,T411=regle!$K$11),-2,IF(T411=regle!$B$11,0,IF(AN$1=$AK$1,IF($O411,-1,regle!$B$2-$M411),IF(AM411=-1,-1,AM411+1))))</f>
        <v>41</v>
      </c>
      <c r="AO411" s="16">
        <f>IF(OR(U411=regle!$J$11,U411=regle!$K$11),-2,IF(U411=regle!$B$11,0,IF(AO$1=$AK$1,IF($O411,-1,regle!$B$2-$M411),IF(AN411=-1,-1,AN411+1))))</f>
        <v>42</v>
      </c>
      <c r="AP411" s="16">
        <f>IF(OR(V411=regle!$J$11,V411=regle!$K$11),-2,IF(V411=regle!$B$11,0,IF(AP$1=$AK$1,IF($O411,-1,regle!$B$2-$M411),IF(AO411=-1,-1,AO411+1))))</f>
        <v>43</v>
      </c>
      <c r="AQ411" s="16">
        <f>IF(OR(W411=regle!$J$11,W411=regle!$K$11),-2,IF(W411=regle!$B$11,0,IF(AQ$1=$AK$1,IF($O411,-1,regle!$B$2-$M411),IF(AP411=-1,-1,AP411+1))))</f>
        <v>44</v>
      </c>
      <c r="AR411" s="16">
        <f>IF(OR(X411=regle!$J$11,X411=regle!$K$11),-2,IF(X411=regle!$B$11,0,IF(AR$1=$AK$1,IF($O411,-1,regle!$B$2-$M411),IF(AQ411=-1,-1,AQ411+1))))</f>
        <v>45</v>
      </c>
      <c r="AS411" s="16">
        <f>IF(OR(Y411=regle!$J$11,Y411=regle!$K$11),-2,IF(Y411=regle!$B$11,0,IF(AS$1=$AK$1,IF($O411,-1,regle!$B$2-$M411),IF(AR411=-1,-1,AR411+1))))</f>
        <v>46</v>
      </c>
      <c r="AT411" s="16">
        <f>IF(OR(Z411=regle!$J$11,Z411=regle!$K$11),-2,IF(Z411=regle!$B$11,0,IF(AT$1=$AK$1,IF($O411,-1,regle!$B$2-$M411),IF(AS411=-1,-1,AS411+1))))</f>
        <v>47</v>
      </c>
    </row>
    <row r="412" spans="1:46" x14ac:dyDescent="0.25">
      <c r="A412" t="b">
        <f>modif1!A412</f>
        <v>0</v>
      </c>
      <c r="B412">
        <f>ROW(modif1!B412)</f>
        <v>412</v>
      </c>
      <c r="C412" t="str">
        <f>modif1!C415</f>
        <v>200</v>
      </c>
      <c r="D412" t="str">
        <f>modif1!D412</f>
        <v>MOUSTEY</v>
      </c>
      <c r="E412">
        <f>modif1!E412</f>
        <v>4</v>
      </c>
      <c r="F412" t="str">
        <f>modif1!F412</f>
        <v>Kycs</v>
      </c>
      <c r="G412" t="str">
        <f>modif1!G412</f>
        <v>0M</v>
      </c>
      <c r="H412">
        <f>modif1!H412</f>
        <v>71</v>
      </c>
      <c r="I412" t="str">
        <f>modif1!I412</f>
        <v>k</v>
      </c>
      <c r="J412" s="11">
        <f>modif1!J412</f>
        <v>0.48820000000000002</v>
      </c>
      <c r="K412" t="str">
        <f>modif1!K412</f>
        <v>TAIL</v>
      </c>
      <c r="L412" t="str">
        <f>modif1!L412</f>
        <v>FEUIL</v>
      </c>
      <c r="M412">
        <f>modif1!M412</f>
        <v>1986</v>
      </c>
      <c r="N412" t="str">
        <f>modif1!N412</f>
        <v>TAIL-FEUIL_1986</v>
      </c>
      <c r="O412" t="b">
        <f>modif1!O412</f>
        <v>0</v>
      </c>
      <c r="Z412"/>
      <c r="AA412" s="17" t="b">
        <f>IF($A412,$J412*(IF(Q412=regle!$B$11,regle!$B$23*IF(AJ412=-2,1+regle!$B$35,1),
IF(Q412=regle!$C$11,regle!$C$23,
IF(Q412=regle!$D$11,regle!$D$23,
IF(Q412=regle!$E$11,regle!$E$23,
IF(Q412=regle!$F$11,regle!$F$23,
IF(Q412=regle!$G$11,regle!$G$23,
IF(Q412=regle!$H$11,regle!$H$23,
IF(Q412=regle!$I$11,regle!$I$23,
IF(Q412=regle!$J$11,regle!$J$23,
IF(Q412=regle!$K$11,regle!$K$23,0))))))))))))</f>
        <v>0</v>
      </c>
      <c r="AB412" s="17" t="b">
        <f>IF($A412,$J412*(IF(R412=regle!$B$11,regle!$B$23*IF(AK412=-2,1+regle!$B$35,1),
IF(R412=regle!$C$11,regle!$C$23,
IF(R412=regle!$D$11,regle!$D$23,
IF(R412=regle!$E$11,regle!$E$23,
IF(R412=regle!$F$11,regle!$F$23,
IF(R412=regle!$G$11,regle!$G$23,
IF(R412=regle!$H$11,regle!$H$23,
IF(R412=regle!$I$11,regle!$I$23,
IF(R412=regle!$J$11,regle!$J$23,
IF(R412=regle!$K$11,regle!$K$23,0))))))))))))</f>
        <v>0</v>
      </c>
      <c r="AC412" s="17" t="b">
        <f>IF($A412,$J412*(IF(S412=regle!$B$11,regle!$B$23*IF(AL412=-2,1+regle!$B$35,1),
IF(S412=regle!$C$11,regle!$C$23,
IF(S412=regle!$D$11,regle!$D$23,
IF(S412=regle!$E$11,regle!$E$23,
IF(S412=regle!$F$11,regle!$F$23,
IF(S412=regle!$G$11,regle!$G$23,
IF(S412=regle!$H$11,regle!$H$23,
IF(S412=regle!$I$11,regle!$I$23,
IF(S412=regle!$J$11,regle!$J$23,
IF(S412=regle!$K$11,regle!$K$23,0))))))))))))</f>
        <v>0</v>
      </c>
      <c r="AD412" s="17" t="b">
        <f>IF($A412,$J412*(IF(T412=regle!$B$11,regle!$B$23*IF(AM412=-2,1+regle!$B$35,1),
IF(T412=regle!$C$11,regle!$C$23,
IF(T412=regle!$D$11,regle!$D$23,
IF(T412=regle!$E$11,regle!$E$23,
IF(T412=regle!$F$11,regle!$F$23,
IF(T412=regle!$G$11,regle!$G$23,
IF(T412=regle!$H$11,regle!$H$23,
IF(T412=regle!$I$11,regle!$I$23,
IF(T412=regle!$J$11,regle!$J$23,
IF(T412=regle!$K$11,regle!$K$23,0))))))))))))</f>
        <v>0</v>
      </c>
      <c r="AE412" s="17" t="b">
        <f>IF($A412,$J412*(IF(U412=regle!$B$11,regle!$B$23*IF(AN412=-2,1+regle!$B$35,1),
IF(U412=regle!$C$11,regle!$C$23,
IF(U412=regle!$D$11,regle!$D$23,
IF(U412=regle!$E$11,regle!$E$23,
IF(U412=regle!$F$11,regle!$F$23,
IF(U412=regle!$G$11,regle!$G$23,
IF(U412=regle!$H$11,regle!$H$23,
IF(U412=regle!$I$11,regle!$I$23,
IF(U412=regle!$J$11,regle!$J$23,
IF(U412=regle!$K$11,regle!$K$23,0))))))))))))</f>
        <v>0</v>
      </c>
      <c r="AF412" s="17" t="b">
        <f>IF($A412,$J412*(IF(V412=regle!$B$11,regle!$B$23*IF(AO412=-2,1+regle!$B$35,1),
IF(V412=regle!$C$11,regle!$C$23,
IF(V412=regle!$D$11,regle!$D$23,
IF(V412=regle!$E$11,regle!$E$23,
IF(V412=regle!$F$11,regle!$F$23,
IF(V412=regle!$G$11,regle!$G$23,
IF(V412=regle!$H$11,regle!$H$23,
IF(V412=regle!$I$11,regle!$I$23,
IF(V412=regle!$J$11,regle!$J$23,
IF(V412=regle!$K$11,regle!$K$23,0))))))))))))</f>
        <v>0</v>
      </c>
      <c r="AG412" s="17" t="b">
        <f>IF($A412,$J412*(IF(W412=regle!$B$11,regle!$B$23*IF(AP412=-2,1+regle!$B$35,1),
IF(W412=regle!$C$11,regle!$C$23,
IF(W412=regle!$D$11,regle!$D$23,
IF(W412=regle!$E$11,regle!$E$23,
IF(W412=regle!$F$11,regle!$F$23,
IF(W412=regle!$G$11,regle!$G$23,
IF(W412=regle!$H$11,regle!$H$23,
IF(W412=regle!$I$11,regle!$I$23,
IF(W412=regle!$J$11,regle!$J$23,
IF(W412=regle!$K$11,regle!$K$23,0))))))))))))</f>
        <v>0</v>
      </c>
      <c r="AH412" s="17" t="b">
        <f>IF($A412,$J412*(IF(X412=regle!$B$11,regle!$B$23*IF(AQ412=-2,1+regle!$B$35,1),
IF(X412=regle!$C$11,regle!$C$23,
IF(X412=regle!$D$11,regle!$D$23,
IF(X412=regle!$E$11,regle!$E$23,
IF(X412=regle!$F$11,regle!$F$23,
IF(X412=regle!$G$11,regle!$G$23,
IF(X412=regle!$H$11,regle!$H$23,
IF(X412=regle!$I$11,regle!$I$23,
IF(X412=regle!$J$11,regle!$J$23,
IF(X412=regle!$K$11,regle!$K$23,0))))))))))))</f>
        <v>0</v>
      </c>
      <c r="AI412" s="17" t="b">
        <f>IF($A412,$J412*(IF(Y412=regle!$B$11,regle!$B$23*IF(AR412=-2,1+regle!$B$35,1),
IF(Y412=regle!$C$11,regle!$C$23,
IF(Y412=regle!$D$11,regle!$D$23,
IF(Y412=regle!$E$11,regle!$E$23,
IF(Y412=regle!$F$11,regle!$F$23,
IF(Y412=regle!$G$11,regle!$G$23,
IF(Y412=regle!$H$11,regle!$H$23,
IF(Y412=regle!$I$11,regle!$I$23,
IF(Y412=regle!$J$11,regle!$J$23,
IF(Y412=regle!$K$11,regle!$K$23,0))))))))))))</f>
        <v>0</v>
      </c>
      <c r="AJ412" s="17" t="b">
        <f>IF($A412,$J412*(IF(Z412=regle!$B$11,regle!$B$23*IF(AS412=-2,1+regle!$B$35,1),
IF(Z412=regle!$C$11,regle!$C$23,
IF(Z412=regle!$D$11,regle!$D$23,
IF(Z412=regle!$E$11,regle!$E$23,
IF(Z412=regle!$F$11,regle!$F$23,
IF(Z412=regle!$G$11,regle!$G$23,
IF(Z412=regle!$H$11,regle!$H$23,
IF(Z412=regle!$I$11,regle!$I$23,
IF(Z412=regle!$J$11,regle!$J$23,
IF(Z412=regle!$K$11,regle!$K$23,0))))))))))))</f>
        <v>0</v>
      </c>
      <c r="AK412" s="16">
        <f>IF(OR(Q412=regle!$J$11,Q412=regle!$K$11),-2,IF(Q412=regle!$B$11,0,IF(AK$1=$AK$1,IF($O412,-1,regle!$B$2-$M412),IF(AJ412=-1,-1,AJ412+1))))</f>
        <v>38</v>
      </c>
      <c r="AL412" s="16">
        <f>IF(OR(R412=regle!$J$11,R412=regle!$K$11),-2,IF(R412=regle!$B$11,0,IF(AL$1=$AK$1,IF($O412,-1,regle!$B$2-$M412),IF(AK412=-1,-1,AK412+1))))</f>
        <v>39</v>
      </c>
      <c r="AM412" s="16">
        <f>IF(OR(S412=regle!$J$11,S412=regle!$K$11),-2,IF(S412=regle!$B$11,0,IF(AM$1=$AK$1,IF($O412,-1,regle!$B$2-$M412),IF(AL412=-1,-1,AL412+1))))</f>
        <v>40</v>
      </c>
      <c r="AN412" s="16">
        <f>IF(OR(T412=regle!$J$11,T412=regle!$K$11),-2,IF(T412=regle!$B$11,0,IF(AN$1=$AK$1,IF($O412,-1,regle!$B$2-$M412),IF(AM412=-1,-1,AM412+1))))</f>
        <v>41</v>
      </c>
      <c r="AO412" s="16">
        <f>IF(OR(U412=regle!$J$11,U412=regle!$K$11),-2,IF(U412=regle!$B$11,0,IF(AO$1=$AK$1,IF($O412,-1,regle!$B$2-$M412),IF(AN412=-1,-1,AN412+1))))</f>
        <v>42</v>
      </c>
      <c r="AP412" s="16">
        <f>IF(OR(V412=regle!$J$11,V412=regle!$K$11),-2,IF(V412=regle!$B$11,0,IF(AP$1=$AK$1,IF($O412,-1,regle!$B$2-$M412),IF(AO412=-1,-1,AO412+1))))</f>
        <v>43</v>
      </c>
      <c r="AQ412" s="16">
        <f>IF(OR(W412=regle!$J$11,W412=regle!$K$11),-2,IF(W412=regle!$B$11,0,IF(AQ$1=$AK$1,IF($O412,-1,regle!$B$2-$M412),IF(AP412=-1,-1,AP412+1))))</f>
        <v>44</v>
      </c>
      <c r="AR412" s="16">
        <f>IF(OR(X412=regle!$J$11,X412=regle!$K$11),-2,IF(X412=regle!$B$11,0,IF(AR$1=$AK$1,IF($O412,-1,regle!$B$2-$M412),IF(AQ412=-1,-1,AQ412+1))))</f>
        <v>45</v>
      </c>
      <c r="AS412" s="16">
        <f>IF(OR(Y412=regle!$J$11,Y412=regle!$K$11),-2,IF(Y412=regle!$B$11,0,IF(AS$1=$AK$1,IF($O412,-1,regle!$B$2-$M412),IF(AR412=-1,-1,AR412+1))))</f>
        <v>46</v>
      </c>
      <c r="AT412" s="16">
        <f>IF(OR(Z412=regle!$J$11,Z412=regle!$K$11),-2,IF(Z412=regle!$B$11,0,IF(AT$1=$AK$1,IF($O412,-1,regle!$B$2-$M412),IF(AS412=-1,-1,AS412+1))))</f>
        <v>47</v>
      </c>
    </row>
    <row r="413" spans="1:46" x14ac:dyDescent="0.25">
      <c r="A413" t="b">
        <f>modif1!A413</f>
        <v>0</v>
      </c>
      <c r="B413">
        <f>ROW(modif1!B413)</f>
        <v>413</v>
      </c>
      <c r="C413" t="str">
        <f>modif1!C416</f>
        <v>200</v>
      </c>
      <c r="D413" t="str">
        <f>modif1!D413</f>
        <v>MOUSTEY</v>
      </c>
      <c r="E413">
        <f>modif1!E413</f>
        <v>9</v>
      </c>
      <c r="F413" t="str">
        <f>modif1!F413</f>
        <v>Peyroulet</v>
      </c>
      <c r="G413" t="str">
        <f>modif1!G413</f>
        <v>0N</v>
      </c>
      <c r="H413">
        <f>modif1!H413</f>
        <v>161</v>
      </c>
      <c r="I413" t="str">
        <f>modif1!I413</f>
        <v>c</v>
      </c>
      <c r="J413" s="11">
        <f>modif1!J413</f>
        <v>0.42080000000000001</v>
      </c>
      <c r="K413" t="str">
        <f>modif1!K413</f>
        <v>TAIL</v>
      </c>
      <c r="L413" t="str">
        <f>modif1!L413</f>
        <v>FEUIL</v>
      </c>
      <c r="M413">
        <f>modif1!M413</f>
        <v>1986</v>
      </c>
      <c r="N413" t="str">
        <f>modif1!N413</f>
        <v>TAIL-FEUIL_1986</v>
      </c>
      <c r="O413" t="b">
        <f>modif1!O413</f>
        <v>0</v>
      </c>
      <c r="Z413"/>
      <c r="AA413" s="17" t="b">
        <f>IF($A413,$J413*(IF(Q413=regle!$B$11,regle!$B$23*IF(AJ413=-2,1+regle!$B$35,1),
IF(Q413=regle!$C$11,regle!$C$23,
IF(Q413=regle!$D$11,regle!$D$23,
IF(Q413=regle!$E$11,regle!$E$23,
IF(Q413=regle!$F$11,regle!$F$23,
IF(Q413=regle!$G$11,regle!$G$23,
IF(Q413=regle!$H$11,regle!$H$23,
IF(Q413=regle!$I$11,regle!$I$23,
IF(Q413=regle!$J$11,regle!$J$23,
IF(Q413=regle!$K$11,regle!$K$23,0))))))))))))</f>
        <v>0</v>
      </c>
      <c r="AB413" s="17" t="b">
        <f>IF($A413,$J413*(IF(R413=regle!$B$11,regle!$B$23*IF(AK413=-2,1+regle!$B$35,1),
IF(R413=regle!$C$11,regle!$C$23,
IF(R413=regle!$D$11,regle!$D$23,
IF(R413=regle!$E$11,regle!$E$23,
IF(R413=regle!$F$11,regle!$F$23,
IF(R413=regle!$G$11,regle!$G$23,
IF(R413=regle!$H$11,regle!$H$23,
IF(R413=regle!$I$11,regle!$I$23,
IF(R413=regle!$J$11,regle!$J$23,
IF(R413=regle!$K$11,regle!$K$23,0))))))))))))</f>
        <v>0</v>
      </c>
      <c r="AC413" s="17" t="b">
        <f>IF($A413,$J413*(IF(S413=regle!$B$11,regle!$B$23*IF(AL413=-2,1+regle!$B$35,1),
IF(S413=regle!$C$11,regle!$C$23,
IF(S413=regle!$D$11,regle!$D$23,
IF(S413=regle!$E$11,regle!$E$23,
IF(S413=regle!$F$11,regle!$F$23,
IF(S413=regle!$G$11,regle!$G$23,
IF(S413=regle!$H$11,regle!$H$23,
IF(S413=regle!$I$11,regle!$I$23,
IF(S413=regle!$J$11,regle!$J$23,
IF(S413=regle!$K$11,regle!$K$23,0))))))))))))</f>
        <v>0</v>
      </c>
      <c r="AD413" s="17" t="b">
        <f>IF($A413,$J413*(IF(T413=regle!$B$11,regle!$B$23*IF(AM413=-2,1+regle!$B$35,1),
IF(T413=regle!$C$11,regle!$C$23,
IF(T413=regle!$D$11,regle!$D$23,
IF(T413=regle!$E$11,regle!$E$23,
IF(T413=regle!$F$11,regle!$F$23,
IF(T413=regle!$G$11,regle!$G$23,
IF(T413=regle!$H$11,regle!$H$23,
IF(T413=regle!$I$11,regle!$I$23,
IF(T413=regle!$J$11,regle!$J$23,
IF(T413=regle!$K$11,regle!$K$23,0))))))))))))</f>
        <v>0</v>
      </c>
      <c r="AE413" s="17" t="b">
        <f>IF($A413,$J413*(IF(U413=regle!$B$11,regle!$B$23*IF(AN413=-2,1+regle!$B$35,1),
IF(U413=regle!$C$11,regle!$C$23,
IF(U413=regle!$D$11,regle!$D$23,
IF(U413=regle!$E$11,regle!$E$23,
IF(U413=regle!$F$11,regle!$F$23,
IF(U413=regle!$G$11,regle!$G$23,
IF(U413=regle!$H$11,regle!$H$23,
IF(U413=regle!$I$11,regle!$I$23,
IF(U413=regle!$J$11,regle!$J$23,
IF(U413=regle!$K$11,regle!$K$23,0))))))))))))</f>
        <v>0</v>
      </c>
      <c r="AF413" s="17" t="b">
        <f>IF($A413,$J413*(IF(V413=regle!$B$11,regle!$B$23*IF(AO413=-2,1+regle!$B$35,1),
IF(V413=regle!$C$11,regle!$C$23,
IF(V413=regle!$D$11,regle!$D$23,
IF(V413=regle!$E$11,regle!$E$23,
IF(V413=regle!$F$11,regle!$F$23,
IF(V413=regle!$G$11,regle!$G$23,
IF(V413=regle!$H$11,regle!$H$23,
IF(V413=regle!$I$11,regle!$I$23,
IF(V413=regle!$J$11,regle!$J$23,
IF(V413=regle!$K$11,regle!$K$23,0))))))))))))</f>
        <v>0</v>
      </c>
      <c r="AG413" s="17" t="b">
        <f>IF($A413,$J413*(IF(W413=regle!$B$11,regle!$B$23*IF(AP413=-2,1+regle!$B$35,1),
IF(W413=regle!$C$11,regle!$C$23,
IF(W413=regle!$D$11,regle!$D$23,
IF(W413=regle!$E$11,regle!$E$23,
IF(W413=regle!$F$11,regle!$F$23,
IF(W413=regle!$G$11,regle!$G$23,
IF(W413=regle!$H$11,regle!$H$23,
IF(W413=regle!$I$11,regle!$I$23,
IF(W413=regle!$J$11,regle!$J$23,
IF(W413=regle!$K$11,regle!$K$23,0))))))))))))</f>
        <v>0</v>
      </c>
      <c r="AH413" s="17" t="b">
        <f>IF($A413,$J413*(IF(X413=regle!$B$11,regle!$B$23*IF(AQ413=-2,1+regle!$B$35,1),
IF(X413=regle!$C$11,regle!$C$23,
IF(X413=regle!$D$11,regle!$D$23,
IF(X413=regle!$E$11,regle!$E$23,
IF(X413=regle!$F$11,regle!$F$23,
IF(X413=regle!$G$11,regle!$G$23,
IF(X413=regle!$H$11,regle!$H$23,
IF(X413=regle!$I$11,regle!$I$23,
IF(X413=regle!$J$11,regle!$J$23,
IF(X413=regle!$K$11,regle!$K$23,0))))))))))))</f>
        <v>0</v>
      </c>
      <c r="AI413" s="17" t="b">
        <f>IF($A413,$J413*(IF(Y413=regle!$B$11,regle!$B$23*IF(AR413=-2,1+regle!$B$35,1),
IF(Y413=regle!$C$11,regle!$C$23,
IF(Y413=regle!$D$11,regle!$D$23,
IF(Y413=regle!$E$11,regle!$E$23,
IF(Y413=regle!$F$11,regle!$F$23,
IF(Y413=regle!$G$11,regle!$G$23,
IF(Y413=regle!$H$11,regle!$H$23,
IF(Y413=regle!$I$11,regle!$I$23,
IF(Y413=regle!$J$11,regle!$J$23,
IF(Y413=regle!$K$11,regle!$K$23,0))))))))))))</f>
        <v>0</v>
      </c>
      <c r="AJ413" s="17" t="b">
        <f>IF($A413,$J413*(IF(Z413=regle!$B$11,regle!$B$23*IF(AS413=-2,1+regle!$B$35,1),
IF(Z413=regle!$C$11,regle!$C$23,
IF(Z413=regle!$D$11,regle!$D$23,
IF(Z413=regle!$E$11,regle!$E$23,
IF(Z413=regle!$F$11,regle!$F$23,
IF(Z413=regle!$G$11,regle!$G$23,
IF(Z413=regle!$H$11,regle!$H$23,
IF(Z413=regle!$I$11,regle!$I$23,
IF(Z413=regle!$J$11,regle!$J$23,
IF(Z413=regle!$K$11,regle!$K$23,0))))))))))))</f>
        <v>0</v>
      </c>
      <c r="AK413" s="16">
        <f>IF(OR(Q413=regle!$J$11,Q413=regle!$K$11),-2,IF(Q413=regle!$B$11,0,IF(AK$1=$AK$1,IF($O413,-1,regle!$B$2-$M413),IF(AJ413=-1,-1,AJ413+1))))</f>
        <v>38</v>
      </c>
      <c r="AL413" s="16">
        <f>IF(OR(R413=regle!$J$11,R413=regle!$K$11),-2,IF(R413=regle!$B$11,0,IF(AL$1=$AK$1,IF($O413,-1,regle!$B$2-$M413),IF(AK413=-1,-1,AK413+1))))</f>
        <v>39</v>
      </c>
      <c r="AM413" s="16">
        <f>IF(OR(S413=regle!$J$11,S413=regle!$K$11),-2,IF(S413=regle!$B$11,0,IF(AM$1=$AK$1,IF($O413,-1,regle!$B$2-$M413),IF(AL413=-1,-1,AL413+1))))</f>
        <v>40</v>
      </c>
      <c r="AN413" s="16">
        <f>IF(OR(T413=regle!$J$11,T413=regle!$K$11),-2,IF(T413=regle!$B$11,0,IF(AN$1=$AK$1,IF($O413,-1,regle!$B$2-$M413),IF(AM413=-1,-1,AM413+1))))</f>
        <v>41</v>
      </c>
      <c r="AO413" s="16">
        <f>IF(OR(U413=regle!$J$11,U413=regle!$K$11),-2,IF(U413=regle!$B$11,0,IF(AO$1=$AK$1,IF($O413,-1,regle!$B$2-$M413),IF(AN413=-1,-1,AN413+1))))</f>
        <v>42</v>
      </c>
      <c r="AP413" s="16">
        <f>IF(OR(V413=regle!$J$11,V413=regle!$K$11),-2,IF(V413=regle!$B$11,0,IF(AP$1=$AK$1,IF($O413,-1,regle!$B$2-$M413),IF(AO413=-1,-1,AO413+1))))</f>
        <v>43</v>
      </c>
      <c r="AQ413" s="16">
        <f>IF(OR(W413=regle!$J$11,W413=regle!$K$11),-2,IF(W413=regle!$B$11,0,IF(AQ$1=$AK$1,IF($O413,-1,regle!$B$2-$M413),IF(AP413=-1,-1,AP413+1))))</f>
        <v>44</v>
      </c>
      <c r="AR413" s="16">
        <f>IF(OR(X413=regle!$J$11,X413=regle!$K$11),-2,IF(X413=regle!$B$11,0,IF(AR$1=$AK$1,IF($O413,-1,regle!$B$2-$M413),IF(AQ413=-1,-1,AQ413+1))))</f>
        <v>45</v>
      </c>
      <c r="AS413" s="16">
        <f>IF(OR(Y413=regle!$J$11,Y413=regle!$K$11),-2,IF(Y413=regle!$B$11,0,IF(AS$1=$AK$1,IF($O413,-1,regle!$B$2-$M413),IF(AR413=-1,-1,AR413+1))))</f>
        <v>46</v>
      </c>
      <c r="AT413" s="16">
        <f>IF(OR(Z413=regle!$J$11,Z413=regle!$K$11),-2,IF(Z413=regle!$B$11,0,IF(AT$1=$AK$1,IF($O413,-1,regle!$B$2-$M413),IF(AS413=-1,-1,AS413+1))))</f>
        <v>47</v>
      </c>
    </row>
    <row r="414" spans="1:46" x14ac:dyDescent="0.25">
      <c r="A414" t="b">
        <f>modif1!A414</f>
        <v>0</v>
      </c>
      <c r="B414">
        <f>ROW(modif1!B414)</f>
        <v>414</v>
      </c>
      <c r="C414" t="str">
        <f>modif1!C417</f>
        <v>200</v>
      </c>
      <c r="D414" t="str">
        <f>modif1!D414</f>
        <v>MOUSTEY</v>
      </c>
      <c r="E414">
        <f>modif1!E414</f>
        <v>5</v>
      </c>
      <c r="F414" t="str">
        <f>modif1!F414</f>
        <v>Plata</v>
      </c>
      <c r="G414" t="str">
        <f>modif1!G414</f>
        <v>0M</v>
      </c>
      <c r="H414">
        <f>modif1!H414</f>
        <v>23</v>
      </c>
      <c r="I414" t="str">
        <f>modif1!I414</f>
        <v>b</v>
      </c>
      <c r="J414" s="11">
        <f>modif1!J414</f>
        <v>0.35799999999999998</v>
      </c>
      <c r="K414" t="str">
        <f>modif1!K414</f>
        <v>TAIL</v>
      </c>
      <c r="L414" t="str">
        <f>modif1!L414</f>
        <v>FEUIL</v>
      </c>
      <c r="M414">
        <f>modif1!M414</f>
        <v>1986</v>
      </c>
      <c r="N414" t="str">
        <f>modif1!N414</f>
        <v>TAIL-FEUIL_1986</v>
      </c>
      <c r="O414" t="b">
        <f>modif1!O414</f>
        <v>0</v>
      </c>
      <c r="Z414"/>
      <c r="AA414" s="17" t="b">
        <f>IF($A414,$J414*(IF(Q414=regle!$B$11,regle!$B$23*IF(AJ414=-2,1+regle!$B$35,1),
IF(Q414=regle!$C$11,regle!$C$23,
IF(Q414=regle!$D$11,regle!$D$23,
IF(Q414=regle!$E$11,regle!$E$23,
IF(Q414=regle!$F$11,regle!$F$23,
IF(Q414=regle!$G$11,regle!$G$23,
IF(Q414=regle!$H$11,regle!$H$23,
IF(Q414=regle!$I$11,regle!$I$23,
IF(Q414=regle!$J$11,regle!$J$23,
IF(Q414=regle!$K$11,regle!$K$23,0))))))))))))</f>
        <v>0</v>
      </c>
      <c r="AB414" s="17" t="b">
        <f>IF($A414,$J414*(IF(R414=regle!$B$11,regle!$B$23*IF(AK414=-2,1+regle!$B$35,1),
IF(R414=regle!$C$11,regle!$C$23,
IF(R414=regle!$D$11,regle!$D$23,
IF(R414=regle!$E$11,regle!$E$23,
IF(R414=regle!$F$11,regle!$F$23,
IF(R414=regle!$G$11,regle!$G$23,
IF(R414=regle!$H$11,regle!$H$23,
IF(R414=regle!$I$11,regle!$I$23,
IF(R414=regle!$J$11,regle!$J$23,
IF(R414=regle!$K$11,regle!$K$23,0))))))))))))</f>
        <v>0</v>
      </c>
      <c r="AC414" s="17" t="b">
        <f>IF($A414,$J414*(IF(S414=regle!$B$11,regle!$B$23*IF(AL414=-2,1+regle!$B$35,1),
IF(S414=regle!$C$11,regle!$C$23,
IF(S414=regle!$D$11,regle!$D$23,
IF(S414=regle!$E$11,regle!$E$23,
IF(S414=regle!$F$11,regle!$F$23,
IF(S414=regle!$G$11,regle!$G$23,
IF(S414=regle!$H$11,regle!$H$23,
IF(S414=regle!$I$11,regle!$I$23,
IF(S414=regle!$J$11,regle!$J$23,
IF(S414=regle!$K$11,regle!$K$23,0))))))))))))</f>
        <v>0</v>
      </c>
      <c r="AD414" s="17" t="b">
        <f>IF($A414,$J414*(IF(T414=regle!$B$11,regle!$B$23*IF(AM414=-2,1+regle!$B$35,1),
IF(T414=regle!$C$11,regle!$C$23,
IF(T414=regle!$D$11,regle!$D$23,
IF(T414=regle!$E$11,regle!$E$23,
IF(T414=regle!$F$11,regle!$F$23,
IF(T414=regle!$G$11,regle!$G$23,
IF(T414=regle!$H$11,regle!$H$23,
IF(T414=regle!$I$11,regle!$I$23,
IF(T414=regle!$J$11,regle!$J$23,
IF(T414=regle!$K$11,regle!$K$23,0))))))))))))</f>
        <v>0</v>
      </c>
      <c r="AE414" s="17" t="b">
        <f>IF($A414,$J414*(IF(U414=regle!$B$11,regle!$B$23*IF(AN414=-2,1+regle!$B$35,1),
IF(U414=regle!$C$11,regle!$C$23,
IF(U414=regle!$D$11,regle!$D$23,
IF(U414=regle!$E$11,regle!$E$23,
IF(U414=regle!$F$11,regle!$F$23,
IF(U414=regle!$G$11,regle!$G$23,
IF(U414=regle!$H$11,regle!$H$23,
IF(U414=regle!$I$11,regle!$I$23,
IF(U414=regle!$J$11,regle!$J$23,
IF(U414=regle!$K$11,regle!$K$23,0))))))))))))</f>
        <v>0</v>
      </c>
      <c r="AF414" s="17" t="b">
        <f>IF($A414,$J414*(IF(V414=regle!$B$11,regle!$B$23*IF(AO414=-2,1+regle!$B$35,1),
IF(V414=regle!$C$11,regle!$C$23,
IF(V414=regle!$D$11,regle!$D$23,
IF(V414=regle!$E$11,regle!$E$23,
IF(V414=regle!$F$11,regle!$F$23,
IF(V414=regle!$G$11,regle!$G$23,
IF(V414=regle!$H$11,regle!$H$23,
IF(V414=regle!$I$11,regle!$I$23,
IF(V414=regle!$J$11,regle!$J$23,
IF(V414=regle!$K$11,regle!$K$23,0))))))))))))</f>
        <v>0</v>
      </c>
      <c r="AG414" s="17" t="b">
        <f>IF($A414,$J414*(IF(W414=regle!$B$11,regle!$B$23*IF(AP414=-2,1+regle!$B$35,1),
IF(W414=regle!$C$11,regle!$C$23,
IF(W414=regle!$D$11,regle!$D$23,
IF(W414=regle!$E$11,regle!$E$23,
IF(W414=regle!$F$11,regle!$F$23,
IF(W414=regle!$G$11,regle!$G$23,
IF(W414=regle!$H$11,regle!$H$23,
IF(W414=regle!$I$11,regle!$I$23,
IF(W414=regle!$J$11,regle!$J$23,
IF(W414=regle!$K$11,regle!$K$23,0))))))))))))</f>
        <v>0</v>
      </c>
      <c r="AH414" s="17" t="b">
        <f>IF($A414,$J414*(IF(X414=regle!$B$11,regle!$B$23*IF(AQ414=-2,1+regle!$B$35,1),
IF(X414=regle!$C$11,regle!$C$23,
IF(X414=regle!$D$11,regle!$D$23,
IF(X414=regle!$E$11,regle!$E$23,
IF(X414=regle!$F$11,regle!$F$23,
IF(X414=regle!$G$11,regle!$G$23,
IF(X414=regle!$H$11,regle!$H$23,
IF(X414=regle!$I$11,regle!$I$23,
IF(X414=regle!$J$11,regle!$J$23,
IF(X414=regle!$K$11,regle!$K$23,0))))))))))))</f>
        <v>0</v>
      </c>
      <c r="AI414" s="17" t="b">
        <f>IF($A414,$J414*(IF(Y414=regle!$B$11,regle!$B$23*IF(AR414=-2,1+regle!$B$35,1),
IF(Y414=regle!$C$11,regle!$C$23,
IF(Y414=regle!$D$11,regle!$D$23,
IF(Y414=regle!$E$11,regle!$E$23,
IF(Y414=regle!$F$11,regle!$F$23,
IF(Y414=regle!$G$11,regle!$G$23,
IF(Y414=regle!$H$11,regle!$H$23,
IF(Y414=regle!$I$11,regle!$I$23,
IF(Y414=regle!$J$11,regle!$J$23,
IF(Y414=regle!$K$11,regle!$K$23,0))))))))))))</f>
        <v>0</v>
      </c>
      <c r="AJ414" s="17" t="b">
        <f>IF($A414,$J414*(IF(Z414=regle!$B$11,regle!$B$23*IF(AS414=-2,1+regle!$B$35,1),
IF(Z414=regle!$C$11,regle!$C$23,
IF(Z414=regle!$D$11,regle!$D$23,
IF(Z414=regle!$E$11,regle!$E$23,
IF(Z414=regle!$F$11,regle!$F$23,
IF(Z414=regle!$G$11,regle!$G$23,
IF(Z414=regle!$H$11,regle!$H$23,
IF(Z414=regle!$I$11,regle!$I$23,
IF(Z414=regle!$J$11,regle!$J$23,
IF(Z414=regle!$K$11,regle!$K$23,0))))))))))))</f>
        <v>0</v>
      </c>
      <c r="AK414" s="16">
        <f>IF(OR(Q414=regle!$J$11,Q414=regle!$K$11),-2,IF(Q414=regle!$B$11,0,IF(AK$1=$AK$1,IF($O414,-1,regle!$B$2-$M414),IF(AJ414=-1,-1,AJ414+1))))</f>
        <v>38</v>
      </c>
      <c r="AL414" s="16">
        <f>IF(OR(R414=regle!$J$11,R414=regle!$K$11),-2,IF(R414=regle!$B$11,0,IF(AL$1=$AK$1,IF($O414,-1,regle!$B$2-$M414),IF(AK414=-1,-1,AK414+1))))</f>
        <v>39</v>
      </c>
      <c r="AM414" s="16">
        <f>IF(OR(S414=regle!$J$11,S414=regle!$K$11),-2,IF(S414=regle!$B$11,0,IF(AM$1=$AK$1,IF($O414,-1,regle!$B$2-$M414),IF(AL414=-1,-1,AL414+1))))</f>
        <v>40</v>
      </c>
      <c r="AN414" s="16">
        <f>IF(OR(T414=regle!$J$11,T414=regle!$K$11),-2,IF(T414=regle!$B$11,0,IF(AN$1=$AK$1,IF($O414,-1,regle!$B$2-$M414),IF(AM414=-1,-1,AM414+1))))</f>
        <v>41</v>
      </c>
      <c r="AO414" s="16">
        <f>IF(OR(U414=regle!$J$11,U414=regle!$K$11),-2,IF(U414=regle!$B$11,0,IF(AO$1=$AK$1,IF($O414,-1,regle!$B$2-$M414),IF(AN414=-1,-1,AN414+1))))</f>
        <v>42</v>
      </c>
      <c r="AP414" s="16">
        <f>IF(OR(V414=regle!$J$11,V414=regle!$K$11),-2,IF(V414=regle!$B$11,0,IF(AP$1=$AK$1,IF($O414,-1,regle!$B$2-$M414),IF(AO414=-1,-1,AO414+1))))</f>
        <v>43</v>
      </c>
      <c r="AQ414" s="16">
        <f>IF(OR(W414=regle!$J$11,W414=regle!$K$11),-2,IF(W414=regle!$B$11,0,IF(AQ$1=$AK$1,IF($O414,-1,regle!$B$2-$M414),IF(AP414=-1,-1,AP414+1))))</f>
        <v>44</v>
      </c>
      <c r="AR414" s="16">
        <f>IF(OR(X414=regle!$J$11,X414=regle!$K$11),-2,IF(X414=regle!$B$11,0,IF(AR$1=$AK$1,IF($O414,-1,regle!$B$2-$M414),IF(AQ414=-1,-1,AQ414+1))))</f>
        <v>45</v>
      </c>
      <c r="AS414" s="16">
        <f>IF(OR(Y414=regle!$J$11,Y414=regle!$K$11),-2,IF(Y414=regle!$B$11,0,IF(AS$1=$AK$1,IF($O414,-1,regle!$B$2-$M414),IF(AR414=-1,-1,AR414+1))))</f>
        <v>46</v>
      </c>
      <c r="AT414" s="16">
        <f>IF(OR(Z414=regle!$J$11,Z414=regle!$K$11),-2,IF(Z414=regle!$B$11,0,IF(AT$1=$AK$1,IF($O414,-1,regle!$B$2-$M414),IF(AS414=-1,-1,AS414+1))))</f>
        <v>47</v>
      </c>
    </row>
    <row r="415" spans="1:46" x14ac:dyDescent="0.25">
      <c r="A415" t="b">
        <f>modif1!A415</f>
        <v>0</v>
      </c>
      <c r="B415">
        <f>ROW(modif1!B415)</f>
        <v>415</v>
      </c>
      <c r="C415" t="str">
        <f>modif1!C418</f>
        <v>200</v>
      </c>
      <c r="D415" t="str">
        <f>modif1!D415</f>
        <v>MOUSTEY</v>
      </c>
      <c r="E415">
        <f>modif1!E415</f>
        <v>9</v>
      </c>
      <c r="F415" t="str">
        <f>modif1!F415</f>
        <v>Peyroulet</v>
      </c>
      <c r="G415" t="str">
        <f>modif1!G415</f>
        <v>0N</v>
      </c>
      <c r="H415">
        <f>modif1!H415</f>
        <v>154</v>
      </c>
      <c r="I415" t="str">
        <f>modif1!I415</f>
        <v/>
      </c>
      <c r="J415" s="11">
        <f>modif1!J415</f>
        <v>0.16550000000000001</v>
      </c>
      <c r="K415" t="str">
        <f>modif1!K415</f>
        <v>TAIL</v>
      </c>
      <c r="L415" t="str">
        <f>modif1!L415</f>
        <v>FEUIL</v>
      </c>
      <c r="M415">
        <f>modif1!M415</f>
        <v>1986</v>
      </c>
      <c r="N415" t="str">
        <f>modif1!N415</f>
        <v>TAIL-FEUIL_1986</v>
      </c>
      <c r="O415" t="b">
        <f>modif1!O415</f>
        <v>0</v>
      </c>
      <c r="Z415"/>
      <c r="AA415" s="17" t="b">
        <f>IF($A415,$J415*(IF(Q415=regle!$B$11,regle!$B$23*IF(AJ415=-2,1+regle!$B$35,1),
IF(Q415=regle!$C$11,regle!$C$23,
IF(Q415=regle!$D$11,regle!$D$23,
IF(Q415=regle!$E$11,regle!$E$23,
IF(Q415=regle!$F$11,regle!$F$23,
IF(Q415=regle!$G$11,regle!$G$23,
IF(Q415=regle!$H$11,regle!$H$23,
IF(Q415=regle!$I$11,regle!$I$23,
IF(Q415=regle!$J$11,regle!$J$23,
IF(Q415=regle!$K$11,regle!$K$23,0))))))))))))</f>
        <v>0</v>
      </c>
      <c r="AB415" s="17" t="b">
        <f>IF($A415,$J415*(IF(R415=regle!$B$11,regle!$B$23*IF(AK415=-2,1+regle!$B$35,1),
IF(R415=regle!$C$11,regle!$C$23,
IF(R415=regle!$D$11,regle!$D$23,
IF(R415=regle!$E$11,regle!$E$23,
IF(R415=regle!$F$11,regle!$F$23,
IF(R415=regle!$G$11,regle!$G$23,
IF(R415=regle!$H$11,regle!$H$23,
IF(R415=regle!$I$11,regle!$I$23,
IF(R415=regle!$J$11,regle!$J$23,
IF(R415=regle!$K$11,regle!$K$23,0))))))))))))</f>
        <v>0</v>
      </c>
      <c r="AC415" s="17" t="b">
        <f>IF($A415,$J415*(IF(S415=regle!$B$11,regle!$B$23*IF(AL415=-2,1+regle!$B$35,1),
IF(S415=regle!$C$11,regle!$C$23,
IF(S415=regle!$D$11,regle!$D$23,
IF(S415=regle!$E$11,regle!$E$23,
IF(S415=regle!$F$11,regle!$F$23,
IF(S415=regle!$G$11,regle!$G$23,
IF(S415=regle!$H$11,regle!$H$23,
IF(S415=regle!$I$11,regle!$I$23,
IF(S415=regle!$J$11,regle!$J$23,
IF(S415=regle!$K$11,regle!$K$23,0))))))))))))</f>
        <v>0</v>
      </c>
      <c r="AD415" s="17" t="b">
        <f>IF($A415,$J415*(IF(T415=regle!$B$11,regle!$B$23*IF(AM415=-2,1+regle!$B$35,1),
IF(T415=regle!$C$11,regle!$C$23,
IF(T415=regle!$D$11,regle!$D$23,
IF(T415=regle!$E$11,regle!$E$23,
IF(T415=regle!$F$11,regle!$F$23,
IF(T415=regle!$G$11,regle!$G$23,
IF(T415=regle!$H$11,regle!$H$23,
IF(T415=regle!$I$11,regle!$I$23,
IF(T415=regle!$J$11,regle!$J$23,
IF(T415=regle!$K$11,regle!$K$23,0))))))))))))</f>
        <v>0</v>
      </c>
      <c r="AE415" s="17" t="b">
        <f>IF($A415,$J415*(IF(U415=regle!$B$11,regle!$B$23*IF(AN415=-2,1+regle!$B$35,1),
IF(U415=regle!$C$11,regle!$C$23,
IF(U415=regle!$D$11,regle!$D$23,
IF(U415=regle!$E$11,regle!$E$23,
IF(U415=regle!$F$11,regle!$F$23,
IF(U415=regle!$G$11,regle!$G$23,
IF(U415=regle!$H$11,regle!$H$23,
IF(U415=regle!$I$11,regle!$I$23,
IF(U415=regle!$J$11,regle!$J$23,
IF(U415=regle!$K$11,regle!$K$23,0))))))))))))</f>
        <v>0</v>
      </c>
      <c r="AF415" s="17" t="b">
        <f>IF($A415,$J415*(IF(V415=regle!$B$11,regle!$B$23*IF(AO415=-2,1+regle!$B$35,1),
IF(V415=regle!$C$11,regle!$C$23,
IF(V415=regle!$D$11,regle!$D$23,
IF(V415=regle!$E$11,regle!$E$23,
IF(V415=regle!$F$11,regle!$F$23,
IF(V415=regle!$G$11,regle!$G$23,
IF(V415=regle!$H$11,regle!$H$23,
IF(V415=regle!$I$11,regle!$I$23,
IF(V415=regle!$J$11,regle!$J$23,
IF(V415=regle!$K$11,regle!$K$23,0))))))))))))</f>
        <v>0</v>
      </c>
      <c r="AG415" s="17" t="b">
        <f>IF($A415,$J415*(IF(W415=regle!$B$11,regle!$B$23*IF(AP415=-2,1+regle!$B$35,1),
IF(W415=regle!$C$11,regle!$C$23,
IF(W415=regle!$D$11,regle!$D$23,
IF(W415=regle!$E$11,regle!$E$23,
IF(W415=regle!$F$11,regle!$F$23,
IF(W415=regle!$G$11,regle!$G$23,
IF(W415=regle!$H$11,regle!$H$23,
IF(W415=regle!$I$11,regle!$I$23,
IF(W415=regle!$J$11,regle!$J$23,
IF(W415=regle!$K$11,regle!$K$23,0))))))))))))</f>
        <v>0</v>
      </c>
      <c r="AH415" s="17" t="b">
        <f>IF($A415,$J415*(IF(X415=regle!$B$11,regle!$B$23*IF(AQ415=-2,1+regle!$B$35,1),
IF(X415=regle!$C$11,regle!$C$23,
IF(X415=regle!$D$11,regle!$D$23,
IF(X415=regle!$E$11,regle!$E$23,
IF(X415=regle!$F$11,regle!$F$23,
IF(X415=regle!$G$11,regle!$G$23,
IF(X415=regle!$H$11,regle!$H$23,
IF(X415=regle!$I$11,regle!$I$23,
IF(X415=regle!$J$11,regle!$J$23,
IF(X415=regle!$K$11,regle!$K$23,0))))))))))))</f>
        <v>0</v>
      </c>
      <c r="AI415" s="17" t="b">
        <f>IF($A415,$J415*(IF(Y415=regle!$B$11,regle!$B$23*IF(AR415=-2,1+regle!$B$35,1),
IF(Y415=regle!$C$11,regle!$C$23,
IF(Y415=regle!$D$11,regle!$D$23,
IF(Y415=regle!$E$11,regle!$E$23,
IF(Y415=regle!$F$11,regle!$F$23,
IF(Y415=regle!$G$11,regle!$G$23,
IF(Y415=regle!$H$11,regle!$H$23,
IF(Y415=regle!$I$11,regle!$I$23,
IF(Y415=regle!$J$11,regle!$J$23,
IF(Y415=regle!$K$11,regle!$K$23,0))))))))))))</f>
        <v>0</v>
      </c>
      <c r="AJ415" s="17" t="b">
        <f>IF($A415,$J415*(IF(Z415=regle!$B$11,regle!$B$23*IF(AS415=-2,1+regle!$B$35,1),
IF(Z415=regle!$C$11,regle!$C$23,
IF(Z415=regle!$D$11,regle!$D$23,
IF(Z415=regle!$E$11,regle!$E$23,
IF(Z415=regle!$F$11,regle!$F$23,
IF(Z415=regle!$G$11,regle!$G$23,
IF(Z415=regle!$H$11,regle!$H$23,
IF(Z415=regle!$I$11,regle!$I$23,
IF(Z415=regle!$J$11,regle!$J$23,
IF(Z415=regle!$K$11,regle!$K$23,0))))))))))))</f>
        <v>0</v>
      </c>
      <c r="AK415" s="16">
        <f>IF(OR(Q415=regle!$J$11,Q415=regle!$K$11),-2,IF(Q415=regle!$B$11,0,IF(AK$1=$AK$1,IF($O415,-1,regle!$B$2-$M415),IF(AJ415=-1,-1,AJ415+1))))</f>
        <v>38</v>
      </c>
      <c r="AL415" s="16">
        <f>IF(OR(R415=regle!$J$11,R415=regle!$K$11),-2,IF(R415=regle!$B$11,0,IF(AL$1=$AK$1,IF($O415,-1,regle!$B$2-$M415),IF(AK415=-1,-1,AK415+1))))</f>
        <v>39</v>
      </c>
      <c r="AM415" s="16">
        <f>IF(OR(S415=regle!$J$11,S415=regle!$K$11),-2,IF(S415=regle!$B$11,0,IF(AM$1=$AK$1,IF($O415,-1,regle!$B$2-$M415),IF(AL415=-1,-1,AL415+1))))</f>
        <v>40</v>
      </c>
      <c r="AN415" s="16">
        <f>IF(OR(T415=regle!$J$11,T415=regle!$K$11),-2,IF(T415=regle!$B$11,0,IF(AN$1=$AK$1,IF($O415,-1,regle!$B$2-$M415),IF(AM415=-1,-1,AM415+1))))</f>
        <v>41</v>
      </c>
      <c r="AO415" s="16">
        <f>IF(OR(U415=regle!$J$11,U415=regle!$K$11),-2,IF(U415=regle!$B$11,0,IF(AO$1=$AK$1,IF($O415,-1,regle!$B$2-$M415),IF(AN415=-1,-1,AN415+1))))</f>
        <v>42</v>
      </c>
      <c r="AP415" s="16">
        <f>IF(OR(V415=regle!$J$11,V415=regle!$K$11),-2,IF(V415=regle!$B$11,0,IF(AP$1=$AK$1,IF($O415,-1,regle!$B$2-$M415),IF(AO415=-1,-1,AO415+1))))</f>
        <v>43</v>
      </c>
      <c r="AQ415" s="16">
        <f>IF(OR(W415=regle!$J$11,W415=regle!$K$11),-2,IF(W415=regle!$B$11,0,IF(AQ$1=$AK$1,IF($O415,-1,regle!$B$2-$M415),IF(AP415=-1,-1,AP415+1))))</f>
        <v>44</v>
      </c>
      <c r="AR415" s="16">
        <f>IF(OR(X415=regle!$J$11,X415=regle!$K$11),-2,IF(X415=regle!$B$11,0,IF(AR$1=$AK$1,IF($O415,-1,regle!$B$2-$M415),IF(AQ415=-1,-1,AQ415+1))))</f>
        <v>45</v>
      </c>
      <c r="AS415" s="16">
        <f>IF(OR(Y415=regle!$J$11,Y415=regle!$K$11),-2,IF(Y415=regle!$B$11,0,IF(AS$1=$AK$1,IF($O415,-1,regle!$B$2-$M415),IF(AR415=-1,-1,AR415+1))))</f>
        <v>46</v>
      </c>
      <c r="AT415" s="16">
        <f>IF(OR(Z415=regle!$J$11,Z415=regle!$K$11),-2,IF(Z415=regle!$B$11,0,IF(AT$1=$AK$1,IF($O415,-1,regle!$B$2-$M415),IF(AS415=-1,-1,AS415+1))))</f>
        <v>47</v>
      </c>
    </row>
    <row r="416" spans="1:46" x14ac:dyDescent="0.25">
      <c r="A416" t="b">
        <f>modif1!A416</f>
        <v>0</v>
      </c>
      <c r="B416">
        <f>ROW(modif1!B416)</f>
        <v>416</v>
      </c>
      <c r="C416" t="str">
        <f>modif1!C419</f>
        <v>200</v>
      </c>
      <c r="D416" t="str">
        <f>modif1!D416</f>
        <v>MOUSTEY</v>
      </c>
      <c r="E416">
        <f>modif1!E416</f>
        <v>5</v>
      </c>
      <c r="F416" t="str">
        <f>modif1!F416</f>
        <v>Plata</v>
      </c>
      <c r="G416" t="str">
        <f>modif1!G416</f>
        <v>0M</v>
      </c>
      <c r="H416">
        <f>modif1!H416</f>
        <v>22</v>
      </c>
      <c r="I416" t="str">
        <f>modif1!I416</f>
        <v/>
      </c>
      <c r="J416" s="11">
        <f>modif1!J416</f>
        <v>0.15210000000000001</v>
      </c>
      <c r="K416" t="str">
        <f>modif1!K416</f>
        <v>TAIL</v>
      </c>
      <c r="L416" t="str">
        <f>modif1!L416</f>
        <v>FEUIL</v>
      </c>
      <c r="M416">
        <f>modif1!M416</f>
        <v>1986</v>
      </c>
      <c r="N416" t="str">
        <f>modif1!N416</f>
        <v>TAIL-FEUIL_1986</v>
      </c>
      <c r="O416" t="b">
        <f>modif1!O416</f>
        <v>0</v>
      </c>
      <c r="Z416"/>
      <c r="AA416" s="17" t="b">
        <f>IF($A416,$J416*(IF(Q416=regle!$B$11,regle!$B$23*IF(AJ416=-2,1+regle!$B$35,1),
IF(Q416=regle!$C$11,regle!$C$23,
IF(Q416=regle!$D$11,regle!$D$23,
IF(Q416=regle!$E$11,regle!$E$23,
IF(Q416=regle!$F$11,regle!$F$23,
IF(Q416=regle!$G$11,regle!$G$23,
IF(Q416=regle!$H$11,regle!$H$23,
IF(Q416=regle!$I$11,regle!$I$23,
IF(Q416=regle!$J$11,regle!$J$23,
IF(Q416=regle!$K$11,regle!$K$23,0))))))))))))</f>
        <v>0</v>
      </c>
      <c r="AB416" s="17" t="b">
        <f>IF($A416,$J416*(IF(R416=regle!$B$11,regle!$B$23*IF(AK416=-2,1+regle!$B$35,1),
IF(R416=regle!$C$11,regle!$C$23,
IF(R416=regle!$D$11,regle!$D$23,
IF(R416=regle!$E$11,regle!$E$23,
IF(R416=regle!$F$11,regle!$F$23,
IF(R416=regle!$G$11,regle!$G$23,
IF(R416=regle!$H$11,regle!$H$23,
IF(R416=regle!$I$11,regle!$I$23,
IF(R416=regle!$J$11,regle!$J$23,
IF(R416=regle!$K$11,regle!$K$23,0))))))))))))</f>
        <v>0</v>
      </c>
      <c r="AC416" s="17" t="b">
        <f>IF($A416,$J416*(IF(S416=regle!$B$11,regle!$B$23*IF(AL416=-2,1+regle!$B$35,1),
IF(S416=regle!$C$11,regle!$C$23,
IF(S416=regle!$D$11,regle!$D$23,
IF(S416=regle!$E$11,regle!$E$23,
IF(S416=regle!$F$11,regle!$F$23,
IF(S416=regle!$G$11,regle!$G$23,
IF(S416=regle!$H$11,regle!$H$23,
IF(S416=regle!$I$11,regle!$I$23,
IF(S416=regle!$J$11,regle!$J$23,
IF(S416=regle!$K$11,regle!$K$23,0))))))))))))</f>
        <v>0</v>
      </c>
      <c r="AD416" s="17" t="b">
        <f>IF($A416,$J416*(IF(T416=regle!$B$11,regle!$B$23*IF(AM416=-2,1+regle!$B$35,1),
IF(T416=regle!$C$11,regle!$C$23,
IF(T416=regle!$D$11,regle!$D$23,
IF(T416=regle!$E$11,regle!$E$23,
IF(T416=regle!$F$11,regle!$F$23,
IF(T416=regle!$G$11,regle!$G$23,
IF(T416=regle!$H$11,regle!$H$23,
IF(T416=regle!$I$11,regle!$I$23,
IF(T416=regle!$J$11,regle!$J$23,
IF(T416=regle!$K$11,regle!$K$23,0))))))))))))</f>
        <v>0</v>
      </c>
      <c r="AE416" s="17" t="b">
        <f>IF($A416,$J416*(IF(U416=regle!$B$11,regle!$B$23*IF(AN416=-2,1+regle!$B$35,1),
IF(U416=regle!$C$11,regle!$C$23,
IF(U416=regle!$D$11,regle!$D$23,
IF(U416=regle!$E$11,regle!$E$23,
IF(U416=regle!$F$11,regle!$F$23,
IF(U416=regle!$G$11,regle!$G$23,
IF(U416=regle!$H$11,regle!$H$23,
IF(U416=regle!$I$11,regle!$I$23,
IF(U416=regle!$J$11,regle!$J$23,
IF(U416=regle!$K$11,regle!$K$23,0))))))))))))</f>
        <v>0</v>
      </c>
      <c r="AF416" s="17" t="b">
        <f>IF($A416,$J416*(IF(V416=regle!$B$11,regle!$B$23*IF(AO416=-2,1+regle!$B$35,1),
IF(V416=regle!$C$11,regle!$C$23,
IF(V416=regle!$D$11,regle!$D$23,
IF(V416=regle!$E$11,regle!$E$23,
IF(V416=regle!$F$11,regle!$F$23,
IF(V416=regle!$G$11,regle!$G$23,
IF(V416=regle!$H$11,regle!$H$23,
IF(V416=regle!$I$11,regle!$I$23,
IF(V416=regle!$J$11,regle!$J$23,
IF(V416=regle!$K$11,regle!$K$23,0))))))))))))</f>
        <v>0</v>
      </c>
      <c r="AG416" s="17" t="b">
        <f>IF($A416,$J416*(IF(W416=regle!$B$11,regle!$B$23*IF(AP416=-2,1+regle!$B$35,1),
IF(W416=regle!$C$11,regle!$C$23,
IF(W416=regle!$D$11,regle!$D$23,
IF(W416=regle!$E$11,regle!$E$23,
IF(W416=regle!$F$11,regle!$F$23,
IF(W416=regle!$G$11,regle!$G$23,
IF(W416=regle!$H$11,regle!$H$23,
IF(W416=regle!$I$11,regle!$I$23,
IF(W416=regle!$J$11,regle!$J$23,
IF(W416=regle!$K$11,regle!$K$23,0))))))))))))</f>
        <v>0</v>
      </c>
      <c r="AH416" s="17" t="b">
        <f>IF($A416,$J416*(IF(X416=regle!$B$11,regle!$B$23*IF(AQ416=-2,1+regle!$B$35,1),
IF(X416=regle!$C$11,regle!$C$23,
IF(X416=regle!$D$11,regle!$D$23,
IF(X416=regle!$E$11,regle!$E$23,
IF(X416=regle!$F$11,regle!$F$23,
IF(X416=regle!$G$11,regle!$G$23,
IF(X416=regle!$H$11,regle!$H$23,
IF(X416=regle!$I$11,regle!$I$23,
IF(X416=regle!$J$11,regle!$J$23,
IF(X416=regle!$K$11,regle!$K$23,0))))))))))))</f>
        <v>0</v>
      </c>
      <c r="AI416" s="17" t="b">
        <f>IF($A416,$J416*(IF(Y416=regle!$B$11,regle!$B$23*IF(AR416=-2,1+regle!$B$35,1),
IF(Y416=regle!$C$11,regle!$C$23,
IF(Y416=regle!$D$11,regle!$D$23,
IF(Y416=regle!$E$11,regle!$E$23,
IF(Y416=regle!$F$11,regle!$F$23,
IF(Y416=regle!$G$11,regle!$G$23,
IF(Y416=regle!$H$11,regle!$H$23,
IF(Y416=regle!$I$11,regle!$I$23,
IF(Y416=regle!$J$11,regle!$J$23,
IF(Y416=regle!$K$11,regle!$K$23,0))))))))))))</f>
        <v>0</v>
      </c>
      <c r="AJ416" s="17" t="b">
        <f>IF($A416,$J416*(IF(Z416=regle!$B$11,regle!$B$23*IF(AS416=-2,1+regle!$B$35,1),
IF(Z416=regle!$C$11,regle!$C$23,
IF(Z416=regle!$D$11,regle!$D$23,
IF(Z416=regle!$E$11,regle!$E$23,
IF(Z416=regle!$F$11,regle!$F$23,
IF(Z416=regle!$G$11,regle!$G$23,
IF(Z416=regle!$H$11,regle!$H$23,
IF(Z416=regle!$I$11,regle!$I$23,
IF(Z416=regle!$J$11,regle!$J$23,
IF(Z416=regle!$K$11,regle!$K$23,0))))))))))))</f>
        <v>0</v>
      </c>
      <c r="AK416" s="16">
        <f>IF(OR(Q416=regle!$J$11,Q416=regle!$K$11),-2,IF(Q416=regle!$B$11,0,IF(AK$1=$AK$1,IF($O416,-1,regle!$B$2-$M416),IF(AJ416=-1,-1,AJ416+1))))</f>
        <v>38</v>
      </c>
      <c r="AL416" s="16">
        <f>IF(OR(R416=regle!$J$11,R416=regle!$K$11),-2,IF(R416=regle!$B$11,0,IF(AL$1=$AK$1,IF($O416,-1,regle!$B$2-$M416),IF(AK416=-1,-1,AK416+1))))</f>
        <v>39</v>
      </c>
      <c r="AM416" s="16">
        <f>IF(OR(S416=regle!$J$11,S416=regle!$K$11),-2,IF(S416=regle!$B$11,0,IF(AM$1=$AK$1,IF($O416,-1,regle!$B$2-$M416),IF(AL416=-1,-1,AL416+1))))</f>
        <v>40</v>
      </c>
      <c r="AN416" s="16">
        <f>IF(OR(T416=regle!$J$11,T416=regle!$K$11),-2,IF(T416=regle!$B$11,0,IF(AN$1=$AK$1,IF($O416,-1,regle!$B$2-$M416),IF(AM416=-1,-1,AM416+1))))</f>
        <v>41</v>
      </c>
      <c r="AO416" s="16">
        <f>IF(OR(U416=regle!$J$11,U416=regle!$K$11),-2,IF(U416=regle!$B$11,0,IF(AO$1=$AK$1,IF($O416,-1,regle!$B$2-$M416),IF(AN416=-1,-1,AN416+1))))</f>
        <v>42</v>
      </c>
      <c r="AP416" s="16">
        <f>IF(OR(V416=regle!$J$11,V416=regle!$K$11),-2,IF(V416=regle!$B$11,0,IF(AP$1=$AK$1,IF($O416,-1,regle!$B$2-$M416),IF(AO416=-1,-1,AO416+1))))</f>
        <v>43</v>
      </c>
      <c r="AQ416" s="16">
        <f>IF(OR(W416=regle!$J$11,W416=regle!$K$11),-2,IF(W416=regle!$B$11,0,IF(AQ$1=$AK$1,IF($O416,-1,regle!$B$2-$M416),IF(AP416=-1,-1,AP416+1))))</f>
        <v>44</v>
      </c>
      <c r="AR416" s="16">
        <f>IF(OR(X416=regle!$J$11,X416=regle!$K$11),-2,IF(X416=regle!$B$11,0,IF(AR$1=$AK$1,IF($O416,-1,regle!$B$2-$M416),IF(AQ416=-1,-1,AQ416+1))))</f>
        <v>45</v>
      </c>
      <c r="AS416" s="16">
        <f>IF(OR(Y416=regle!$J$11,Y416=regle!$K$11),-2,IF(Y416=regle!$B$11,0,IF(AS$1=$AK$1,IF($O416,-1,regle!$B$2-$M416),IF(AR416=-1,-1,AR416+1))))</f>
        <v>46</v>
      </c>
      <c r="AT416" s="16">
        <f>IF(OR(Z416=regle!$J$11,Z416=regle!$K$11),-2,IF(Z416=regle!$B$11,0,IF(AT$1=$AK$1,IF($O416,-1,regle!$B$2-$M416),IF(AS416=-1,-1,AS416+1))))</f>
        <v>47</v>
      </c>
    </row>
    <row r="417" spans="1:46" x14ac:dyDescent="0.25">
      <c r="A417" t="b">
        <f>modif1!A417</f>
        <v>0</v>
      </c>
      <c r="B417">
        <f>ROW(modif1!B417)</f>
        <v>417</v>
      </c>
      <c r="C417" t="str">
        <f>modif1!C420</f>
        <v>200</v>
      </c>
      <c r="D417" t="str">
        <f>modif1!D417</f>
        <v>MOUSTEY</v>
      </c>
      <c r="E417">
        <f>modif1!E417</f>
        <v>5</v>
      </c>
      <c r="F417" t="str">
        <f>modif1!F417</f>
        <v>Plata</v>
      </c>
      <c r="G417" t="str">
        <f>modif1!G417</f>
        <v>0M</v>
      </c>
      <c r="H417">
        <f>modif1!H417</f>
        <v>9</v>
      </c>
      <c r="I417" t="str">
        <f>modif1!I417</f>
        <v>b</v>
      </c>
      <c r="J417" s="11">
        <f>modif1!J417</f>
        <v>0.1053</v>
      </c>
      <c r="K417" t="str">
        <f>modif1!K417</f>
        <v>TAIL</v>
      </c>
      <c r="L417" t="str">
        <f>modif1!L417</f>
        <v>FEUIL</v>
      </c>
      <c r="M417">
        <f>modif1!M417</f>
        <v>1986</v>
      </c>
      <c r="N417" t="str">
        <f>modif1!N417</f>
        <v>TAIL-FEUIL_1986</v>
      </c>
      <c r="O417" t="b">
        <f>modif1!O417</f>
        <v>0</v>
      </c>
      <c r="Z417"/>
      <c r="AA417" s="17" t="b">
        <f>IF($A417,$J417*(IF(Q417=regle!$B$11,regle!$B$23*IF(AJ417=-2,1+regle!$B$35,1),
IF(Q417=regle!$C$11,regle!$C$23,
IF(Q417=regle!$D$11,regle!$D$23,
IF(Q417=regle!$E$11,regle!$E$23,
IF(Q417=regle!$F$11,regle!$F$23,
IF(Q417=regle!$G$11,regle!$G$23,
IF(Q417=regle!$H$11,regle!$H$23,
IF(Q417=regle!$I$11,regle!$I$23,
IF(Q417=regle!$J$11,regle!$J$23,
IF(Q417=regle!$K$11,regle!$K$23,0))))))))))))</f>
        <v>0</v>
      </c>
      <c r="AB417" s="17" t="b">
        <f>IF($A417,$J417*(IF(R417=regle!$B$11,regle!$B$23*IF(AK417=-2,1+regle!$B$35,1),
IF(R417=regle!$C$11,regle!$C$23,
IF(R417=regle!$D$11,regle!$D$23,
IF(R417=regle!$E$11,regle!$E$23,
IF(R417=regle!$F$11,regle!$F$23,
IF(R417=regle!$G$11,regle!$G$23,
IF(R417=regle!$H$11,regle!$H$23,
IF(R417=regle!$I$11,regle!$I$23,
IF(R417=regle!$J$11,regle!$J$23,
IF(R417=regle!$K$11,regle!$K$23,0))))))))))))</f>
        <v>0</v>
      </c>
      <c r="AC417" s="17" t="b">
        <f>IF($A417,$J417*(IF(S417=regle!$B$11,regle!$B$23*IF(AL417=-2,1+regle!$B$35,1),
IF(S417=regle!$C$11,regle!$C$23,
IF(S417=regle!$D$11,regle!$D$23,
IF(S417=regle!$E$11,regle!$E$23,
IF(S417=regle!$F$11,regle!$F$23,
IF(S417=regle!$G$11,regle!$G$23,
IF(S417=regle!$H$11,regle!$H$23,
IF(S417=regle!$I$11,regle!$I$23,
IF(S417=regle!$J$11,regle!$J$23,
IF(S417=regle!$K$11,regle!$K$23,0))))))))))))</f>
        <v>0</v>
      </c>
      <c r="AD417" s="17" t="b">
        <f>IF($A417,$J417*(IF(T417=regle!$B$11,regle!$B$23*IF(AM417=-2,1+regle!$B$35,1),
IF(T417=regle!$C$11,regle!$C$23,
IF(T417=regle!$D$11,regle!$D$23,
IF(T417=regle!$E$11,regle!$E$23,
IF(T417=regle!$F$11,regle!$F$23,
IF(T417=regle!$G$11,regle!$G$23,
IF(T417=regle!$H$11,regle!$H$23,
IF(T417=regle!$I$11,regle!$I$23,
IF(T417=regle!$J$11,regle!$J$23,
IF(T417=regle!$K$11,regle!$K$23,0))))))))))))</f>
        <v>0</v>
      </c>
      <c r="AE417" s="17" t="b">
        <f>IF($A417,$J417*(IF(U417=regle!$B$11,regle!$B$23*IF(AN417=-2,1+regle!$B$35,1),
IF(U417=regle!$C$11,regle!$C$23,
IF(U417=regle!$D$11,regle!$D$23,
IF(U417=regle!$E$11,regle!$E$23,
IF(U417=regle!$F$11,regle!$F$23,
IF(U417=regle!$G$11,regle!$G$23,
IF(U417=regle!$H$11,regle!$H$23,
IF(U417=regle!$I$11,regle!$I$23,
IF(U417=regle!$J$11,regle!$J$23,
IF(U417=regle!$K$11,regle!$K$23,0))))))))))))</f>
        <v>0</v>
      </c>
      <c r="AF417" s="17" t="b">
        <f>IF($A417,$J417*(IF(V417=regle!$B$11,regle!$B$23*IF(AO417=-2,1+regle!$B$35,1),
IF(V417=regle!$C$11,regle!$C$23,
IF(V417=regle!$D$11,regle!$D$23,
IF(V417=regle!$E$11,regle!$E$23,
IF(V417=regle!$F$11,regle!$F$23,
IF(V417=regle!$G$11,regle!$G$23,
IF(V417=regle!$H$11,regle!$H$23,
IF(V417=regle!$I$11,regle!$I$23,
IF(V417=regle!$J$11,regle!$J$23,
IF(V417=regle!$K$11,regle!$K$23,0))))))))))))</f>
        <v>0</v>
      </c>
      <c r="AG417" s="17" t="b">
        <f>IF($A417,$J417*(IF(W417=regle!$B$11,regle!$B$23*IF(AP417=-2,1+regle!$B$35,1),
IF(W417=regle!$C$11,regle!$C$23,
IF(W417=regle!$D$11,regle!$D$23,
IF(W417=regle!$E$11,regle!$E$23,
IF(W417=regle!$F$11,regle!$F$23,
IF(W417=regle!$G$11,regle!$G$23,
IF(W417=regle!$H$11,regle!$H$23,
IF(W417=regle!$I$11,regle!$I$23,
IF(W417=regle!$J$11,regle!$J$23,
IF(W417=regle!$K$11,regle!$K$23,0))))))))))))</f>
        <v>0</v>
      </c>
      <c r="AH417" s="17" t="b">
        <f>IF($A417,$J417*(IF(X417=regle!$B$11,regle!$B$23*IF(AQ417=-2,1+regle!$B$35,1),
IF(X417=regle!$C$11,regle!$C$23,
IF(X417=regle!$D$11,regle!$D$23,
IF(X417=regle!$E$11,regle!$E$23,
IF(X417=regle!$F$11,regle!$F$23,
IF(X417=regle!$G$11,regle!$G$23,
IF(X417=regle!$H$11,regle!$H$23,
IF(X417=regle!$I$11,regle!$I$23,
IF(X417=regle!$J$11,regle!$J$23,
IF(X417=regle!$K$11,regle!$K$23,0))))))))))))</f>
        <v>0</v>
      </c>
      <c r="AI417" s="17" t="b">
        <f>IF($A417,$J417*(IF(Y417=regle!$B$11,regle!$B$23*IF(AR417=-2,1+regle!$B$35,1),
IF(Y417=regle!$C$11,regle!$C$23,
IF(Y417=regle!$D$11,regle!$D$23,
IF(Y417=regle!$E$11,regle!$E$23,
IF(Y417=regle!$F$11,regle!$F$23,
IF(Y417=regle!$G$11,regle!$G$23,
IF(Y417=regle!$H$11,regle!$H$23,
IF(Y417=regle!$I$11,regle!$I$23,
IF(Y417=regle!$J$11,regle!$J$23,
IF(Y417=regle!$K$11,regle!$K$23,0))))))))))))</f>
        <v>0</v>
      </c>
      <c r="AJ417" s="17" t="b">
        <f>IF($A417,$J417*(IF(Z417=regle!$B$11,regle!$B$23*IF(AS417=-2,1+regle!$B$35,1),
IF(Z417=regle!$C$11,regle!$C$23,
IF(Z417=regle!$D$11,regle!$D$23,
IF(Z417=regle!$E$11,regle!$E$23,
IF(Z417=regle!$F$11,regle!$F$23,
IF(Z417=regle!$G$11,regle!$G$23,
IF(Z417=regle!$H$11,regle!$H$23,
IF(Z417=regle!$I$11,regle!$I$23,
IF(Z417=regle!$J$11,regle!$J$23,
IF(Z417=regle!$K$11,regle!$K$23,0))))))))))))</f>
        <v>0</v>
      </c>
      <c r="AK417" s="16">
        <f>IF(OR(Q417=regle!$J$11,Q417=regle!$K$11),-2,IF(Q417=regle!$B$11,0,IF(AK$1=$AK$1,IF($O417,-1,regle!$B$2-$M417),IF(AJ417=-1,-1,AJ417+1))))</f>
        <v>38</v>
      </c>
      <c r="AL417" s="16">
        <f>IF(OR(R417=regle!$J$11,R417=regle!$K$11),-2,IF(R417=regle!$B$11,0,IF(AL$1=$AK$1,IF($O417,-1,regle!$B$2-$M417),IF(AK417=-1,-1,AK417+1))))</f>
        <v>39</v>
      </c>
      <c r="AM417" s="16">
        <f>IF(OR(S417=regle!$J$11,S417=regle!$K$11),-2,IF(S417=regle!$B$11,0,IF(AM$1=$AK$1,IF($O417,-1,regle!$B$2-$M417),IF(AL417=-1,-1,AL417+1))))</f>
        <v>40</v>
      </c>
      <c r="AN417" s="16">
        <f>IF(OR(T417=regle!$J$11,T417=regle!$K$11),-2,IF(T417=regle!$B$11,0,IF(AN$1=$AK$1,IF($O417,-1,regle!$B$2-$M417),IF(AM417=-1,-1,AM417+1))))</f>
        <v>41</v>
      </c>
      <c r="AO417" s="16">
        <f>IF(OR(U417=regle!$J$11,U417=regle!$K$11),-2,IF(U417=regle!$B$11,0,IF(AO$1=$AK$1,IF($O417,-1,regle!$B$2-$M417),IF(AN417=-1,-1,AN417+1))))</f>
        <v>42</v>
      </c>
      <c r="AP417" s="16">
        <f>IF(OR(V417=regle!$J$11,V417=regle!$K$11),-2,IF(V417=regle!$B$11,0,IF(AP$1=$AK$1,IF($O417,-1,regle!$B$2-$M417),IF(AO417=-1,-1,AO417+1))))</f>
        <v>43</v>
      </c>
      <c r="AQ417" s="16">
        <f>IF(OR(W417=regle!$J$11,W417=regle!$K$11),-2,IF(W417=regle!$B$11,0,IF(AQ$1=$AK$1,IF($O417,-1,regle!$B$2-$M417),IF(AP417=-1,-1,AP417+1))))</f>
        <v>44</v>
      </c>
      <c r="AR417" s="16">
        <f>IF(OR(X417=regle!$J$11,X417=regle!$K$11),-2,IF(X417=regle!$B$11,0,IF(AR$1=$AK$1,IF($O417,-1,regle!$B$2-$M417),IF(AQ417=-1,-1,AQ417+1))))</f>
        <v>45</v>
      </c>
      <c r="AS417" s="16">
        <f>IF(OR(Y417=regle!$J$11,Y417=regle!$K$11),-2,IF(Y417=regle!$B$11,0,IF(AS$1=$AK$1,IF($O417,-1,regle!$B$2-$M417),IF(AR417=-1,-1,AR417+1))))</f>
        <v>46</v>
      </c>
      <c r="AT417" s="16">
        <f>IF(OR(Z417=regle!$J$11,Z417=regle!$K$11),-2,IF(Z417=regle!$B$11,0,IF(AT$1=$AK$1,IF($O417,-1,regle!$B$2-$M417),IF(AS417=-1,-1,AS417+1))))</f>
        <v>47</v>
      </c>
    </row>
    <row r="418" spans="1:46" x14ac:dyDescent="0.25">
      <c r="A418" t="b">
        <f>modif1!A418</f>
        <v>0</v>
      </c>
      <c r="B418">
        <f>ROW(modif1!B418)</f>
        <v>418</v>
      </c>
      <c r="C418" t="str">
        <f>modif1!C421</f>
        <v>200</v>
      </c>
      <c r="D418" t="str">
        <f>modif1!D418</f>
        <v>MOUSTEY</v>
      </c>
      <c r="E418">
        <f>modif1!E418</f>
        <v>5</v>
      </c>
      <c r="F418" t="str">
        <f>modif1!F418</f>
        <v>Plata</v>
      </c>
      <c r="G418" t="str">
        <f>modif1!G418</f>
        <v>0M</v>
      </c>
      <c r="H418">
        <f>modif1!H418</f>
        <v>7</v>
      </c>
      <c r="I418" t="str">
        <f>modif1!I418</f>
        <v>b</v>
      </c>
      <c r="J418" s="11">
        <f>modif1!J418</f>
        <v>9.64E-2</v>
      </c>
      <c r="K418" t="str">
        <f>modif1!K418</f>
        <v>TAIL</v>
      </c>
      <c r="L418" t="str">
        <f>modif1!L418</f>
        <v>FEUIL</v>
      </c>
      <c r="M418">
        <f>modif1!M418</f>
        <v>1986</v>
      </c>
      <c r="N418" t="str">
        <f>modif1!N418</f>
        <v>TAIL-FEUIL_1986</v>
      </c>
      <c r="O418" t="b">
        <f>modif1!O418</f>
        <v>0</v>
      </c>
      <c r="Z418"/>
      <c r="AA418" s="17" t="b">
        <f>IF($A418,$J418*(IF(Q418=regle!$B$11,regle!$B$23*IF(AJ418=-2,1+regle!$B$35,1),
IF(Q418=regle!$C$11,regle!$C$23,
IF(Q418=regle!$D$11,regle!$D$23,
IF(Q418=regle!$E$11,regle!$E$23,
IF(Q418=regle!$F$11,regle!$F$23,
IF(Q418=regle!$G$11,regle!$G$23,
IF(Q418=regle!$H$11,regle!$H$23,
IF(Q418=regle!$I$11,regle!$I$23,
IF(Q418=regle!$J$11,regle!$J$23,
IF(Q418=regle!$K$11,regle!$K$23,0))))))))))))</f>
        <v>0</v>
      </c>
      <c r="AB418" s="17" t="b">
        <f>IF($A418,$J418*(IF(R418=regle!$B$11,regle!$B$23*IF(AK418=-2,1+regle!$B$35,1),
IF(R418=regle!$C$11,regle!$C$23,
IF(R418=regle!$D$11,regle!$D$23,
IF(R418=regle!$E$11,regle!$E$23,
IF(R418=regle!$F$11,regle!$F$23,
IF(R418=regle!$G$11,regle!$G$23,
IF(R418=regle!$H$11,regle!$H$23,
IF(R418=regle!$I$11,regle!$I$23,
IF(R418=regle!$J$11,regle!$J$23,
IF(R418=regle!$K$11,regle!$K$23,0))))))))))))</f>
        <v>0</v>
      </c>
      <c r="AC418" s="17" t="b">
        <f>IF($A418,$J418*(IF(S418=regle!$B$11,regle!$B$23*IF(AL418=-2,1+regle!$B$35,1),
IF(S418=regle!$C$11,regle!$C$23,
IF(S418=regle!$D$11,regle!$D$23,
IF(S418=regle!$E$11,regle!$E$23,
IF(S418=regle!$F$11,regle!$F$23,
IF(S418=regle!$G$11,regle!$G$23,
IF(S418=regle!$H$11,regle!$H$23,
IF(S418=regle!$I$11,regle!$I$23,
IF(S418=regle!$J$11,regle!$J$23,
IF(S418=regle!$K$11,regle!$K$23,0))))))))))))</f>
        <v>0</v>
      </c>
      <c r="AD418" s="17" t="b">
        <f>IF($A418,$J418*(IF(T418=regle!$B$11,regle!$B$23*IF(AM418=-2,1+regle!$B$35,1),
IF(T418=regle!$C$11,regle!$C$23,
IF(T418=regle!$D$11,regle!$D$23,
IF(T418=regle!$E$11,regle!$E$23,
IF(T418=regle!$F$11,regle!$F$23,
IF(T418=regle!$G$11,regle!$G$23,
IF(T418=regle!$H$11,regle!$H$23,
IF(T418=regle!$I$11,regle!$I$23,
IF(T418=regle!$J$11,regle!$J$23,
IF(T418=regle!$K$11,regle!$K$23,0))))))))))))</f>
        <v>0</v>
      </c>
      <c r="AE418" s="17" t="b">
        <f>IF($A418,$J418*(IF(U418=regle!$B$11,regle!$B$23*IF(AN418=-2,1+regle!$B$35,1),
IF(U418=regle!$C$11,regle!$C$23,
IF(U418=regle!$D$11,regle!$D$23,
IF(U418=regle!$E$11,regle!$E$23,
IF(U418=regle!$F$11,regle!$F$23,
IF(U418=regle!$G$11,regle!$G$23,
IF(U418=regle!$H$11,regle!$H$23,
IF(U418=regle!$I$11,regle!$I$23,
IF(U418=regle!$J$11,regle!$J$23,
IF(U418=regle!$K$11,regle!$K$23,0))))))))))))</f>
        <v>0</v>
      </c>
      <c r="AF418" s="17" t="b">
        <f>IF($A418,$J418*(IF(V418=regle!$B$11,regle!$B$23*IF(AO418=-2,1+regle!$B$35,1),
IF(V418=regle!$C$11,regle!$C$23,
IF(V418=regle!$D$11,regle!$D$23,
IF(V418=regle!$E$11,regle!$E$23,
IF(V418=regle!$F$11,regle!$F$23,
IF(V418=regle!$G$11,regle!$G$23,
IF(V418=regle!$H$11,regle!$H$23,
IF(V418=regle!$I$11,regle!$I$23,
IF(V418=regle!$J$11,regle!$J$23,
IF(V418=regle!$K$11,regle!$K$23,0))))))))))))</f>
        <v>0</v>
      </c>
      <c r="AG418" s="17" t="b">
        <f>IF($A418,$J418*(IF(W418=regle!$B$11,regle!$B$23*IF(AP418=-2,1+regle!$B$35,1),
IF(W418=regle!$C$11,regle!$C$23,
IF(W418=regle!$D$11,regle!$D$23,
IF(W418=regle!$E$11,regle!$E$23,
IF(W418=regle!$F$11,regle!$F$23,
IF(W418=regle!$G$11,regle!$G$23,
IF(W418=regle!$H$11,regle!$H$23,
IF(W418=regle!$I$11,regle!$I$23,
IF(W418=regle!$J$11,regle!$J$23,
IF(W418=regle!$K$11,regle!$K$23,0))))))))))))</f>
        <v>0</v>
      </c>
      <c r="AH418" s="17" t="b">
        <f>IF($A418,$J418*(IF(X418=regle!$B$11,regle!$B$23*IF(AQ418=-2,1+regle!$B$35,1),
IF(X418=regle!$C$11,regle!$C$23,
IF(X418=regle!$D$11,regle!$D$23,
IF(X418=regle!$E$11,regle!$E$23,
IF(X418=regle!$F$11,regle!$F$23,
IF(X418=regle!$G$11,regle!$G$23,
IF(X418=regle!$H$11,regle!$H$23,
IF(X418=regle!$I$11,regle!$I$23,
IF(X418=regle!$J$11,regle!$J$23,
IF(X418=regle!$K$11,regle!$K$23,0))))))))))))</f>
        <v>0</v>
      </c>
      <c r="AI418" s="17" t="b">
        <f>IF($A418,$J418*(IF(Y418=regle!$B$11,regle!$B$23*IF(AR418=-2,1+regle!$B$35,1),
IF(Y418=regle!$C$11,regle!$C$23,
IF(Y418=regle!$D$11,regle!$D$23,
IF(Y418=regle!$E$11,regle!$E$23,
IF(Y418=regle!$F$11,regle!$F$23,
IF(Y418=regle!$G$11,regle!$G$23,
IF(Y418=regle!$H$11,regle!$H$23,
IF(Y418=regle!$I$11,regle!$I$23,
IF(Y418=regle!$J$11,regle!$J$23,
IF(Y418=regle!$K$11,regle!$K$23,0))))))))))))</f>
        <v>0</v>
      </c>
      <c r="AJ418" s="17" t="b">
        <f>IF($A418,$J418*(IF(Z418=regle!$B$11,regle!$B$23*IF(AS418=-2,1+regle!$B$35,1),
IF(Z418=regle!$C$11,regle!$C$23,
IF(Z418=regle!$D$11,regle!$D$23,
IF(Z418=regle!$E$11,regle!$E$23,
IF(Z418=regle!$F$11,regle!$F$23,
IF(Z418=regle!$G$11,regle!$G$23,
IF(Z418=regle!$H$11,regle!$H$23,
IF(Z418=regle!$I$11,regle!$I$23,
IF(Z418=regle!$J$11,regle!$J$23,
IF(Z418=regle!$K$11,regle!$K$23,0))))))))))))</f>
        <v>0</v>
      </c>
      <c r="AK418" s="16">
        <f>IF(OR(Q418=regle!$J$11,Q418=regle!$K$11),-2,IF(Q418=regle!$B$11,0,IF(AK$1=$AK$1,IF($O418,-1,regle!$B$2-$M418),IF(AJ418=-1,-1,AJ418+1))))</f>
        <v>38</v>
      </c>
      <c r="AL418" s="16">
        <f>IF(OR(R418=regle!$J$11,R418=regle!$K$11),-2,IF(R418=regle!$B$11,0,IF(AL$1=$AK$1,IF($O418,-1,regle!$B$2-$M418),IF(AK418=-1,-1,AK418+1))))</f>
        <v>39</v>
      </c>
      <c r="AM418" s="16">
        <f>IF(OR(S418=regle!$J$11,S418=regle!$K$11),-2,IF(S418=regle!$B$11,0,IF(AM$1=$AK$1,IF($O418,-1,regle!$B$2-$M418),IF(AL418=-1,-1,AL418+1))))</f>
        <v>40</v>
      </c>
      <c r="AN418" s="16">
        <f>IF(OR(T418=regle!$J$11,T418=regle!$K$11),-2,IF(T418=regle!$B$11,0,IF(AN$1=$AK$1,IF($O418,-1,regle!$B$2-$M418),IF(AM418=-1,-1,AM418+1))))</f>
        <v>41</v>
      </c>
      <c r="AO418" s="16">
        <f>IF(OR(U418=regle!$J$11,U418=regle!$K$11),-2,IF(U418=regle!$B$11,0,IF(AO$1=$AK$1,IF($O418,-1,regle!$B$2-$M418),IF(AN418=-1,-1,AN418+1))))</f>
        <v>42</v>
      </c>
      <c r="AP418" s="16">
        <f>IF(OR(V418=regle!$J$11,V418=regle!$K$11),-2,IF(V418=regle!$B$11,0,IF(AP$1=$AK$1,IF($O418,-1,regle!$B$2-$M418),IF(AO418=-1,-1,AO418+1))))</f>
        <v>43</v>
      </c>
      <c r="AQ418" s="16">
        <f>IF(OR(W418=regle!$J$11,W418=regle!$K$11),-2,IF(W418=regle!$B$11,0,IF(AQ$1=$AK$1,IF($O418,-1,regle!$B$2-$M418),IF(AP418=-1,-1,AP418+1))))</f>
        <v>44</v>
      </c>
      <c r="AR418" s="16">
        <f>IF(OR(X418=regle!$J$11,X418=regle!$K$11),-2,IF(X418=regle!$B$11,0,IF(AR$1=$AK$1,IF($O418,-1,regle!$B$2-$M418),IF(AQ418=-1,-1,AQ418+1))))</f>
        <v>45</v>
      </c>
      <c r="AS418" s="16">
        <f>IF(OR(Y418=regle!$J$11,Y418=regle!$K$11),-2,IF(Y418=regle!$B$11,0,IF(AS$1=$AK$1,IF($O418,-1,regle!$B$2-$M418),IF(AR418=-1,-1,AR418+1))))</f>
        <v>46</v>
      </c>
      <c r="AT418" s="16">
        <f>IF(OR(Z418=regle!$J$11,Z418=regle!$K$11),-2,IF(Z418=regle!$B$11,0,IF(AT$1=$AK$1,IF($O418,-1,regle!$B$2-$M418),IF(AS418=-1,-1,AS418+1))))</f>
        <v>47</v>
      </c>
    </row>
    <row r="419" spans="1:46" x14ac:dyDescent="0.25">
      <c r="A419" t="b">
        <f>modif1!A419</f>
        <v>0</v>
      </c>
      <c r="B419">
        <f>ROW(modif1!B419)</f>
        <v>419</v>
      </c>
      <c r="C419" t="str">
        <f>modif1!C422</f>
        <v>536</v>
      </c>
      <c r="D419" t="str">
        <f>modif1!D419</f>
        <v>MOUSTEY</v>
      </c>
      <c r="E419">
        <f>modif1!E419</f>
        <v>5</v>
      </c>
      <c r="F419" t="str">
        <f>modif1!F419</f>
        <v>Plata</v>
      </c>
      <c r="G419" t="str">
        <f>modif1!G419</f>
        <v>0M</v>
      </c>
      <c r="H419">
        <f>modif1!H419</f>
        <v>11</v>
      </c>
      <c r="I419" t="str">
        <f>modif1!I419</f>
        <v>b</v>
      </c>
      <c r="J419" s="11">
        <f>modif1!J419</f>
        <v>9.1499999999999998E-2</v>
      </c>
      <c r="K419" t="str">
        <f>modif1!K419</f>
        <v>TAIL</v>
      </c>
      <c r="L419" t="str">
        <f>modif1!L419</f>
        <v>FEUIL</v>
      </c>
      <c r="M419">
        <f>modif1!M419</f>
        <v>1986</v>
      </c>
      <c r="N419" t="str">
        <f>modif1!N419</f>
        <v>TAIL-FEUIL_1986</v>
      </c>
      <c r="O419" t="b">
        <f>modif1!O419</f>
        <v>0</v>
      </c>
      <c r="Z419"/>
      <c r="AA419" s="17" t="b">
        <f>IF($A419,$J419*(IF(Q419=regle!$B$11,regle!$B$23*IF(AJ419=-2,1+regle!$B$35,1),
IF(Q419=regle!$C$11,regle!$C$23,
IF(Q419=regle!$D$11,regle!$D$23,
IF(Q419=regle!$E$11,regle!$E$23,
IF(Q419=regle!$F$11,regle!$F$23,
IF(Q419=regle!$G$11,regle!$G$23,
IF(Q419=regle!$H$11,regle!$H$23,
IF(Q419=regle!$I$11,regle!$I$23,
IF(Q419=regle!$J$11,regle!$J$23,
IF(Q419=regle!$K$11,regle!$K$23,0))))))))))))</f>
        <v>0</v>
      </c>
      <c r="AB419" s="17" t="b">
        <f>IF($A419,$J419*(IF(R419=regle!$B$11,regle!$B$23*IF(AK419=-2,1+regle!$B$35,1),
IF(R419=regle!$C$11,regle!$C$23,
IF(R419=regle!$D$11,regle!$D$23,
IF(R419=regle!$E$11,regle!$E$23,
IF(R419=regle!$F$11,regle!$F$23,
IF(R419=regle!$G$11,regle!$G$23,
IF(R419=regle!$H$11,regle!$H$23,
IF(R419=regle!$I$11,regle!$I$23,
IF(R419=regle!$J$11,regle!$J$23,
IF(R419=regle!$K$11,regle!$K$23,0))))))))))))</f>
        <v>0</v>
      </c>
      <c r="AC419" s="17" t="b">
        <f>IF($A419,$J419*(IF(S419=regle!$B$11,regle!$B$23*IF(AL419=-2,1+regle!$B$35,1),
IF(S419=regle!$C$11,regle!$C$23,
IF(S419=regle!$D$11,regle!$D$23,
IF(S419=regle!$E$11,regle!$E$23,
IF(S419=regle!$F$11,regle!$F$23,
IF(S419=regle!$G$11,regle!$G$23,
IF(S419=regle!$H$11,regle!$H$23,
IF(S419=regle!$I$11,regle!$I$23,
IF(S419=regle!$J$11,regle!$J$23,
IF(S419=regle!$K$11,regle!$K$23,0))))))))))))</f>
        <v>0</v>
      </c>
      <c r="AD419" s="17" t="b">
        <f>IF($A419,$J419*(IF(T419=regle!$B$11,regle!$B$23*IF(AM419=-2,1+regle!$B$35,1),
IF(T419=regle!$C$11,regle!$C$23,
IF(T419=regle!$D$11,regle!$D$23,
IF(T419=regle!$E$11,regle!$E$23,
IF(T419=regle!$F$11,regle!$F$23,
IF(T419=regle!$G$11,regle!$G$23,
IF(T419=regle!$H$11,regle!$H$23,
IF(T419=regle!$I$11,regle!$I$23,
IF(T419=regle!$J$11,regle!$J$23,
IF(T419=regle!$K$11,regle!$K$23,0))))))))))))</f>
        <v>0</v>
      </c>
      <c r="AE419" s="17" t="b">
        <f>IF($A419,$J419*(IF(U419=regle!$B$11,regle!$B$23*IF(AN419=-2,1+regle!$B$35,1),
IF(U419=regle!$C$11,regle!$C$23,
IF(U419=regle!$D$11,regle!$D$23,
IF(U419=regle!$E$11,regle!$E$23,
IF(U419=regle!$F$11,regle!$F$23,
IF(U419=regle!$G$11,regle!$G$23,
IF(U419=regle!$H$11,regle!$H$23,
IF(U419=regle!$I$11,regle!$I$23,
IF(U419=regle!$J$11,regle!$J$23,
IF(U419=regle!$K$11,regle!$K$23,0))))))))))))</f>
        <v>0</v>
      </c>
      <c r="AF419" s="17" t="b">
        <f>IF($A419,$J419*(IF(V419=regle!$B$11,regle!$B$23*IF(AO419=-2,1+regle!$B$35,1),
IF(V419=regle!$C$11,regle!$C$23,
IF(V419=regle!$D$11,regle!$D$23,
IF(V419=regle!$E$11,regle!$E$23,
IF(V419=regle!$F$11,regle!$F$23,
IF(V419=regle!$G$11,regle!$G$23,
IF(V419=regle!$H$11,regle!$H$23,
IF(V419=regle!$I$11,regle!$I$23,
IF(V419=regle!$J$11,regle!$J$23,
IF(V419=regle!$K$11,regle!$K$23,0))))))))))))</f>
        <v>0</v>
      </c>
      <c r="AG419" s="17" t="b">
        <f>IF($A419,$J419*(IF(W419=regle!$B$11,regle!$B$23*IF(AP419=-2,1+regle!$B$35,1),
IF(W419=regle!$C$11,regle!$C$23,
IF(W419=regle!$D$11,regle!$D$23,
IF(W419=regle!$E$11,regle!$E$23,
IF(W419=regle!$F$11,regle!$F$23,
IF(W419=regle!$G$11,regle!$G$23,
IF(W419=regle!$H$11,regle!$H$23,
IF(W419=regle!$I$11,regle!$I$23,
IF(W419=regle!$J$11,regle!$J$23,
IF(W419=regle!$K$11,regle!$K$23,0))))))))))))</f>
        <v>0</v>
      </c>
      <c r="AH419" s="17" t="b">
        <f>IF($A419,$J419*(IF(X419=regle!$B$11,regle!$B$23*IF(AQ419=-2,1+regle!$B$35,1),
IF(X419=regle!$C$11,regle!$C$23,
IF(X419=regle!$D$11,regle!$D$23,
IF(X419=regle!$E$11,regle!$E$23,
IF(X419=regle!$F$11,regle!$F$23,
IF(X419=regle!$G$11,regle!$G$23,
IF(X419=regle!$H$11,regle!$H$23,
IF(X419=regle!$I$11,regle!$I$23,
IF(X419=regle!$J$11,regle!$J$23,
IF(X419=regle!$K$11,regle!$K$23,0))))))))))))</f>
        <v>0</v>
      </c>
      <c r="AI419" s="17" t="b">
        <f>IF($A419,$J419*(IF(Y419=regle!$B$11,regle!$B$23*IF(AR419=-2,1+regle!$B$35,1),
IF(Y419=regle!$C$11,regle!$C$23,
IF(Y419=regle!$D$11,regle!$D$23,
IF(Y419=regle!$E$11,regle!$E$23,
IF(Y419=regle!$F$11,regle!$F$23,
IF(Y419=regle!$G$11,regle!$G$23,
IF(Y419=regle!$H$11,regle!$H$23,
IF(Y419=regle!$I$11,regle!$I$23,
IF(Y419=regle!$J$11,regle!$J$23,
IF(Y419=regle!$K$11,regle!$K$23,0))))))))))))</f>
        <v>0</v>
      </c>
      <c r="AJ419" s="17" t="b">
        <f>IF($A419,$J419*(IF(Z419=regle!$B$11,regle!$B$23*IF(AS419=-2,1+regle!$B$35,1),
IF(Z419=regle!$C$11,regle!$C$23,
IF(Z419=regle!$D$11,regle!$D$23,
IF(Z419=regle!$E$11,regle!$E$23,
IF(Z419=regle!$F$11,regle!$F$23,
IF(Z419=regle!$G$11,regle!$G$23,
IF(Z419=regle!$H$11,regle!$H$23,
IF(Z419=regle!$I$11,regle!$I$23,
IF(Z419=regle!$J$11,regle!$J$23,
IF(Z419=regle!$K$11,regle!$K$23,0))))))))))))</f>
        <v>0</v>
      </c>
      <c r="AK419" s="16">
        <f>IF(OR(Q419=regle!$J$11,Q419=regle!$K$11),-2,IF(Q419=regle!$B$11,0,IF(AK$1=$AK$1,IF($O419,-1,regle!$B$2-$M419),IF(AJ419=-1,-1,AJ419+1))))</f>
        <v>38</v>
      </c>
      <c r="AL419" s="16">
        <f>IF(OR(R419=regle!$J$11,R419=regle!$K$11),-2,IF(R419=regle!$B$11,0,IF(AL$1=$AK$1,IF($O419,-1,regle!$B$2-$M419),IF(AK419=-1,-1,AK419+1))))</f>
        <v>39</v>
      </c>
      <c r="AM419" s="16">
        <f>IF(OR(S419=regle!$J$11,S419=regle!$K$11),-2,IF(S419=regle!$B$11,0,IF(AM$1=$AK$1,IF($O419,-1,regle!$B$2-$M419),IF(AL419=-1,-1,AL419+1))))</f>
        <v>40</v>
      </c>
      <c r="AN419" s="16">
        <f>IF(OR(T419=regle!$J$11,T419=regle!$K$11),-2,IF(T419=regle!$B$11,0,IF(AN$1=$AK$1,IF($O419,-1,regle!$B$2-$M419),IF(AM419=-1,-1,AM419+1))))</f>
        <v>41</v>
      </c>
      <c r="AO419" s="16">
        <f>IF(OR(U419=regle!$J$11,U419=regle!$K$11),-2,IF(U419=regle!$B$11,0,IF(AO$1=$AK$1,IF($O419,-1,regle!$B$2-$M419),IF(AN419=-1,-1,AN419+1))))</f>
        <v>42</v>
      </c>
      <c r="AP419" s="16">
        <f>IF(OR(V419=regle!$J$11,V419=regle!$K$11),-2,IF(V419=regle!$B$11,0,IF(AP$1=$AK$1,IF($O419,-1,regle!$B$2-$M419),IF(AO419=-1,-1,AO419+1))))</f>
        <v>43</v>
      </c>
      <c r="AQ419" s="16">
        <f>IF(OR(W419=regle!$J$11,W419=regle!$K$11),-2,IF(W419=regle!$B$11,0,IF(AQ$1=$AK$1,IF($O419,-1,regle!$B$2-$M419),IF(AP419=-1,-1,AP419+1))))</f>
        <v>44</v>
      </c>
      <c r="AR419" s="16">
        <f>IF(OR(X419=regle!$J$11,X419=regle!$K$11),-2,IF(X419=regle!$B$11,0,IF(AR$1=$AK$1,IF($O419,-1,regle!$B$2-$M419),IF(AQ419=-1,-1,AQ419+1))))</f>
        <v>45</v>
      </c>
      <c r="AS419" s="16">
        <f>IF(OR(Y419=regle!$J$11,Y419=regle!$K$11),-2,IF(Y419=regle!$B$11,0,IF(AS$1=$AK$1,IF($O419,-1,regle!$B$2-$M419),IF(AR419=-1,-1,AR419+1))))</f>
        <v>46</v>
      </c>
      <c r="AT419" s="16">
        <f>IF(OR(Z419=regle!$J$11,Z419=regle!$K$11),-2,IF(Z419=regle!$B$11,0,IF(AT$1=$AK$1,IF($O419,-1,regle!$B$2-$M419),IF(AS419=-1,-1,AS419+1))))</f>
        <v>47</v>
      </c>
    </row>
    <row r="420" spans="1:46" x14ac:dyDescent="0.25">
      <c r="A420" t="b">
        <f>modif1!A420</f>
        <v>0</v>
      </c>
      <c r="B420">
        <f>ROW(modif1!B420)</f>
        <v>420</v>
      </c>
      <c r="C420" t="str">
        <f>modif1!C423</f>
        <v>536</v>
      </c>
      <c r="D420" t="str">
        <f>modif1!D420</f>
        <v>MOUSTEY</v>
      </c>
      <c r="E420">
        <f>modif1!E420</f>
        <v>5</v>
      </c>
      <c r="F420" t="str">
        <f>modif1!F420</f>
        <v>Plata</v>
      </c>
      <c r="G420" t="str">
        <f>modif1!G420</f>
        <v>0M</v>
      </c>
      <c r="H420">
        <f>modif1!H420</f>
        <v>21</v>
      </c>
      <c r="I420" t="str">
        <f>modif1!I420</f>
        <v>b</v>
      </c>
      <c r="J420" s="11">
        <f>modif1!J420</f>
        <v>3.5700000000000003E-2</v>
      </c>
      <c r="K420" t="str">
        <f>modif1!K420</f>
        <v>TAIL</v>
      </c>
      <c r="L420" t="str">
        <f>modif1!L420</f>
        <v>FEUIL</v>
      </c>
      <c r="M420">
        <f>modif1!M420</f>
        <v>1986</v>
      </c>
      <c r="N420" t="str">
        <f>modif1!N420</f>
        <v>TAIL-FEUIL_1986</v>
      </c>
      <c r="O420" t="b">
        <f>modif1!O420</f>
        <v>0</v>
      </c>
      <c r="Z420"/>
      <c r="AA420" s="17" t="b">
        <f>IF($A420,$J420*(IF(Q420=regle!$B$11,regle!$B$23*IF(AJ420=-2,1+regle!$B$35,1),
IF(Q420=regle!$C$11,regle!$C$23,
IF(Q420=regle!$D$11,regle!$D$23,
IF(Q420=regle!$E$11,regle!$E$23,
IF(Q420=regle!$F$11,regle!$F$23,
IF(Q420=regle!$G$11,regle!$G$23,
IF(Q420=regle!$H$11,regle!$H$23,
IF(Q420=regle!$I$11,regle!$I$23,
IF(Q420=regle!$J$11,regle!$J$23,
IF(Q420=regle!$K$11,regle!$K$23,0))))))))))))</f>
        <v>0</v>
      </c>
      <c r="AB420" s="17" t="b">
        <f>IF($A420,$J420*(IF(R420=regle!$B$11,regle!$B$23*IF(AK420=-2,1+regle!$B$35,1),
IF(R420=regle!$C$11,regle!$C$23,
IF(R420=regle!$D$11,regle!$D$23,
IF(R420=regle!$E$11,regle!$E$23,
IF(R420=regle!$F$11,regle!$F$23,
IF(R420=regle!$G$11,regle!$G$23,
IF(R420=regle!$H$11,regle!$H$23,
IF(R420=regle!$I$11,regle!$I$23,
IF(R420=regle!$J$11,regle!$J$23,
IF(R420=regle!$K$11,regle!$K$23,0))))))))))))</f>
        <v>0</v>
      </c>
      <c r="AC420" s="17" t="b">
        <f>IF($A420,$J420*(IF(S420=regle!$B$11,regle!$B$23*IF(AL420=-2,1+regle!$B$35,1),
IF(S420=regle!$C$11,regle!$C$23,
IF(S420=regle!$D$11,regle!$D$23,
IF(S420=regle!$E$11,regle!$E$23,
IF(S420=regle!$F$11,regle!$F$23,
IF(S420=regle!$G$11,regle!$G$23,
IF(S420=regle!$H$11,regle!$H$23,
IF(S420=regle!$I$11,regle!$I$23,
IF(S420=regle!$J$11,regle!$J$23,
IF(S420=regle!$K$11,regle!$K$23,0))))))))))))</f>
        <v>0</v>
      </c>
      <c r="AD420" s="17" t="b">
        <f>IF($A420,$J420*(IF(T420=regle!$B$11,regle!$B$23*IF(AM420=-2,1+regle!$B$35,1),
IF(T420=regle!$C$11,regle!$C$23,
IF(T420=regle!$D$11,regle!$D$23,
IF(T420=regle!$E$11,regle!$E$23,
IF(T420=regle!$F$11,regle!$F$23,
IF(T420=regle!$G$11,regle!$G$23,
IF(T420=regle!$H$11,regle!$H$23,
IF(T420=regle!$I$11,regle!$I$23,
IF(T420=regle!$J$11,regle!$J$23,
IF(T420=regle!$K$11,regle!$K$23,0))))))))))))</f>
        <v>0</v>
      </c>
      <c r="AE420" s="17" t="b">
        <f>IF($A420,$J420*(IF(U420=regle!$B$11,regle!$B$23*IF(AN420=-2,1+regle!$B$35,1),
IF(U420=regle!$C$11,regle!$C$23,
IF(U420=regle!$D$11,regle!$D$23,
IF(U420=regle!$E$11,regle!$E$23,
IF(U420=regle!$F$11,regle!$F$23,
IF(U420=regle!$G$11,regle!$G$23,
IF(U420=regle!$H$11,regle!$H$23,
IF(U420=regle!$I$11,regle!$I$23,
IF(U420=regle!$J$11,regle!$J$23,
IF(U420=regle!$K$11,regle!$K$23,0))))))))))))</f>
        <v>0</v>
      </c>
      <c r="AF420" s="17" t="b">
        <f>IF($A420,$J420*(IF(V420=regle!$B$11,regle!$B$23*IF(AO420=-2,1+regle!$B$35,1),
IF(V420=regle!$C$11,regle!$C$23,
IF(V420=regle!$D$11,regle!$D$23,
IF(V420=regle!$E$11,regle!$E$23,
IF(V420=regle!$F$11,regle!$F$23,
IF(V420=regle!$G$11,regle!$G$23,
IF(V420=regle!$H$11,regle!$H$23,
IF(V420=regle!$I$11,regle!$I$23,
IF(V420=regle!$J$11,regle!$J$23,
IF(V420=regle!$K$11,regle!$K$23,0))))))))))))</f>
        <v>0</v>
      </c>
      <c r="AG420" s="17" t="b">
        <f>IF($A420,$J420*(IF(W420=regle!$B$11,regle!$B$23*IF(AP420=-2,1+regle!$B$35,1),
IF(W420=regle!$C$11,regle!$C$23,
IF(W420=regle!$D$11,regle!$D$23,
IF(W420=regle!$E$11,regle!$E$23,
IF(W420=regle!$F$11,regle!$F$23,
IF(W420=regle!$G$11,regle!$G$23,
IF(W420=regle!$H$11,regle!$H$23,
IF(W420=regle!$I$11,regle!$I$23,
IF(W420=regle!$J$11,regle!$J$23,
IF(W420=regle!$K$11,regle!$K$23,0))))))))))))</f>
        <v>0</v>
      </c>
      <c r="AH420" s="17" t="b">
        <f>IF($A420,$J420*(IF(X420=regle!$B$11,regle!$B$23*IF(AQ420=-2,1+regle!$B$35,1),
IF(X420=regle!$C$11,regle!$C$23,
IF(X420=regle!$D$11,regle!$D$23,
IF(X420=regle!$E$11,regle!$E$23,
IF(X420=regle!$F$11,regle!$F$23,
IF(X420=regle!$G$11,regle!$G$23,
IF(X420=regle!$H$11,regle!$H$23,
IF(X420=regle!$I$11,regle!$I$23,
IF(X420=regle!$J$11,regle!$J$23,
IF(X420=regle!$K$11,regle!$K$23,0))))))))))))</f>
        <v>0</v>
      </c>
      <c r="AI420" s="17" t="b">
        <f>IF($A420,$J420*(IF(Y420=regle!$B$11,regle!$B$23*IF(AR420=-2,1+regle!$B$35,1),
IF(Y420=regle!$C$11,regle!$C$23,
IF(Y420=regle!$D$11,regle!$D$23,
IF(Y420=regle!$E$11,regle!$E$23,
IF(Y420=regle!$F$11,regle!$F$23,
IF(Y420=regle!$G$11,regle!$G$23,
IF(Y420=regle!$H$11,regle!$H$23,
IF(Y420=regle!$I$11,regle!$I$23,
IF(Y420=regle!$J$11,regle!$J$23,
IF(Y420=regle!$K$11,regle!$K$23,0))))))))))))</f>
        <v>0</v>
      </c>
      <c r="AJ420" s="17" t="b">
        <f>IF($A420,$J420*(IF(Z420=regle!$B$11,regle!$B$23*IF(AS420=-2,1+regle!$B$35,1),
IF(Z420=regle!$C$11,regle!$C$23,
IF(Z420=regle!$D$11,regle!$D$23,
IF(Z420=regle!$E$11,regle!$E$23,
IF(Z420=regle!$F$11,regle!$F$23,
IF(Z420=regle!$G$11,regle!$G$23,
IF(Z420=regle!$H$11,regle!$H$23,
IF(Z420=regle!$I$11,regle!$I$23,
IF(Z420=regle!$J$11,regle!$J$23,
IF(Z420=regle!$K$11,regle!$K$23,0))))))))))))</f>
        <v>0</v>
      </c>
      <c r="AK420" s="16">
        <f>IF(OR(Q420=regle!$J$11,Q420=regle!$K$11),-2,IF(Q420=regle!$B$11,0,IF(AK$1=$AK$1,IF($O420,-1,regle!$B$2-$M420),IF(AJ420=-1,-1,AJ420+1))))</f>
        <v>38</v>
      </c>
      <c r="AL420" s="16">
        <f>IF(OR(R420=regle!$J$11,R420=regle!$K$11),-2,IF(R420=regle!$B$11,0,IF(AL$1=$AK$1,IF($O420,-1,regle!$B$2-$M420),IF(AK420=-1,-1,AK420+1))))</f>
        <v>39</v>
      </c>
      <c r="AM420" s="16">
        <f>IF(OR(S420=regle!$J$11,S420=regle!$K$11),-2,IF(S420=regle!$B$11,0,IF(AM$1=$AK$1,IF($O420,-1,regle!$B$2-$M420),IF(AL420=-1,-1,AL420+1))))</f>
        <v>40</v>
      </c>
      <c r="AN420" s="16">
        <f>IF(OR(T420=regle!$J$11,T420=regle!$K$11),-2,IF(T420=regle!$B$11,0,IF(AN$1=$AK$1,IF($O420,-1,regle!$B$2-$M420),IF(AM420=-1,-1,AM420+1))))</f>
        <v>41</v>
      </c>
      <c r="AO420" s="16">
        <f>IF(OR(U420=regle!$J$11,U420=regle!$K$11),-2,IF(U420=regle!$B$11,0,IF(AO$1=$AK$1,IF($O420,-1,regle!$B$2-$M420),IF(AN420=-1,-1,AN420+1))))</f>
        <v>42</v>
      </c>
      <c r="AP420" s="16">
        <f>IF(OR(V420=regle!$J$11,V420=regle!$K$11),-2,IF(V420=regle!$B$11,0,IF(AP$1=$AK$1,IF($O420,-1,regle!$B$2-$M420),IF(AO420=-1,-1,AO420+1))))</f>
        <v>43</v>
      </c>
      <c r="AQ420" s="16">
        <f>IF(OR(W420=regle!$J$11,W420=regle!$K$11),-2,IF(W420=regle!$B$11,0,IF(AQ$1=$AK$1,IF($O420,-1,regle!$B$2-$M420),IF(AP420=-1,-1,AP420+1))))</f>
        <v>44</v>
      </c>
      <c r="AR420" s="16">
        <f>IF(OR(X420=regle!$J$11,X420=regle!$K$11),-2,IF(X420=regle!$B$11,0,IF(AR$1=$AK$1,IF($O420,-1,regle!$B$2-$M420),IF(AQ420=-1,-1,AQ420+1))))</f>
        <v>45</v>
      </c>
      <c r="AS420" s="16">
        <f>IF(OR(Y420=regle!$J$11,Y420=regle!$K$11),-2,IF(Y420=regle!$B$11,0,IF(AS$1=$AK$1,IF($O420,-1,regle!$B$2-$M420),IF(AR420=-1,-1,AR420+1))))</f>
        <v>46</v>
      </c>
      <c r="AT420" s="16">
        <f>IF(OR(Z420=regle!$J$11,Z420=regle!$K$11),-2,IF(Z420=regle!$B$11,0,IF(AT$1=$AK$1,IF($O420,-1,regle!$B$2-$M420),IF(AS420=-1,-1,AS420+1))))</f>
        <v>47</v>
      </c>
    </row>
    <row r="421" spans="1:46" x14ac:dyDescent="0.25">
      <c r="A421" t="b">
        <f>modif1!A421</f>
        <v>0</v>
      </c>
      <c r="B421">
        <f>ROW(modif1!B421)</f>
        <v>421</v>
      </c>
      <c r="C421" t="str">
        <f>modif1!C424</f>
        <v>536</v>
      </c>
      <c r="D421" t="str">
        <f>modif1!D421</f>
        <v>MOUSTEY</v>
      </c>
      <c r="E421">
        <f>modif1!E421</f>
        <v>8</v>
      </c>
      <c r="F421" t="str">
        <f>modif1!F421</f>
        <v>Pignotte</v>
      </c>
      <c r="G421" t="str">
        <f>modif1!G421</f>
        <v>0R</v>
      </c>
      <c r="H421">
        <f>modif1!H421</f>
        <v>89</v>
      </c>
      <c r="I421" t="str">
        <f>modif1!I421</f>
        <v/>
      </c>
      <c r="J421" s="11">
        <f>modif1!J421</f>
        <v>1.29E-2</v>
      </c>
      <c r="K421" t="str">
        <f>modif1!K421</f>
        <v>TAIL</v>
      </c>
      <c r="L421" t="str">
        <f>modif1!L421</f>
        <v>FEUIL</v>
      </c>
      <c r="M421">
        <f>modif1!M421</f>
        <v>1986</v>
      </c>
      <c r="N421" t="str">
        <f>modif1!N421</f>
        <v>TAIL-FEUIL_1986</v>
      </c>
      <c r="O421" t="b">
        <f>modif1!O421</f>
        <v>0</v>
      </c>
      <c r="Z421"/>
      <c r="AA421" s="17" t="b">
        <f>IF($A421,$J421*(IF(Q421=regle!$B$11,regle!$B$23*IF(AJ421=-2,1+regle!$B$35,1),
IF(Q421=regle!$C$11,regle!$C$23,
IF(Q421=regle!$D$11,regle!$D$23,
IF(Q421=regle!$E$11,regle!$E$23,
IF(Q421=regle!$F$11,regle!$F$23,
IF(Q421=regle!$G$11,regle!$G$23,
IF(Q421=regle!$H$11,regle!$H$23,
IF(Q421=regle!$I$11,regle!$I$23,
IF(Q421=regle!$J$11,regle!$J$23,
IF(Q421=regle!$K$11,regle!$K$23,0))))))))))))</f>
        <v>0</v>
      </c>
      <c r="AB421" s="17" t="b">
        <f>IF($A421,$J421*(IF(R421=regle!$B$11,regle!$B$23*IF(AK421=-2,1+regle!$B$35,1),
IF(R421=regle!$C$11,regle!$C$23,
IF(R421=regle!$D$11,regle!$D$23,
IF(R421=regle!$E$11,regle!$E$23,
IF(R421=regle!$F$11,regle!$F$23,
IF(R421=regle!$G$11,regle!$G$23,
IF(R421=regle!$H$11,regle!$H$23,
IF(R421=regle!$I$11,regle!$I$23,
IF(R421=regle!$J$11,regle!$J$23,
IF(R421=regle!$K$11,regle!$K$23,0))))))))))))</f>
        <v>0</v>
      </c>
      <c r="AC421" s="17" t="b">
        <f>IF($A421,$J421*(IF(S421=regle!$B$11,regle!$B$23*IF(AL421=-2,1+regle!$B$35,1),
IF(S421=regle!$C$11,regle!$C$23,
IF(S421=regle!$D$11,regle!$D$23,
IF(S421=regle!$E$11,regle!$E$23,
IF(S421=regle!$F$11,regle!$F$23,
IF(S421=regle!$G$11,regle!$G$23,
IF(S421=regle!$H$11,regle!$H$23,
IF(S421=regle!$I$11,regle!$I$23,
IF(S421=regle!$J$11,regle!$J$23,
IF(S421=regle!$K$11,regle!$K$23,0))))))))))))</f>
        <v>0</v>
      </c>
      <c r="AD421" s="17" t="b">
        <f>IF($A421,$J421*(IF(T421=regle!$B$11,regle!$B$23*IF(AM421=-2,1+regle!$B$35,1),
IF(T421=regle!$C$11,regle!$C$23,
IF(T421=regle!$D$11,regle!$D$23,
IF(T421=regle!$E$11,regle!$E$23,
IF(T421=regle!$F$11,regle!$F$23,
IF(T421=regle!$G$11,regle!$G$23,
IF(T421=regle!$H$11,regle!$H$23,
IF(T421=regle!$I$11,regle!$I$23,
IF(T421=regle!$J$11,regle!$J$23,
IF(T421=regle!$K$11,regle!$K$23,0))))))))))))</f>
        <v>0</v>
      </c>
      <c r="AE421" s="17" t="b">
        <f>IF($A421,$J421*(IF(U421=regle!$B$11,regle!$B$23*IF(AN421=-2,1+regle!$B$35,1),
IF(U421=regle!$C$11,regle!$C$23,
IF(U421=regle!$D$11,regle!$D$23,
IF(U421=regle!$E$11,regle!$E$23,
IF(U421=regle!$F$11,regle!$F$23,
IF(U421=regle!$G$11,regle!$G$23,
IF(U421=regle!$H$11,regle!$H$23,
IF(U421=regle!$I$11,regle!$I$23,
IF(U421=regle!$J$11,regle!$J$23,
IF(U421=regle!$K$11,regle!$K$23,0))))))))))))</f>
        <v>0</v>
      </c>
      <c r="AF421" s="17" t="b">
        <f>IF($A421,$J421*(IF(V421=regle!$B$11,regle!$B$23*IF(AO421=-2,1+regle!$B$35,1),
IF(V421=regle!$C$11,regle!$C$23,
IF(V421=regle!$D$11,regle!$D$23,
IF(V421=regle!$E$11,regle!$E$23,
IF(V421=regle!$F$11,regle!$F$23,
IF(V421=regle!$G$11,regle!$G$23,
IF(V421=regle!$H$11,regle!$H$23,
IF(V421=regle!$I$11,regle!$I$23,
IF(V421=regle!$J$11,regle!$J$23,
IF(V421=regle!$K$11,regle!$K$23,0))))))))))))</f>
        <v>0</v>
      </c>
      <c r="AG421" s="17" t="b">
        <f>IF($A421,$J421*(IF(W421=regle!$B$11,regle!$B$23*IF(AP421=-2,1+regle!$B$35,1),
IF(W421=regle!$C$11,regle!$C$23,
IF(W421=regle!$D$11,regle!$D$23,
IF(W421=regle!$E$11,regle!$E$23,
IF(W421=regle!$F$11,regle!$F$23,
IF(W421=regle!$G$11,regle!$G$23,
IF(W421=regle!$H$11,regle!$H$23,
IF(W421=regle!$I$11,regle!$I$23,
IF(W421=regle!$J$11,regle!$J$23,
IF(W421=regle!$K$11,regle!$K$23,0))))))))))))</f>
        <v>0</v>
      </c>
      <c r="AH421" s="17" t="b">
        <f>IF($A421,$J421*(IF(X421=regle!$B$11,regle!$B$23*IF(AQ421=-2,1+regle!$B$35,1),
IF(X421=regle!$C$11,regle!$C$23,
IF(X421=regle!$D$11,regle!$D$23,
IF(X421=regle!$E$11,regle!$E$23,
IF(X421=regle!$F$11,regle!$F$23,
IF(X421=regle!$G$11,regle!$G$23,
IF(X421=regle!$H$11,regle!$H$23,
IF(X421=regle!$I$11,regle!$I$23,
IF(X421=regle!$J$11,regle!$J$23,
IF(X421=regle!$K$11,regle!$K$23,0))))))))))))</f>
        <v>0</v>
      </c>
      <c r="AI421" s="17" t="b">
        <f>IF($A421,$J421*(IF(Y421=regle!$B$11,regle!$B$23*IF(AR421=-2,1+regle!$B$35,1),
IF(Y421=regle!$C$11,regle!$C$23,
IF(Y421=regle!$D$11,regle!$D$23,
IF(Y421=regle!$E$11,regle!$E$23,
IF(Y421=regle!$F$11,regle!$F$23,
IF(Y421=regle!$G$11,regle!$G$23,
IF(Y421=regle!$H$11,regle!$H$23,
IF(Y421=regle!$I$11,regle!$I$23,
IF(Y421=regle!$J$11,regle!$J$23,
IF(Y421=regle!$K$11,regle!$K$23,0))))))))))))</f>
        <v>0</v>
      </c>
      <c r="AJ421" s="17" t="b">
        <f>IF($A421,$J421*(IF(Z421=regle!$B$11,regle!$B$23*IF(AS421=-2,1+regle!$B$35,1),
IF(Z421=regle!$C$11,regle!$C$23,
IF(Z421=regle!$D$11,regle!$D$23,
IF(Z421=regle!$E$11,regle!$E$23,
IF(Z421=regle!$F$11,regle!$F$23,
IF(Z421=regle!$G$11,regle!$G$23,
IF(Z421=regle!$H$11,regle!$H$23,
IF(Z421=regle!$I$11,regle!$I$23,
IF(Z421=regle!$J$11,regle!$J$23,
IF(Z421=regle!$K$11,regle!$K$23,0))))))))))))</f>
        <v>0</v>
      </c>
      <c r="AK421" s="16">
        <f>IF(OR(Q421=regle!$J$11,Q421=regle!$K$11),-2,IF(Q421=regle!$B$11,0,IF(AK$1=$AK$1,IF($O421,-1,regle!$B$2-$M421),IF(AJ421=-1,-1,AJ421+1))))</f>
        <v>38</v>
      </c>
      <c r="AL421" s="16">
        <f>IF(OR(R421=regle!$J$11,R421=regle!$K$11),-2,IF(R421=regle!$B$11,0,IF(AL$1=$AK$1,IF($O421,-1,regle!$B$2-$M421),IF(AK421=-1,-1,AK421+1))))</f>
        <v>39</v>
      </c>
      <c r="AM421" s="16">
        <f>IF(OR(S421=regle!$J$11,S421=regle!$K$11),-2,IF(S421=regle!$B$11,0,IF(AM$1=$AK$1,IF($O421,-1,regle!$B$2-$M421),IF(AL421=-1,-1,AL421+1))))</f>
        <v>40</v>
      </c>
      <c r="AN421" s="16">
        <f>IF(OR(T421=regle!$J$11,T421=regle!$K$11),-2,IF(T421=regle!$B$11,0,IF(AN$1=$AK$1,IF($O421,-1,regle!$B$2-$M421),IF(AM421=-1,-1,AM421+1))))</f>
        <v>41</v>
      </c>
      <c r="AO421" s="16">
        <f>IF(OR(U421=regle!$J$11,U421=regle!$K$11),-2,IF(U421=regle!$B$11,0,IF(AO$1=$AK$1,IF($O421,-1,regle!$B$2-$M421),IF(AN421=-1,-1,AN421+1))))</f>
        <v>42</v>
      </c>
      <c r="AP421" s="16">
        <f>IF(OR(V421=regle!$J$11,V421=regle!$K$11),-2,IF(V421=regle!$B$11,0,IF(AP$1=$AK$1,IF($O421,-1,regle!$B$2-$M421),IF(AO421=-1,-1,AO421+1))))</f>
        <v>43</v>
      </c>
      <c r="AQ421" s="16">
        <f>IF(OR(W421=regle!$J$11,W421=regle!$K$11),-2,IF(W421=regle!$B$11,0,IF(AQ$1=$AK$1,IF($O421,-1,regle!$B$2-$M421),IF(AP421=-1,-1,AP421+1))))</f>
        <v>44</v>
      </c>
      <c r="AR421" s="16">
        <f>IF(OR(X421=regle!$J$11,X421=regle!$K$11),-2,IF(X421=regle!$B$11,0,IF(AR$1=$AK$1,IF($O421,-1,regle!$B$2-$M421),IF(AQ421=-1,-1,AQ421+1))))</f>
        <v>45</v>
      </c>
      <c r="AS421" s="16">
        <f>IF(OR(Y421=regle!$J$11,Y421=regle!$K$11),-2,IF(Y421=regle!$B$11,0,IF(AS$1=$AK$1,IF($O421,-1,regle!$B$2-$M421),IF(AR421=-1,-1,AR421+1))))</f>
        <v>46</v>
      </c>
      <c r="AT421" s="16">
        <f>IF(OR(Z421=regle!$J$11,Z421=regle!$K$11),-2,IF(Z421=regle!$B$11,0,IF(AT$1=$AK$1,IF($O421,-1,regle!$B$2-$M421),IF(AS421=-1,-1,AS421+1))))</f>
        <v>47</v>
      </c>
    </row>
    <row r="422" spans="1:46" x14ac:dyDescent="0.25">
      <c r="A422" t="b">
        <f>modif1!A422</f>
        <v>0</v>
      </c>
      <c r="B422">
        <f>ROW(modif1!B422)</f>
        <v>422</v>
      </c>
      <c r="C422" t="str">
        <f>modif1!C425</f>
        <v>536</v>
      </c>
      <c r="D422" t="str">
        <f>modif1!D422</f>
        <v>LE TUZAN</v>
      </c>
      <c r="E422">
        <f>modif1!E422</f>
        <v>21</v>
      </c>
      <c r="F422" t="str">
        <f>modif1!F422</f>
        <v>METAIRIES DE TABARTON</v>
      </c>
      <c r="G422" t="str">
        <f>modif1!G422</f>
        <v>0A</v>
      </c>
      <c r="H422">
        <f>modif1!H422</f>
        <v>419</v>
      </c>
      <c r="I422" t="str">
        <f>modif1!I422</f>
        <v>a</v>
      </c>
      <c r="J422" s="11">
        <f>modif1!J422</f>
        <v>1.0562</v>
      </c>
      <c r="K422" t="str">
        <f>modif1!K422</f>
        <v>TAIL</v>
      </c>
      <c r="L422" t="str">
        <f>modif1!L422</f>
        <v>FEUIL</v>
      </c>
      <c r="M422">
        <f>modif1!M422</f>
        <v>1985</v>
      </c>
      <c r="N422" t="str">
        <f>modif1!N422</f>
        <v>TAIL-FEUIL_1985</v>
      </c>
      <c r="O422" t="b">
        <f>modif1!O422</f>
        <v>0</v>
      </c>
      <c r="Z422"/>
      <c r="AA422" s="17" t="b">
        <f>IF($A422,$J422*(IF(Q422=regle!$B$11,regle!$B$23*IF(AJ422=-2,1+regle!$B$35,1),
IF(Q422=regle!$C$11,regle!$C$23,
IF(Q422=regle!$D$11,regle!$D$23,
IF(Q422=regle!$E$11,regle!$E$23,
IF(Q422=regle!$F$11,regle!$F$23,
IF(Q422=regle!$G$11,regle!$G$23,
IF(Q422=regle!$H$11,regle!$H$23,
IF(Q422=regle!$I$11,regle!$I$23,
IF(Q422=regle!$J$11,regle!$J$23,
IF(Q422=regle!$K$11,regle!$K$23,0))))))))))))</f>
        <v>0</v>
      </c>
      <c r="AB422" s="17" t="b">
        <f>IF($A422,$J422*(IF(R422=regle!$B$11,regle!$B$23*IF(AK422=-2,1+regle!$B$35,1),
IF(R422=regle!$C$11,regle!$C$23,
IF(R422=regle!$D$11,regle!$D$23,
IF(R422=regle!$E$11,regle!$E$23,
IF(R422=regle!$F$11,regle!$F$23,
IF(R422=regle!$G$11,regle!$G$23,
IF(R422=regle!$H$11,regle!$H$23,
IF(R422=regle!$I$11,regle!$I$23,
IF(R422=regle!$J$11,regle!$J$23,
IF(R422=regle!$K$11,regle!$K$23,0))))))))))))</f>
        <v>0</v>
      </c>
      <c r="AC422" s="17" t="b">
        <f>IF($A422,$J422*(IF(S422=regle!$B$11,regle!$B$23*IF(AL422=-2,1+regle!$B$35,1),
IF(S422=regle!$C$11,regle!$C$23,
IF(S422=regle!$D$11,regle!$D$23,
IF(S422=regle!$E$11,regle!$E$23,
IF(S422=regle!$F$11,regle!$F$23,
IF(S422=regle!$G$11,regle!$G$23,
IF(S422=regle!$H$11,regle!$H$23,
IF(S422=regle!$I$11,regle!$I$23,
IF(S422=regle!$J$11,regle!$J$23,
IF(S422=regle!$K$11,regle!$K$23,0))))))))))))</f>
        <v>0</v>
      </c>
      <c r="AD422" s="17" t="b">
        <f>IF($A422,$J422*(IF(T422=regle!$B$11,regle!$B$23*IF(AM422=-2,1+regle!$B$35,1),
IF(T422=regle!$C$11,regle!$C$23,
IF(T422=regle!$D$11,regle!$D$23,
IF(T422=regle!$E$11,regle!$E$23,
IF(T422=regle!$F$11,regle!$F$23,
IF(T422=regle!$G$11,regle!$G$23,
IF(T422=regle!$H$11,regle!$H$23,
IF(T422=regle!$I$11,regle!$I$23,
IF(T422=regle!$J$11,regle!$J$23,
IF(T422=regle!$K$11,regle!$K$23,0))))))))))))</f>
        <v>0</v>
      </c>
      <c r="AE422" s="17" t="b">
        <f>IF($A422,$J422*(IF(U422=regle!$B$11,regle!$B$23*IF(AN422=-2,1+regle!$B$35,1),
IF(U422=regle!$C$11,regle!$C$23,
IF(U422=regle!$D$11,regle!$D$23,
IF(U422=regle!$E$11,regle!$E$23,
IF(U422=regle!$F$11,regle!$F$23,
IF(U422=regle!$G$11,regle!$G$23,
IF(U422=regle!$H$11,regle!$H$23,
IF(U422=regle!$I$11,regle!$I$23,
IF(U422=regle!$J$11,regle!$J$23,
IF(U422=regle!$K$11,regle!$K$23,0))))))))))))</f>
        <v>0</v>
      </c>
      <c r="AF422" s="17" t="b">
        <f>IF($A422,$J422*(IF(V422=regle!$B$11,regle!$B$23*IF(AO422=-2,1+regle!$B$35,1),
IF(V422=regle!$C$11,regle!$C$23,
IF(V422=regle!$D$11,regle!$D$23,
IF(V422=regle!$E$11,regle!$E$23,
IF(V422=regle!$F$11,regle!$F$23,
IF(V422=regle!$G$11,regle!$G$23,
IF(V422=regle!$H$11,regle!$H$23,
IF(V422=regle!$I$11,regle!$I$23,
IF(V422=regle!$J$11,regle!$J$23,
IF(V422=regle!$K$11,regle!$K$23,0))))))))))))</f>
        <v>0</v>
      </c>
      <c r="AG422" s="17" t="b">
        <f>IF($A422,$J422*(IF(W422=regle!$B$11,regle!$B$23*IF(AP422=-2,1+regle!$B$35,1),
IF(W422=regle!$C$11,regle!$C$23,
IF(W422=regle!$D$11,regle!$D$23,
IF(W422=regle!$E$11,regle!$E$23,
IF(W422=regle!$F$11,regle!$F$23,
IF(W422=regle!$G$11,regle!$G$23,
IF(W422=regle!$H$11,regle!$H$23,
IF(W422=regle!$I$11,regle!$I$23,
IF(W422=regle!$J$11,regle!$J$23,
IF(W422=regle!$K$11,regle!$K$23,0))))))))))))</f>
        <v>0</v>
      </c>
      <c r="AH422" s="17" t="b">
        <f>IF($A422,$J422*(IF(X422=regle!$B$11,regle!$B$23*IF(AQ422=-2,1+regle!$B$35,1),
IF(X422=regle!$C$11,regle!$C$23,
IF(X422=regle!$D$11,regle!$D$23,
IF(X422=regle!$E$11,regle!$E$23,
IF(X422=regle!$F$11,regle!$F$23,
IF(X422=regle!$G$11,regle!$G$23,
IF(X422=regle!$H$11,regle!$H$23,
IF(X422=regle!$I$11,regle!$I$23,
IF(X422=regle!$J$11,regle!$J$23,
IF(X422=regle!$K$11,regle!$K$23,0))))))))))))</f>
        <v>0</v>
      </c>
      <c r="AI422" s="17" t="b">
        <f>IF($A422,$J422*(IF(Y422=regle!$B$11,regle!$B$23*IF(AR422=-2,1+regle!$B$35,1),
IF(Y422=regle!$C$11,regle!$C$23,
IF(Y422=regle!$D$11,regle!$D$23,
IF(Y422=regle!$E$11,regle!$E$23,
IF(Y422=regle!$F$11,regle!$F$23,
IF(Y422=regle!$G$11,regle!$G$23,
IF(Y422=regle!$H$11,regle!$H$23,
IF(Y422=regle!$I$11,regle!$I$23,
IF(Y422=regle!$J$11,regle!$J$23,
IF(Y422=regle!$K$11,regle!$K$23,0))))))))))))</f>
        <v>0</v>
      </c>
      <c r="AJ422" s="17" t="b">
        <f>IF($A422,$J422*(IF(Z422=regle!$B$11,regle!$B$23*IF(AS422=-2,1+regle!$B$35,1),
IF(Z422=regle!$C$11,regle!$C$23,
IF(Z422=regle!$D$11,regle!$D$23,
IF(Z422=regle!$E$11,regle!$E$23,
IF(Z422=regle!$F$11,regle!$F$23,
IF(Z422=regle!$G$11,regle!$G$23,
IF(Z422=regle!$H$11,regle!$H$23,
IF(Z422=regle!$I$11,regle!$I$23,
IF(Z422=regle!$J$11,regle!$J$23,
IF(Z422=regle!$K$11,regle!$K$23,0))))))))))))</f>
        <v>0</v>
      </c>
      <c r="AK422" s="16">
        <f>IF(OR(Q422=regle!$J$11,Q422=regle!$K$11),-2,IF(Q422=regle!$B$11,0,IF(AK$1=$AK$1,IF($O422,-1,regle!$B$2-$M422),IF(AJ422=-1,-1,AJ422+1))))</f>
        <v>39</v>
      </c>
      <c r="AL422" s="16">
        <f>IF(OR(R422=regle!$J$11,R422=regle!$K$11),-2,IF(R422=regle!$B$11,0,IF(AL$1=$AK$1,IF($O422,-1,regle!$B$2-$M422),IF(AK422=-1,-1,AK422+1))))</f>
        <v>40</v>
      </c>
      <c r="AM422" s="16">
        <f>IF(OR(S422=regle!$J$11,S422=regle!$K$11),-2,IF(S422=regle!$B$11,0,IF(AM$1=$AK$1,IF($O422,-1,regle!$B$2-$M422),IF(AL422=-1,-1,AL422+1))))</f>
        <v>41</v>
      </c>
      <c r="AN422" s="16">
        <f>IF(OR(T422=regle!$J$11,T422=regle!$K$11),-2,IF(T422=regle!$B$11,0,IF(AN$1=$AK$1,IF($O422,-1,regle!$B$2-$M422),IF(AM422=-1,-1,AM422+1))))</f>
        <v>42</v>
      </c>
      <c r="AO422" s="16">
        <f>IF(OR(U422=regle!$J$11,U422=regle!$K$11),-2,IF(U422=regle!$B$11,0,IF(AO$1=$AK$1,IF($O422,-1,regle!$B$2-$M422),IF(AN422=-1,-1,AN422+1))))</f>
        <v>43</v>
      </c>
      <c r="AP422" s="16">
        <f>IF(OR(V422=regle!$J$11,V422=regle!$K$11),-2,IF(V422=regle!$B$11,0,IF(AP$1=$AK$1,IF($O422,-1,regle!$B$2-$M422),IF(AO422=-1,-1,AO422+1))))</f>
        <v>44</v>
      </c>
      <c r="AQ422" s="16">
        <f>IF(OR(W422=regle!$J$11,W422=regle!$K$11),-2,IF(W422=regle!$B$11,0,IF(AQ$1=$AK$1,IF($O422,-1,regle!$B$2-$M422),IF(AP422=-1,-1,AP422+1))))</f>
        <v>45</v>
      </c>
      <c r="AR422" s="16">
        <f>IF(OR(X422=regle!$J$11,X422=regle!$K$11),-2,IF(X422=regle!$B$11,0,IF(AR$1=$AK$1,IF($O422,-1,regle!$B$2-$M422),IF(AQ422=-1,-1,AQ422+1))))</f>
        <v>46</v>
      </c>
      <c r="AS422" s="16">
        <f>IF(OR(Y422=regle!$J$11,Y422=regle!$K$11),-2,IF(Y422=regle!$B$11,0,IF(AS$1=$AK$1,IF($O422,-1,regle!$B$2-$M422),IF(AR422=-1,-1,AR422+1))))</f>
        <v>47</v>
      </c>
      <c r="AT422" s="16">
        <f>IF(OR(Z422=regle!$J$11,Z422=regle!$K$11),-2,IF(Z422=regle!$B$11,0,IF(AT$1=$AK$1,IF($O422,-1,regle!$B$2-$M422),IF(AS422=-1,-1,AS422+1))))</f>
        <v>48</v>
      </c>
    </row>
    <row r="423" spans="1:46" x14ac:dyDescent="0.25">
      <c r="A423" t="b">
        <f>modif1!A423</f>
        <v>0</v>
      </c>
      <c r="B423">
        <f>ROW(modif1!B423)</f>
        <v>423</v>
      </c>
      <c r="C423" t="str">
        <f>modif1!C426</f>
        <v>536</v>
      </c>
      <c r="D423" t="str">
        <f>modif1!D423</f>
        <v>LE TUZAN</v>
      </c>
      <c r="E423">
        <f>modif1!E423</f>
        <v>21</v>
      </c>
      <c r="F423" t="str">
        <f>modif1!F423</f>
        <v>METAIRIES DE TABARTON</v>
      </c>
      <c r="G423" t="str">
        <f>modif1!G423</f>
        <v>0A</v>
      </c>
      <c r="H423">
        <f>modif1!H423</f>
        <v>847</v>
      </c>
      <c r="I423" t="str">
        <f>modif1!I423</f>
        <v>j</v>
      </c>
      <c r="J423" s="11">
        <f>modif1!J423</f>
        <v>0.68130000000000002</v>
      </c>
      <c r="K423" t="str">
        <f>modif1!K423</f>
        <v>TAIL</v>
      </c>
      <c r="L423" t="str">
        <f>modif1!L423</f>
        <v>FEUIL</v>
      </c>
      <c r="M423">
        <f>modif1!M423</f>
        <v>1985</v>
      </c>
      <c r="N423" t="str">
        <f>modif1!N423</f>
        <v>TAIL-FEUIL_1985</v>
      </c>
      <c r="O423" t="b">
        <f>modif1!O423</f>
        <v>0</v>
      </c>
      <c r="Z423"/>
      <c r="AA423" s="17" t="b">
        <f>IF($A423,$J423*(IF(Q423=regle!$B$11,regle!$B$23*IF(AJ423=-2,1+regle!$B$35,1),
IF(Q423=regle!$C$11,regle!$C$23,
IF(Q423=regle!$D$11,regle!$D$23,
IF(Q423=regle!$E$11,regle!$E$23,
IF(Q423=regle!$F$11,regle!$F$23,
IF(Q423=regle!$G$11,regle!$G$23,
IF(Q423=regle!$H$11,regle!$H$23,
IF(Q423=regle!$I$11,regle!$I$23,
IF(Q423=regle!$J$11,regle!$J$23,
IF(Q423=regle!$K$11,regle!$K$23,0))))))))))))</f>
        <v>0</v>
      </c>
      <c r="AB423" s="17" t="b">
        <f>IF($A423,$J423*(IF(R423=regle!$B$11,regle!$B$23*IF(AK423=-2,1+regle!$B$35,1),
IF(R423=regle!$C$11,regle!$C$23,
IF(R423=regle!$D$11,regle!$D$23,
IF(R423=regle!$E$11,regle!$E$23,
IF(R423=regle!$F$11,regle!$F$23,
IF(R423=regle!$G$11,regle!$G$23,
IF(R423=regle!$H$11,regle!$H$23,
IF(R423=regle!$I$11,regle!$I$23,
IF(R423=regle!$J$11,regle!$J$23,
IF(R423=regle!$K$11,regle!$K$23,0))))))))))))</f>
        <v>0</v>
      </c>
      <c r="AC423" s="17" t="b">
        <f>IF($A423,$J423*(IF(S423=regle!$B$11,regle!$B$23*IF(AL423=-2,1+regle!$B$35,1),
IF(S423=regle!$C$11,regle!$C$23,
IF(S423=regle!$D$11,regle!$D$23,
IF(S423=regle!$E$11,regle!$E$23,
IF(S423=regle!$F$11,regle!$F$23,
IF(S423=regle!$G$11,regle!$G$23,
IF(S423=regle!$H$11,regle!$H$23,
IF(S423=regle!$I$11,regle!$I$23,
IF(S423=regle!$J$11,regle!$J$23,
IF(S423=regle!$K$11,regle!$K$23,0))))))))))))</f>
        <v>0</v>
      </c>
      <c r="AD423" s="17" t="b">
        <f>IF($A423,$J423*(IF(T423=regle!$B$11,regle!$B$23*IF(AM423=-2,1+regle!$B$35,1),
IF(T423=regle!$C$11,regle!$C$23,
IF(T423=regle!$D$11,regle!$D$23,
IF(T423=regle!$E$11,regle!$E$23,
IF(T423=regle!$F$11,regle!$F$23,
IF(T423=regle!$G$11,regle!$G$23,
IF(T423=regle!$H$11,regle!$H$23,
IF(T423=regle!$I$11,regle!$I$23,
IF(T423=regle!$J$11,regle!$J$23,
IF(T423=regle!$K$11,regle!$K$23,0))))))))))))</f>
        <v>0</v>
      </c>
      <c r="AE423" s="17" t="b">
        <f>IF($A423,$J423*(IF(U423=regle!$B$11,regle!$B$23*IF(AN423=-2,1+regle!$B$35,1),
IF(U423=regle!$C$11,regle!$C$23,
IF(U423=regle!$D$11,regle!$D$23,
IF(U423=regle!$E$11,regle!$E$23,
IF(U423=regle!$F$11,regle!$F$23,
IF(U423=regle!$G$11,regle!$G$23,
IF(U423=regle!$H$11,regle!$H$23,
IF(U423=regle!$I$11,regle!$I$23,
IF(U423=regle!$J$11,regle!$J$23,
IF(U423=regle!$K$11,regle!$K$23,0))))))))))))</f>
        <v>0</v>
      </c>
      <c r="AF423" s="17" t="b">
        <f>IF($A423,$J423*(IF(V423=regle!$B$11,regle!$B$23*IF(AO423=-2,1+regle!$B$35,1),
IF(V423=regle!$C$11,regle!$C$23,
IF(V423=regle!$D$11,regle!$D$23,
IF(V423=regle!$E$11,regle!$E$23,
IF(V423=regle!$F$11,regle!$F$23,
IF(V423=regle!$G$11,regle!$G$23,
IF(V423=regle!$H$11,regle!$H$23,
IF(V423=regle!$I$11,regle!$I$23,
IF(V423=regle!$J$11,regle!$J$23,
IF(V423=regle!$K$11,regle!$K$23,0))))))))))))</f>
        <v>0</v>
      </c>
      <c r="AG423" s="17" t="b">
        <f>IF($A423,$J423*(IF(W423=regle!$B$11,regle!$B$23*IF(AP423=-2,1+regle!$B$35,1),
IF(W423=regle!$C$11,regle!$C$23,
IF(W423=regle!$D$11,regle!$D$23,
IF(W423=regle!$E$11,regle!$E$23,
IF(W423=regle!$F$11,regle!$F$23,
IF(W423=regle!$G$11,regle!$G$23,
IF(W423=regle!$H$11,regle!$H$23,
IF(W423=regle!$I$11,regle!$I$23,
IF(W423=regle!$J$11,regle!$J$23,
IF(W423=regle!$K$11,regle!$K$23,0))))))))))))</f>
        <v>0</v>
      </c>
      <c r="AH423" s="17" t="b">
        <f>IF($A423,$J423*(IF(X423=regle!$B$11,regle!$B$23*IF(AQ423=-2,1+regle!$B$35,1),
IF(X423=regle!$C$11,regle!$C$23,
IF(X423=regle!$D$11,regle!$D$23,
IF(X423=regle!$E$11,regle!$E$23,
IF(X423=regle!$F$11,regle!$F$23,
IF(X423=regle!$G$11,regle!$G$23,
IF(X423=regle!$H$11,regle!$H$23,
IF(X423=regle!$I$11,regle!$I$23,
IF(X423=regle!$J$11,regle!$J$23,
IF(X423=regle!$K$11,regle!$K$23,0))))))))))))</f>
        <v>0</v>
      </c>
      <c r="AI423" s="17" t="b">
        <f>IF($A423,$J423*(IF(Y423=regle!$B$11,regle!$B$23*IF(AR423=-2,1+regle!$B$35,1),
IF(Y423=regle!$C$11,regle!$C$23,
IF(Y423=regle!$D$11,regle!$D$23,
IF(Y423=regle!$E$11,regle!$E$23,
IF(Y423=regle!$F$11,regle!$F$23,
IF(Y423=regle!$G$11,regle!$G$23,
IF(Y423=regle!$H$11,regle!$H$23,
IF(Y423=regle!$I$11,regle!$I$23,
IF(Y423=regle!$J$11,regle!$J$23,
IF(Y423=regle!$K$11,regle!$K$23,0))))))))))))</f>
        <v>0</v>
      </c>
      <c r="AJ423" s="17" t="b">
        <f>IF($A423,$J423*(IF(Z423=regle!$B$11,regle!$B$23*IF(AS423=-2,1+regle!$B$35,1),
IF(Z423=regle!$C$11,regle!$C$23,
IF(Z423=regle!$D$11,regle!$D$23,
IF(Z423=regle!$E$11,regle!$E$23,
IF(Z423=regle!$F$11,regle!$F$23,
IF(Z423=regle!$G$11,regle!$G$23,
IF(Z423=regle!$H$11,regle!$H$23,
IF(Z423=regle!$I$11,regle!$I$23,
IF(Z423=regle!$J$11,regle!$J$23,
IF(Z423=regle!$K$11,regle!$K$23,0))))))))))))</f>
        <v>0</v>
      </c>
      <c r="AK423" s="16">
        <f>IF(OR(Q423=regle!$J$11,Q423=regle!$K$11),-2,IF(Q423=regle!$B$11,0,IF(AK$1=$AK$1,IF($O423,-1,regle!$B$2-$M423),IF(AJ423=-1,-1,AJ423+1))))</f>
        <v>39</v>
      </c>
      <c r="AL423" s="16">
        <f>IF(OR(R423=regle!$J$11,R423=regle!$K$11),-2,IF(R423=regle!$B$11,0,IF(AL$1=$AK$1,IF($O423,-1,regle!$B$2-$M423),IF(AK423=-1,-1,AK423+1))))</f>
        <v>40</v>
      </c>
      <c r="AM423" s="16">
        <f>IF(OR(S423=regle!$J$11,S423=regle!$K$11),-2,IF(S423=regle!$B$11,0,IF(AM$1=$AK$1,IF($O423,-1,regle!$B$2-$M423),IF(AL423=-1,-1,AL423+1))))</f>
        <v>41</v>
      </c>
      <c r="AN423" s="16">
        <f>IF(OR(T423=regle!$J$11,T423=regle!$K$11),-2,IF(T423=regle!$B$11,0,IF(AN$1=$AK$1,IF($O423,-1,regle!$B$2-$M423),IF(AM423=-1,-1,AM423+1))))</f>
        <v>42</v>
      </c>
      <c r="AO423" s="16">
        <f>IF(OR(U423=regle!$J$11,U423=regle!$K$11),-2,IF(U423=regle!$B$11,0,IF(AO$1=$AK$1,IF($O423,-1,regle!$B$2-$M423),IF(AN423=-1,-1,AN423+1))))</f>
        <v>43</v>
      </c>
      <c r="AP423" s="16">
        <f>IF(OR(V423=regle!$J$11,V423=regle!$K$11),-2,IF(V423=regle!$B$11,0,IF(AP$1=$AK$1,IF($O423,-1,regle!$B$2-$M423),IF(AO423=-1,-1,AO423+1))))</f>
        <v>44</v>
      </c>
      <c r="AQ423" s="16">
        <f>IF(OR(W423=regle!$J$11,W423=regle!$K$11),-2,IF(W423=regle!$B$11,0,IF(AQ$1=$AK$1,IF($O423,-1,regle!$B$2-$M423),IF(AP423=-1,-1,AP423+1))))</f>
        <v>45</v>
      </c>
      <c r="AR423" s="16">
        <f>IF(OR(X423=regle!$J$11,X423=regle!$K$11),-2,IF(X423=regle!$B$11,0,IF(AR$1=$AK$1,IF($O423,-1,regle!$B$2-$M423),IF(AQ423=-1,-1,AQ423+1))))</f>
        <v>46</v>
      </c>
      <c r="AS423" s="16">
        <f>IF(OR(Y423=regle!$J$11,Y423=regle!$K$11),-2,IF(Y423=regle!$B$11,0,IF(AS$1=$AK$1,IF($O423,-1,regle!$B$2-$M423),IF(AR423=-1,-1,AR423+1))))</f>
        <v>47</v>
      </c>
      <c r="AT423" s="16">
        <f>IF(OR(Z423=regle!$J$11,Z423=regle!$K$11),-2,IF(Z423=regle!$B$11,0,IF(AT$1=$AK$1,IF($O423,-1,regle!$B$2-$M423),IF(AS423=-1,-1,AS423+1))))</f>
        <v>48</v>
      </c>
    </row>
    <row r="424" spans="1:46" x14ac:dyDescent="0.25">
      <c r="A424" t="b">
        <f>modif1!A424</f>
        <v>0</v>
      </c>
      <c r="B424">
        <f>ROW(modif1!B424)</f>
        <v>424</v>
      </c>
      <c r="C424" t="str">
        <f>modif1!C427</f>
        <v>536</v>
      </c>
      <c r="D424" t="str">
        <f>modif1!D424</f>
        <v>LE TUZAN</v>
      </c>
      <c r="E424">
        <f>modif1!E424</f>
        <v>21</v>
      </c>
      <c r="F424" t="str">
        <f>modif1!F424</f>
        <v>METAIRIES DE TABARTON</v>
      </c>
      <c r="G424" t="str">
        <f>modif1!G424</f>
        <v>0A</v>
      </c>
      <c r="H424">
        <f>modif1!H424</f>
        <v>420</v>
      </c>
      <c r="I424" t="str">
        <f>modif1!I424</f>
        <v>a</v>
      </c>
      <c r="J424" s="11">
        <f>modif1!J424</f>
        <v>0.36259999999999998</v>
      </c>
      <c r="K424" t="str">
        <f>modif1!K424</f>
        <v>TAIL</v>
      </c>
      <c r="L424" t="str">
        <f>modif1!L424</f>
        <v>FEUIL</v>
      </c>
      <c r="M424">
        <f>modif1!M424</f>
        <v>1985</v>
      </c>
      <c r="N424" t="str">
        <f>modif1!N424</f>
        <v>TAIL-FEUIL_1985</v>
      </c>
      <c r="O424" t="b">
        <f>modif1!O424</f>
        <v>0</v>
      </c>
      <c r="Z424"/>
      <c r="AA424" s="17" t="b">
        <f>IF($A424,$J424*(IF(Q424=regle!$B$11,regle!$B$23*IF(AJ424=-2,1+regle!$B$35,1),
IF(Q424=regle!$C$11,regle!$C$23,
IF(Q424=regle!$D$11,regle!$D$23,
IF(Q424=regle!$E$11,regle!$E$23,
IF(Q424=regle!$F$11,regle!$F$23,
IF(Q424=regle!$G$11,regle!$G$23,
IF(Q424=regle!$H$11,regle!$H$23,
IF(Q424=regle!$I$11,regle!$I$23,
IF(Q424=regle!$J$11,regle!$J$23,
IF(Q424=regle!$K$11,regle!$K$23,0))))))))))))</f>
        <v>0</v>
      </c>
      <c r="AB424" s="17" t="b">
        <f>IF($A424,$J424*(IF(R424=regle!$B$11,regle!$B$23*IF(AK424=-2,1+regle!$B$35,1),
IF(R424=regle!$C$11,regle!$C$23,
IF(R424=regle!$D$11,regle!$D$23,
IF(R424=regle!$E$11,regle!$E$23,
IF(R424=regle!$F$11,regle!$F$23,
IF(R424=regle!$G$11,regle!$G$23,
IF(R424=regle!$H$11,regle!$H$23,
IF(R424=regle!$I$11,regle!$I$23,
IF(R424=regle!$J$11,regle!$J$23,
IF(R424=regle!$K$11,regle!$K$23,0))))))))))))</f>
        <v>0</v>
      </c>
      <c r="AC424" s="17" t="b">
        <f>IF($A424,$J424*(IF(S424=regle!$B$11,regle!$B$23*IF(AL424=-2,1+regle!$B$35,1),
IF(S424=regle!$C$11,regle!$C$23,
IF(S424=regle!$D$11,regle!$D$23,
IF(S424=regle!$E$11,regle!$E$23,
IF(S424=regle!$F$11,regle!$F$23,
IF(S424=regle!$G$11,regle!$G$23,
IF(S424=regle!$H$11,regle!$H$23,
IF(S424=regle!$I$11,regle!$I$23,
IF(S424=regle!$J$11,regle!$J$23,
IF(S424=regle!$K$11,regle!$K$23,0))))))))))))</f>
        <v>0</v>
      </c>
      <c r="AD424" s="17" t="b">
        <f>IF($A424,$J424*(IF(T424=regle!$B$11,regle!$B$23*IF(AM424=-2,1+regle!$B$35,1),
IF(T424=regle!$C$11,regle!$C$23,
IF(T424=regle!$D$11,regle!$D$23,
IF(T424=regle!$E$11,regle!$E$23,
IF(T424=regle!$F$11,regle!$F$23,
IF(T424=regle!$G$11,regle!$G$23,
IF(T424=regle!$H$11,regle!$H$23,
IF(T424=regle!$I$11,regle!$I$23,
IF(T424=regle!$J$11,regle!$J$23,
IF(T424=regle!$K$11,regle!$K$23,0))))))))))))</f>
        <v>0</v>
      </c>
      <c r="AE424" s="17" t="b">
        <f>IF($A424,$J424*(IF(U424=regle!$B$11,regle!$B$23*IF(AN424=-2,1+regle!$B$35,1),
IF(U424=regle!$C$11,regle!$C$23,
IF(U424=regle!$D$11,regle!$D$23,
IF(U424=regle!$E$11,regle!$E$23,
IF(U424=regle!$F$11,regle!$F$23,
IF(U424=regle!$G$11,regle!$G$23,
IF(U424=regle!$H$11,regle!$H$23,
IF(U424=regle!$I$11,regle!$I$23,
IF(U424=regle!$J$11,regle!$J$23,
IF(U424=regle!$K$11,regle!$K$23,0))))))))))))</f>
        <v>0</v>
      </c>
      <c r="AF424" s="17" t="b">
        <f>IF($A424,$J424*(IF(V424=regle!$B$11,regle!$B$23*IF(AO424=-2,1+regle!$B$35,1),
IF(V424=regle!$C$11,regle!$C$23,
IF(V424=regle!$D$11,regle!$D$23,
IF(V424=regle!$E$11,regle!$E$23,
IF(V424=regle!$F$11,regle!$F$23,
IF(V424=regle!$G$11,regle!$G$23,
IF(V424=regle!$H$11,regle!$H$23,
IF(V424=regle!$I$11,regle!$I$23,
IF(V424=regle!$J$11,regle!$J$23,
IF(V424=regle!$K$11,regle!$K$23,0))))))))))))</f>
        <v>0</v>
      </c>
      <c r="AG424" s="17" t="b">
        <f>IF($A424,$J424*(IF(W424=regle!$B$11,regle!$B$23*IF(AP424=-2,1+regle!$B$35,1),
IF(W424=regle!$C$11,regle!$C$23,
IF(W424=regle!$D$11,regle!$D$23,
IF(W424=regle!$E$11,regle!$E$23,
IF(W424=regle!$F$11,regle!$F$23,
IF(W424=regle!$G$11,regle!$G$23,
IF(W424=regle!$H$11,regle!$H$23,
IF(W424=regle!$I$11,regle!$I$23,
IF(W424=regle!$J$11,regle!$J$23,
IF(W424=regle!$K$11,regle!$K$23,0))))))))))))</f>
        <v>0</v>
      </c>
      <c r="AH424" s="17" t="b">
        <f>IF($A424,$J424*(IF(X424=regle!$B$11,regle!$B$23*IF(AQ424=-2,1+regle!$B$35,1),
IF(X424=regle!$C$11,regle!$C$23,
IF(X424=regle!$D$11,regle!$D$23,
IF(X424=regle!$E$11,regle!$E$23,
IF(X424=regle!$F$11,regle!$F$23,
IF(X424=regle!$G$11,regle!$G$23,
IF(X424=regle!$H$11,regle!$H$23,
IF(X424=regle!$I$11,regle!$I$23,
IF(X424=regle!$J$11,regle!$J$23,
IF(X424=regle!$K$11,regle!$K$23,0))))))))))))</f>
        <v>0</v>
      </c>
      <c r="AI424" s="17" t="b">
        <f>IF($A424,$J424*(IF(Y424=regle!$B$11,regle!$B$23*IF(AR424=-2,1+regle!$B$35,1),
IF(Y424=regle!$C$11,regle!$C$23,
IF(Y424=regle!$D$11,regle!$D$23,
IF(Y424=regle!$E$11,regle!$E$23,
IF(Y424=regle!$F$11,regle!$F$23,
IF(Y424=regle!$G$11,regle!$G$23,
IF(Y424=regle!$H$11,regle!$H$23,
IF(Y424=regle!$I$11,regle!$I$23,
IF(Y424=regle!$J$11,regle!$J$23,
IF(Y424=regle!$K$11,regle!$K$23,0))))))))))))</f>
        <v>0</v>
      </c>
      <c r="AJ424" s="17" t="b">
        <f>IF($A424,$J424*(IF(Z424=regle!$B$11,regle!$B$23*IF(AS424=-2,1+regle!$B$35,1),
IF(Z424=regle!$C$11,regle!$C$23,
IF(Z424=regle!$D$11,regle!$D$23,
IF(Z424=regle!$E$11,regle!$E$23,
IF(Z424=regle!$F$11,regle!$F$23,
IF(Z424=regle!$G$11,regle!$G$23,
IF(Z424=regle!$H$11,regle!$H$23,
IF(Z424=regle!$I$11,regle!$I$23,
IF(Z424=regle!$J$11,regle!$J$23,
IF(Z424=regle!$K$11,regle!$K$23,0))))))))))))</f>
        <v>0</v>
      </c>
      <c r="AK424" s="16">
        <f>IF(OR(Q424=regle!$J$11,Q424=regle!$K$11),-2,IF(Q424=regle!$B$11,0,IF(AK$1=$AK$1,IF($O424,-1,regle!$B$2-$M424),IF(AJ424=-1,-1,AJ424+1))))</f>
        <v>39</v>
      </c>
      <c r="AL424" s="16">
        <f>IF(OR(R424=regle!$J$11,R424=regle!$K$11),-2,IF(R424=regle!$B$11,0,IF(AL$1=$AK$1,IF($O424,-1,regle!$B$2-$M424),IF(AK424=-1,-1,AK424+1))))</f>
        <v>40</v>
      </c>
      <c r="AM424" s="16">
        <f>IF(OR(S424=regle!$J$11,S424=regle!$K$11),-2,IF(S424=regle!$B$11,0,IF(AM$1=$AK$1,IF($O424,-1,regle!$B$2-$M424),IF(AL424=-1,-1,AL424+1))))</f>
        <v>41</v>
      </c>
      <c r="AN424" s="16">
        <f>IF(OR(T424=regle!$J$11,T424=regle!$K$11),-2,IF(T424=regle!$B$11,0,IF(AN$1=$AK$1,IF($O424,-1,regle!$B$2-$M424),IF(AM424=-1,-1,AM424+1))))</f>
        <v>42</v>
      </c>
      <c r="AO424" s="16">
        <f>IF(OR(U424=regle!$J$11,U424=regle!$K$11),-2,IF(U424=regle!$B$11,0,IF(AO$1=$AK$1,IF($O424,-1,regle!$B$2-$M424),IF(AN424=-1,-1,AN424+1))))</f>
        <v>43</v>
      </c>
      <c r="AP424" s="16">
        <f>IF(OR(V424=regle!$J$11,V424=regle!$K$11),-2,IF(V424=regle!$B$11,0,IF(AP$1=$AK$1,IF($O424,-1,regle!$B$2-$M424),IF(AO424=-1,-1,AO424+1))))</f>
        <v>44</v>
      </c>
      <c r="AQ424" s="16">
        <f>IF(OR(W424=regle!$J$11,W424=regle!$K$11),-2,IF(W424=regle!$B$11,0,IF(AQ$1=$AK$1,IF($O424,-1,regle!$B$2-$M424),IF(AP424=-1,-1,AP424+1))))</f>
        <v>45</v>
      </c>
      <c r="AR424" s="16">
        <f>IF(OR(X424=regle!$J$11,X424=regle!$K$11),-2,IF(X424=regle!$B$11,0,IF(AR$1=$AK$1,IF($O424,-1,regle!$B$2-$M424),IF(AQ424=-1,-1,AQ424+1))))</f>
        <v>46</v>
      </c>
      <c r="AS424" s="16">
        <f>IF(OR(Y424=regle!$J$11,Y424=regle!$K$11),-2,IF(Y424=regle!$B$11,0,IF(AS$1=$AK$1,IF($O424,-1,regle!$B$2-$M424),IF(AR424=-1,-1,AR424+1))))</f>
        <v>47</v>
      </c>
      <c r="AT424" s="16">
        <f>IF(OR(Z424=regle!$J$11,Z424=regle!$K$11),-2,IF(Z424=regle!$B$11,0,IF(AT$1=$AK$1,IF($O424,-1,regle!$B$2-$M424),IF(AS424=-1,-1,AS424+1))))</f>
        <v>48</v>
      </c>
    </row>
    <row r="425" spans="1:46" x14ac:dyDescent="0.25">
      <c r="A425" t="b">
        <f>modif1!A425</f>
        <v>0</v>
      </c>
      <c r="B425">
        <f>ROW(modif1!B425)</f>
        <v>425</v>
      </c>
      <c r="C425" t="str">
        <f>modif1!C428</f>
        <v>202</v>
      </c>
      <c r="D425" t="str">
        <f>modif1!D425</f>
        <v>LE TUZAN</v>
      </c>
      <c r="E425">
        <f>modif1!E425</f>
        <v>21</v>
      </c>
      <c r="F425" t="str">
        <f>modif1!F425</f>
        <v>METAIRIES DE TABARTON</v>
      </c>
      <c r="G425" t="str">
        <f>modif1!G425</f>
        <v>0A</v>
      </c>
      <c r="H425">
        <f>modif1!H425</f>
        <v>416</v>
      </c>
      <c r="I425" t="str">
        <f>modif1!I425</f>
        <v>kk</v>
      </c>
      <c r="J425" s="11">
        <f>modif1!J425</f>
        <v>0.22789999999999999</v>
      </c>
      <c r="K425" t="str">
        <f>modif1!K425</f>
        <v>TAIL</v>
      </c>
      <c r="L425" t="str">
        <f>modif1!L425</f>
        <v>FEUIL</v>
      </c>
      <c r="M425">
        <f>modif1!M425</f>
        <v>1985</v>
      </c>
      <c r="N425" t="str">
        <f>modif1!N425</f>
        <v>TAIL-FEUIL_1985</v>
      </c>
      <c r="O425" t="b">
        <f>modif1!O425</f>
        <v>0</v>
      </c>
      <c r="Z425"/>
      <c r="AA425" s="17" t="b">
        <f>IF($A425,$J425*(IF(Q425=regle!$B$11,regle!$B$23*IF(AJ425=-2,1+regle!$B$35,1),
IF(Q425=regle!$C$11,regle!$C$23,
IF(Q425=regle!$D$11,regle!$D$23,
IF(Q425=regle!$E$11,regle!$E$23,
IF(Q425=regle!$F$11,regle!$F$23,
IF(Q425=regle!$G$11,regle!$G$23,
IF(Q425=regle!$H$11,regle!$H$23,
IF(Q425=regle!$I$11,regle!$I$23,
IF(Q425=regle!$J$11,regle!$J$23,
IF(Q425=regle!$K$11,regle!$K$23,0))))))))))))</f>
        <v>0</v>
      </c>
      <c r="AB425" s="17" t="b">
        <f>IF($A425,$J425*(IF(R425=regle!$B$11,regle!$B$23*IF(AK425=-2,1+regle!$B$35,1),
IF(R425=regle!$C$11,regle!$C$23,
IF(R425=regle!$D$11,regle!$D$23,
IF(R425=regle!$E$11,regle!$E$23,
IF(R425=regle!$F$11,regle!$F$23,
IF(R425=regle!$G$11,regle!$G$23,
IF(R425=regle!$H$11,regle!$H$23,
IF(R425=regle!$I$11,regle!$I$23,
IF(R425=regle!$J$11,regle!$J$23,
IF(R425=regle!$K$11,regle!$K$23,0))))))))))))</f>
        <v>0</v>
      </c>
      <c r="AC425" s="17" t="b">
        <f>IF($A425,$J425*(IF(S425=regle!$B$11,regle!$B$23*IF(AL425=-2,1+regle!$B$35,1),
IF(S425=regle!$C$11,regle!$C$23,
IF(S425=regle!$D$11,regle!$D$23,
IF(S425=regle!$E$11,regle!$E$23,
IF(S425=regle!$F$11,regle!$F$23,
IF(S425=regle!$G$11,regle!$G$23,
IF(S425=regle!$H$11,regle!$H$23,
IF(S425=regle!$I$11,regle!$I$23,
IF(S425=regle!$J$11,regle!$J$23,
IF(S425=regle!$K$11,regle!$K$23,0))))))))))))</f>
        <v>0</v>
      </c>
      <c r="AD425" s="17" t="b">
        <f>IF($A425,$J425*(IF(T425=regle!$B$11,regle!$B$23*IF(AM425=-2,1+regle!$B$35,1),
IF(T425=regle!$C$11,regle!$C$23,
IF(T425=regle!$D$11,regle!$D$23,
IF(T425=regle!$E$11,regle!$E$23,
IF(T425=regle!$F$11,regle!$F$23,
IF(T425=regle!$G$11,regle!$G$23,
IF(T425=regle!$H$11,regle!$H$23,
IF(T425=regle!$I$11,regle!$I$23,
IF(T425=regle!$J$11,regle!$J$23,
IF(T425=regle!$K$11,regle!$K$23,0))))))))))))</f>
        <v>0</v>
      </c>
      <c r="AE425" s="17" t="b">
        <f>IF($A425,$J425*(IF(U425=regle!$B$11,regle!$B$23*IF(AN425=-2,1+regle!$B$35,1),
IF(U425=regle!$C$11,regle!$C$23,
IF(U425=regle!$D$11,regle!$D$23,
IF(U425=regle!$E$11,regle!$E$23,
IF(U425=regle!$F$11,regle!$F$23,
IF(U425=regle!$G$11,regle!$G$23,
IF(U425=regle!$H$11,regle!$H$23,
IF(U425=regle!$I$11,regle!$I$23,
IF(U425=regle!$J$11,regle!$J$23,
IF(U425=regle!$K$11,regle!$K$23,0))))))))))))</f>
        <v>0</v>
      </c>
      <c r="AF425" s="17" t="b">
        <f>IF($A425,$J425*(IF(V425=regle!$B$11,regle!$B$23*IF(AO425=-2,1+regle!$B$35,1),
IF(V425=regle!$C$11,regle!$C$23,
IF(V425=regle!$D$11,regle!$D$23,
IF(V425=regle!$E$11,regle!$E$23,
IF(V425=regle!$F$11,regle!$F$23,
IF(V425=regle!$G$11,regle!$G$23,
IF(V425=regle!$H$11,regle!$H$23,
IF(V425=regle!$I$11,regle!$I$23,
IF(V425=regle!$J$11,regle!$J$23,
IF(V425=regle!$K$11,regle!$K$23,0))))))))))))</f>
        <v>0</v>
      </c>
      <c r="AG425" s="17" t="b">
        <f>IF($A425,$J425*(IF(W425=regle!$B$11,regle!$B$23*IF(AP425=-2,1+regle!$B$35,1),
IF(W425=regle!$C$11,regle!$C$23,
IF(W425=regle!$D$11,regle!$D$23,
IF(W425=regle!$E$11,regle!$E$23,
IF(W425=regle!$F$11,regle!$F$23,
IF(W425=regle!$G$11,regle!$G$23,
IF(W425=regle!$H$11,regle!$H$23,
IF(W425=regle!$I$11,regle!$I$23,
IF(W425=regle!$J$11,regle!$J$23,
IF(W425=regle!$K$11,regle!$K$23,0))))))))))))</f>
        <v>0</v>
      </c>
      <c r="AH425" s="17" t="b">
        <f>IF($A425,$J425*(IF(X425=regle!$B$11,regle!$B$23*IF(AQ425=-2,1+regle!$B$35,1),
IF(X425=regle!$C$11,regle!$C$23,
IF(X425=regle!$D$11,regle!$D$23,
IF(X425=regle!$E$11,regle!$E$23,
IF(X425=regle!$F$11,regle!$F$23,
IF(X425=regle!$G$11,regle!$G$23,
IF(X425=regle!$H$11,regle!$H$23,
IF(X425=regle!$I$11,regle!$I$23,
IF(X425=regle!$J$11,regle!$J$23,
IF(X425=regle!$K$11,regle!$K$23,0))))))))))))</f>
        <v>0</v>
      </c>
      <c r="AI425" s="17" t="b">
        <f>IF($A425,$J425*(IF(Y425=regle!$B$11,regle!$B$23*IF(AR425=-2,1+regle!$B$35,1),
IF(Y425=regle!$C$11,regle!$C$23,
IF(Y425=regle!$D$11,regle!$D$23,
IF(Y425=regle!$E$11,regle!$E$23,
IF(Y425=regle!$F$11,regle!$F$23,
IF(Y425=regle!$G$11,regle!$G$23,
IF(Y425=regle!$H$11,regle!$H$23,
IF(Y425=regle!$I$11,regle!$I$23,
IF(Y425=regle!$J$11,regle!$J$23,
IF(Y425=regle!$K$11,regle!$K$23,0))))))))))))</f>
        <v>0</v>
      </c>
      <c r="AJ425" s="17" t="b">
        <f>IF($A425,$J425*(IF(Z425=regle!$B$11,regle!$B$23*IF(AS425=-2,1+regle!$B$35,1),
IF(Z425=regle!$C$11,regle!$C$23,
IF(Z425=regle!$D$11,regle!$D$23,
IF(Z425=regle!$E$11,regle!$E$23,
IF(Z425=regle!$F$11,regle!$F$23,
IF(Z425=regle!$G$11,regle!$G$23,
IF(Z425=regle!$H$11,regle!$H$23,
IF(Z425=regle!$I$11,regle!$I$23,
IF(Z425=regle!$J$11,regle!$J$23,
IF(Z425=regle!$K$11,regle!$K$23,0))))))))))))</f>
        <v>0</v>
      </c>
      <c r="AK425" s="16">
        <f>IF(OR(Q425=regle!$J$11,Q425=regle!$K$11),-2,IF(Q425=regle!$B$11,0,IF(AK$1=$AK$1,IF($O425,-1,regle!$B$2-$M425),IF(AJ425=-1,-1,AJ425+1))))</f>
        <v>39</v>
      </c>
      <c r="AL425" s="16">
        <f>IF(OR(R425=regle!$J$11,R425=regle!$K$11),-2,IF(R425=regle!$B$11,0,IF(AL$1=$AK$1,IF($O425,-1,regle!$B$2-$M425),IF(AK425=-1,-1,AK425+1))))</f>
        <v>40</v>
      </c>
      <c r="AM425" s="16">
        <f>IF(OR(S425=regle!$J$11,S425=regle!$K$11),-2,IF(S425=regle!$B$11,0,IF(AM$1=$AK$1,IF($O425,-1,regle!$B$2-$M425),IF(AL425=-1,-1,AL425+1))))</f>
        <v>41</v>
      </c>
      <c r="AN425" s="16">
        <f>IF(OR(T425=regle!$J$11,T425=regle!$K$11),-2,IF(T425=regle!$B$11,0,IF(AN$1=$AK$1,IF($O425,-1,regle!$B$2-$M425),IF(AM425=-1,-1,AM425+1))))</f>
        <v>42</v>
      </c>
      <c r="AO425" s="16">
        <f>IF(OR(U425=regle!$J$11,U425=regle!$K$11),-2,IF(U425=regle!$B$11,0,IF(AO$1=$AK$1,IF($O425,-1,regle!$B$2-$M425),IF(AN425=-1,-1,AN425+1))))</f>
        <v>43</v>
      </c>
      <c r="AP425" s="16">
        <f>IF(OR(V425=regle!$J$11,V425=regle!$K$11),-2,IF(V425=regle!$B$11,0,IF(AP$1=$AK$1,IF($O425,-1,regle!$B$2-$M425),IF(AO425=-1,-1,AO425+1))))</f>
        <v>44</v>
      </c>
      <c r="AQ425" s="16">
        <f>IF(OR(W425=regle!$J$11,W425=regle!$K$11),-2,IF(W425=regle!$B$11,0,IF(AQ$1=$AK$1,IF($O425,-1,regle!$B$2-$M425),IF(AP425=-1,-1,AP425+1))))</f>
        <v>45</v>
      </c>
      <c r="AR425" s="16">
        <f>IF(OR(X425=regle!$J$11,X425=regle!$K$11),-2,IF(X425=regle!$B$11,0,IF(AR$1=$AK$1,IF($O425,-1,regle!$B$2-$M425),IF(AQ425=-1,-1,AQ425+1))))</f>
        <v>46</v>
      </c>
      <c r="AS425" s="16">
        <f>IF(OR(Y425=regle!$J$11,Y425=regle!$K$11),-2,IF(Y425=regle!$B$11,0,IF(AS$1=$AK$1,IF($O425,-1,regle!$B$2-$M425),IF(AR425=-1,-1,AR425+1))))</f>
        <v>47</v>
      </c>
      <c r="AT425" s="16">
        <f>IF(OR(Z425=regle!$J$11,Z425=regle!$K$11),-2,IF(Z425=regle!$B$11,0,IF(AT$1=$AK$1,IF($O425,-1,regle!$B$2-$M425),IF(AS425=-1,-1,AS425+1))))</f>
        <v>48</v>
      </c>
    </row>
    <row r="426" spans="1:46" x14ac:dyDescent="0.25">
      <c r="A426" t="b">
        <f>modif1!A426</f>
        <v>0</v>
      </c>
      <c r="B426">
        <f>ROW(modif1!B426)</f>
        <v>426</v>
      </c>
      <c r="C426" t="str">
        <f>modif1!C429</f>
        <v>536</v>
      </c>
      <c r="D426" t="str">
        <f>modif1!D426</f>
        <v>LE TUZAN</v>
      </c>
      <c r="E426">
        <f>modif1!E426</f>
        <v>21</v>
      </c>
      <c r="F426" t="str">
        <f>modif1!F426</f>
        <v>METAIRIES DE TABARTON</v>
      </c>
      <c r="G426" t="str">
        <f>modif1!G426</f>
        <v>0A</v>
      </c>
      <c r="H426">
        <f>modif1!H426</f>
        <v>420</v>
      </c>
      <c r="I426" t="str">
        <f>modif1!I426</f>
        <v>d</v>
      </c>
      <c r="J426" s="11">
        <f>modif1!J426</f>
        <v>0.22650000000000001</v>
      </c>
      <c r="K426" t="str">
        <f>modif1!K426</f>
        <v>TAIL</v>
      </c>
      <c r="L426" t="str">
        <f>modif1!L426</f>
        <v>FEUIL</v>
      </c>
      <c r="M426">
        <f>modif1!M426</f>
        <v>1985</v>
      </c>
      <c r="N426" t="str">
        <f>modif1!N426</f>
        <v>TAIL-FEUIL_1985</v>
      </c>
      <c r="O426" t="b">
        <f>modif1!O426</f>
        <v>0</v>
      </c>
      <c r="Z426"/>
      <c r="AA426" s="17" t="b">
        <f>IF($A426,$J426*(IF(Q426=regle!$B$11,regle!$B$23*IF(AJ426=-2,1+regle!$B$35,1),
IF(Q426=regle!$C$11,regle!$C$23,
IF(Q426=regle!$D$11,regle!$D$23,
IF(Q426=regle!$E$11,regle!$E$23,
IF(Q426=regle!$F$11,regle!$F$23,
IF(Q426=regle!$G$11,regle!$G$23,
IF(Q426=regle!$H$11,regle!$H$23,
IF(Q426=regle!$I$11,regle!$I$23,
IF(Q426=regle!$J$11,regle!$J$23,
IF(Q426=regle!$K$11,regle!$K$23,0))))))))))))</f>
        <v>0</v>
      </c>
      <c r="AB426" s="17" t="b">
        <f>IF($A426,$J426*(IF(R426=regle!$B$11,regle!$B$23*IF(AK426=-2,1+regle!$B$35,1),
IF(R426=regle!$C$11,regle!$C$23,
IF(R426=regle!$D$11,regle!$D$23,
IF(R426=regle!$E$11,regle!$E$23,
IF(R426=regle!$F$11,regle!$F$23,
IF(R426=regle!$G$11,regle!$G$23,
IF(R426=regle!$H$11,regle!$H$23,
IF(R426=regle!$I$11,regle!$I$23,
IF(R426=regle!$J$11,regle!$J$23,
IF(R426=regle!$K$11,regle!$K$23,0))))))))))))</f>
        <v>0</v>
      </c>
      <c r="AC426" s="17" t="b">
        <f>IF($A426,$J426*(IF(S426=regle!$B$11,regle!$B$23*IF(AL426=-2,1+regle!$B$35,1),
IF(S426=regle!$C$11,regle!$C$23,
IF(S426=regle!$D$11,regle!$D$23,
IF(S426=regle!$E$11,regle!$E$23,
IF(S426=regle!$F$11,regle!$F$23,
IF(S426=regle!$G$11,regle!$G$23,
IF(S426=regle!$H$11,regle!$H$23,
IF(S426=regle!$I$11,regle!$I$23,
IF(S426=regle!$J$11,regle!$J$23,
IF(S426=regle!$K$11,regle!$K$23,0))))))))))))</f>
        <v>0</v>
      </c>
      <c r="AD426" s="17" t="b">
        <f>IF($A426,$J426*(IF(T426=regle!$B$11,regle!$B$23*IF(AM426=-2,1+regle!$B$35,1),
IF(T426=regle!$C$11,regle!$C$23,
IF(T426=regle!$D$11,regle!$D$23,
IF(T426=regle!$E$11,regle!$E$23,
IF(T426=regle!$F$11,regle!$F$23,
IF(T426=regle!$G$11,regle!$G$23,
IF(T426=regle!$H$11,regle!$H$23,
IF(T426=regle!$I$11,regle!$I$23,
IF(T426=regle!$J$11,regle!$J$23,
IF(T426=regle!$K$11,regle!$K$23,0))))))))))))</f>
        <v>0</v>
      </c>
      <c r="AE426" s="17" t="b">
        <f>IF($A426,$J426*(IF(U426=regle!$B$11,regle!$B$23*IF(AN426=-2,1+regle!$B$35,1),
IF(U426=regle!$C$11,regle!$C$23,
IF(U426=regle!$D$11,regle!$D$23,
IF(U426=regle!$E$11,regle!$E$23,
IF(U426=regle!$F$11,regle!$F$23,
IF(U426=regle!$G$11,regle!$G$23,
IF(U426=regle!$H$11,regle!$H$23,
IF(U426=regle!$I$11,regle!$I$23,
IF(U426=regle!$J$11,regle!$J$23,
IF(U426=regle!$K$11,regle!$K$23,0))))))))))))</f>
        <v>0</v>
      </c>
      <c r="AF426" s="17" t="b">
        <f>IF($A426,$J426*(IF(V426=regle!$B$11,regle!$B$23*IF(AO426=-2,1+regle!$B$35,1),
IF(V426=regle!$C$11,regle!$C$23,
IF(V426=regle!$D$11,regle!$D$23,
IF(V426=regle!$E$11,regle!$E$23,
IF(V426=regle!$F$11,regle!$F$23,
IF(V426=regle!$G$11,regle!$G$23,
IF(V426=regle!$H$11,regle!$H$23,
IF(V426=regle!$I$11,regle!$I$23,
IF(V426=regle!$J$11,regle!$J$23,
IF(V426=regle!$K$11,regle!$K$23,0))))))))))))</f>
        <v>0</v>
      </c>
      <c r="AG426" s="17" t="b">
        <f>IF($A426,$J426*(IF(W426=regle!$B$11,regle!$B$23*IF(AP426=-2,1+regle!$B$35,1),
IF(W426=regle!$C$11,regle!$C$23,
IF(W426=regle!$D$11,regle!$D$23,
IF(W426=regle!$E$11,regle!$E$23,
IF(W426=regle!$F$11,regle!$F$23,
IF(W426=regle!$G$11,regle!$G$23,
IF(W426=regle!$H$11,regle!$H$23,
IF(W426=regle!$I$11,regle!$I$23,
IF(W426=regle!$J$11,regle!$J$23,
IF(W426=regle!$K$11,regle!$K$23,0))))))))))))</f>
        <v>0</v>
      </c>
      <c r="AH426" s="17" t="b">
        <f>IF($A426,$J426*(IF(X426=regle!$B$11,regle!$B$23*IF(AQ426=-2,1+regle!$B$35,1),
IF(X426=regle!$C$11,regle!$C$23,
IF(X426=regle!$D$11,regle!$D$23,
IF(X426=regle!$E$11,regle!$E$23,
IF(X426=regle!$F$11,regle!$F$23,
IF(X426=regle!$G$11,regle!$G$23,
IF(X426=regle!$H$11,regle!$H$23,
IF(X426=regle!$I$11,regle!$I$23,
IF(X426=regle!$J$11,regle!$J$23,
IF(X426=regle!$K$11,regle!$K$23,0))))))))))))</f>
        <v>0</v>
      </c>
      <c r="AI426" s="17" t="b">
        <f>IF($A426,$J426*(IF(Y426=regle!$B$11,regle!$B$23*IF(AR426=-2,1+regle!$B$35,1),
IF(Y426=regle!$C$11,regle!$C$23,
IF(Y426=regle!$D$11,regle!$D$23,
IF(Y426=regle!$E$11,regle!$E$23,
IF(Y426=regle!$F$11,regle!$F$23,
IF(Y426=regle!$G$11,regle!$G$23,
IF(Y426=regle!$H$11,regle!$H$23,
IF(Y426=regle!$I$11,regle!$I$23,
IF(Y426=regle!$J$11,regle!$J$23,
IF(Y426=regle!$K$11,regle!$K$23,0))))))))))))</f>
        <v>0</v>
      </c>
      <c r="AJ426" s="17" t="b">
        <f>IF($A426,$J426*(IF(Z426=regle!$B$11,regle!$B$23*IF(AS426=-2,1+regle!$B$35,1),
IF(Z426=regle!$C$11,regle!$C$23,
IF(Z426=regle!$D$11,regle!$D$23,
IF(Z426=regle!$E$11,regle!$E$23,
IF(Z426=regle!$F$11,regle!$F$23,
IF(Z426=regle!$G$11,regle!$G$23,
IF(Z426=regle!$H$11,regle!$H$23,
IF(Z426=regle!$I$11,regle!$I$23,
IF(Z426=regle!$J$11,regle!$J$23,
IF(Z426=regle!$K$11,regle!$K$23,0))))))))))))</f>
        <v>0</v>
      </c>
      <c r="AK426" s="16">
        <f>IF(OR(Q426=regle!$J$11,Q426=regle!$K$11),-2,IF(Q426=regle!$B$11,0,IF(AK$1=$AK$1,IF($O426,-1,regle!$B$2-$M426),IF(AJ426=-1,-1,AJ426+1))))</f>
        <v>39</v>
      </c>
      <c r="AL426" s="16">
        <f>IF(OR(R426=regle!$J$11,R426=regle!$K$11),-2,IF(R426=regle!$B$11,0,IF(AL$1=$AK$1,IF($O426,-1,regle!$B$2-$M426),IF(AK426=-1,-1,AK426+1))))</f>
        <v>40</v>
      </c>
      <c r="AM426" s="16">
        <f>IF(OR(S426=regle!$J$11,S426=regle!$K$11),-2,IF(S426=regle!$B$11,0,IF(AM$1=$AK$1,IF($O426,-1,regle!$B$2-$M426),IF(AL426=-1,-1,AL426+1))))</f>
        <v>41</v>
      </c>
      <c r="AN426" s="16">
        <f>IF(OR(T426=regle!$J$11,T426=regle!$K$11),-2,IF(T426=regle!$B$11,0,IF(AN$1=$AK$1,IF($O426,-1,regle!$B$2-$M426),IF(AM426=-1,-1,AM426+1))))</f>
        <v>42</v>
      </c>
      <c r="AO426" s="16">
        <f>IF(OR(U426=regle!$J$11,U426=regle!$K$11),-2,IF(U426=regle!$B$11,0,IF(AO$1=$AK$1,IF($O426,-1,regle!$B$2-$M426),IF(AN426=-1,-1,AN426+1))))</f>
        <v>43</v>
      </c>
      <c r="AP426" s="16">
        <f>IF(OR(V426=regle!$J$11,V426=regle!$K$11),-2,IF(V426=regle!$B$11,0,IF(AP$1=$AK$1,IF($O426,-1,regle!$B$2-$M426),IF(AO426=-1,-1,AO426+1))))</f>
        <v>44</v>
      </c>
      <c r="AQ426" s="16">
        <f>IF(OR(W426=regle!$J$11,W426=regle!$K$11),-2,IF(W426=regle!$B$11,0,IF(AQ$1=$AK$1,IF($O426,-1,regle!$B$2-$M426),IF(AP426=-1,-1,AP426+1))))</f>
        <v>45</v>
      </c>
      <c r="AR426" s="16">
        <f>IF(OR(X426=regle!$J$11,X426=regle!$K$11),-2,IF(X426=regle!$B$11,0,IF(AR$1=$AK$1,IF($O426,-1,regle!$B$2-$M426),IF(AQ426=-1,-1,AQ426+1))))</f>
        <v>46</v>
      </c>
      <c r="AS426" s="16">
        <f>IF(OR(Y426=regle!$J$11,Y426=regle!$K$11),-2,IF(Y426=regle!$B$11,0,IF(AS$1=$AK$1,IF($O426,-1,regle!$B$2-$M426),IF(AR426=-1,-1,AR426+1))))</f>
        <v>47</v>
      </c>
      <c r="AT426" s="16">
        <f>IF(OR(Z426=regle!$J$11,Z426=regle!$K$11),-2,IF(Z426=regle!$B$11,0,IF(AT$1=$AK$1,IF($O426,-1,regle!$B$2-$M426),IF(AS426=-1,-1,AS426+1))))</f>
        <v>48</v>
      </c>
    </row>
    <row r="427" spans="1:46" x14ac:dyDescent="0.25">
      <c r="A427" t="b">
        <f>modif1!A427</f>
        <v>0</v>
      </c>
      <c r="B427">
        <f>ROW(modif1!B427)</f>
        <v>427</v>
      </c>
      <c r="C427" t="str">
        <f>modif1!C430</f>
        <v>536</v>
      </c>
      <c r="D427" t="str">
        <f>modif1!D427</f>
        <v>LE TUZAN</v>
      </c>
      <c r="E427">
        <f>modif1!E427</f>
        <v>21</v>
      </c>
      <c r="F427" t="str">
        <f>modif1!F427</f>
        <v>METAIRIES DE TABARTON</v>
      </c>
      <c r="G427" t="str">
        <f>modif1!G427</f>
        <v>0A</v>
      </c>
      <c r="H427">
        <f>modif1!H427</f>
        <v>409</v>
      </c>
      <c r="I427" t="str">
        <f>modif1!I427</f>
        <v>j</v>
      </c>
      <c r="J427" s="11">
        <f>modif1!J427</f>
        <v>0.21110000000000001</v>
      </c>
      <c r="K427" t="str">
        <f>modif1!K427</f>
        <v>TAIL</v>
      </c>
      <c r="L427" t="str">
        <f>modif1!L427</f>
        <v>FEUIL</v>
      </c>
      <c r="M427">
        <f>modif1!M427</f>
        <v>1985</v>
      </c>
      <c r="N427" t="str">
        <f>modif1!N427</f>
        <v>TAIL-FEUIL_1985</v>
      </c>
      <c r="O427" t="b">
        <f>modif1!O427</f>
        <v>0</v>
      </c>
      <c r="Z427"/>
      <c r="AA427" s="17" t="b">
        <f>IF($A427,$J427*(IF(Q427=regle!$B$11,regle!$B$23*IF(AJ427=-2,1+regle!$B$35,1),
IF(Q427=regle!$C$11,regle!$C$23,
IF(Q427=regle!$D$11,regle!$D$23,
IF(Q427=regle!$E$11,regle!$E$23,
IF(Q427=regle!$F$11,regle!$F$23,
IF(Q427=regle!$G$11,regle!$G$23,
IF(Q427=regle!$H$11,regle!$H$23,
IF(Q427=regle!$I$11,regle!$I$23,
IF(Q427=regle!$J$11,regle!$J$23,
IF(Q427=regle!$K$11,regle!$K$23,0))))))))))))</f>
        <v>0</v>
      </c>
      <c r="AB427" s="17" t="b">
        <f>IF($A427,$J427*(IF(R427=regle!$B$11,regle!$B$23*IF(AK427=-2,1+regle!$B$35,1),
IF(R427=regle!$C$11,regle!$C$23,
IF(R427=regle!$D$11,regle!$D$23,
IF(R427=regle!$E$11,regle!$E$23,
IF(R427=regle!$F$11,regle!$F$23,
IF(R427=regle!$G$11,regle!$G$23,
IF(R427=regle!$H$11,regle!$H$23,
IF(R427=regle!$I$11,regle!$I$23,
IF(R427=regle!$J$11,regle!$J$23,
IF(R427=regle!$K$11,regle!$K$23,0))))))))))))</f>
        <v>0</v>
      </c>
      <c r="AC427" s="17" t="b">
        <f>IF($A427,$J427*(IF(S427=regle!$B$11,regle!$B$23*IF(AL427=-2,1+regle!$B$35,1),
IF(S427=regle!$C$11,regle!$C$23,
IF(S427=regle!$D$11,regle!$D$23,
IF(S427=regle!$E$11,regle!$E$23,
IF(S427=regle!$F$11,regle!$F$23,
IF(S427=regle!$G$11,regle!$G$23,
IF(S427=regle!$H$11,regle!$H$23,
IF(S427=regle!$I$11,regle!$I$23,
IF(S427=regle!$J$11,regle!$J$23,
IF(S427=regle!$K$11,regle!$K$23,0))))))))))))</f>
        <v>0</v>
      </c>
      <c r="AD427" s="17" t="b">
        <f>IF($A427,$J427*(IF(T427=regle!$B$11,regle!$B$23*IF(AM427=-2,1+regle!$B$35,1),
IF(T427=regle!$C$11,regle!$C$23,
IF(T427=regle!$D$11,regle!$D$23,
IF(T427=regle!$E$11,regle!$E$23,
IF(T427=regle!$F$11,regle!$F$23,
IF(T427=regle!$G$11,regle!$G$23,
IF(T427=regle!$H$11,regle!$H$23,
IF(T427=regle!$I$11,regle!$I$23,
IF(T427=regle!$J$11,regle!$J$23,
IF(T427=regle!$K$11,regle!$K$23,0))))))))))))</f>
        <v>0</v>
      </c>
      <c r="AE427" s="17" t="b">
        <f>IF($A427,$J427*(IF(U427=regle!$B$11,regle!$B$23*IF(AN427=-2,1+regle!$B$35,1),
IF(U427=regle!$C$11,regle!$C$23,
IF(U427=regle!$D$11,regle!$D$23,
IF(U427=regle!$E$11,regle!$E$23,
IF(U427=regle!$F$11,regle!$F$23,
IF(U427=regle!$G$11,regle!$G$23,
IF(U427=regle!$H$11,regle!$H$23,
IF(U427=regle!$I$11,regle!$I$23,
IF(U427=regle!$J$11,regle!$J$23,
IF(U427=regle!$K$11,regle!$K$23,0))))))))))))</f>
        <v>0</v>
      </c>
      <c r="AF427" s="17" t="b">
        <f>IF($A427,$J427*(IF(V427=regle!$B$11,regle!$B$23*IF(AO427=-2,1+regle!$B$35,1),
IF(V427=regle!$C$11,regle!$C$23,
IF(V427=regle!$D$11,regle!$D$23,
IF(V427=regle!$E$11,regle!$E$23,
IF(V427=regle!$F$11,regle!$F$23,
IF(V427=regle!$G$11,regle!$G$23,
IF(V427=regle!$H$11,regle!$H$23,
IF(V427=regle!$I$11,regle!$I$23,
IF(V427=regle!$J$11,regle!$J$23,
IF(V427=regle!$K$11,regle!$K$23,0))))))))))))</f>
        <v>0</v>
      </c>
      <c r="AG427" s="17" t="b">
        <f>IF($A427,$J427*(IF(W427=regle!$B$11,regle!$B$23*IF(AP427=-2,1+regle!$B$35,1),
IF(W427=regle!$C$11,regle!$C$23,
IF(W427=regle!$D$11,regle!$D$23,
IF(W427=regle!$E$11,regle!$E$23,
IF(W427=regle!$F$11,regle!$F$23,
IF(W427=regle!$G$11,regle!$G$23,
IF(W427=regle!$H$11,regle!$H$23,
IF(W427=regle!$I$11,regle!$I$23,
IF(W427=regle!$J$11,regle!$J$23,
IF(W427=regle!$K$11,regle!$K$23,0))))))))))))</f>
        <v>0</v>
      </c>
      <c r="AH427" s="17" t="b">
        <f>IF($A427,$J427*(IF(X427=regle!$B$11,regle!$B$23*IF(AQ427=-2,1+regle!$B$35,1),
IF(X427=regle!$C$11,regle!$C$23,
IF(X427=regle!$D$11,regle!$D$23,
IF(X427=regle!$E$11,regle!$E$23,
IF(X427=regle!$F$11,regle!$F$23,
IF(X427=regle!$G$11,regle!$G$23,
IF(X427=regle!$H$11,regle!$H$23,
IF(X427=regle!$I$11,regle!$I$23,
IF(X427=regle!$J$11,regle!$J$23,
IF(X427=regle!$K$11,regle!$K$23,0))))))))))))</f>
        <v>0</v>
      </c>
      <c r="AI427" s="17" t="b">
        <f>IF($A427,$J427*(IF(Y427=regle!$B$11,regle!$B$23*IF(AR427=-2,1+regle!$B$35,1),
IF(Y427=regle!$C$11,regle!$C$23,
IF(Y427=regle!$D$11,regle!$D$23,
IF(Y427=regle!$E$11,regle!$E$23,
IF(Y427=regle!$F$11,regle!$F$23,
IF(Y427=regle!$G$11,regle!$G$23,
IF(Y427=regle!$H$11,regle!$H$23,
IF(Y427=regle!$I$11,regle!$I$23,
IF(Y427=regle!$J$11,regle!$J$23,
IF(Y427=regle!$K$11,regle!$K$23,0))))))))))))</f>
        <v>0</v>
      </c>
      <c r="AJ427" s="17" t="b">
        <f>IF($A427,$J427*(IF(Z427=regle!$B$11,regle!$B$23*IF(AS427=-2,1+regle!$B$35,1),
IF(Z427=regle!$C$11,regle!$C$23,
IF(Z427=regle!$D$11,regle!$D$23,
IF(Z427=regle!$E$11,regle!$E$23,
IF(Z427=regle!$F$11,regle!$F$23,
IF(Z427=regle!$G$11,regle!$G$23,
IF(Z427=regle!$H$11,regle!$H$23,
IF(Z427=regle!$I$11,regle!$I$23,
IF(Z427=regle!$J$11,regle!$J$23,
IF(Z427=regle!$K$11,regle!$K$23,0))))))))))))</f>
        <v>0</v>
      </c>
      <c r="AK427" s="16">
        <f>IF(OR(Q427=regle!$J$11,Q427=regle!$K$11),-2,IF(Q427=regle!$B$11,0,IF(AK$1=$AK$1,IF($O427,-1,regle!$B$2-$M427),IF(AJ427=-1,-1,AJ427+1))))</f>
        <v>39</v>
      </c>
      <c r="AL427" s="16">
        <f>IF(OR(R427=regle!$J$11,R427=regle!$K$11),-2,IF(R427=regle!$B$11,0,IF(AL$1=$AK$1,IF($O427,-1,regle!$B$2-$M427),IF(AK427=-1,-1,AK427+1))))</f>
        <v>40</v>
      </c>
      <c r="AM427" s="16">
        <f>IF(OR(S427=regle!$J$11,S427=regle!$K$11),-2,IF(S427=regle!$B$11,0,IF(AM$1=$AK$1,IF($O427,-1,regle!$B$2-$M427),IF(AL427=-1,-1,AL427+1))))</f>
        <v>41</v>
      </c>
      <c r="AN427" s="16">
        <f>IF(OR(T427=regle!$J$11,T427=regle!$K$11),-2,IF(T427=regle!$B$11,0,IF(AN$1=$AK$1,IF($O427,-1,regle!$B$2-$M427),IF(AM427=-1,-1,AM427+1))))</f>
        <v>42</v>
      </c>
      <c r="AO427" s="16">
        <f>IF(OR(U427=regle!$J$11,U427=regle!$K$11),-2,IF(U427=regle!$B$11,0,IF(AO$1=$AK$1,IF($O427,-1,regle!$B$2-$M427),IF(AN427=-1,-1,AN427+1))))</f>
        <v>43</v>
      </c>
      <c r="AP427" s="16">
        <f>IF(OR(V427=regle!$J$11,V427=regle!$K$11),-2,IF(V427=regle!$B$11,0,IF(AP$1=$AK$1,IF($O427,-1,regle!$B$2-$M427),IF(AO427=-1,-1,AO427+1))))</f>
        <v>44</v>
      </c>
      <c r="AQ427" s="16">
        <f>IF(OR(W427=regle!$J$11,W427=regle!$K$11),-2,IF(W427=regle!$B$11,0,IF(AQ$1=$AK$1,IF($O427,-1,regle!$B$2-$M427),IF(AP427=-1,-1,AP427+1))))</f>
        <v>45</v>
      </c>
      <c r="AR427" s="16">
        <f>IF(OR(X427=regle!$J$11,X427=regle!$K$11),-2,IF(X427=regle!$B$11,0,IF(AR$1=$AK$1,IF($O427,-1,regle!$B$2-$M427),IF(AQ427=-1,-1,AQ427+1))))</f>
        <v>46</v>
      </c>
      <c r="AS427" s="16">
        <f>IF(OR(Y427=regle!$J$11,Y427=regle!$K$11),-2,IF(Y427=regle!$B$11,0,IF(AS$1=$AK$1,IF($O427,-1,regle!$B$2-$M427),IF(AR427=-1,-1,AR427+1))))</f>
        <v>47</v>
      </c>
      <c r="AT427" s="16">
        <f>IF(OR(Z427=regle!$J$11,Z427=regle!$K$11),-2,IF(Z427=regle!$B$11,0,IF(AT$1=$AK$1,IF($O427,-1,regle!$B$2-$M427),IF(AS427=-1,-1,AS427+1))))</f>
        <v>48</v>
      </c>
    </row>
    <row r="428" spans="1:46" x14ac:dyDescent="0.25">
      <c r="A428" t="b">
        <f>modif1!A428</f>
        <v>0</v>
      </c>
      <c r="B428">
        <f>ROW(modif1!B428)</f>
        <v>428</v>
      </c>
      <c r="C428" t="str">
        <f>modif1!C431</f>
        <v>200</v>
      </c>
      <c r="D428" t="str">
        <f>modif1!D428</f>
        <v>HOSTENS</v>
      </c>
      <c r="E428">
        <f>modif1!E428</f>
        <v>8</v>
      </c>
      <c r="F428" t="str">
        <f>modif1!F428</f>
        <v>LES BECS</v>
      </c>
      <c r="G428" t="str">
        <f>modif1!G428</f>
        <v>0B</v>
      </c>
      <c r="H428">
        <f>modif1!H428</f>
        <v>1202</v>
      </c>
      <c r="I428" t="str">
        <f>modif1!I428</f>
        <v>k</v>
      </c>
      <c r="J428" s="11">
        <f>modif1!J428</f>
        <v>0.18310000000000001</v>
      </c>
      <c r="K428" t="str">
        <f>modif1!K428</f>
        <v>TAIL</v>
      </c>
      <c r="L428" t="str">
        <f>modif1!L428</f>
        <v>FEUIL</v>
      </c>
      <c r="M428">
        <f>modif1!M428</f>
        <v>1985</v>
      </c>
      <c r="N428" t="str">
        <f>modif1!N428</f>
        <v>TAIL-FEUIL_1985</v>
      </c>
      <c r="O428" t="b">
        <f>modif1!O428</f>
        <v>0</v>
      </c>
      <c r="Z428"/>
      <c r="AA428" s="17" t="b">
        <f>IF($A428,$J428*(IF(Q428=regle!$B$11,regle!$B$23*IF(AJ428=-2,1+regle!$B$35,1),
IF(Q428=regle!$C$11,regle!$C$23,
IF(Q428=regle!$D$11,regle!$D$23,
IF(Q428=regle!$E$11,regle!$E$23,
IF(Q428=regle!$F$11,regle!$F$23,
IF(Q428=regle!$G$11,regle!$G$23,
IF(Q428=regle!$H$11,regle!$H$23,
IF(Q428=regle!$I$11,regle!$I$23,
IF(Q428=regle!$J$11,regle!$J$23,
IF(Q428=regle!$K$11,regle!$K$23,0))))))))))))</f>
        <v>0</v>
      </c>
      <c r="AB428" s="17" t="b">
        <f>IF($A428,$J428*(IF(R428=regle!$B$11,regle!$B$23*IF(AK428=-2,1+regle!$B$35,1),
IF(R428=regle!$C$11,regle!$C$23,
IF(R428=regle!$D$11,regle!$D$23,
IF(R428=regle!$E$11,regle!$E$23,
IF(R428=regle!$F$11,regle!$F$23,
IF(R428=regle!$G$11,regle!$G$23,
IF(R428=regle!$H$11,regle!$H$23,
IF(R428=regle!$I$11,regle!$I$23,
IF(R428=regle!$J$11,regle!$J$23,
IF(R428=regle!$K$11,regle!$K$23,0))))))))))))</f>
        <v>0</v>
      </c>
      <c r="AC428" s="17" t="b">
        <f>IF($A428,$J428*(IF(S428=regle!$B$11,regle!$B$23*IF(AL428=-2,1+regle!$B$35,1),
IF(S428=regle!$C$11,regle!$C$23,
IF(S428=regle!$D$11,regle!$D$23,
IF(S428=regle!$E$11,regle!$E$23,
IF(S428=regle!$F$11,regle!$F$23,
IF(S428=regle!$G$11,regle!$G$23,
IF(S428=regle!$H$11,regle!$H$23,
IF(S428=regle!$I$11,regle!$I$23,
IF(S428=regle!$J$11,regle!$J$23,
IF(S428=regle!$K$11,regle!$K$23,0))))))))))))</f>
        <v>0</v>
      </c>
      <c r="AD428" s="17" t="b">
        <f>IF($A428,$J428*(IF(T428=regle!$B$11,regle!$B$23*IF(AM428=-2,1+regle!$B$35,1),
IF(T428=regle!$C$11,regle!$C$23,
IF(T428=regle!$D$11,regle!$D$23,
IF(T428=regle!$E$11,regle!$E$23,
IF(T428=regle!$F$11,regle!$F$23,
IF(T428=regle!$G$11,regle!$G$23,
IF(T428=regle!$H$11,regle!$H$23,
IF(T428=regle!$I$11,regle!$I$23,
IF(T428=regle!$J$11,regle!$J$23,
IF(T428=regle!$K$11,regle!$K$23,0))))))))))))</f>
        <v>0</v>
      </c>
      <c r="AE428" s="17" t="b">
        <f>IF($A428,$J428*(IF(U428=regle!$B$11,regle!$B$23*IF(AN428=-2,1+regle!$B$35,1),
IF(U428=regle!$C$11,regle!$C$23,
IF(U428=regle!$D$11,regle!$D$23,
IF(U428=regle!$E$11,regle!$E$23,
IF(U428=regle!$F$11,regle!$F$23,
IF(U428=regle!$G$11,regle!$G$23,
IF(U428=regle!$H$11,regle!$H$23,
IF(U428=regle!$I$11,regle!$I$23,
IF(U428=regle!$J$11,regle!$J$23,
IF(U428=regle!$K$11,regle!$K$23,0))))))))))))</f>
        <v>0</v>
      </c>
      <c r="AF428" s="17" t="b">
        <f>IF($A428,$J428*(IF(V428=regle!$B$11,regle!$B$23*IF(AO428=-2,1+regle!$B$35,1),
IF(V428=regle!$C$11,regle!$C$23,
IF(V428=regle!$D$11,regle!$D$23,
IF(V428=regle!$E$11,regle!$E$23,
IF(V428=regle!$F$11,regle!$F$23,
IF(V428=regle!$G$11,regle!$G$23,
IF(V428=regle!$H$11,regle!$H$23,
IF(V428=regle!$I$11,regle!$I$23,
IF(V428=regle!$J$11,regle!$J$23,
IF(V428=regle!$K$11,regle!$K$23,0))))))))))))</f>
        <v>0</v>
      </c>
      <c r="AG428" s="17" t="b">
        <f>IF($A428,$J428*(IF(W428=regle!$B$11,regle!$B$23*IF(AP428=-2,1+regle!$B$35,1),
IF(W428=regle!$C$11,regle!$C$23,
IF(W428=regle!$D$11,regle!$D$23,
IF(W428=regle!$E$11,regle!$E$23,
IF(W428=regle!$F$11,regle!$F$23,
IF(W428=regle!$G$11,regle!$G$23,
IF(W428=regle!$H$11,regle!$H$23,
IF(W428=regle!$I$11,regle!$I$23,
IF(W428=regle!$J$11,regle!$J$23,
IF(W428=regle!$K$11,regle!$K$23,0))))))))))))</f>
        <v>0</v>
      </c>
      <c r="AH428" s="17" t="b">
        <f>IF($A428,$J428*(IF(X428=regle!$B$11,regle!$B$23*IF(AQ428=-2,1+regle!$B$35,1),
IF(X428=regle!$C$11,regle!$C$23,
IF(X428=regle!$D$11,regle!$D$23,
IF(X428=regle!$E$11,regle!$E$23,
IF(X428=regle!$F$11,regle!$F$23,
IF(X428=regle!$G$11,regle!$G$23,
IF(X428=regle!$H$11,regle!$H$23,
IF(X428=regle!$I$11,regle!$I$23,
IF(X428=regle!$J$11,regle!$J$23,
IF(X428=regle!$K$11,regle!$K$23,0))))))))))))</f>
        <v>0</v>
      </c>
      <c r="AI428" s="17" t="b">
        <f>IF($A428,$J428*(IF(Y428=regle!$B$11,regle!$B$23*IF(AR428=-2,1+regle!$B$35,1),
IF(Y428=regle!$C$11,regle!$C$23,
IF(Y428=regle!$D$11,regle!$D$23,
IF(Y428=regle!$E$11,regle!$E$23,
IF(Y428=regle!$F$11,regle!$F$23,
IF(Y428=regle!$G$11,regle!$G$23,
IF(Y428=regle!$H$11,regle!$H$23,
IF(Y428=regle!$I$11,regle!$I$23,
IF(Y428=regle!$J$11,regle!$J$23,
IF(Y428=regle!$K$11,regle!$K$23,0))))))))))))</f>
        <v>0</v>
      </c>
      <c r="AJ428" s="17" t="b">
        <f>IF($A428,$J428*(IF(Z428=regle!$B$11,regle!$B$23*IF(AS428=-2,1+regle!$B$35,1),
IF(Z428=regle!$C$11,regle!$C$23,
IF(Z428=regle!$D$11,regle!$D$23,
IF(Z428=regle!$E$11,regle!$E$23,
IF(Z428=regle!$F$11,regle!$F$23,
IF(Z428=regle!$G$11,regle!$G$23,
IF(Z428=regle!$H$11,regle!$H$23,
IF(Z428=regle!$I$11,regle!$I$23,
IF(Z428=regle!$J$11,regle!$J$23,
IF(Z428=regle!$K$11,regle!$K$23,0))))))))))))</f>
        <v>0</v>
      </c>
      <c r="AK428" s="16">
        <f>IF(OR(Q428=regle!$J$11,Q428=regle!$K$11),-2,IF(Q428=regle!$B$11,0,IF(AK$1=$AK$1,IF($O428,-1,regle!$B$2-$M428),IF(AJ428=-1,-1,AJ428+1))))</f>
        <v>39</v>
      </c>
      <c r="AL428" s="16">
        <f>IF(OR(R428=regle!$J$11,R428=regle!$K$11),-2,IF(R428=regle!$B$11,0,IF(AL$1=$AK$1,IF($O428,-1,regle!$B$2-$M428),IF(AK428=-1,-1,AK428+1))))</f>
        <v>40</v>
      </c>
      <c r="AM428" s="16">
        <f>IF(OR(S428=regle!$J$11,S428=regle!$K$11),-2,IF(S428=regle!$B$11,0,IF(AM$1=$AK$1,IF($O428,-1,regle!$B$2-$M428),IF(AL428=-1,-1,AL428+1))))</f>
        <v>41</v>
      </c>
      <c r="AN428" s="16">
        <f>IF(OR(T428=regle!$J$11,T428=regle!$K$11),-2,IF(T428=regle!$B$11,0,IF(AN$1=$AK$1,IF($O428,-1,regle!$B$2-$M428),IF(AM428=-1,-1,AM428+1))))</f>
        <v>42</v>
      </c>
      <c r="AO428" s="16">
        <f>IF(OR(U428=regle!$J$11,U428=regle!$K$11),-2,IF(U428=regle!$B$11,0,IF(AO$1=$AK$1,IF($O428,-1,regle!$B$2-$M428),IF(AN428=-1,-1,AN428+1))))</f>
        <v>43</v>
      </c>
      <c r="AP428" s="16">
        <f>IF(OR(V428=regle!$J$11,V428=regle!$K$11),-2,IF(V428=regle!$B$11,0,IF(AP$1=$AK$1,IF($O428,-1,regle!$B$2-$M428),IF(AO428=-1,-1,AO428+1))))</f>
        <v>44</v>
      </c>
      <c r="AQ428" s="16">
        <f>IF(OR(W428=regle!$J$11,W428=regle!$K$11),-2,IF(W428=regle!$B$11,0,IF(AQ$1=$AK$1,IF($O428,-1,regle!$B$2-$M428),IF(AP428=-1,-1,AP428+1))))</f>
        <v>45</v>
      </c>
      <c r="AR428" s="16">
        <f>IF(OR(X428=regle!$J$11,X428=regle!$K$11),-2,IF(X428=regle!$B$11,0,IF(AR$1=$AK$1,IF($O428,-1,regle!$B$2-$M428),IF(AQ428=-1,-1,AQ428+1))))</f>
        <v>46</v>
      </c>
      <c r="AS428" s="16">
        <f>IF(OR(Y428=regle!$J$11,Y428=regle!$K$11),-2,IF(Y428=regle!$B$11,0,IF(AS$1=$AK$1,IF($O428,-1,regle!$B$2-$M428),IF(AR428=-1,-1,AR428+1))))</f>
        <v>47</v>
      </c>
      <c r="AT428" s="16">
        <f>IF(OR(Z428=regle!$J$11,Z428=regle!$K$11),-2,IF(Z428=regle!$B$11,0,IF(AT$1=$AK$1,IF($O428,-1,regle!$B$2-$M428),IF(AS428=-1,-1,AS428+1))))</f>
        <v>48</v>
      </c>
    </row>
    <row r="429" spans="1:46" x14ac:dyDescent="0.25">
      <c r="A429" t="b">
        <f>modif1!A429</f>
        <v>0</v>
      </c>
      <c r="B429">
        <f>ROW(modif1!B429)</f>
        <v>429</v>
      </c>
      <c r="C429" t="str">
        <f>modif1!C432</f>
        <v>536</v>
      </c>
      <c r="D429" t="str">
        <f>modif1!D429</f>
        <v>LE TUZAN</v>
      </c>
      <c r="E429">
        <f>modif1!E429</f>
        <v>21</v>
      </c>
      <c r="F429" t="str">
        <f>modif1!F429</f>
        <v>METAIRIES DE TABARTON</v>
      </c>
      <c r="G429" t="str">
        <f>modif1!G429</f>
        <v>0A</v>
      </c>
      <c r="H429">
        <f>modif1!H429</f>
        <v>847</v>
      </c>
      <c r="I429" t="str">
        <f>modif1!I429</f>
        <v>f</v>
      </c>
      <c r="J429" s="11">
        <f>modif1!J429</f>
        <v>0.1313</v>
      </c>
      <c r="K429" t="str">
        <f>modif1!K429</f>
        <v>TAIL</v>
      </c>
      <c r="L429" t="str">
        <f>modif1!L429</f>
        <v>FEUIL</v>
      </c>
      <c r="M429">
        <f>modif1!M429</f>
        <v>1985</v>
      </c>
      <c r="N429" t="str">
        <f>modif1!N429</f>
        <v>TAIL-FEUIL_1985</v>
      </c>
      <c r="O429" t="b">
        <f>modif1!O429</f>
        <v>0</v>
      </c>
      <c r="Z429"/>
      <c r="AA429" s="17" t="b">
        <f>IF($A429,$J429*(IF(Q429=regle!$B$11,regle!$B$23*IF(AJ429=-2,1+regle!$B$35,1),
IF(Q429=regle!$C$11,regle!$C$23,
IF(Q429=regle!$D$11,regle!$D$23,
IF(Q429=regle!$E$11,regle!$E$23,
IF(Q429=regle!$F$11,regle!$F$23,
IF(Q429=regle!$G$11,regle!$G$23,
IF(Q429=regle!$H$11,regle!$H$23,
IF(Q429=regle!$I$11,regle!$I$23,
IF(Q429=regle!$J$11,regle!$J$23,
IF(Q429=regle!$K$11,regle!$K$23,0))))))))))))</f>
        <v>0</v>
      </c>
      <c r="AB429" s="17" t="b">
        <f>IF($A429,$J429*(IF(R429=regle!$B$11,regle!$B$23*IF(AK429=-2,1+regle!$B$35,1),
IF(R429=regle!$C$11,regle!$C$23,
IF(R429=regle!$D$11,regle!$D$23,
IF(R429=regle!$E$11,regle!$E$23,
IF(R429=regle!$F$11,regle!$F$23,
IF(R429=regle!$G$11,regle!$G$23,
IF(R429=regle!$H$11,regle!$H$23,
IF(R429=regle!$I$11,regle!$I$23,
IF(R429=regle!$J$11,regle!$J$23,
IF(R429=regle!$K$11,regle!$K$23,0))))))))))))</f>
        <v>0</v>
      </c>
      <c r="AC429" s="17" t="b">
        <f>IF($A429,$J429*(IF(S429=regle!$B$11,regle!$B$23*IF(AL429=-2,1+regle!$B$35,1),
IF(S429=regle!$C$11,regle!$C$23,
IF(S429=regle!$D$11,regle!$D$23,
IF(S429=regle!$E$11,regle!$E$23,
IF(S429=regle!$F$11,regle!$F$23,
IF(S429=regle!$G$11,regle!$G$23,
IF(S429=regle!$H$11,regle!$H$23,
IF(S429=regle!$I$11,regle!$I$23,
IF(S429=regle!$J$11,regle!$J$23,
IF(S429=regle!$K$11,regle!$K$23,0))))))))))))</f>
        <v>0</v>
      </c>
      <c r="AD429" s="17" t="b">
        <f>IF($A429,$J429*(IF(T429=regle!$B$11,regle!$B$23*IF(AM429=-2,1+regle!$B$35,1),
IF(T429=regle!$C$11,regle!$C$23,
IF(T429=regle!$D$11,regle!$D$23,
IF(T429=regle!$E$11,regle!$E$23,
IF(T429=regle!$F$11,regle!$F$23,
IF(T429=regle!$G$11,regle!$G$23,
IF(T429=regle!$H$11,regle!$H$23,
IF(T429=regle!$I$11,regle!$I$23,
IF(T429=regle!$J$11,regle!$J$23,
IF(T429=regle!$K$11,regle!$K$23,0))))))))))))</f>
        <v>0</v>
      </c>
      <c r="AE429" s="17" t="b">
        <f>IF($A429,$J429*(IF(U429=regle!$B$11,regle!$B$23*IF(AN429=-2,1+regle!$B$35,1),
IF(U429=regle!$C$11,regle!$C$23,
IF(U429=regle!$D$11,regle!$D$23,
IF(U429=regle!$E$11,regle!$E$23,
IF(U429=regle!$F$11,regle!$F$23,
IF(U429=regle!$G$11,regle!$G$23,
IF(U429=regle!$H$11,regle!$H$23,
IF(U429=regle!$I$11,regle!$I$23,
IF(U429=regle!$J$11,regle!$J$23,
IF(U429=regle!$K$11,regle!$K$23,0))))))))))))</f>
        <v>0</v>
      </c>
      <c r="AF429" s="17" t="b">
        <f>IF($A429,$J429*(IF(V429=regle!$B$11,regle!$B$23*IF(AO429=-2,1+regle!$B$35,1),
IF(V429=regle!$C$11,regle!$C$23,
IF(V429=regle!$D$11,regle!$D$23,
IF(V429=regle!$E$11,regle!$E$23,
IF(V429=regle!$F$11,regle!$F$23,
IF(V429=regle!$G$11,regle!$G$23,
IF(V429=regle!$H$11,regle!$H$23,
IF(V429=regle!$I$11,regle!$I$23,
IF(V429=regle!$J$11,regle!$J$23,
IF(V429=regle!$K$11,regle!$K$23,0))))))))))))</f>
        <v>0</v>
      </c>
      <c r="AG429" s="17" t="b">
        <f>IF($A429,$J429*(IF(W429=regle!$B$11,regle!$B$23*IF(AP429=-2,1+regle!$B$35,1),
IF(W429=regle!$C$11,regle!$C$23,
IF(W429=regle!$D$11,regle!$D$23,
IF(W429=regle!$E$11,regle!$E$23,
IF(W429=regle!$F$11,regle!$F$23,
IF(W429=regle!$G$11,regle!$G$23,
IF(W429=regle!$H$11,regle!$H$23,
IF(W429=regle!$I$11,regle!$I$23,
IF(W429=regle!$J$11,regle!$J$23,
IF(W429=regle!$K$11,regle!$K$23,0))))))))))))</f>
        <v>0</v>
      </c>
      <c r="AH429" s="17" t="b">
        <f>IF($A429,$J429*(IF(X429=regle!$B$11,regle!$B$23*IF(AQ429=-2,1+regle!$B$35,1),
IF(X429=regle!$C$11,regle!$C$23,
IF(X429=regle!$D$11,regle!$D$23,
IF(X429=regle!$E$11,regle!$E$23,
IF(X429=regle!$F$11,regle!$F$23,
IF(X429=regle!$G$11,regle!$G$23,
IF(X429=regle!$H$11,regle!$H$23,
IF(X429=regle!$I$11,regle!$I$23,
IF(X429=regle!$J$11,regle!$J$23,
IF(X429=regle!$K$11,regle!$K$23,0))))))))))))</f>
        <v>0</v>
      </c>
      <c r="AI429" s="17" t="b">
        <f>IF($A429,$J429*(IF(Y429=regle!$B$11,regle!$B$23*IF(AR429=-2,1+regle!$B$35,1),
IF(Y429=regle!$C$11,regle!$C$23,
IF(Y429=regle!$D$11,regle!$D$23,
IF(Y429=regle!$E$11,regle!$E$23,
IF(Y429=regle!$F$11,regle!$F$23,
IF(Y429=regle!$G$11,regle!$G$23,
IF(Y429=regle!$H$11,regle!$H$23,
IF(Y429=regle!$I$11,regle!$I$23,
IF(Y429=regle!$J$11,regle!$J$23,
IF(Y429=regle!$K$11,regle!$K$23,0))))))))))))</f>
        <v>0</v>
      </c>
      <c r="AJ429" s="17" t="b">
        <f>IF($A429,$J429*(IF(Z429=regle!$B$11,regle!$B$23*IF(AS429=-2,1+regle!$B$35,1),
IF(Z429=regle!$C$11,regle!$C$23,
IF(Z429=regle!$D$11,regle!$D$23,
IF(Z429=regle!$E$11,regle!$E$23,
IF(Z429=regle!$F$11,regle!$F$23,
IF(Z429=regle!$G$11,regle!$G$23,
IF(Z429=regle!$H$11,regle!$H$23,
IF(Z429=regle!$I$11,regle!$I$23,
IF(Z429=regle!$J$11,regle!$J$23,
IF(Z429=regle!$K$11,regle!$K$23,0))))))))))))</f>
        <v>0</v>
      </c>
      <c r="AK429" s="16">
        <f>IF(OR(Q429=regle!$J$11,Q429=regle!$K$11),-2,IF(Q429=regle!$B$11,0,IF(AK$1=$AK$1,IF($O429,-1,regle!$B$2-$M429),IF(AJ429=-1,-1,AJ429+1))))</f>
        <v>39</v>
      </c>
      <c r="AL429" s="16">
        <f>IF(OR(R429=regle!$J$11,R429=regle!$K$11),-2,IF(R429=regle!$B$11,0,IF(AL$1=$AK$1,IF($O429,-1,regle!$B$2-$M429),IF(AK429=-1,-1,AK429+1))))</f>
        <v>40</v>
      </c>
      <c r="AM429" s="16">
        <f>IF(OR(S429=regle!$J$11,S429=regle!$K$11),-2,IF(S429=regle!$B$11,0,IF(AM$1=$AK$1,IF($O429,-1,regle!$B$2-$M429),IF(AL429=-1,-1,AL429+1))))</f>
        <v>41</v>
      </c>
      <c r="AN429" s="16">
        <f>IF(OR(T429=regle!$J$11,T429=regle!$K$11),-2,IF(T429=regle!$B$11,0,IF(AN$1=$AK$1,IF($O429,-1,regle!$B$2-$M429),IF(AM429=-1,-1,AM429+1))))</f>
        <v>42</v>
      </c>
      <c r="AO429" s="16">
        <f>IF(OR(U429=regle!$J$11,U429=regle!$K$11),-2,IF(U429=regle!$B$11,0,IF(AO$1=$AK$1,IF($O429,-1,regle!$B$2-$M429),IF(AN429=-1,-1,AN429+1))))</f>
        <v>43</v>
      </c>
      <c r="AP429" s="16">
        <f>IF(OR(V429=regle!$J$11,V429=regle!$K$11),-2,IF(V429=regle!$B$11,0,IF(AP$1=$AK$1,IF($O429,-1,regle!$B$2-$M429),IF(AO429=-1,-1,AO429+1))))</f>
        <v>44</v>
      </c>
      <c r="AQ429" s="16">
        <f>IF(OR(W429=regle!$J$11,W429=regle!$K$11),-2,IF(W429=regle!$B$11,0,IF(AQ$1=$AK$1,IF($O429,-1,regle!$B$2-$M429),IF(AP429=-1,-1,AP429+1))))</f>
        <v>45</v>
      </c>
      <c r="AR429" s="16">
        <f>IF(OR(X429=regle!$J$11,X429=regle!$K$11),-2,IF(X429=regle!$B$11,0,IF(AR$1=$AK$1,IF($O429,-1,regle!$B$2-$M429),IF(AQ429=-1,-1,AQ429+1))))</f>
        <v>46</v>
      </c>
      <c r="AS429" s="16">
        <f>IF(OR(Y429=regle!$J$11,Y429=regle!$K$11),-2,IF(Y429=regle!$B$11,0,IF(AS$1=$AK$1,IF($O429,-1,regle!$B$2-$M429),IF(AR429=-1,-1,AR429+1))))</f>
        <v>47</v>
      </c>
      <c r="AT429" s="16">
        <f>IF(OR(Z429=regle!$J$11,Z429=regle!$K$11),-2,IF(Z429=regle!$B$11,0,IF(AT$1=$AK$1,IF($O429,-1,regle!$B$2-$M429),IF(AS429=-1,-1,AS429+1))))</f>
        <v>48</v>
      </c>
    </row>
    <row r="430" spans="1:46" x14ac:dyDescent="0.25">
      <c r="A430" t="b">
        <f>modif1!A430</f>
        <v>0</v>
      </c>
      <c r="B430">
        <f>ROW(modif1!B430)</f>
        <v>430</v>
      </c>
      <c r="C430" t="str">
        <f>modif1!C433</f>
        <v>171</v>
      </c>
      <c r="D430" t="str">
        <f>modif1!D430</f>
        <v>LE TUZAN</v>
      </c>
      <c r="E430">
        <f>modif1!E430</f>
        <v>21</v>
      </c>
      <c r="F430" t="str">
        <f>modif1!F430</f>
        <v>METAIRIES DE TABARTON</v>
      </c>
      <c r="G430" t="str">
        <f>modif1!G430</f>
        <v>0A</v>
      </c>
      <c r="H430">
        <f>modif1!H430</f>
        <v>844</v>
      </c>
      <c r="I430" t="str">
        <f>modif1!I430</f>
        <v>k</v>
      </c>
      <c r="J430" s="11">
        <f>modif1!J430</f>
        <v>6.8900000000000003E-2</v>
      </c>
      <c r="K430" t="str">
        <f>modif1!K430</f>
        <v>TAIL</v>
      </c>
      <c r="L430" t="str">
        <f>modif1!L430</f>
        <v>FEUIL</v>
      </c>
      <c r="M430">
        <f>modif1!M430</f>
        <v>1985</v>
      </c>
      <c r="N430" t="str">
        <f>modif1!N430</f>
        <v>TAIL-FEUIL_1985</v>
      </c>
      <c r="O430" t="b">
        <f>modif1!O430</f>
        <v>0</v>
      </c>
      <c r="Z430"/>
      <c r="AA430" s="17" t="b">
        <f>IF($A430,$J430*(IF(Q430=regle!$B$11,regle!$B$23*IF(AJ430=-2,1+regle!$B$35,1),
IF(Q430=regle!$C$11,regle!$C$23,
IF(Q430=regle!$D$11,regle!$D$23,
IF(Q430=regle!$E$11,regle!$E$23,
IF(Q430=regle!$F$11,regle!$F$23,
IF(Q430=regle!$G$11,regle!$G$23,
IF(Q430=regle!$H$11,regle!$H$23,
IF(Q430=regle!$I$11,regle!$I$23,
IF(Q430=regle!$J$11,regle!$J$23,
IF(Q430=regle!$K$11,regle!$K$23,0))))))))))))</f>
        <v>0</v>
      </c>
      <c r="AB430" s="17" t="b">
        <f>IF($A430,$J430*(IF(R430=regle!$B$11,regle!$B$23*IF(AK430=-2,1+regle!$B$35,1),
IF(R430=regle!$C$11,regle!$C$23,
IF(R430=regle!$D$11,regle!$D$23,
IF(R430=regle!$E$11,regle!$E$23,
IF(R430=regle!$F$11,regle!$F$23,
IF(R430=regle!$G$11,regle!$G$23,
IF(R430=regle!$H$11,regle!$H$23,
IF(R430=regle!$I$11,regle!$I$23,
IF(R430=regle!$J$11,regle!$J$23,
IF(R430=regle!$K$11,regle!$K$23,0))))))))))))</f>
        <v>0</v>
      </c>
      <c r="AC430" s="17" t="b">
        <f>IF($A430,$J430*(IF(S430=regle!$B$11,regle!$B$23*IF(AL430=-2,1+regle!$B$35,1),
IF(S430=regle!$C$11,regle!$C$23,
IF(S430=regle!$D$11,regle!$D$23,
IF(S430=regle!$E$11,regle!$E$23,
IF(S430=regle!$F$11,regle!$F$23,
IF(S430=regle!$G$11,regle!$G$23,
IF(S430=regle!$H$11,regle!$H$23,
IF(S430=regle!$I$11,regle!$I$23,
IF(S430=regle!$J$11,regle!$J$23,
IF(S430=regle!$K$11,regle!$K$23,0))))))))))))</f>
        <v>0</v>
      </c>
      <c r="AD430" s="17" t="b">
        <f>IF($A430,$J430*(IF(T430=regle!$B$11,regle!$B$23*IF(AM430=-2,1+regle!$B$35,1),
IF(T430=regle!$C$11,regle!$C$23,
IF(T430=regle!$D$11,regle!$D$23,
IF(T430=regle!$E$11,regle!$E$23,
IF(T430=regle!$F$11,regle!$F$23,
IF(T430=regle!$G$11,regle!$G$23,
IF(T430=regle!$H$11,regle!$H$23,
IF(T430=regle!$I$11,regle!$I$23,
IF(T430=regle!$J$11,regle!$J$23,
IF(T430=regle!$K$11,regle!$K$23,0))))))))))))</f>
        <v>0</v>
      </c>
      <c r="AE430" s="17" t="b">
        <f>IF($A430,$J430*(IF(U430=regle!$B$11,regle!$B$23*IF(AN430=-2,1+regle!$B$35,1),
IF(U430=regle!$C$11,regle!$C$23,
IF(U430=regle!$D$11,regle!$D$23,
IF(U430=regle!$E$11,regle!$E$23,
IF(U430=regle!$F$11,regle!$F$23,
IF(U430=regle!$G$11,regle!$G$23,
IF(U430=regle!$H$11,regle!$H$23,
IF(U430=regle!$I$11,regle!$I$23,
IF(U430=regle!$J$11,regle!$J$23,
IF(U430=regle!$K$11,regle!$K$23,0))))))))))))</f>
        <v>0</v>
      </c>
      <c r="AF430" s="17" t="b">
        <f>IF($A430,$J430*(IF(V430=regle!$B$11,regle!$B$23*IF(AO430=-2,1+regle!$B$35,1),
IF(V430=regle!$C$11,regle!$C$23,
IF(V430=regle!$D$11,regle!$D$23,
IF(V430=regle!$E$11,regle!$E$23,
IF(V430=regle!$F$11,regle!$F$23,
IF(V430=regle!$G$11,regle!$G$23,
IF(V430=regle!$H$11,regle!$H$23,
IF(V430=regle!$I$11,regle!$I$23,
IF(V430=regle!$J$11,regle!$J$23,
IF(V430=regle!$K$11,regle!$K$23,0))))))))))))</f>
        <v>0</v>
      </c>
      <c r="AG430" s="17" t="b">
        <f>IF($A430,$J430*(IF(W430=regle!$B$11,regle!$B$23*IF(AP430=-2,1+regle!$B$35,1),
IF(W430=regle!$C$11,regle!$C$23,
IF(W430=regle!$D$11,regle!$D$23,
IF(W430=regle!$E$11,regle!$E$23,
IF(W430=regle!$F$11,regle!$F$23,
IF(W430=regle!$G$11,regle!$G$23,
IF(W430=regle!$H$11,regle!$H$23,
IF(W430=regle!$I$11,regle!$I$23,
IF(W430=regle!$J$11,regle!$J$23,
IF(W430=regle!$K$11,regle!$K$23,0))))))))))))</f>
        <v>0</v>
      </c>
      <c r="AH430" s="17" t="b">
        <f>IF($A430,$J430*(IF(X430=regle!$B$11,regle!$B$23*IF(AQ430=-2,1+regle!$B$35,1),
IF(X430=regle!$C$11,regle!$C$23,
IF(X430=regle!$D$11,regle!$D$23,
IF(X430=regle!$E$11,regle!$E$23,
IF(X430=regle!$F$11,regle!$F$23,
IF(X430=regle!$G$11,regle!$G$23,
IF(X430=regle!$H$11,regle!$H$23,
IF(X430=regle!$I$11,regle!$I$23,
IF(X430=regle!$J$11,regle!$J$23,
IF(X430=regle!$K$11,regle!$K$23,0))))))))))))</f>
        <v>0</v>
      </c>
      <c r="AI430" s="17" t="b">
        <f>IF($A430,$J430*(IF(Y430=regle!$B$11,regle!$B$23*IF(AR430=-2,1+regle!$B$35,1),
IF(Y430=regle!$C$11,regle!$C$23,
IF(Y430=regle!$D$11,regle!$D$23,
IF(Y430=regle!$E$11,regle!$E$23,
IF(Y430=regle!$F$11,regle!$F$23,
IF(Y430=regle!$G$11,regle!$G$23,
IF(Y430=regle!$H$11,regle!$H$23,
IF(Y430=regle!$I$11,regle!$I$23,
IF(Y430=regle!$J$11,regle!$J$23,
IF(Y430=regle!$K$11,regle!$K$23,0))))))))))))</f>
        <v>0</v>
      </c>
      <c r="AJ430" s="17" t="b">
        <f>IF($A430,$J430*(IF(Z430=regle!$B$11,regle!$B$23*IF(AS430=-2,1+regle!$B$35,1),
IF(Z430=regle!$C$11,regle!$C$23,
IF(Z430=regle!$D$11,regle!$D$23,
IF(Z430=regle!$E$11,regle!$E$23,
IF(Z430=regle!$F$11,regle!$F$23,
IF(Z430=regle!$G$11,regle!$G$23,
IF(Z430=regle!$H$11,regle!$H$23,
IF(Z430=regle!$I$11,regle!$I$23,
IF(Z430=regle!$J$11,regle!$J$23,
IF(Z430=regle!$K$11,regle!$K$23,0))))))))))))</f>
        <v>0</v>
      </c>
      <c r="AK430" s="16">
        <f>IF(OR(Q430=regle!$J$11,Q430=regle!$K$11),-2,IF(Q430=regle!$B$11,0,IF(AK$1=$AK$1,IF($O430,-1,regle!$B$2-$M430),IF(AJ430=-1,-1,AJ430+1))))</f>
        <v>39</v>
      </c>
      <c r="AL430" s="16">
        <f>IF(OR(R430=regle!$J$11,R430=regle!$K$11),-2,IF(R430=regle!$B$11,0,IF(AL$1=$AK$1,IF($O430,-1,regle!$B$2-$M430),IF(AK430=-1,-1,AK430+1))))</f>
        <v>40</v>
      </c>
      <c r="AM430" s="16">
        <f>IF(OR(S430=regle!$J$11,S430=regle!$K$11),-2,IF(S430=regle!$B$11,0,IF(AM$1=$AK$1,IF($O430,-1,regle!$B$2-$M430),IF(AL430=-1,-1,AL430+1))))</f>
        <v>41</v>
      </c>
      <c r="AN430" s="16">
        <f>IF(OR(T430=regle!$J$11,T430=regle!$K$11),-2,IF(T430=regle!$B$11,0,IF(AN$1=$AK$1,IF($O430,-1,regle!$B$2-$M430),IF(AM430=-1,-1,AM430+1))))</f>
        <v>42</v>
      </c>
      <c r="AO430" s="16">
        <f>IF(OR(U430=regle!$J$11,U430=regle!$K$11),-2,IF(U430=regle!$B$11,0,IF(AO$1=$AK$1,IF($O430,-1,regle!$B$2-$M430),IF(AN430=-1,-1,AN430+1))))</f>
        <v>43</v>
      </c>
      <c r="AP430" s="16">
        <f>IF(OR(V430=regle!$J$11,V430=regle!$K$11),-2,IF(V430=regle!$B$11,0,IF(AP$1=$AK$1,IF($O430,-1,regle!$B$2-$M430),IF(AO430=-1,-1,AO430+1))))</f>
        <v>44</v>
      </c>
      <c r="AQ430" s="16">
        <f>IF(OR(W430=regle!$J$11,W430=regle!$K$11),-2,IF(W430=regle!$B$11,0,IF(AQ$1=$AK$1,IF($O430,-1,regle!$B$2-$M430),IF(AP430=-1,-1,AP430+1))))</f>
        <v>45</v>
      </c>
      <c r="AR430" s="16">
        <f>IF(OR(X430=regle!$J$11,X430=regle!$K$11),-2,IF(X430=regle!$B$11,0,IF(AR$1=$AK$1,IF($O430,-1,regle!$B$2-$M430),IF(AQ430=-1,-1,AQ430+1))))</f>
        <v>46</v>
      </c>
      <c r="AS430" s="16">
        <f>IF(OR(Y430=regle!$J$11,Y430=regle!$K$11),-2,IF(Y430=regle!$B$11,0,IF(AS$1=$AK$1,IF($O430,-1,regle!$B$2-$M430),IF(AR430=-1,-1,AR430+1))))</f>
        <v>47</v>
      </c>
      <c r="AT430" s="16">
        <f>IF(OR(Z430=regle!$J$11,Z430=regle!$K$11),-2,IF(Z430=regle!$B$11,0,IF(AT$1=$AK$1,IF($O430,-1,regle!$B$2-$M430),IF(AS430=-1,-1,AS430+1))))</f>
        <v>48</v>
      </c>
    </row>
    <row r="431" spans="1:46" x14ac:dyDescent="0.25">
      <c r="A431" t="b">
        <f>modif1!A431</f>
        <v>0</v>
      </c>
      <c r="B431">
        <f>ROW(modif1!B431)</f>
        <v>431</v>
      </c>
      <c r="C431" t="str">
        <f>modif1!C434</f>
        <v>536</v>
      </c>
      <c r="D431" t="str">
        <f>modif1!D431</f>
        <v>MOUSTEY</v>
      </c>
      <c r="E431">
        <f>modif1!E431</f>
        <v>5</v>
      </c>
      <c r="F431" t="str">
        <f>modif1!F431</f>
        <v>Plata</v>
      </c>
      <c r="G431" t="str">
        <f>modif1!G431</f>
        <v>0M</v>
      </c>
      <c r="H431">
        <f>modif1!H431</f>
        <v>1</v>
      </c>
      <c r="I431" t="str">
        <f>modif1!I431</f>
        <v/>
      </c>
      <c r="J431" s="11">
        <f>modif1!J431</f>
        <v>1.0017</v>
      </c>
      <c r="K431" t="str">
        <f>modif1!K431</f>
        <v>TAIL</v>
      </c>
      <c r="L431" t="str">
        <f>modif1!L431</f>
        <v>FEUIL</v>
      </c>
      <c r="M431">
        <f>modif1!M431</f>
        <v>1980</v>
      </c>
      <c r="N431" t="str">
        <f>modif1!N431</f>
        <v>TAIL-FEUIL_1980</v>
      </c>
      <c r="O431" t="b">
        <f>modif1!O431</f>
        <v>0</v>
      </c>
      <c r="Z431"/>
      <c r="AA431" s="17" t="b">
        <f>IF($A431,$J431*(IF(Q431=regle!$B$11,regle!$B$23*IF(AJ431=-2,1+regle!$B$35,1),
IF(Q431=regle!$C$11,regle!$C$23,
IF(Q431=regle!$D$11,regle!$D$23,
IF(Q431=regle!$E$11,regle!$E$23,
IF(Q431=regle!$F$11,regle!$F$23,
IF(Q431=regle!$G$11,regle!$G$23,
IF(Q431=regle!$H$11,regle!$H$23,
IF(Q431=regle!$I$11,regle!$I$23,
IF(Q431=regle!$J$11,regle!$J$23,
IF(Q431=regle!$K$11,regle!$K$23,0))))))))))))</f>
        <v>0</v>
      </c>
      <c r="AB431" s="17" t="b">
        <f>IF($A431,$J431*(IF(R431=regle!$B$11,regle!$B$23*IF(AK431=-2,1+regle!$B$35,1),
IF(R431=regle!$C$11,regle!$C$23,
IF(R431=regle!$D$11,regle!$D$23,
IF(R431=regle!$E$11,regle!$E$23,
IF(R431=regle!$F$11,regle!$F$23,
IF(R431=regle!$G$11,regle!$G$23,
IF(R431=regle!$H$11,regle!$H$23,
IF(R431=regle!$I$11,regle!$I$23,
IF(R431=regle!$J$11,regle!$J$23,
IF(R431=regle!$K$11,regle!$K$23,0))))))))))))</f>
        <v>0</v>
      </c>
      <c r="AC431" s="17" t="b">
        <f>IF($A431,$J431*(IF(S431=regle!$B$11,regle!$B$23*IF(AL431=-2,1+regle!$B$35,1),
IF(S431=regle!$C$11,regle!$C$23,
IF(S431=regle!$D$11,regle!$D$23,
IF(S431=regle!$E$11,regle!$E$23,
IF(S431=regle!$F$11,regle!$F$23,
IF(S431=regle!$G$11,regle!$G$23,
IF(S431=regle!$H$11,regle!$H$23,
IF(S431=regle!$I$11,regle!$I$23,
IF(S431=regle!$J$11,regle!$J$23,
IF(S431=regle!$K$11,regle!$K$23,0))))))))))))</f>
        <v>0</v>
      </c>
      <c r="AD431" s="17" t="b">
        <f>IF($A431,$J431*(IF(T431=regle!$B$11,regle!$B$23*IF(AM431=-2,1+regle!$B$35,1),
IF(T431=regle!$C$11,regle!$C$23,
IF(T431=regle!$D$11,regle!$D$23,
IF(T431=regle!$E$11,regle!$E$23,
IF(T431=regle!$F$11,regle!$F$23,
IF(T431=regle!$G$11,regle!$G$23,
IF(T431=regle!$H$11,regle!$H$23,
IF(T431=regle!$I$11,regle!$I$23,
IF(T431=regle!$J$11,regle!$J$23,
IF(T431=regle!$K$11,regle!$K$23,0))))))))))))</f>
        <v>0</v>
      </c>
      <c r="AE431" s="17" t="b">
        <f>IF($A431,$J431*(IF(U431=regle!$B$11,regle!$B$23*IF(AN431=-2,1+regle!$B$35,1),
IF(U431=regle!$C$11,regle!$C$23,
IF(U431=regle!$D$11,regle!$D$23,
IF(U431=regle!$E$11,regle!$E$23,
IF(U431=regle!$F$11,regle!$F$23,
IF(U431=regle!$G$11,regle!$G$23,
IF(U431=regle!$H$11,regle!$H$23,
IF(U431=regle!$I$11,regle!$I$23,
IF(U431=regle!$J$11,regle!$J$23,
IF(U431=regle!$K$11,regle!$K$23,0))))))))))))</f>
        <v>0</v>
      </c>
      <c r="AF431" s="17" t="b">
        <f>IF($A431,$J431*(IF(V431=regle!$B$11,regle!$B$23*IF(AO431=-2,1+regle!$B$35,1),
IF(V431=regle!$C$11,regle!$C$23,
IF(V431=regle!$D$11,regle!$D$23,
IF(V431=regle!$E$11,regle!$E$23,
IF(V431=regle!$F$11,regle!$F$23,
IF(V431=regle!$G$11,regle!$G$23,
IF(V431=regle!$H$11,regle!$H$23,
IF(V431=regle!$I$11,regle!$I$23,
IF(V431=regle!$J$11,regle!$J$23,
IF(V431=regle!$K$11,regle!$K$23,0))))))))))))</f>
        <v>0</v>
      </c>
      <c r="AG431" s="17" t="b">
        <f>IF($A431,$J431*(IF(W431=regle!$B$11,regle!$B$23*IF(AP431=-2,1+regle!$B$35,1),
IF(W431=regle!$C$11,regle!$C$23,
IF(W431=regle!$D$11,regle!$D$23,
IF(W431=regle!$E$11,regle!$E$23,
IF(W431=regle!$F$11,regle!$F$23,
IF(W431=regle!$G$11,regle!$G$23,
IF(W431=regle!$H$11,regle!$H$23,
IF(W431=regle!$I$11,regle!$I$23,
IF(W431=regle!$J$11,regle!$J$23,
IF(W431=regle!$K$11,regle!$K$23,0))))))))))))</f>
        <v>0</v>
      </c>
      <c r="AH431" s="17" t="b">
        <f>IF($A431,$J431*(IF(X431=regle!$B$11,regle!$B$23*IF(AQ431=-2,1+regle!$B$35,1),
IF(X431=regle!$C$11,regle!$C$23,
IF(X431=regle!$D$11,regle!$D$23,
IF(X431=regle!$E$11,regle!$E$23,
IF(X431=regle!$F$11,regle!$F$23,
IF(X431=regle!$G$11,regle!$G$23,
IF(X431=regle!$H$11,regle!$H$23,
IF(X431=regle!$I$11,regle!$I$23,
IF(X431=regle!$J$11,regle!$J$23,
IF(X431=regle!$K$11,regle!$K$23,0))))))))))))</f>
        <v>0</v>
      </c>
      <c r="AI431" s="17" t="b">
        <f>IF($A431,$J431*(IF(Y431=regle!$B$11,regle!$B$23*IF(AR431=-2,1+regle!$B$35,1),
IF(Y431=regle!$C$11,regle!$C$23,
IF(Y431=regle!$D$11,regle!$D$23,
IF(Y431=regle!$E$11,regle!$E$23,
IF(Y431=regle!$F$11,regle!$F$23,
IF(Y431=regle!$G$11,regle!$G$23,
IF(Y431=regle!$H$11,regle!$H$23,
IF(Y431=regle!$I$11,regle!$I$23,
IF(Y431=regle!$J$11,regle!$J$23,
IF(Y431=regle!$K$11,regle!$K$23,0))))))))))))</f>
        <v>0</v>
      </c>
      <c r="AJ431" s="17" t="b">
        <f>IF($A431,$J431*(IF(Z431=regle!$B$11,regle!$B$23*IF(AS431=-2,1+regle!$B$35,1),
IF(Z431=regle!$C$11,regle!$C$23,
IF(Z431=regle!$D$11,regle!$D$23,
IF(Z431=regle!$E$11,regle!$E$23,
IF(Z431=regle!$F$11,regle!$F$23,
IF(Z431=regle!$G$11,regle!$G$23,
IF(Z431=regle!$H$11,regle!$H$23,
IF(Z431=regle!$I$11,regle!$I$23,
IF(Z431=regle!$J$11,regle!$J$23,
IF(Z431=regle!$K$11,regle!$K$23,0))))))))))))</f>
        <v>0</v>
      </c>
      <c r="AK431" s="16">
        <f>IF(OR(Q431=regle!$J$11,Q431=regle!$K$11),-2,IF(Q431=regle!$B$11,0,IF(AK$1=$AK$1,IF($O431,-1,regle!$B$2-$M431),IF(AJ431=-1,-1,AJ431+1))))</f>
        <v>44</v>
      </c>
      <c r="AL431" s="16">
        <f>IF(OR(R431=regle!$J$11,R431=regle!$K$11),-2,IF(R431=regle!$B$11,0,IF(AL$1=$AK$1,IF($O431,-1,regle!$B$2-$M431),IF(AK431=-1,-1,AK431+1))))</f>
        <v>45</v>
      </c>
      <c r="AM431" s="16">
        <f>IF(OR(S431=regle!$J$11,S431=regle!$K$11),-2,IF(S431=regle!$B$11,0,IF(AM$1=$AK$1,IF($O431,-1,regle!$B$2-$M431),IF(AL431=-1,-1,AL431+1))))</f>
        <v>46</v>
      </c>
      <c r="AN431" s="16">
        <f>IF(OR(T431=regle!$J$11,T431=regle!$K$11),-2,IF(T431=regle!$B$11,0,IF(AN$1=$AK$1,IF($O431,-1,regle!$B$2-$M431),IF(AM431=-1,-1,AM431+1))))</f>
        <v>47</v>
      </c>
      <c r="AO431" s="16">
        <f>IF(OR(U431=regle!$J$11,U431=regle!$K$11),-2,IF(U431=regle!$B$11,0,IF(AO$1=$AK$1,IF($O431,-1,regle!$B$2-$M431),IF(AN431=-1,-1,AN431+1))))</f>
        <v>48</v>
      </c>
      <c r="AP431" s="16">
        <f>IF(OR(V431=regle!$J$11,V431=regle!$K$11),-2,IF(V431=regle!$B$11,0,IF(AP$1=$AK$1,IF($O431,-1,regle!$B$2-$M431),IF(AO431=-1,-1,AO431+1))))</f>
        <v>49</v>
      </c>
      <c r="AQ431" s="16">
        <f>IF(OR(W431=regle!$J$11,W431=regle!$K$11),-2,IF(W431=regle!$B$11,0,IF(AQ$1=$AK$1,IF($O431,-1,regle!$B$2-$M431),IF(AP431=-1,-1,AP431+1))))</f>
        <v>50</v>
      </c>
      <c r="AR431" s="16">
        <f>IF(OR(X431=regle!$J$11,X431=regle!$K$11),-2,IF(X431=regle!$B$11,0,IF(AR$1=$AK$1,IF($O431,-1,regle!$B$2-$M431),IF(AQ431=-1,-1,AQ431+1))))</f>
        <v>51</v>
      </c>
      <c r="AS431" s="16">
        <f>IF(OR(Y431=regle!$J$11,Y431=regle!$K$11),-2,IF(Y431=regle!$B$11,0,IF(AS$1=$AK$1,IF($O431,-1,regle!$B$2-$M431),IF(AR431=-1,-1,AR431+1))))</f>
        <v>52</v>
      </c>
      <c r="AT431" s="16">
        <f>IF(OR(Z431=regle!$J$11,Z431=regle!$K$11),-2,IF(Z431=regle!$B$11,0,IF(AT$1=$AK$1,IF($O431,-1,regle!$B$2-$M431),IF(AS431=-1,-1,AS431+1))))</f>
        <v>53</v>
      </c>
    </row>
    <row r="432" spans="1:46" x14ac:dyDescent="0.25">
      <c r="A432" t="b">
        <f>modif1!A432</f>
        <v>0</v>
      </c>
      <c r="B432">
        <f>ROW(modif1!B432)</f>
        <v>432</v>
      </c>
      <c r="C432" t="str">
        <f>modif1!C435</f>
        <v>077</v>
      </c>
      <c r="D432" t="str">
        <f>modif1!D432</f>
        <v>LE TUZAN</v>
      </c>
      <c r="E432">
        <f>modif1!E432</f>
        <v>11</v>
      </c>
      <c r="F432" t="str">
        <f>modif1!F432</f>
        <v>LA HONTEYRE</v>
      </c>
      <c r="G432" t="str">
        <f>modif1!G432</f>
        <v>0A</v>
      </c>
      <c r="H432">
        <f>modif1!H432</f>
        <v>255</v>
      </c>
      <c r="I432" t="str">
        <f>modif1!I432</f>
        <v/>
      </c>
      <c r="J432" s="11">
        <f>modif1!J432</f>
        <v>0.66800000000000004</v>
      </c>
      <c r="K432" t="str">
        <f>modif1!K432</f>
        <v>TAIL</v>
      </c>
      <c r="L432" t="str">
        <f>modif1!L432</f>
        <v>FEUIL</v>
      </c>
      <c r="M432">
        <f>modif1!M432</f>
        <v>1980</v>
      </c>
      <c r="N432" t="str">
        <f>modif1!N432</f>
        <v>TAIL-FEUIL_1980</v>
      </c>
      <c r="O432" t="b">
        <f>modif1!O432</f>
        <v>0</v>
      </c>
      <c r="Z432"/>
      <c r="AA432" s="17" t="b">
        <f>IF($A432,$J432*(IF(Q432=regle!$B$11,regle!$B$23*IF(AJ432=-2,1+regle!$B$35,1),
IF(Q432=regle!$C$11,regle!$C$23,
IF(Q432=regle!$D$11,regle!$D$23,
IF(Q432=regle!$E$11,regle!$E$23,
IF(Q432=regle!$F$11,regle!$F$23,
IF(Q432=regle!$G$11,regle!$G$23,
IF(Q432=regle!$H$11,regle!$H$23,
IF(Q432=regle!$I$11,regle!$I$23,
IF(Q432=regle!$J$11,regle!$J$23,
IF(Q432=regle!$K$11,regle!$K$23,0))))))))))))</f>
        <v>0</v>
      </c>
      <c r="AB432" s="17" t="b">
        <f>IF($A432,$J432*(IF(R432=regle!$B$11,regle!$B$23*IF(AK432=-2,1+regle!$B$35,1),
IF(R432=regle!$C$11,regle!$C$23,
IF(R432=regle!$D$11,regle!$D$23,
IF(R432=regle!$E$11,regle!$E$23,
IF(R432=regle!$F$11,regle!$F$23,
IF(R432=regle!$G$11,regle!$G$23,
IF(R432=regle!$H$11,regle!$H$23,
IF(R432=regle!$I$11,regle!$I$23,
IF(R432=regle!$J$11,regle!$J$23,
IF(R432=regle!$K$11,regle!$K$23,0))))))))))))</f>
        <v>0</v>
      </c>
      <c r="AC432" s="17" t="b">
        <f>IF($A432,$J432*(IF(S432=regle!$B$11,regle!$B$23*IF(AL432=-2,1+regle!$B$35,1),
IF(S432=regle!$C$11,regle!$C$23,
IF(S432=regle!$D$11,regle!$D$23,
IF(S432=regle!$E$11,regle!$E$23,
IF(S432=regle!$F$11,regle!$F$23,
IF(S432=regle!$G$11,regle!$G$23,
IF(S432=regle!$H$11,regle!$H$23,
IF(S432=regle!$I$11,regle!$I$23,
IF(S432=regle!$J$11,regle!$J$23,
IF(S432=regle!$K$11,regle!$K$23,0))))))))))))</f>
        <v>0</v>
      </c>
      <c r="AD432" s="17" t="b">
        <f>IF($A432,$J432*(IF(T432=regle!$B$11,regle!$B$23*IF(AM432=-2,1+regle!$B$35,1),
IF(T432=regle!$C$11,regle!$C$23,
IF(T432=regle!$D$11,regle!$D$23,
IF(T432=regle!$E$11,regle!$E$23,
IF(T432=regle!$F$11,regle!$F$23,
IF(T432=regle!$G$11,regle!$G$23,
IF(T432=regle!$H$11,regle!$H$23,
IF(T432=regle!$I$11,regle!$I$23,
IF(T432=regle!$J$11,regle!$J$23,
IF(T432=regle!$K$11,regle!$K$23,0))))))))))))</f>
        <v>0</v>
      </c>
      <c r="AE432" s="17" t="b">
        <f>IF($A432,$J432*(IF(U432=regle!$B$11,regle!$B$23*IF(AN432=-2,1+regle!$B$35,1),
IF(U432=regle!$C$11,regle!$C$23,
IF(U432=regle!$D$11,regle!$D$23,
IF(U432=regle!$E$11,regle!$E$23,
IF(U432=regle!$F$11,regle!$F$23,
IF(U432=regle!$G$11,regle!$G$23,
IF(U432=regle!$H$11,regle!$H$23,
IF(U432=regle!$I$11,regle!$I$23,
IF(U432=regle!$J$11,regle!$J$23,
IF(U432=regle!$K$11,regle!$K$23,0))))))))))))</f>
        <v>0</v>
      </c>
      <c r="AF432" s="17" t="b">
        <f>IF($A432,$J432*(IF(V432=regle!$B$11,regle!$B$23*IF(AO432=-2,1+regle!$B$35,1),
IF(V432=regle!$C$11,regle!$C$23,
IF(V432=regle!$D$11,regle!$D$23,
IF(V432=regle!$E$11,regle!$E$23,
IF(V432=regle!$F$11,regle!$F$23,
IF(V432=regle!$G$11,regle!$G$23,
IF(V432=regle!$H$11,regle!$H$23,
IF(V432=regle!$I$11,regle!$I$23,
IF(V432=regle!$J$11,regle!$J$23,
IF(V432=regle!$K$11,regle!$K$23,0))))))))))))</f>
        <v>0</v>
      </c>
      <c r="AG432" s="17" t="b">
        <f>IF($A432,$J432*(IF(W432=regle!$B$11,regle!$B$23*IF(AP432=-2,1+regle!$B$35,1),
IF(W432=regle!$C$11,regle!$C$23,
IF(W432=regle!$D$11,regle!$D$23,
IF(W432=regle!$E$11,regle!$E$23,
IF(W432=regle!$F$11,regle!$F$23,
IF(W432=regle!$G$11,regle!$G$23,
IF(W432=regle!$H$11,regle!$H$23,
IF(W432=regle!$I$11,regle!$I$23,
IF(W432=regle!$J$11,regle!$J$23,
IF(W432=regle!$K$11,regle!$K$23,0))))))))))))</f>
        <v>0</v>
      </c>
      <c r="AH432" s="17" t="b">
        <f>IF($A432,$J432*(IF(X432=regle!$B$11,regle!$B$23*IF(AQ432=-2,1+regle!$B$35,1),
IF(X432=regle!$C$11,regle!$C$23,
IF(X432=regle!$D$11,regle!$D$23,
IF(X432=regle!$E$11,regle!$E$23,
IF(X432=regle!$F$11,regle!$F$23,
IF(X432=regle!$G$11,regle!$G$23,
IF(X432=regle!$H$11,regle!$H$23,
IF(X432=regle!$I$11,regle!$I$23,
IF(X432=regle!$J$11,regle!$J$23,
IF(X432=regle!$K$11,regle!$K$23,0))))))))))))</f>
        <v>0</v>
      </c>
      <c r="AI432" s="17" t="b">
        <f>IF($A432,$J432*(IF(Y432=regle!$B$11,regle!$B$23*IF(AR432=-2,1+regle!$B$35,1),
IF(Y432=regle!$C$11,regle!$C$23,
IF(Y432=regle!$D$11,regle!$D$23,
IF(Y432=regle!$E$11,regle!$E$23,
IF(Y432=regle!$F$11,regle!$F$23,
IF(Y432=regle!$G$11,regle!$G$23,
IF(Y432=regle!$H$11,regle!$H$23,
IF(Y432=regle!$I$11,regle!$I$23,
IF(Y432=regle!$J$11,regle!$J$23,
IF(Y432=regle!$K$11,regle!$K$23,0))))))))))))</f>
        <v>0</v>
      </c>
      <c r="AJ432" s="17" t="b">
        <f>IF($A432,$J432*(IF(Z432=regle!$B$11,regle!$B$23*IF(AS432=-2,1+regle!$B$35,1),
IF(Z432=regle!$C$11,regle!$C$23,
IF(Z432=regle!$D$11,regle!$D$23,
IF(Z432=regle!$E$11,regle!$E$23,
IF(Z432=regle!$F$11,regle!$F$23,
IF(Z432=regle!$G$11,regle!$G$23,
IF(Z432=regle!$H$11,regle!$H$23,
IF(Z432=regle!$I$11,regle!$I$23,
IF(Z432=regle!$J$11,regle!$J$23,
IF(Z432=regle!$K$11,regle!$K$23,0))))))))))))</f>
        <v>0</v>
      </c>
      <c r="AK432" s="16">
        <f>IF(OR(Q432=regle!$J$11,Q432=regle!$K$11),-2,IF(Q432=regle!$B$11,0,IF(AK$1=$AK$1,IF($O432,-1,regle!$B$2-$M432),IF(AJ432=-1,-1,AJ432+1))))</f>
        <v>44</v>
      </c>
      <c r="AL432" s="16">
        <f>IF(OR(R432=regle!$J$11,R432=regle!$K$11),-2,IF(R432=regle!$B$11,0,IF(AL$1=$AK$1,IF($O432,-1,regle!$B$2-$M432),IF(AK432=-1,-1,AK432+1))))</f>
        <v>45</v>
      </c>
      <c r="AM432" s="16">
        <f>IF(OR(S432=regle!$J$11,S432=regle!$K$11),-2,IF(S432=regle!$B$11,0,IF(AM$1=$AK$1,IF($O432,-1,regle!$B$2-$M432),IF(AL432=-1,-1,AL432+1))))</f>
        <v>46</v>
      </c>
      <c r="AN432" s="16">
        <f>IF(OR(T432=regle!$J$11,T432=regle!$K$11),-2,IF(T432=regle!$B$11,0,IF(AN$1=$AK$1,IF($O432,-1,regle!$B$2-$M432),IF(AM432=-1,-1,AM432+1))))</f>
        <v>47</v>
      </c>
      <c r="AO432" s="16">
        <f>IF(OR(U432=regle!$J$11,U432=regle!$K$11),-2,IF(U432=regle!$B$11,0,IF(AO$1=$AK$1,IF($O432,-1,regle!$B$2-$M432),IF(AN432=-1,-1,AN432+1))))</f>
        <v>48</v>
      </c>
      <c r="AP432" s="16">
        <f>IF(OR(V432=regle!$J$11,V432=regle!$K$11),-2,IF(V432=regle!$B$11,0,IF(AP$1=$AK$1,IF($O432,-1,regle!$B$2-$M432),IF(AO432=-1,-1,AO432+1))))</f>
        <v>49</v>
      </c>
      <c r="AQ432" s="16">
        <f>IF(OR(W432=regle!$J$11,W432=regle!$K$11),-2,IF(W432=regle!$B$11,0,IF(AQ$1=$AK$1,IF($O432,-1,regle!$B$2-$M432),IF(AP432=-1,-1,AP432+1))))</f>
        <v>50</v>
      </c>
      <c r="AR432" s="16">
        <f>IF(OR(X432=regle!$J$11,X432=regle!$K$11),-2,IF(X432=regle!$B$11,0,IF(AR$1=$AK$1,IF($O432,-1,regle!$B$2-$M432),IF(AQ432=-1,-1,AQ432+1))))</f>
        <v>51</v>
      </c>
      <c r="AS432" s="16">
        <f>IF(OR(Y432=regle!$J$11,Y432=regle!$K$11),-2,IF(Y432=regle!$B$11,0,IF(AS$1=$AK$1,IF($O432,-1,regle!$B$2-$M432),IF(AR432=-1,-1,AR432+1))))</f>
        <v>52</v>
      </c>
      <c r="AT432" s="16">
        <f>IF(OR(Z432=regle!$J$11,Z432=regle!$K$11),-2,IF(Z432=regle!$B$11,0,IF(AT$1=$AK$1,IF($O432,-1,regle!$B$2-$M432),IF(AS432=-1,-1,AS432+1))))</f>
        <v>53</v>
      </c>
    </row>
    <row r="433" spans="1:46" x14ac:dyDescent="0.25">
      <c r="A433" t="b">
        <f>modif1!A433</f>
        <v>0</v>
      </c>
      <c r="B433">
        <f>ROW(modif1!B433)</f>
        <v>433</v>
      </c>
      <c r="C433" t="str">
        <f>modif1!C436</f>
        <v>536</v>
      </c>
      <c r="D433" t="str">
        <f>modif1!D433</f>
        <v>MANO</v>
      </c>
      <c r="E433">
        <f>modif1!E433</f>
        <v>17</v>
      </c>
      <c r="F433" t="str">
        <f>modif1!F433</f>
        <v>LANDE DE TABARTON</v>
      </c>
      <c r="G433" t="str">
        <f>modif1!G433</f>
        <v>0B</v>
      </c>
      <c r="H433">
        <f>modif1!H433</f>
        <v>296</v>
      </c>
      <c r="I433" t="str">
        <f>modif1!I433</f>
        <v/>
      </c>
      <c r="J433" s="11">
        <f>modif1!J433</f>
        <v>0.66400000000000003</v>
      </c>
      <c r="K433" t="str">
        <f>modif1!K433</f>
        <v>TAIL</v>
      </c>
      <c r="L433" t="str">
        <f>modif1!L433</f>
        <v>FEUIL</v>
      </c>
      <c r="M433">
        <f>modif1!M433</f>
        <v>1980</v>
      </c>
      <c r="N433" t="str">
        <f>modif1!N433</f>
        <v>TAIL-FEUIL_1980</v>
      </c>
      <c r="O433" t="b">
        <f>modif1!O433</f>
        <v>0</v>
      </c>
      <c r="Z433"/>
      <c r="AA433" s="17" t="b">
        <f>IF($A433,$J433*(IF(Q433=regle!$B$11,regle!$B$23*IF(AJ433=-2,1+regle!$B$35,1),
IF(Q433=regle!$C$11,regle!$C$23,
IF(Q433=regle!$D$11,regle!$D$23,
IF(Q433=regle!$E$11,regle!$E$23,
IF(Q433=regle!$F$11,regle!$F$23,
IF(Q433=regle!$G$11,regle!$G$23,
IF(Q433=regle!$H$11,regle!$H$23,
IF(Q433=regle!$I$11,regle!$I$23,
IF(Q433=regle!$J$11,regle!$J$23,
IF(Q433=regle!$K$11,regle!$K$23,0))))))))))))</f>
        <v>0</v>
      </c>
      <c r="AB433" s="17" t="b">
        <f>IF($A433,$J433*(IF(R433=regle!$B$11,regle!$B$23*IF(AK433=-2,1+regle!$B$35,1),
IF(R433=regle!$C$11,regle!$C$23,
IF(R433=regle!$D$11,regle!$D$23,
IF(R433=regle!$E$11,regle!$E$23,
IF(R433=regle!$F$11,regle!$F$23,
IF(R433=regle!$G$11,regle!$G$23,
IF(R433=regle!$H$11,regle!$H$23,
IF(R433=regle!$I$11,regle!$I$23,
IF(R433=regle!$J$11,regle!$J$23,
IF(R433=regle!$K$11,regle!$K$23,0))))))))))))</f>
        <v>0</v>
      </c>
      <c r="AC433" s="17" t="b">
        <f>IF($A433,$J433*(IF(S433=regle!$B$11,regle!$B$23*IF(AL433=-2,1+regle!$B$35,1),
IF(S433=regle!$C$11,regle!$C$23,
IF(S433=regle!$D$11,regle!$D$23,
IF(S433=regle!$E$11,regle!$E$23,
IF(S433=regle!$F$11,regle!$F$23,
IF(S433=regle!$G$11,regle!$G$23,
IF(S433=regle!$H$11,regle!$H$23,
IF(S433=regle!$I$11,regle!$I$23,
IF(S433=regle!$J$11,regle!$J$23,
IF(S433=regle!$K$11,regle!$K$23,0))))))))))))</f>
        <v>0</v>
      </c>
      <c r="AD433" s="17" t="b">
        <f>IF($A433,$J433*(IF(T433=regle!$B$11,regle!$B$23*IF(AM433=-2,1+regle!$B$35,1),
IF(T433=regle!$C$11,regle!$C$23,
IF(T433=regle!$D$11,regle!$D$23,
IF(T433=regle!$E$11,regle!$E$23,
IF(T433=regle!$F$11,regle!$F$23,
IF(T433=regle!$G$11,regle!$G$23,
IF(T433=regle!$H$11,regle!$H$23,
IF(T433=regle!$I$11,regle!$I$23,
IF(T433=regle!$J$11,regle!$J$23,
IF(T433=regle!$K$11,regle!$K$23,0))))))))))))</f>
        <v>0</v>
      </c>
      <c r="AE433" s="17" t="b">
        <f>IF($A433,$J433*(IF(U433=regle!$B$11,regle!$B$23*IF(AN433=-2,1+regle!$B$35,1),
IF(U433=regle!$C$11,regle!$C$23,
IF(U433=regle!$D$11,regle!$D$23,
IF(U433=regle!$E$11,regle!$E$23,
IF(U433=regle!$F$11,regle!$F$23,
IF(U433=regle!$G$11,regle!$G$23,
IF(U433=regle!$H$11,regle!$H$23,
IF(U433=regle!$I$11,regle!$I$23,
IF(U433=regle!$J$11,regle!$J$23,
IF(U433=regle!$K$11,regle!$K$23,0))))))))))))</f>
        <v>0</v>
      </c>
      <c r="AF433" s="17" t="b">
        <f>IF($A433,$J433*(IF(V433=regle!$B$11,regle!$B$23*IF(AO433=-2,1+regle!$B$35,1),
IF(V433=regle!$C$11,regle!$C$23,
IF(V433=regle!$D$11,regle!$D$23,
IF(V433=regle!$E$11,regle!$E$23,
IF(V433=regle!$F$11,regle!$F$23,
IF(V433=regle!$G$11,regle!$G$23,
IF(V433=regle!$H$11,regle!$H$23,
IF(V433=regle!$I$11,regle!$I$23,
IF(V433=regle!$J$11,regle!$J$23,
IF(V433=regle!$K$11,regle!$K$23,0))))))))))))</f>
        <v>0</v>
      </c>
      <c r="AG433" s="17" t="b">
        <f>IF($A433,$J433*(IF(W433=regle!$B$11,regle!$B$23*IF(AP433=-2,1+regle!$B$35,1),
IF(W433=regle!$C$11,regle!$C$23,
IF(W433=regle!$D$11,regle!$D$23,
IF(W433=regle!$E$11,regle!$E$23,
IF(W433=regle!$F$11,regle!$F$23,
IF(W433=regle!$G$11,regle!$G$23,
IF(W433=regle!$H$11,regle!$H$23,
IF(W433=regle!$I$11,regle!$I$23,
IF(W433=regle!$J$11,regle!$J$23,
IF(W433=regle!$K$11,regle!$K$23,0))))))))))))</f>
        <v>0</v>
      </c>
      <c r="AH433" s="17" t="b">
        <f>IF($A433,$J433*(IF(X433=regle!$B$11,regle!$B$23*IF(AQ433=-2,1+regle!$B$35,1),
IF(X433=regle!$C$11,regle!$C$23,
IF(X433=regle!$D$11,regle!$D$23,
IF(X433=regle!$E$11,regle!$E$23,
IF(X433=regle!$F$11,regle!$F$23,
IF(X433=regle!$G$11,regle!$G$23,
IF(X433=regle!$H$11,regle!$H$23,
IF(X433=regle!$I$11,regle!$I$23,
IF(X433=regle!$J$11,regle!$J$23,
IF(X433=regle!$K$11,regle!$K$23,0))))))))))))</f>
        <v>0</v>
      </c>
      <c r="AI433" s="17" t="b">
        <f>IF($A433,$J433*(IF(Y433=regle!$B$11,regle!$B$23*IF(AR433=-2,1+regle!$B$35,1),
IF(Y433=regle!$C$11,regle!$C$23,
IF(Y433=regle!$D$11,regle!$D$23,
IF(Y433=regle!$E$11,regle!$E$23,
IF(Y433=regle!$F$11,regle!$F$23,
IF(Y433=regle!$G$11,regle!$G$23,
IF(Y433=regle!$H$11,regle!$H$23,
IF(Y433=regle!$I$11,regle!$I$23,
IF(Y433=regle!$J$11,regle!$J$23,
IF(Y433=regle!$K$11,regle!$K$23,0))))))))))))</f>
        <v>0</v>
      </c>
      <c r="AJ433" s="17" t="b">
        <f>IF($A433,$J433*(IF(Z433=regle!$B$11,regle!$B$23*IF(AS433=-2,1+regle!$B$35,1),
IF(Z433=regle!$C$11,regle!$C$23,
IF(Z433=regle!$D$11,regle!$D$23,
IF(Z433=regle!$E$11,regle!$E$23,
IF(Z433=regle!$F$11,regle!$F$23,
IF(Z433=regle!$G$11,regle!$G$23,
IF(Z433=regle!$H$11,regle!$H$23,
IF(Z433=regle!$I$11,regle!$I$23,
IF(Z433=regle!$J$11,regle!$J$23,
IF(Z433=regle!$K$11,regle!$K$23,0))))))))))))</f>
        <v>0</v>
      </c>
      <c r="AK433" s="16">
        <f>IF(OR(Q433=regle!$J$11,Q433=regle!$K$11),-2,IF(Q433=regle!$B$11,0,IF(AK$1=$AK$1,IF($O433,-1,regle!$B$2-$M433),IF(AJ433=-1,-1,AJ433+1))))</f>
        <v>44</v>
      </c>
      <c r="AL433" s="16">
        <f>IF(OR(R433=regle!$J$11,R433=regle!$K$11),-2,IF(R433=regle!$B$11,0,IF(AL$1=$AK$1,IF($O433,-1,regle!$B$2-$M433),IF(AK433=-1,-1,AK433+1))))</f>
        <v>45</v>
      </c>
      <c r="AM433" s="16">
        <f>IF(OR(S433=regle!$J$11,S433=regle!$K$11),-2,IF(S433=regle!$B$11,0,IF(AM$1=$AK$1,IF($O433,-1,regle!$B$2-$M433),IF(AL433=-1,-1,AL433+1))))</f>
        <v>46</v>
      </c>
      <c r="AN433" s="16">
        <f>IF(OR(T433=regle!$J$11,T433=regle!$K$11),-2,IF(T433=regle!$B$11,0,IF(AN$1=$AK$1,IF($O433,-1,regle!$B$2-$M433),IF(AM433=-1,-1,AM433+1))))</f>
        <v>47</v>
      </c>
      <c r="AO433" s="16">
        <f>IF(OR(U433=regle!$J$11,U433=regle!$K$11),-2,IF(U433=regle!$B$11,0,IF(AO$1=$AK$1,IF($O433,-1,regle!$B$2-$M433),IF(AN433=-1,-1,AN433+1))))</f>
        <v>48</v>
      </c>
      <c r="AP433" s="16">
        <f>IF(OR(V433=regle!$J$11,V433=regle!$K$11),-2,IF(V433=regle!$B$11,0,IF(AP$1=$AK$1,IF($O433,-1,regle!$B$2-$M433),IF(AO433=-1,-1,AO433+1))))</f>
        <v>49</v>
      </c>
      <c r="AQ433" s="16">
        <f>IF(OR(W433=regle!$J$11,W433=regle!$K$11),-2,IF(W433=regle!$B$11,0,IF(AQ$1=$AK$1,IF($O433,-1,regle!$B$2-$M433),IF(AP433=-1,-1,AP433+1))))</f>
        <v>50</v>
      </c>
      <c r="AR433" s="16">
        <f>IF(OR(X433=regle!$J$11,X433=regle!$K$11),-2,IF(X433=regle!$B$11,0,IF(AR$1=$AK$1,IF($O433,-1,regle!$B$2-$M433),IF(AQ433=-1,-1,AQ433+1))))</f>
        <v>51</v>
      </c>
      <c r="AS433" s="16">
        <f>IF(OR(Y433=regle!$J$11,Y433=regle!$K$11),-2,IF(Y433=regle!$B$11,0,IF(AS$1=$AK$1,IF($O433,-1,regle!$B$2-$M433),IF(AR433=-1,-1,AR433+1))))</f>
        <v>52</v>
      </c>
      <c r="AT433" s="16">
        <f>IF(OR(Z433=regle!$J$11,Z433=regle!$K$11),-2,IF(Z433=regle!$B$11,0,IF(AT$1=$AK$1,IF($O433,-1,regle!$B$2-$M433),IF(AS433=-1,-1,AS433+1))))</f>
        <v>53</v>
      </c>
    </row>
    <row r="434" spans="1:46" x14ac:dyDescent="0.25">
      <c r="A434" t="b">
        <f>modif1!A434</f>
        <v>0</v>
      </c>
      <c r="B434">
        <f>ROW(modif1!B434)</f>
        <v>434</v>
      </c>
      <c r="C434" t="str">
        <f>modif1!C437</f>
        <v>536</v>
      </c>
      <c r="D434" t="str">
        <f>modif1!D434</f>
        <v>LE TUZAN</v>
      </c>
      <c r="E434">
        <f>modif1!E434</f>
        <v>16</v>
      </c>
      <c r="F434" t="str">
        <f>modif1!F434</f>
        <v>LA GRAVE REDONNE</v>
      </c>
      <c r="G434" t="str">
        <f>modif1!G434</f>
        <v>0A</v>
      </c>
      <c r="H434">
        <f>modif1!H434</f>
        <v>313</v>
      </c>
      <c r="I434" t="str">
        <f>modif1!I434</f>
        <v/>
      </c>
      <c r="J434" s="11">
        <f>modif1!J434</f>
        <v>0.06</v>
      </c>
      <c r="K434" t="str">
        <f>modif1!K434</f>
        <v>TAIL</v>
      </c>
      <c r="L434" t="str">
        <f>modif1!L434</f>
        <v>FEUIL</v>
      </c>
      <c r="M434">
        <f>modif1!M434</f>
        <v>1980</v>
      </c>
      <c r="N434" t="str">
        <f>modif1!N434</f>
        <v>TAIL-FEUIL_1980</v>
      </c>
      <c r="O434" t="b">
        <f>modif1!O434</f>
        <v>0</v>
      </c>
      <c r="Z434"/>
      <c r="AA434" s="17" t="b">
        <f>IF($A434,$J434*(IF(Q434=regle!$B$11,regle!$B$23*IF(AJ434=-2,1+regle!$B$35,1),
IF(Q434=regle!$C$11,regle!$C$23,
IF(Q434=regle!$D$11,regle!$D$23,
IF(Q434=regle!$E$11,regle!$E$23,
IF(Q434=regle!$F$11,regle!$F$23,
IF(Q434=regle!$G$11,regle!$G$23,
IF(Q434=regle!$H$11,regle!$H$23,
IF(Q434=regle!$I$11,regle!$I$23,
IF(Q434=regle!$J$11,regle!$J$23,
IF(Q434=regle!$K$11,regle!$K$23,0))))))))))))</f>
        <v>0</v>
      </c>
      <c r="AB434" s="17" t="b">
        <f>IF($A434,$J434*(IF(R434=regle!$B$11,regle!$B$23*IF(AK434=-2,1+regle!$B$35,1),
IF(R434=regle!$C$11,regle!$C$23,
IF(R434=regle!$D$11,regle!$D$23,
IF(R434=regle!$E$11,regle!$E$23,
IF(R434=regle!$F$11,regle!$F$23,
IF(R434=regle!$G$11,regle!$G$23,
IF(R434=regle!$H$11,regle!$H$23,
IF(R434=regle!$I$11,regle!$I$23,
IF(R434=regle!$J$11,regle!$J$23,
IF(R434=regle!$K$11,regle!$K$23,0))))))))))))</f>
        <v>0</v>
      </c>
      <c r="AC434" s="17" t="b">
        <f>IF($A434,$J434*(IF(S434=regle!$B$11,regle!$B$23*IF(AL434=-2,1+regle!$B$35,1),
IF(S434=regle!$C$11,regle!$C$23,
IF(S434=regle!$D$11,regle!$D$23,
IF(S434=regle!$E$11,regle!$E$23,
IF(S434=regle!$F$11,regle!$F$23,
IF(S434=regle!$G$11,regle!$G$23,
IF(S434=regle!$H$11,regle!$H$23,
IF(S434=regle!$I$11,regle!$I$23,
IF(S434=regle!$J$11,regle!$J$23,
IF(S434=regle!$K$11,regle!$K$23,0))))))))))))</f>
        <v>0</v>
      </c>
      <c r="AD434" s="17" t="b">
        <f>IF($A434,$J434*(IF(T434=regle!$B$11,regle!$B$23*IF(AM434=-2,1+regle!$B$35,1),
IF(T434=regle!$C$11,regle!$C$23,
IF(T434=regle!$D$11,regle!$D$23,
IF(T434=regle!$E$11,regle!$E$23,
IF(T434=regle!$F$11,regle!$F$23,
IF(T434=regle!$G$11,regle!$G$23,
IF(T434=regle!$H$11,regle!$H$23,
IF(T434=regle!$I$11,regle!$I$23,
IF(T434=regle!$J$11,regle!$J$23,
IF(T434=regle!$K$11,regle!$K$23,0))))))))))))</f>
        <v>0</v>
      </c>
      <c r="AE434" s="17" t="b">
        <f>IF($A434,$J434*(IF(U434=regle!$B$11,regle!$B$23*IF(AN434=-2,1+regle!$B$35,1),
IF(U434=regle!$C$11,regle!$C$23,
IF(U434=regle!$D$11,regle!$D$23,
IF(U434=regle!$E$11,regle!$E$23,
IF(U434=regle!$F$11,regle!$F$23,
IF(U434=regle!$G$11,regle!$G$23,
IF(U434=regle!$H$11,regle!$H$23,
IF(U434=regle!$I$11,regle!$I$23,
IF(U434=regle!$J$11,regle!$J$23,
IF(U434=regle!$K$11,regle!$K$23,0))))))))))))</f>
        <v>0</v>
      </c>
      <c r="AF434" s="17" t="b">
        <f>IF($A434,$J434*(IF(V434=regle!$B$11,regle!$B$23*IF(AO434=-2,1+regle!$B$35,1),
IF(V434=regle!$C$11,regle!$C$23,
IF(V434=regle!$D$11,regle!$D$23,
IF(V434=regle!$E$11,regle!$E$23,
IF(V434=regle!$F$11,regle!$F$23,
IF(V434=regle!$G$11,regle!$G$23,
IF(V434=regle!$H$11,regle!$H$23,
IF(V434=regle!$I$11,regle!$I$23,
IF(V434=regle!$J$11,regle!$J$23,
IF(V434=regle!$K$11,regle!$K$23,0))))))))))))</f>
        <v>0</v>
      </c>
      <c r="AG434" s="17" t="b">
        <f>IF($A434,$J434*(IF(W434=regle!$B$11,regle!$B$23*IF(AP434=-2,1+regle!$B$35,1),
IF(W434=regle!$C$11,regle!$C$23,
IF(W434=regle!$D$11,regle!$D$23,
IF(W434=regle!$E$11,regle!$E$23,
IF(W434=regle!$F$11,regle!$F$23,
IF(W434=regle!$G$11,regle!$G$23,
IF(W434=regle!$H$11,regle!$H$23,
IF(W434=regle!$I$11,regle!$I$23,
IF(W434=regle!$J$11,regle!$J$23,
IF(W434=regle!$K$11,regle!$K$23,0))))))))))))</f>
        <v>0</v>
      </c>
      <c r="AH434" s="17" t="b">
        <f>IF($A434,$J434*(IF(X434=regle!$B$11,regle!$B$23*IF(AQ434=-2,1+regle!$B$35,1),
IF(X434=regle!$C$11,regle!$C$23,
IF(X434=regle!$D$11,regle!$D$23,
IF(X434=regle!$E$11,regle!$E$23,
IF(X434=regle!$F$11,regle!$F$23,
IF(X434=regle!$G$11,regle!$G$23,
IF(X434=regle!$H$11,regle!$H$23,
IF(X434=regle!$I$11,regle!$I$23,
IF(X434=regle!$J$11,regle!$J$23,
IF(X434=regle!$K$11,regle!$K$23,0))))))))))))</f>
        <v>0</v>
      </c>
      <c r="AI434" s="17" t="b">
        <f>IF($A434,$J434*(IF(Y434=regle!$B$11,regle!$B$23*IF(AR434=-2,1+regle!$B$35,1),
IF(Y434=regle!$C$11,regle!$C$23,
IF(Y434=regle!$D$11,regle!$D$23,
IF(Y434=regle!$E$11,regle!$E$23,
IF(Y434=regle!$F$11,regle!$F$23,
IF(Y434=regle!$G$11,regle!$G$23,
IF(Y434=regle!$H$11,regle!$H$23,
IF(Y434=regle!$I$11,regle!$I$23,
IF(Y434=regle!$J$11,regle!$J$23,
IF(Y434=regle!$K$11,regle!$K$23,0))))))))))))</f>
        <v>0</v>
      </c>
      <c r="AJ434" s="17" t="b">
        <f>IF($A434,$J434*(IF(Z434=regle!$B$11,regle!$B$23*IF(AS434=-2,1+regle!$B$35,1),
IF(Z434=regle!$C$11,regle!$C$23,
IF(Z434=regle!$D$11,regle!$D$23,
IF(Z434=regle!$E$11,regle!$E$23,
IF(Z434=regle!$F$11,regle!$F$23,
IF(Z434=regle!$G$11,regle!$G$23,
IF(Z434=regle!$H$11,regle!$H$23,
IF(Z434=regle!$I$11,regle!$I$23,
IF(Z434=regle!$J$11,regle!$J$23,
IF(Z434=regle!$K$11,regle!$K$23,0))))))))))))</f>
        <v>0</v>
      </c>
      <c r="AK434" s="16">
        <f>IF(OR(Q434=regle!$J$11,Q434=regle!$K$11),-2,IF(Q434=regle!$B$11,0,IF(AK$1=$AK$1,IF($O434,-1,regle!$B$2-$M434),IF(AJ434=-1,-1,AJ434+1))))</f>
        <v>44</v>
      </c>
      <c r="AL434" s="16">
        <f>IF(OR(R434=regle!$J$11,R434=regle!$K$11),-2,IF(R434=regle!$B$11,0,IF(AL$1=$AK$1,IF($O434,-1,regle!$B$2-$M434),IF(AK434=-1,-1,AK434+1))))</f>
        <v>45</v>
      </c>
      <c r="AM434" s="16">
        <f>IF(OR(S434=regle!$J$11,S434=regle!$K$11),-2,IF(S434=regle!$B$11,0,IF(AM$1=$AK$1,IF($O434,-1,regle!$B$2-$M434),IF(AL434=-1,-1,AL434+1))))</f>
        <v>46</v>
      </c>
      <c r="AN434" s="16">
        <f>IF(OR(T434=regle!$J$11,T434=regle!$K$11),-2,IF(T434=regle!$B$11,0,IF(AN$1=$AK$1,IF($O434,-1,regle!$B$2-$M434),IF(AM434=-1,-1,AM434+1))))</f>
        <v>47</v>
      </c>
      <c r="AO434" s="16">
        <f>IF(OR(U434=regle!$J$11,U434=regle!$K$11),-2,IF(U434=regle!$B$11,0,IF(AO$1=$AK$1,IF($O434,-1,regle!$B$2-$M434),IF(AN434=-1,-1,AN434+1))))</f>
        <v>48</v>
      </c>
      <c r="AP434" s="16">
        <f>IF(OR(V434=regle!$J$11,V434=regle!$K$11),-2,IF(V434=regle!$B$11,0,IF(AP$1=$AK$1,IF($O434,-1,regle!$B$2-$M434),IF(AO434=-1,-1,AO434+1))))</f>
        <v>49</v>
      </c>
      <c r="AQ434" s="16">
        <f>IF(OR(W434=regle!$J$11,W434=regle!$K$11),-2,IF(W434=regle!$B$11,0,IF(AQ$1=$AK$1,IF($O434,-1,regle!$B$2-$M434),IF(AP434=-1,-1,AP434+1))))</f>
        <v>50</v>
      </c>
      <c r="AR434" s="16">
        <f>IF(OR(X434=regle!$J$11,X434=regle!$K$11),-2,IF(X434=regle!$B$11,0,IF(AR$1=$AK$1,IF($O434,-1,regle!$B$2-$M434),IF(AQ434=-1,-1,AQ434+1))))</f>
        <v>51</v>
      </c>
      <c r="AS434" s="16">
        <f>IF(OR(Y434=regle!$J$11,Y434=regle!$K$11),-2,IF(Y434=regle!$B$11,0,IF(AS$1=$AK$1,IF($O434,-1,regle!$B$2-$M434),IF(AR434=-1,-1,AR434+1))))</f>
        <v>52</v>
      </c>
      <c r="AT434" s="16">
        <f>IF(OR(Z434=regle!$J$11,Z434=regle!$K$11),-2,IF(Z434=regle!$B$11,0,IF(AT$1=$AK$1,IF($O434,-1,regle!$B$2-$M434),IF(AS434=-1,-1,AS434+1))))</f>
        <v>53</v>
      </c>
    </row>
    <row r="435" spans="1:46" x14ac:dyDescent="0.25">
      <c r="A435" t="b">
        <f>modif1!A435</f>
        <v>0</v>
      </c>
      <c r="B435">
        <f>ROW(modif1!B435)</f>
        <v>435</v>
      </c>
      <c r="C435" t="str">
        <f>modif1!C438</f>
        <v>536</v>
      </c>
      <c r="D435" t="str">
        <f>modif1!D435</f>
        <v>CABANAC-ET-VILLAGRAINS</v>
      </c>
      <c r="E435">
        <f>modif1!E435</f>
        <v>12</v>
      </c>
      <c r="F435" t="str">
        <f>modif1!F435</f>
        <v>LES JEANNOTS</v>
      </c>
      <c r="G435" t="str">
        <f>modif1!G435</f>
        <v>0D</v>
      </c>
      <c r="H435">
        <f>modif1!H435</f>
        <v>2309</v>
      </c>
      <c r="I435" t="str">
        <f>modif1!I435</f>
        <v/>
      </c>
      <c r="J435" s="11">
        <f>modif1!J435</f>
        <v>2.5999999999999999E-3</v>
      </c>
      <c r="K435" t="str">
        <f>modif1!K435</f>
        <v>TAIL</v>
      </c>
      <c r="L435" t="str">
        <f>modif1!L435</f>
        <v>FEUIL</v>
      </c>
      <c r="M435">
        <f>modif1!M435</f>
        <v>1980</v>
      </c>
      <c r="N435" t="str">
        <f>modif1!N435</f>
        <v>TAIL-FEUIL_1980</v>
      </c>
      <c r="O435" t="b">
        <f>modif1!O435</f>
        <v>0</v>
      </c>
      <c r="Z435"/>
      <c r="AA435" s="17" t="b">
        <f>IF($A435,$J435*(IF(Q435=regle!$B$11,regle!$B$23*IF(AJ435=-2,1+regle!$B$35,1),
IF(Q435=regle!$C$11,regle!$C$23,
IF(Q435=regle!$D$11,regle!$D$23,
IF(Q435=regle!$E$11,regle!$E$23,
IF(Q435=regle!$F$11,regle!$F$23,
IF(Q435=regle!$G$11,regle!$G$23,
IF(Q435=regle!$H$11,regle!$H$23,
IF(Q435=regle!$I$11,regle!$I$23,
IF(Q435=regle!$J$11,regle!$J$23,
IF(Q435=regle!$K$11,regle!$K$23,0))))))))))))</f>
        <v>0</v>
      </c>
      <c r="AB435" s="17" t="b">
        <f>IF($A435,$J435*(IF(R435=regle!$B$11,regle!$B$23*IF(AK435=-2,1+regle!$B$35,1),
IF(R435=regle!$C$11,regle!$C$23,
IF(R435=regle!$D$11,regle!$D$23,
IF(R435=regle!$E$11,regle!$E$23,
IF(R435=regle!$F$11,regle!$F$23,
IF(R435=regle!$G$11,regle!$G$23,
IF(R435=regle!$H$11,regle!$H$23,
IF(R435=regle!$I$11,regle!$I$23,
IF(R435=regle!$J$11,regle!$J$23,
IF(R435=regle!$K$11,regle!$K$23,0))))))))))))</f>
        <v>0</v>
      </c>
      <c r="AC435" s="17" t="b">
        <f>IF($A435,$J435*(IF(S435=regle!$B$11,regle!$B$23*IF(AL435=-2,1+regle!$B$35,1),
IF(S435=regle!$C$11,regle!$C$23,
IF(S435=regle!$D$11,regle!$D$23,
IF(S435=regle!$E$11,regle!$E$23,
IF(S435=regle!$F$11,regle!$F$23,
IF(S435=regle!$G$11,regle!$G$23,
IF(S435=regle!$H$11,regle!$H$23,
IF(S435=regle!$I$11,regle!$I$23,
IF(S435=regle!$J$11,regle!$J$23,
IF(S435=regle!$K$11,regle!$K$23,0))))))))))))</f>
        <v>0</v>
      </c>
      <c r="AD435" s="17" t="b">
        <f>IF($A435,$J435*(IF(T435=regle!$B$11,regle!$B$23*IF(AM435=-2,1+regle!$B$35,1),
IF(T435=regle!$C$11,regle!$C$23,
IF(T435=regle!$D$11,regle!$D$23,
IF(T435=regle!$E$11,regle!$E$23,
IF(T435=regle!$F$11,regle!$F$23,
IF(T435=regle!$G$11,regle!$G$23,
IF(T435=regle!$H$11,regle!$H$23,
IF(T435=regle!$I$11,regle!$I$23,
IF(T435=regle!$J$11,regle!$J$23,
IF(T435=regle!$K$11,regle!$K$23,0))))))))))))</f>
        <v>0</v>
      </c>
      <c r="AE435" s="17" t="b">
        <f>IF($A435,$J435*(IF(U435=regle!$B$11,regle!$B$23*IF(AN435=-2,1+regle!$B$35,1),
IF(U435=regle!$C$11,regle!$C$23,
IF(U435=regle!$D$11,regle!$D$23,
IF(U435=regle!$E$11,regle!$E$23,
IF(U435=regle!$F$11,regle!$F$23,
IF(U435=regle!$G$11,regle!$G$23,
IF(U435=regle!$H$11,regle!$H$23,
IF(U435=regle!$I$11,regle!$I$23,
IF(U435=regle!$J$11,regle!$J$23,
IF(U435=regle!$K$11,regle!$K$23,0))))))))))))</f>
        <v>0</v>
      </c>
      <c r="AF435" s="17" t="b">
        <f>IF($A435,$J435*(IF(V435=regle!$B$11,regle!$B$23*IF(AO435=-2,1+regle!$B$35,1),
IF(V435=regle!$C$11,regle!$C$23,
IF(V435=regle!$D$11,regle!$D$23,
IF(V435=regle!$E$11,regle!$E$23,
IF(V435=regle!$F$11,regle!$F$23,
IF(V435=regle!$G$11,regle!$G$23,
IF(V435=regle!$H$11,regle!$H$23,
IF(V435=regle!$I$11,regle!$I$23,
IF(V435=regle!$J$11,regle!$J$23,
IF(V435=regle!$K$11,regle!$K$23,0))))))))))))</f>
        <v>0</v>
      </c>
      <c r="AG435" s="17" t="b">
        <f>IF($A435,$J435*(IF(W435=regle!$B$11,regle!$B$23*IF(AP435=-2,1+regle!$B$35,1),
IF(W435=regle!$C$11,regle!$C$23,
IF(W435=regle!$D$11,regle!$D$23,
IF(W435=regle!$E$11,regle!$E$23,
IF(W435=regle!$F$11,regle!$F$23,
IF(W435=regle!$G$11,regle!$G$23,
IF(W435=regle!$H$11,regle!$H$23,
IF(W435=regle!$I$11,regle!$I$23,
IF(W435=regle!$J$11,regle!$J$23,
IF(W435=regle!$K$11,regle!$K$23,0))))))))))))</f>
        <v>0</v>
      </c>
      <c r="AH435" s="17" t="b">
        <f>IF($A435,$J435*(IF(X435=regle!$B$11,regle!$B$23*IF(AQ435=-2,1+regle!$B$35,1),
IF(X435=regle!$C$11,regle!$C$23,
IF(X435=regle!$D$11,regle!$D$23,
IF(X435=regle!$E$11,regle!$E$23,
IF(X435=regle!$F$11,regle!$F$23,
IF(X435=regle!$G$11,regle!$G$23,
IF(X435=regle!$H$11,regle!$H$23,
IF(X435=regle!$I$11,regle!$I$23,
IF(X435=regle!$J$11,regle!$J$23,
IF(X435=regle!$K$11,regle!$K$23,0))))))))))))</f>
        <v>0</v>
      </c>
      <c r="AI435" s="17" t="b">
        <f>IF($A435,$J435*(IF(Y435=regle!$B$11,regle!$B$23*IF(AR435=-2,1+regle!$B$35,1),
IF(Y435=regle!$C$11,regle!$C$23,
IF(Y435=regle!$D$11,regle!$D$23,
IF(Y435=regle!$E$11,regle!$E$23,
IF(Y435=regle!$F$11,regle!$F$23,
IF(Y435=regle!$G$11,regle!$G$23,
IF(Y435=regle!$H$11,regle!$H$23,
IF(Y435=regle!$I$11,regle!$I$23,
IF(Y435=regle!$J$11,regle!$J$23,
IF(Y435=regle!$K$11,regle!$K$23,0))))))))))))</f>
        <v>0</v>
      </c>
      <c r="AJ435" s="17" t="b">
        <f>IF($A435,$J435*(IF(Z435=regle!$B$11,regle!$B$23*IF(AS435=-2,1+regle!$B$35,1),
IF(Z435=regle!$C$11,regle!$C$23,
IF(Z435=regle!$D$11,regle!$D$23,
IF(Z435=regle!$E$11,regle!$E$23,
IF(Z435=regle!$F$11,regle!$F$23,
IF(Z435=regle!$G$11,regle!$G$23,
IF(Z435=regle!$H$11,regle!$H$23,
IF(Z435=regle!$I$11,regle!$I$23,
IF(Z435=regle!$J$11,regle!$J$23,
IF(Z435=regle!$K$11,regle!$K$23,0))))))))))))</f>
        <v>0</v>
      </c>
      <c r="AK435" s="16">
        <f>IF(OR(Q435=regle!$J$11,Q435=regle!$K$11),-2,IF(Q435=regle!$B$11,0,IF(AK$1=$AK$1,IF($O435,-1,regle!$B$2-$M435),IF(AJ435=-1,-1,AJ435+1))))</f>
        <v>44</v>
      </c>
      <c r="AL435" s="16">
        <f>IF(OR(R435=regle!$J$11,R435=regle!$K$11),-2,IF(R435=regle!$B$11,0,IF(AL$1=$AK$1,IF($O435,-1,regle!$B$2-$M435),IF(AK435=-1,-1,AK435+1))))</f>
        <v>45</v>
      </c>
      <c r="AM435" s="16">
        <f>IF(OR(S435=regle!$J$11,S435=regle!$K$11),-2,IF(S435=regle!$B$11,0,IF(AM$1=$AK$1,IF($O435,-1,regle!$B$2-$M435),IF(AL435=-1,-1,AL435+1))))</f>
        <v>46</v>
      </c>
      <c r="AN435" s="16">
        <f>IF(OR(T435=regle!$J$11,T435=regle!$K$11),-2,IF(T435=regle!$B$11,0,IF(AN$1=$AK$1,IF($O435,-1,regle!$B$2-$M435),IF(AM435=-1,-1,AM435+1))))</f>
        <v>47</v>
      </c>
      <c r="AO435" s="16">
        <f>IF(OR(U435=regle!$J$11,U435=regle!$K$11),-2,IF(U435=regle!$B$11,0,IF(AO$1=$AK$1,IF($O435,-1,regle!$B$2-$M435),IF(AN435=-1,-1,AN435+1))))</f>
        <v>48</v>
      </c>
      <c r="AP435" s="16">
        <f>IF(OR(V435=regle!$J$11,V435=regle!$K$11),-2,IF(V435=regle!$B$11,0,IF(AP$1=$AK$1,IF($O435,-1,regle!$B$2-$M435),IF(AO435=-1,-1,AO435+1))))</f>
        <v>49</v>
      </c>
      <c r="AQ435" s="16">
        <f>IF(OR(W435=regle!$J$11,W435=regle!$K$11),-2,IF(W435=regle!$B$11,0,IF(AQ$1=$AK$1,IF($O435,-1,regle!$B$2-$M435),IF(AP435=-1,-1,AP435+1))))</f>
        <v>50</v>
      </c>
      <c r="AR435" s="16">
        <f>IF(OR(X435=regle!$J$11,X435=regle!$K$11),-2,IF(X435=regle!$B$11,0,IF(AR$1=$AK$1,IF($O435,-1,regle!$B$2-$M435),IF(AQ435=-1,-1,AQ435+1))))</f>
        <v>51</v>
      </c>
      <c r="AS435" s="16">
        <f>IF(OR(Y435=regle!$J$11,Y435=regle!$K$11),-2,IF(Y435=regle!$B$11,0,IF(AS$1=$AK$1,IF($O435,-1,regle!$B$2-$M435),IF(AR435=-1,-1,AR435+1))))</f>
        <v>52</v>
      </c>
      <c r="AT435" s="16">
        <f>IF(OR(Z435=regle!$J$11,Z435=regle!$K$11),-2,IF(Z435=regle!$B$11,0,IF(AT$1=$AK$1,IF($O435,-1,regle!$B$2-$M435),IF(AS435=-1,-1,AS435+1))))</f>
        <v>53</v>
      </c>
    </row>
    <row r="436" spans="1:46" x14ac:dyDescent="0.25">
      <c r="A436" t="b">
        <f>modif1!A436</f>
        <v>0</v>
      </c>
      <c r="B436">
        <f>ROW(modif1!B436)</f>
        <v>436</v>
      </c>
      <c r="C436" t="str">
        <f>modif1!C439</f>
        <v>536</v>
      </c>
      <c r="D436" t="str">
        <f>modif1!D436</f>
        <v>LE TUZAN</v>
      </c>
      <c r="E436">
        <f>modif1!E436</f>
        <v>21</v>
      </c>
      <c r="F436" t="str">
        <f>modif1!F436</f>
        <v>METAIRIES DE TABARTON</v>
      </c>
      <c r="G436" t="str">
        <f>modif1!G436</f>
        <v>0A</v>
      </c>
      <c r="H436">
        <f>modif1!H436</f>
        <v>523</v>
      </c>
      <c r="I436" t="str">
        <f>modif1!I436</f>
        <v>s</v>
      </c>
      <c r="J436" s="11">
        <f>modif1!J436</f>
        <v>0.92559999999999998</v>
      </c>
      <c r="K436" t="str">
        <f>modif1!K436</f>
        <v>TAIL</v>
      </c>
      <c r="L436" t="str">
        <f>modif1!L436</f>
        <v>FEUIL</v>
      </c>
      <c r="M436">
        <f>modif1!M436</f>
        <v>1975</v>
      </c>
      <c r="N436" t="str">
        <f>modif1!N436</f>
        <v>TAIL-FEUIL_1975</v>
      </c>
      <c r="O436" t="b">
        <f>modif1!O436</f>
        <v>0</v>
      </c>
      <c r="Z436"/>
      <c r="AA436" s="17" t="b">
        <f>IF($A436,$J436*(IF(Q436=regle!$B$11,regle!$B$23*IF(AJ436=-2,1+regle!$B$35,1),
IF(Q436=regle!$C$11,regle!$C$23,
IF(Q436=regle!$D$11,regle!$D$23,
IF(Q436=regle!$E$11,regle!$E$23,
IF(Q436=regle!$F$11,regle!$F$23,
IF(Q436=regle!$G$11,regle!$G$23,
IF(Q436=regle!$H$11,regle!$H$23,
IF(Q436=regle!$I$11,regle!$I$23,
IF(Q436=regle!$J$11,regle!$J$23,
IF(Q436=regle!$K$11,regle!$K$23,0))))))))))))</f>
        <v>0</v>
      </c>
      <c r="AB436" s="17" t="b">
        <f>IF($A436,$J436*(IF(R436=regle!$B$11,regle!$B$23*IF(AK436=-2,1+regle!$B$35,1),
IF(R436=regle!$C$11,regle!$C$23,
IF(R436=regle!$D$11,regle!$D$23,
IF(R436=regle!$E$11,regle!$E$23,
IF(R436=regle!$F$11,regle!$F$23,
IF(R436=regle!$G$11,regle!$G$23,
IF(R436=regle!$H$11,regle!$H$23,
IF(R436=regle!$I$11,regle!$I$23,
IF(R436=regle!$J$11,regle!$J$23,
IF(R436=regle!$K$11,regle!$K$23,0))))))))))))</f>
        <v>0</v>
      </c>
      <c r="AC436" s="17" t="b">
        <f>IF($A436,$J436*(IF(S436=regle!$B$11,regle!$B$23*IF(AL436=-2,1+regle!$B$35,1),
IF(S436=regle!$C$11,regle!$C$23,
IF(S436=regle!$D$11,regle!$D$23,
IF(S436=regle!$E$11,regle!$E$23,
IF(S436=regle!$F$11,regle!$F$23,
IF(S436=regle!$G$11,regle!$G$23,
IF(S436=regle!$H$11,regle!$H$23,
IF(S436=regle!$I$11,regle!$I$23,
IF(S436=regle!$J$11,regle!$J$23,
IF(S436=regle!$K$11,regle!$K$23,0))))))))))))</f>
        <v>0</v>
      </c>
      <c r="AD436" s="17" t="b">
        <f>IF($A436,$J436*(IF(T436=regle!$B$11,regle!$B$23*IF(AM436=-2,1+regle!$B$35,1),
IF(T436=regle!$C$11,regle!$C$23,
IF(T436=regle!$D$11,regle!$D$23,
IF(T436=regle!$E$11,regle!$E$23,
IF(T436=regle!$F$11,regle!$F$23,
IF(T436=regle!$G$11,regle!$G$23,
IF(T436=regle!$H$11,regle!$H$23,
IF(T436=regle!$I$11,regle!$I$23,
IF(T436=regle!$J$11,regle!$J$23,
IF(T436=regle!$K$11,regle!$K$23,0))))))))))))</f>
        <v>0</v>
      </c>
      <c r="AE436" s="17" t="b">
        <f>IF($A436,$J436*(IF(U436=regle!$B$11,regle!$B$23*IF(AN436=-2,1+regle!$B$35,1),
IF(U436=regle!$C$11,regle!$C$23,
IF(U436=regle!$D$11,regle!$D$23,
IF(U436=regle!$E$11,regle!$E$23,
IF(U436=regle!$F$11,regle!$F$23,
IF(U436=regle!$G$11,regle!$G$23,
IF(U436=regle!$H$11,regle!$H$23,
IF(U436=regle!$I$11,regle!$I$23,
IF(U436=regle!$J$11,regle!$J$23,
IF(U436=regle!$K$11,regle!$K$23,0))))))))))))</f>
        <v>0</v>
      </c>
      <c r="AF436" s="17" t="b">
        <f>IF($A436,$J436*(IF(V436=regle!$B$11,regle!$B$23*IF(AO436=-2,1+regle!$B$35,1),
IF(V436=regle!$C$11,regle!$C$23,
IF(V436=regle!$D$11,regle!$D$23,
IF(V436=regle!$E$11,regle!$E$23,
IF(V436=regle!$F$11,regle!$F$23,
IF(V436=regle!$G$11,regle!$G$23,
IF(V436=regle!$H$11,regle!$H$23,
IF(V436=regle!$I$11,regle!$I$23,
IF(V436=regle!$J$11,regle!$J$23,
IF(V436=regle!$K$11,regle!$K$23,0))))))))))))</f>
        <v>0</v>
      </c>
      <c r="AG436" s="17" t="b">
        <f>IF($A436,$J436*(IF(W436=regle!$B$11,regle!$B$23*IF(AP436=-2,1+regle!$B$35,1),
IF(W436=regle!$C$11,regle!$C$23,
IF(W436=regle!$D$11,regle!$D$23,
IF(W436=regle!$E$11,regle!$E$23,
IF(W436=regle!$F$11,regle!$F$23,
IF(W436=regle!$G$11,regle!$G$23,
IF(W436=regle!$H$11,regle!$H$23,
IF(W436=regle!$I$11,regle!$I$23,
IF(W436=regle!$J$11,regle!$J$23,
IF(W436=regle!$K$11,regle!$K$23,0))))))))))))</f>
        <v>0</v>
      </c>
      <c r="AH436" s="17" t="b">
        <f>IF($A436,$J436*(IF(X436=regle!$B$11,regle!$B$23*IF(AQ436=-2,1+regle!$B$35,1),
IF(X436=regle!$C$11,regle!$C$23,
IF(X436=regle!$D$11,regle!$D$23,
IF(X436=regle!$E$11,regle!$E$23,
IF(X436=regle!$F$11,regle!$F$23,
IF(X436=regle!$G$11,regle!$G$23,
IF(X436=regle!$H$11,regle!$H$23,
IF(X436=regle!$I$11,regle!$I$23,
IF(X436=regle!$J$11,regle!$J$23,
IF(X436=regle!$K$11,regle!$K$23,0))))))))))))</f>
        <v>0</v>
      </c>
      <c r="AI436" s="17" t="b">
        <f>IF($A436,$J436*(IF(Y436=regle!$B$11,regle!$B$23*IF(AR436=-2,1+regle!$B$35,1),
IF(Y436=regle!$C$11,regle!$C$23,
IF(Y436=regle!$D$11,regle!$D$23,
IF(Y436=regle!$E$11,regle!$E$23,
IF(Y436=regle!$F$11,regle!$F$23,
IF(Y436=regle!$G$11,regle!$G$23,
IF(Y436=regle!$H$11,regle!$H$23,
IF(Y436=regle!$I$11,regle!$I$23,
IF(Y436=regle!$J$11,regle!$J$23,
IF(Y436=regle!$K$11,regle!$K$23,0))))))))))))</f>
        <v>0</v>
      </c>
      <c r="AJ436" s="17" t="b">
        <f>IF($A436,$J436*(IF(Z436=regle!$B$11,regle!$B$23*IF(AS436=-2,1+regle!$B$35,1),
IF(Z436=regle!$C$11,regle!$C$23,
IF(Z436=regle!$D$11,regle!$D$23,
IF(Z436=regle!$E$11,regle!$E$23,
IF(Z436=regle!$F$11,regle!$F$23,
IF(Z436=regle!$G$11,regle!$G$23,
IF(Z436=regle!$H$11,regle!$H$23,
IF(Z436=regle!$I$11,regle!$I$23,
IF(Z436=regle!$J$11,regle!$J$23,
IF(Z436=regle!$K$11,regle!$K$23,0))))))))))))</f>
        <v>0</v>
      </c>
      <c r="AK436" s="16">
        <f>IF(OR(Q436=regle!$J$11,Q436=regle!$K$11),-2,IF(Q436=regle!$B$11,0,IF(AK$1=$AK$1,IF($O436,-1,regle!$B$2-$M436),IF(AJ436=-1,-1,AJ436+1))))</f>
        <v>49</v>
      </c>
      <c r="AL436" s="16">
        <f>IF(OR(R436=regle!$J$11,R436=regle!$K$11),-2,IF(R436=regle!$B$11,0,IF(AL$1=$AK$1,IF($O436,-1,regle!$B$2-$M436),IF(AK436=-1,-1,AK436+1))))</f>
        <v>50</v>
      </c>
      <c r="AM436" s="16">
        <f>IF(OR(S436=regle!$J$11,S436=regle!$K$11),-2,IF(S436=regle!$B$11,0,IF(AM$1=$AK$1,IF($O436,-1,regle!$B$2-$M436),IF(AL436=-1,-1,AL436+1))))</f>
        <v>51</v>
      </c>
      <c r="AN436" s="16">
        <f>IF(OR(T436=regle!$J$11,T436=regle!$K$11),-2,IF(T436=regle!$B$11,0,IF(AN$1=$AK$1,IF($O436,-1,regle!$B$2-$M436),IF(AM436=-1,-1,AM436+1))))</f>
        <v>52</v>
      </c>
      <c r="AO436" s="16">
        <f>IF(OR(U436=regle!$J$11,U436=regle!$K$11),-2,IF(U436=regle!$B$11,0,IF(AO$1=$AK$1,IF($O436,-1,regle!$B$2-$M436),IF(AN436=-1,-1,AN436+1))))</f>
        <v>53</v>
      </c>
      <c r="AP436" s="16">
        <f>IF(OR(V436=regle!$J$11,V436=regle!$K$11),-2,IF(V436=regle!$B$11,0,IF(AP$1=$AK$1,IF($O436,-1,regle!$B$2-$M436),IF(AO436=-1,-1,AO436+1))))</f>
        <v>54</v>
      </c>
      <c r="AQ436" s="16">
        <f>IF(OR(W436=regle!$J$11,W436=regle!$K$11),-2,IF(W436=regle!$B$11,0,IF(AQ$1=$AK$1,IF($O436,-1,regle!$B$2-$M436),IF(AP436=-1,-1,AP436+1))))</f>
        <v>55</v>
      </c>
      <c r="AR436" s="16">
        <f>IF(OR(X436=regle!$J$11,X436=regle!$K$11),-2,IF(X436=regle!$B$11,0,IF(AR$1=$AK$1,IF($O436,-1,regle!$B$2-$M436),IF(AQ436=-1,-1,AQ436+1))))</f>
        <v>56</v>
      </c>
      <c r="AS436" s="16">
        <f>IF(OR(Y436=regle!$J$11,Y436=regle!$K$11),-2,IF(Y436=regle!$B$11,0,IF(AS$1=$AK$1,IF($O436,-1,regle!$B$2-$M436),IF(AR436=-1,-1,AR436+1))))</f>
        <v>57</v>
      </c>
      <c r="AT436" s="16">
        <f>IF(OR(Z436=regle!$J$11,Z436=regle!$K$11),-2,IF(Z436=regle!$B$11,0,IF(AT$1=$AK$1,IF($O436,-1,regle!$B$2-$M436),IF(AS436=-1,-1,AS436+1))))</f>
        <v>58</v>
      </c>
    </row>
    <row r="437" spans="1:46" x14ac:dyDescent="0.25">
      <c r="A437" t="b">
        <f>modif1!A437</f>
        <v>0</v>
      </c>
      <c r="B437">
        <f>ROW(modif1!B437)</f>
        <v>437</v>
      </c>
      <c r="C437" t="str">
        <f>modif1!C440</f>
        <v>202</v>
      </c>
      <c r="D437" t="str">
        <f>modif1!D437</f>
        <v>LE TUZAN</v>
      </c>
      <c r="E437">
        <f>modif1!E437</f>
        <v>21</v>
      </c>
      <c r="F437" t="str">
        <f>modif1!F437</f>
        <v>METAIRIES DE TABARTON</v>
      </c>
      <c r="G437" t="str">
        <f>modif1!G437</f>
        <v>0A</v>
      </c>
      <c r="H437">
        <f>modif1!H437</f>
        <v>415</v>
      </c>
      <c r="I437" t="str">
        <f>modif1!I437</f>
        <v>j</v>
      </c>
      <c r="J437" s="11">
        <f>modif1!J437</f>
        <v>0.53239999999999998</v>
      </c>
      <c r="K437" t="str">
        <f>modif1!K437</f>
        <v>TAIL</v>
      </c>
      <c r="L437" t="str">
        <f>modif1!L437</f>
        <v>FEUIL</v>
      </c>
      <c r="M437">
        <f>modif1!M437</f>
        <v>1975</v>
      </c>
      <c r="N437" t="str">
        <f>modif1!N437</f>
        <v>TAIL-FEUIL_1975</v>
      </c>
      <c r="O437" t="b">
        <f>modif1!O437</f>
        <v>0</v>
      </c>
      <c r="Z437"/>
      <c r="AA437" s="17" t="b">
        <f>IF($A437,$J437*(IF(Q437=regle!$B$11,regle!$B$23*IF(AJ437=-2,1+regle!$B$35,1),
IF(Q437=regle!$C$11,regle!$C$23,
IF(Q437=regle!$D$11,regle!$D$23,
IF(Q437=regle!$E$11,regle!$E$23,
IF(Q437=regle!$F$11,regle!$F$23,
IF(Q437=regle!$G$11,regle!$G$23,
IF(Q437=regle!$H$11,regle!$H$23,
IF(Q437=regle!$I$11,regle!$I$23,
IF(Q437=regle!$J$11,regle!$J$23,
IF(Q437=regle!$K$11,regle!$K$23,0))))))))))))</f>
        <v>0</v>
      </c>
      <c r="AB437" s="17" t="b">
        <f>IF($A437,$J437*(IF(R437=regle!$B$11,regle!$B$23*IF(AK437=-2,1+regle!$B$35,1),
IF(R437=regle!$C$11,regle!$C$23,
IF(R437=regle!$D$11,regle!$D$23,
IF(R437=regle!$E$11,regle!$E$23,
IF(R437=regle!$F$11,regle!$F$23,
IF(R437=regle!$G$11,regle!$G$23,
IF(R437=regle!$H$11,regle!$H$23,
IF(R437=regle!$I$11,regle!$I$23,
IF(R437=regle!$J$11,regle!$J$23,
IF(R437=regle!$K$11,regle!$K$23,0))))))))))))</f>
        <v>0</v>
      </c>
      <c r="AC437" s="17" t="b">
        <f>IF($A437,$J437*(IF(S437=regle!$B$11,regle!$B$23*IF(AL437=-2,1+regle!$B$35,1),
IF(S437=regle!$C$11,regle!$C$23,
IF(S437=regle!$D$11,regle!$D$23,
IF(S437=regle!$E$11,regle!$E$23,
IF(S437=regle!$F$11,regle!$F$23,
IF(S437=regle!$G$11,regle!$G$23,
IF(S437=regle!$H$11,regle!$H$23,
IF(S437=regle!$I$11,regle!$I$23,
IF(S437=regle!$J$11,regle!$J$23,
IF(S437=regle!$K$11,regle!$K$23,0))))))))))))</f>
        <v>0</v>
      </c>
      <c r="AD437" s="17" t="b">
        <f>IF($A437,$J437*(IF(T437=regle!$B$11,regle!$B$23*IF(AM437=-2,1+regle!$B$35,1),
IF(T437=regle!$C$11,regle!$C$23,
IF(T437=regle!$D$11,regle!$D$23,
IF(T437=regle!$E$11,regle!$E$23,
IF(T437=regle!$F$11,regle!$F$23,
IF(T437=regle!$G$11,regle!$G$23,
IF(T437=regle!$H$11,regle!$H$23,
IF(T437=regle!$I$11,regle!$I$23,
IF(T437=regle!$J$11,regle!$J$23,
IF(T437=regle!$K$11,regle!$K$23,0))))))))))))</f>
        <v>0</v>
      </c>
      <c r="AE437" s="17" t="b">
        <f>IF($A437,$J437*(IF(U437=regle!$B$11,regle!$B$23*IF(AN437=-2,1+regle!$B$35,1),
IF(U437=regle!$C$11,regle!$C$23,
IF(U437=regle!$D$11,regle!$D$23,
IF(U437=regle!$E$11,regle!$E$23,
IF(U437=regle!$F$11,regle!$F$23,
IF(U437=regle!$G$11,regle!$G$23,
IF(U437=regle!$H$11,regle!$H$23,
IF(U437=regle!$I$11,regle!$I$23,
IF(U437=regle!$J$11,regle!$J$23,
IF(U437=regle!$K$11,regle!$K$23,0))))))))))))</f>
        <v>0</v>
      </c>
      <c r="AF437" s="17" t="b">
        <f>IF($A437,$J437*(IF(V437=regle!$B$11,regle!$B$23*IF(AO437=-2,1+regle!$B$35,1),
IF(V437=regle!$C$11,regle!$C$23,
IF(V437=regle!$D$11,regle!$D$23,
IF(V437=regle!$E$11,regle!$E$23,
IF(V437=regle!$F$11,regle!$F$23,
IF(V437=regle!$G$11,regle!$G$23,
IF(V437=regle!$H$11,regle!$H$23,
IF(V437=regle!$I$11,regle!$I$23,
IF(V437=regle!$J$11,regle!$J$23,
IF(V437=regle!$K$11,regle!$K$23,0))))))))))))</f>
        <v>0</v>
      </c>
      <c r="AG437" s="17" t="b">
        <f>IF($A437,$J437*(IF(W437=regle!$B$11,regle!$B$23*IF(AP437=-2,1+regle!$B$35,1),
IF(W437=regle!$C$11,regle!$C$23,
IF(W437=regle!$D$11,regle!$D$23,
IF(W437=regle!$E$11,regle!$E$23,
IF(W437=regle!$F$11,regle!$F$23,
IF(W437=regle!$G$11,regle!$G$23,
IF(W437=regle!$H$11,regle!$H$23,
IF(W437=regle!$I$11,regle!$I$23,
IF(W437=regle!$J$11,regle!$J$23,
IF(W437=regle!$K$11,regle!$K$23,0))))))))))))</f>
        <v>0</v>
      </c>
      <c r="AH437" s="17" t="b">
        <f>IF($A437,$J437*(IF(X437=regle!$B$11,regle!$B$23*IF(AQ437=-2,1+regle!$B$35,1),
IF(X437=regle!$C$11,regle!$C$23,
IF(X437=regle!$D$11,regle!$D$23,
IF(X437=regle!$E$11,regle!$E$23,
IF(X437=regle!$F$11,regle!$F$23,
IF(X437=regle!$G$11,regle!$G$23,
IF(X437=regle!$H$11,regle!$H$23,
IF(X437=regle!$I$11,regle!$I$23,
IF(X437=regle!$J$11,regle!$J$23,
IF(X437=regle!$K$11,regle!$K$23,0))))))))))))</f>
        <v>0</v>
      </c>
      <c r="AI437" s="17" t="b">
        <f>IF($A437,$J437*(IF(Y437=regle!$B$11,regle!$B$23*IF(AR437=-2,1+regle!$B$35,1),
IF(Y437=regle!$C$11,regle!$C$23,
IF(Y437=regle!$D$11,regle!$D$23,
IF(Y437=regle!$E$11,regle!$E$23,
IF(Y437=regle!$F$11,regle!$F$23,
IF(Y437=regle!$G$11,regle!$G$23,
IF(Y437=regle!$H$11,regle!$H$23,
IF(Y437=regle!$I$11,regle!$I$23,
IF(Y437=regle!$J$11,regle!$J$23,
IF(Y437=regle!$K$11,regle!$K$23,0))))))))))))</f>
        <v>0</v>
      </c>
      <c r="AJ437" s="17" t="b">
        <f>IF($A437,$J437*(IF(Z437=regle!$B$11,regle!$B$23*IF(AS437=-2,1+regle!$B$35,1),
IF(Z437=regle!$C$11,regle!$C$23,
IF(Z437=regle!$D$11,regle!$D$23,
IF(Z437=regle!$E$11,regle!$E$23,
IF(Z437=regle!$F$11,regle!$F$23,
IF(Z437=regle!$G$11,regle!$G$23,
IF(Z437=regle!$H$11,regle!$H$23,
IF(Z437=regle!$I$11,regle!$I$23,
IF(Z437=regle!$J$11,regle!$J$23,
IF(Z437=regle!$K$11,regle!$K$23,0))))))))))))</f>
        <v>0</v>
      </c>
      <c r="AK437" s="16">
        <f>IF(OR(Q437=regle!$J$11,Q437=regle!$K$11),-2,IF(Q437=regle!$B$11,0,IF(AK$1=$AK$1,IF($O437,-1,regle!$B$2-$M437),IF(AJ437=-1,-1,AJ437+1))))</f>
        <v>49</v>
      </c>
      <c r="AL437" s="16">
        <f>IF(OR(R437=regle!$J$11,R437=regle!$K$11),-2,IF(R437=regle!$B$11,0,IF(AL$1=$AK$1,IF($O437,-1,regle!$B$2-$M437),IF(AK437=-1,-1,AK437+1))))</f>
        <v>50</v>
      </c>
      <c r="AM437" s="16">
        <f>IF(OR(S437=regle!$J$11,S437=regle!$K$11),-2,IF(S437=regle!$B$11,0,IF(AM$1=$AK$1,IF($O437,-1,regle!$B$2-$M437),IF(AL437=-1,-1,AL437+1))))</f>
        <v>51</v>
      </c>
      <c r="AN437" s="16">
        <f>IF(OR(T437=regle!$J$11,T437=regle!$K$11),-2,IF(T437=regle!$B$11,0,IF(AN$1=$AK$1,IF($O437,-1,regle!$B$2-$M437),IF(AM437=-1,-1,AM437+1))))</f>
        <v>52</v>
      </c>
      <c r="AO437" s="16">
        <f>IF(OR(U437=regle!$J$11,U437=regle!$K$11),-2,IF(U437=regle!$B$11,0,IF(AO$1=$AK$1,IF($O437,-1,regle!$B$2-$M437),IF(AN437=-1,-1,AN437+1))))</f>
        <v>53</v>
      </c>
      <c r="AP437" s="16">
        <f>IF(OR(V437=regle!$J$11,V437=regle!$K$11),-2,IF(V437=regle!$B$11,0,IF(AP$1=$AK$1,IF($O437,-1,regle!$B$2-$M437),IF(AO437=-1,-1,AO437+1))))</f>
        <v>54</v>
      </c>
      <c r="AQ437" s="16">
        <f>IF(OR(W437=regle!$J$11,W437=regle!$K$11),-2,IF(W437=regle!$B$11,0,IF(AQ$1=$AK$1,IF($O437,-1,regle!$B$2-$M437),IF(AP437=-1,-1,AP437+1))))</f>
        <v>55</v>
      </c>
      <c r="AR437" s="16">
        <f>IF(OR(X437=regle!$J$11,X437=regle!$K$11),-2,IF(X437=regle!$B$11,0,IF(AR$1=$AK$1,IF($O437,-1,regle!$B$2-$M437),IF(AQ437=-1,-1,AQ437+1))))</f>
        <v>56</v>
      </c>
      <c r="AS437" s="16">
        <f>IF(OR(Y437=regle!$J$11,Y437=regle!$K$11),-2,IF(Y437=regle!$B$11,0,IF(AS$1=$AK$1,IF($O437,-1,regle!$B$2-$M437),IF(AR437=-1,-1,AR437+1))))</f>
        <v>57</v>
      </c>
      <c r="AT437" s="16">
        <f>IF(OR(Z437=regle!$J$11,Z437=regle!$K$11),-2,IF(Z437=regle!$B$11,0,IF(AT$1=$AK$1,IF($O437,-1,regle!$B$2-$M437),IF(AS437=-1,-1,AS437+1))))</f>
        <v>58</v>
      </c>
    </row>
    <row r="438" spans="1:46" x14ac:dyDescent="0.25">
      <c r="A438" t="b">
        <f>modif1!A438</f>
        <v>0</v>
      </c>
      <c r="B438">
        <f>ROW(modif1!B438)</f>
        <v>438</v>
      </c>
      <c r="C438" t="str">
        <f>modif1!C441</f>
        <v>202</v>
      </c>
      <c r="D438" t="str">
        <f>modif1!D438</f>
        <v>LE TUZAN</v>
      </c>
      <c r="E438">
        <f>modif1!E438</f>
        <v>21</v>
      </c>
      <c r="F438" t="str">
        <f>modif1!F438</f>
        <v>METAIRIES DE TABARTON</v>
      </c>
      <c r="G438" t="str">
        <f>modif1!G438</f>
        <v>0A</v>
      </c>
      <c r="H438">
        <f>modif1!H438</f>
        <v>410</v>
      </c>
      <c r="I438" t="str">
        <f>modif1!I438</f>
        <v/>
      </c>
      <c r="J438" s="11">
        <f>modif1!J438</f>
        <v>0.33100000000000002</v>
      </c>
      <c r="K438" t="str">
        <f>modif1!K438</f>
        <v>TAIL</v>
      </c>
      <c r="L438" t="str">
        <f>modif1!L438</f>
        <v>FEUIL</v>
      </c>
      <c r="M438">
        <f>modif1!M438</f>
        <v>1975</v>
      </c>
      <c r="N438" t="str">
        <f>modif1!N438</f>
        <v>TAIL-FEUIL_1975</v>
      </c>
      <c r="O438" t="b">
        <f>modif1!O438</f>
        <v>0</v>
      </c>
      <c r="Z438"/>
      <c r="AA438" s="17" t="b">
        <f>IF($A438,$J438*(IF(Q438=regle!$B$11,regle!$B$23*IF(AJ438=-2,1+regle!$B$35,1),
IF(Q438=regle!$C$11,regle!$C$23,
IF(Q438=regle!$D$11,regle!$D$23,
IF(Q438=regle!$E$11,regle!$E$23,
IF(Q438=regle!$F$11,regle!$F$23,
IF(Q438=regle!$G$11,regle!$G$23,
IF(Q438=regle!$H$11,regle!$H$23,
IF(Q438=regle!$I$11,regle!$I$23,
IF(Q438=regle!$J$11,regle!$J$23,
IF(Q438=regle!$K$11,regle!$K$23,0))))))))))))</f>
        <v>0</v>
      </c>
      <c r="AB438" s="17" t="b">
        <f>IF($A438,$J438*(IF(R438=regle!$B$11,regle!$B$23*IF(AK438=-2,1+regle!$B$35,1),
IF(R438=regle!$C$11,regle!$C$23,
IF(R438=regle!$D$11,regle!$D$23,
IF(R438=regle!$E$11,regle!$E$23,
IF(R438=regle!$F$11,regle!$F$23,
IF(R438=regle!$G$11,regle!$G$23,
IF(R438=regle!$H$11,regle!$H$23,
IF(R438=regle!$I$11,regle!$I$23,
IF(R438=regle!$J$11,regle!$J$23,
IF(R438=regle!$K$11,regle!$K$23,0))))))))))))</f>
        <v>0</v>
      </c>
      <c r="AC438" s="17" t="b">
        <f>IF($A438,$J438*(IF(S438=regle!$B$11,regle!$B$23*IF(AL438=-2,1+regle!$B$35,1),
IF(S438=regle!$C$11,regle!$C$23,
IF(S438=regle!$D$11,regle!$D$23,
IF(S438=regle!$E$11,regle!$E$23,
IF(S438=regle!$F$11,regle!$F$23,
IF(S438=regle!$G$11,regle!$G$23,
IF(S438=regle!$H$11,regle!$H$23,
IF(S438=regle!$I$11,regle!$I$23,
IF(S438=regle!$J$11,regle!$J$23,
IF(S438=regle!$K$11,regle!$K$23,0))))))))))))</f>
        <v>0</v>
      </c>
      <c r="AD438" s="17" t="b">
        <f>IF($A438,$J438*(IF(T438=regle!$B$11,regle!$B$23*IF(AM438=-2,1+regle!$B$35,1),
IF(T438=regle!$C$11,regle!$C$23,
IF(T438=regle!$D$11,regle!$D$23,
IF(T438=regle!$E$11,regle!$E$23,
IF(T438=regle!$F$11,regle!$F$23,
IF(T438=regle!$G$11,regle!$G$23,
IF(T438=regle!$H$11,regle!$H$23,
IF(T438=regle!$I$11,regle!$I$23,
IF(T438=regle!$J$11,regle!$J$23,
IF(T438=regle!$K$11,regle!$K$23,0))))))))))))</f>
        <v>0</v>
      </c>
      <c r="AE438" s="17" t="b">
        <f>IF($A438,$J438*(IF(U438=regle!$B$11,regle!$B$23*IF(AN438=-2,1+regle!$B$35,1),
IF(U438=regle!$C$11,regle!$C$23,
IF(U438=regle!$D$11,regle!$D$23,
IF(U438=regle!$E$11,regle!$E$23,
IF(U438=regle!$F$11,regle!$F$23,
IF(U438=regle!$G$11,regle!$G$23,
IF(U438=regle!$H$11,regle!$H$23,
IF(U438=regle!$I$11,regle!$I$23,
IF(U438=regle!$J$11,regle!$J$23,
IF(U438=regle!$K$11,regle!$K$23,0))))))))))))</f>
        <v>0</v>
      </c>
      <c r="AF438" s="17" t="b">
        <f>IF($A438,$J438*(IF(V438=regle!$B$11,regle!$B$23*IF(AO438=-2,1+regle!$B$35,1),
IF(V438=regle!$C$11,regle!$C$23,
IF(V438=regle!$D$11,regle!$D$23,
IF(V438=regle!$E$11,regle!$E$23,
IF(V438=regle!$F$11,regle!$F$23,
IF(V438=regle!$G$11,regle!$G$23,
IF(V438=regle!$H$11,regle!$H$23,
IF(V438=regle!$I$11,regle!$I$23,
IF(V438=regle!$J$11,regle!$J$23,
IF(V438=regle!$K$11,regle!$K$23,0))))))))))))</f>
        <v>0</v>
      </c>
      <c r="AG438" s="17" t="b">
        <f>IF($A438,$J438*(IF(W438=regle!$B$11,regle!$B$23*IF(AP438=-2,1+regle!$B$35,1),
IF(W438=regle!$C$11,regle!$C$23,
IF(W438=regle!$D$11,regle!$D$23,
IF(W438=regle!$E$11,regle!$E$23,
IF(W438=regle!$F$11,regle!$F$23,
IF(W438=regle!$G$11,regle!$G$23,
IF(W438=regle!$H$11,regle!$H$23,
IF(W438=regle!$I$11,regle!$I$23,
IF(W438=regle!$J$11,regle!$J$23,
IF(W438=regle!$K$11,regle!$K$23,0))))))))))))</f>
        <v>0</v>
      </c>
      <c r="AH438" s="17" t="b">
        <f>IF($A438,$J438*(IF(X438=regle!$B$11,regle!$B$23*IF(AQ438=-2,1+regle!$B$35,1),
IF(X438=regle!$C$11,regle!$C$23,
IF(X438=regle!$D$11,regle!$D$23,
IF(X438=regle!$E$11,regle!$E$23,
IF(X438=regle!$F$11,regle!$F$23,
IF(X438=regle!$G$11,regle!$G$23,
IF(X438=regle!$H$11,regle!$H$23,
IF(X438=regle!$I$11,regle!$I$23,
IF(X438=regle!$J$11,regle!$J$23,
IF(X438=regle!$K$11,regle!$K$23,0))))))))))))</f>
        <v>0</v>
      </c>
      <c r="AI438" s="17" t="b">
        <f>IF($A438,$J438*(IF(Y438=regle!$B$11,regle!$B$23*IF(AR438=-2,1+regle!$B$35,1),
IF(Y438=regle!$C$11,regle!$C$23,
IF(Y438=regle!$D$11,regle!$D$23,
IF(Y438=regle!$E$11,regle!$E$23,
IF(Y438=regle!$F$11,regle!$F$23,
IF(Y438=regle!$G$11,regle!$G$23,
IF(Y438=regle!$H$11,regle!$H$23,
IF(Y438=regle!$I$11,regle!$I$23,
IF(Y438=regle!$J$11,regle!$J$23,
IF(Y438=regle!$K$11,regle!$K$23,0))))))))))))</f>
        <v>0</v>
      </c>
      <c r="AJ438" s="17" t="b">
        <f>IF($A438,$J438*(IF(Z438=regle!$B$11,regle!$B$23*IF(AS438=-2,1+regle!$B$35,1),
IF(Z438=regle!$C$11,regle!$C$23,
IF(Z438=regle!$D$11,regle!$D$23,
IF(Z438=regle!$E$11,regle!$E$23,
IF(Z438=regle!$F$11,regle!$F$23,
IF(Z438=regle!$G$11,regle!$G$23,
IF(Z438=regle!$H$11,regle!$H$23,
IF(Z438=regle!$I$11,regle!$I$23,
IF(Z438=regle!$J$11,regle!$J$23,
IF(Z438=regle!$K$11,regle!$K$23,0))))))))))))</f>
        <v>0</v>
      </c>
      <c r="AK438" s="16">
        <f>IF(OR(Q438=regle!$J$11,Q438=regle!$K$11),-2,IF(Q438=regle!$B$11,0,IF(AK$1=$AK$1,IF($O438,-1,regle!$B$2-$M438),IF(AJ438=-1,-1,AJ438+1))))</f>
        <v>49</v>
      </c>
      <c r="AL438" s="16">
        <f>IF(OR(R438=regle!$J$11,R438=regle!$K$11),-2,IF(R438=regle!$B$11,0,IF(AL$1=$AK$1,IF($O438,-1,regle!$B$2-$M438),IF(AK438=-1,-1,AK438+1))))</f>
        <v>50</v>
      </c>
      <c r="AM438" s="16">
        <f>IF(OR(S438=regle!$J$11,S438=regle!$K$11),-2,IF(S438=regle!$B$11,0,IF(AM$1=$AK$1,IF($O438,-1,regle!$B$2-$M438),IF(AL438=-1,-1,AL438+1))))</f>
        <v>51</v>
      </c>
      <c r="AN438" s="16">
        <f>IF(OR(T438=regle!$J$11,T438=regle!$K$11),-2,IF(T438=regle!$B$11,0,IF(AN$1=$AK$1,IF($O438,-1,regle!$B$2-$M438),IF(AM438=-1,-1,AM438+1))))</f>
        <v>52</v>
      </c>
      <c r="AO438" s="16">
        <f>IF(OR(U438=regle!$J$11,U438=regle!$K$11),-2,IF(U438=regle!$B$11,0,IF(AO$1=$AK$1,IF($O438,-1,regle!$B$2-$M438),IF(AN438=-1,-1,AN438+1))))</f>
        <v>53</v>
      </c>
      <c r="AP438" s="16">
        <f>IF(OR(V438=regle!$J$11,V438=regle!$K$11),-2,IF(V438=regle!$B$11,0,IF(AP$1=$AK$1,IF($O438,-1,regle!$B$2-$M438),IF(AO438=-1,-1,AO438+1))))</f>
        <v>54</v>
      </c>
      <c r="AQ438" s="16">
        <f>IF(OR(W438=regle!$J$11,W438=regle!$K$11),-2,IF(W438=regle!$B$11,0,IF(AQ$1=$AK$1,IF($O438,-1,regle!$B$2-$M438),IF(AP438=-1,-1,AP438+1))))</f>
        <v>55</v>
      </c>
      <c r="AR438" s="16">
        <f>IF(OR(X438=regle!$J$11,X438=regle!$K$11),-2,IF(X438=regle!$B$11,0,IF(AR$1=$AK$1,IF($O438,-1,regle!$B$2-$M438),IF(AQ438=-1,-1,AQ438+1))))</f>
        <v>56</v>
      </c>
      <c r="AS438" s="16">
        <f>IF(OR(Y438=regle!$J$11,Y438=regle!$K$11),-2,IF(Y438=regle!$B$11,0,IF(AS$1=$AK$1,IF($O438,-1,regle!$B$2-$M438),IF(AR438=-1,-1,AR438+1))))</f>
        <v>57</v>
      </c>
      <c r="AT438" s="16">
        <f>IF(OR(Z438=regle!$J$11,Z438=regle!$K$11),-2,IF(Z438=regle!$B$11,0,IF(AT$1=$AK$1,IF($O438,-1,regle!$B$2-$M438),IF(AS438=-1,-1,AS438+1))))</f>
        <v>58</v>
      </c>
    </row>
    <row r="439" spans="1:46" x14ac:dyDescent="0.25">
      <c r="A439" t="b">
        <f>modif1!A439</f>
        <v>0</v>
      </c>
      <c r="B439">
        <f>ROW(modif1!B439)</f>
        <v>439</v>
      </c>
      <c r="C439" t="str">
        <f>modif1!C442</f>
        <v>171</v>
      </c>
      <c r="D439" t="str">
        <f>modif1!D439</f>
        <v>LE TUZAN</v>
      </c>
      <c r="E439">
        <f>modif1!E439</f>
        <v>21</v>
      </c>
      <c r="F439" t="str">
        <f>modif1!F439</f>
        <v>METAIRIES DE TABARTON</v>
      </c>
      <c r="G439" t="str">
        <f>modif1!G439</f>
        <v>0A</v>
      </c>
      <c r="H439">
        <f>modif1!H439</f>
        <v>414</v>
      </c>
      <c r="I439" t="str">
        <f>modif1!I439</f>
        <v>k</v>
      </c>
      <c r="J439" s="11">
        <f>modif1!J439</f>
        <v>0.20369999999999999</v>
      </c>
      <c r="K439" t="str">
        <f>modif1!K439</f>
        <v>TAIL</v>
      </c>
      <c r="L439" t="str">
        <f>modif1!L439</f>
        <v>FEUIL</v>
      </c>
      <c r="M439">
        <f>modif1!M439</f>
        <v>1975</v>
      </c>
      <c r="N439" t="str">
        <f>modif1!N439</f>
        <v>TAIL-FEUIL_1975</v>
      </c>
      <c r="O439" t="b">
        <f>modif1!O439</f>
        <v>0</v>
      </c>
      <c r="Z439"/>
      <c r="AA439" s="17" t="b">
        <f>IF($A439,$J439*(IF(Q439=regle!$B$11,regle!$B$23*IF(AJ439=-2,1+regle!$B$35,1),
IF(Q439=regle!$C$11,regle!$C$23,
IF(Q439=regle!$D$11,regle!$D$23,
IF(Q439=regle!$E$11,regle!$E$23,
IF(Q439=regle!$F$11,regle!$F$23,
IF(Q439=regle!$G$11,regle!$G$23,
IF(Q439=regle!$H$11,regle!$H$23,
IF(Q439=regle!$I$11,regle!$I$23,
IF(Q439=regle!$J$11,regle!$J$23,
IF(Q439=regle!$K$11,regle!$K$23,0))))))))))))</f>
        <v>0</v>
      </c>
      <c r="AB439" s="17" t="b">
        <f>IF($A439,$J439*(IF(R439=regle!$B$11,regle!$B$23*IF(AK439=-2,1+regle!$B$35,1),
IF(R439=regle!$C$11,regle!$C$23,
IF(R439=regle!$D$11,regle!$D$23,
IF(R439=regle!$E$11,regle!$E$23,
IF(R439=regle!$F$11,regle!$F$23,
IF(R439=regle!$G$11,regle!$G$23,
IF(R439=regle!$H$11,regle!$H$23,
IF(R439=regle!$I$11,regle!$I$23,
IF(R439=regle!$J$11,regle!$J$23,
IF(R439=regle!$K$11,regle!$K$23,0))))))))))))</f>
        <v>0</v>
      </c>
      <c r="AC439" s="17" t="b">
        <f>IF($A439,$J439*(IF(S439=regle!$B$11,regle!$B$23*IF(AL439=-2,1+regle!$B$35,1),
IF(S439=regle!$C$11,regle!$C$23,
IF(S439=regle!$D$11,regle!$D$23,
IF(S439=regle!$E$11,regle!$E$23,
IF(S439=regle!$F$11,regle!$F$23,
IF(S439=regle!$G$11,regle!$G$23,
IF(S439=regle!$H$11,regle!$H$23,
IF(S439=regle!$I$11,regle!$I$23,
IF(S439=regle!$J$11,regle!$J$23,
IF(S439=regle!$K$11,regle!$K$23,0))))))))))))</f>
        <v>0</v>
      </c>
      <c r="AD439" s="17" t="b">
        <f>IF($A439,$J439*(IF(T439=regle!$B$11,regle!$B$23*IF(AM439=-2,1+regle!$B$35,1),
IF(T439=regle!$C$11,regle!$C$23,
IF(T439=regle!$D$11,regle!$D$23,
IF(T439=regle!$E$11,regle!$E$23,
IF(T439=regle!$F$11,regle!$F$23,
IF(T439=regle!$G$11,regle!$G$23,
IF(T439=regle!$H$11,regle!$H$23,
IF(T439=regle!$I$11,regle!$I$23,
IF(T439=regle!$J$11,regle!$J$23,
IF(T439=regle!$K$11,regle!$K$23,0))))))))))))</f>
        <v>0</v>
      </c>
      <c r="AE439" s="17" t="b">
        <f>IF($A439,$J439*(IF(U439=regle!$B$11,regle!$B$23*IF(AN439=-2,1+regle!$B$35,1),
IF(U439=regle!$C$11,regle!$C$23,
IF(U439=regle!$D$11,regle!$D$23,
IF(U439=regle!$E$11,regle!$E$23,
IF(U439=regle!$F$11,regle!$F$23,
IF(U439=regle!$G$11,regle!$G$23,
IF(U439=regle!$H$11,regle!$H$23,
IF(U439=regle!$I$11,regle!$I$23,
IF(U439=regle!$J$11,regle!$J$23,
IF(U439=regle!$K$11,regle!$K$23,0))))))))))))</f>
        <v>0</v>
      </c>
      <c r="AF439" s="17" t="b">
        <f>IF($A439,$J439*(IF(V439=regle!$B$11,regle!$B$23*IF(AO439=-2,1+regle!$B$35,1),
IF(V439=regle!$C$11,regle!$C$23,
IF(V439=regle!$D$11,regle!$D$23,
IF(V439=regle!$E$11,regle!$E$23,
IF(V439=regle!$F$11,regle!$F$23,
IF(V439=regle!$G$11,regle!$G$23,
IF(V439=regle!$H$11,regle!$H$23,
IF(V439=regle!$I$11,regle!$I$23,
IF(V439=regle!$J$11,regle!$J$23,
IF(V439=regle!$K$11,regle!$K$23,0))))))))))))</f>
        <v>0</v>
      </c>
      <c r="AG439" s="17" t="b">
        <f>IF($A439,$J439*(IF(W439=regle!$B$11,regle!$B$23*IF(AP439=-2,1+regle!$B$35,1),
IF(W439=regle!$C$11,regle!$C$23,
IF(W439=regle!$D$11,regle!$D$23,
IF(W439=regle!$E$11,regle!$E$23,
IF(W439=regle!$F$11,regle!$F$23,
IF(W439=regle!$G$11,regle!$G$23,
IF(W439=regle!$H$11,regle!$H$23,
IF(W439=regle!$I$11,regle!$I$23,
IF(W439=regle!$J$11,regle!$J$23,
IF(W439=regle!$K$11,regle!$K$23,0))))))))))))</f>
        <v>0</v>
      </c>
      <c r="AH439" s="17" t="b">
        <f>IF($A439,$J439*(IF(X439=regle!$B$11,regle!$B$23*IF(AQ439=-2,1+regle!$B$35,1),
IF(X439=regle!$C$11,regle!$C$23,
IF(X439=regle!$D$11,regle!$D$23,
IF(X439=regle!$E$11,regle!$E$23,
IF(X439=regle!$F$11,regle!$F$23,
IF(X439=regle!$G$11,regle!$G$23,
IF(X439=regle!$H$11,regle!$H$23,
IF(X439=regle!$I$11,regle!$I$23,
IF(X439=regle!$J$11,regle!$J$23,
IF(X439=regle!$K$11,regle!$K$23,0))))))))))))</f>
        <v>0</v>
      </c>
      <c r="AI439" s="17" t="b">
        <f>IF($A439,$J439*(IF(Y439=regle!$B$11,regle!$B$23*IF(AR439=-2,1+regle!$B$35,1),
IF(Y439=regle!$C$11,regle!$C$23,
IF(Y439=regle!$D$11,regle!$D$23,
IF(Y439=regle!$E$11,regle!$E$23,
IF(Y439=regle!$F$11,regle!$F$23,
IF(Y439=regle!$G$11,regle!$G$23,
IF(Y439=regle!$H$11,regle!$H$23,
IF(Y439=regle!$I$11,regle!$I$23,
IF(Y439=regle!$J$11,regle!$J$23,
IF(Y439=regle!$K$11,regle!$K$23,0))))))))))))</f>
        <v>0</v>
      </c>
      <c r="AJ439" s="17" t="b">
        <f>IF($A439,$J439*(IF(Z439=regle!$B$11,regle!$B$23*IF(AS439=-2,1+regle!$B$35,1),
IF(Z439=regle!$C$11,regle!$C$23,
IF(Z439=regle!$D$11,regle!$D$23,
IF(Z439=regle!$E$11,regle!$E$23,
IF(Z439=regle!$F$11,regle!$F$23,
IF(Z439=regle!$G$11,regle!$G$23,
IF(Z439=regle!$H$11,regle!$H$23,
IF(Z439=regle!$I$11,regle!$I$23,
IF(Z439=regle!$J$11,regle!$J$23,
IF(Z439=regle!$K$11,regle!$K$23,0))))))))))))</f>
        <v>0</v>
      </c>
      <c r="AK439" s="16">
        <f>IF(OR(Q439=regle!$J$11,Q439=regle!$K$11),-2,IF(Q439=regle!$B$11,0,IF(AK$1=$AK$1,IF($O439,-1,regle!$B$2-$M439),IF(AJ439=-1,-1,AJ439+1))))</f>
        <v>49</v>
      </c>
      <c r="AL439" s="16">
        <f>IF(OR(R439=regle!$J$11,R439=regle!$K$11),-2,IF(R439=regle!$B$11,0,IF(AL$1=$AK$1,IF($O439,-1,regle!$B$2-$M439),IF(AK439=-1,-1,AK439+1))))</f>
        <v>50</v>
      </c>
      <c r="AM439" s="16">
        <f>IF(OR(S439=regle!$J$11,S439=regle!$K$11),-2,IF(S439=regle!$B$11,0,IF(AM$1=$AK$1,IF($O439,-1,regle!$B$2-$M439),IF(AL439=-1,-1,AL439+1))))</f>
        <v>51</v>
      </c>
      <c r="AN439" s="16">
        <f>IF(OR(T439=regle!$J$11,T439=regle!$K$11),-2,IF(T439=regle!$B$11,0,IF(AN$1=$AK$1,IF($O439,-1,regle!$B$2-$M439),IF(AM439=-1,-1,AM439+1))))</f>
        <v>52</v>
      </c>
      <c r="AO439" s="16">
        <f>IF(OR(U439=regle!$J$11,U439=regle!$K$11),-2,IF(U439=regle!$B$11,0,IF(AO$1=$AK$1,IF($O439,-1,regle!$B$2-$M439),IF(AN439=-1,-1,AN439+1))))</f>
        <v>53</v>
      </c>
      <c r="AP439" s="16">
        <f>IF(OR(V439=regle!$J$11,V439=regle!$K$11),-2,IF(V439=regle!$B$11,0,IF(AP$1=$AK$1,IF($O439,-1,regle!$B$2-$M439),IF(AO439=-1,-1,AO439+1))))</f>
        <v>54</v>
      </c>
      <c r="AQ439" s="16">
        <f>IF(OR(W439=regle!$J$11,W439=regle!$K$11),-2,IF(W439=regle!$B$11,0,IF(AQ$1=$AK$1,IF($O439,-1,regle!$B$2-$M439),IF(AP439=-1,-1,AP439+1))))</f>
        <v>55</v>
      </c>
      <c r="AR439" s="16">
        <f>IF(OR(X439=regle!$J$11,X439=regle!$K$11),-2,IF(X439=regle!$B$11,0,IF(AR$1=$AK$1,IF($O439,-1,regle!$B$2-$M439),IF(AQ439=-1,-1,AQ439+1))))</f>
        <v>56</v>
      </c>
      <c r="AS439" s="16">
        <f>IF(OR(Y439=regle!$J$11,Y439=regle!$K$11),-2,IF(Y439=regle!$B$11,0,IF(AS$1=$AK$1,IF($O439,-1,regle!$B$2-$M439),IF(AR439=-1,-1,AR439+1))))</f>
        <v>57</v>
      </c>
      <c r="AT439" s="16">
        <f>IF(OR(Z439=regle!$J$11,Z439=regle!$K$11),-2,IF(Z439=regle!$B$11,0,IF(AT$1=$AK$1,IF($O439,-1,regle!$B$2-$M439),IF(AS439=-1,-1,AS439+1))))</f>
        <v>58</v>
      </c>
    </row>
    <row r="440" spans="1:46" x14ac:dyDescent="0.25">
      <c r="A440" t="b">
        <f>modif1!A440</f>
        <v>0</v>
      </c>
      <c r="B440">
        <f>ROW(modif1!B440)</f>
        <v>440</v>
      </c>
      <c r="C440" t="str">
        <f>modif1!C443</f>
        <v>202</v>
      </c>
      <c r="D440" t="str">
        <f>modif1!D440</f>
        <v>HOSTENS</v>
      </c>
      <c r="E440">
        <f>modif1!E440</f>
        <v>8</v>
      </c>
      <c r="F440" t="str">
        <f>modif1!F440</f>
        <v>LES BECS</v>
      </c>
      <c r="G440" t="str">
        <f>modif1!G440</f>
        <v>0B</v>
      </c>
      <c r="H440">
        <f>modif1!H440</f>
        <v>2472</v>
      </c>
      <c r="I440" t="str">
        <f>modif1!I440</f>
        <v>j</v>
      </c>
      <c r="J440" s="11">
        <f>modif1!J440</f>
        <v>0.90880000000000005</v>
      </c>
      <c r="K440" t="str">
        <f>modif1!K440</f>
        <v>TAIL</v>
      </c>
      <c r="L440" t="str">
        <f>modif1!L440</f>
        <v>FEUIL</v>
      </c>
      <c r="M440">
        <f>modif1!M440</f>
        <v>1970</v>
      </c>
      <c r="N440" t="str">
        <f>modif1!N440</f>
        <v>TAIL-FEUIL_1970</v>
      </c>
      <c r="O440" t="b">
        <f>modif1!O440</f>
        <v>0</v>
      </c>
      <c r="Z440"/>
      <c r="AA440" s="17" t="b">
        <f>IF($A440,$J440*(IF(Q440=regle!$B$11,regle!$B$23*IF(AJ440=-2,1+regle!$B$35,1),
IF(Q440=regle!$C$11,regle!$C$23,
IF(Q440=regle!$D$11,regle!$D$23,
IF(Q440=regle!$E$11,regle!$E$23,
IF(Q440=regle!$F$11,regle!$F$23,
IF(Q440=regle!$G$11,regle!$G$23,
IF(Q440=regle!$H$11,regle!$H$23,
IF(Q440=regle!$I$11,regle!$I$23,
IF(Q440=regle!$J$11,regle!$J$23,
IF(Q440=regle!$K$11,regle!$K$23,0))))))))))))</f>
        <v>0</v>
      </c>
      <c r="AB440" s="17" t="b">
        <f>IF($A440,$J440*(IF(R440=regle!$B$11,regle!$B$23*IF(AK440=-2,1+regle!$B$35,1),
IF(R440=regle!$C$11,regle!$C$23,
IF(R440=regle!$D$11,regle!$D$23,
IF(R440=regle!$E$11,regle!$E$23,
IF(R440=regle!$F$11,regle!$F$23,
IF(R440=regle!$G$11,regle!$G$23,
IF(R440=regle!$H$11,regle!$H$23,
IF(R440=regle!$I$11,regle!$I$23,
IF(R440=regle!$J$11,regle!$J$23,
IF(R440=regle!$K$11,regle!$K$23,0))))))))))))</f>
        <v>0</v>
      </c>
      <c r="AC440" s="17" t="b">
        <f>IF($A440,$J440*(IF(S440=regle!$B$11,regle!$B$23*IF(AL440=-2,1+regle!$B$35,1),
IF(S440=regle!$C$11,regle!$C$23,
IF(S440=regle!$D$11,regle!$D$23,
IF(S440=regle!$E$11,regle!$E$23,
IF(S440=regle!$F$11,regle!$F$23,
IF(S440=regle!$G$11,regle!$G$23,
IF(S440=regle!$H$11,regle!$H$23,
IF(S440=regle!$I$11,regle!$I$23,
IF(S440=regle!$J$11,regle!$J$23,
IF(S440=regle!$K$11,regle!$K$23,0))))))))))))</f>
        <v>0</v>
      </c>
      <c r="AD440" s="17" t="b">
        <f>IF($A440,$J440*(IF(T440=regle!$B$11,regle!$B$23*IF(AM440=-2,1+regle!$B$35,1),
IF(T440=regle!$C$11,regle!$C$23,
IF(T440=regle!$D$11,regle!$D$23,
IF(T440=regle!$E$11,regle!$E$23,
IF(T440=regle!$F$11,regle!$F$23,
IF(T440=regle!$G$11,regle!$G$23,
IF(T440=regle!$H$11,regle!$H$23,
IF(T440=regle!$I$11,regle!$I$23,
IF(T440=regle!$J$11,regle!$J$23,
IF(T440=regle!$K$11,regle!$K$23,0))))))))))))</f>
        <v>0</v>
      </c>
      <c r="AE440" s="17" t="b">
        <f>IF($A440,$J440*(IF(U440=regle!$B$11,regle!$B$23*IF(AN440=-2,1+regle!$B$35,1),
IF(U440=regle!$C$11,regle!$C$23,
IF(U440=regle!$D$11,regle!$D$23,
IF(U440=regle!$E$11,regle!$E$23,
IF(U440=regle!$F$11,regle!$F$23,
IF(U440=regle!$G$11,regle!$G$23,
IF(U440=regle!$H$11,regle!$H$23,
IF(U440=regle!$I$11,regle!$I$23,
IF(U440=regle!$J$11,regle!$J$23,
IF(U440=regle!$K$11,regle!$K$23,0))))))))))))</f>
        <v>0</v>
      </c>
      <c r="AF440" s="17" t="b">
        <f>IF($A440,$J440*(IF(V440=regle!$B$11,regle!$B$23*IF(AO440=-2,1+regle!$B$35,1),
IF(V440=regle!$C$11,regle!$C$23,
IF(V440=regle!$D$11,regle!$D$23,
IF(V440=regle!$E$11,regle!$E$23,
IF(V440=regle!$F$11,regle!$F$23,
IF(V440=regle!$G$11,regle!$G$23,
IF(V440=regle!$H$11,regle!$H$23,
IF(V440=regle!$I$11,regle!$I$23,
IF(V440=regle!$J$11,regle!$J$23,
IF(V440=regle!$K$11,regle!$K$23,0))))))))))))</f>
        <v>0</v>
      </c>
      <c r="AG440" s="17" t="b">
        <f>IF($A440,$J440*(IF(W440=regle!$B$11,regle!$B$23*IF(AP440=-2,1+regle!$B$35,1),
IF(W440=regle!$C$11,regle!$C$23,
IF(W440=regle!$D$11,regle!$D$23,
IF(W440=regle!$E$11,regle!$E$23,
IF(W440=regle!$F$11,regle!$F$23,
IF(W440=regle!$G$11,regle!$G$23,
IF(W440=regle!$H$11,regle!$H$23,
IF(W440=regle!$I$11,regle!$I$23,
IF(W440=regle!$J$11,regle!$J$23,
IF(W440=regle!$K$11,regle!$K$23,0))))))))))))</f>
        <v>0</v>
      </c>
      <c r="AH440" s="17" t="b">
        <f>IF($A440,$J440*(IF(X440=regle!$B$11,regle!$B$23*IF(AQ440=-2,1+regle!$B$35,1),
IF(X440=regle!$C$11,regle!$C$23,
IF(X440=regle!$D$11,regle!$D$23,
IF(X440=regle!$E$11,regle!$E$23,
IF(X440=regle!$F$11,regle!$F$23,
IF(X440=regle!$G$11,regle!$G$23,
IF(X440=regle!$H$11,regle!$H$23,
IF(X440=regle!$I$11,regle!$I$23,
IF(X440=regle!$J$11,regle!$J$23,
IF(X440=regle!$K$11,regle!$K$23,0))))))))))))</f>
        <v>0</v>
      </c>
      <c r="AI440" s="17" t="b">
        <f>IF($A440,$J440*(IF(Y440=regle!$B$11,regle!$B$23*IF(AR440=-2,1+regle!$B$35,1),
IF(Y440=regle!$C$11,regle!$C$23,
IF(Y440=regle!$D$11,regle!$D$23,
IF(Y440=regle!$E$11,regle!$E$23,
IF(Y440=regle!$F$11,regle!$F$23,
IF(Y440=regle!$G$11,regle!$G$23,
IF(Y440=regle!$H$11,regle!$H$23,
IF(Y440=regle!$I$11,regle!$I$23,
IF(Y440=regle!$J$11,regle!$J$23,
IF(Y440=regle!$K$11,regle!$K$23,0))))))))))))</f>
        <v>0</v>
      </c>
      <c r="AJ440" s="17" t="b">
        <f>IF($A440,$J440*(IF(Z440=regle!$B$11,regle!$B$23*IF(AS440=-2,1+regle!$B$35,1),
IF(Z440=regle!$C$11,regle!$C$23,
IF(Z440=regle!$D$11,regle!$D$23,
IF(Z440=regle!$E$11,regle!$E$23,
IF(Z440=regle!$F$11,regle!$F$23,
IF(Z440=regle!$G$11,regle!$G$23,
IF(Z440=regle!$H$11,regle!$H$23,
IF(Z440=regle!$I$11,regle!$I$23,
IF(Z440=regle!$J$11,regle!$J$23,
IF(Z440=regle!$K$11,regle!$K$23,0))))))))))))</f>
        <v>0</v>
      </c>
      <c r="AK440" s="16">
        <f>IF(OR(Q440=regle!$J$11,Q440=regle!$K$11),-2,IF(Q440=regle!$B$11,0,IF(AK$1=$AK$1,IF($O440,-1,regle!$B$2-$M440),IF(AJ440=-1,-1,AJ440+1))))</f>
        <v>54</v>
      </c>
      <c r="AL440" s="16">
        <f>IF(OR(R440=regle!$J$11,R440=regle!$K$11),-2,IF(R440=regle!$B$11,0,IF(AL$1=$AK$1,IF($O440,-1,regle!$B$2-$M440),IF(AK440=-1,-1,AK440+1))))</f>
        <v>55</v>
      </c>
      <c r="AM440" s="16">
        <f>IF(OR(S440=regle!$J$11,S440=regle!$K$11),-2,IF(S440=regle!$B$11,0,IF(AM$1=$AK$1,IF($O440,-1,regle!$B$2-$M440),IF(AL440=-1,-1,AL440+1))))</f>
        <v>56</v>
      </c>
      <c r="AN440" s="16">
        <f>IF(OR(T440=regle!$J$11,T440=regle!$K$11),-2,IF(T440=regle!$B$11,0,IF(AN$1=$AK$1,IF($O440,-1,regle!$B$2-$M440),IF(AM440=-1,-1,AM440+1))))</f>
        <v>57</v>
      </c>
      <c r="AO440" s="16">
        <f>IF(OR(U440=regle!$J$11,U440=regle!$K$11),-2,IF(U440=regle!$B$11,0,IF(AO$1=$AK$1,IF($O440,-1,regle!$B$2-$M440),IF(AN440=-1,-1,AN440+1))))</f>
        <v>58</v>
      </c>
      <c r="AP440" s="16">
        <f>IF(OR(V440=regle!$J$11,V440=regle!$K$11),-2,IF(V440=regle!$B$11,0,IF(AP$1=$AK$1,IF($O440,-1,regle!$B$2-$M440),IF(AO440=-1,-1,AO440+1))))</f>
        <v>59</v>
      </c>
      <c r="AQ440" s="16">
        <f>IF(OR(W440=regle!$J$11,W440=regle!$K$11),-2,IF(W440=regle!$B$11,0,IF(AQ$1=$AK$1,IF($O440,-1,regle!$B$2-$M440),IF(AP440=-1,-1,AP440+1))))</f>
        <v>60</v>
      </c>
      <c r="AR440" s="16">
        <f>IF(OR(X440=regle!$J$11,X440=regle!$K$11),-2,IF(X440=regle!$B$11,0,IF(AR$1=$AK$1,IF($O440,-1,regle!$B$2-$M440),IF(AQ440=-1,-1,AQ440+1))))</f>
        <v>61</v>
      </c>
      <c r="AS440" s="16">
        <f>IF(OR(Y440=regle!$J$11,Y440=regle!$K$11),-2,IF(Y440=regle!$B$11,0,IF(AS$1=$AK$1,IF($O440,-1,regle!$B$2-$M440),IF(AR440=-1,-1,AR440+1))))</f>
        <v>62</v>
      </c>
      <c r="AT440" s="16">
        <f>IF(OR(Z440=regle!$J$11,Z440=regle!$K$11),-2,IF(Z440=regle!$B$11,0,IF(AT$1=$AK$1,IF($O440,-1,regle!$B$2-$M440),IF(AS440=-1,-1,AS440+1))))</f>
        <v>63</v>
      </c>
    </row>
    <row r="441" spans="1:46" x14ac:dyDescent="0.25">
      <c r="A441" t="b">
        <f>modif1!A441</f>
        <v>0</v>
      </c>
      <c r="B441">
        <f>ROW(modif1!B441)</f>
        <v>441</v>
      </c>
      <c r="C441">
        <f>modif1!C444</f>
        <v>0</v>
      </c>
      <c r="D441" t="str">
        <f>modif1!D441</f>
        <v>HOSTENS</v>
      </c>
      <c r="E441">
        <f>modif1!E441</f>
        <v>11</v>
      </c>
      <c r="F441" t="str">
        <f>modif1!F441</f>
        <v>LES CAZALAS</v>
      </c>
      <c r="G441" t="str">
        <f>modif1!G441</f>
        <v>0B</v>
      </c>
      <c r="H441">
        <f>modif1!H441</f>
        <v>1140</v>
      </c>
      <c r="I441" t="str">
        <f>modif1!I441</f>
        <v/>
      </c>
      <c r="J441" s="11">
        <f>modif1!J441</f>
        <v>0.63100000000000001</v>
      </c>
      <c r="K441" t="str">
        <f>modif1!K441</f>
        <v>TAIL</v>
      </c>
      <c r="L441" t="str">
        <f>modif1!L441</f>
        <v>FEUIL</v>
      </c>
      <c r="M441">
        <f>modif1!M441</f>
        <v>1970</v>
      </c>
      <c r="N441" t="str">
        <f>modif1!N441</f>
        <v>TAIL-FEUIL_1970</v>
      </c>
      <c r="O441" t="b">
        <f>modif1!O441</f>
        <v>0</v>
      </c>
      <c r="P441">
        <v>40</v>
      </c>
      <c r="Q441" s="22"/>
      <c r="Z441"/>
      <c r="AA441" s="17" t="b">
        <f>IF($A441,$J441*(IF(Q441=regle!$B$11,regle!$B$23*IF(AJ441=-2,1+regle!$B$35,1),
IF(Q441=regle!$C$11,regle!$C$23,
IF(Q441=regle!$D$11,regle!$D$23,
IF(Q441=regle!$E$11,regle!$E$23,
IF(Q441=regle!$F$11,regle!$F$23,
IF(Q441=regle!$G$11,regle!$G$23,
IF(Q441=regle!$H$11,regle!$H$23,
IF(Q441=regle!$I$11,regle!$I$23,
IF(Q441=regle!$J$11,regle!$J$23,
IF(Q441=regle!$K$11,regle!$K$23,0))))))))))))</f>
        <v>0</v>
      </c>
      <c r="AB441" s="17" t="b">
        <f>IF($A441,$J441*(IF(R441=regle!$B$11,regle!$B$23*IF(AK441=-2,1+regle!$B$35,1),
IF(R441=regle!$C$11,regle!$C$23,
IF(R441=regle!$D$11,regle!$D$23,
IF(R441=regle!$E$11,regle!$E$23,
IF(R441=regle!$F$11,regle!$F$23,
IF(R441=regle!$G$11,regle!$G$23,
IF(R441=regle!$H$11,regle!$H$23,
IF(R441=regle!$I$11,regle!$I$23,
IF(R441=regle!$J$11,regle!$J$23,
IF(R441=regle!$K$11,regle!$K$23,0))))))))))))</f>
        <v>0</v>
      </c>
      <c r="AC441" s="17" t="b">
        <f>IF($A441,$J441*(IF(S441=regle!$B$11,regle!$B$23*IF(AL441=-2,1+regle!$B$35,1),
IF(S441=regle!$C$11,regle!$C$23,
IF(S441=regle!$D$11,regle!$D$23,
IF(S441=regle!$E$11,regle!$E$23,
IF(S441=regle!$F$11,regle!$F$23,
IF(S441=regle!$G$11,regle!$G$23,
IF(S441=regle!$H$11,regle!$H$23,
IF(S441=regle!$I$11,regle!$I$23,
IF(S441=regle!$J$11,regle!$J$23,
IF(S441=regle!$K$11,regle!$K$23,0))))))))))))</f>
        <v>0</v>
      </c>
      <c r="AD441" s="17" t="b">
        <f>IF($A441,$J441*(IF(T441=regle!$B$11,regle!$B$23*IF(AM441=-2,1+regle!$B$35,1),
IF(T441=regle!$C$11,regle!$C$23,
IF(T441=regle!$D$11,regle!$D$23,
IF(T441=regle!$E$11,regle!$E$23,
IF(T441=regle!$F$11,regle!$F$23,
IF(T441=regle!$G$11,regle!$G$23,
IF(T441=regle!$H$11,regle!$H$23,
IF(T441=regle!$I$11,regle!$I$23,
IF(T441=regle!$J$11,regle!$J$23,
IF(T441=regle!$K$11,regle!$K$23,0))))))))))))</f>
        <v>0</v>
      </c>
      <c r="AE441" s="17" t="b">
        <f>IF($A441,$J441*(IF(U441=regle!$B$11,regle!$B$23*IF(AN441=-2,1+regle!$B$35,1),
IF(U441=regle!$C$11,regle!$C$23,
IF(U441=regle!$D$11,regle!$D$23,
IF(U441=regle!$E$11,regle!$E$23,
IF(U441=regle!$F$11,regle!$F$23,
IF(U441=regle!$G$11,regle!$G$23,
IF(U441=regle!$H$11,regle!$H$23,
IF(U441=regle!$I$11,regle!$I$23,
IF(U441=regle!$J$11,regle!$J$23,
IF(U441=regle!$K$11,regle!$K$23,0))))))))))))</f>
        <v>0</v>
      </c>
      <c r="AF441" s="17" t="b">
        <f>IF($A441,$J441*(IF(V441=regle!$B$11,regle!$B$23*IF(AO441=-2,1+regle!$B$35,1),
IF(V441=regle!$C$11,regle!$C$23,
IF(V441=regle!$D$11,regle!$D$23,
IF(V441=regle!$E$11,regle!$E$23,
IF(V441=regle!$F$11,regle!$F$23,
IF(V441=regle!$G$11,regle!$G$23,
IF(V441=regle!$H$11,regle!$H$23,
IF(V441=regle!$I$11,regle!$I$23,
IF(V441=regle!$J$11,regle!$J$23,
IF(V441=regle!$K$11,regle!$K$23,0))))))))))))</f>
        <v>0</v>
      </c>
      <c r="AG441" s="17" t="b">
        <f>IF($A441,$J441*(IF(W441=regle!$B$11,regle!$B$23*IF(AP441=-2,1+regle!$B$35,1),
IF(W441=regle!$C$11,regle!$C$23,
IF(W441=regle!$D$11,regle!$D$23,
IF(W441=regle!$E$11,regle!$E$23,
IF(W441=regle!$F$11,regle!$F$23,
IF(W441=regle!$G$11,regle!$G$23,
IF(W441=regle!$H$11,regle!$H$23,
IF(W441=regle!$I$11,regle!$I$23,
IF(W441=regle!$J$11,regle!$J$23,
IF(W441=regle!$K$11,regle!$K$23,0))))))))))))</f>
        <v>0</v>
      </c>
      <c r="AH441" s="17" t="b">
        <f>IF($A441,$J441*(IF(X441=regle!$B$11,regle!$B$23*IF(AQ441=-2,1+regle!$B$35,1),
IF(X441=regle!$C$11,regle!$C$23,
IF(X441=regle!$D$11,regle!$D$23,
IF(X441=regle!$E$11,regle!$E$23,
IF(X441=regle!$F$11,regle!$F$23,
IF(X441=regle!$G$11,regle!$G$23,
IF(X441=regle!$H$11,regle!$H$23,
IF(X441=regle!$I$11,regle!$I$23,
IF(X441=regle!$J$11,regle!$J$23,
IF(X441=regle!$K$11,regle!$K$23,0))))))))))))</f>
        <v>0</v>
      </c>
      <c r="AI441" s="17" t="b">
        <f>IF($A441,$J441*(IF(Y441=regle!$B$11,regle!$B$23*IF(AR441=-2,1+regle!$B$35,1),
IF(Y441=regle!$C$11,regle!$C$23,
IF(Y441=regle!$D$11,regle!$D$23,
IF(Y441=regle!$E$11,regle!$E$23,
IF(Y441=regle!$F$11,regle!$F$23,
IF(Y441=regle!$G$11,regle!$G$23,
IF(Y441=regle!$H$11,regle!$H$23,
IF(Y441=regle!$I$11,regle!$I$23,
IF(Y441=regle!$J$11,regle!$J$23,
IF(Y441=regle!$K$11,regle!$K$23,0))))))))))))</f>
        <v>0</v>
      </c>
      <c r="AJ441" s="17" t="b">
        <f>IF($A441,$J441*(IF(Z441=regle!$B$11,regle!$B$23*IF(AS441=-2,1+regle!$B$35,1),
IF(Z441=regle!$C$11,regle!$C$23,
IF(Z441=regle!$D$11,regle!$D$23,
IF(Z441=regle!$E$11,regle!$E$23,
IF(Z441=regle!$F$11,regle!$F$23,
IF(Z441=regle!$G$11,regle!$G$23,
IF(Z441=regle!$H$11,regle!$H$23,
IF(Z441=regle!$I$11,regle!$I$23,
IF(Z441=regle!$J$11,regle!$J$23,
IF(Z441=regle!$K$11,regle!$K$23,0))))))))))))</f>
        <v>0</v>
      </c>
      <c r="AK441" s="16">
        <f>IF(OR(Q441=regle!$J$11,Q441=regle!$K$11),-2,IF(Q441=regle!$B$11,0,IF(AK$1=$AK$1,IF($O441,-1,regle!$B$2-$M441),IF(AJ441=-1,-1,AJ441+1))))</f>
        <v>54</v>
      </c>
      <c r="AL441" s="16">
        <f>IF(OR(R441=regle!$J$11,R441=regle!$K$11),-2,IF(R441=regle!$B$11,0,IF(AL$1=$AK$1,IF($O441,-1,regle!$B$2-$M441),IF(AK441=-1,-1,AK441+1))))</f>
        <v>55</v>
      </c>
      <c r="AM441" s="16">
        <f>IF(OR(S441=regle!$J$11,S441=regle!$K$11),-2,IF(S441=regle!$B$11,0,IF(AM$1=$AK$1,IF($O441,-1,regle!$B$2-$M441),IF(AL441=-1,-1,AL441+1))))</f>
        <v>56</v>
      </c>
      <c r="AN441" s="16">
        <f>IF(OR(T441=regle!$J$11,T441=regle!$K$11),-2,IF(T441=regle!$B$11,0,IF(AN$1=$AK$1,IF($O441,-1,regle!$B$2-$M441),IF(AM441=-1,-1,AM441+1))))</f>
        <v>57</v>
      </c>
      <c r="AO441" s="16">
        <f>IF(OR(U441=regle!$J$11,U441=regle!$K$11),-2,IF(U441=regle!$B$11,0,IF(AO$1=$AK$1,IF($O441,-1,regle!$B$2-$M441),IF(AN441=-1,-1,AN441+1))))</f>
        <v>58</v>
      </c>
      <c r="AP441" s="16">
        <f>IF(OR(V441=regle!$J$11,V441=regle!$K$11),-2,IF(V441=regle!$B$11,0,IF(AP$1=$AK$1,IF($O441,-1,regle!$B$2-$M441),IF(AO441=-1,-1,AO441+1))))</f>
        <v>59</v>
      </c>
      <c r="AQ441" s="16">
        <f>IF(OR(W441=regle!$J$11,W441=regle!$K$11),-2,IF(W441=regle!$B$11,0,IF(AQ$1=$AK$1,IF($O441,-1,regle!$B$2-$M441),IF(AP441=-1,-1,AP441+1))))</f>
        <v>60</v>
      </c>
      <c r="AR441" s="16">
        <f>IF(OR(X441=regle!$J$11,X441=regle!$K$11),-2,IF(X441=regle!$B$11,0,IF(AR$1=$AK$1,IF($O441,-1,regle!$B$2-$M441),IF(AQ441=-1,-1,AQ441+1))))</f>
        <v>61</v>
      </c>
      <c r="AS441" s="16">
        <f>IF(OR(Y441=regle!$J$11,Y441=regle!$K$11),-2,IF(Y441=regle!$B$11,0,IF(AS$1=$AK$1,IF($O441,-1,regle!$B$2-$M441),IF(AR441=-1,-1,AR441+1))))</f>
        <v>62</v>
      </c>
      <c r="AT441" s="16">
        <f>IF(OR(Z441=regle!$J$11,Z441=regle!$K$11),-2,IF(Z441=regle!$B$11,0,IF(AT$1=$AK$1,IF($O441,-1,regle!$B$2-$M441),IF(AS441=-1,-1,AS441+1))))</f>
        <v>63</v>
      </c>
    </row>
    <row r="442" spans="1:46" x14ac:dyDescent="0.25">
      <c r="A442" t="b">
        <f>modif1!A442</f>
        <v>0</v>
      </c>
      <c r="B442">
        <f>ROW(modif1!B442)</f>
        <v>442</v>
      </c>
      <c r="C442">
        <f>modif1!C445</f>
        <v>0</v>
      </c>
      <c r="D442" t="str">
        <f>modif1!D442</f>
        <v>MANO</v>
      </c>
      <c r="E442">
        <f>modif1!E442</f>
        <v>17</v>
      </c>
      <c r="F442" t="str">
        <f>modif1!F442</f>
        <v>LANDE DE TABARTON</v>
      </c>
      <c r="G442" t="str">
        <f>modif1!G442</f>
        <v>0B</v>
      </c>
      <c r="H442">
        <f>modif1!H442</f>
        <v>266</v>
      </c>
      <c r="I442" t="str">
        <f>modif1!I442</f>
        <v>m</v>
      </c>
      <c r="J442" s="11">
        <f>modif1!J442</f>
        <v>0.2898</v>
      </c>
      <c r="K442" t="str">
        <f>modif1!K442</f>
        <v>TAIL</v>
      </c>
      <c r="L442" t="str">
        <f>modif1!L442</f>
        <v>FEUIL</v>
      </c>
      <c r="M442">
        <f>modif1!M442</f>
        <v>1960</v>
      </c>
      <c r="N442" t="str">
        <f>modif1!N442</f>
        <v>TAIL-FEUIL_1960</v>
      </c>
      <c r="O442" t="b">
        <f>modif1!O442</f>
        <v>0</v>
      </c>
      <c r="P442">
        <v>40</v>
      </c>
      <c r="Q442" s="22"/>
      <c r="Z442"/>
      <c r="AA442" s="17" t="b">
        <f>IF($A442,$J442*(IF(Q442=regle!$B$11,regle!$B$23*IF(AJ442=-2,1+regle!$B$35,1),
IF(Q442=regle!$C$11,regle!$C$23,
IF(Q442=regle!$D$11,regle!$D$23,
IF(Q442=regle!$E$11,regle!$E$23,
IF(Q442=regle!$F$11,regle!$F$23,
IF(Q442=regle!$G$11,regle!$G$23,
IF(Q442=regle!$H$11,regle!$H$23,
IF(Q442=regle!$I$11,regle!$I$23,
IF(Q442=regle!$J$11,regle!$J$23,
IF(Q442=regle!$K$11,regle!$K$23,0))))))))))))</f>
        <v>0</v>
      </c>
      <c r="AB442" s="17" t="b">
        <f>IF($A442,$J442*(IF(R442=regle!$B$11,regle!$B$23*IF(AK442=-2,1+regle!$B$35,1),
IF(R442=regle!$C$11,regle!$C$23,
IF(R442=regle!$D$11,regle!$D$23,
IF(R442=regle!$E$11,regle!$E$23,
IF(R442=regle!$F$11,regle!$F$23,
IF(R442=regle!$G$11,regle!$G$23,
IF(R442=regle!$H$11,regle!$H$23,
IF(R442=regle!$I$11,regle!$I$23,
IF(R442=regle!$J$11,regle!$J$23,
IF(R442=regle!$K$11,regle!$K$23,0))))))))))))</f>
        <v>0</v>
      </c>
      <c r="AC442" s="17" t="b">
        <f>IF($A442,$J442*(IF(S442=regle!$B$11,regle!$B$23*IF(AL442=-2,1+regle!$B$35,1),
IF(S442=regle!$C$11,regle!$C$23,
IF(S442=regle!$D$11,regle!$D$23,
IF(S442=regle!$E$11,regle!$E$23,
IF(S442=regle!$F$11,regle!$F$23,
IF(S442=regle!$G$11,regle!$G$23,
IF(S442=regle!$H$11,regle!$H$23,
IF(S442=regle!$I$11,regle!$I$23,
IF(S442=regle!$J$11,regle!$J$23,
IF(S442=regle!$K$11,regle!$K$23,0))))))))))))</f>
        <v>0</v>
      </c>
      <c r="AD442" s="17" t="b">
        <f>IF($A442,$J442*(IF(T442=regle!$B$11,regle!$B$23*IF(AM442=-2,1+regle!$B$35,1),
IF(T442=regle!$C$11,regle!$C$23,
IF(T442=regle!$D$11,regle!$D$23,
IF(T442=regle!$E$11,regle!$E$23,
IF(T442=regle!$F$11,regle!$F$23,
IF(T442=regle!$G$11,regle!$G$23,
IF(T442=regle!$H$11,regle!$H$23,
IF(T442=regle!$I$11,regle!$I$23,
IF(T442=regle!$J$11,regle!$J$23,
IF(T442=regle!$K$11,regle!$K$23,0))))))))))))</f>
        <v>0</v>
      </c>
      <c r="AE442" s="17" t="b">
        <f>IF($A442,$J442*(IF(U442=regle!$B$11,regle!$B$23*IF(AN442=-2,1+regle!$B$35,1),
IF(U442=regle!$C$11,regle!$C$23,
IF(U442=regle!$D$11,regle!$D$23,
IF(U442=regle!$E$11,regle!$E$23,
IF(U442=regle!$F$11,regle!$F$23,
IF(U442=regle!$G$11,regle!$G$23,
IF(U442=regle!$H$11,regle!$H$23,
IF(U442=regle!$I$11,regle!$I$23,
IF(U442=regle!$J$11,regle!$J$23,
IF(U442=regle!$K$11,regle!$K$23,0))))))))))))</f>
        <v>0</v>
      </c>
      <c r="AF442" s="17" t="b">
        <f>IF($A442,$J442*(IF(V442=regle!$B$11,regle!$B$23*IF(AO442=-2,1+regle!$B$35,1),
IF(V442=regle!$C$11,regle!$C$23,
IF(V442=regle!$D$11,regle!$D$23,
IF(V442=regle!$E$11,regle!$E$23,
IF(V442=regle!$F$11,regle!$F$23,
IF(V442=regle!$G$11,regle!$G$23,
IF(V442=regle!$H$11,regle!$H$23,
IF(V442=regle!$I$11,regle!$I$23,
IF(V442=regle!$J$11,regle!$J$23,
IF(V442=regle!$K$11,regle!$K$23,0))))))))))))</f>
        <v>0</v>
      </c>
      <c r="AG442" s="17" t="b">
        <f>IF($A442,$J442*(IF(W442=regle!$B$11,regle!$B$23*IF(AP442=-2,1+regle!$B$35,1),
IF(W442=regle!$C$11,regle!$C$23,
IF(W442=regle!$D$11,regle!$D$23,
IF(W442=regle!$E$11,regle!$E$23,
IF(W442=regle!$F$11,regle!$F$23,
IF(W442=regle!$G$11,regle!$G$23,
IF(W442=regle!$H$11,regle!$H$23,
IF(W442=regle!$I$11,regle!$I$23,
IF(W442=regle!$J$11,regle!$J$23,
IF(W442=regle!$K$11,regle!$K$23,0))))))))))))</f>
        <v>0</v>
      </c>
      <c r="AH442" s="17" t="b">
        <f>IF($A442,$J442*(IF(X442=regle!$B$11,regle!$B$23*IF(AQ442=-2,1+regle!$B$35,1),
IF(X442=regle!$C$11,regle!$C$23,
IF(X442=regle!$D$11,regle!$D$23,
IF(X442=regle!$E$11,regle!$E$23,
IF(X442=regle!$F$11,regle!$F$23,
IF(X442=regle!$G$11,regle!$G$23,
IF(X442=regle!$H$11,regle!$H$23,
IF(X442=regle!$I$11,regle!$I$23,
IF(X442=regle!$J$11,regle!$J$23,
IF(X442=regle!$K$11,regle!$K$23,0))))))))))))</f>
        <v>0</v>
      </c>
      <c r="AI442" s="17" t="b">
        <f>IF($A442,$J442*(IF(Y442=regle!$B$11,regle!$B$23*IF(AR442=-2,1+regle!$B$35,1),
IF(Y442=regle!$C$11,regle!$C$23,
IF(Y442=regle!$D$11,regle!$D$23,
IF(Y442=regle!$E$11,regle!$E$23,
IF(Y442=regle!$F$11,regle!$F$23,
IF(Y442=regle!$G$11,regle!$G$23,
IF(Y442=regle!$H$11,regle!$H$23,
IF(Y442=regle!$I$11,regle!$I$23,
IF(Y442=regle!$J$11,regle!$J$23,
IF(Y442=regle!$K$11,regle!$K$23,0))))))))))))</f>
        <v>0</v>
      </c>
      <c r="AJ442" s="17" t="b">
        <f>IF($A442,$J442*(IF(Z442=regle!$B$11,regle!$B$23*IF(AS442=-2,1+regle!$B$35,1),
IF(Z442=regle!$C$11,regle!$C$23,
IF(Z442=regle!$D$11,regle!$D$23,
IF(Z442=regle!$E$11,regle!$E$23,
IF(Z442=regle!$F$11,regle!$F$23,
IF(Z442=regle!$G$11,regle!$G$23,
IF(Z442=regle!$H$11,regle!$H$23,
IF(Z442=regle!$I$11,regle!$I$23,
IF(Z442=regle!$J$11,regle!$J$23,
IF(Z442=regle!$K$11,regle!$K$23,0))))))))))))</f>
        <v>0</v>
      </c>
      <c r="AK442" s="16">
        <f>IF(OR(Q442=regle!$J$11,Q442=regle!$K$11),-2,IF(Q442=regle!$B$11,0,IF(AK$1=$AK$1,IF($O442,-1,regle!$B$2-$M442),IF(AJ442=-1,-1,AJ442+1))))</f>
        <v>64</v>
      </c>
      <c r="AL442" s="16">
        <f>IF(OR(R442=regle!$J$11,R442=regle!$K$11),-2,IF(R442=regle!$B$11,0,IF(AL$1=$AK$1,IF($O442,-1,regle!$B$2-$M442),IF(AK442=-1,-1,AK442+1))))</f>
        <v>65</v>
      </c>
      <c r="AM442" s="16">
        <f>IF(OR(S442=regle!$J$11,S442=regle!$K$11),-2,IF(S442=regle!$B$11,0,IF(AM$1=$AK$1,IF($O442,-1,regle!$B$2-$M442),IF(AL442=-1,-1,AL442+1))))</f>
        <v>66</v>
      </c>
      <c r="AN442" s="16">
        <f>IF(OR(T442=regle!$J$11,T442=regle!$K$11),-2,IF(T442=regle!$B$11,0,IF(AN$1=$AK$1,IF($O442,-1,regle!$B$2-$M442),IF(AM442=-1,-1,AM442+1))))</f>
        <v>67</v>
      </c>
      <c r="AO442" s="16">
        <f>IF(OR(U442=regle!$J$11,U442=regle!$K$11),-2,IF(U442=regle!$B$11,0,IF(AO$1=$AK$1,IF($O442,-1,regle!$B$2-$M442),IF(AN442=-1,-1,AN442+1))))</f>
        <v>68</v>
      </c>
      <c r="AP442" s="16">
        <f>IF(OR(V442=regle!$J$11,V442=regle!$K$11),-2,IF(V442=regle!$B$11,0,IF(AP$1=$AK$1,IF($O442,-1,regle!$B$2-$M442),IF(AO442=-1,-1,AO442+1))))</f>
        <v>69</v>
      </c>
      <c r="AQ442" s="16">
        <f>IF(OR(W442=regle!$J$11,W442=regle!$K$11),-2,IF(W442=regle!$B$11,0,IF(AQ$1=$AK$1,IF($O442,-1,regle!$B$2-$M442),IF(AP442=-1,-1,AP442+1))))</f>
        <v>70</v>
      </c>
      <c r="AR442" s="16">
        <f>IF(OR(X442=regle!$J$11,X442=regle!$K$11),-2,IF(X442=regle!$B$11,0,IF(AR$1=$AK$1,IF($O442,-1,regle!$B$2-$M442),IF(AQ442=-1,-1,AQ442+1))))</f>
        <v>71</v>
      </c>
      <c r="AS442" s="16">
        <f>IF(OR(Y442=regle!$J$11,Y442=regle!$K$11),-2,IF(Y442=regle!$B$11,0,IF(AS$1=$AK$1,IF($O442,-1,regle!$B$2-$M442),IF(AR442=-1,-1,AR442+1))))</f>
        <v>72</v>
      </c>
      <c r="AT442" s="16">
        <f>IF(OR(Z442=regle!$J$11,Z442=regle!$K$11),-2,IF(Z442=regle!$B$11,0,IF(AT$1=$AK$1,IF($O442,-1,regle!$B$2-$M442),IF(AS442=-1,-1,AS442+1))))</f>
        <v>73</v>
      </c>
    </row>
    <row r="443" spans="1:46" x14ac:dyDescent="0.25">
      <c r="A443" t="b">
        <f>modif1!A443</f>
        <v>0</v>
      </c>
      <c r="B443">
        <f>ROW(modif1!B443)</f>
        <v>443</v>
      </c>
      <c r="C443">
        <f>modif1!C446</f>
        <v>0</v>
      </c>
      <c r="D443" t="str">
        <f>modif1!D443</f>
        <v>HOSTENS</v>
      </c>
      <c r="E443">
        <f>modif1!E443</f>
        <v>13</v>
      </c>
      <c r="F443" t="str">
        <f>modif1!F443</f>
        <v>LA BROUSTETTE</v>
      </c>
      <c r="G443" t="str">
        <f>modif1!G443</f>
        <v>0B</v>
      </c>
      <c r="H443">
        <f>modif1!H443</f>
        <v>1233</v>
      </c>
      <c r="I443" t="str">
        <f>modif1!I443</f>
        <v/>
      </c>
      <c r="J443" s="11">
        <f>modif1!J443</f>
        <v>0.29299999999999998</v>
      </c>
      <c r="K443" t="str">
        <f>modif1!K443</f>
        <v>TAIL</v>
      </c>
      <c r="L443" t="str">
        <f>modif1!L443</f>
        <v>FEUIL</v>
      </c>
      <c r="M443">
        <f>modif1!M443</f>
        <v>1950</v>
      </c>
      <c r="N443" t="str">
        <f>modif1!N443</f>
        <v>TAIL-FEUIL_1950</v>
      </c>
      <c r="O443" t="b">
        <f>modif1!O443</f>
        <v>0</v>
      </c>
      <c r="P443">
        <v>40</v>
      </c>
      <c r="Q443" s="22"/>
      <c r="Z443"/>
      <c r="AA443" s="17" t="b">
        <f>IF($A443,$J443*(IF(Q443=regle!$B$11,regle!$B$23*IF(AJ443=-2,1+regle!$B$35,1),
IF(Q443=regle!$C$11,regle!$C$23,
IF(Q443=regle!$D$11,regle!$D$23,
IF(Q443=regle!$E$11,regle!$E$23,
IF(Q443=regle!$F$11,regle!$F$23,
IF(Q443=regle!$G$11,regle!$G$23,
IF(Q443=regle!$H$11,regle!$H$23,
IF(Q443=regle!$I$11,regle!$I$23,
IF(Q443=regle!$J$11,regle!$J$23,
IF(Q443=regle!$K$11,regle!$K$23,0))))))))))))</f>
        <v>0</v>
      </c>
      <c r="AB443" s="17" t="b">
        <f>IF($A443,$J443*(IF(R443=regle!$B$11,regle!$B$23*IF(AK443=-2,1+regle!$B$35,1),
IF(R443=regle!$C$11,regle!$C$23,
IF(R443=regle!$D$11,regle!$D$23,
IF(R443=regle!$E$11,regle!$E$23,
IF(R443=regle!$F$11,regle!$F$23,
IF(R443=regle!$G$11,regle!$G$23,
IF(R443=regle!$H$11,regle!$H$23,
IF(R443=regle!$I$11,regle!$I$23,
IF(R443=regle!$J$11,regle!$J$23,
IF(R443=regle!$K$11,regle!$K$23,0))))))))))))</f>
        <v>0</v>
      </c>
      <c r="AC443" s="17" t="b">
        <f>IF($A443,$J443*(IF(S443=regle!$B$11,regle!$B$23*IF(AL443=-2,1+regle!$B$35,1),
IF(S443=regle!$C$11,regle!$C$23,
IF(S443=regle!$D$11,regle!$D$23,
IF(S443=regle!$E$11,regle!$E$23,
IF(S443=regle!$F$11,regle!$F$23,
IF(S443=regle!$G$11,regle!$G$23,
IF(S443=regle!$H$11,regle!$H$23,
IF(S443=regle!$I$11,regle!$I$23,
IF(S443=regle!$J$11,regle!$J$23,
IF(S443=regle!$K$11,regle!$K$23,0))))))))))))</f>
        <v>0</v>
      </c>
      <c r="AD443" s="17" t="b">
        <f>IF($A443,$J443*(IF(T443=regle!$B$11,regle!$B$23*IF(AM443=-2,1+regle!$B$35,1),
IF(T443=regle!$C$11,regle!$C$23,
IF(T443=regle!$D$11,regle!$D$23,
IF(T443=regle!$E$11,regle!$E$23,
IF(T443=regle!$F$11,regle!$F$23,
IF(T443=regle!$G$11,regle!$G$23,
IF(T443=regle!$H$11,regle!$H$23,
IF(T443=regle!$I$11,regle!$I$23,
IF(T443=regle!$J$11,regle!$J$23,
IF(T443=regle!$K$11,regle!$K$23,0))))))))))))</f>
        <v>0</v>
      </c>
      <c r="AE443" s="17" t="b">
        <f>IF($A443,$J443*(IF(U443=regle!$B$11,regle!$B$23*IF(AN443=-2,1+regle!$B$35,1),
IF(U443=regle!$C$11,regle!$C$23,
IF(U443=regle!$D$11,regle!$D$23,
IF(U443=regle!$E$11,regle!$E$23,
IF(U443=regle!$F$11,regle!$F$23,
IF(U443=regle!$G$11,regle!$G$23,
IF(U443=regle!$H$11,regle!$H$23,
IF(U443=regle!$I$11,regle!$I$23,
IF(U443=regle!$J$11,regle!$J$23,
IF(U443=regle!$K$11,regle!$K$23,0))))))))))))</f>
        <v>0</v>
      </c>
      <c r="AF443" s="17" t="b">
        <f>IF($A443,$J443*(IF(V443=regle!$B$11,regle!$B$23*IF(AO443=-2,1+regle!$B$35,1),
IF(V443=regle!$C$11,regle!$C$23,
IF(V443=regle!$D$11,regle!$D$23,
IF(V443=regle!$E$11,regle!$E$23,
IF(V443=regle!$F$11,regle!$F$23,
IF(V443=regle!$G$11,regle!$G$23,
IF(V443=regle!$H$11,regle!$H$23,
IF(V443=regle!$I$11,regle!$I$23,
IF(V443=regle!$J$11,regle!$J$23,
IF(V443=regle!$K$11,regle!$K$23,0))))))))))))</f>
        <v>0</v>
      </c>
      <c r="AG443" s="17" t="b">
        <f>IF($A443,$J443*(IF(W443=regle!$B$11,regle!$B$23*IF(AP443=-2,1+regle!$B$35,1),
IF(W443=regle!$C$11,regle!$C$23,
IF(W443=regle!$D$11,regle!$D$23,
IF(W443=regle!$E$11,regle!$E$23,
IF(W443=regle!$F$11,regle!$F$23,
IF(W443=regle!$G$11,regle!$G$23,
IF(W443=regle!$H$11,regle!$H$23,
IF(W443=regle!$I$11,regle!$I$23,
IF(W443=regle!$J$11,regle!$J$23,
IF(W443=regle!$K$11,regle!$K$23,0))))))))))))</f>
        <v>0</v>
      </c>
      <c r="AH443" s="17" t="b">
        <f>IF($A443,$J443*(IF(X443=regle!$B$11,regle!$B$23*IF(AQ443=-2,1+regle!$B$35,1),
IF(X443=regle!$C$11,regle!$C$23,
IF(X443=regle!$D$11,regle!$D$23,
IF(X443=regle!$E$11,regle!$E$23,
IF(X443=regle!$F$11,regle!$F$23,
IF(X443=regle!$G$11,regle!$G$23,
IF(X443=regle!$H$11,regle!$H$23,
IF(X443=regle!$I$11,regle!$I$23,
IF(X443=regle!$J$11,regle!$J$23,
IF(X443=regle!$K$11,regle!$K$23,0))))))))))))</f>
        <v>0</v>
      </c>
      <c r="AI443" s="17" t="b">
        <f>IF($A443,$J443*(IF(Y443=regle!$B$11,regle!$B$23*IF(AR443=-2,1+regle!$B$35,1),
IF(Y443=regle!$C$11,regle!$C$23,
IF(Y443=regle!$D$11,regle!$D$23,
IF(Y443=regle!$E$11,regle!$E$23,
IF(Y443=regle!$F$11,regle!$F$23,
IF(Y443=regle!$G$11,regle!$G$23,
IF(Y443=regle!$H$11,regle!$H$23,
IF(Y443=regle!$I$11,regle!$I$23,
IF(Y443=regle!$J$11,regle!$J$23,
IF(Y443=regle!$K$11,regle!$K$23,0))))))))))))</f>
        <v>0</v>
      </c>
      <c r="AJ443" s="17" t="b">
        <f>IF($A443,$J443*(IF(Z443=regle!$B$11,regle!$B$23*IF(AS443=-2,1+regle!$B$35,1),
IF(Z443=regle!$C$11,regle!$C$23,
IF(Z443=regle!$D$11,regle!$D$23,
IF(Z443=regle!$E$11,regle!$E$23,
IF(Z443=regle!$F$11,regle!$F$23,
IF(Z443=regle!$G$11,regle!$G$23,
IF(Z443=regle!$H$11,regle!$H$23,
IF(Z443=regle!$I$11,regle!$I$23,
IF(Z443=regle!$J$11,regle!$J$23,
IF(Z443=regle!$K$11,regle!$K$23,0))))))))))))</f>
        <v>0</v>
      </c>
      <c r="AK443" s="16">
        <f>IF(OR(Q443=regle!$J$11,Q443=regle!$K$11),-2,IF(Q443=regle!$B$11,0,IF(AK$1=$AK$1,IF($O443,-1,regle!$B$2-$M443),IF(AJ443=-1,-1,AJ443+1))))</f>
        <v>74</v>
      </c>
      <c r="AL443" s="16">
        <f>IF(OR(R443=regle!$J$11,R443=regle!$K$11),-2,IF(R443=regle!$B$11,0,IF(AL$1=$AK$1,IF($O443,-1,regle!$B$2-$M443),IF(AK443=-1,-1,AK443+1))))</f>
        <v>75</v>
      </c>
      <c r="AM443" s="16">
        <f>IF(OR(S443=regle!$J$11,S443=regle!$K$11),-2,IF(S443=regle!$B$11,0,IF(AM$1=$AK$1,IF($O443,-1,regle!$B$2-$M443),IF(AL443=-1,-1,AL443+1))))</f>
        <v>76</v>
      </c>
      <c r="AN443" s="16">
        <f>IF(OR(T443=regle!$J$11,T443=regle!$K$11),-2,IF(T443=regle!$B$11,0,IF(AN$1=$AK$1,IF($O443,-1,regle!$B$2-$M443),IF(AM443=-1,-1,AM443+1))))</f>
        <v>77</v>
      </c>
      <c r="AO443" s="16">
        <f>IF(OR(U443=regle!$J$11,U443=regle!$K$11),-2,IF(U443=regle!$B$11,0,IF(AO$1=$AK$1,IF($O443,-1,regle!$B$2-$M443),IF(AN443=-1,-1,AN443+1))))</f>
        <v>78</v>
      </c>
      <c r="AP443" s="16">
        <f>IF(OR(V443=regle!$J$11,V443=regle!$K$11),-2,IF(V443=regle!$B$11,0,IF(AP$1=$AK$1,IF($O443,-1,regle!$B$2-$M443),IF(AO443=-1,-1,AO443+1))))</f>
        <v>79</v>
      </c>
      <c r="AQ443" s="16">
        <f>IF(OR(W443=regle!$J$11,W443=regle!$K$11),-2,IF(W443=regle!$B$11,0,IF(AQ$1=$AK$1,IF($O443,-1,regle!$B$2-$M443),IF(AP443=-1,-1,AP443+1))))</f>
        <v>80</v>
      </c>
      <c r="AR443" s="16">
        <f>IF(OR(X443=regle!$J$11,X443=regle!$K$11),-2,IF(X443=regle!$B$11,0,IF(AR$1=$AK$1,IF($O443,-1,regle!$B$2-$M443),IF(AQ443=-1,-1,AQ443+1))))</f>
        <v>81</v>
      </c>
      <c r="AS443" s="16">
        <f>IF(OR(Y443=regle!$J$11,Y443=regle!$K$11),-2,IF(Y443=regle!$B$11,0,IF(AS$1=$AK$1,IF($O443,-1,regle!$B$2-$M443),IF(AR443=-1,-1,AR443+1))))</f>
        <v>82</v>
      </c>
      <c r="AT443" s="16">
        <f>IF(OR(Z443=regle!$J$11,Z443=regle!$K$11),-2,IF(Z443=regle!$B$11,0,IF(AT$1=$AK$1,IF($O443,-1,regle!$B$2-$M443),IF(AS443=-1,-1,AS443+1))))</f>
        <v>83</v>
      </c>
    </row>
  </sheetData>
  <phoneticPr fontId="18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EBAC1-13EB-4C02-BFC9-263E7516406F}">
  <sheetPr codeName="Feuil13"/>
  <dimension ref="A1:AT443"/>
  <sheetViews>
    <sheetView zoomScale="85" zoomScaleNormal="85" workbookViewId="0">
      <selection activeCell="AA2" sqref="AA2"/>
    </sheetView>
  </sheetViews>
  <sheetFormatPr baseColWidth="10" defaultColWidth="11.42578125" defaultRowHeight="15" x14ac:dyDescent="0.25"/>
  <cols>
    <col min="1" max="1" width="5.7109375" bestFit="1" customWidth="1"/>
    <col min="2" max="3" width="4.140625" bestFit="1" customWidth="1"/>
    <col min="4" max="4" width="13.140625" customWidth="1"/>
    <col min="5" max="5" width="3.140625" bestFit="1" customWidth="1"/>
    <col min="6" max="6" width="7.5703125" customWidth="1"/>
    <col min="7" max="7" width="3.85546875" bestFit="1" customWidth="1"/>
    <col min="8" max="8" width="5.140625" bestFit="1" customWidth="1"/>
    <col min="9" max="9" width="3.28515625" bestFit="1" customWidth="1"/>
    <col min="10" max="10" width="7.7109375" style="11" bestFit="1" customWidth="1"/>
    <col min="11" max="11" width="4.85546875" style="11" bestFit="1" customWidth="1"/>
    <col min="12" max="12" width="6" bestFit="1" customWidth="1"/>
    <col min="13" max="13" width="5.140625" bestFit="1" customWidth="1"/>
    <col min="14" max="14" width="15.42578125" bestFit="1" customWidth="1"/>
    <col min="15" max="15" width="5.7109375" bestFit="1" customWidth="1"/>
    <col min="16" max="16" width="5.7109375" customWidth="1"/>
    <col min="17" max="26" width="5.5703125" bestFit="1" customWidth="1"/>
    <col min="27" max="34" width="9.5703125" bestFit="1" customWidth="1"/>
    <col min="35" max="36" width="12.140625" bestFit="1" customWidth="1"/>
    <col min="37" max="46" width="3.140625" style="15" bestFit="1" customWidth="1"/>
  </cols>
  <sheetData>
    <row r="1" spans="1:46" x14ac:dyDescent="0.25">
      <c r="A1" t="s">
        <v>58</v>
      </c>
      <c r="B1" t="s">
        <v>59</v>
      </c>
      <c r="C1" t="s">
        <v>60</v>
      </c>
      <c r="D1" t="s">
        <v>2</v>
      </c>
      <c r="E1" t="s">
        <v>61</v>
      </c>
      <c r="F1" t="s">
        <v>4</v>
      </c>
      <c r="G1" t="s">
        <v>3</v>
      </c>
      <c r="H1" t="s">
        <v>5</v>
      </c>
      <c r="I1" t="s">
        <v>6</v>
      </c>
      <c r="J1" s="11" t="s">
        <v>1801</v>
      </c>
      <c r="K1" s="11" t="s">
        <v>80</v>
      </c>
      <c r="L1" t="s">
        <v>62</v>
      </c>
      <c r="M1" t="s">
        <v>81</v>
      </c>
      <c r="N1" t="s">
        <v>32</v>
      </c>
      <c r="O1" t="s">
        <v>1856</v>
      </c>
      <c r="P1" t="s">
        <v>1884</v>
      </c>
      <c r="Q1" t="s">
        <v>1836</v>
      </c>
      <c r="R1" t="s">
        <v>1838</v>
      </c>
      <c r="S1" t="s">
        <v>1840</v>
      </c>
      <c r="T1" t="s">
        <v>1842</v>
      </c>
      <c r="U1" t="s">
        <v>1844</v>
      </c>
      <c r="V1" t="s">
        <v>1846</v>
      </c>
      <c r="W1" t="s">
        <v>1848</v>
      </c>
      <c r="X1" t="s">
        <v>1850</v>
      </c>
      <c r="Y1" t="s">
        <v>1852</v>
      </c>
      <c r="Z1" t="s">
        <v>1854</v>
      </c>
      <c r="AA1" t="s">
        <v>1837</v>
      </c>
      <c r="AB1" t="s">
        <v>1839</v>
      </c>
      <c r="AC1" t="s">
        <v>1841</v>
      </c>
      <c r="AD1" t="s">
        <v>1843</v>
      </c>
      <c r="AE1" t="s">
        <v>1845</v>
      </c>
      <c r="AF1" t="s">
        <v>1847</v>
      </c>
      <c r="AG1" t="s">
        <v>1849</v>
      </c>
      <c r="AH1" t="s">
        <v>1851</v>
      </c>
      <c r="AI1" t="s">
        <v>1853</v>
      </c>
      <c r="AJ1" t="s">
        <v>1855</v>
      </c>
      <c r="AK1" s="15" t="s">
        <v>1857</v>
      </c>
      <c r="AL1" s="15" t="s">
        <v>1858</v>
      </c>
      <c r="AM1" s="15" t="s">
        <v>1859</v>
      </c>
      <c r="AN1" s="15" t="s">
        <v>1860</v>
      </c>
      <c r="AO1" s="15" t="s">
        <v>1861</v>
      </c>
      <c r="AP1" s="15" t="s">
        <v>1862</v>
      </c>
      <c r="AQ1" s="15" t="s">
        <v>1863</v>
      </c>
      <c r="AR1" s="15" t="s">
        <v>1864</v>
      </c>
      <c r="AS1" s="15" t="s">
        <v>1865</v>
      </c>
      <c r="AT1" s="15" t="s">
        <v>1866</v>
      </c>
    </row>
    <row r="2" spans="1:46" x14ac:dyDescent="0.25">
      <c r="A2" t="b">
        <f>modif0!A309</f>
        <v>1</v>
      </c>
      <c r="B2">
        <f>ROW(modif0!B309)</f>
        <v>309</v>
      </c>
      <c r="C2" t="str">
        <f>modif0!D309</f>
        <v>171</v>
      </c>
      <c r="D2" t="str">
        <f>modif0!E309</f>
        <v>MANO</v>
      </c>
      <c r="E2">
        <f>modif0!F309</f>
        <v>10</v>
      </c>
      <c r="F2" t="str">
        <f>modif0!G309</f>
        <v>LA PEYRERE</v>
      </c>
      <c r="G2" t="str">
        <f>modif0!I309</f>
        <v>0C</v>
      </c>
      <c r="H2">
        <f>modif0!J309</f>
        <v>357</v>
      </c>
      <c r="I2" t="str">
        <f>modif0!K309</f>
        <v>j</v>
      </c>
      <c r="J2" s="11">
        <f>modif0!M309</f>
        <v>13.8779</v>
      </c>
      <c r="K2" s="11" t="str">
        <f>modif0!P309</f>
        <v>CR</v>
      </c>
      <c r="L2" t="str">
        <f>modif0!N309</f>
        <v>PM</v>
      </c>
      <c r="M2">
        <f>modif0!Q309</f>
        <v>2022</v>
      </c>
      <c r="N2" t="str">
        <f>modif0!R309</f>
        <v>CR-PM_2022</v>
      </c>
      <c r="O2" t="b">
        <f>modif0!S309</f>
        <v>1</v>
      </c>
      <c r="P2">
        <v>25</v>
      </c>
      <c r="Q2" t="s">
        <v>1868</v>
      </c>
      <c r="AA2" s="17">
        <f>IF($A2,$J2*(IF(Q2=regle!$B$11,regle!$B$23*IF(AJ2=-2,1+regle!$B$35,1),
IF(Q2=regle!$C$11,regle!$C$23,
IF(Q2=regle!$D$11,regle!$D$23,
IF(Q2=regle!$E$11,regle!$E$23,
IF(Q2=regle!$F$11,regle!$F$23,
IF(Q2=regle!$G$11,regle!$G$23,
IF(Q2=regle!$H$11,regle!$H$23,
IF(Q2=regle!$I$11,regle!$I$23,
IF(Q2=regle!$J$11,regle!$J$23,
IF(Q2=regle!$K$11,regle!$K$23,0))))))))))))</f>
        <v>-23592.43</v>
      </c>
      <c r="AB2" s="17">
        <f>IF($A2,$J2*(IF(R2=regle!$B$11,regle!$B$23*IF(AK2=-2,1+regle!$B$35,1),
IF(R2=regle!$C$11,regle!$C$23,
IF(R2=regle!$D$11,regle!$D$23,
IF(R2=regle!$E$11,regle!$E$23,
IF(R2=regle!$F$11,regle!$F$23,
IF(R2=regle!$G$11,regle!$G$23,
IF(R2=regle!$H$11,regle!$H$23,
IF(R2=regle!$I$11,regle!$I$23,
IF(R2=regle!$J$11,regle!$J$23,
IF(R2=regle!$K$11,regle!$K$23,0))))))))))))</f>
        <v>0</v>
      </c>
      <c r="AC2" s="17">
        <f>IF($A2,$J2*(IF(S2=regle!$B$11,regle!$B$23*IF(AL2=-2,1+regle!$B$35,1),
IF(S2=regle!$C$11,regle!$C$23,
IF(S2=regle!$D$11,regle!$D$23,
IF(S2=regle!$E$11,regle!$E$23,
IF(S2=regle!$F$11,regle!$F$23,
IF(S2=regle!$G$11,regle!$G$23,
IF(S2=regle!$H$11,regle!$H$23,
IF(S2=regle!$I$11,regle!$I$23,
IF(S2=regle!$J$11,regle!$J$23,
IF(S2=regle!$K$11,regle!$K$23,0))))))))))))</f>
        <v>0</v>
      </c>
      <c r="AD2" s="17">
        <f>IF($A2,$J2*(IF(T2=regle!$B$11,regle!$B$23*IF(AM2=-2,1+regle!$B$35,1),
IF(T2=regle!$C$11,regle!$C$23,
IF(T2=regle!$D$11,regle!$D$23,
IF(T2=regle!$E$11,regle!$E$23,
IF(T2=regle!$F$11,regle!$F$23,
IF(T2=regle!$G$11,regle!$G$23,
IF(T2=regle!$H$11,regle!$H$23,
IF(T2=regle!$I$11,regle!$I$23,
IF(T2=regle!$J$11,regle!$J$23,
IF(T2=regle!$K$11,regle!$K$23,0))))))))))))</f>
        <v>0</v>
      </c>
      <c r="AE2" s="17">
        <f>IF($A2,$J2*(IF(U2=regle!$B$11,regle!$B$23*IF(AN2=-2,1+regle!$B$35,1),
IF(U2=regle!$C$11,regle!$C$23,
IF(U2=regle!$D$11,regle!$D$23,
IF(U2=regle!$E$11,regle!$E$23,
IF(U2=regle!$F$11,regle!$F$23,
IF(U2=regle!$G$11,regle!$G$23,
IF(U2=regle!$H$11,regle!$H$23,
IF(U2=regle!$I$11,regle!$I$23,
IF(U2=regle!$J$11,regle!$J$23,
IF(U2=regle!$K$11,regle!$K$23,0))))))))))))</f>
        <v>0</v>
      </c>
      <c r="AF2" s="17">
        <f>IF($A2,$J2*(IF(V2=regle!$B$11,regle!$B$23*IF(AO2=-2,1+regle!$B$35,1),
IF(V2=regle!$C$11,regle!$C$23,
IF(V2=regle!$D$11,regle!$D$23,
IF(V2=regle!$E$11,regle!$E$23,
IF(V2=regle!$F$11,regle!$F$23,
IF(V2=regle!$G$11,regle!$G$23,
IF(V2=regle!$H$11,regle!$H$23,
IF(V2=regle!$I$11,regle!$I$23,
IF(V2=regle!$J$11,regle!$J$23,
IF(V2=regle!$K$11,regle!$K$23,0))))))))))))</f>
        <v>0</v>
      </c>
      <c r="AG2" s="17">
        <f>IF($A2,$J2*(IF(W2=regle!$B$11,regle!$B$23*IF(AP2=-2,1+regle!$B$35,1),
IF(W2=regle!$C$11,regle!$C$23,
IF(W2=regle!$D$11,regle!$D$23,
IF(W2=regle!$E$11,regle!$E$23,
IF(W2=regle!$F$11,regle!$F$23,
IF(W2=regle!$G$11,regle!$G$23,
IF(W2=regle!$H$11,regle!$H$23,
IF(W2=regle!$I$11,regle!$I$23,
IF(W2=regle!$J$11,regle!$J$23,
IF(W2=regle!$K$11,regle!$K$23,0))))))))))))</f>
        <v>0</v>
      </c>
      <c r="AH2" s="17">
        <f>IF($A2,$J2*(IF(X2=regle!$B$11,regle!$B$23*IF(AQ2=-2,1+regle!$B$35,1),
IF(X2=regle!$C$11,regle!$C$23,
IF(X2=regle!$D$11,regle!$D$23,
IF(X2=regle!$E$11,regle!$E$23,
IF(X2=regle!$F$11,regle!$F$23,
IF(X2=regle!$G$11,regle!$G$23,
IF(X2=regle!$H$11,regle!$H$23,
IF(X2=regle!$I$11,regle!$I$23,
IF(X2=regle!$J$11,regle!$J$23,
IF(X2=regle!$K$11,regle!$K$23,0))))))))))))</f>
        <v>0</v>
      </c>
      <c r="AI2" s="17">
        <f>IF($A2,$J2*(IF(Y2=regle!$B$11,regle!$B$23*IF(AR2=-2,1+regle!$B$35,1),
IF(Y2=regle!$C$11,regle!$C$23,
IF(Y2=regle!$D$11,regle!$D$23,
IF(Y2=regle!$E$11,regle!$E$23,
IF(Y2=regle!$F$11,regle!$F$23,
IF(Y2=regle!$G$11,regle!$G$23,
IF(Y2=regle!$H$11,regle!$H$23,
IF(Y2=regle!$I$11,regle!$I$23,
IF(Y2=regle!$J$11,regle!$J$23,
IF(Y2=regle!$K$11,regle!$K$23,0))))))))))))</f>
        <v>0</v>
      </c>
      <c r="AJ2" s="17">
        <f>IF($A2,$J2*(IF(Z2=regle!$B$11,regle!$B$23*IF(AS2=-2,1+regle!$B$35,1),
IF(Z2=regle!$C$11,regle!$C$23,
IF(Z2=regle!$D$11,regle!$D$23,
IF(Z2=regle!$E$11,regle!$E$23,
IF(Z2=regle!$F$11,regle!$F$23,
IF(Z2=regle!$G$11,regle!$G$23,
IF(Z2=regle!$H$11,regle!$H$23,
IF(Z2=regle!$I$11,regle!$I$23,
IF(Z2=regle!$J$11,regle!$J$23,
IF(Z2=regle!$K$11,regle!$K$23,0))))))))))))</f>
        <v>0</v>
      </c>
      <c r="AK2" s="16">
        <f>IF(OR(Q2=regle!$J$11,Q2=regle!$K$11),-2,IF(Q2=regle!$B$11,0,IF(AK$1=$AK$1,IF($O2,-1,regle!$B$2-$M2),IF(AJ2=-1,-1,AJ2+1))))</f>
        <v>0</v>
      </c>
      <c r="AL2" s="16">
        <f>IF(OR(R2=regle!$J$11,R2=regle!$K$11),-2,IF(R2=regle!$B$11,0,IF(AL$1=$AK$1,IF($O2,-1,regle!$B$2-$M2),IF(AK2=-1,-1,AK2+1))))</f>
        <v>1</v>
      </c>
      <c r="AM2" s="16">
        <f>IF(OR(S2=regle!$J$11,S2=regle!$K$11),-2,IF(S2=regle!$B$11,0,IF(AM$1=$AK$1,IF($O2,-1,regle!$B$2-$M2),IF(AL2=-1,-1,AL2+1))))</f>
        <v>2</v>
      </c>
      <c r="AN2" s="16">
        <f>IF(OR(T2=regle!$J$11,T2=regle!$K$11),-2,IF(T2=regle!$B$11,0,IF(AN$1=$AK$1,IF($O2,-1,regle!$B$2-$M2),IF(AM2=-1,-1,AM2+1))))</f>
        <v>3</v>
      </c>
      <c r="AO2" s="16">
        <f>IF(OR(U2=regle!$J$11,U2=regle!$K$11),-2,IF(U2=regle!$B$11,0,IF(AO$1=$AK$1,IF($O2,-1,regle!$B$2-$M2),IF(AN2=-1,-1,AN2+1))))</f>
        <v>4</v>
      </c>
      <c r="AP2" s="16">
        <f>IF(OR(V2=regle!$J$11,V2=regle!$K$11),-2,IF(V2=regle!$B$11,0,IF(AP$1=$AK$1,IF($O2,-1,regle!$B$2-$M2),IF(AO2=-1,-1,AO2+1))))</f>
        <v>5</v>
      </c>
      <c r="AQ2" s="16">
        <f>IF(OR(W2=regle!$J$11,W2=regle!$K$11),-2,IF(W2=regle!$B$11,0,IF(AQ$1=$AK$1,IF($O2,-1,regle!$B$2-$M2),IF(AP2=-1,-1,AP2+1))))</f>
        <v>6</v>
      </c>
      <c r="AR2" s="16">
        <f>IF(OR(X2=regle!$J$11,X2=regle!$K$11),-2,IF(X2=regle!$B$11,0,IF(AR$1=$AK$1,IF($O2,-1,regle!$B$2-$M2),IF(AQ2=-1,-1,AQ2+1))))</f>
        <v>7</v>
      </c>
      <c r="AS2" s="16">
        <f>IF(OR(Y2=regle!$J$11,Y2=regle!$K$11),-2,IF(Y2=regle!$B$11,0,IF(AS$1=$AK$1,IF($O2,-1,regle!$B$2-$M2),IF(AR2=-1,-1,AR2+1))))</f>
        <v>8</v>
      </c>
      <c r="AT2" s="16">
        <f>IF(OR(Z2=regle!$J$11,Z2=regle!$K$11),-2,IF(Z2=regle!$B$11,0,IF(AT$1=$AK$1,IF($O2,-1,regle!$B$2-$M2),IF(AS2=-1,-1,AS2+1))))</f>
        <v>9</v>
      </c>
    </row>
    <row r="3" spans="1:46" x14ac:dyDescent="0.25">
      <c r="A3" t="b">
        <f>modif0!A65</f>
        <v>1</v>
      </c>
      <c r="B3">
        <f>ROW(modif0!B65)</f>
        <v>65</v>
      </c>
      <c r="C3" t="str">
        <f>modif0!D65</f>
        <v>536</v>
      </c>
      <c r="D3" t="str">
        <f>modif0!E65</f>
        <v>LE TUZAN</v>
      </c>
      <c r="E3">
        <f>modif0!F65</f>
        <v>21</v>
      </c>
      <c r="F3" t="str">
        <f>modif0!G65</f>
        <v>METAIRIES DE TABARTON</v>
      </c>
      <c r="G3" t="str">
        <f>modif0!I65</f>
        <v>0A</v>
      </c>
      <c r="H3">
        <f>modif0!J65</f>
        <v>523</v>
      </c>
      <c r="I3" t="str">
        <f>modif0!K65</f>
        <v>n</v>
      </c>
      <c r="J3" s="11">
        <f>modif0!M65</f>
        <v>6.2582000000000004</v>
      </c>
      <c r="K3" s="11" t="str">
        <f>modif0!P65</f>
        <v>CR</v>
      </c>
      <c r="L3" t="str">
        <f>modif0!N65</f>
        <v>PM</v>
      </c>
      <c r="M3">
        <f>modif0!Q65</f>
        <v>2022</v>
      </c>
      <c r="N3" t="str">
        <f>modif0!R65</f>
        <v>CR-PM_2022</v>
      </c>
      <c r="O3" t="b">
        <f>modif0!S65</f>
        <v>1</v>
      </c>
      <c r="P3">
        <v>25</v>
      </c>
      <c r="Q3" t="s">
        <v>1868</v>
      </c>
      <c r="AA3" s="17">
        <f>IF($A3,$J3*(IF(Q3=regle!$B$11,regle!$B$23*IF(AJ3=-2,1+regle!$B$35,1),
IF(Q3=regle!$C$11,regle!$C$23,
IF(Q3=regle!$D$11,regle!$D$23,
IF(Q3=regle!$E$11,regle!$E$23,
IF(Q3=regle!$F$11,regle!$F$23,
IF(Q3=regle!$G$11,regle!$G$23,
IF(Q3=regle!$H$11,regle!$H$23,
IF(Q3=regle!$I$11,regle!$I$23,
IF(Q3=regle!$J$11,regle!$J$23,
IF(Q3=regle!$K$11,regle!$K$23,0))))))))))))</f>
        <v>-10638.94</v>
      </c>
      <c r="AB3" s="17">
        <f>IF($A3,$J3*(IF(R3=regle!$B$11,regle!$B$23*IF(AK3=-2,1+regle!$B$35,1),
IF(R3=regle!$C$11,regle!$C$23,
IF(R3=regle!$D$11,regle!$D$23,
IF(R3=regle!$E$11,regle!$E$23,
IF(R3=regle!$F$11,regle!$F$23,
IF(R3=regle!$G$11,regle!$G$23,
IF(R3=regle!$H$11,regle!$H$23,
IF(R3=regle!$I$11,regle!$I$23,
IF(R3=regle!$J$11,regle!$J$23,
IF(R3=regle!$K$11,regle!$K$23,0))))))))))))</f>
        <v>0</v>
      </c>
      <c r="AC3" s="17">
        <f>IF($A3,$J3*(IF(S3=regle!$B$11,regle!$B$23*IF(AL3=-2,1+regle!$B$35,1),
IF(S3=regle!$C$11,regle!$C$23,
IF(S3=regle!$D$11,regle!$D$23,
IF(S3=regle!$E$11,regle!$E$23,
IF(S3=regle!$F$11,regle!$F$23,
IF(S3=regle!$G$11,regle!$G$23,
IF(S3=regle!$H$11,regle!$H$23,
IF(S3=regle!$I$11,regle!$I$23,
IF(S3=regle!$J$11,regle!$J$23,
IF(S3=regle!$K$11,regle!$K$23,0))))))))))))</f>
        <v>0</v>
      </c>
      <c r="AD3" s="17">
        <f>IF($A3,$J3*(IF(T3=regle!$B$11,regle!$B$23*IF(AM3=-2,1+regle!$B$35,1),
IF(T3=regle!$C$11,regle!$C$23,
IF(T3=regle!$D$11,regle!$D$23,
IF(T3=regle!$E$11,regle!$E$23,
IF(T3=regle!$F$11,regle!$F$23,
IF(T3=regle!$G$11,regle!$G$23,
IF(T3=regle!$H$11,regle!$H$23,
IF(T3=regle!$I$11,regle!$I$23,
IF(T3=regle!$J$11,regle!$J$23,
IF(T3=regle!$K$11,regle!$K$23,0))))))))))))</f>
        <v>0</v>
      </c>
      <c r="AE3" s="17">
        <f>IF($A3,$J3*(IF(U3=regle!$B$11,regle!$B$23*IF(AN3=-2,1+regle!$B$35,1),
IF(U3=regle!$C$11,regle!$C$23,
IF(U3=regle!$D$11,regle!$D$23,
IF(U3=regle!$E$11,regle!$E$23,
IF(U3=regle!$F$11,regle!$F$23,
IF(U3=regle!$G$11,regle!$G$23,
IF(U3=regle!$H$11,regle!$H$23,
IF(U3=regle!$I$11,regle!$I$23,
IF(U3=regle!$J$11,regle!$J$23,
IF(U3=regle!$K$11,regle!$K$23,0))))))))))))</f>
        <v>0</v>
      </c>
      <c r="AF3" s="17">
        <f>IF($A3,$J3*(IF(V3=regle!$B$11,regle!$B$23*IF(AO3=-2,1+regle!$B$35,1),
IF(V3=regle!$C$11,regle!$C$23,
IF(V3=regle!$D$11,regle!$D$23,
IF(V3=regle!$E$11,regle!$E$23,
IF(V3=regle!$F$11,regle!$F$23,
IF(V3=regle!$G$11,regle!$G$23,
IF(V3=regle!$H$11,regle!$H$23,
IF(V3=regle!$I$11,regle!$I$23,
IF(V3=regle!$J$11,regle!$J$23,
IF(V3=regle!$K$11,regle!$K$23,0))))))))))))</f>
        <v>0</v>
      </c>
      <c r="AG3" s="17">
        <f>IF($A3,$J3*(IF(W3=regle!$B$11,regle!$B$23*IF(AP3=-2,1+regle!$B$35,1),
IF(W3=regle!$C$11,regle!$C$23,
IF(W3=regle!$D$11,regle!$D$23,
IF(W3=regle!$E$11,regle!$E$23,
IF(W3=regle!$F$11,regle!$F$23,
IF(W3=regle!$G$11,regle!$G$23,
IF(W3=regle!$H$11,regle!$H$23,
IF(W3=regle!$I$11,regle!$I$23,
IF(W3=regle!$J$11,regle!$J$23,
IF(W3=regle!$K$11,regle!$K$23,0))))))))))))</f>
        <v>0</v>
      </c>
      <c r="AH3" s="17">
        <f>IF($A3,$J3*(IF(X3=regle!$B$11,regle!$B$23*IF(AQ3=-2,1+regle!$B$35,1),
IF(X3=regle!$C$11,regle!$C$23,
IF(X3=regle!$D$11,regle!$D$23,
IF(X3=regle!$E$11,regle!$E$23,
IF(X3=regle!$F$11,regle!$F$23,
IF(X3=regle!$G$11,regle!$G$23,
IF(X3=regle!$H$11,regle!$H$23,
IF(X3=regle!$I$11,regle!$I$23,
IF(X3=regle!$J$11,regle!$J$23,
IF(X3=regle!$K$11,regle!$K$23,0))))))))))))</f>
        <v>0</v>
      </c>
      <c r="AI3" s="17">
        <f>IF($A3,$J3*(IF(Y3=regle!$B$11,regle!$B$23*IF(AR3=-2,1+regle!$B$35,1),
IF(Y3=regle!$C$11,regle!$C$23,
IF(Y3=regle!$D$11,regle!$D$23,
IF(Y3=regle!$E$11,regle!$E$23,
IF(Y3=regle!$F$11,regle!$F$23,
IF(Y3=regle!$G$11,regle!$G$23,
IF(Y3=regle!$H$11,regle!$H$23,
IF(Y3=regle!$I$11,regle!$I$23,
IF(Y3=regle!$J$11,regle!$J$23,
IF(Y3=regle!$K$11,regle!$K$23,0))))))))))))</f>
        <v>0</v>
      </c>
      <c r="AJ3" s="17">
        <f>IF($A3,$J3*(IF(Z3=regle!$B$11,regle!$B$23*IF(AS3=-2,1+regle!$B$35,1),
IF(Z3=regle!$C$11,regle!$C$23,
IF(Z3=regle!$D$11,regle!$D$23,
IF(Z3=regle!$E$11,regle!$E$23,
IF(Z3=regle!$F$11,regle!$F$23,
IF(Z3=regle!$G$11,regle!$G$23,
IF(Z3=regle!$H$11,regle!$H$23,
IF(Z3=regle!$I$11,regle!$I$23,
IF(Z3=regle!$J$11,regle!$J$23,
IF(Z3=regle!$K$11,regle!$K$23,0))))))))))))</f>
        <v>0</v>
      </c>
      <c r="AK3" s="16">
        <f>IF(OR(Q3=regle!$J$11,Q3=regle!$K$11),-2,IF(Q3=regle!$B$11,0,IF(AK$1=$AK$1,IF($O3,-1,regle!$B$2-$M3),IF(AJ3=-1,-1,AJ3+1))))</f>
        <v>0</v>
      </c>
      <c r="AL3" s="16">
        <f>IF(OR(R3=regle!$J$11,R3=regle!$K$11),-2,IF(R3=regle!$B$11,0,IF(AL$1=$AK$1,IF($O3,-1,regle!$B$2-$M3),IF(AK3=-1,-1,AK3+1))))</f>
        <v>1</v>
      </c>
      <c r="AM3" s="16">
        <f>IF(OR(S3=regle!$J$11,S3=regle!$K$11),-2,IF(S3=regle!$B$11,0,IF(AM$1=$AK$1,IF($O3,-1,regle!$B$2-$M3),IF(AL3=-1,-1,AL3+1))))</f>
        <v>2</v>
      </c>
      <c r="AN3" s="16">
        <f>IF(OR(T3=regle!$J$11,T3=regle!$K$11),-2,IF(T3=regle!$B$11,0,IF(AN$1=$AK$1,IF($O3,-1,regle!$B$2-$M3),IF(AM3=-1,-1,AM3+1))))</f>
        <v>3</v>
      </c>
      <c r="AO3" s="16">
        <f>IF(OR(U3=regle!$J$11,U3=regle!$K$11),-2,IF(U3=regle!$B$11,0,IF(AO$1=$AK$1,IF($O3,-1,regle!$B$2-$M3),IF(AN3=-1,-1,AN3+1))))</f>
        <v>4</v>
      </c>
      <c r="AP3" s="16">
        <f>IF(OR(V3=regle!$J$11,V3=regle!$K$11),-2,IF(V3=regle!$B$11,0,IF(AP$1=$AK$1,IF($O3,-1,regle!$B$2-$M3),IF(AO3=-1,-1,AO3+1))))</f>
        <v>5</v>
      </c>
      <c r="AQ3" s="16">
        <f>IF(OR(W3=regle!$J$11,W3=regle!$K$11),-2,IF(W3=regle!$B$11,0,IF(AQ$1=$AK$1,IF($O3,-1,regle!$B$2-$M3),IF(AP3=-1,-1,AP3+1))))</f>
        <v>6</v>
      </c>
      <c r="AR3" s="16">
        <f>IF(OR(X3=regle!$J$11,X3=regle!$K$11),-2,IF(X3=regle!$B$11,0,IF(AR$1=$AK$1,IF($O3,-1,regle!$B$2-$M3),IF(AQ3=-1,-1,AQ3+1))))</f>
        <v>7</v>
      </c>
      <c r="AS3" s="16">
        <f>IF(OR(Y3=regle!$J$11,Y3=regle!$K$11),-2,IF(Y3=regle!$B$11,0,IF(AS$1=$AK$1,IF($O3,-1,regle!$B$2-$M3),IF(AR3=-1,-1,AR3+1))))</f>
        <v>8</v>
      </c>
      <c r="AT3" s="16">
        <f>IF(OR(Z3=regle!$J$11,Z3=regle!$K$11),-2,IF(Z3=regle!$B$11,0,IF(AT$1=$AK$1,IF($O3,-1,regle!$B$2-$M3),IF(AS3=-1,-1,AS3+1))))</f>
        <v>9</v>
      </c>
    </row>
    <row r="4" spans="1:46" x14ac:dyDescent="0.25">
      <c r="A4" t="b">
        <f>modif0!A298</f>
        <v>1</v>
      </c>
      <c r="B4">
        <f>ROW(modif0!B298)</f>
        <v>298</v>
      </c>
      <c r="C4" t="str">
        <f>modif0!D298</f>
        <v>171</v>
      </c>
      <c r="D4" t="str">
        <f>modif0!E298</f>
        <v>MANO</v>
      </c>
      <c r="E4">
        <f>modif0!F298</f>
        <v>6</v>
      </c>
      <c r="F4" t="str">
        <f>modif0!G298</f>
        <v>BARRAT</v>
      </c>
      <c r="G4" t="str">
        <f>modif0!I298</f>
        <v>0C</v>
      </c>
      <c r="H4">
        <f>modif0!J298</f>
        <v>172</v>
      </c>
      <c r="I4" t="str">
        <f>modif0!K298</f>
        <v>k</v>
      </c>
      <c r="J4" s="11">
        <f>modif0!M298</f>
        <v>5.7865000000000002</v>
      </c>
      <c r="K4" s="11" t="str">
        <f>modif0!P298</f>
        <v>CR</v>
      </c>
      <c r="L4" t="str">
        <f>modif0!N298</f>
        <v>PM</v>
      </c>
      <c r="M4">
        <f>modif0!Q298</f>
        <v>2022</v>
      </c>
      <c r="N4" t="str">
        <f>modif0!R298</f>
        <v>CR-PM_2022</v>
      </c>
      <c r="O4" t="b">
        <f>modif0!S298</f>
        <v>1</v>
      </c>
      <c r="P4">
        <v>25</v>
      </c>
      <c r="Q4" t="s">
        <v>1868</v>
      </c>
      <c r="AA4" s="17">
        <f>IF($A4,$J4*(IF(Q4=regle!$B$11,regle!$B$23*IF(AJ4=-2,1+regle!$B$35,1),
IF(Q4=regle!$C$11,regle!$C$23,
IF(Q4=regle!$D$11,regle!$D$23,
IF(Q4=regle!$E$11,regle!$E$23,
IF(Q4=regle!$F$11,regle!$F$23,
IF(Q4=regle!$G$11,regle!$G$23,
IF(Q4=regle!$H$11,regle!$H$23,
IF(Q4=regle!$I$11,regle!$I$23,
IF(Q4=regle!$J$11,regle!$J$23,
IF(Q4=regle!$K$11,regle!$K$23,0))))))))))))</f>
        <v>-9837.0500000000011</v>
      </c>
      <c r="AB4" s="17">
        <f>IF($A4,$J4*(IF(R4=regle!$B$11,regle!$B$23*IF(AK4=-2,1+regle!$B$35,1),
IF(R4=regle!$C$11,regle!$C$23,
IF(R4=regle!$D$11,regle!$D$23,
IF(R4=regle!$E$11,regle!$E$23,
IF(R4=regle!$F$11,regle!$F$23,
IF(R4=regle!$G$11,regle!$G$23,
IF(R4=regle!$H$11,regle!$H$23,
IF(R4=regle!$I$11,regle!$I$23,
IF(R4=regle!$J$11,regle!$J$23,
IF(R4=regle!$K$11,regle!$K$23,0))))))))))))</f>
        <v>0</v>
      </c>
      <c r="AC4" s="17">
        <f>IF($A4,$J4*(IF(S4=regle!$B$11,regle!$B$23*IF(AL4=-2,1+regle!$B$35,1),
IF(S4=regle!$C$11,regle!$C$23,
IF(S4=regle!$D$11,regle!$D$23,
IF(S4=regle!$E$11,regle!$E$23,
IF(S4=regle!$F$11,regle!$F$23,
IF(S4=regle!$G$11,regle!$G$23,
IF(S4=regle!$H$11,regle!$H$23,
IF(S4=regle!$I$11,regle!$I$23,
IF(S4=regle!$J$11,regle!$J$23,
IF(S4=regle!$K$11,regle!$K$23,0))))))))))))</f>
        <v>0</v>
      </c>
      <c r="AD4" s="17">
        <f>IF($A4,$J4*(IF(T4=regle!$B$11,regle!$B$23*IF(AM4=-2,1+regle!$B$35,1),
IF(T4=regle!$C$11,regle!$C$23,
IF(T4=regle!$D$11,regle!$D$23,
IF(T4=regle!$E$11,regle!$E$23,
IF(T4=regle!$F$11,regle!$F$23,
IF(T4=regle!$G$11,regle!$G$23,
IF(T4=regle!$H$11,regle!$H$23,
IF(T4=regle!$I$11,regle!$I$23,
IF(T4=regle!$J$11,regle!$J$23,
IF(T4=regle!$K$11,regle!$K$23,0))))))))))))</f>
        <v>0</v>
      </c>
      <c r="AE4" s="17">
        <f>IF($A4,$J4*(IF(U4=regle!$B$11,regle!$B$23*IF(AN4=-2,1+regle!$B$35,1),
IF(U4=regle!$C$11,regle!$C$23,
IF(U4=regle!$D$11,regle!$D$23,
IF(U4=regle!$E$11,regle!$E$23,
IF(U4=regle!$F$11,regle!$F$23,
IF(U4=regle!$G$11,regle!$G$23,
IF(U4=regle!$H$11,regle!$H$23,
IF(U4=regle!$I$11,regle!$I$23,
IF(U4=regle!$J$11,regle!$J$23,
IF(U4=regle!$K$11,regle!$K$23,0))))))))))))</f>
        <v>0</v>
      </c>
      <c r="AF4" s="17">
        <f>IF($A4,$J4*(IF(V4=regle!$B$11,regle!$B$23*IF(AO4=-2,1+regle!$B$35,1),
IF(V4=regle!$C$11,regle!$C$23,
IF(V4=regle!$D$11,regle!$D$23,
IF(V4=regle!$E$11,regle!$E$23,
IF(V4=regle!$F$11,regle!$F$23,
IF(V4=regle!$G$11,regle!$G$23,
IF(V4=regle!$H$11,regle!$H$23,
IF(V4=regle!$I$11,regle!$I$23,
IF(V4=regle!$J$11,regle!$J$23,
IF(V4=regle!$K$11,regle!$K$23,0))))))))))))</f>
        <v>0</v>
      </c>
      <c r="AG4" s="17">
        <f>IF($A4,$J4*(IF(W4=regle!$B$11,regle!$B$23*IF(AP4=-2,1+regle!$B$35,1),
IF(W4=regle!$C$11,regle!$C$23,
IF(W4=regle!$D$11,regle!$D$23,
IF(W4=regle!$E$11,regle!$E$23,
IF(W4=regle!$F$11,regle!$F$23,
IF(W4=regle!$G$11,regle!$G$23,
IF(W4=regle!$H$11,regle!$H$23,
IF(W4=regle!$I$11,regle!$I$23,
IF(W4=regle!$J$11,regle!$J$23,
IF(W4=regle!$K$11,regle!$K$23,0))))))))))))</f>
        <v>0</v>
      </c>
      <c r="AH4" s="17">
        <f>IF($A4,$J4*(IF(X4=regle!$B$11,regle!$B$23*IF(AQ4=-2,1+regle!$B$35,1),
IF(X4=regle!$C$11,regle!$C$23,
IF(X4=regle!$D$11,regle!$D$23,
IF(X4=regle!$E$11,regle!$E$23,
IF(X4=regle!$F$11,regle!$F$23,
IF(X4=regle!$G$11,regle!$G$23,
IF(X4=regle!$H$11,regle!$H$23,
IF(X4=regle!$I$11,regle!$I$23,
IF(X4=regle!$J$11,regle!$J$23,
IF(X4=regle!$K$11,regle!$K$23,0))))))))))))</f>
        <v>0</v>
      </c>
      <c r="AI4" s="17">
        <f>IF($A4,$J4*(IF(Y4=regle!$B$11,regle!$B$23*IF(AR4=-2,1+regle!$B$35,1),
IF(Y4=regle!$C$11,regle!$C$23,
IF(Y4=regle!$D$11,regle!$D$23,
IF(Y4=regle!$E$11,regle!$E$23,
IF(Y4=regle!$F$11,regle!$F$23,
IF(Y4=regle!$G$11,regle!$G$23,
IF(Y4=regle!$H$11,regle!$H$23,
IF(Y4=regle!$I$11,regle!$I$23,
IF(Y4=regle!$J$11,regle!$J$23,
IF(Y4=regle!$K$11,regle!$K$23,0))))))))))))</f>
        <v>0</v>
      </c>
      <c r="AJ4" s="17">
        <f>IF($A4,$J4*(IF(Z4=regle!$B$11,regle!$B$23*IF(AS4=-2,1+regle!$B$35,1),
IF(Z4=regle!$C$11,regle!$C$23,
IF(Z4=regle!$D$11,regle!$D$23,
IF(Z4=regle!$E$11,regle!$E$23,
IF(Z4=regle!$F$11,regle!$F$23,
IF(Z4=regle!$G$11,regle!$G$23,
IF(Z4=regle!$H$11,regle!$H$23,
IF(Z4=regle!$I$11,regle!$I$23,
IF(Z4=regle!$J$11,regle!$J$23,
IF(Z4=regle!$K$11,regle!$K$23,0))))))))))))</f>
        <v>0</v>
      </c>
      <c r="AK4" s="16">
        <f>IF(OR(Q4=regle!$J$11,Q4=regle!$K$11),-2,IF(Q4=regle!$B$11,0,IF(AK$1=$AK$1,IF($O4,-1,regle!$B$2-$M4),IF(AJ4=-1,-1,AJ4+1))))</f>
        <v>0</v>
      </c>
      <c r="AL4" s="16">
        <f>IF(OR(R4=regle!$J$11,R4=regle!$K$11),-2,IF(R4=regle!$B$11,0,IF(AL$1=$AK$1,IF($O4,-1,regle!$B$2-$M4),IF(AK4=-1,-1,AK4+1))))</f>
        <v>1</v>
      </c>
      <c r="AM4" s="16">
        <f>IF(OR(S4=regle!$J$11,S4=regle!$K$11),-2,IF(S4=regle!$B$11,0,IF(AM$1=$AK$1,IF($O4,-1,regle!$B$2-$M4),IF(AL4=-1,-1,AL4+1))))</f>
        <v>2</v>
      </c>
      <c r="AN4" s="16">
        <f>IF(OR(T4=regle!$J$11,T4=regle!$K$11),-2,IF(T4=regle!$B$11,0,IF(AN$1=$AK$1,IF($O4,-1,regle!$B$2-$M4),IF(AM4=-1,-1,AM4+1))))</f>
        <v>3</v>
      </c>
      <c r="AO4" s="16">
        <f>IF(OR(U4=regle!$J$11,U4=regle!$K$11),-2,IF(U4=regle!$B$11,0,IF(AO$1=$AK$1,IF($O4,-1,regle!$B$2-$M4),IF(AN4=-1,-1,AN4+1))))</f>
        <v>4</v>
      </c>
      <c r="AP4" s="16">
        <f>IF(OR(V4=regle!$J$11,V4=regle!$K$11),-2,IF(V4=regle!$B$11,0,IF(AP$1=$AK$1,IF($O4,-1,regle!$B$2-$M4),IF(AO4=-1,-1,AO4+1))))</f>
        <v>5</v>
      </c>
      <c r="AQ4" s="16">
        <f>IF(OR(W4=regle!$J$11,W4=regle!$K$11),-2,IF(W4=regle!$B$11,0,IF(AQ$1=$AK$1,IF($O4,-1,regle!$B$2-$M4),IF(AP4=-1,-1,AP4+1))))</f>
        <v>6</v>
      </c>
      <c r="AR4" s="16">
        <f>IF(OR(X4=regle!$J$11,X4=regle!$K$11),-2,IF(X4=regle!$B$11,0,IF(AR$1=$AK$1,IF($O4,-1,regle!$B$2-$M4),IF(AQ4=-1,-1,AQ4+1))))</f>
        <v>7</v>
      </c>
      <c r="AS4" s="16">
        <f>IF(OR(Y4=regle!$J$11,Y4=regle!$K$11),-2,IF(Y4=regle!$B$11,0,IF(AS$1=$AK$1,IF($O4,-1,regle!$B$2-$M4),IF(AR4=-1,-1,AR4+1))))</f>
        <v>8</v>
      </c>
      <c r="AT4" s="16">
        <f>IF(OR(Z4=regle!$J$11,Z4=regle!$K$11),-2,IF(Z4=regle!$B$11,0,IF(AT$1=$AK$1,IF($O4,-1,regle!$B$2-$M4),IF(AS4=-1,-1,AS4+1))))</f>
        <v>9</v>
      </c>
    </row>
    <row r="5" spans="1:46" x14ac:dyDescent="0.25">
      <c r="A5" t="b">
        <f>modif0!A353</f>
        <v>1</v>
      </c>
      <c r="B5">
        <f>ROW(modif0!B353)</f>
        <v>353</v>
      </c>
      <c r="C5" t="str">
        <f>modif0!D353</f>
        <v>200</v>
      </c>
      <c r="D5" t="str">
        <f>modif0!E353</f>
        <v>MOUSTEY</v>
      </c>
      <c r="E5">
        <f>modif0!F353</f>
        <v>12</v>
      </c>
      <c r="F5" t="str">
        <f>modif0!G353</f>
        <v>Lesbarreyres</v>
      </c>
      <c r="G5" t="str">
        <f>modif0!I353</f>
        <v>0M</v>
      </c>
      <c r="H5">
        <f>modif0!J353</f>
        <v>62</v>
      </c>
      <c r="I5" t="str">
        <f>modif0!K353</f>
        <v>a</v>
      </c>
      <c r="J5" s="11">
        <f>modif0!M353</f>
        <v>5.77</v>
      </c>
      <c r="K5" s="11" t="str">
        <f>modif0!P353</f>
        <v>CR</v>
      </c>
      <c r="L5" t="str">
        <f>modif0!N353</f>
        <v>PM</v>
      </c>
      <c r="M5">
        <f>modif0!Q353</f>
        <v>2022</v>
      </c>
      <c r="N5" t="str">
        <f>modif0!R353</f>
        <v>CR-PM_2022</v>
      </c>
      <c r="O5" t="b">
        <f>modif0!S353</f>
        <v>1</v>
      </c>
      <c r="P5">
        <v>25</v>
      </c>
      <c r="Q5" t="s">
        <v>1868</v>
      </c>
      <c r="AA5" s="17">
        <f>IF($A5,$J5*(IF(Q5=regle!$B$11,regle!$B$23*IF(AJ5=-2,1+regle!$B$35,1),
IF(Q5=regle!$C$11,regle!$C$23,
IF(Q5=regle!$D$11,regle!$D$23,
IF(Q5=regle!$E$11,regle!$E$23,
IF(Q5=regle!$F$11,regle!$F$23,
IF(Q5=regle!$G$11,regle!$G$23,
IF(Q5=regle!$H$11,regle!$H$23,
IF(Q5=regle!$I$11,regle!$I$23,
IF(Q5=regle!$J$11,regle!$J$23,
IF(Q5=regle!$K$11,regle!$K$23,0))))))))))))</f>
        <v>-9809</v>
      </c>
      <c r="AB5" s="17">
        <f>IF($A5,$J5*(IF(R5=regle!$B$11,regle!$B$23*IF(AK5=-2,1+regle!$B$35,1),
IF(R5=regle!$C$11,regle!$C$23,
IF(R5=regle!$D$11,regle!$D$23,
IF(R5=regle!$E$11,regle!$E$23,
IF(R5=regle!$F$11,regle!$F$23,
IF(R5=regle!$G$11,regle!$G$23,
IF(R5=regle!$H$11,regle!$H$23,
IF(R5=regle!$I$11,regle!$I$23,
IF(R5=regle!$J$11,regle!$J$23,
IF(R5=regle!$K$11,regle!$K$23,0))))))))))))</f>
        <v>0</v>
      </c>
      <c r="AC5" s="17">
        <f>IF($A5,$J5*(IF(S5=regle!$B$11,regle!$B$23*IF(AL5=-2,1+regle!$B$35,1),
IF(S5=regle!$C$11,regle!$C$23,
IF(S5=regle!$D$11,regle!$D$23,
IF(S5=regle!$E$11,regle!$E$23,
IF(S5=regle!$F$11,regle!$F$23,
IF(S5=regle!$G$11,regle!$G$23,
IF(S5=regle!$H$11,regle!$H$23,
IF(S5=regle!$I$11,regle!$I$23,
IF(S5=regle!$J$11,regle!$J$23,
IF(S5=regle!$K$11,regle!$K$23,0))))))))))))</f>
        <v>0</v>
      </c>
      <c r="AD5" s="17">
        <f>IF($A5,$J5*(IF(T5=regle!$B$11,regle!$B$23*IF(AM5=-2,1+regle!$B$35,1),
IF(T5=regle!$C$11,regle!$C$23,
IF(T5=regle!$D$11,regle!$D$23,
IF(T5=regle!$E$11,regle!$E$23,
IF(T5=regle!$F$11,regle!$F$23,
IF(T5=regle!$G$11,regle!$G$23,
IF(T5=regle!$H$11,regle!$H$23,
IF(T5=regle!$I$11,regle!$I$23,
IF(T5=regle!$J$11,regle!$J$23,
IF(T5=regle!$K$11,regle!$K$23,0))))))))))))</f>
        <v>0</v>
      </c>
      <c r="AE5" s="17">
        <f>IF($A5,$J5*(IF(U5=regle!$B$11,regle!$B$23*IF(AN5=-2,1+regle!$B$35,1),
IF(U5=regle!$C$11,regle!$C$23,
IF(U5=regle!$D$11,regle!$D$23,
IF(U5=regle!$E$11,regle!$E$23,
IF(U5=regle!$F$11,regle!$F$23,
IF(U5=regle!$G$11,regle!$G$23,
IF(U5=regle!$H$11,regle!$H$23,
IF(U5=regle!$I$11,regle!$I$23,
IF(U5=regle!$J$11,regle!$J$23,
IF(U5=regle!$K$11,regle!$K$23,0))))))))))))</f>
        <v>0</v>
      </c>
      <c r="AF5" s="17">
        <f>IF($A5,$J5*(IF(V5=regle!$B$11,regle!$B$23*IF(AO5=-2,1+regle!$B$35,1),
IF(V5=regle!$C$11,regle!$C$23,
IF(V5=regle!$D$11,regle!$D$23,
IF(V5=regle!$E$11,regle!$E$23,
IF(V5=regle!$F$11,regle!$F$23,
IF(V5=regle!$G$11,regle!$G$23,
IF(V5=regle!$H$11,regle!$H$23,
IF(V5=regle!$I$11,regle!$I$23,
IF(V5=regle!$J$11,regle!$J$23,
IF(V5=regle!$K$11,regle!$K$23,0))))))))))))</f>
        <v>0</v>
      </c>
      <c r="AG5" s="17">
        <f>IF($A5,$J5*(IF(W5=regle!$B$11,regle!$B$23*IF(AP5=-2,1+regle!$B$35,1),
IF(W5=regle!$C$11,regle!$C$23,
IF(W5=regle!$D$11,regle!$D$23,
IF(W5=regle!$E$11,regle!$E$23,
IF(W5=regle!$F$11,regle!$F$23,
IF(W5=regle!$G$11,regle!$G$23,
IF(W5=regle!$H$11,regle!$H$23,
IF(W5=regle!$I$11,regle!$I$23,
IF(W5=regle!$J$11,regle!$J$23,
IF(W5=regle!$K$11,regle!$K$23,0))))))))))))</f>
        <v>0</v>
      </c>
      <c r="AH5" s="17">
        <f>IF($A5,$J5*(IF(X5=regle!$B$11,regle!$B$23*IF(AQ5=-2,1+regle!$B$35,1),
IF(X5=regle!$C$11,regle!$C$23,
IF(X5=regle!$D$11,regle!$D$23,
IF(X5=regle!$E$11,regle!$E$23,
IF(X5=regle!$F$11,regle!$F$23,
IF(X5=regle!$G$11,regle!$G$23,
IF(X5=regle!$H$11,regle!$H$23,
IF(X5=regle!$I$11,regle!$I$23,
IF(X5=regle!$J$11,regle!$J$23,
IF(X5=regle!$K$11,regle!$K$23,0))))))))))))</f>
        <v>0</v>
      </c>
      <c r="AI5" s="17">
        <f>IF($A5,$J5*(IF(Y5=regle!$B$11,regle!$B$23*IF(AR5=-2,1+regle!$B$35,1),
IF(Y5=regle!$C$11,regle!$C$23,
IF(Y5=regle!$D$11,regle!$D$23,
IF(Y5=regle!$E$11,regle!$E$23,
IF(Y5=regle!$F$11,regle!$F$23,
IF(Y5=regle!$G$11,regle!$G$23,
IF(Y5=regle!$H$11,regle!$H$23,
IF(Y5=regle!$I$11,regle!$I$23,
IF(Y5=regle!$J$11,regle!$J$23,
IF(Y5=regle!$K$11,regle!$K$23,0))))))))))))</f>
        <v>0</v>
      </c>
      <c r="AJ5" s="17">
        <f>IF($A5,$J5*(IF(Z5=regle!$B$11,regle!$B$23*IF(AS5=-2,1+regle!$B$35,1),
IF(Z5=regle!$C$11,regle!$C$23,
IF(Z5=regle!$D$11,regle!$D$23,
IF(Z5=regle!$E$11,regle!$E$23,
IF(Z5=regle!$F$11,regle!$F$23,
IF(Z5=regle!$G$11,regle!$G$23,
IF(Z5=regle!$H$11,regle!$H$23,
IF(Z5=regle!$I$11,regle!$I$23,
IF(Z5=regle!$J$11,regle!$J$23,
IF(Z5=regle!$K$11,regle!$K$23,0))))))))))))</f>
        <v>0</v>
      </c>
      <c r="AK5" s="16">
        <f>IF(OR(Q5=regle!$J$11,Q5=regle!$K$11),-2,IF(Q5=regle!$B$11,0,IF(AK$1=$AK$1,IF($O5,-1,regle!$B$2-$M5),IF(AJ5=-1,-1,AJ5+1))))</f>
        <v>0</v>
      </c>
      <c r="AL5" s="16">
        <f>IF(OR(R5=regle!$J$11,R5=regle!$K$11),-2,IF(R5=regle!$B$11,0,IF(AL$1=$AK$1,IF($O5,-1,regle!$B$2-$M5),IF(AK5=-1,-1,AK5+1))))</f>
        <v>1</v>
      </c>
      <c r="AM5" s="16">
        <f>IF(OR(S5=regle!$J$11,S5=regle!$K$11),-2,IF(S5=regle!$B$11,0,IF(AM$1=$AK$1,IF($O5,-1,regle!$B$2-$M5),IF(AL5=-1,-1,AL5+1))))</f>
        <v>2</v>
      </c>
      <c r="AN5" s="16">
        <f>IF(OR(T5=regle!$J$11,T5=regle!$K$11),-2,IF(T5=regle!$B$11,0,IF(AN$1=$AK$1,IF($O5,-1,regle!$B$2-$M5),IF(AM5=-1,-1,AM5+1))))</f>
        <v>3</v>
      </c>
      <c r="AO5" s="16">
        <f>IF(OR(U5=regle!$J$11,U5=regle!$K$11),-2,IF(U5=regle!$B$11,0,IF(AO$1=$AK$1,IF($O5,-1,regle!$B$2-$M5),IF(AN5=-1,-1,AN5+1))))</f>
        <v>4</v>
      </c>
      <c r="AP5" s="16">
        <f>IF(OR(V5=regle!$J$11,V5=regle!$K$11),-2,IF(V5=regle!$B$11,0,IF(AP$1=$AK$1,IF($O5,-1,regle!$B$2-$M5),IF(AO5=-1,-1,AO5+1))))</f>
        <v>5</v>
      </c>
      <c r="AQ5" s="16">
        <f>IF(OR(W5=regle!$J$11,W5=regle!$K$11),-2,IF(W5=regle!$B$11,0,IF(AQ$1=$AK$1,IF($O5,-1,regle!$B$2-$M5),IF(AP5=-1,-1,AP5+1))))</f>
        <v>6</v>
      </c>
      <c r="AR5" s="16">
        <f>IF(OR(X5=regle!$J$11,X5=regle!$K$11),-2,IF(X5=regle!$B$11,0,IF(AR$1=$AK$1,IF($O5,-1,regle!$B$2-$M5),IF(AQ5=-1,-1,AQ5+1))))</f>
        <v>7</v>
      </c>
      <c r="AS5" s="16">
        <f>IF(OR(Y5=regle!$J$11,Y5=regle!$K$11),-2,IF(Y5=regle!$B$11,0,IF(AS$1=$AK$1,IF($O5,-1,regle!$B$2-$M5),IF(AR5=-1,-1,AR5+1))))</f>
        <v>8</v>
      </c>
      <c r="AT5" s="16">
        <f>IF(OR(Z5=regle!$J$11,Z5=regle!$K$11),-2,IF(Z5=regle!$B$11,0,IF(AT$1=$AK$1,IF($O5,-1,regle!$B$2-$M5),IF(AS5=-1,-1,AS5+1))))</f>
        <v>9</v>
      </c>
    </row>
    <row r="6" spans="1:46" x14ac:dyDescent="0.25">
      <c r="A6" t="b">
        <f>modif0!A8</f>
        <v>1</v>
      </c>
      <c r="B6">
        <f>ROW(modif0!B8)</f>
        <v>8</v>
      </c>
      <c r="C6" t="str">
        <f>modif0!D8</f>
        <v>202</v>
      </c>
      <c r="D6" t="str">
        <f>modif0!E8</f>
        <v>HOSTENS</v>
      </c>
      <c r="E6">
        <f>modif0!F8</f>
        <v>11</v>
      </c>
      <c r="F6" t="str">
        <f>modif0!G8</f>
        <v>L'ARGILEYRE</v>
      </c>
      <c r="G6" t="str">
        <f>modif0!I8</f>
        <v>0A</v>
      </c>
      <c r="H6">
        <f>modif0!J8</f>
        <v>1298</v>
      </c>
      <c r="I6" t="str">
        <f>modif0!K8</f>
        <v/>
      </c>
      <c r="J6" s="11">
        <f>modif0!M8</f>
        <v>4</v>
      </c>
      <c r="K6" s="11" t="str">
        <f>modif0!P8</f>
        <v>CR</v>
      </c>
      <c r="L6" t="str">
        <f>modif0!N8</f>
        <v>PM</v>
      </c>
      <c r="M6">
        <f>modif0!Q8</f>
        <v>2022</v>
      </c>
      <c r="N6" t="str">
        <f>modif0!R8</f>
        <v>CR-PM_2022</v>
      </c>
      <c r="O6" t="b">
        <f>modif0!S8</f>
        <v>1</v>
      </c>
      <c r="P6">
        <v>25</v>
      </c>
      <c r="Q6" t="s">
        <v>1868</v>
      </c>
      <c r="AA6" s="17">
        <f>IF($A6,$J6*(IF(Q6=regle!$B$11,regle!$B$23*IF(AJ6=-2,1+regle!$B$35,1),
IF(Q6=regle!$C$11,regle!$C$23,
IF(Q6=regle!$D$11,regle!$D$23,
IF(Q6=regle!$E$11,regle!$E$23,
IF(Q6=regle!$F$11,regle!$F$23,
IF(Q6=regle!$G$11,regle!$G$23,
IF(Q6=regle!$H$11,regle!$H$23,
IF(Q6=regle!$I$11,regle!$I$23,
IF(Q6=regle!$J$11,regle!$J$23,
IF(Q6=regle!$K$11,regle!$K$23,0))))))))))))</f>
        <v>-6800</v>
      </c>
      <c r="AB6" s="17">
        <f>IF($A6,$J6*(IF(R6=regle!$B$11,regle!$B$23*IF(AK6=-2,1+regle!$B$35,1),
IF(R6=regle!$C$11,regle!$C$23,
IF(R6=regle!$D$11,regle!$D$23,
IF(R6=regle!$E$11,regle!$E$23,
IF(R6=regle!$F$11,regle!$F$23,
IF(R6=regle!$G$11,regle!$G$23,
IF(R6=regle!$H$11,regle!$H$23,
IF(R6=regle!$I$11,regle!$I$23,
IF(R6=regle!$J$11,regle!$J$23,
IF(R6=regle!$K$11,regle!$K$23,0))))))))))))</f>
        <v>0</v>
      </c>
      <c r="AC6" s="17">
        <f>IF($A6,$J6*(IF(S6=regle!$B$11,regle!$B$23*IF(AL6=-2,1+regle!$B$35,1),
IF(S6=regle!$C$11,regle!$C$23,
IF(S6=regle!$D$11,regle!$D$23,
IF(S6=regle!$E$11,regle!$E$23,
IF(S6=regle!$F$11,regle!$F$23,
IF(S6=regle!$G$11,regle!$G$23,
IF(S6=regle!$H$11,regle!$H$23,
IF(S6=regle!$I$11,regle!$I$23,
IF(S6=regle!$J$11,regle!$J$23,
IF(S6=regle!$K$11,regle!$K$23,0))))))))))))</f>
        <v>0</v>
      </c>
      <c r="AD6" s="17">
        <f>IF($A6,$J6*(IF(T6=regle!$B$11,regle!$B$23*IF(AM6=-2,1+regle!$B$35,1),
IF(T6=regle!$C$11,regle!$C$23,
IF(T6=regle!$D$11,regle!$D$23,
IF(T6=regle!$E$11,regle!$E$23,
IF(T6=regle!$F$11,regle!$F$23,
IF(T6=regle!$G$11,regle!$G$23,
IF(T6=regle!$H$11,regle!$H$23,
IF(T6=regle!$I$11,regle!$I$23,
IF(T6=regle!$J$11,regle!$J$23,
IF(T6=regle!$K$11,regle!$K$23,0))))))))))))</f>
        <v>0</v>
      </c>
      <c r="AE6" s="17">
        <f>IF($A6,$J6*(IF(U6=regle!$B$11,regle!$B$23*IF(AN6=-2,1+regle!$B$35,1),
IF(U6=regle!$C$11,regle!$C$23,
IF(U6=regle!$D$11,regle!$D$23,
IF(U6=regle!$E$11,regle!$E$23,
IF(U6=regle!$F$11,regle!$F$23,
IF(U6=regle!$G$11,regle!$G$23,
IF(U6=regle!$H$11,regle!$H$23,
IF(U6=regle!$I$11,regle!$I$23,
IF(U6=regle!$J$11,regle!$J$23,
IF(U6=regle!$K$11,regle!$K$23,0))))))))))))</f>
        <v>0</v>
      </c>
      <c r="AF6" s="17">
        <f>IF($A6,$J6*(IF(V6=regle!$B$11,regle!$B$23*IF(AO6=-2,1+regle!$B$35,1),
IF(V6=regle!$C$11,regle!$C$23,
IF(V6=regle!$D$11,regle!$D$23,
IF(V6=regle!$E$11,regle!$E$23,
IF(V6=regle!$F$11,regle!$F$23,
IF(V6=regle!$G$11,regle!$G$23,
IF(V6=regle!$H$11,regle!$H$23,
IF(V6=regle!$I$11,regle!$I$23,
IF(V6=regle!$J$11,regle!$J$23,
IF(V6=regle!$K$11,regle!$K$23,0))))))))))))</f>
        <v>0</v>
      </c>
      <c r="AG6" s="17">
        <f>IF($A6,$J6*(IF(W6=regle!$B$11,regle!$B$23*IF(AP6=-2,1+regle!$B$35,1),
IF(W6=regle!$C$11,regle!$C$23,
IF(W6=regle!$D$11,regle!$D$23,
IF(W6=regle!$E$11,regle!$E$23,
IF(W6=regle!$F$11,regle!$F$23,
IF(W6=regle!$G$11,regle!$G$23,
IF(W6=regle!$H$11,regle!$H$23,
IF(W6=regle!$I$11,regle!$I$23,
IF(W6=regle!$J$11,regle!$J$23,
IF(W6=regle!$K$11,regle!$K$23,0))))))))))))</f>
        <v>0</v>
      </c>
      <c r="AH6" s="17">
        <f>IF($A6,$J6*(IF(X6=regle!$B$11,regle!$B$23*IF(AQ6=-2,1+regle!$B$35,1),
IF(X6=regle!$C$11,regle!$C$23,
IF(X6=regle!$D$11,regle!$D$23,
IF(X6=regle!$E$11,regle!$E$23,
IF(X6=regle!$F$11,regle!$F$23,
IF(X6=regle!$G$11,regle!$G$23,
IF(X6=regle!$H$11,regle!$H$23,
IF(X6=regle!$I$11,regle!$I$23,
IF(X6=regle!$J$11,regle!$J$23,
IF(X6=regle!$K$11,regle!$K$23,0))))))))))))</f>
        <v>0</v>
      </c>
      <c r="AI6" s="17">
        <f>IF($A6,$J6*(IF(Y6=regle!$B$11,regle!$B$23*IF(AR6=-2,1+regle!$B$35,1),
IF(Y6=regle!$C$11,regle!$C$23,
IF(Y6=regle!$D$11,regle!$D$23,
IF(Y6=regle!$E$11,regle!$E$23,
IF(Y6=regle!$F$11,regle!$F$23,
IF(Y6=regle!$G$11,regle!$G$23,
IF(Y6=regle!$H$11,regle!$H$23,
IF(Y6=regle!$I$11,regle!$I$23,
IF(Y6=regle!$J$11,regle!$J$23,
IF(Y6=regle!$K$11,regle!$K$23,0))))))))))))</f>
        <v>0</v>
      </c>
      <c r="AJ6" s="17">
        <f>IF($A6,$J6*(IF(Z6=regle!$B$11,regle!$B$23*IF(AS6=-2,1+regle!$B$35,1),
IF(Z6=regle!$C$11,regle!$C$23,
IF(Z6=regle!$D$11,regle!$D$23,
IF(Z6=regle!$E$11,regle!$E$23,
IF(Z6=regle!$F$11,regle!$F$23,
IF(Z6=regle!$G$11,regle!$G$23,
IF(Z6=regle!$H$11,regle!$H$23,
IF(Z6=regle!$I$11,regle!$I$23,
IF(Z6=regle!$J$11,regle!$J$23,
IF(Z6=regle!$K$11,regle!$K$23,0))))))))))))</f>
        <v>0</v>
      </c>
      <c r="AK6" s="16">
        <f>IF(OR(Q6=regle!$J$11,Q6=regle!$K$11),-2,IF(Q6=regle!$B$11,0,IF(AK$1=$AK$1,IF($O6,-1,regle!$B$2-$M6),IF(AJ6=-1,-1,AJ6+1))))</f>
        <v>0</v>
      </c>
      <c r="AL6" s="16">
        <f>IF(OR(R6=regle!$J$11,R6=regle!$K$11),-2,IF(R6=regle!$B$11,0,IF(AL$1=$AK$1,IF($O6,-1,regle!$B$2-$M6),IF(AK6=-1,-1,AK6+1))))</f>
        <v>1</v>
      </c>
      <c r="AM6" s="16">
        <f>IF(OR(S6=regle!$J$11,S6=regle!$K$11),-2,IF(S6=regle!$B$11,0,IF(AM$1=$AK$1,IF($O6,-1,regle!$B$2-$M6),IF(AL6=-1,-1,AL6+1))))</f>
        <v>2</v>
      </c>
      <c r="AN6" s="16">
        <f>IF(OR(T6=regle!$J$11,T6=regle!$K$11),-2,IF(T6=regle!$B$11,0,IF(AN$1=$AK$1,IF($O6,-1,regle!$B$2-$M6),IF(AM6=-1,-1,AM6+1))))</f>
        <v>3</v>
      </c>
      <c r="AO6" s="16">
        <f>IF(OR(U6=regle!$J$11,U6=regle!$K$11),-2,IF(U6=regle!$B$11,0,IF(AO$1=$AK$1,IF($O6,-1,regle!$B$2-$M6),IF(AN6=-1,-1,AN6+1))))</f>
        <v>4</v>
      </c>
      <c r="AP6" s="16">
        <f>IF(OR(V6=regle!$J$11,V6=regle!$K$11),-2,IF(V6=regle!$B$11,0,IF(AP$1=$AK$1,IF($O6,-1,regle!$B$2-$M6),IF(AO6=-1,-1,AO6+1))))</f>
        <v>5</v>
      </c>
      <c r="AQ6" s="16">
        <f>IF(OR(W6=regle!$J$11,W6=regle!$K$11),-2,IF(W6=regle!$B$11,0,IF(AQ$1=$AK$1,IF($O6,-1,regle!$B$2-$M6),IF(AP6=-1,-1,AP6+1))))</f>
        <v>6</v>
      </c>
      <c r="AR6" s="16">
        <f>IF(OR(X6=regle!$J$11,X6=regle!$K$11),-2,IF(X6=regle!$B$11,0,IF(AR$1=$AK$1,IF($O6,-1,regle!$B$2-$M6),IF(AQ6=-1,-1,AQ6+1))))</f>
        <v>7</v>
      </c>
      <c r="AS6" s="16">
        <f>IF(OR(Y6=regle!$J$11,Y6=regle!$K$11),-2,IF(Y6=regle!$B$11,0,IF(AS$1=$AK$1,IF($O6,-1,regle!$B$2-$M6),IF(AR6=-1,-1,AR6+1))))</f>
        <v>8</v>
      </c>
      <c r="AT6" s="16">
        <f>IF(OR(Z6=regle!$J$11,Z6=regle!$K$11),-2,IF(Z6=regle!$B$11,0,IF(AT$1=$AK$1,IF($O6,-1,regle!$B$2-$M6),IF(AS6=-1,-1,AS6+1))))</f>
        <v>9</v>
      </c>
    </row>
    <row r="7" spans="1:46" x14ac:dyDescent="0.25">
      <c r="A7" t="b">
        <f>modif0!A256</f>
        <v>1</v>
      </c>
      <c r="B7">
        <f>ROW(modif0!B256)</f>
        <v>256</v>
      </c>
      <c r="C7" t="str">
        <f>modif0!D256</f>
        <v>171</v>
      </c>
      <c r="D7" t="str">
        <f>modif0!E256</f>
        <v>MANO</v>
      </c>
      <c r="E7">
        <f>modif0!F256</f>
        <v>17</v>
      </c>
      <c r="F7" t="str">
        <f>modif0!G256</f>
        <v>LANDE DE TABARTON</v>
      </c>
      <c r="G7" t="str">
        <f>modif0!I256</f>
        <v>0B</v>
      </c>
      <c r="H7">
        <f>modif0!J256</f>
        <v>270</v>
      </c>
      <c r="I7" t="str">
        <f>modif0!K256</f>
        <v/>
      </c>
      <c r="J7" s="11">
        <f>modif0!M256</f>
        <v>3.51</v>
      </c>
      <c r="K7" s="11" t="str">
        <f>modif0!P256</f>
        <v>CR</v>
      </c>
      <c r="L7" t="str">
        <f>modif0!N256</f>
        <v>PM</v>
      </c>
      <c r="M7">
        <f>modif0!Q256</f>
        <v>2022</v>
      </c>
      <c r="N7" t="str">
        <f>modif0!R256</f>
        <v>CR-PM_2022</v>
      </c>
      <c r="O7" t="b">
        <f>modif0!S256</f>
        <v>1</v>
      </c>
      <c r="P7">
        <v>25</v>
      </c>
      <c r="Q7" t="s">
        <v>1868</v>
      </c>
      <c r="AA7" s="17">
        <f>IF($A7,$J7*(IF(Q7=regle!$B$11,regle!$B$23*IF(AJ7=-2,1+regle!$B$35,1),
IF(Q7=regle!$C$11,regle!$C$23,
IF(Q7=regle!$D$11,regle!$D$23,
IF(Q7=regle!$E$11,regle!$E$23,
IF(Q7=regle!$F$11,regle!$F$23,
IF(Q7=regle!$G$11,regle!$G$23,
IF(Q7=regle!$H$11,regle!$H$23,
IF(Q7=regle!$I$11,regle!$I$23,
IF(Q7=regle!$J$11,regle!$J$23,
IF(Q7=regle!$K$11,regle!$K$23,0))))))))))))</f>
        <v>-5967</v>
      </c>
      <c r="AB7" s="17">
        <f>IF($A7,$J7*(IF(R7=regle!$B$11,regle!$B$23*IF(AK7=-2,1+regle!$B$35,1),
IF(R7=regle!$C$11,regle!$C$23,
IF(R7=regle!$D$11,regle!$D$23,
IF(R7=regle!$E$11,regle!$E$23,
IF(R7=regle!$F$11,regle!$F$23,
IF(R7=regle!$G$11,regle!$G$23,
IF(R7=regle!$H$11,regle!$H$23,
IF(R7=regle!$I$11,regle!$I$23,
IF(R7=regle!$J$11,regle!$J$23,
IF(R7=regle!$K$11,regle!$K$23,0))))))))))))</f>
        <v>0</v>
      </c>
      <c r="AC7" s="17">
        <f>IF($A7,$J7*(IF(S7=regle!$B$11,regle!$B$23*IF(AL7=-2,1+regle!$B$35,1),
IF(S7=regle!$C$11,regle!$C$23,
IF(S7=regle!$D$11,regle!$D$23,
IF(S7=regle!$E$11,regle!$E$23,
IF(S7=regle!$F$11,regle!$F$23,
IF(S7=regle!$G$11,regle!$G$23,
IF(S7=regle!$H$11,regle!$H$23,
IF(S7=regle!$I$11,regle!$I$23,
IF(S7=regle!$J$11,regle!$J$23,
IF(S7=regle!$K$11,regle!$K$23,0))))))))))))</f>
        <v>0</v>
      </c>
      <c r="AD7" s="17">
        <f>IF($A7,$J7*(IF(T7=regle!$B$11,regle!$B$23*IF(AM7=-2,1+regle!$B$35,1),
IF(T7=regle!$C$11,regle!$C$23,
IF(T7=regle!$D$11,regle!$D$23,
IF(T7=regle!$E$11,regle!$E$23,
IF(T7=regle!$F$11,regle!$F$23,
IF(T7=regle!$G$11,regle!$G$23,
IF(T7=regle!$H$11,regle!$H$23,
IF(T7=regle!$I$11,regle!$I$23,
IF(T7=regle!$J$11,regle!$J$23,
IF(T7=regle!$K$11,regle!$K$23,0))))))))))))</f>
        <v>0</v>
      </c>
      <c r="AE7" s="17">
        <f>IF($A7,$J7*(IF(U7=regle!$B$11,regle!$B$23*IF(AN7=-2,1+regle!$B$35,1),
IF(U7=regle!$C$11,regle!$C$23,
IF(U7=regle!$D$11,regle!$D$23,
IF(U7=regle!$E$11,regle!$E$23,
IF(U7=regle!$F$11,regle!$F$23,
IF(U7=regle!$G$11,regle!$G$23,
IF(U7=regle!$H$11,regle!$H$23,
IF(U7=regle!$I$11,regle!$I$23,
IF(U7=regle!$J$11,regle!$J$23,
IF(U7=regle!$K$11,regle!$K$23,0))))))))))))</f>
        <v>0</v>
      </c>
      <c r="AF7" s="17">
        <f>IF($A7,$J7*(IF(V7=regle!$B$11,regle!$B$23*IF(AO7=-2,1+regle!$B$35,1),
IF(V7=regle!$C$11,regle!$C$23,
IF(V7=regle!$D$11,regle!$D$23,
IF(V7=regle!$E$11,regle!$E$23,
IF(V7=regle!$F$11,regle!$F$23,
IF(V7=regle!$G$11,regle!$G$23,
IF(V7=regle!$H$11,regle!$H$23,
IF(V7=regle!$I$11,regle!$I$23,
IF(V7=regle!$J$11,regle!$J$23,
IF(V7=regle!$K$11,regle!$K$23,0))))))))))))</f>
        <v>0</v>
      </c>
      <c r="AG7" s="17">
        <f>IF($A7,$J7*(IF(W7=regle!$B$11,regle!$B$23*IF(AP7=-2,1+regle!$B$35,1),
IF(W7=regle!$C$11,regle!$C$23,
IF(W7=regle!$D$11,regle!$D$23,
IF(W7=regle!$E$11,regle!$E$23,
IF(W7=regle!$F$11,regle!$F$23,
IF(W7=regle!$G$11,regle!$G$23,
IF(W7=regle!$H$11,regle!$H$23,
IF(W7=regle!$I$11,regle!$I$23,
IF(W7=regle!$J$11,regle!$J$23,
IF(W7=regle!$K$11,regle!$K$23,0))))))))))))</f>
        <v>0</v>
      </c>
      <c r="AH7" s="17">
        <f>IF($A7,$J7*(IF(X7=regle!$B$11,regle!$B$23*IF(AQ7=-2,1+regle!$B$35,1),
IF(X7=regle!$C$11,regle!$C$23,
IF(X7=regle!$D$11,regle!$D$23,
IF(X7=regle!$E$11,regle!$E$23,
IF(X7=regle!$F$11,regle!$F$23,
IF(X7=regle!$G$11,regle!$G$23,
IF(X7=regle!$H$11,regle!$H$23,
IF(X7=regle!$I$11,regle!$I$23,
IF(X7=regle!$J$11,regle!$J$23,
IF(X7=regle!$K$11,regle!$K$23,0))))))))))))</f>
        <v>0</v>
      </c>
      <c r="AI7" s="17">
        <f>IF($A7,$J7*(IF(Y7=regle!$B$11,regle!$B$23*IF(AR7=-2,1+regle!$B$35,1),
IF(Y7=regle!$C$11,regle!$C$23,
IF(Y7=regle!$D$11,regle!$D$23,
IF(Y7=regle!$E$11,regle!$E$23,
IF(Y7=regle!$F$11,regle!$F$23,
IF(Y7=regle!$G$11,regle!$G$23,
IF(Y7=regle!$H$11,regle!$H$23,
IF(Y7=regle!$I$11,regle!$I$23,
IF(Y7=regle!$J$11,regle!$J$23,
IF(Y7=regle!$K$11,regle!$K$23,0))))))))))))</f>
        <v>0</v>
      </c>
      <c r="AJ7" s="17">
        <f>IF($A7,$J7*(IF(Z7=regle!$B$11,regle!$B$23*IF(AS7=-2,1+regle!$B$35,1),
IF(Z7=regle!$C$11,regle!$C$23,
IF(Z7=regle!$D$11,regle!$D$23,
IF(Z7=regle!$E$11,regle!$E$23,
IF(Z7=regle!$F$11,regle!$F$23,
IF(Z7=regle!$G$11,regle!$G$23,
IF(Z7=regle!$H$11,regle!$H$23,
IF(Z7=regle!$I$11,regle!$I$23,
IF(Z7=regle!$J$11,regle!$J$23,
IF(Z7=regle!$K$11,regle!$K$23,0))))))))))))</f>
        <v>0</v>
      </c>
      <c r="AK7" s="16">
        <f>IF(OR(Q7=regle!$J$11,Q7=regle!$K$11),-2,IF(Q7=regle!$B$11,0,IF(AK$1=$AK$1,IF($O7,-1,regle!$B$2-$M7),IF(AJ7=-1,-1,AJ7+1))))</f>
        <v>0</v>
      </c>
      <c r="AL7" s="16">
        <f>IF(OR(R7=regle!$J$11,R7=regle!$K$11),-2,IF(R7=regle!$B$11,0,IF(AL$1=$AK$1,IF($O7,-1,regle!$B$2-$M7),IF(AK7=-1,-1,AK7+1))))</f>
        <v>1</v>
      </c>
      <c r="AM7" s="16">
        <f>IF(OR(S7=regle!$J$11,S7=regle!$K$11),-2,IF(S7=regle!$B$11,0,IF(AM$1=$AK$1,IF($O7,-1,regle!$B$2-$M7),IF(AL7=-1,-1,AL7+1))))</f>
        <v>2</v>
      </c>
      <c r="AN7" s="16">
        <f>IF(OR(T7=regle!$J$11,T7=regle!$K$11),-2,IF(T7=regle!$B$11,0,IF(AN$1=$AK$1,IF($O7,-1,regle!$B$2-$M7),IF(AM7=-1,-1,AM7+1))))</f>
        <v>3</v>
      </c>
      <c r="AO7" s="16">
        <f>IF(OR(U7=regle!$J$11,U7=regle!$K$11),-2,IF(U7=regle!$B$11,0,IF(AO$1=$AK$1,IF($O7,-1,regle!$B$2-$M7),IF(AN7=-1,-1,AN7+1))))</f>
        <v>4</v>
      </c>
      <c r="AP7" s="16">
        <f>IF(OR(V7=regle!$J$11,V7=regle!$K$11),-2,IF(V7=regle!$B$11,0,IF(AP$1=$AK$1,IF($O7,-1,regle!$B$2-$M7),IF(AO7=-1,-1,AO7+1))))</f>
        <v>5</v>
      </c>
      <c r="AQ7" s="16">
        <f>IF(OR(W7=regle!$J$11,W7=regle!$K$11),-2,IF(W7=regle!$B$11,0,IF(AQ$1=$AK$1,IF($O7,-1,regle!$B$2-$M7),IF(AP7=-1,-1,AP7+1))))</f>
        <v>6</v>
      </c>
      <c r="AR7" s="16">
        <f>IF(OR(X7=regle!$J$11,X7=regle!$K$11),-2,IF(X7=regle!$B$11,0,IF(AR$1=$AK$1,IF($O7,-1,regle!$B$2-$M7),IF(AQ7=-1,-1,AQ7+1))))</f>
        <v>7</v>
      </c>
      <c r="AS7" s="16">
        <f>IF(OR(Y7=regle!$J$11,Y7=regle!$K$11),-2,IF(Y7=regle!$B$11,0,IF(AS$1=$AK$1,IF($O7,-1,regle!$B$2-$M7),IF(AR7=-1,-1,AR7+1))))</f>
        <v>8</v>
      </c>
      <c r="AT7" s="16">
        <f>IF(OR(Z7=regle!$J$11,Z7=regle!$K$11),-2,IF(Z7=regle!$B$11,0,IF(AT$1=$AK$1,IF($O7,-1,regle!$B$2-$M7),IF(AS7=-1,-1,AS7+1))))</f>
        <v>9</v>
      </c>
    </row>
    <row r="8" spans="1:46" x14ac:dyDescent="0.25">
      <c r="A8" t="b">
        <f>modif0!A308</f>
        <v>1</v>
      </c>
      <c r="B8">
        <f>ROW(modif0!B308)</f>
        <v>308</v>
      </c>
      <c r="C8" t="str">
        <f>modif0!D308</f>
        <v>171</v>
      </c>
      <c r="D8" t="str">
        <f>modif0!E308</f>
        <v>MANO</v>
      </c>
      <c r="E8">
        <f>modif0!F308</f>
        <v>10</v>
      </c>
      <c r="F8" t="str">
        <f>modif0!G308</f>
        <v>LA PEYRERE</v>
      </c>
      <c r="G8" t="str">
        <f>modif0!I308</f>
        <v>0C</v>
      </c>
      <c r="H8">
        <f>modif0!J308</f>
        <v>259</v>
      </c>
      <c r="I8" t="str">
        <f>modif0!K308</f>
        <v/>
      </c>
      <c r="J8" s="11">
        <f>modif0!M308</f>
        <v>3.3069999999999999</v>
      </c>
      <c r="K8" s="11" t="str">
        <f>modif0!P308</f>
        <v>CR</v>
      </c>
      <c r="L8" t="str">
        <f>modif0!N308</f>
        <v>PM</v>
      </c>
      <c r="M8">
        <f>modif0!Q308</f>
        <v>2022</v>
      </c>
      <c r="N8" t="str">
        <f>modif0!R308</f>
        <v>CR-PM_2022</v>
      </c>
      <c r="O8" t="b">
        <f>modif0!S308</f>
        <v>1</v>
      </c>
      <c r="P8">
        <v>25</v>
      </c>
      <c r="Q8" t="s">
        <v>1868</v>
      </c>
      <c r="AA8" s="17">
        <f>IF($A8,$J8*(IF(Q8=regle!$B$11,regle!$B$23*IF(AJ8=-2,1+regle!$B$35,1),
IF(Q8=regle!$C$11,regle!$C$23,
IF(Q8=regle!$D$11,regle!$D$23,
IF(Q8=regle!$E$11,regle!$E$23,
IF(Q8=regle!$F$11,regle!$F$23,
IF(Q8=regle!$G$11,regle!$G$23,
IF(Q8=regle!$H$11,regle!$H$23,
IF(Q8=regle!$I$11,regle!$I$23,
IF(Q8=regle!$J$11,regle!$J$23,
IF(Q8=regle!$K$11,regle!$K$23,0))))))))))))</f>
        <v>-5621.9</v>
      </c>
      <c r="AB8" s="17">
        <f>IF($A8,$J8*(IF(R8=regle!$B$11,regle!$B$23*IF(AK8=-2,1+regle!$B$35,1),
IF(R8=regle!$C$11,regle!$C$23,
IF(R8=regle!$D$11,regle!$D$23,
IF(R8=regle!$E$11,regle!$E$23,
IF(R8=regle!$F$11,regle!$F$23,
IF(R8=regle!$G$11,regle!$G$23,
IF(R8=regle!$H$11,regle!$H$23,
IF(R8=regle!$I$11,regle!$I$23,
IF(R8=regle!$J$11,regle!$J$23,
IF(R8=regle!$K$11,regle!$K$23,0))))))))))))</f>
        <v>0</v>
      </c>
      <c r="AC8" s="17">
        <f>IF($A8,$J8*(IF(S8=regle!$B$11,regle!$B$23*IF(AL8=-2,1+regle!$B$35,1),
IF(S8=regle!$C$11,regle!$C$23,
IF(S8=regle!$D$11,regle!$D$23,
IF(S8=regle!$E$11,regle!$E$23,
IF(S8=regle!$F$11,regle!$F$23,
IF(S8=regle!$G$11,regle!$G$23,
IF(S8=regle!$H$11,regle!$H$23,
IF(S8=regle!$I$11,regle!$I$23,
IF(S8=regle!$J$11,regle!$J$23,
IF(S8=regle!$K$11,regle!$K$23,0))))))))))))</f>
        <v>0</v>
      </c>
      <c r="AD8" s="17">
        <f>IF($A8,$J8*(IF(T8=regle!$B$11,regle!$B$23*IF(AM8=-2,1+regle!$B$35,1),
IF(T8=regle!$C$11,regle!$C$23,
IF(T8=regle!$D$11,regle!$D$23,
IF(T8=regle!$E$11,regle!$E$23,
IF(T8=regle!$F$11,regle!$F$23,
IF(T8=regle!$G$11,regle!$G$23,
IF(T8=regle!$H$11,regle!$H$23,
IF(T8=regle!$I$11,regle!$I$23,
IF(T8=regle!$J$11,regle!$J$23,
IF(T8=regle!$K$11,regle!$K$23,0))))))))))))</f>
        <v>0</v>
      </c>
      <c r="AE8" s="17">
        <f>IF($A8,$J8*(IF(U8=regle!$B$11,regle!$B$23*IF(AN8=-2,1+regle!$B$35,1),
IF(U8=regle!$C$11,regle!$C$23,
IF(U8=regle!$D$11,regle!$D$23,
IF(U8=regle!$E$11,regle!$E$23,
IF(U8=regle!$F$11,regle!$F$23,
IF(U8=regle!$G$11,regle!$G$23,
IF(U8=regle!$H$11,regle!$H$23,
IF(U8=regle!$I$11,regle!$I$23,
IF(U8=regle!$J$11,regle!$J$23,
IF(U8=regle!$K$11,regle!$K$23,0))))))))))))</f>
        <v>0</v>
      </c>
      <c r="AF8" s="17">
        <f>IF($A8,$J8*(IF(V8=regle!$B$11,regle!$B$23*IF(AO8=-2,1+regle!$B$35,1),
IF(V8=regle!$C$11,regle!$C$23,
IF(V8=regle!$D$11,regle!$D$23,
IF(V8=regle!$E$11,regle!$E$23,
IF(V8=regle!$F$11,regle!$F$23,
IF(V8=regle!$G$11,regle!$G$23,
IF(V8=regle!$H$11,regle!$H$23,
IF(V8=regle!$I$11,regle!$I$23,
IF(V8=regle!$J$11,regle!$J$23,
IF(V8=regle!$K$11,regle!$K$23,0))))))))))))</f>
        <v>0</v>
      </c>
      <c r="AG8" s="17">
        <f>IF($A8,$J8*(IF(W8=regle!$B$11,regle!$B$23*IF(AP8=-2,1+regle!$B$35,1),
IF(W8=regle!$C$11,regle!$C$23,
IF(W8=regle!$D$11,regle!$D$23,
IF(W8=regle!$E$11,regle!$E$23,
IF(W8=regle!$F$11,regle!$F$23,
IF(W8=regle!$G$11,regle!$G$23,
IF(W8=regle!$H$11,regle!$H$23,
IF(W8=regle!$I$11,regle!$I$23,
IF(W8=regle!$J$11,regle!$J$23,
IF(W8=regle!$K$11,regle!$K$23,0))))))))))))</f>
        <v>0</v>
      </c>
      <c r="AH8" s="17">
        <f>IF($A8,$J8*(IF(X8=regle!$B$11,regle!$B$23*IF(AQ8=-2,1+regle!$B$35,1),
IF(X8=regle!$C$11,regle!$C$23,
IF(X8=regle!$D$11,regle!$D$23,
IF(X8=regle!$E$11,regle!$E$23,
IF(X8=regle!$F$11,regle!$F$23,
IF(X8=regle!$G$11,regle!$G$23,
IF(X8=regle!$H$11,regle!$H$23,
IF(X8=regle!$I$11,regle!$I$23,
IF(X8=regle!$J$11,regle!$J$23,
IF(X8=regle!$K$11,regle!$K$23,0))))))))))))</f>
        <v>0</v>
      </c>
      <c r="AI8" s="17">
        <f>IF($A8,$J8*(IF(Y8=regle!$B$11,regle!$B$23*IF(AR8=-2,1+regle!$B$35,1),
IF(Y8=regle!$C$11,regle!$C$23,
IF(Y8=regle!$D$11,regle!$D$23,
IF(Y8=regle!$E$11,regle!$E$23,
IF(Y8=regle!$F$11,regle!$F$23,
IF(Y8=regle!$G$11,regle!$G$23,
IF(Y8=regle!$H$11,regle!$H$23,
IF(Y8=regle!$I$11,regle!$I$23,
IF(Y8=regle!$J$11,regle!$J$23,
IF(Y8=regle!$K$11,regle!$K$23,0))))))))))))</f>
        <v>0</v>
      </c>
      <c r="AJ8" s="17">
        <f>IF($A8,$J8*(IF(Z8=regle!$B$11,regle!$B$23*IF(AS8=-2,1+regle!$B$35,1),
IF(Z8=regle!$C$11,regle!$C$23,
IF(Z8=regle!$D$11,regle!$D$23,
IF(Z8=regle!$E$11,regle!$E$23,
IF(Z8=regle!$F$11,regle!$F$23,
IF(Z8=regle!$G$11,regle!$G$23,
IF(Z8=regle!$H$11,regle!$H$23,
IF(Z8=regle!$I$11,regle!$I$23,
IF(Z8=regle!$J$11,regle!$J$23,
IF(Z8=regle!$K$11,regle!$K$23,0))))))))))))</f>
        <v>0</v>
      </c>
      <c r="AK8" s="16">
        <f>IF(OR(Q8=regle!$J$11,Q8=regle!$K$11),-2,IF(Q8=regle!$B$11,0,IF(AK$1=$AK$1,IF($O8,-1,regle!$B$2-$M8),IF(AJ8=-1,-1,AJ8+1))))</f>
        <v>0</v>
      </c>
      <c r="AL8" s="16">
        <f>IF(OR(R8=regle!$J$11,R8=regle!$K$11),-2,IF(R8=regle!$B$11,0,IF(AL$1=$AK$1,IF($O8,-1,regle!$B$2-$M8),IF(AK8=-1,-1,AK8+1))))</f>
        <v>1</v>
      </c>
      <c r="AM8" s="16">
        <f>IF(OR(S8=regle!$J$11,S8=regle!$K$11),-2,IF(S8=regle!$B$11,0,IF(AM$1=$AK$1,IF($O8,-1,regle!$B$2-$M8),IF(AL8=-1,-1,AL8+1))))</f>
        <v>2</v>
      </c>
      <c r="AN8" s="16">
        <f>IF(OR(T8=regle!$J$11,T8=regle!$K$11),-2,IF(T8=regle!$B$11,0,IF(AN$1=$AK$1,IF($O8,-1,regle!$B$2-$M8),IF(AM8=-1,-1,AM8+1))))</f>
        <v>3</v>
      </c>
      <c r="AO8" s="16">
        <f>IF(OR(U8=regle!$J$11,U8=regle!$K$11),-2,IF(U8=regle!$B$11,0,IF(AO$1=$AK$1,IF($O8,-1,regle!$B$2-$M8),IF(AN8=-1,-1,AN8+1))))</f>
        <v>4</v>
      </c>
      <c r="AP8" s="16">
        <f>IF(OR(V8=regle!$J$11,V8=regle!$K$11),-2,IF(V8=regle!$B$11,0,IF(AP$1=$AK$1,IF($O8,-1,regle!$B$2-$M8),IF(AO8=-1,-1,AO8+1))))</f>
        <v>5</v>
      </c>
      <c r="AQ8" s="16">
        <f>IF(OR(W8=regle!$J$11,W8=regle!$K$11),-2,IF(W8=regle!$B$11,0,IF(AQ$1=$AK$1,IF($O8,-1,regle!$B$2-$M8),IF(AP8=-1,-1,AP8+1))))</f>
        <v>6</v>
      </c>
      <c r="AR8" s="16">
        <f>IF(OR(X8=regle!$J$11,X8=regle!$K$11),-2,IF(X8=regle!$B$11,0,IF(AR$1=$AK$1,IF($O8,-1,regle!$B$2-$M8),IF(AQ8=-1,-1,AQ8+1))))</f>
        <v>7</v>
      </c>
      <c r="AS8" s="16">
        <f>IF(OR(Y8=regle!$J$11,Y8=regle!$K$11),-2,IF(Y8=regle!$B$11,0,IF(AS$1=$AK$1,IF($O8,-1,regle!$B$2-$M8),IF(AR8=-1,-1,AR8+1))))</f>
        <v>8</v>
      </c>
      <c r="AT8" s="16">
        <f>IF(OR(Z8=regle!$J$11,Z8=regle!$K$11),-2,IF(Z8=regle!$B$11,0,IF(AT$1=$AK$1,IF($O8,-1,regle!$B$2-$M8),IF(AS8=-1,-1,AS8+1))))</f>
        <v>9</v>
      </c>
    </row>
    <row r="9" spans="1:46" x14ac:dyDescent="0.25">
      <c r="A9" t="b">
        <f>modif0!A373</f>
        <v>1</v>
      </c>
      <c r="B9">
        <f>ROW(modif0!B373)</f>
        <v>373</v>
      </c>
      <c r="C9" t="str">
        <f>modif0!D373</f>
        <v>200</v>
      </c>
      <c r="D9" t="str">
        <f>modif0!E373</f>
        <v>MOUSTEY</v>
      </c>
      <c r="E9">
        <f>modif0!F373</f>
        <v>18</v>
      </c>
      <c r="F9" t="str">
        <f>modif0!G373</f>
        <v>Quartier de Capsus</v>
      </c>
      <c r="G9" t="str">
        <f>modif0!I373</f>
        <v>0N</v>
      </c>
      <c r="H9">
        <f>modif0!J373</f>
        <v>627</v>
      </c>
      <c r="I9" t="str">
        <f>modif0!K373</f>
        <v/>
      </c>
      <c r="J9" s="11">
        <f>modif0!M373</f>
        <v>3.2818000000000001</v>
      </c>
      <c r="K9" s="11" t="str">
        <f>modif0!P373</f>
        <v>CR</v>
      </c>
      <c r="L9" t="str">
        <f>modif0!N373</f>
        <v>PM</v>
      </c>
      <c r="M9">
        <f>modif0!Q373</f>
        <v>2022</v>
      </c>
      <c r="N9" t="str">
        <f>modif0!R373</f>
        <v>CR-PM_2022</v>
      </c>
      <c r="O9" t="b">
        <f>modif0!S373</f>
        <v>1</v>
      </c>
      <c r="P9">
        <v>25</v>
      </c>
      <c r="Q9" t="s">
        <v>1868</v>
      </c>
      <c r="AA9" s="17">
        <f>IF($A9,$J9*(IF(Q9=regle!$B$11,regle!$B$23*IF(AJ9=-2,1+regle!$B$35,1),
IF(Q9=regle!$C$11,regle!$C$23,
IF(Q9=regle!$D$11,regle!$D$23,
IF(Q9=regle!$E$11,regle!$E$23,
IF(Q9=regle!$F$11,regle!$F$23,
IF(Q9=regle!$G$11,regle!$G$23,
IF(Q9=regle!$H$11,regle!$H$23,
IF(Q9=regle!$I$11,regle!$I$23,
IF(Q9=regle!$J$11,regle!$J$23,
IF(Q9=regle!$K$11,regle!$K$23,0))))))))))))</f>
        <v>-5579.06</v>
      </c>
      <c r="AB9" s="17">
        <f>IF($A9,$J9*(IF(R9=regle!$B$11,regle!$B$23*IF(AK9=-2,1+regle!$B$35,1),
IF(R9=regle!$C$11,regle!$C$23,
IF(R9=regle!$D$11,regle!$D$23,
IF(R9=regle!$E$11,regle!$E$23,
IF(R9=regle!$F$11,regle!$F$23,
IF(R9=regle!$G$11,regle!$G$23,
IF(R9=regle!$H$11,regle!$H$23,
IF(R9=regle!$I$11,regle!$I$23,
IF(R9=regle!$J$11,regle!$J$23,
IF(R9=regle!$K$11,regle!$K$23,0))))))))))))</f>
        <v>0</v>
      </c>
      <c r="AC9" s="17">
        <f>IF($A9,$J9*(IF(S9=regle!$B$11,regle!$B$23*IF(AL9=-2,1+regle!$B$35,1),
IF(S9=regle!$C$11,regle!$C$23,
IF(S9=regle!$D$11,regle!$D$23,
IF(S9=regle!$E$11,regle!$E$23,
IF(S9=regle!$F$11,regle!$F$23,
IF(S9=regle!$G$11,regle!$G$23,
IF(S9=regle!$H$11,regle!$H$23,
IF(S9=regle!$I$11,regle!$I$23,
IF(S9=regle!$J$11,regle!$J$23,
IF(S9=regle!$K$11,regle!$K$23,0))))))))))))</f>
        <v>0</v>
      </c>
      <c r="AD9" s="17">
        <f>IF($A9,$J9*(IF(T9=regle!$B$11,regle!$B$23*IF(AM9=-2,1+regle!$B$35,1),
IF(T9=regle!$C$11,regle!$C$23,
IF(T9=regle!$D$11,regle!$D$23,
IF(T9=regle!$E$11,regle!$E$23,
IF(T9=regle!$F$11,regle!$F$23,
IF(T9=regle!$G$11,regle!$G$23,
IF(T9=regle!$H$11,regle!$H$23,
IF(T9=regle!$I$11,regle!$I$23,
IF(T9=regle!$J$11,regle!$J$23,
IF(T9=regle!$K$11,regle!$K$23,0))))))))))))</f>
        <v>0</v>
      </c>
      <c r="AE9" s="17">
        <f>IF($A9,$J9*(IF(U9=regle!$B$11,regle!$B$23*IF(AN9=-2,1+regle!$B$35,1),
IF(U9=regle!$C$11,regle!$C$23,
IF(U9=regle!$D$11,regle!$D$23,
IF(U9=regle!$E$11,regle!$E$23,
IF(U9=regle!$F$11,regle!$F$23,
IF(U9=regle!$G$11,regle!$G$23,
IF(U9=regle!$H$11,regle!$H$23,
IF(U9=regle!$I$11,regle!$I$23,
IF(U9=regle!$J$11,regle!$J$23,
IF(U9=regle!$K$11,regle!$K$23,0))))))))))))</f>
        <v>0</v>
      </c>
      <c r="AF9" s="17">
        <f>IF($A9,$J9*(IF(V9=regle!$B$11,regle!$B$23*IF(AO9=-2,1+regle!$B$35,1),
IF(V9=regle!$C$11,regle!$C$23,
IF(V9=regle!$D$11,regle!$D$23,
IF(V9=regle!$E$11,regle!$E$23,
IF(V9=regle!$F$11,regle!$F$23,
IF(V9=regle!$G$11,regle!$G$23,
IF(V9=regle!$H$11,regle!$H$23,
IF(V9=regle!$I$11,regle!$I$23,
IF(V9=regle!$J$11,regle!$J$23,
IF(V9=regle!$K$11,regle!$K$23,0))))))))))))</f>
        <v>0</v>
      </c>
      <c r="AG9" s="17">
        <f>IF($A9,$J9*(IF(W9=regle!$B$11,regle!$B$23*IF(AP9=-2,1+regle!$B$35,1),
IF(W9=regle!$C$11,regle!$C$23,
IF(W9=regle!$D$11,regle!$D$23,
IF(W9=regle!$E$11,regle!$E$23,
IF(W9=regle!$F$11,regle!$F$23,
IF(W9=regle!$G$11,regle!$G$23,
IF(W9=regle!$H$11,regle!$H$23,
IF(W9=regle!$I$11,regle!$I$23,
IF(W9=regle!$J$11,regle!$J$23,
IF(W9=regle!$K$11,regle!$K$23,0))))))))))))</f>
        <v>0</v>
      </c>
      <c r="AH9" s="17">
        <f>IF($A9,$J9*(IF(X9=regle!$B$11,regle!$B$23*IF(AQ9=-2,1+regle!$B$35,1),
IF(X9=regle!$C$11,regle!$C$23,
IF(X9=regle!$D$11,regle!$D$23,
IF(X9=regle!$E$11,regle!$E$23,
IF(X9=regle!$F$11,regle!$F$23,
IF(X9=regle!$G$11,regle!$G$23,
IF(X9=regle!$H$11,regle!$H$23,
IF(X9=regle!$I$11,regle!$I$23,
IF(X9=regle!$J$11,regle!$J$23,
IF(X9=regle!$K$11,regle!$K$23,0))))))))))))</f>
        <v>0</v>
      </c>
      <c r="AI9" s="17">
        <f>IF($A9,$J9*(IF(Y9=regle!$B$11,regle!$B$23*IF(AR9=-2,1+regle!$B$35,1),
IF(Y9=regle!$C$11,regle!$C$23,
IF(Y9=regle!$D$11,regle!$D$23,
IF(Y9=regle!$E$11,regle!$E$23,
IF(Y9=regle!$F$11,regle!$F$23,
IF(Y9=regle!$G$11,regle!$G$23,
IF(Y9=regle!$H$11,regle!$H$23,
IF(Y9=regle!$I$11,regle!$I$23,
IF(Y9=regle!$J$11,regle!$J$23,
IF(Y9=regle!$K$11,regle!$K$23,0))))))))))))</f>
        <v>0</v>
      </c>
      <c r="AJ9" s="17">
        <f>IF($A9,$J9*(IF(Z9=regle!$B$11,regle!$B$23*IF(AS9=-2,1+regle!$B$35,1),
IF(Z9=regle!$C$11,regle!$C$23,
IF(Z9=regle!$D$11,regle!$D$23,
IF(Z9=regle!$E$11,regle!$E$23,
IF(Z9=regle!$F$11,regle!$F$23,
IF(Z9=regle!$G$11,regle!$G$23,
IF(Z9=regle!$H$11,regle!$H$23,
IF(Z9=regle!$I$11,regle!$I$23,
IF(Z9=regle!$J$11,regle!$J$23,
IF(Z9=regle!$K$11,regle!$K$23,0))))))))))))</f>
        <v>0</v>
      </c>
      <c r="AK9" s="16">
        <f>IF(OR(Q9=regle!$J$11,Q9=regle!$K$11),-2,IF(Q9=regle!$B$11,0,IF(AK$1=$AK$1,IF($O9,-1,regle!$B$2-$M9),IF(AJ9=-1,-1,AJ9+1))))</f>
        <v>0</v>
      </c>
      <c r="AL9" s="16">
        <f>IF(OR(R9=regle!$J$11,R9=regle!$K$11),-2,IF(R9=regle!$B$11,0,IF(AL$1=$AK$1,IF($O9,-1,regle!$B$2-$M9),IF(AK9=-1,-1,AK9+1))))</f>
        <v>1</v>
      </c>
      <c r="AM9" s="16">
        <f>IF(OR(S9=regle!$J$11,S9=regle!$K$11),-2,IF(S9=regle!$B$11,0,IF(AM$1=$AK$1,IF($O9,-1,regle!$B$2-$M9),IF(AL9=-1,-1,AL9+1))))</f>
        <v>2</v>
      </c>
      <c r="AN9" s="16">
        <f>IF(OR(T9=regle!$J$11,T9=regle!$K$11),-2,IF(T9=regle!$B$11,0,IF(AN$1=$AK$1,IF($O9,-1,regle!$B$2-$M9),IF(AM9=-1,-1,AM9+1))))</f>
        <v>3</v>
      </c>
      <c r="AO9" s="16">
        <f>IF(OR(U9=regle!$J$11,U9=regle!$K$11),-2,IF(U9=regle!$B$11,0,IF(AO$1=$AK$1,IF($O9,-1,regle!$B$2-$M9),IF(AN9=-1,-1,AN9+1))))</f>
        <v>4</v>
      </c>
      <c r="AP9" s="16">
        <f>IF(OR(V9=regle!$J$11,V9=regle!$K$11),-2,IF(V9=regle!$B$11,0,IF(AP$1=$AK$1,IF($O9,-1,regle!$B$2-$M9),IF(AO9=-1,-1,AO9+1))))</f>
        <v>5</v>
      </c>
      <c r="AQ9" s="16">
        <f>IF(OR(W9=regle!$J$11,W9=regle!$K$11),-2,IF(W9=regle!$B$11,0,IF(AQ$1=$AK$1,IF($O9,-1,regle!$B$2-$M9),IF(AP9=-1,-1,AP9+1))))</f>
        <v>6</v>
      </c>
      <c r="AR9" s="16">
        <f>IF(OR(X9=regle!$J$11,X9=regle!$K$11),-2,IF(X9=regle!$B$11,0,IF(AR$1=$AK$1,IF($O9,-1,regle!$B$2-$M9),IF(AQ9=-1,-1,AQ9+1))))</f>
        <v>7</v>
      </c>
      <c r="AS9" s="16">
        <f>IF(OR(Y9=regle!$J$11,Y9=regle!$K$11),-2,IF(Y9=regle!$B$11,0,IF(AS$1=$AK$1,IF($O9,-1,regle!$B$2-$M9),IF(AR9=-1,-1,AR9+1))))</f>
        <v>8</v>
      </c>
      <c r="AT9" s="16">
        <f>IF(OR(Z9=regle!$J$11,Z9=regle!$K$11),-2,IF(Z9=regle!$B$11,0,IF(AT$1=$AK$1,IF($O9,-1,regle!$B$2-$M9),IF(AS9=-1,-1,AS9+1))))</f>
        <v>9</v>
      </c>
    </row>
    <row r="10" spans="1:46" x14ac:dyDescent="0.25">
      <c r="A10" t="b">
        <f>modif0!A262</f>
        <v>1</v>
      </c>
      <c r="B10">
        <f>ROW(modif0!B262)</f>
        <v>262</v>
      </c>
      <c r="C10" t="str">
        <f>modif0!D262</f>
        <v>171</v>
      </c>
      <c r="D10" t="str">
        <f>modif0!E262</f>
        <v>MANO</v>
      </c>
      <c r="E10">
        <f>modif0!F262</f>
        <v>17</v>
      </c>
      <c r="F10" t="str">
        <f>modif0!G262</f>
        <v>LANDE DE TABARTON</v>
      </c>
      <c r="G10" t="str">
        <f>modif0!I262</f>
        <v>0B</v>
      </c>
      <c r="H10">
        <f>modif0!J262</f>
        <v>277</v>
      </c>
      <c r="I10" t="str">
        <f>modif0!K262</f>
        <v/>
      </c>
      <c r="J10" s="11">
        <f>modif0!M262</f>
        <v>2.91</v>
      </c>
      <c r="K10" s="11" t="str">
        <f>modif0!P262</f>
        <v>CR</v>
      </c>
      <c r="L10" t="str">
        <f>modif0!N262</f>
        <v>PM</v>
      </c>
      <c r="M10">
        <f>modif0!Q262</f>
        <v>2022</v>
      </c>
      <c r="N10" t="str">
        <f>modif0!R262</f>
        <v>CR-PM_2022</v>
      </c>
      <c r="O10" t="b">
        <f>modif0!S262</f>
        <v>1</v>
      </c>
      <c r="P10">
        <v>25</v>
      </c>
      <c r="Q10" t="s">
        <v>1868</v>
      </c>
      <c r="AA10" s="17">
        <f>IF($A10,$J10*(IF(Q10=regle!$B$11,regle!$B$23*IF(AJ10=-2,1+regle!$B$35,1),
IF(Q10=regle!$C$11,regle!$C$23,
IF(Q10=regle!$D$11,regle!$D$23,
IF(Q10=regle!$E$11,regle!$E$23,
IF(Q10=regle!$F$11,regle!$F$23,
IF(Q10=regle!$G$11,regle!$G$23,
IF(Q10=regle!$H$11,regle!$H$23,
IF(Q10=regle!$I$11,regle!$I$23,
IF(Q10=regle!$J$11,regle!$J$23,
IF(Q10=regle!$K$11,regle!$K$23,0))))))))))))</f>
        <v>-4947</v>
      </c>
      <c r="AB10" s="17">
        <f>IF($A10,$J10*(IF(R10=regle!$B$11,regle!$B$23*IF(AK10=-2,1+regle!$B$35,1),
IF(R10=regle!$C$11,regle!$C$23,
IF(R10=regle!$D$11,regle!$D$23,
IF(R10=regle!$E$11,regle!$E$23,
IF(R10=regle!$F$11,regle!$F$23,
IF(R10=regle!$G$11,regle!$G$23,
IF(R10=regle!$H$11,regle!$H$23,
IF(R10=regle!$I$11,regle!$I$23,
IF(R10=regle!$J$11,regle!$J$23,
IF(R10=regle!$K$11,regle!$K$23,0))))))))))))</f>
        <v>0</v>
      </c>
      <c r="AC10" s="17">
        <f>IF($A10,$J10*(IF(S10=regle!$B$11,regle!$B$23*IF(AL10=-2,1+regle!$B$35,1),
IF(S10=regle!$C$11,regle!$C$23,
IF(S10=regle!$D$11,regle!$D$23,
IF(S10=regle!$E$11,regle!$E$23,
IF(S10=regle!$F$11,regle!$F$23,
IF(S10=regle!$G$11,regle!$G$23,
IF(S10=regle!$H$11,regle!$H$23,
IF(S10=regle!$I$11,regle!$I$23,
IF(S10=regle!$J$11,regle!$J$23,
IF(S10=regle!$K$11,regle!$K$23,0))))))))))))</f>
        <v>0</v>
      </c>
      <c r="AD10" s="17">
        <f>IF($A10,$J10*(IF(T10=regle!$B$11,regle!$B$23*IF(AM10=-2,1+regle!$B$35,1),
IF(T10=regle!$C$11,regle!$C$23,
IF(T10=regle!$D$11,regle!$D$23,
IF(T10=regle!$E$11,regle!$E$23,
IF(T10=regle!$F$11,regle!$F$23,
IF(T10=regle!$G$11,regle!$G$23,
IF(T10=regle!$H$11,regle!$H$23,
IF(T10=regle!$I$11,regle!$I$23,
IF(T10=regle!$J$11,regle!$J$23,
IF(T10=regle!$K$11,regle!$K$23,0))))))))))))</f>
        <v>0</v>
      </c>
      <c r="AE10" s="17">
        <f>IF($A10,$J10*(IF(U10=regle!$B$11,regle!$B$23*IF(AN10=-2,1+regle!$B$35,1),
IF(U10=regle!$C$11,regle!$C$23,
IF(U10=regle!$D$11,regle!$D$23,
IF(U10=regle!$E$11,regle!$E$23,
IF(U10=regle!$F$11,regle!$F$23,
IF(U10=regle!$G$11,regle!$G$23,
IF(U10=regle!$H$11,regle!$H$23,
IF(U10=regle!$I$11,regle!$I$23,
IF(U10=regle!$J$11,regle!$J$23,
IF(U10=regle!$K$11,regle!$K$23,0))))))))))))</f>
        <v>0</v>
      </c>
      <c r="AF10" s="17">
        <f>IF($A10,$J10*(IF(V10=regle!$B$11,regle!$B$23*IF(AO10=-2,1+regle!$B$35,1),
IF(V10=regle!$C$11,regle!$C$23,
IF(V10=regle!$D$11,regle!$D$23,
IF(V10=regle!$E$11,regle!$E$23,
IF(V10=regle!$F$11,regle!$F$23,
IF(V10=regle!$G$11,regle!$G$23,
IF(V10=regle!$H$11,regle!$H$23,
IF(V10=regle!$I$11,regle!$I$23,
IF(V10=regle!$J$11,regle!$J$23,
IF(V10=regle!$K$11,regle!$K$23,0))))))))))))</f>
        <v>0</v>
      </c>
      <c r="AG10" s="17">
        <f>IF($A10,$J10*(IF(W10=regle!$B$11,regle!$B$23*IF(AP10=-2,1+regle!$B$35,1),
IF(W10=regle!$C$11,regle!$C$23,
IF(W10=regle!$D$11,regle!$D$23,
IF(W10=regle!$E$11,regle!$E$23,
IF(W10=regle!$F$11,regle!$F$23,
IF(W10=regle!$G$11,regle!$G$23,
IF(W10=regle!$H$11,regle!$H$23,
IF(W10=regle!$I$11,regle!$I$23,
IF(W10=regle!$J$11,regle!$J$23,
IF(W10=regle!$K$11,regle!$K$23,0))))))))))))</f>
        <v>0</v>
      </c>
      <c r="AH10" s="17">
        <f>IF($A10,$J10*(IF(X10=regle!$B$11,regle!$B$23*IF(AQ10=-2,1+regle!$B$35,1),
IF(X10=regle!$C$11,regle!$C$23,
IF(X10=regle!$D$11,regle!$D$23,
IF(X10=regle!$E$11,regle!$E$23,
IF(X10=regle!$F$11,regle!$F$23,
IF(X10=regle!$G$11,regle!$G$23,
IF(X10=regle!$H$11,regle!$H$23,
IF(X10=regle!$I$11,regle!$I$23,
IF(X10=regle!$J$11,regle!$J$23,
IF(X10=regle!$K$11,regle!$K$23,0))))))))))))</f>
        <v>0</v>
      </c>
      <c r="AI10" s="17">
        <f>IF($A10,$J10*(IF(Y10=regle!$B$11,regle!$B$23*IF(AR10=-2,1+regle!$B$35,1),
IF(Y10=regle!$C$11,regle!$C$23,
IF(Y10=regle!$D$11,regle!$D$23,
IF(Y10=regle!$E$11,regle!$E$23,
IF(Y10=regle!$F$11,regle!$F$23,
IF(Y10=regle!$G$11,regle!$G$23,
IF(Y10=regle!$H$11,regle!$H$23,
IF(Y10=regle!$I$11,regle!$I$23,
IF(Y10=regle!$J$11,regle!$J$23,
IF(Y10=regle!$K$11,regle!$K$23,0))))))))))))</f>
        <v>0</v>
      </c>
      <c r="AJ10" s="17">
        <f>IF($A10,$J10*(IF(Z10=regle!$B$11,regle!$B$23*IF(AS10=-2,1+regle!$B$35,1),
IF(Z10=regle!$C$11,regle!$C$23,
IF(Z10=regle!$D$11,regle!$D$23,
IF(Z10=regle!$E$11,regle!$E$23,
IF(Z10=regle!$F$11,regle!$F$23,
IF(Z10=regle!$G$11,regle!$G$23,
IF(Z10=regle!$H$11,regle!$H$23,
IF(Z10=regle!$I$11,regle!$I$23,
IF(Z10=regle!$J$11,regle!$J$23,
IF(Z10=regle!$K$11,regle!$K$23,0))))))))))))</f>
        <v>0</v>
      </c>
      <c r="AK10" s="16">
        <f>IF(OR(Q10=regle!$J$11,Q10=regle!$K$11),-2,IF(Q10=regle!$B$11,0,IF(AK$1=$AK$1,IF($O10,-1,regle!$B$2-$M10),IF(AJ10=-1,-1,AJ10+1))))</f>
        <v>0</v>
      </c>
      <c r="AL10" s="16">
        <f>IF(OR(R10=regle!$J$11,R10=regle!$K$11),-2,IF(R10=regle!$B$11,0,IF(AL$1=$AK$1,IF($O10,-1,regle!$B$2-$M10),IF(AK10=-1,-1,AK10+1))))</f>
        <v>1</v>
      </c>
      <c r="AM10" s="16">
        <f>IF(OR(S10=regle!$J$11,S10=regle!$K$11),-2,IF(S10=regle!$B$11,0,IF(AM$1=$AK$1,IF($O10,-1,regle!$B$2-$M10),IF(AL10=-1,-1,AL10+1))))</f>
        <v>2</v>
      </c>
      <c r="AN10" s="16">
        <f>IF(OR(T10=regle!$J$11,T10=regle!$K$11),-2,IF(T10=regle!$B$11,0,IF(AN$1=$AK$1,IF($O10,-1,regle!$B$2-$M10),IF(AM10=-1,-1,AM10+1))))</f>
        <v>3</v>
      </c>
      <c r="AO10" s="16">
        <f>IF(OR(U10=regle!$J$11,U10=regle!$K$11),-2,IF(U10=regle!$B$11,0,IF(AO$1=$AK$1,IF($O10,-1,regle!$B$2-$M10),IF(AN10=-1,-1,AN10+1))))</f>
        <v>4</v>
      </c>
      <c r="AP10" s="16">
        <f>IF(OR(V10=regle!$J$11,V10=regle!$K$11),-2,IF(V10=regle!$B$11,0,IF(AP$1=$AK$1,IF($O10,-1,regle!$B$2-$M10),IF(AO10=-1,-1,AO10+1))))</f>
        <v>5</v>
      </c>
      <c r="AQ10" s="16">
        <f>IF(OR(W10=regle!$J$11,W10=regle!$K$11),-2,IF(W10=regle!$B$11,0,IF(AQ$1=$AK$1,IF($O10,-1,regle!$B$2-$M10),IF(AP10=-1,-1,AP10+1))))</f>
        <v>6</v>
      </c>
      <c r="AR10" s="16">
        <f>IF(OR(X10=regle!$J$11,X10=regle!$K$11),-2,IF(X10=regle!$B$11,0,IF(AR$1=$AK$1,IF($O10,-1,regle!$B$2-$M10),IF(AQ10=-1,-1,AQ10+1))))</f>
        <v>7</v>
      </c>
      <c r="AS10" s="16">
        <f>IF(OR(Y10=regle!$J$11,Y10=regle!$K$11),-2,IF(Y10=regle!$B$11,0,IF(AS$1=$AK$1,IF($O10,-1,regle!$B$2-$M10),IF(AR10=-1,-1,AR10+1))))</f>
        <v>8</v>
      </c>
      <c r="AT10" s="16">
        <f>IF(OR(Z10=regle!$J$11,Z10=regle!$K$11),-2,IF(Z10=regle!$B$11,0,IF(AT$1=$AK$1,IF($O10,-1,regle!$B$2-$M10),IF(AS10=-1,-1,AS10+1))))</f>
        <v>9</v>
      </c>
    </row>
    <row r="11" spans="1:46" x14ac:dyDescent="0.25">
      <c r="A11" t="b">
        <f>modif0!A10</f>
        <v>1</v>
      </c>
      <c r="B11">
        <f>ROW(modif0!B10)</f>
        <v>10</v>
      </c>
      <c r="C11" t="str">
        <f>modif0!D10</f>
        <v>202</v>
      </c>
      <c r="D11" t="str">
        <f>modif0!E10</f>
        <v>HOSTENS</v>
      </c>
      <c r="E11">
        <f>modif0!F10</f>
        <v>11</v>
      </c>
      <c r="F11" t="str">
        <f>modif0!G10</f>
        <v>L'ARGILEYRE</v>
      </c>
      <c r="G11" t="str">
        <f>modif0!I10</f>
        <v>0A</v>
      </c>
      <c r="H11">
        <f>modif0!J10</f>
        <v>1311</v>
      </c>
      <c r="I11" t="str">
        <f>modif0!K10</f>
        <v/>
      </c>
      <c r="J11" s="11">
        <f>modif0!M10</f>
        <v>2.9060000000000001</v>
      </c>
      <c r="K11" s="11" t="str">
        <f>modif0!P10</f>
        <v>CR</v>
      </c>
      <c r="L11" t="str">
        <f>modif0!N10</f>
        <v>PM</v>
      </c>
      <c r="M11">
        <f>modif0!Q10</f>
        <v>2022</v>
      </c>
      <c r="N11" t="str">
        <f>modif0!R10</f>
        <v>CR-PM_2022</v>
      </c>
      <c r="O11" t="b">
        <f>modif0!S10</f>
        <v>1</v>
      </c>
      <c r="P11">
        <v>25</v>
      </c>
      <c r="Q11" t="s">
        <v>1868</v>
      </c>
      <c r="AA11" s="17">
        <f>IF($A11,$J11*(IF(Q11=regle!$B$11,regle!$B$23*IF(AJ11=-2,1+regle!$B$35,1),
IF(Q11=regle!$C$11,regle!$C$23,
IF(Q11=regle!$D$11,regle!$D$23,
IF(Q11=regle!$E$11,regle!$E$23,
IF(Q11=regle!$F$11,regle!$F$23,
IF(Q11=regle!$G$11,regle!$G$23,
IF(Q11=regle!$H$11,regle!$H$23,
IF(Q11=regle!$I$11,regle!$I$23,
IF(Q11=regle!$J$11,regle!$J$23,
IF(Q11=regle!$K$11,regle!$K$23,0))))))))))))</f>
        <v>-4940.2</v>
      </c>
      <c r="AB11" s="17">
        <f>IF($A11,$J11*(IF(R11=regle!$B$11,regle!$B$23*IF(AK11=-2,1+regle!$B$35,1),
IF(R11=regle!$C$11,regle!$C$23,
IF(R11=regle!$D$11,regle!$D$23,
IF(R11=regle!$E$11,regle!$E$23,
IF(R11=regle!$F$11,regle!$F$23,
IF(R11=regle!$G$11,regle!$G$23,
IF(R11=regle!$H$11,regle!$H$23,
IF(R11=regle!$I$11,regle!$I$23,
IF(R11=regle!$J$11,regle!$J$23,
IF(R11=regle!$K$11,regle!$K$23,0))))))))))))</f>
        <v>0</v>
      </c>
      <c r="AC11" s="17">
        <f>IF($A11,$J11*(IF(S11=regle!$B$11,regle!$B$23*IF(AL11=-2,1+regle!$B$35,1),
IF(S11=regle!$C$11,regle!$C$23,
IF(S11=regle!$D$11,regle!$D$23,
IF(S11=regle!$E$11,regle!$E$23,
IF(S11=regle!$F$11,regle!$F$23,
IF(S11=regle!$G$11,regle!$G$23,
IF(S11=regle!$H$11,regle!$H$23,
IF(S11=regle!$I$11,regle!$I$23,
IF(S11=regle!$J$11,regle!$J$23,
IF(S11=regle!$K$11,regle!$K$23,0))))))))))))</f>
        <v>0</v>
      </c>
      <c r="AD11" s="17">
        <f>IF($A11,$J11*(IF(T11=regle!$B$11,regle!$B$23*IF(AM11=-2,1+regle!$B$35,1),
IF(T11=regle!$C$11,regle!$C$23,
IF(T11=regle!$D$11,regle!$D$23,
IF(T11=regle!$E$11,regle!$E$23,
IF(T11=regle!$F$11,regle!$F$23,
IF(T11=regle!$G$11,regle!$G$23,
IF(T11=regle!$H$11,regle!$H$23,
IF(T11=regle!$I$11,regle!$I$23,
IF(T11=regle!$J$11,regle!$J$23,
IF(T11=regle!$K$11,regle!$K$23,0))))))))))))</f>
        <v>0</v>
      </c>
      <c r="AE11" s="17">
        <f>IF($A11,$J11*(IF(U11=regle!$B$11,regle!$B$23*IF(AN11=-2,1+regle!$B$35,1),
IF(U11=regle!$C$11,regle!$C$23,
IF(U11=regle!$D$11,regle!$D$23,
IF(U11=regle!$E$11,regle!$E$23,
IF(U11=regle!$F$11,regle!$F$23,
IF(U11=regle!$G$11,regle!$G$23,
IF(U11=regle!$H$11,regle!$H$23,
IF(U11=regle!$I$11,regle!$I$23,
IF(U11=regle!$J$11,regle!$J$23,
IF(U11=regle!$K$11,regle!$K$23,0))))))))))))</f>
        <v>0</v>
      </c>
      <c r="AF11" s="17">
        <f>IF($A11,$J11*(IF(V11=regle!$B$11,regle!$B$23*IF(AO11=-2,1+regle!$B$35,1),
IF(V11=regle!$C$11,regle!$C$23,
IF(V11=regle!$D$11,regle!$D$23,
IF(V11=regle!$E$11,regle!$E$23,
IF(V11=regle!$F$11,regle!$F$23,
IF(V11=regle!$G$11,regle!$G$23,
IF(V11=regle!$H$11,regle!$H$23,
IF(V11=regle!$I$11,regle!$I$23,
IF(V11=regle!$J$11,regle!$J$23,
IF(V11=regle!$K$11,regle!$K$23,0))))))))))))</f>
        <v>0</v>
      </c>
      <c r="AG11" s="17">
        <f>IF($A11,$J11*(IF(W11=regle!$B$11,regle!$B$23*IF(AP11=-2,1+regle!$B$35,1),
IF(W11=regle!$C$11,regle!$C$23,
IF(W11=regle!$D$11,regle!$D$23,
IF(W11=regle!$E$11,regle!$E$23,
IF(W11=regle!$F$11,regle!$F$23,
IF(W11=regle!$G$11,regle!$G$23,
IF(W11=regle!$H$11,regle!$H$23,
IF(W11=regle!$I$11,regle!$I$23,
IF(W11=regle!$J$11,regle!$J$23,
IF(W11=regle!$K$11,regle!$K$23,0))))))))))))</f>
        <v>0</v>
      </c>
      <c r="AH11" s="17">
        <f>IF($A11,$J11*(IF(X11=regle!$B$11,regle!$B$23*IF(AQ11=-2,1+regle!$B$35,1),
IF(X11=regle!$C$11,regle!$C$23,
IF(X11=regle!$D$11,regle!$D$23,
IF(X11=regle!$E$11,regle!$E$23,
IF(X11=regle!$F$11,regle!$F$23,
IF(X11=regle!$G$11,regle!$G$23,
IF(X11=regle!$H$11,regle!$H$23,
IF(X11=regle!$I$11,regle!$I$23,
IF(X11=regle!$J$11,regle!$J$23,
IF(X11=regle!$K$11,regle!$K$23,0))))))))))))</f>
        <v>0</v>
      </c>
      <c r="AI11" s="17">
        <f>IF($A11,$J11*(IF(Y11=regle!$B$11,regle!$B$23*IF(AR11=-2,1+regle!$B$35,1),
IF(Y11=regle!$C$11,regle!$C$23,
IF(Y11=regle!$D$11,regle!$D$23,
IF(Y11=regle!$E$11,regle!$E$23,
IF(Y11=regle!$F$11,regle!$F$23,
IF(Y11=regle!$G$11,regle!$G$23,
IF(Y11=regle!$H$11,regle!$H$23,
IF(Y11=regle!$I$11,regle!$I$23,
IF(Y11=regle!$J$11,regle!$J$23,
IF(Y11=regle!$K$11,regle!$K$23,0))))))))))))</f>
        <v>0</v>
      </c>
      <c r="AJ11" s="17">
        <f>IF($A11,$J11*(IF(Z11=regle!$B$11,regle!$B$23*IF(AS11=-2,1+regle!$B$35,1),
IF(Z11=regle!$C$11,regle!$C$23,
IF(Z11=regle!$D$11,regle!$D$23,
IF(Z11=regle!$E$11,regle!$E$23,
IF(Z11=regle!$F$11,regle!$F$23,
IF(Z11=regle!$G$11,regle!$G$23,
IF(Z11=regle!$H$11,regle!$H$23,
IF(Z11=regle!$I$11,regle!$I$23,
IF(Z11=regle!$J$11,regle!$J$23,
IF(Z11=regle!$K$11,regle!$K$23,0))))))))))))</f>
        <v>0</v>
      </c>
      <c r="AK11" s="16">
        <f>IF(OR(Q11=regle!$J$11,Q11=regle!$K$11),-2,IF(Q11=regle!$B$11,0,IF(AK$1=$AK$1,IF($O11,-1,regle!$B$2-$M11),IF(AJ11=-1,-1,AJ11+1))))</f>
        <v>0</v>
      </c>
      <c r="AL11" s="16">
        <f>IF(OR(R11=regle!$J$11,R11=regle!$K$11),-2,IF(R11=regle!$B$11,0,IF(AL$1=$AK$1,IF($O11,-1,regle!$B$2-$M11),IF(AK11=-1,-1,AK11+1))))</f>
        <v>1</v>
      </c>
      <c r="AM11" s="16">
        <f>IF(OR(S11=regle!$J$11,S11=regle!$K$11),-2,IF(S11=regle!$B$11,0,IF(AM$1=$AK$1,IF($O11,-1,regle!$B$2-$M11),IF(AL11=-1,-1,AL11+1))))</f>
        <v>2</v>
      </c>
      <c r="AN11" s="16">
        <f>IF(OR(T11=regle!$J$11,T11=regle!$K$11),-2,IF(T11=regle!$B$11,0,IF(AN$1=$AK$1,IF($O11,-1,regle!$B$2-$M11),IF(AM11=-1,-1,AM11+1))))</f>
        <v>3</v>
      </c>
      <c r="AO11" s="16">
        <f>IF(OR(U11=regle!$J$11,U11=regle!$K$11),-2,IF(U11=regle!$B$11,0,IF(AO$1=$AK$1,IF($O11,-1,regle!$B$2-$M11),IF(AN11=-1,-1,AN11+1))))</f>
        <v>4</v>
      </c>
      <c r="AP11" s="16">
        <f>IF(OR(V11=regle!$J$11,V11=regle!$K$11),-2,IF(V11=regle!$B$11,0,IF(AP$1=$AK$1,IF($O11,-1,regle!$B$2-$M11),IF(AO11=-1,-1,AO11+1))))</f>
        <v>5</v>
      </c>
      <c r="AQ11" s="16">
        <f>IF(OR(W11=regle!$J$11,W11=regle!$K$11),-2,IF(W11=regle!$B$11,0,IF(AQ$1=$AK$1,IF($O11,-1,regle!$B$2-$M11),IF(AP11=-1,-1,AP11+1))))</f>
        <v>6</v>
      </c>
      <c r="AR11" s="16">
        <f>IF(OR(X11=regle!$J$11,X11=regle!$K$11),-2,IF(X11=regle!$B$11,0,IF(AR$1=$AK$1,IF($O11,-1,regle!$B$2-$M11),IF(AQ11=-1,-1,AQ11+1))))</f>
        <v>7</v>
      </c>
      <c r="AS11" s="16">
        <f>IF(OR(Y11=regle!$J$11,Y11=regle!$K$11),-2,IF(Y11=regle!$B$11,0,IF(AS$1=$AK$1,IF($O11,-1,regle!$B$2-$M11),IF(AR11=-1,-1,AR11+1))))</f>
        <v>8</v>
      </c>
      <c r="AT11" s="16">
        <f>IF(OR(Z11=regle!$J$11,Z11=regle!$K$11),-2,IF(Z11=regle!$B$11,0,IF(AT$1=$AK$1,IF($O11,-1,regle!$B$2-$M11),IF(AS11=-1,-1,AS11+1))))</f>
        <v>9</v>
      </c>
    </row>
    <row r="12" spans="1:46" x14ac:dyDescent="0.25">
      <c r="A12" t="b">
        <f>modif0!A273</f>
        <v>1</v>
      </c>
      <c r="B12">
        <f>ROW(modif0!B273)</f>
        <v>273</v>
      </c>
      <c r="C12" t="str">
        <f>modif0!D273</f>
        <v>171</v>
      </c>
      <c r="D12" t="str">
        <f>modif0!E273</f>
        <v>MANO</v>
      </c>
      <c r="E12">
        <f>modif0!F273</f>
        <v>17</v>
      </c>
      <c r="F12" t="str">
        <f>modif0!G273</f>
        <v>LANDE DE TABARTON</v>
      </c>
      <c r="G12" t="str">
        <f>modif0!I273</f>
        <v>0B</v>
      </c>
      <c r="H12">
        <f>modif0!J273</f>
        <v>306</v>
      </c>
      <c r="I12" t="str">
        <f>modif0!K273</f>
        <v/>
      </c>
      <c r="J12" s="11">
        <f>modif0!M273</f>
        <v>2.8</v>
      </c>
      <c r="K12" s="11" t="str">
        <f>modif0!P273</f>
        <v>CR</v>
      </c>
      <c r="L12" t="str">
        <f>modif0!N273</f>
        <v>PM</v>
      </c>
      <c r="M12">
        <f>modif0!Q273</f>
        <v>2022</v>
      </c>
      <c r="N12" t="str">
        <f>modif0!R273</f>
        <v>CR-PM_2022</v>
      </c>
      <c r="O12" t="b">
        <f>modif0!S273</f>
        <v>1</v>
      </c>
      <c r="P12">
        <v>25</v>
      </c>
      <c r="Q12" t="s">
        <v>1868</v>
      </c>
      <c r="AA12" s="17">
        <f>IF($A12,$J12*(IF(Q12=regle!$B$11,regle!$B$23*IF(AJ12=-2,1+regle!$B$35,1),
IF(Q12=regle!$C$11,regle!$C$23,
IF(Q12=regle!$D$11,regle!$D$23,
IF(Q12=regle!$E$11,regle!$E$23,
IF(Q12=regle!$F$11,regle!$F$23,
IF(Q12=regle!$G$11,regle!$G$23,
IF(Q12=regle!$H$11,regle!$H$23,
IF(Q12=regle!$I$11,regle!$I$23,
IF(Q12=regle!$J$11,regle!$J$23,
IF(Q12=regle!$K$11,regle!$K$23,0))))))))))))</f>
        <v>-4760</v>
      </c>
      <c r="AB12" s="17">
        <f>IF($A12,$J12*(IF(R12=regle!$B$11,regle!$B$23*IF(AK12=-2,1+regle!$B$35,1),
IF(R12=regle!$C$11,regle!$C$23,
IF(R12=regle!$D$11,regle!$D$23,
IF(R12=regle!$E$11,regle!$E$23,
IF(R12=regle!$F$11,regle!$F$23,
IF(R12=regle!$G$11,regle!$G$23,
IF(R12=regle!$H$11,regle!$H$23,
IF(R12=regle!$I$11,regle!$I$23,
IF(R12=regle!$J$11,regle!$J$23,
IF(R12=regle!$K$11,regle!$K$23,0))))))))))))</f>
        <v>0</v>
      </c>
      <c r="AC12" s="17">
        <f>IF($A12,$J12*(IF(S12=regle!$B$11,regle!$B$23*IF(AL12=-2,1+regle!$B$35,1),
IF(S12=regle!$C$11,regle!$C$23,
IF(S12=regle!$D$11,regle!$D$23,
IF(S12=regle!$E$11,regle!$E$23,
IF(S12=regle!$F$11,regle!$F$23,
IF(S12=regle!$G$11,regle!$G$23,
IF(S12=regle!$H$11,regle!$H$23,
IF(S12=regle!$I$11,regle!$I$23,
IF(S12=regle!$J$11,regle!$J$23,
IF(S12=regle!$K$11,regle!$K$23,0))))))))))))</f>
        <v>0</v>
      </c>
      <c r="AD12" s="17">
        <f>IF($A12,$J12*(IF(T12=regle!$B$11,regle!$B$23*IF(AM12=-2,1+regle!$B$35,1),
IF(T12=regle!$C$11,regle!$C$23,
IF(T12=regle!$D$11,regle!$D$23,
IF(T12=regle!$E$11,regle!$E$23,
IF(T12=regle!$F$11,regle!$F$23,
IF(T12=regle!$G$11,regle!$G$23,
IF(T12=regle!$H$11,regle!$H$23,
IF(T12=regle!$I$11,regle!$I$23,
IF(T12=regle!$J$11,regle!$J$23,
IF(T12=regle!$K$11,regle!$K$23,0))))))))))))</f>
        <v>0</v>
      </c>
      <c r="AE12" s="17">
        <f>IF($A12,$J12*(IF(U12=regle!$B$11,regle!$B$23*IF(AN12=-2,1+regle!$B$35,1),
IF(U12=regle!$C$11,regle!$C$23,
IF(U12=regle!$D$11,regle!$D$23,
IF(U12=regle!$E$11,regle!$E$23,
IF(U12=regle!$F$11,regle!$F$23,
IF(U12=regle!$G$11,regle!$G$23,
IF(U12=regle!$H$11,regle!$H$23,
IF(U12=regle!$I$11,regle!$I$23,
IF(U12=regle!$J$11,regle!$J$23,
IF(U12=regle!$K$11,regle!$K$23,0))))))))))))</f>
        <v>0</v>
      </c>
      <c r="AF12" s="17">
        <f>IF($A12,$J12*(IF(V12=regle!$B$11,regle!$B$23*IF(AO12=-2,1+regle!$B$35,1),
IF(V12=regle!$C$11,regle!$C$23,
IF(V12=regle!$D$11,regle!$D$23,
IF(V12=regle!$E$11,regle!$E$23,
IF(V12=regle!$F$11,regle!$F$23,
IF(V12=regle!$G$11,regle!$G$23,
IF(V12=regle!$H$11,regle!$H$23,
IF(V12=regle!$I$11,regle!$I$23,
IF(V12=regle!$J$11,regle!$J$23,
IF(V12=regle!$K$11,regle!$K$23,0))))))))))))</f>
        <v>0</v>
      </c>
      <c r="AG12" s="17">
        <f>IF($A12,$J12*(IF(W12=regle!$B$11,regle!$B$23*IF(AP12=-2,1+regle!$B$35,1),
IF(W12=regle!$C$11,regle!$C$23,
IF(W12=regle!$D$11,regle!$D$23,
IF(W12=regle!$E$11,regle!$E$23,
IF(W12=regle!$F$11,regle!$F$23,
IF(W12=regle!$G$11,regle!$G$23,
IF(W12=regle!$H$11,regle!$H$23,
IF(W12=regle!$I$11,regle!$I$23,
IF(W12=regle!$J$11,regle!$J$23,
IF(W12=regle!$K$11,regle!$K$23,0))))))))))))</f>
        <v>0</v>
      </c>
      <c r="AH12" s="17">
        <f>IF($A12,$J12*(IF(X12=regle!$B$11,regle!$B$23*IF(AQ12=-2,1+regle!$B$35,1),
IF(X12=regle!$C$11,regle!$C$23,
IF(X12=regle!$D$11,regle!$D$23,
IF(X12=regle!$E$11,regle!$E$23,
IF(X12=regle!$F$11,regle!$F$23,
IF(X12=regle!$G$11,regle!$G$23,
IF(X12=regle!$H$11,regle!$H$23,
IF(X12=regle!$I$11,regle!$I$23,
IF(X12=regle!$J$11,regle!$J$23,
IF(X12=regle!$K$11,regle!$K$23,0))))))))))))</f>
        <v>0</v>
      </c>
      <c r="AI12" s="17">
        <f>IF($A12,$J12*(IF(Y12=regle!$B$11,regle!$B$23*IF(AR12=-2,1+regle!$B$35,1),
IF(Y12=regle!$C$11,regle!$C$23,
IF(Y12=regle!$D$11,regle!$D$23,
IF(Y12=regle!$E$11,regle!$E$23,
IF(Y12=regle!$F$11,regle!$F$23,
IF(Y12=regle!$G$11,regle!$G$23,
IF(Y12=regle!$H$11,regle!$H$23,
IF(Y12=regle!$I$11,regle!$I$23,
IF(Y12=regle!$J$11,regle!$J$23,
IF(Y12=regle!$K$11,regle!$K$23,0))))))))))))</f>
        <v>0</v>
      </c>
      <c r="AJ12" s="17">
        <f>IF($A12,$J12*(IF(Z12=regle!$B$11,regle!$B$23*IF(AS12=-2,1+regle!$B$35,1),
IF(Z12=regle!$C$11,regle!$C$23,
IF(Z12=regle!$D$11,regle!$D$23,
IF(Z12=regle!$E$11,regle!$E$23,
IF(Z12=regle!$F$11,regle!$F$23,
IF(Z12=regle!$G$11,regle!$G$23,
IF(Z12=regle!$H$11,regle!$H$23,
IF(Z12=regle!$I$11,regle!$I$23,
IF(Z12=regle!$J$11,regle!$J$23,
IF(Z12=regle!$K$11,regle!$K$23,0))))))))))))</f>
        <v>0</v>
      </c>
      <c r="AK12" s="16">
        <f>IF(OR(Q12=regle!$J$11,Q12=regle!$K$11),-2,IF(Q12=regle!$B$11,0,IF(AK$1=$AK$1,IF($O12,-1,regle!$B$2-$M12),IF(AJ12=-1,-1,AJ12+1))))</f>
        <v>0</v>
      </c>
      <c r="AL12" s="16">
        <f>IF(OR(R12=regle!$J$11,R12=regle!$K$11),-2,IF(R12=regle!$B$11,0,IF(AL$1=$AK$1,IF($O12,-1,regle!$B$2-$M12),IF(AK12=-1,-1,AK12+1))))</f>
        <v>1</v>
      </c>
      <c r="AM12" s="16">
        <f>IF(OR(S12=regle!$J$11,S12=regle!$K$11),-2,IF(S12=regle!$B$11,0,IF(AM$1=$AK$1,IF($O12,-1,regle!$B$2-$M12),IF(AL12=-1,-1,AL12+1))))</f>
        <v>2</v>
      </c>
      <c r="AN12" s="16">
        <f>IF(OR(T12=regle!$J$11,T12=regle!$K$11),-2,IF(T12=regle!$B$11,0,IF(AN$1=$AK$1,IF($O12,-1,regle!$B$2-$M12),IF(AM12=-1,-1,AM12+1))))</f>
        <v>3</v>
      </c>
      <c r="AO12" s="16">
        <f>IF(OR(U12=regle!$J$11,U12=regle!$K$11),-2,IF(U12=regle!$B$11,0,IF(AO$1=$AK$1,IF($O12,-1,regle!$B$2-$M12),IF(AN12=-1,-1,AN12+1))))</f>
        <v>4</v>
      </c>
      <c r="AP12" s="16">
        <f>IF(OR(V12=regle!$J$11,V12=regle!$K$11),-2,IF(V12=regle!$B$11,0,IF(AP$1=$AK$1,IF($O12,-1,regle!$B$2-$M12),IF(AO12=-1,-1,AO12+1))))</f>
        <v>5</v>
      </c>
      <c r="AQ12" s="16">
        <f>IF(OR(W12=regle!$J$11,W12=regle!$K$11),-2,IF(W12=regle!$B$11,0,IF(AQ$1=$AK$1,IF($O12,-1,regle!$B$2-$M12),IF(AP12=-1,-1,AP12+1))))</f>
        <v>6</v>
      </c>
      <c r="AR12" s="16">
        <f>IF(OR(X12=regle!$J$11,X12=regle!$K$11),-2,IF(X12=regle!$B$11,0,IF(AR$1=$AK$1,IF($O12,-1,regle!$B$2-$M12),IF(AQ12=-1,-1,AQ12+1))))</f>
        <v>7</v>
      </c>
      <c r="AS12" s="16">
        <f>IF(OR(Y12=regle!$J$11,Y12=regle!$K$11),-2,IF(Y12=regle!$B$11,0,IF(AS$1=$AK$1,IF($O12,-1,regle!$B$2-$M12),IF(AR12=-1,-1,AR12+1))))</f>
        <v>8</v>
      </c>
      <c r="AT12" s="16">
        <f>IF(OR(Z12=regle!$J$11,Z12=regle!$K$11),-2,IF(Z12=regle!$B$11,0,IF(AT$1=$AK$1,IF($O12,-1,regle!$B$2-$M12),IF(AS12=-1,-1,AS12+1))))</f>
        <v>9</v>
      </c>
    </row>
    <row r="13" spans="1:46" x14ac:dyDescent="0.25">
      <c r="A13" t="b">
        <f>modif0!A261</f>
        <v>1</v>
      </c>
      <c r="B13">
        <f>ROW(modif0!B261)</f>
        <v>261</v>
      </c>
      <c r="C13" t="str">
        <f>modif0!D261</f>
        <v>171</v>
      </c>
      <c r="D13" t="str">
        <f>modif0!E261</f>
        <v>MANO</v>
      </c>
      <c r="E13">
        <f>modif0!F261</f>
        <v>17</v>
      </c>
      <c r="F13" t="str">
        <f>modif0!G261</f>
        <v>LANDE DE TABARTON</v>
      </c>
      <c r="G13" t="str">
        <f>modif0!I261</f>
        <v>0B</v>
      </c>
      <c r="H13">
        <f>modif0!J261</f>
        <v>276</v>
      </c>
      <c r="I13" t="str">
        <f>modif0!K261</f>
        <v/>
      </c>
      <c r="J13" s="11">
        <f>modif0!M261</f>
        <v>2.774</v>
      </c>
      <c r="K13" s="11" t="str">
        <f>modif0!P261</f>
        <v>CR</v>
      </c>
      <c r="L13" t="str">
        <f>modif0!N261</f>
        <v>PM</v>
      </c>
      <c r="M13">
        <f>modif0!Q261</f>
        <v>2022</v>
      </c>
      <c r="N13" t="str">
        <f>modif0!R261</f>
        <v>CR-PM_2022</v>
      </c>
      <c r="O13" t="b">
        <f>modif0!S261</f>
        <v>1</v>
      </c>
      <c r="P13">
        <v>25</v>
      </c>
      <c r="Q13" t="s">
        <v>1868</v>
      </c>
      <c r="AA13" s="17">
        <f>IF($A13,$J13*(IF(Q13=regle!$B$11,regle!$B$23*IF(AJ13=-2,1+regle!$B$35,1),
IF(Q13=regle!$C$11,regle!$C$23,
IF(Q13=regle!$D$11,regle!$D$23,
IF(Q13=regle!$E$11,regle!$E$23,
IF(Q13=regle!$F$11,regle!$F$23,
IF(Q13=regle!$G$11,regle!$G$23,
IF(Q13=regle!$H$11,regle!$H$23,
IF(Q13=regle!$I$11,regle!$I$23,
IF(Q13=regle!$J$11,regle!$J$23,
IF(Q13=regle!$K$11,regle!$K$23,0))))))))))))</f>
        <v>-4715.8</v>
      </c>
      <c r="AB13" s="17">
        <f>IF($A13,$J13*(IF(R13=regle!$B$11,regle!$B$23*IF(AK13=-2,1+regle!$B$35,1),
IF(R13=regle!$C$11,regle!$C$23,
IF(R13=regle!$D$11,regle!$D$23,
IF(R13=regle!$E$11,regle!$E$23,
IF(R13=regle!$F$11,regle!$F$23,
IF(R13=regle!$G$11,regle!$G$23,
IF(R13=regle!$H$11,regle!$H$23,
IF(R13=regle!$I$11,regle!$I$23,
IF(R13=regle!$J$11,regle!$J$23,
IF(R13=regle!$K$11,regle!$K$23,0))))))))))))</f>
        <v>0</v>
      </c>
      <c r="AC13" s="17">
        <f>IF($A13,$J13*(IF(S13=regle!$B$11,regle!$B$23*IF(AL13=-2,1+regle!$B$35,1),
IF(S13=regle!$C$11,regle!$C$23,
IF(S13=regle!$D$11,regle!$D$23,
IF(S13=regle!$E$11,regle!$E$23,
IF(S13=regle!$F$11,regle!$F$23,
IF(S13=regle!$G$11,regle!$G$23,
IF(S13=regle!$H$11,regle!$H$23,
IF(S13=regle!$I$11,regle!$I$23,
IF(S13=regle!$J$11,regle!$J$23,
IF(S13=regle!$K$11,regle!$K$23,0))))))))))))</f>
        <v>0</v>
      </c>
      <c r="AD13" s="17">
        <f>IF($A13,$J13*(IF(T13=regle!$B$11,regle!$B$23*IF(AM13=-2,1+regle!$B$35,1),
IF(T13=regle!$C$11,regle!$C$23,
IF(T13=regle!$D$11,regle!$D$23,
IF(T13=regle!$E$11,regle!$E$23,
IF(T13=regle!$F$11,regle!$F$23,
IF(T13=regle!$G$11,regle!$G$23,
IF(T13=regle!$H$11,regle!$H$23,
IF(T13=regle!$I$11,regle!$I$23,
IF(T13=regle!$J$11,regle!$J$23,
IF(T13=regle!$K$11,regle!$K$23,0))))))))))))</f>
        <v>0</v>
      </c>
      <c r="AE13" s="17">
        <f>IF($A13,$J13*(IF(U13=regle!$B$11,regle!$B$23*IF(AN13=-2,1+regle!$B$35,1),
IF(U13=regle!$C$11,regle!$C$23,
IF(U13=regle!$D$11,regle!$D$23,
IF(U13=regle!$E$11,regle!$E$23,
IF(U13=regle!$F$11,regle!$F$23,
IF(U13=regle!$G$11,regle!$G$23,
IF(U13=regle!$H$11,regle!$H$23,
IF(U13=regle!$I$11,regle!$I$23,
IF(U13=regle!$J$11,regle!$J$23,
IF(U13=regle!$K$11,regle!$K$23,0))))))))))))</f>
        <v>0</v>
      </c>
      <c r="AF13" s="17">
        <f>IF($A13,$J13*(IF(V13=regle!$B$11,regle!$B$23*IF(AO13=-2,1+regle!$B$35,1),
IF(V13=regle!$C$11,regle!$C$23,
IF(V13=regle!$D$11,regle!$D$23,
IF(V13=regle!$E$11,regle!$E$23,
IF(V13=regle!$F$11,regle!$F$23,
IF(V13=regle!$G$11,regle!$G$23,
IF(V13=regle!$H$11,regle!$H$23,
IF(V13=regle!$I$11,regle!$I$23,
IF(V13=regle!$J$11,regle!$J$23,
IF(V13=regle!$K$11,regle!$K$23,0))))))))))))</f>
        <v>0</v>
      </c>
      <c r="AG13" s="17">
        <f>IF($A13,$J13*(IF(W13=regle!$B$11,regle!$B$23*IF(AP13=-2,1+regle!$B$35,1),
IF(W13=regle!$C$11,regle!$C$23,
IF(W13=regle!$D$11,regle!$D$23,
IF(W13=regle!$E$11,regle!$E$23,
IF(W13=regle!$F$11,regle!$F$23,
IF(W13=regle!$G$11,regle!$G$23,
IF(W13=regle!$H$11,regle!$H$23,
IF(W13=regle!$I$11,regle!$I$23,
IF(W13=regle!$J$11,regle!$J$23,
IF(W13=regle!$K$11,regle!$K$23,0))))))))))))</f>
        <v>0</v>
      </c>
      <c r="AH13" s="17">
        <f>IF($A13,$J13*(IF(X13=regle!$B$11,regle!$B$23*IF(AQ13=-2,1+regle!$B$35,1),
IF(X13=regle!$C$11,regle!$C$23,
IF(X13=regle!$D$11,regle!$D$23,
IF(X13=regle!$E$11,regle!$E$23,
IF(X13=regle!$F$11,regle!$F$23,
IF(X13=regle!$G$11,regle!$G$23,
IF(X13=regle!$H$11,regle!$H$23,
IF(X13=regle!$I$11,regle!$I$23,
IF(X13=regle!$J$11,regle!$J$23,
IF(X13=regle!$K$11,regle!$K$23,0))))))))))))</f>
        <v>0</v>
      </c>
      <c r="AI13" s="17">
        <f>IF($A13,$J13*(IF(Y13=regle!$B$11,regle!$B$23*IF(AR13=-2,1+regle!$B$35,1),
IF(Y13=regle!$C$11,regle!$C$23,
IF(Y13=regle!$D$11,regle!$D$23,
IF(Y13=regle!$E$11,regle!$E$23,
IF(Y13=regle!$F$11,regle!$F$23,
IF(Y13=regle!$G$11,regle!$G$23,
IF(Y13=regle!$H$11,regle!$H$23,
IF(Y13=regle!$I$11,regle!$I$23,
IF(Y13=regle!$J$11,regle!$J$23,
IF(Y13=regle!$K$11,regle!$K$23,0))))))))))))</f>
        <v>0</v>
      </c>
      <c r="AJ13" s="17">
        <f>IF($A13,$J13*(IF(Z13=regle!$B$11,regle!$B$23*IF(AS13=-2,1+regle!$B$35,1),
IF(Z13=regle!$C$11,regle!$C$23,
IF(Z13=regle!$D$11,regle!$D$23,
IF(Z13=regle!$E$11,regle!$E$23,
IF(Z13=regle!$F$11,regle!$F$23,
IF(Z13=regle!$G$11,regle!$G$23,
IF(Z13=regle!$H$11,regle!$H$23,
IF(Z13=regle!$I$11,regle!$I$23,
IF(Z13=regle!$J$11,regle!$J$23,
IF(Z13=regle!$K$11,regle!$K$23,0))))))))))))</f>
        <v>0</v>
      </c>
      <c r="AK13" s="16">
        <f>IF(OR(Q13=regle!$J$11,Q13=regle!$K$11),-2,IF(Q13=regle!$B$11,0,IF(AK$1=$AK$1,IF($O13,-1,regle!$B$2-$M13),IF(AJ13=-1,-1,AJ13+1))))</f>
        <v>0</v>
      </c>
      <c r="AL13" s="16">
        <f>IF(OR(R13=regle!$J$11,R13=regle!$K$11),-2,IF(R13=regle!$B$11,0,IF(AL$1=$AK$1,IF($O13,-1,regle!$B$2-$M13),IF(AK13=-1,-1,AK13+1))))</f>
        <v>1</v>
      </c>
      <c r="AM13" s="16">
        <f>IF(OR(S13=regle!$J$11,S13=regle!$K$11),-2,IF(S13=regle!$B$11,0,IF(AM$1=$AK$1,IF($O13,-1,regle!$B$2-$M13),IF(AL13=-1,-1,AL13+1))))</f>
        <v>2</v>
      </c>
      <c r="AN13" s="16">
        <f>IF(OR(T13=regle!$J$11,T13=regle!$K$11),-2,IF(T13=regle!$B$11,0,IF(AN$1=$AK$1,IF($O13,-1,regle!$B$2-$M13),IF(AM13=-1,-1,AM13+1))))</f>
        <v>3</v>
      </c>
      <c r="AO13" s="16">
        <f>IF(OR(U13=regle!$J$11,U13=regle!$K$11),-2,IF(U13=regle!$B$11,0,IF(AO$1=$AK$1,IF($O13,-1,regle!$B$2-$M13),IF(AN13=-1,-1,AN13+1))))</f>
        <v>4</v>
      </c>
      <c r="AP13" s="16">
        <f>IF(OR(V13=regle!$J$11,V13=regle!$K$11),-2,IF(V13=regle!$B$11,0,IF(AP$1=$AK$1,IF($O13,-1,regle!$B$2-$M13),IF(AO13=-1,-1,AO13+1))))</f>
        <v>5</v>
      </c>
      <c r="AQ13" s="16">
        <f>IF(OR(W13=regle!$J$11,W13=regle!$K$11),-2,IF(W13=regle!$B$11,0,IF(AQ$1=$AK$1,IF($O13,-1,regle!$B$2-$M13),IF(AP13=-1,-1,AP13+1))))</f>
        <v>6</v>
      </c>
      <c r="AR13" s="16">
        <f>IF(OR(X13=regle!$J$11,X13=regle!$K$11),-2,IF(X13=regle!$B$11,0,IF(AR$1=$AK$1,IF($O13,-1,regle!$B$2-$M13),IF(AQ13=-1,-1,AQ13+1))))</f>
        <v>7</v>
      </c>
      <c r="AS13" s="16">
        <f>IF(OR(Y13=regle!$J$11,Y13=regle!$K$11),-2,IF(Y13=regle!$B$11,0,IF(AS$1=$AK$1,IF($O13,-1,regle!$B$2-$M13),IF(AR13=-1,-1,AR13+1))))</f>
        <v>8</v>
      </c>
      <c r="AT13" s="16">
        <f>IF(OR(Z13=regle!$J$11,Z13=regle!$K$11),-2,IF(Z13=regle!$B$11,0,IF(AT$1=$AK$1,IF($O13,-1,regle!$B$2-$M13),IF(AS13=-1,-1,AS13+1))))</f>
        <v>9</v>
      </c>
    </row>
    <row r="14" spans="1:46" x14ac:dyDescent="0.25">
      <c r="A14" t="b">
        <f>modif0!A352</f>
        <v>1</v>
      </c>
      <c r="B14">
        <f>ROW(modif0!B352)</f>
        <v>352</v>
      </c>
      <c r="C14" t="str">
        <f>modif0!D352</f>
        <v>200</v>
      </c>
      <c r="D14" t="str">
        <f>modif0!E352</f>
        <v>MOUSTEY</v>
      </c>
      <c r="E14">
        <f>modif0!F352</f>
        <v>12</v>
      </c>
      <c r="F14" t="str">
        <f>modif0!G352</f>
        <v>Lesbarreyres</v>
      </c>
      <c r="G14" t="str">
        <f>modif0!I352</f>
        <v>0M</v>
      </c>
      <c r="H14">
        <f>modif0!J352</f>
        <v>48</v>
      </c>
      <c r="I14" t="str">
        <f>modif0!K352</f>
        <v/>
      </c>
      <c r="J14" s="11">
        <f>modif0!M352</f>
        <v>2.72</v>
      </c>
      <c r="K14" s="11" t="str">
        <f>modif0!P352</f>
        <v>CR</v>
      </c>
      <c r="L14" t="str">
        <f>modif0!N352</f>
        <v>PM</v>
      </c>
      <c r="M14">
        <f>modif0!Q352</f>
        <v>2022</v>
      </c>
      <c r="N14" t="str">
        <f>modif0!R352</f>
        <v>CR-PM_2022</v>
      </c>
      <c r="O14" t="b">
        <f>modif0!S352</f>
        <v>1</v>
      </c>
      <c r="P14">
        <v>25</v>
      </c>
      <c r="Q14" t="s">
        <v>1868</v>
      </c>
      <c r="AA14" s="17">
        <f>IF($A14,$J14*(IF(Q14=regle!$B$11,regle!$B$23*IF(AJ14=-2,1+regle!$B$35,1),
IF(Q14=regle!$C$11,regle!$C$23,
IF(Q14=regle!$D$11,regle!$D$23,
IF(Q14=regle!$E$11,regle!$E$23,
IF(Q14=regle!$F$11,regle!$F$23,
IF(Q14=regle!$G$11,regle!$G$23,
IF(Q14=regle!$H$11,regle!$H$23,
IF(Q14=regle!$I$11,regle!$I$23,
IF(Q14=regle!$J$11,regle!$J$23,
IF(Q14=regle!$K$11,regle!$K$23,0))))))))))))</f>
        <v>-4624</v>
      </c>
      <c r="AB14" s="17">
        <f>IF($A14,$J14*(IF(R14=regle!$B$11,regle!$B$23*IF(AK14=-2,1+regle!$B$35,1),
IF(R14=regle!$C$11,regle!$C$23,
IF(R14=regle!$D$11,regle!$D$23,
IF(R14=regle!$E$11,regle!$E$23,
IF(R14=regle!$F$11,regle!$F$23,
IF(R14=regle!$G$11,regle!$G$23,
IF(R14=regle!$H$11,regle!$H$23,
IF(R14=regle!$I$11,regle!$I$23,
IF(R14=regle!$J$11,regle!$J$23,
IF(R14=regle!$K$11,regle!$K$23,0))))))))))))</f>
        <v>0</v>
      </c>
      <c r="AC14" s="17">
        <f>IF($A14,$J14*(IF(S14=regle!$B$11,regle!$B$23*IF(AL14=-2,1+regle!$B$35,1),
IF(S14=regle!$C$11,regle!$C$23,
IF(S14=regle!$D$11,regle!$D$23,
IF(S14=regle!$E$11,regle!$E$23,
IF(S14=regle!$F$11,regle!$F$23,
IF(S14=regle!$G$11,regle!$G$23,
IF(S14=regle!$H$11,regle!$H$23,
IF(S14=regle!$I$11,regle!$I$23,
IF(S14=regle!$J$11,regle!$J$23,
IF(S14=regle!$K$11,regle!$K$23,0))))))))))))</f>
        <v>0</v>
      </c>
      <c r="AD14" s="17">
        <f>IF($A14,$J14*(IF(T14=regle!$B$11,regle!$B$23*IF(AM14=-2,1+regle!$B$35,1),
IF(T14=regle!$C$11,regle!$C$23,
IF(T14=regle!$D$11,regle!$D$23,
IF(T14=regle!$E$11,regle!$E$23,
IF(T14=regle!$F$11,regle!$F$23,
IF(T14=regle!$G$11,regle!$G$23,
IF(T14=regle!$H$11,regle!$H$23,
IF(T14=regle!$I$11,regle!$I$23,
IF(T14=regle!$J$11,regle!$J$23,
IF(T14=regle!$K$11,regle!$K$23,0))))))))))))</f>
        <v>0</v>
      </c>
      <c r="AE14" s="17">
        <f>IF($A14,$J14*(IF(U14=regle!$B$11,regle!$B$23*IF(AN14=-2,1+regle!$B$35,1),
IF(U14=regle!$C$11,regle!$C$23,
IF(U14=regle!$D$11,regle!$D$23,
IF(U14=regle!$E$11,regle!$E$23,
IF(U14=regle!$F$11,regle!$F$23,
IF(U14=regle!$G$11,regle!$G$23,
IF(U14=regle!$H$11,regle!$H$23,
IF(U14=regle!$I$11,regle!$I$23,
IF(U14=regle!$J$11,regle!$J$23,
IF(U14=regle!$K$11,regle!$K$23,0))))))))))))</f>
        <v>0</v>
      </c>
      <c r="AF14" s="17">
        <f>IF($A14,$J14*(IF(V14=regle!$B$11,regle!$B$23*IF(AO14=-2,1+regle!$B$35,1),
IF(V14=regle!$C$11,regle!$C$23,
IF(V14=regle!$D$11,regle!$D$23,
IF(V14=regle!$E$11,regle!$E$23,
IF(V14=regle!$F$11,regle!$F$23,
IF(V14=regle!$G$11,regle!$G$23,
IF(V14=regle!$H$11,regle!$H$23,
IF(V14=regle!$I$11,regle!$I$23,
IF(V14=regle!$J$11,regle!$J$23,
IF(V14=regle!$K$11,regle!$K$23,0))))))))))))</f>
        <v>0</v>
      </c>
      <c r="AG14" s="17">
        <f>IF($A14,$J14*(IF(W14=regle!$B$11,regle!$B$23*IF(AP14=-2,1+regle!$B$35,1),
IF(W14=regle!$C$11,regle!$C$23,
IF(W14=regle!$D$11,regle!$D$23,
IF(W14=regle!$E$11,regle!$E$23,
IF(W14=regle!$F$11,regle!$F$23,
IF(W14=regle!$G$11,regle!$G$23,
IF(W14=regle!$H$11,regle!$H$23,
IF(W14=regle!$I$11,regle!$I$23,
IF(W14=regle!$J$11,regle!$J$23,
IF(W14=regle!$K$11,regle!$K$23,0))))))))))))</f>
        <v>0</v>
      </c>
      <c r="AH14" s="17">
        <f>IF($A14,$J14*(IF(X14=regle!$B$11,regle!$B$23*IF(AQ14=-2,1+regle!$B$35,1),
IF(X14=regle!$C$11,regle!$C$23,
IF(X14=regle!$D$11,regle!$D$23,
IF(X14=regle!$E$11,regle!$E$23,
IF(X14=regle!$F$11,regle!$F$23,
IF(X14=regle!$G$11,regle!$G$23,
IF(X14=regle!$H$11,regle!$H$23,
IF(X14=regle!$I$11,regle!$I$23,
IF(X14=regle!$J$11,regle!$J$23,
IF(X14=regle!$K$11,regle!$K$23,0))))))))))))</f>
        <v>0</v>
      </c>
      <c r="AI14" s="17">
        <f>IF($A14,$J14*(IF(Y14=regle!$B$11,regle!$B$23*IF(AR14=-2,1+regle!$B$35,1),
IF(Y14=regle!$C$11,regle!$C$23,
IF(Y14=regle!$D$11,regle!$D$23,
IF(Y14=regle!$E$11,regle!$E$23,
IF(Y14=regle!$F$11,regle!$F$23,
IF(Y14=regle!$G$11,regle!$G$23,
IF(Y14=regle!$H$11,regle!$H$23,
IF(Y14=regle!$I$11,regle!$I$23,
IF(Y14=regle!$J$11,regle!$J$23,
IF(Y14=regle!$K$11,regle!$K$23,0))))))))))))</f>
        <v>0</v>
      </c>
      <c r="AJ14" s="17">
        <f>IF($A14,$J14*(IF(Z14=regle!$B$11,regle!$B$23*IF(AS14=-2,1+regle!$B$35,1),
IF(Z14=regle!$C$11,regle!$C$23,
IF(Z14=regle!$D$11,regle!$D$23,
IF(Z14=regle!$E$11,regle!$E$23,
IF(Z14=regle!$F$11,regle!$F$23,
IF(Z14=regle!$G$11,regle!$G$23,
IF(Z14=regle!$H$11,regle!$H$23,
IF(Z14=regle!$I$11,regle!$I$23,
IF(Z14=regle!$J$11,regle!$J$23,
IF(Z14=regle!$K$11,regle!$K$23,0))))))))))))</f>
        <v>0</v>
      </c>
      <c r="AK14" s="16">
        <f>IF(OR(Q14=regle!$J$11,Q14=regle!$K$11),-2,IF(Q14=regle!$B$11,0,IF(AK$1=$AK$1,IF($O14,-1,regle!$B$2-$M14),IF(AJ14=-1,-1,AJ14+1))))</f>
        <v>0</v>
      </c>
      <c r="AL14" s="16">
        <f>IF(OR(R14=regle!$J$11,R14=regle!$K$11),-2,IF(R14=regle!$B$11,0,IF(AL$1=$AK$1,IF($O14,-1,regle!$B$2-$M14),IF(AK14=-1,-1,AK14+1))))</f>
        <v>1</v>
      </c>
      <c r="AM14" s="16">
        <f>IF(OR(S14=regle!$J$11,S14=regle!$K$11),-2,IF(S14=regle!$B$11,0,IF(AM$1=$AK$1,IF($O14,-1,regle!$B$2-$M14),IF(AL14=-1,-1,AL14+1))))</f>
        <v>2</v>
      </c>
      <c r="AN14" s="16">
        <f>IF(OR(T14=regle!$J$11,T14=regle!$K$11),-2,IF(T14=regle!$B$11,0,IF(AN$1=$AK$1,IF($O14,-1,regle!$B$2-$M14),IF(AM14=-1,-1,AM14+1))))</f>
        <v>3</v>
      </c>
      <c r="AO14" s="16">
        <f>IF(OR(U14=regle!$J$11,U14=regle!$K$11),-2,IF(U14=regle!$B$11,0,IF(AO$1=$AK$1,IF($O14,-1,regle!$B$2-$M14),IF(AN14=-1,-1,AN14+1))))</f>
        <v>4</v>
      </c>
      <c r="AP14" s="16">
        <f>IF(OR(V14=regle!$J$11,V14=regle!$K$11),-2,IF(V14=regle!$B$11,0,IF(AP$1=$AK$1,IF($O14,-1,regle!$B$2-$M14),IF(AO14=-1,-1,AO14+1))))</f>
        <v>5</v>
      </c>
      <c r="AQ14" s="16">
        <f>IF(OR(W14=regle!$J$11,W14=regle!$K$11),-2,IF(W14=regle!$B$11,0,IF(AQ$1=$AK$1,IF($O14,-1,regle!$B$2-$M14),IF(AP14=-1,-1,AP14+1))))</f>
        <v>6</v>
      </c>
      <c r="AR14" s="16">
        <f>IF(OR(X14=regle!$J$11,X14=regle!$K$11),-2,IF(X14=regle!$B$11,0,IF(AR$1=$AK$1,IF($O14,-1,regle!$B$2-$M14),IF(AQ14=-1,-1,AQ14+1))))</f>
        <v>7</v>
      </c>
      <c r="AS14" s="16">
        <f>IF(OR(Y14=regle!$J$11,Y14=regle!$K$11),-2,IF(Y14=regle!$B$11,0,IF(AS$1=$AK$1,IF($O14,-1,regle!$B$2-$M14),IF(AR14=-1,-1,AR14+1))))</f>
        <v>8</v>
      </c>
      <c r="AT14" s="16">
        <f>IF(OR(Z14=regle!$J$11,Z14=regle!$K$11),-2,IF(Z14=regle!$B$11,0,IF(AT$1=$AK$1,IF($O14,-1,regle!$B$2-$M14),IF(AS14=-1,-1,AS14+1))))</f>
        <v>9</v>
      </c>
    </row>
    <row r="15" spans="1:46" x14ac:dyDescent="0.25">
      <c r="A15" t="b">
        <f>modif0!A291</f>
        <v>1</v>
      </c>
      <c r="B15">
        <f>ROW(modif0!B291)</f>
        <v>291</v>
      </c>
      <c r="C15" t="str">
        <f>modif0!D291</f>
        <v>536</v>
      </c>
      <c r="D15" t="str">
        <f>modif0!E291</f>
        <v>LE TUZAN</v>
      </c>
      <c r="E15">
        <f>modif0!F291</f>
        <v>14</v>
      </c>
      <c r="F15" t="str">
        <f>modif0!G291</f>
        <v>TABARTON-OUEST</v>
      </c>
      <c r="G15" t="str">
        <f>modif0!I291</f>
        <v>0B</v>
      </c>
      <c r="H15">
        <f>modif0!J291</f>
        <v>658</v>
      </c>
      <c r="I15" t="str">
        <f>modif0!K291</f>
        <v>k</v>
      </c>
      <c r="J15" s="11">
        <f>modif0!M291</f>
        <v>2.6316000000000002</v>
      </c>
      <c r="K15" s="11" t="str">
        <f>modif0!P291</f>
        <v>CR</v>
      </c>
      <c r="L15" t="str">
        <f>modif0!N291</f>
        <v>PM</v>
      </c>
      <c r="M15">
        <f>modif0!Q291</f>
        <v>2022</v>
      </c>
      <c r="N15" t="str">
        <f>modif0!R291</f>
        <v>CR-PM_2022</v>
      </c>
      <c r="O15" t="b">
        <f>modif0!S291</f>
        <v>1</v>
      </c>
      <c r="P15">
        <v>25</v>
      </c>
      <c r="Q15" t="s">
        <v>1868</v>
      </c>
      <c r="AA15" s="17">
        <f>IF($A15,$J15*(IF(Q15=regle!$B$11,regle!$B$23*IF(AJ15=-2,1+regle!$B$35,1),
IF(Q15=regle!$C$11,regle!$C$23,
IF(Q15=regle!$D$11,regle!$D$23,
IF(Q15=regle!$E$11,regle!$E$23,
IF(Q15=regle!$F$11,regle!$F$23,
IF(Q15=regle!$G$11,regle!$G$23,
IF(Q15=regle!$H$11,regle!$H$23,
IF(Q15=regle!$I$11,regle!$I$23,
IF(Q15=regle!$J$11,regle!$J$23,
IF(Q15=regle!$K$11,regle!$K$23,0))))))))))))</f>
        <v>-4473.72</v>
      </c>
      <c r="AB15" s="17">
        <f>IF($A15,$J15*(IF(R15=regle!$B$11,regle!$B$23*IF(AK15=-2,1+regle!$B$35,1),
IF(R15=regle!$C$11,regle!$C$23,
IF(R15=regle!$D$11,regle!$D$23,
IF(R15=regle!$E$11,regle!$E$23,
IF(R15=regle!$F$11,regle!$F$23,
IF(R15=regle!$G$11,regle!$G$23,
IF(R15=regle!$H$11,regle!$H$23,
IF(R15=regle!$I$11,regle!$I$23,
IF(R15=regle!$J$11,regle!$J$23,
IF(R15=regle!$K$11,regle!$K$23,0))))))))))))</f>
        <v>0</v>
      </c>
      <c r="AC15" s="17">
        <f>IF($A15,$J15*(IF(S15=regle!$B$11,regle!$B$23*IF(AL15=-2,1+regle!$B$35,1),
IF(S15=regle!$C$11,regle!$C$23,
IF(S15=regle!$D$11,regle!$D$23,
IF(S15=regle!$E$11,regle!$E$23,
IF(S15=regle!$F$11,regle!$F$23,
IF(S15=regle!$G$11,regle!$G$23,
IF(S15=regle!$H$11,regle!$H$23,
IF(S15=regle!$I$11,regle!$I$23,
IF(S15=regle!$J$11,regle!$J$23,
IF(S15=regle!$K$11,regle!$K$23,0))))))))))))</f>
        <v>0</v>
      </c>
      <c r="AD15" s="17">
        <f>IF($A15,$J15*(IF(T15=regle!$B$11,regle!$B$23*IF(AM15=-2,1+regle!$B$35,1),
IF(T15=regle!$C$11,regle!$C$23,
IF(T15=regle!$D$11,regle!$D$23,
IF(T15=regle!$E$11,regle!$E$23,
IF(T15=regle!$F$11,regle!$F$23,
IF(T15=regle!$G$11,regle!$G$23,
IF(T15=regle!$H$11,regle!$H$23,
IF(T15=regle!$I$11,regle!$I$23,
IF(T15=regle!$J$11,regle!$J$23,
IF(T15=regle!$K$11,regle!$K$23,0))))))))))))</f>
        <v>0</v>
      </c>
      <c r="AE15" s="17">
        <f>IF($A15,$J15*(IF(U15=regle!$B$11,regle!$B$23*IF(AN15=-2,1+regle!$B$35,1),
IF(U15=regle!$C$11,regle!$C$23,
IF(U15=regle!$D$11,regle!$D$23,
IF(U15=regle!$E$11,regle!$E$23,
IF(U15=regle!$F$11,regle!$F$23,
IF(U15=regle!$G$11,regle!$G$23,
IF(U15=regle!$H$11,regle!$H$23,
IF(U15=regle!$I$11,regle!$I$23,
IF(U15=regle!$J$11,regle!$J$23,
IF(U15=regle!$K$11,regle!$K$23,0))))))))))))</f>
        <v>0</v>
      </c>
      <c r="AF15" s="17">
        <f>IF($A15,$J15*(IF(V15=regle!$B$11,regle!$B$23*IF(AO15=-2,1+regle!$B$35,1),
IF(V15=regle!$C$11,regle!$C$23,
IF(V15=regle!$D$11,regle!$D$23,
IF(V15=regle!$E$11,regle!$E$23,
IF(V15=regle!$F$11,regle!$F$23,
IF(V15=regle!$G$11,regle!$G$23,
IF(V15=regle!$H$11,regle!$H$23,
IF(V15=regle!$I$11,regle!$I$23,
IF(V15=regle!$J$11,regle!$J$23,
IF(V15=regle!$K$11,regle!$K$23,0))))))))))))</f>
        <v>0</v>
      </c>
      <c r="AG15" s="17">
        <f>IF($A15,$J15*(IF(W15=regle!$B$11,regle!$B$23*IF(AP15=-2,1+regle!$B$35,1),
IF(W15=regle!$C$11,regle!$C$23,
IF(W15=regle!$D$11,regle!$D$23,
IF(W15=regle!$E$11,regle!$E$23,
IF(W15=regle!$F$11,regle!$F$23,
IF(W15=regle!$G$11,regle!$G$23,
IF(W15=regle!$H$11,regle!$H$23,
IF(W15=regle!$I$11,regle!$I$23,
IF(W15=regle!$J$11,regle!$J$23,
IF(W15=regle!$K$11,regle!$K$23,0))))))))))))</f>
        <v>0</v>
      </c>
      <c r="AH15" s="17">
        <f>IF($A15,$J15*(IF(X15=regle!$B$11,regle!$B$23*IF(AQ15=-2,1+regle!$B$35,1),
IF(X15=regle!$C$11,regle!$C$23,
IF(X15=regle!$D$11,regle!$D$23,
IF(X15=regle!$E$11,regle!$E$23,
IF(X15=regle!$F$11,regle!$F$23,
IF(X15=regle!$G$11,regle!$G$23,
IF(X15=regle!$H$11,regle!$H$23,
IF(X15=regle!$I$11,regle!$I$23,
IF(X15=regle!$J$11,regle!$J$23,
IF(X15=regle!$K$11,regle!$K$23,0))))))))))))</f>
        <v>0</v>
      </c>
      <c r="AI15" s="17">
        <f>IF($A15,$J15*(IF(Y15=regle!$B$11,regle!$B$23*IF(AR15=-2,1+regle!$B$35,1),
IF(Y15=regle!$C$11,regle!$C$23,
IF(Y15=regle!$D$11,regle!$D$23,
IF(Y15=regle!$E$11,regle!$E$23,
IF(Y15=regle!$F$11,regle!$F$23,
IF(Y15=regle!$G$11,regle!$G$23,
IF(Y15=regle!$H$11,regle!$H$23,
IF(Y15=regle!$I$11,regle!$I$23,
IF(Y15=regle!$J$11,regle!$J$23,
IF(Y15=regle!$K$11,regle!$K$23,0))))))))))))</f>
        <v>0</v>
      </c>
      <c r="AJ15" s="17">
        <f>IF($A15,$J15*(IF(Z15=regle!$B$11,regle!$B$23*IF(AS15=-2,1+regle!$B$35,1),
IF(Z15=regle!$C$11,regle!$C$23,
IF(Z15=regle!$D$11,regle!$D$23,
IF(Z15=regle!$E$11,regle!$E$23,
IF(Z15=regle!$F$11,regle!$F$23,
IF(Z15=regle!$G$11,regle!$G$23,
IF(Z15=regle!$H$11,regle!$H$23,
IF(Z15=regle!$I$11,regle!$I$23,
IF(Z15=regle!$J$11,regle!$J$23,
IF(Z15=regle!$K$11,regle!$K$23,0))))))))))))</f>
        <v>0</v>
      </c>
      <c r="AK15" s="16">
        <f>IF(OR(Q15=regle!$J$11,Q15=regle!$K$11),-2,IF(Q15=regle!$B$11,0,IF(AK$1=$AK$1,IF($O15,-1,regle!$B$2-$M15),IF(AJ15=-1,-1,AJ15+1))))</f>
        <v>0</v>
      </c>
      <c r="AL15" s="16">
        <f>IF(OR(R15=regle!$J$11,R15=regle!$K$11),-2,IF(R15=regle!$B$11,0,IF(AL$1=$AK$1,IF($O15,-1,regle!$B$2-$M15),IF(AK15=-1,-1,AK15+1))))</f>
        <v>1</v>
      </c>
      <c r="AM15" s="16">
        <f>IF(OR(S15=regle!$J$11,S15=regle!$K$11),-2,IF(S15=regle!$B$11,0,IF(AM$1=$AK$1,IF($O15,-1,regle!$B$2-$M15),IF(AL15=-1,-1,AL15+1))))</f>
        <v>2</v>
      </c>
      <c r="AN15" s="16">
        <f>IF(OR(T15=regle!$J$11,T15=regle!$K$11),-2,IF(T15=regle!$B$11,0,IF(AN$1=$AK$1,IF($O15,-1,regle!$B$2-$M15),IF(AM15=-1,-1,AM15+1))))</f>
        <v>3</v>
      </c>
      <c r="AO15" s="16">
        <f>IF(OR(U15=regle!$J$11,U15=regle!$K$11),-2,IF(U15=regle!$B$11,0,IF(AO$1=$AK$1,IF($O15,-1,regle!$B$2-$M15),IF(AN15=-1,-1,AN15+1))))</f>
        <v>4</v>
      </c>
      <c r="AP15" s="16">
        <f>IF(OR(V15=regle!$J$11,V15=regle!$K$11),-2,IF(V15=regle!$B$11,0,IF(AP$1=$AK$1,IF($O15,-1,regle!$B$2-$M15),IF(AO15=-1,-1,AO15+1))))</f>
        <v>5</v>
      </c>
      <c r="AQ15" s="16">
        <f>IF(OR(W15=regle!$J$11,W15=regle!$K$11),-2,IF(W15=regle!$B$11,0,IF(AQ$1=$AK$1,IF($O15,-1,regle!$B$2-$M15),IF(AP15=-1,-1,AP15+1))))</f>
        <v>6</v>
      </c>
      <c r="AR15" s="16">
        <f>IF(OR(X15=regle!$J$11,X15=regle!$K$11),-2,IF(X15=regle!$B$11,0,IF(AR$1=$AK$1,IF($O15,-1,regle!$B$2-$M15),IF(AQ15=-1,-1,AQ15+1))))</f>
        <v>7</v>
      </c>
      <c r="AS15" s="16">
        <f>IF(OR(Y15=regle!$J$11,Y15=regle!$K$11),-2,IF(Y15=regle!$B$11,0,IF(AS$1=$AK$1,IF($O15,-1,regle!$B$2-$M15),IF(AR15=-1,-1,AR15+1))))</f>
        <v>8</v>
      </c>
      <c r="AT15" s="16">
        <f>IF(OR(Z15=regle!$J$11,Z15=regle!$K$11),-2,IF(Z15=regle!$B$11,0,IF(AT$1=$AK$1,IF($O15,-1,regle!$B$2-$M15),IF(AS15=-1,-1,AS15+1))))</f>
        <v>9</v>
      </c>
    </row>
    <row r="16" spans="1:46" x14ac:dyDescent="0.25">
      <c r="A16" t="b">
        <f>modif0!A280</f>
        <v>1</v>
      </c>
      <c r="B16">
        <f>ROW(modif0!B280)</f>
        <v>280</v>
      </c>
      <c r="C16" t="str">
        <f>modif0!D280</f>
        <v>171</v>
      </c>
      <c r="D16" t="str">
        <f>modif0!E280</f>
        <v>MANO</v>
      </c>
      <c r="E16">
        <f>modif0!F280</f>
        <v>17</v>
      </c>
      <c r="F16" t="str">
        <f>modif0!G280</f>
        <v>LANDE DE TABARTON</v>
      </c>
      <c r="G16" t="str">
        <f>modif0!I280</f>
        <v>0B</v>
      </c>
      <c r="H16">
        <f>modif0!J280</f>
        <v>312</v>
      </c>
      <c r="I16" t="str">
        <f>modif0!K280</f>
        <v/>
      </c>
      <c r="J16" s="11">
        <f>modif0!M280</f>
        <v>2.2625000000000002</v>
      </c>
      <c r="K16" s="11" t="str">
        <f>modif0!P280</f>
        <v>CR</v>
      </c>
      <c r="L16" t="str">
        <f>modif0!N280</f>
        <v>PM</v>
      </c>
      <c r="M16">
        <f>modif0!Q280</f>
        <v>2022</v>
      </c>
      <c r="N16" t="str">
        <f>modif0!R280</f>
        <v>CR-PM_2022</v>
      </c>
      <c r="O16" t="b">
        <f>modif0!S280</f>
        <v>1</v>
      </c>
      <c r="P16">
        <v>25</v>
      </c>
      <c r="Q16" t="s">
        <v>1868</v>
      </c>
      <c r="AA16" s="17">
        <f>IF($A16,$J16*(IF(Q16=regle!$B$11,regle!$B$23*IF(AJ16=-2,1+regle!$B$35,1),
IF(Q16=regle!$C$11,regle!$C$23,
IF(Q16=regle!$D$11,regle!$D$23,
IF(Q16=regle!$E$11,regle!$E$23,
IF(Q16=regle!$F$11,regle!$F$23,
IF(Q16=regle!$G$11,regle!$G$23,
IF(Q16=regle!$H$11,regle!$H$23,
IF(Q16=regle!$I$11,regle!$I$23,
IF(Q16=regle!$J$11,regle!$J$23,
IF(Q16=regle!$K$11,regle!$K$23,0))))))))))))</f>
        <v>-3846.2500000000005</v>
      </c>
      <c r="AB16" s="17">
        <f>IF($A16,$J16*(IF(R16=regle!$B$11,regle!$B$23*IF(AK16=-2,1+regle!$B$35,1),
IF(R16=regle!$C$11,regle!$C$23,
IF(R16=regle!$D$11,regle!$D$23,
IF(R16=regle!$E$11,regle!$E$23,
IF(R16=regle!$F$11,regle!$F$23,
IF(R16=regle!$G$11,regle!$G$23,
IF(R16=regle!$H$11,regle!$H$23,
IF(R16=regle!$I$11,regle!$I$23,
IF(R16=regle!$J$11,regle!$J$23,
IF(R16=regle!$K$11,regle!$K$23,0))))))))))))</f>
        <v>0</v>
      </c>
      <c r="AC16" s="17">
        <f>IF($A16,$J16*(IF(S16=regle!$B$11,regle!$B$23*IF(AL16=-2,1+regle!$B$35,1),
IF(S16=regle!$C$11,regle!$C$23,
IF(S16=regle!$D$11,regle!$D$23,
IF(S16=regle!$E$11,regle!$E$23,
IF(S16=regle!$F$11,regle!$F$23,
IF(S16=regle!$G$11,regle!$G$23,
IF(S16=regle!$H$11,regle!$H$23,
IF(S16=regle!$I$11,regle!$I$23,
IF(S16=regle!$J$11,regle!$J$23,
IF(S16=regle!$K$11,regle!$K$23,0))))))))))))</f>
        <v>0</v>
      </c>
      <c r="AD16" s="17">
        <f>IF($A16,$J16*(IF(T16=regle!$B$11,regle!$B$23*IF(AM16=-2,1+regle!$B$35,1),
IF(T16=regle!$C$11,regle!$C$23,
IF(T16=regle!$D$11,regle!$D$23,
IF(T16=regle!$E$11,regle!$E$23,
IF(T16=regle!$F$11,regle!$F$23,
IF(T16=regle!$G$11,regle!$G$23,
IF(T16=regle!$H$11,regle!$H$23,
IF(T16=regle!$I$11,regle!$I$23,
IF(T16=regle!$J$11,regle!$J$23,
IF(T16=regle!$K$11,regle!$K$23,0))))))))))))</f>
        <v>0</v>
      </c>
      <c r="AE16" s="17">
        <f>IF($A16,$J16*(IF(U16=regle!$B$11,regle!$B$23*IF(AN16=-2,1+regle!$B$35,1),
IF(U16=regle!$C$11,regle!$C$23,
IF(U16=regle!$D$11,regle!$D$23,
IF(U16=regle!$E$11,regle!$E$23,
IF(U16=regle!$F$11,regle!$F$23,
IF(U16=regle!$G$11,regle!$G$23,
IF(U16=regle!$H$11,regle!$H$23,
IF(U16=regle!$I$11,regle!$I$23,
IF(U16=regle!$J$11,regle!$J$23,
IF(U16=regle!$K$11,regle!$K$23,0))))))))))))</f>
        <v>0</v>
      </c>
      <c r="AF16" s="17">
        <f>IF($A16,$J16*(IF(V16=regle!$B$11,regle!$B$23*IF(AO16=-2,1+regle!$B$35,1),
IF(V16=regle!$C$11,regle!$C$23,
IF(V16=regle!$D$11,regle!$D$23,
IF(V16=regle!$E$11,regle!$E$23,
IF(V16=regle!$F$11,regle!$F$23,
IF(V16=regle!$G$11,regle!$G$23,
IF(V16=regle!$H$11,regle!$H$23,
IF(V16=regle!$I$11,regle!$I$23,
IF(V16=regle!$J$11,regle!$J$23,
IF(V16=regle!$K$11,regle!$K$23,0))))))))))))</f>
        <v>0</v>
      </c>
      <c r="AG16" s="17">
        <f>IF($A16,$J16*(IF(W16=regle!$B$11,regle!$B$23*IF(AP16=-2,1+regle!$B$35,1),
IF(W16=regle!$C$11,regle!$C$23,
IF(W16=regle!$D$11,regle!$D$23,
IF(W16=regle!$E$11,regle!$E$23,
IF(W16=regle!$F$11,regle!$F$23,
IF(W16=regle!$G$11,regle!$G$23,
IF(W16=regle!$H$11,regle!$H$23,
IF(W16=regle!$I$11,regle!$I$23,
IF(W16=regle!$J$11,regle!$J$23,
IF(W16=regle!$K$11,regle!$K$23,0))))))))))))</f>
        <v>0</v>
      </c>
      <c r="AH16" s="17">
        <f>IF($A16,$J16*(IF(X16=regle!$B$11,regle!$B$23*IF(AQ16=-2,1+regle!$B$35,1),
IF(X16=regle!$C$11,regle!$C$23,
IF(X16=regle!$D$11,regle!$D$23,
IF(X16=regle!$E$11,regle!$E$23,
IF(X16=regle!$F$11,regle!$F$23,
IF(X16=regle!$G$11,regle!$G$23,
IF(X16=regle!$H$11,regle!$H$23,
IF(X16=regle!$I$11,regle!$I$23,
IF(X16=regle!$J$11,regle!$J$23,
IF(X16=regle!$K$11,regle!$K$23,0))))))))))))</f>
        <v>0</v>
      </c>
      <c r="AI16" s="17">
        <f>IF($A16,$J16*(IF(Y16=regle!$B$11,regle!$B$23*IF(AR16=-2,1+regle!$B$35,1),
IF(Y16=regle!$C$11,regle!$C$23,
IF(Y16=regle!$D$11,regle!$D$23,
IF(Y16=regle!$E$11,regle!$E$23,
IF(Y16=regle!$F$11,regle!$F$23,
IF(Y16=regle!$G$11,regle!$G$23,
IF(Y16=regle!$H$11,regle!$H$23,
IF(Y16=regle!$I$11,regle!$I$23,
IF(Y16=regle!$J$11,regle!$J$23,
IF(Y16=regle!$K$11,regle!$K$23,0))))))))))))</f>
        <v>0</v>
      </c>
      <c r="AJ16" s="17">
        <f>IF($A16,$J16*(IF(Z16=regle!$B$11,regle!$B$23*IF(AS16=-2,1+regle!$B$35,1),
IF(Z16=regle!$C$11,regle!$C$23,
IF(Z16=regle!$D$11,regle!$D$23,
IF(Z16=regle!$E$11,regle!$E$23,
IF(Z16=regle!$F$11,regle!$F$23,
IF(Z16=regle!$G$11,regle!$G$23,
IF(Z16=regle!$H$11,regle!$H$23,
IF(Z16=regle!$I$11,regle!$I$23,
IF(Z16=regle!$J$11,regle!$J$23,
IF(Z16=regle!$K$11,regle!$K$23,0))))))))))))</f>
        <v>0</v>
      </c>
      <c r="AK16" s="16">
        <f>IF(OR(Q16=regle!$J$11,Q16=regle!$K$11),-2,IF(Q16=regle!$B$11,0,IF(AK$1=$AK$1,IF($O16,-1,regle!$B$2-$M16),IF(AJ16=-1,-1,AJ16+1))))</f>
        <v>0</v>
      </c>
      <c r="AL16" s="16">
        <f>IF(OR(R16=regle!$J$11,R16=regle!$K$11),-2,IF(R16=regle!$B$11,0,IF(AL$1=$AK$1,IF($O16,-1,regle!$B$2-$M16),IF(AK16=-1,-1,AK16+1))))</f>
        <v>1</v>
      </c>
      <c r="AM16" s="16">
        <f>IF(OR(S16=regle!$J$11,S16=regle!$K$11),-2,IF(S16=regle!$B$11,0,IF(AM$1=$AK$1,IF($O16,-1,regle!$B$2-$M16),IF(AL16=-1,-1,AL16+1))))</f>
        <v>2</v>
      </c>
      <c r="AN16" s="16">
        <f>IF(OR(T16=regle!$J$11,T16=regle!$K$11),-2,IF(T16=regle!$B$11,0,IF(AN$1=$AK$1,IF($O16,-1,regle!$B$2-$M16),IF(AM16=-1,-1,AM16+1))))</f>
        <v>3</v>
      </c>
      <c r="AO16" s="16">
        <f>IF(OR(U16=regle!$J$11,U16=regle!$K$11),-2,IF(U16=regle!$B$11,0,IF(AO$1=$AK$1,IF($O16,-1,regle!$B$2-$M16),IF(AN16=-1,-1,AN16+1))))</f>
        <v>4</v>
      </c>
      <c r="AP16" s="16">
        <f>IF(OR(V16=regle!$J$11,V16=regle!$K$11),-2,IF(V16=regle!$B$11,0,IF(AP$1=$AK$1,IF($O16,-1,regle!$B$2-$M16),IF(AO16=-1,-1,AO16+1))))</f>
        <v>5</v>
      </c>
      <c r="AQ16" s="16">
        <f>IF(OR(W16=regle!$J$11,W16=regle!$K$11),-2,IF(W16=regle!$B$11,0,IF(AQ$1=$AK$1,IF($O16,-1,regle!$B$2-$M16),IF(AP16=-1,-1,AP16+1))))</f>
        <v>6</v>
      </c>
      <c r="AR16" s="16">
        <f>IF(OR(X16=regle!$J$11,X16=regle!$K$11),-2,IF(X16=regle!$B$11,0,IF(AR$1=$AK$1,IF($O16,-1,regle!$B$2-$M16),IF(AQ16=-1,-1,AQ16+1))))</f>
        <v>7</v>
      </c>
      <c r="AS16" s="16">
        <f>IF(OR(Y16=regle!$J$11,Y16=regle!$K$11),-2,IF(Y16=regle!$B$11,0,IF(AS$1=$AK$1,IF($O16,-1,regle!$B$2-$M16),IF(AR16=-1,-1,AR16+1))))</f>
        <v>8</v>
      </c>
      <c r="AT16" s="16">
        <f>IF(OR(Z16=regle!$J$11,Z16=regle!$K$11),-2,IF(Z16=regle!$B$11,0,IF(AT$1=$AK$1,IF($O16,-1,regle!$B$2-$M16),IF(AS16=-1,-1,AS16+1))))</f>
        <v>9</v>
      </c>
    </row>
    <row r="17" spans="1:46" x14ac:dyDescent="0.25">
      <c r="A17" t="b">
        <f>modif0!A299</f>
        <v>1</v>
      </c>
      <c r="B17">
        <f>ROW(modif0!B299)</f>
        <v>299</v>
      </c>
      <c r="C17" t="str">
        <f>modif0!D299</f>
        <v>171</v>
      </c>
      <c r="D17" t="str">
        <f>modif0!E299</f>
        <v>MANO</v>
      </c>
      <c r="E17">
        <f>modif0!F299</f>
        <v>6</v>
      </c>
      <c r="F17" t="str">
        <f>modif0!G299</f>
        <v>BARRAT</v>
      </c>
      <c r="G17" t="str">
        <f>modif0!I299</f>
        <v>0C</v>
      </c>
      <c r="H17">
        <f>modif0!J299</f>
        <v>173</v>
      </c>
      <c r="I17" t="str">
        <f>modif0!K299</f>
        <v/>
      </c>
      <c r="J17" s="11">
        <f>modif0!M299</f>
        <v>2.2122000000000002</v>
      </c>
      <c r="K17" s="11" t="str">
        <f>modif0!P299</f>
        <v>CR</v>
      </c>
      <c r="L17" t="str">
        <f>modif0!N299</f>
        <v>PM</v>
      </c>
      <c r="M17">
        <f>modif0!Q299</f>
        <v>2022</v>
      </c>
      <c r="N17" t="str">
        <f>modif0!R299</f>
        <v>CR-PM_2022</v>
      </c>
      <c r="O17" t="b">
        <f>modif0!S299</f>
        <v>1</v>
      </c>
      <c r="P17">
        <v>25</v>
      </c>
      <c r="Q17" t="s">
        <v>1868</v>
      </c>
      <c r="AA17" s="17">
        <f>IF($A17,$J17*(IF(Q17=regle!$B$11,regle!$B$23*IF(AJ17=-2,1+regle!$B$35,1),
IF(Q17=regle!$C$11,regle!$C$23,
IF(Q17=regle!$D$11,regle!$D$23,
IF(Q17=regle!$E$11,regle!$E$23,
IF(Q17=regle!$F$11,regle!$F$23,
IF(Q17=regle!$G$11,regle!$G$23,
IF(Q17=regle!$H$11,regle!$H$23,
IF(Q17=regle!$I$11,regle!$I$23,
IF(Q17=regle!$J$11,regle!$J$23,
IF(Q17=regle!$K$11,regle!$K$23,0))))))))))))</f>
        <v>-3760.7400000000002</v>
      </c>
      <c r="AB17" s="17">
        <f>IF($A17,$J17*(IF(R17=regle!$B$11,regle!$B$23*IF(AK17=-2,1+regle!$B$35,1),
IF(R17=regle!$C$11,regle!$C$23,
IF(R17=regle!$D$11,regle!$D$23,
IF(R17=regle!$E$11,regle!$E$23,
IF(R17=regle!$F$11,regle!$F$23,
IF(R17=regle!$G$11,regle!$G$23,
IF(R17=regle!$H$11,regle!$H$23,
IF(R17=regle!$I$11,regle!$I$23,
IF(R17=regle!$J$11,regle!$J$23,
IF(R17=regle!$K$11,regle!$K$23,0))))))))))))</f>
        <v>0</v>
      </c>
      <c r="AC17" s="17">
        <f>IF($A17,$J17*(IF(S17=regle!$B$11,regle!$B$23*IF(AL17=-2,1+regle!$B$35,1),
IF(S17=regle!$C$11,regle!$C$23,
IF(S17=regle!$D$11,regle!$D$23,
IF(S17=regle!$E$11,regle!$E$23,
IF(S17=regle!$F$11,regle!$F$23,
IF(S17=regle!$G$11,regle!$G$23,
IF(S17=regle!$H$11,regle!$H$23,
IF(S17=regle!$I$11,regle!$I$23,
IF(S17=regle!$J$11,regle!$J$23,
IF(S17=regle!$K$11,regle!$K$23,0))))))))))))</f>
        <v>0</v>
      </c>
      <c r="AD17" s="17">
        <f>IF($A17,$J17*(IF(T17=regle!$B$11,regle!$B$23*IF(AM17=-2,1+regle!$B$35,1),
IF(T17=regle!$C$11,regle!$C$23,
IF(T17=regle!$D$11,regle!$D$23,
IF(T17=regle!$E$11,regle!$E$23,
IF(T17=regle!$F$11,regle!$F$23,
IF(T17=regle!$G$11,regle!$G$23,
IF(T17=regle!$H$11,regle!$H$23,
IF(T17=regle!$I$11,regle!$I$23,
IF(T17=regle!$J$11,regle!$J$23,
IF(T17=regle!$K$11,regle!$K$23,0))))))))))))</f>
        <v>0</v>
      </c>
      <c r="AE17" s="17">
        <f>IF($A17,$J17*(IF(U17=regle!$B$11,regle!$B$23*IF(AN17=-2,1+regle!$B$35,1),
IF(U17=regle!$C$11,regle!$C$23,
IF(U17=regle!$D$11,regle!$D$23,
IF(U17=regle!$E$11,regle!$E$23,
IF(U17=regle!$F$11,regle!$F$23,
IF(U17=regle!$G$11,regle!$G$23,
IF(U17=regle!$H$11,regle!$H$23,
IF(U17=regle!$I$11,regle!$I$23,
IF(U17=regle!$J$11,regle!$J$23,
IF(U17=regle!$K$11,regle!$K$23,0))))))))))))</f>
        <v>0</v>
      </c>
      <c r="AF17" s="17">
        <f>IF($A17,$J17*(IF(V17=regle!$B$11,regle!$B$23*IF(AO17=-2,1+regle!$B$35,1),
IF(V17=regle!$C$11,regle!$C$23,
IF(V17=regle!$D$11,regle!$D$23,
IF(V17=regle!$E$11,regle!$E$23,
IF(V17=regle!$F$11,regle!$F$23,
IF(V17=regle!$G$11,regle!$G$23,
IF(V17=regle!$H$11,regle!$H$23,
IF(V17=regle!$I$11,regle!$I$23,
IF(V17=regle!$J$11,regle!$J$23,
IF(V17=regle!$K$11,regle!$K$23,0))))))))))))</f>
        <v>0</v>
      </c>
      <c r="AG17" s="17">
        <f>IF($A17,$J17*(IF(W17=regle!$B$11,regle!$B$23*IF(AP17=-2,1+regle!$B$35,1),
IF(W17=regle!$C$11,regle!$C$23,
IF(W17=regle!$D$11,regle!$D$23,
IF(W17=regle!$E$11,regle!$E$23,
IF(W17=regle!$F$11,regle!$F$23,
IF(W17=regle!$G$11,regle!$G$23,
IF(W17=regle!$H$11,regle!$H$23,
IF(W17=regle!$I$11,regle!$I$23,
IF(W17=regle!$J$11,regle!$J$23,
IF(W17=regle!$K$11,regle!$K$23,0))))))))))))</f>
        <v>0</v>
      </c>
      <c r="AH17" s="17">
        <f>IF($A17,$J17*(IF(X17=regle!$B$11,regle!$B$23*IF(AQ17=-2,1+regle!$B$35,1),
IF(X17=regle!$C$11,regle!$C$23,
IF(X17=regle!$D$11,regle!$D$23,
IF(X17=regle!$E$11,regle!$E$23,
IF(X17=regle!$F$11,regle!$F$23,
IF(X17=regle!$G$11,regle!$G$23,
IF(X17=regle!$H$11,regle!$H$23,
IF(X17=regle!$I$11,regle!$I$23,
IF(X17=regle!$J$11,regle!$J$23,
IF(X17=regle!$K$11,regle!$K$23,0))))))))))))</f>
        <v>0</v>
      </c>
      <c r="AI17" s="17">
        <f>IF($A17,$J17*(IF(Y17=regle!$B$11,regle!$B$23*IF(AR17=-2,1+regle!$B$35,1),
IF(Y17=regle!$C$11,regle!$C$23,
IF(Y17=regle!$D$11,regle!$D$23,
IF(Y17=regle!$E$11,regle!$E$23,
IF(Y17=regle!$F$11,regle!$F$23,
IF(Y17=regle!$G$11,regle!$G$23,
IF(Y17=regle!$H$11,regle!$H$23,
IF(Y17=regle!$I$11,regle!$I$23,
IF(Y17=regle!$J$11,regle!$J$23,
IF(Y17=regle!$K$11,regle!$K$23,0))))))))))))</f>
        <v>0</v>
      </c>
      <c r="AJ17" s="17">
        <f>IF($A17,$J17*(IF(Z17=regle!$B$11,regle!$B$23*IF(AS17=-2,1+regle!$B$35,1),
IF(Z17=regle!$C$11,regle!$C$23,
IF(Z17=regle!$D$11,regle!$D$23,
IF(Z17=regle!$E$11,regle!$E$23,
IF(Z17=regle!$F$11,regle!$F$23,
IF(Z17=regle!$G$11,regle!$G$23,
IF(Z17=regle!$H$11,regle!$H$23,
IF(Z17=regle!$I$11,regle!$I$23,
IF(Z17=regle!$J$11,regle!$J$23,
IF(Z17=regle!$K$11,regle!$K$23,0))))))))))))</f>
        <v>0</v>
      </c>
      <c r="AK17" s="16">
        <f>IF(OR(Q17=regle!$J$11,Q17=regle!$K$11),-2,IF(Q17=regle!$B$11,0,IF(AK$1=$AK$1,IF($O17,-1,regle!$B$2-$M17),IF(AJ17=-1,-1,AJ17+1))))</f>
        <v>0</v>
      </c>
      <c r="AL17" s="16">
        <f>IF(OR(R17=regle!$J$11,R17=regle!$K$11),-2,IF(R17=regle!$B$11,0,IF(AL$1=$AK$1,IF($O17,-1,regle!$B$2-$M17),IF(AK17=-1,-1,AK17+1))))</f>
        <v>1</v>
      </c>
      <c r="AM17" s="16">
        <f>IF(OR(S17=regle!$J$11,S17=regle!$K$11),-2,IF(S17=regle!$B$11,0,IF(AM$1=$AK$1,IF($O17,-1,regle!$B$2-$M17),IF(AL17=-1,-1,AL17+1))))</f>
        <v>2</v>
      </c>
      <c r="AN17" s="16">
        <f>IF(OR(T17=regle!$J$11,T17=regle!$K$11),-2,IF(T17=regle!$B$11,0,IF(AN$1=$AK$1,IF($O17,-1,regle!$B$2-$M17),IF(AM17=-1,-1,AM17+1))))</f>
        <v>3</v>
      </c>
      <c r="AO17" s="16">
        <f>IF(OR(U17=regle!$J$11,U17=regle!$K$11),-2,IF(U17=regle!$B$11,0,IF(AO$1=$AK$1,IF($O17,-1,regle!$B$2-$M17),IF(AN17=-1,-1,AN17+1))))</f>
        <v>4</v>
      </c>
      <c r="AP17" s="16">
        <f>IF(OR(V17=regle!$J$11,V17=regle!$K$11),-2,IF(V17=regle!$B$11,0,IF(AP$1=$AK$1,IF($O17,-1,regle!$B$2-$M17),IF(AO17=-1,-1,AO17+1))))</f>
        <v>5</v>
      </c>
      <c r="AQ17" s="16">
        <f>IF(OR(W17=regle!$J$11,W17=regle!$K$11),-2,IF(W17=regle!$B$11,0,IF(AQ$1=$AK$1,IF($O17,-1,regle!$B$2-$M17),IF(AP17=-1,-1,AP17+1))))</f>
        <v>6</v>
      </c>
      <c r="AR17" s="16">
        <f>IF(OR(X17=regle!$J$11,X17=regle!$K$11),-2,IF(X17=regle!$B$11,0,IF(AR$1=$AK$1,IF($O17,-1,regle!$B$2-$M17),IF(AQ17=-1,-1,AQ17+1))))</f>
        <v>7</v>
      </c>
      <c r="AS17" s="16">
        <f>IF(OR(Y17=regle!$J$11,Y17=regle!$K$11),-2,IF(Y17=regle!$B$11,0,IF(AS$1=$AK$1,IF($O17,-1,regle!$B$2-$M17),IF(AR17=-1,-1,AR17+1))))</f>
        <v>8</v>
      </c>
      <c r="AT17" s="16">
        <f>IF(OR(Z17=regle!$J$11,Z17=regle!$K$11),-2,IF(Z17=regle!$B$11,0,IF(AT$1=$AK$1,IF($O17,-1,regle!$B$2-$M17),IF(AS17=-1,-1,AS17+1))))</f>
        <v>9</v>
      </c>
    </row>
    <row r="18" spans="1:46" x14ac:dyDescent="0.25">
      <c r="A18" t="b">
        <f>modif0!A255</f>
        <v>1</v>
      </c>
      <c r="B18">
        <f>ROW(modif0!B255)</f>
        <v>255</v>
      </c>
      <c r="C18" t="str">
        <f>modif0!D255</f>
        <v>171</v>
      </c>
      <c r="D18" t="str">
        <f>modif0!E255</f>
        <v>MANO</v>
      </c>
      <c r="E18">
        <f>modif0!F255</f>
        <v>17</v>
      </c>
      <c r="F18" t="str">
        <f>modif0!G255</f>
        <v>LANDE DE TABARTON</v>
      </c>
      <c r="G18" t="str">
        <f>modif0!I255</f>
        <v>0B</v>
      </c>
      <c r="H18">
        <f>modif0!J255</f>
        <v>269</v>
      </c>
      <c r="I18" t="str">
        <f>modif0!K255</f>
        <v/>
      </c>
      <c r="J18" s="11">
        <f>modif0!M255</f>
        <v>2.16</v>
      </c>
      <c r="K18" s="11" t="str">
        <f>modif0!P255</f>
        <v>CR</v>
      </c>
      <c r="L18" t="str">
        <f>modif0!N255</f>
        <v>PM</v>
      </c>
      <c r="M18">
        <f>modif0!Q255</f>
        <v>2022</v>
      </c>
      <c r="N18" t="str">
        <f>modif0!R255</f>
        <v>CR-PM_2022</v>
      </c>
      <c r="O18" t="b">
        <f>modif0!S255</f>
        <v>1</v>
      </c>
      <c r="P18">
        <v>25</v>
      </c>
      <c r="Q18" t="s">
        <v>1868</v>
      </c>
      <c r="AA18" s="17">
        <f>IF($A18,$J18*(IF(Q18=regle!$B$11,regle!$B$23*IF(AJ18=-2,1+regle!$B$35,1),
IF(Q18=regle!$C$11,regle!$C$23,
IF(Q18=regle!$D$11,regle!$D$23,
IF(Q18=regle!$E$11,regle!$E$23,
IF(Q18=regle!$F$11,regle!$F$23,
IF(Q18=regle!$G$11,regle!$G$23,
IF(Q18=regle!$H$11,regle!$H$23,
IF(Q18=regle!$I$11,regle!$I$23,
IF(Q18=regle!$J$11,regle!$J$23,
IF(Q18=regle!$K$11,regle!$K$23,0))))))))))))</f>
        <v>-3672.0000000000005</v>
      </c>
      <c r="AB18" s="17">
        <f>IF($A18,$J18*(IF(R18=regle!$B$11,regle!$B$23*IF(AK18=-2,1+regle!$B$35,1),
IF(R18=regle!$C$11,regle!$C$23,
IF(R18=regle!$D$11,regle!$D$23,
IF(R18=regle!$E$11,regle!$E$23,
IF(R18=regle!$F$11,regle!$F$23,
IF(R18=regle!$G$11,regle!$G$23,
IF(R18=regle!$H$11,regle!$H$23,
IF(R18=regle!$I$11,regle!$I$23,
IF(R18=regle!$J$11,regle!$J$23,
IF(R18=regle!$K$11,regle!$K$23,0))))))))))))</f>
        <v>0</v>
      </c>
      <c r="AC18" s="17">
        <f>IF($A18,$J18*(IF(S18=regle!$B$11,regle!$B$23*IF(AL18=-2,1+regle!$B$35,1),
IF(S18=regle!$C$11,regle!$C$23,
IF(S18=regle!$D$11,regle!$D$23,
IF(S18=regle!$E$11,regle!$E$23,
IF(S18=regle!$F$11,regle!$F$23,
IF(S18=regle!$G$11,regle!$G$23,
IF(S18=regle!$H$11,regle!$H$23,
IF(S18=regle!$I$11,regle!$I$23,
IF(S18=regle!$J$11,regle!$J$23,
IF(S18=regle!$K$11,regle!$K$23,0))))))))))))</f>
        <v>0</v>
      </c>
      <c r="AD18" s="17">
        <f>IF($A18,$J18*(IF(T18=regle!$B$11,regle!$B$23*IF(AM18=-2,1+regle!$B$35,1),
IF(T18=regle!$C$11,regle!$C$23,
IF(T18=regle!$D$11,regle!$D$23,
IF(T18=regle!$E$11,regle!$E$23,
IF(T18=regle!$F$11,regle!$F$23,
IF(T18=regle!$G$11,regle!$G$23,
IF(T18=regle!$H$11,regle!$H$23,
IF(T18=regle!$I$11,regle!$I$23,
IF(T18=regle!$J$11,regle!$J$23,
IF(T18=regle!$K$11,regle!$K$23,0))))))))))))</f>
        <v>0</v>
      </c>
      <c r="AE18" s="17">
        <f>IF($A18,$J18*(IF(U18=regle!$B$11,regle!$B$23*IF(AN18=-2,1+regle!$B$35,1),
IF(U18=regle!$C$11,regle!$C$23,
IF(U18=regle!$D$11,regle!$D$23,
IF(U18=regle!$E$11,regle!$E$23,
IF(U18=regle!$F$11,regle!$F$23,
IF(U18=regle!$G$11,regle!$G$23,
IF(U18=regle!$H$11,regle!$H$23,
IF(U18=regle!$I$11,regle!$I$23,
IF(U18=regle!$J$11,regle!$J$23,
IF(U18=regle!$K$11,regle!$K$23,0))))))))))))</f>
        <v>0</v>
      </c>
      <c r="AF18" s="17">
        <f>IF($A18,$J18*(IF(V18=regle!$B$11,regle!$B$23*IF(AO18=-2,1+regle!$B$35,1),
IF(V18=regle!$C$11,regle!$C$23,
IF(V18=regle!$D$11,regle!$D$23,
IF(V18=regle!$E$11,regle!$E$23,
IF(V18=regle!$F$11,regle!$F$23,
IF(V18=regle!$G$11,regle!$G$23,
IF(V18=regle!$H$11,regle!$H$23,
IF(V18=regle!$I$11,regle!$I$23,
IF(V18=regle!$J$11,regle!$J$23,
IF(V18=regle!$K$11,regle!$K$23,0))))))))))))</f>
        <v>0</v>
      </c>
      <c r="AG18" s="17">
        <f>IF($A18,$J18*(IF(W18=regle!$B$11,regle!$B$23*IF(AP18=-2,1+regle!$B$35,1),
IF(W18=regle!$C$11,regle!$C$23,
IF(W18=regle!$D$11,regle!$D$23,
IF(W18=regle!$E$11,regle!$E$23,
IF(W18=regle!$F$11,regle!$F$23,
IF(W18=regle!$G$11,regle!$G$23,
IF(W18=regle!$H$11,regle!$H$23,
IF(W18=regle!$I$11,regle!$I$23,
IF(W18=regle!$J$11,regle!$J$23,
IF(W18=regle!$K$11,regle!$K$23,0))))))))))))</f>
        <v>0</v>
      </c>
      <c r="AH18" s="17">
        <f>IF($A18,$J18*(IF(X18=regle!$B$11,regle!$B$23*IF(AQ18=-2,1+regle!$B$35,1),
IF(X18=regle!$C$11,regle!$C$23,
IF(X18=regle!$D$11,regle!$D$23,
IF(X18=regle!$E$11,regle!$E$23,
IF(X18=regle!$F$11,regle!$F$23,
IF(X18=regle!$G$11,regle!$G$23,
IF(X18=regle!$H$11,regle!$H$23,
IF(X18=regle!$I$11,regle!$I$23,
IF(X18=regle!$J$11,regle!$J$23,
IF(X18=regle!$K$11,regle!$K$23,0))))))))))))</f>
        <v>0</v>
      </c>
      <c r="AI18" s="17">
        <f>IF($A18,$J18*(IF(Y18=regle!$B$11,regle!$B$23*IF(AR18=-2,1+regle!$B$35,1),
IF(Y18=regle!$C$11,regle!$C$23,
IF(Y18=regle!$D$11,regle!$D$23,
IF(Y18=regle!$E$11,regle!$E$23,
IF(Y18=regle!$F$11,regle!$F$23,
IF(Y18=regle!$G$11,regle!$G$23,
IF(Y18=regle!$H$11,regle!$H$23,
IF(Y18=regle!$I$11,regle!$I$23,
IF(Y18=regle!$J$11,regle!$J$23,
IF(Y18=regle!$K$11,regle!$K$23,0))))))))))))</f>
        <v>0</v>
      </c>
      <c r="AJ18" s="17">
        <f>IF($A18,$J18*(IF(Z18=regle!$B$11,regle!$B$23*IF(AS18=-2,1+regle!$B$35,1),
IF(Z18=regle!$C$11,regle!$C$23,
IF(Z18=regle!$D$11,regle!$D$23,
IF(Z18=regle!$E$11,regle!$E$23,
IF(Z18=regle!$F$11,regle!$F$23,
IF(Z18=regle!$G$11,regle!$G$23,
IF(Z18=regle!$H$11,regle!$H$23,
IF(Z18=regle!$I$11,regle!$I$23,
IF(Z18=regle!$J$11,regle!$J$23,
IF(Z18=regle!$K$11,regle!$K$23,0))))))))))))</f>
        <v>0</v>
      </c>
      <c r="AK18" s="16">
        <f>IF(OR(Q18=regle!$J$11,Q18=regle!$K$11),-2,IF(Q18=regle!$B$11,0,IF(AK$1=$AK$1,IF($O18,-1,regle!$B$2-$M18),IF(AJ18=-1,-1,AJ18+1))))</f>
        <v>0</v>
      </c>
      <c r="AL18" s="16">
        <f>IF(OR(R18=regle!$J$11,R18=regle!$K$11),-2,IF(R18=regle!$B$11,0,IF(AL$1=$AK$1,IF($O18,-1,regle!$B$2-$M18),IF(AK18=-1,-1,AK18+1))))</f>
        <v>1</v>
      </c>
      <c r="AM18" s="16">
        <f>IF(OR(S18=regle!$J$11,S18=regle!$K$11),-2,IF(S18=regle!$B$11,0,IF(AM$1=$AK$1,IF($O18,-1,regle!$B$2-$M18),IF(AL18=-1,-1,AL18+1))))</f>
        <v>2</v>
      </c>
      <c r="AN18" s="16">
        <f>IF(OR(T18=regle!$J$11,T18=regle!$K$11),-2,IF(T18=regle!$B$11,0,IF(AN$1=$AK$1,IF($O18,-1,regle!$B$2-$M18),IF(AM18=-1,-1,AM18+1))))</f>
        <v>3</v>
      </c>
      <c r="AO18" s="16">
        <f>IF(OR(U18=regle!$J$11,U18=regle!$K$11),-2,IF(U18=regle!$B$11,0,IF(AO$1=$AK$1,IF($O18,-1,regle!$B$2-$M18),IF(AN18=-1,-1,AN18+1))))</f>
        <v>4</v>
      </c>
      <c r="AP18" s="16">
        <f>IF(OR(V18=regle!$J$11,V18=regle!$K$11),-2,IF(V18=regle!$B$11,0,IF(AP$1=$AK$1,IF($O18,-1,regle!$B$2-$M18),IF(AO18=-1,-1,AO18+1))))</f>
        <v>5</v>
      </c>
      <c r="AQ18" s="16">
        <f>IF(OR(W18=regle!$J$11,W18=regle!$K$11),-2,IF(W18=regle!$B$11,0,IF(AQ$1=$AK$1,IF($O18,-1,regle!$B$2-$M18),IF(AP18=-1,-1,AP18+1))))</f>
        <v>6</v>
      </c>
      <c r="AR18" s="16">
        <f>IF(OR(X18=regle!$J$11,X18=regle!$K$11),-2,IF(X18=regle!$B$11,0,IF(AR$1=$AK$1,IF($O18,-1,regle!$B$2-$M18),IF(AQ18=-1,-1,AQ18+1))))</f>
        <v>7</v>
      </c>
      <c r="AS18" s="16">
        <f>IF(OR(Y18=regle!$J$11,Y18=regle!$K$11),-2,IF(Y18=regle!$B$11,0,IF(AS$1=$AK$1,IF($O18,-1,regle!$B$2-$M18),IF(AR18=-1,-1,AR18+1))))</f>
        <v>8</v>
      </c>
      <c r="AT18" s="16">
        <f>IF(OR(Z18=regle!$J$11,Z18=regle!$K$11),-2,IF(Z18=regle!$B$11,0,IF(AT$1=$AK$1,IF($O18,-1,regle!$B$2-$M18),IF(AS18=-1,-1,AS18+1))))</f>
        <v>9</v>
      </c>
    </row>
    <row r="19" spans="1:46" x14ac:dyDescent="0.25">
      <c r="A19" t="b">
        <f>modif0!A4</f>
        <v>1</v>
      </c>
      <c r="B19">
        <f>ROW(modif0!B4)</f>
        <v>4</v>
      </c>
      <c r="C19" t="str">
        <f>modif0!D4</f>
        <v>202</v>
      </c>
      <c r="D19" t="str">
        <f>modif0!E4</f>
        <v>HOSTENS</v>
      </c>
      <c r="E19">
        <f>modif0!F4</f>
        <v>11</v>
      </c>
      <c r="F19" t="str">
        <f>modif0!G4</f>
        <v>L'ARGILEYRE</v>
      </c>
      <c r="G19" t="str">
        <f>modif0!I4</f>
        <v>0A</v>
      </c>
      <c r="H19">
        <f>modif0!J4</f>
        <v>1293</v>
      </c>
      <c r="I19" t="str">
        <f>modif0!K4</f>
        <v>k</v>
      </c>
      <c r="J19" s="11">
        <f>modif0!M4</f>
        <v>2.1432000000000002</v>
      </c>
      <c r="K19" s="11" t="str">
        <f>modif0!P4</f>
        <v>CR</v>
      </c>
      <c r="L19" t="str">
        <f>modif0!N4</f>
        <v>PM</v>
      </c>
      <c r="M19">
        <f>modif0!Q4</f>
        <v>2022</v>
      </c>
      <c r="N19" t="str">
        <f>modif0!R4</f>
        <v>CR-PM_2022</v>
      </c>
      <c r="O19" t="b">
        <f>modif0!S4</f>
        <v>1</v>
      </c>
      <c r="P19">
        <v>25</v>
      </c>
      <c r="Q19" t="s">
        <v>1868</v>
      </c>
      <c r="AA19" s="17">
        <f>IF($A19,$J19*(IF(Q19=regle!$B$11,regle!$B$23*IF(AJ19=-2,1+regle!$B$35,1),
IF(Q19=regle!$C$11,regle!$C$23,
IF(Q19=regle!$D$11,regle!$D$23,
IF(Q19=regle!$E$11,regle!$E$23,
IF(Q19=regle!$F$11,regle!$F$23,
IF(Q19=regle!$G$11,regle!$G$23,
IF(Q19=regle!$H$11,regle!$H$23,
IF(Q19=regle!$I$11,regle!$I$23,
IF(Q19=regle!$J$11,regle!$J$23,
IF(Q19=regle!$K$11,regle!$K$23,0))))))))))))</f>
        <v>-3643.4400000000005</v>
      </c>
      <c r="AB19" s="17">
        <f>IF($A19,$J19*(IF(R19=regle!$B$11,regle!$B$23*IF(AK19=-2,1+regle!$B$35,1),
IF(R19=regle!$C$11,regle!$C$23,
IF(R19=regle!$D$11,regle!$D$23,
IF(R19=regle!$E$11,regle!$E$23,
IF(R19=regle!$F$11,regle!$F$23,
IF(R19=regle!$G$11,regle!$G$23,
IF(R19=regle!$H$11,regle!$H$23,
IF(R19=regle!$I$11,regle!$I$23,
IF(R19=regle!$J$11,regle!$J$23,
IF(R19=regle!$K$11,regle!$K$23,0))))))))))))</f>
        <v>0</v>
      </c>
      <c r="AC19" s="17">
        <f>IF($A19,$J19*(IF(S19=regle!$B$11,regle!$B$23*IF(AL19=-2,1+regle!$B$35,1),
IF(S19=regle!$C$11,regle!$C$23,
IF(S19=regle!$D$11,regle!$D$23,
IF(S19=regle!$E$11,regle!$E$23,
IF(S19=regle!$F$11,regle!$F$23,
IF(S19=regle!$G$11,regle!$G$23,
IF(S19=regle!$H$11,regle!$H$23,
IF(S19=regle!$I$11,regle!$I$23,
IF(S19=regle!$J$11,regle!$J$23,
IF(S19=regle!$K$11,regle!$K$23,0))))))))))))</f>
        <v>0</v>
      </c>
      <c r="AD19" s="17">
        <f>IF($A19,$J19*(IF(T19=regle!$B$11,regle!$B$23*IF(AM19=-2,1+regle!$B$35,1),
IF(T19=regle!$C$11,regle!$C$23,
IF(T19=regle!$D$11,regle!$D$23,
IF(T19=regle!$E$11,regle!$E$23,
IF(T19=regle!$F$11,regle!$F$23,
IF(T19=regle!$G$11,regle!$G$23,
IF(T19=regle!$H$11,regle!$H$23,
IF(T19=regle!$I$11,regle!$I$23,
IF(T19=regle!$J$11,regle!$J$23,
IF(T19=regle!$K$11,regle!$K$23,0))))))))))))</f>
        <v>0</v>
      </c>
      <c r="AE19" s="17">
        <f>IF($A19,$J19*(IF(U19=regle!$B$11,regle!$B$23*IF(AN19=-2,1+regle!$B$35,1),
IF(U19=regle!$C$11,regle!$C$23,
IF(U19=regle!$D$11,regle!$D$23,
IF(U19=regle!$E$11,regle!$E$23,
IF(U19=regle!$F$11,regle!$F$23,
IF(U19=regle!$G$11,regle!$G$23,
IF(U19=regle!$H$11,regle!$H$23,
IF(U19=regle!$I$11,regle!$I$23,
IF(U19=regle!$J$11,regle!$J$23,
IF(U19=regle!$K$11,regle!$K$23,0))))))))))))</f>
        <v>0</v>
      </c>
      <c r="AF19" s="17">
        <f>IF($A19,$J19*(IF(V19=regle!$B$11,regle!$B$23*IF(AO19=-2,1+regle!$B$35,1),
IF(V19=regle!$C$11,regle!$C$23,
IF(V19=regle!$D$11,regle!$D$23,
IF(V19=regle!$E$11,regle!$E$23,
IF(V19=regle!$F$11,regle!$F$23,
IF(V19=regle!$G$11,regle!$G$23,
IF(V19=regle!$H$11,regle!$H$23,
IF(V19=regle!$I$11,regle!$I$23,
IF(V19=regle!$J$11,regle!$J$23,
IF(V19=regle!$K$11,regle!$K$23,0))))))))))))</f>
        <v>0</v>
      </c>
      <c r="AG19" s="17">
        <f>IF($A19,$J19*(IF(W19=regle!$B$11,regle!$B$23*IF(AP19=-2,1+regle!$B$35,1),
IF(W19=regle!$C$11,regle!$C$23,
IF(W19=regle!$D$11,regle!$D$23,
IF(W19=regle!$E$11,regle!$E$23,
IF(W19=regle!$F$11,regle!$F$23,
IF(W19=regle!$G$11,regle!$G$23,
IF(W19=regle!$H$11,regle!$H$23,
IF(W19=regle!$I$11,regle!$I$23,
IF(W19=regle!$J$11,regle!$J$23,
IF(W19=regle!$K$11,regle!$K$23,0))))))))))))</f>
        <v>0</v>
      </c>
      <c r="AH19" s="17">
        <f>IF($A19,$J19*(IF(X19=regle!$B$11,regle!$B$23*IF(AQ19=-2,1+regle!$B$35,1),
IF(X19=regle!$C$11,regle!$C$23,
IF(X19=regle!$D$11,regle!$D$23,
IF(X19=regle!$E$11,regle!$E$23,
IF(X19=regle!$F$11,regle!$F$23,
IF(X19=regle!$G$11,regle!$G$23,
IF(X19=regle!$H$11,regle!$H$23,
IF(X19=regle!$I$11,regle!$I$23,
IF(X19=regle!$J$11,regle!$J$23,
IF(X19=regle!$K$11,regle!$K$23,0))))))))))))</f>
        <v>0</v>
      </c>
      <c r="AI19" s="17">
        <f>IF($A19,$J19*(IF(Y19=regle!$B$11,regle!$B$23*IF(AR19=-2,1+regle!$B$35,1),
IF(Y19=regle!$C$11,regle!$C$23,
IF(Y19=regle!$D$11,regle!$D$23,
IF(Y19=regle!$E$11,regle!$E$23,
IF(Y19=regle!$F$11,regle!$F$23,
IF(Y19=regle!$G$11,regle!$G$23,
IF(Y19=regle!$H$11,regle!$H$23,
IF(Y19=regle!$I$11,regle!$I$23,
IF(Y19=regle!$J$11,regle!$J$23,
IF(Y19=regle!$K$11,regle!$K$23,0))))))))))))</f>
        <v>0</v>
      </c>
      <c r="AJ19" s="17">
        <f>IF($A19,$J19*(IF(Z19=regle!$B$11,regle!$B$23*IF(AS19=-2,1+regle!$B$35,1),
IF(Z19=regle!$C$11,regle!$C$23,
IF(Z19=regle!$D$11,regle!$D$23,
IF(Z19=regle!$E$11,regle!$E$23,
IF(Z19=regle!$F$11,regle!$F$23,
IF(Z19=regle!$G$11,regle!$G$23,
IF(Z19=regle!$H$11,regle!$H$23,
IF(Z19=regle!$I$11,regle!$I$23,
IF(Z19=regle!$J$11,regle!$J$23,
IF(Z19=regle!$K$11,regle!$K$23,0))))))))))))</f>
        <v>0</v>
      </c>
      <c r="AK19" s="16">
        <f>IF(OR(Q19=regle!$J$11,Q19=regle!$K$11),-2,IF(Q19=regle!$B$11,0,IF(AK$1=$AK$1,IF($O19,-1,regle!$B$2-$M19),IF(AJ19=-1,-1,AJ19+1))))</f>
        <v>0</v>
      </c>
      <c r="AL19" s="16">
        <f>IF(OR(R19=regle!$J$11,R19=regle!$K$11),-2,IF(R19=regle!$B$11,0,IF(AL$1=$AK$1,IF($O19,-1,regle!$B$2-$M19),IF(AK19=-1,-1,AK19+1))))</f>
        <v>1</v>
      </c>
      <c r="AM19" s="16">
        <f>IF(OR(S19=regle!$J$11,S19=regle!$K$11),-2,IF(S19=regle!$B$11,0,IF(AM$1=$AK$1,IF($O19,-1,regle!$B$2-$M19),IF(AL19=-1,-1,AL19+1))))</f>
        <v>2</v>
      </c>
      <c r="AN19" s="16">
        <f>IF(OR(T19=regle!$J$11,T19=regle!$K$11),-2,IF(T19=regle!$B$11,0,IF(AN$1=$AK$1,IF($O19,-1,regle!$B$2-$M19),IF(AM19=-1,-1,AM19+1))))</f>
        <v>3</v>
      </c>
      <c r="AO19" s="16">
        <f>IF(OR(U19=regle!$J$11,U19=regle!$K$11),-2,IF(U19=regle!$B$11,0,IF(AO$1=$AK$1,IF($O19,-1,regle!$B$2-$M19),IF(AN19=-1,-1,AN19+1))))</f>
        <v>4</v>
      </c>
      <c r="AP19" s="16">
        <f>IF(OR(V19=regle!$J$11,V19=regle!$K$11),-2,IF(V19=regle!$B$11,0,IF(AP$1=$AK$1,IF($O19,-1,regle!$B$2-$M19),IF(AO19=-1,-1,AO19+1))))</f>
        <v>5</v>
      </c>
      <c r="AQ19" s="16">
        <f>IF(OR(W19=regle!$J$11,W19=regle!$K$11),-2,IF(W19=regle!$B$11,0,IF(AQ$1=$AK$1,IF($O19,-1,regle!$B$2-$M19),IF(AP19=-1,-1,AP19+1))))</f>
        <v>6</v>
      </c>
      <c r="AR19" s="16">
        <f>IF(OR(X19=regle!$J$11,X19=regle!$K$11),-2,IF(X19=regle!$B$11,0,IF(AR$1=$AK$1,IF($O19,-1,regle!$B$2-$M19),IF(AQ19=-1,-1,AQ19+1))))</f>
        <v>7</v>
      </c>
      <c r="AS19" s="16">
        <f>IF(OR(Y19=regle!$J$11,Y19=regle!$K$11),-2,IF(Y19=regle!$B$11,0,IF(AS$1=$AK$1,IF($O19,-1,regle!$B$2-$M19),IF(AR19=-1,-1,AR19+1))))</f>
        <v>8</v>
      </c>
      <c r="AT19" s="16">
        <f>IF(OR(Z19=regle!$J$11,Z19=regle!$K$11),-2,IF(Z19=regle!$B$11,0,IF(AT$1=$AK$1,IF($O19,-1,regle!$B$2-$M19),IF(AS19=-1,-1,AS19+1))))</f>
        <v>9</v>
      </c>
    </row>
    <row r="20" spans="1:46" x14ac:dyDescent="0.25">
      <c r="A20" t="b">
        <f>modif0!A257</f>
        <v>1</v>
      </c>
      <c r="B20">
        <f>ROW(modif0!B257)</f>
        <v>257</v>
      </c>
      <c r="C20" t="str">
        <f>modif0!D257</f>
        <v>171</v>
      </c>
      <c r="D20" t="str">
        <f>modif0!E257</f>
        <v>MANO</v>
      </c>
      <c r="E20">
        <f>modif0!F257</f>
        <v>17</v>
      </c>
      <c r="F20" t="str">
        <f>modif0!G257</f>
        <v>LANDE DE TABARTON</v>
      </c>
      <c r="G20" t="str">
        <f>modif0!I257</f>
        <v>0B</v>
      </c>
      <c r="H20">
        <f>modif0!J257</f>
        <v>271</v>
      </c>
      <c r="I20" t="str">
        <f>modif0!K257</f>
        <v/>
      </c>
      <c r="J20" s="11">
        <f>modif0!M257</f>
        <v>2</v>
      </c>
      <c r="K20" s="11" t="str">
        <f>modif0!P257</f>
        <v>CR</v>
      </c>
      <c r="L20" t="str">
        <f>modif0!N257</f>
        <v>PM</v>
      </c>
      <c r="M20">
        <f>modif0!Q257</f>
        <v>2022</v>
      </c>
      <c r="N20" t="str">
        <f>modif0!R257</f>
        <v>CR-PM_2022</v>
      </c>
      <c r="O20" t="b">
        <f>modif0!S257</f>
        <v>1</v>
      </c>
      <c r="P20">
        <v>25</v>
      </c>
      <c r="Q20" t="s">
        <v>1868</v>
      </c>
      <c r="AA20" s="17">
        <f>IF($A20,$J20*(IF(Q20=regle!$B$11,regle!$B$23*IF(AJ20=-2,1+regle!$B$35,1),
IF(Q20=regle!$C$11,regle!$C$23,
IF(Q20=regle!$D$11,regle!$D$23,
IF(Q20=regle!$E$11,regle!$E$23,
IF(Q20=regle!$F$11,regle!$F$23,
IF(Q20=regle!$G$11,regle!$G$23,
IF(Q20=regle!$H$11,regle!$H$23,
IF(Q20=regle!$I$11,regle!$I$23,
IF(Q20=regle!$J$11,regle!$J$23,
IF(Q20=regle!$K$11,regle!$K$23,0))))))))))))</f>
        <v>-3400</v>
      </c>
      <c r="AB20" s="17">
        <f>IF($A20,$J20*(IF(R20=regle!$B$11,regle!$B$23*IF(AK20=-2,1+regle!$B$35,1),
IF(R20=regle!$C$11,regle!$C$23,
IF(R20=regle!$D$11,regle!$D$23,
IF(R20=regle!$E$11,regle!$E$23,
IF(R20=regle!$F$11,regle!$F$23,
IF(R20=regle!$G$11,regle!$G$23,
IF(R20=regle!$H$11,regle!$H$23,
IF(R20=regle!$I$11,regle!$I$23,
IF(R20=regle!$J$11,regle!$J$23,
IF(R20=regle!$K$11,regle!$K$23,0))))))))))))</f>
        <v>0</v>
      </c>
      <c r="AC20" s="17">
        <f>IF($A20,$J20*(IF(S20=regle!$B$11,regle!$B$23*IF(AL20=-2,1+regle!$B$35,1),
IF(S20=regle!$C$11,regle!$C$23,
IF(S20=regle!$D$11,regle!$D$23,
IF(S20=regle!$E$11,regle!$E$23,
IF(S20=regle!$F$11,regle!$F$23,
IF(S20=regle!$G$11,regle!$G$23,
IF(S20=regle!$H$11,regle!$H$23,
IF(S20=regle!$I$11,regle!$I$23,
IF(S20=regle!$J$11,regle!$J$23,
IF(S20=regle!$K$11,regle!$K$23,0))))))))))))</f>
        <v>0</v>
      </c>
      <c r="AD20" s="17">
        <f>IF($A20,$J20*(IF(T20=regle!$B$11,regle!$B$23*IF(AM20=-2,1+regle!$B$35,1),
IF(T20=regle!$C$11,regle!$C$23,
IF(T20=regle!$D$11,regle!$D$23,
IF(T20=regle!$E$11,regle!$E$23,
IF(T20=regle!$F$11,regle!$F$23,
IF(T20=regle!$G$11,regle!$G$23,
IF(T20=regle!$H$11,regle!$H$23,
IF(T20=regle!$I$11,regle!$I$23,
IF(T20=regle!$J$11,regle!$J$23,
IF(T20=regle!$K$11,regle!$K$23,0))))))))))))</f>
        <v>0</v>
      </c>
      <c r="AE20" s="17">
        <f>IF($A20,$J20*(IF(U20=regle!$B$11,regle!$B$23*IF(AN20=-2,1+regle!$B$35,1),
IF(U20=regle!$C$11,regle!$C$23,
IF(U20=regle!$D$11,regle!$D$23,
IF(U20=regle!$E$11,regle!$E$23,
IF(U20=regle!$F$11,regle!$F$23,
IF(U20=regle!$G$11,regle!$G$23,
IF(U20=regle!$H$11,regle!$H$23,
IF(U20=regle!$I$11,regle!$I$23,
IF(U20=regle!$J$11,regle!$J$23,
IF(U20=regle!$K$11,regle!$K$23,0))))))))))))</f>
        <v>0</v>
      </c>
      <c r="AF20" s="17">
        <f>IF($A20,$J20*(IF(V20=regle!$B$11,regle!$B$23*IF(AO20=-2,1+regle!$B$35,1),
IF(V20=regle!$C$11,regle!$C$23,
IF(V20=regle!$D$11,regle!$D$23,
IF(V20=regle!$E$11,regle!$E$23,
IF(V20=regle!$F$11,regle!$F$23,
IF(V20=regle!$G$11,regle!$G$23,
IF(V20=regle!$H$11,regle!$H$23,
IF(V20=regle!$I$11,regle!$I$23,
IF(V20=regle!$J$11,regle!$J$23,
IF(V20=regle!$K$11,regle!$K$23,0))))))))))))</f>
        <v>0</v>
      </c>
      <c r="AG20" s="17">
        <f>IF($A20,$J20*(IF(W20=regle!$B$11,regle!$B$23*IF(AP20=-2,1+regle!$B$35,1),
IF(W20=regle!$C$11,regle!$C$23,
IF(W20=regle!$D$11,regle!$D$23,
IF(W20=regle!$E$11,regle!$E$23,
IF(W20=regle!$F$11,regle!$F$23,
IF(W20=regle!$G$11,regle!$G$23,
IF(W20=regle!$H$11,regle!$H$23,
IF(W20=regle!$I$11,regle!$I$23,
IF(W20=regle!$J$11,regle!$J$23,
IF(W20=regle!$K$11,regle!$K$23,0))))))))))))</f>
        <v>0</v>
      </c>
      <c r="AH20" s="17">
        <f>IF($A20,$J20*(IF(X20=regle!$B$11,regle!$B$23*IF(AQ20=-2,1+regle!$B$35,1),
IF(X20=regle!$C$11,regle!$C$23,
IF(X20=regle!$D$11,regle!$D$23,
IF(X20=regle!$E$11,regle!$E$23,
IF(X20=regle!$F$11,regle!$F$23,
IF(X20=regle!$G$11,regle!$G$23,
IF(X20=regle!$H$11,regle!$H$23,
IF(X20=regle!$I$11,regle!$I$23,
IF(X20=regle!$J$11,regle!$J$23,
IF(X20=regle!$K$11,regle!$K$23,0))))))))))))</f>
        <v>0</v>
      </c>
      <c r="AI20" s="17">
        <f>IF($A20,$J20*(IF(Y20=regle!$B$11,regle!$B$23*IF(AR20=-2,1+regle!$B$35,1),
IF(Y20=regle!$C$11,regle!$C$23,
IF(Y20=regle!$D$11,regle!$D$23,
IF(Y20=regle!$E$11,regle!$E$23,
IF(Y20=regle!$F$11,regle!$F$23,
IF(Y20=regle!$G$11,regle!$G$23,
IF(Y20=regle!$H$11,regle!$H$23,
IF(Y20=regle!$I$11,regle!$I$23,
IF(Y20=regle!$J$11,regle!$J$23,
IF(Y20=regle!$K$11,regle!$K$23,0))))))))))))</f>
        <v>0</v>
      </c>
      <c r="AJ20" s="17">
        <f>IF($A20,$J20*(IF(Z20=regle!$B$11,regle!$B$23*IF(AS20=-2,1+regle!$B$35,1),
IF(Z20=regle!$C$11,regle!$C$23,
IF(Z20=regle!$D$11,regle!$D$23,
IF(Z20=regle!$E$11,regle!$E$23,
IF(Z20=regle!$F$11,regle!$F$23,
IF(Z20=regle!$G$11,regle!$G$23,
IF(Z20=regle!$H$11,regle!$H$23,
IF(Z20=regle!$I$11,regle!$I$23,
IF(Z20=regle!$J$11,regle!$J$23,
IF(Z20=regle!$K$11,regle!$K$23,0))))))))))))</f>
        <v>0</v>
      </c>
      <c r="AK20" s="16">
        <f>IF(OR(Q20=regle!$J$11,Q20=regle!$K$11),-2,IF(Q20=regle!$B$11,0,IF(AK$1=$AK$1,IF($O20,-1,regle!$B$2-$M20),IF(AJ20=-1,-1,AJ20+1))))</f>
        <v>0</v>
      </c>
      <c r="AL20" s="16">
        <f>IF(OR(R20=regle!$J$11,R20=regle!$K$11),-2,IF(R20=regle!$B$11,0,IF(AL$1=$AK$1,IF($O20,-1,regle!$B$2-$M20),IF(AK20=-1,-1,AK20+1))))</f>
        <v>1</v>
      </c>
      <c r="AM20" s="16">
        <f>IF(OR(S20=regle!$J$11,S20=regle!$K$11),-2,IF(S20=regle!$B$11,0,IF(AM$1=$AK$1,IF($O20,-1,regle!$B$2-$M20),IF(AL20=-1,-1,AL20+1))))</f>
        <v>2</v>
      </c>
      <c r="AN20" s="16">
        <f>IF(OR(T20=regle!$J$11,T20=regle!$K$11),-2,IF(T20=regle!$B$11,0,IF(AN$1=$AK$1,IF($O20,-1,regle!$B$2-$M20),IF(AM20=-1,-1,AM20+1))))</f>
        <v>3</v>
      </c>
      <c r="AO20" s="16">
        <f>IF(OR(U20=regle!$J$11,U20=regle!$K$11),-2,IF(U20=regle!$B$11,0,IF(AO$1=$AK$1,IF($O20,-1,regle!$B$2-$M20),IF(AN20=-1,-1,AN20+1))))</f>
        <v>4</v>
      </c>
      <c r="AP20" s="16">
        <f>IF(OR(V20=regle!$J$11,V20=regle!$K$11),-2,IF(V20=regle!$B$11,0,IF(AP$1=$AK$1,IF($O20,-1,regle!$B$2-$M20),IF(AO20=-1,-1,AO20+1))))</f>
        <v>5</v>
      </c>
      <c r="AQ20" s="16">
        <f>IF(OR(W20=regle!$J$11,W20=regle!$K$11),-2,IF(W20=regle!$B$11,0,IF(AQ$1=$AK$1,IF($O20,-1,regle!$B$2-$M20),IF(AP20=-1,-1,AP20+1))))</f>
        <v>6</v>
      </c>
      <c r="AR20" s="16">
        <f>IF(OR(X20=regle!$J$11,X20=regle!$K$11),-2,IF(X20=regle!$B$11,0,IF(AR$1=$AK$1,IF($O20,-1,regle!$B$2-$M20),IF(AQ20=-1,-1,AQ20+1))))</f>
        <v>7</v>
      </c>
      <c r="AS20" s="16">
        <f>IF(OR(Y20=regle!$J$11,Y20=regle!$K$11),-2,IF(Y20=regle!$B$11,0,IF(AS$1=$AK$1,IF($O20,-1,regle!$B$2-$M20),IF(AR20=-1,-1,AR20+1))))</f>
        <v>8</v>
      </c>
      <c r="AT20" s="16">
        <f>IF(OR(Z20=regle!$J$11,Z20=regle!$K$11),-2,IF(Z20=regle!$B$11,0,IF(AT$1=$AK$1,IF($O20,-1,regle!$B$2-$M20),IF(AS20=-1,-1,AS20+1))))</f>
        <v>9</v>
      </c>
    </row>
    <row r="21" spans="1:46" x14ac:dyDescent="0.25">
      <c r="A21" t="b">
        <f>modif0!A266</f>
        <v>1</v>
      </c>
      <c r="B21">
        <f>ROW(modif0!B266)</f>
        <v>266</v>
      </c>
      <c r="C21" t="str">
        <f>modif0!D266</f>
        <v>171</v>
      </c>
      <c r="D21" t="str">
        <f>modif0!E266</f>
        <v>MANO</v>
      </c>
      <c r="E21">
        <f>modif0!F266</f>
        <v>17</v>
      </c>
      <c r="F21" t="str">
        <f>modif0!G266</f>
        <v>LANDE DE TABARTON</v>
      </c>
      <c r="G21" t="str">
        <f>modif0!I266</f>
        <v>0B</v>
      </c>
      <c r="H21">
        <f>modif0!J266</f>
        <v>298</v>
      </c>
      <c r="I21" t="str">
        <f>modif0!K266</f>
        <v/>
      </c>
      <c r="J21" s="11">
        <f>modif0!M266</f>
        <v>1.9734</v>
      </c>
      <c r="K21" s="11" t="str">
        <f>modif0!P266</f>
        <v>CR</v>
      </c>
      <c r="L21" t="str">
        <f>modif0!N266</f>
        <v>PM</v>
      </c>
      <c r="M21">
        <f>modif0!Q266</f>
        <v>2022</v>
      </c>
      <c r="N21" t="str">
        <f>modif0!R266</f>
        <v>CR-PM_2022</v>
      </c>
      <c r="O21" t="b">
        <f>modif0!S266</f>
        <v>1</v>
      </c>
      <c r="P21">
        <v>25</v>
      </c>
      <c r="Q21" t="s">
        <v>1868</v>
      </c>
      <c r="AA21" s="17">
        <f>IF($A21,$J21*(IF(Q21=regle!$B$11,regle!$B$23*IF(AJ21=-2,1+regle!$B$35,1),
IF(Q21=regle!$C$11,regle!$C$23,
IF(Q21=regle!$D$11,regle!$D$23,
IF(Q21=regle!$E$11,regle!$E$23,
IF(Q21=regle!$F$11,regle!$F$23,
IF(Q21=regle!$G$11,regle!$G$23,
IF(Q21=regle!$H$11,regle!$H$23,
IF(Q21=regle!$I$11,regle!$I$23,
IF(Q21=regle!$J$11,regle!$J$23,
IF(Q21=regle!$K$11,regle!$K$23,0))))))))))))</f>
        <v>-3354.78</v>
      </c>
      <c r="AB21" s="17">
        <f>IF($A21,$J21*(IF(R21=regle!$B$11,regle!$B$23*IF(AK21=-2,1+regle!$B$35,1),
IF(R21=regle!$C$11,regle!$C$23,
IF(R21=regle!$D$11,regle!$D$23,
IF(R21=regle!$E$11,regle!$E$23,
IF(R21=regle!$F$11,regle!$F$23,
IF(R21=regle!$G$11,regle!$G$23,
IF(R21=regle!$H$11,regle!$H$23,
IF(R21=regle!$I$11,regle!$I$23,
IF(R21=regle!$J$11,regle!$J$23,
IF(R21=regle!$K$11,regle!$K$23,0))))))))))))</f>
        <v>0</v>
      </c>
      <c r="AC21" s="17">
        <f>IF($A21,$J21*(IF(S21=regle!$B$11,regle!$B$23*IF(AL21=-2,1+regle!$B$35,1),
IF(S21=regle!$C$11,regle!$C$23,
IF(S21=regle!$D$11,regle!$D$23,
IF(S21=regle!$E$11,regle!$E$23,
IF(S21=regle!$F$11,regle!$F$23,
IF(S21=regle!$G$11,regle!$G$23,
IF(S21=regle!$H$11,regle!$H$23,
IF(S21=regle!$I$11,regle!$I$23,
IF(S21=regle!$J$11,regle!$J$23,
IF(S21=regle!$K$11,regle!$K$23,0))))))))))))</f>
        <v>0</v>
      </c>
      <c r="AD21" s="17">
        <f>IF($A21,$J21*(IF(T21=regle!$B$11,regle!$B$23*IF(AM21=-2,1+regle!$B$35,1),
IF(T21=regle!$C$11,regle!$C$23,
IF(T21=regle!$D$11,regle!$D$23,
IF(T21=regle!$E$11,regle!$E$23,
IF(T21=regle!$F$11,regle!$F$23,
IF(T21=regle!$G$11,regle!$G$23,
IF(T21=regle!$H$11,regle!$H$23,
IF(T21=regle!$I$11,regle!$I$23,
IF(T21=regle!$J$11,regle!$J$23,
IF(T21=regle!$K$11,regle!$K$23,0))))))))))))</f>
        <v>0</v>
      </c>
      <c r="AE21" s="17">
        <f>IF($A21,$J21*(IF(U21=regle!$B$11,regle!$B$23*IF(AN21=-2,1+regle!$B$35,1),
IF(U21=regle!$C$11,regle!$C$23,
IF(U21=regle!$D$11,regle!$D$23,
IF(U21=regle!$E$11,regle!$E$23,
IF(U21=regle!$F$11,regle!$F$23,
IF(U21=regle!$G$11,regle!$G$23,
IF(U21=regle!$H$11,regle!$H$23,
IF(U21=regle!$I$11,regle!$I$23,
IF(U21=regle!$J$11,regle!$J$23,
IF(U21=regle!$K$11,regle!$K$23,0))))))))))))</f>
        <v>0</v>
      </c>
      <c r="AF21" s="17">
        <f>IF($A21,$J21*(IF(V21=regle!$B$11,regle!$B$23*IF(AO21=-2,1+regle!$B$35,1),
IF(V21=regle!$C$11,regle!$C$23,
IF(V21=regle!$D$11,regle!$D$23,
IF(V21=regle!$E$11,regle!$E$23,
IF(V21=regle!$F$11,regle!$F$23,
IF(V21=regle!$G$11,regle!$G$23,
IF(V21=regle!$H$11,regle!$H$23,
IF(V21=regle!$I$11,regle!$I$23,
IF(V21=regle!$J$11,regle!$J$23,
IF(V21=regle!$K$11,regle!$K$23,0))))))))))))</f>
        <v>0</v>
      </c>
      <c r="AG21" s="17">
        <f>IF($A21,$J21*(IF(W21=regle!$B$11,regle!$B$23*IF(AP21=-2,1+regle!$B$35,1),
IF(W21=regle!$C$11,regle!$C$23,
IF(W21=regle!$D$11,regle!$D$23,
IF(W21=regle!$E$11,regle!$E$23,
IF(W21=regle!$F$11,regle!$F$23,
IF(W21=regle!$G$11,regle!$G$23,
IF(W21=regle!$H$11,regle!$H$23,
IF(W21=regle!$I$11,regle!$I$23,
IF(W21=regle!$J$11,regle!$J$23,
IF(W21=regle!$K$11,regle!$K$23,0))))))))))))</f>
        <v>0</v>
      </c>
      <c r="AH21" s="17">
        <f>IF($A21,$J21*(IF(X21=regle!$B$11,regle!$B$23*IF(AQ21=-2,1+regle!$B$35,1),
IF(X21=regle!$C$11,regle!$C$23,
IF(X21=regle!$D$11,regle!$D$23,
IF(X21=regle!$E$11,regle!$E$23,
IF(X21=regle!$F$11,regle!$F$23,
IF(X21=regle!$G$11,regle!$G$23,
IF(X21=regle!$H$11,regle!$H$23,
IF(X21=regle!$I$11,regle!$I$23,
IF(X21=regle!$J$11,regle!$J$23,
IF(X21=regle!$K$11,regle!$K$23,0))))))))))))</f>
        <v>0</v>
      </c>
      <c r="AI21" s="17">
        <f>IF($A21,$J21*(IF(Y21=regle!$B$11,regle!$B$23*IF(AR21=-2,1+regle!$B$35,1),
IF(Y21=regle!$C$11,regle!$C$23,
IF(Y21=regle!$D$11,regle!$D$23,
IF(Y21=regle!$E$11,regle!$E$23,
IF(Y21=regle!$F$11,regle!$F$23,
IF(Y21=regle!$G$11,regle!$G$23,
IF(Y21=regle!$H$11,regle!$H$23,
IF(Y21=regle!$I$11,regle!$I$23,
IF(Y21=regle!$J$11,regle!$J$23,
IF(Y21=regle!$K$11,regle!$K$23,0))))))))))))</f>
        <v>0</v>
      </c>
      <c r="AJ21" s="17">
        <f>IF($A21,$J21*(IF(Z21=regle!$B$11,regle!$B$23*IF(AS21=-2,1+regle!$B$35,1),
IF(Z21=regle!$C$11,regle!$C$23,
IF(Z21=regle!$D$11,regle!$D$23,
IF(Z21=regle!$E$11,regle!$E$23,
IF(Z21=regle!$F$11,regle!$F$23,
IF(Z21=regle!$G$11,regle!$G$23,
IF(Z21=regle!$H$11,regle!$H$23,
IF(Z21=regle!$I$11,regle!$I$23,
IF(Z21=regle!$J$11,regle!$J$23,
IF(Z21=regle!$K$11,regle!$K$23,0))))))))))))</f>
        <v>0</v>
      </c>
      <c r="AK21" s="16">
        <f>IF(OR(Q21=regle!$J$11,Q21=regle!$K$11),-2,IF(Q21=regle!$B$11,0,IF(AK$1=$AK$1,IF($O21,-1,regle!$B$2-$M21),IF(AJ21=-1,-1,AJ21+1))))</f>
        <v>0</v>
      </c>
      <c r="AL21" s="16">
        <f>IF(OR(R21=regle!$J$11,R21=regle!$K$11),-2,IF(R21=regle!$B$11,0,IF(AL$1=$AK$1,IF($O21,-1,regle!$B$2-$M21),IF(AK21=-1,-1,AK21+1))))</f>
        <v>1</v>
      </c>
      <c r="AM21" s="16">
        <f>IF(OR(S21=regle!$J$11,S21=regle!$K$11),-2,IF(S21=regle!$B$11,0,IF(AM$1=$AK$1,IF($O21,-1,regle!$B$2-$M21),IF(AL21=-1,-1,AL21+1))))</f>
        <v>2</v>
      </c>
      <c r="AN21" s="16">
        <f>IF(OR(T21=regle!$J$11,T21=regle!$K$11),-2,IF(T21=regle!$B$11,0,IF(AN$1=$AK$1,IF($O21,-1,regle!$B$2-$M21),IF(AM21=-1,-1,AM21+1))))</f>
        <v>3</v>
      </c>
      <c r="AO21" s="16">
        <f>IF(OR(U21=regle!$J$11,U21=regle!$K$11),-2,IF(U21=regle!$B$11,0,IF(AO$1=$AK$1,IF($O21,-1,regle!$B$2-$M21),IF(AN21=-1,-1,AN21+1))))</f>
        <v>4</v>
      </c>
      <c r="AP21" s="16">
        <f>IF(OR(V21=regle!$J$11,V21=regle!$K$11),-2,IF(V21=regle!$B$11,0,IF(AP$1=$AK$1,IF($O21,-1,regle!$B$2-$M21),IF(AO21=-1,-1,AO21+1))))</f>
        <v>5</v>
      </c>
      <c r="AQ21" s="16">
        <f>IF(OR(W21=regle!$J$11,W21=regle!$K$11),-2,IF(W21=regle!$B$11,0,IF(AQ$1=$AK$1,IF($O21,-1,regle!$B$2-$M21),IF(AP21=-1,-1,AP21+1))))</f>
        <v>6</v>
      </c>
      <c r="AR21" s="16">
        <f>IF(OR(X21=regle!$J$11,X21=regle!$K$11),-2,IF(X21=regle!$B$11,0,IF(AR$1=$AK$1,IF($O21,-1,regle!$B$2-$M21),IF(AQ21=-1,-1,AQ21+1))))</f>
        <v>7</v>
      </c>
      <c r="AS21" s="16">
        <f>IF(OR(Y21=regle!$J$11,Y21=regle!$K$11),-2,IF(Y21=regle!$B$11,0,IF(AS$1=$AK$1,IF($O21,-1,regle!$B$2-$M21),IF(AR21=-1,-1,AR21+1))))</f>
        <v>8</v>
      </c>
      <c r="AT21" s="16">
        <f>IF(OR(Z21=regle!$J$11,Z21=regle!$K$11),-2,IF(Z21=regle!$B$11,0,IF(AT$1=$AK$1,IF($O21,-1,regle!$B$2-$M21),IF(AS21=-1,-1,AS21+1))))</f>
        <v>9</v>
      </c>
    </row>
    <row r="22" spans="1:46" x14ac:dyDescent="0.25">
      <c r="A22" t="b">
        <f>modif0!A2</f>
        <v>1</v>
      </c>
      <c r="B22">
        <f>ROW(modif0!B2)</f>
        <v>2</v>
      </c>
      <c r="C22" t="str">
        <f>modif0!D2</f>
        <v>202</v>
      </c>
      <c r="D22" t="str">
        <f>modif0!E2</f>
        <v>HOSTENS</v>
      </c>
      <c r="E22">
        <f>modif0!F2</f>
        <v>13</v>
      </c>
      <c r="F22" t="str">
        <f>modif0!G2</f>
        <v>PIQUETAILLADE</v>
      </c>
      <c r="G22" t="str">
        <f>modif0!I2</f>
        <v>0A</v>
      </c>
      <c r="H22">
        <f>modif0!J2</f>
        <v>1144</v>
      </c>
      <c r="I22" t="str">
        <f>modif0!K2</f>
        <v/>
      </c>
      <c r="J22" s="11">
        <f>modif0!M2</f>
        <v>1.885</v>
      </c>
      <c r="K22" s="11" t="str">
        <f>modif0!P2</f>
        <v>CR</v>
      </c>
      <c r="L22" t="str">
        <f>modif0!N2</f>
        <v>PM</v>
      </c>
      <c r="M22">
        <f>modif0!Q2</f>
        <v>2022</v>
      </c>
      <c r="N22" t="str">
        <f>modif0!R2</f>
        <v>CR-PM_2022</v>
      </c>
      <c r="O22" t="b">
        <f>modif0!S2</f>
        <v>1</v>
      </c>
      <c r="P22">
        <v>25</v>
      </c>
      <c r="Q22" t="s">
        <v>1868</v>
      </c>
      <c r="AA22" s="17">
        <f>IF($A22,$J22*(IF(Q22=regle!$B$11,regle!$B$23*IF(AJ22=-2,1+regle!$B$35,1),
IF(Q22=regle!$C$11,regle!$C$23,
IF(Q22=regle!$D$11,regle!$D$23,
IF(Q22=regle!$E$11,regle!$E$23,
IF(Q22=regle!$F$11,regle!$F$23,
IF(Q22=regle!$G$11,regle!$G$23,
IF(Q22=regle!$H$11,regle!$H$23,
IF(Q22=regle!$I$11,regle!$I$23,
IF(Q22=regle!$J$11,regle!$J$23,
IF(Q22=regle!$K$11,regle!$K$23,0))))))))))))</f>
        <v>-3204.5</v>
      </c>
      <c r="AB22" s="17">
        <f>IF($A22,$J22*(IF(R22=regle!$B$11,regle!$B$23*IF(AK22=-2,1+regle!$B$35,1),
IF(R22=regle!$C$11,regle!$C$23,
IF(R22=regle!$D$11,regle!$D$23,
IF(R22=regle!$E$11,regle!$E$23,
IF(R22=regle!$F$11,regle!$F$23,
IF(R22=regle!$G$11,regle!$G$23,
IF(R22=regle!$H$11,regle!$H$23,
IF(R22=regle!$I$11,regle!$I$23,
IF(R22=regle!$J$11,regle!$J$23,
IF(R22=regle!$K$11,regle!$K$23,0))))))))))))</f>
        <v>0</v>
      </c>
      <c r="AC22" s="17">
        <f>IF($A22,$J22*(IF(S22=regle!$B$11,regle!$B$23*IF(AL22=-2,1+regle!$B$35,1),
IF(S22=regle!$C$11,regle!$C$23,
IF(S22=regle!$D$11,regle!$D$23,
IF(S22=regle!$E$11,regle!$E$23,
IF(S22=regle!$F$11,regle!$F$23,
IF(S22=regle!$G$11,regle!$G$23,
IF(S22=regle!$H$11,regle!$H$23,
IF(S22=regle!$I$11,regle!$I$23,
IF(S22=regle!$J$11,regle!$J$23,
IF(S22=regle!$K$11,regle!$K$23,0))))))))))))</f>
        <v>0</v>
      </c>
      <c r="AD22" s="17">
        <f>IF($A22,$J22*(IF(T22=regle!$B$11,regle!$B$23*IF(AM22=-2,1+regle!$B$35,1),
IF(T22=regle!$C$11,regle!$C$23,
IF(T22=regle!$D$11,regle!$D$23,
IF(T22=regle!$E$11,regle!$E$23,
IF(T22=regle!$F$11,regle!$F$23,
IF(T22=regle!$G$11,regle!$G$23,
IF(T22=regle!$H$11,regle!$H$23,
IF(T22=regle!$I$11,regle!$I$23,
IF(T22=regle!$J$11,regle!$J$23,
IF(T22=regle!$K$11,regle!$K$23,0))))))))))))</f>
        <v>0</v>
      </c>
      <c r="AE22" s="17">
        <f>IF($A22,$J22*(IF(U22=regle!$B$11,regle!$B$23*IF(AN22=-2,1+regle!$B$35,1),
IF(U22=regle!$C$11,regle!$C$23,
IF(U22=regle!$D$11,regle!$D$23,
IF(U22=regle!$E$11,regle!$E$23,
IF(U22=regle!$F$11,regle!$F$23,
IF(U22=regle!$G$11,regle!$G$23,
IF(U22=regle!$H$11,regle!$H$23,
IF(U22=regle!$I$11,regle!$I$23,
IF(U22=regle!$J$11,regle!$J$23,
IF(U22=regle!$K$11,regle!$K$23,0))))))))))))</f>
        <v>0</v>
      </c>
      <c r="AF22" s="17">
        <f>IF($A22,$J22*(IF(V22=regle!$B$11,regle!$B$23*IF(AO22=-2,1+regle!$B$35,1),
IF(V22=regle!$C$11,regle!$C$23,
IF(V22=regle!$D$11,regle!$D$23,
IF(V22=regle!$E$11,regle!$E$23,
IF(V22=regle!$F$11,regle!$F$23,
IF(V22=regle!$G$11,regle!$G$23,
IF(V22=regle!$H$11,regle!$H$23,
IF(V22=regle!$I$11,regle!$I$23,
IF(V22=regle!$J$11,regle!$J$23,
IF(V22=regle!$K$11,regle!$K$23,0))))))))))))</f>
        <v>0</v>
      </c>
      <c r="AG22" s="17">
        <f>IF($A22,$J22*(IF(W22=regle!$B$11,regle!$B$23*IF(AP22=-2,1+regle!$B$35,1),
IF(W22=regle!$C$11,regle!$C$23,
IF(W22=regle!$D$11,regle!$D$23,
IF(W22=regle!$E$11,regle!$E$23,
IF(W22=regle!$F$11,regle!$F$23,
IF(W22=regle!$G$11,regle!$G$23,
IF(W22=regle!$H$11,regle!$H$23,
IF(W22=regle!$I$11,regle!$I$23,
IF(W22=regle!$J$11,regle!$J$23,
IF(W22=regle!$K$11,regle!$K$23,0))))))))))))</f>
        <v>0</v>
      </c>
      <c r="AH22" s="17">
        <f>IF($A22,$J22*(IF(X22=regle!$B$11,regle!$B$23*IF(AQ22=-2,1+regle!$B$35,1),
IF(X22=regle!$C$11,regle!$C$23,
IF(X22=regle!$D$11,regle!$D$23,
IF(X22=regle!$E$11,regle!$E$23,
IF(X22=regle!$F$11,regle!$F$23,
IF(X22=regle!$G$11,regle!$G$23,
IF(X22=regle!$H$11,regle!$H$23,
IF(X22=regle!$I$11,regle!$I$23,
IF(X22=regle!$J$11,regle!$J$23,
IF(X22=regle!$K$11,regle!$K$23,0))))))))))))</f>
        <v>0</v>
      </c>
      <c r="AI22" s="17">
        <f>IF($A22,$J22*(IF(Y22=regle!$B$11,regle!$B$23*IF(AR22=-2,1+regle!$B$35,1),
IF(Y22=regle!$C$11,regle!$C$23,
IF(Y22=regle!$D$11,regle!$D$23,
IF(Y22=regle!$E$11,regle!$E$23,
IF(Y22=regle!$F$11,regle!$F$23,
IF(Y22=regle!$G$11,regle!$G$23,
IF(Y22=regle!$H$11,regle!$H$23,
IF(Y22=regle!$I$11,regle!$I$23,
IF(Y22=regle!$J$11,regle!$J$23,
IF(Y22=regle!$K$11,regle!$K$23,0))))))))))))</f>
        <v>0</v>
      </c>
      <c r="AJ22" s="17">
        <f>IF($A22,$J22*(IF(Z22=regle!$B$11,regle!$B$23*IF(AS22=-2,1+regle!$B$35,1),
IF(Z22=regle!$C$11,regle!$C$23,
IF(Z22=regle!$D$11,regle!$D$23,
IF(Z22=regle!$E$11,regle!$E$23,
IF(Z22=regle!$F$11,regle!$F$23,
IF(Z22=regle!$G$11,regle!$G$23,
IF(Z22=regle!$H$11,regle!$H$23,
IF(Z22=regle!$I$11,regle!$I$23,
IF(Z22=regle!$J$11,regle!$J$23,
IF(Z22=regle!$K$11,regle!$K$23,0))))))))))))</f>
        <v>0</v>
      </c>
      <c r="AK22" s="16">
        <f>IF(OR(Q22=regle!$J$11,Q22=regle!$K$11),-2,IF(Q22=regle!$B$11,0,IF(AK$1=$AK$1,IF($O22,-1,regle!$B$2-$M22),IF(AJ22=-1,-1,AJ22+1))))</f>
        <v>0</v>
      </c>
      <c r="AL22" s="16">
        <f>IF(OR(R22=regle!$J$11,R22=regle!$K$11),-2,IF(R22=regle!$B$11,0,IF(AL$1=$AK$1,IF($O22,-1,regle!$B$2-$M22),IF(AK22=-1,-1,AK22+1))))</f>
        <v>1</v>
      </c>
      <c r="AM22" s="16">
        <f>IF(OR(S22=regle!$J$11,S22=regle!$K$11),-2,IF(S22=regle!$B$11,0,IF(AM$1=$AK$1,IF($O22,-1,regle!$B$2-$M22),IF(AL22=-1,-1,AL22+1))))</f>
        <v>2</v>
      </c>
      <c r="AN22" s="16">
        <f>IF(OR(T22=regle!$J$11,T22=regle!$K$11),-2,IF(T22=regle!$B$11,0,IF(AN$1=$AK$1,IF($O22,-1,regle!$B$2-$M22),IF(AM22=-1,-1,AM22+1))))</f>
        <v>3</v>
      </c>
      <c r="AO22" s="16">
        <f>IF(OR(U22=regle!$J$11,U22=regle!$K$11),-2,IF(U22=regle!$B$11,0,IF(AO$1=$AK$1,IF($O22,-1,regle!$B$2-$M22),IF(AN22=-1,-1,AN22+1))))</f>
        <v>4</v>
      </c>
      <c r="AP22" s="16">
        <f>IF(OR(V22=regle!$J$11,V22=regle!$K$11),-2,IF(V22=regle!$B$11,0,IF(AP$1=$AK$1,IF($O22,-1,regle!$B$2-$M22),IF(AO22=-1,-1,AO22+1))))</f>
        <v>5</v>
      </c>
      <c r="AQ22" s="16">
        <f>IF(OR(W22=regle!$J$11,W22=regle!$K$11),-2,IF(W22=regle!$B$11,0,IF(AQ$1=$AK$1,IF($O22,-1,regle!$B$2-$M22),IF(AP22=-1,-1,AP22+1))))</f>
        <v>6</v>
      </c>
      <c r="AR22" s="16">
        <f>IF(OR(X22=regle!$J$11,X22=regle!$K$11),-2,IF(X22=regle!$B$11,0,IF(AR$1=$AK$1,IF($O22,-1,regle!$B$2-$M22),IF(AQ22=-1,-1,AQ22+1))))</f>
        <v>7</v>
      </c>
      <c r="AS22" s="16">
        <f>IF(OR(Y22=regle!$J$11,Y22=regle!$K$11),-2,IF(Y22=regle!$B$11,0,IF(AS$1=$AK$1,IF($O22,-1,regle!$B$2-$M22),IF(AR22=-1,-1,AR22+1))))</f>
        <v>8</v>
      </c>
      <c r="AT22" s="16">
        <f>IF(OR(Z22=regle!$J$11,Z22=regle!$K$11),-2,IF(Z22=regle!$B$11,0,IF(AT$1=$AK$1,IF($O22,-1,regle!$B$2-$M22),IF(AS22=-1,-1,AS22+1))))</f>
        <v>9</v>
      </c>
    </row>
    <row r="23" spans="1:46" x14ac:dyDescent="0.25">
      <c r="A23" t="b">
        <f>modif0!A341</f>
        <v>1</v>
      </c>
      <c r="B23">
        <f>ROW(modif0!B341)</f>
        <v>341</v>
      </c>
      <c r="C23" t="str">
        <f>modif0!D341</f>
        <v>171</v>
      </c>
      <c r="D23" t="str">
        <f>modif0!E341</f>
        <v>MANO</v>
      </c>
      <c r="E23">
        <f>modif0!F341</f>
        <v>5</v>
      </c>
      <c r="F23" t="str">
        <f>modif0!G341</f>
        <v>BOSCQ</v>
      </c>
      <c r="G23" t="str">
        <f>modif0!I341</f>
        <v>0D</v>
      </c>
      <c r="H23">
        <f>modif0!J341</f>
        <v>264</v>
      </c>
      <c r="I23" t="str">
        <f>modif0!K341</f>
        <v/>
      </c>
      <c r="J23" s="11">
        <f>modif0!M341</f>
        <v>1.8580000000000001</v>
      </c>
      <c r="K23" s="11" t="str">
        <f>modif0!P341</f>
        <v>CR</v>
      </c>
      <c r="L23" t="str">
        <f>modif0!N341</f>
        <v>PM</v>
      </c>
      <c r="M23">
        <f>modif0!Q341</f>
        <v>2022</v>
      </c>
      <c r="N23" t="str">
        <f>modif0!R341</f>
        <v>CR-PM_2022</v>
      </c>
      <c r="O23" t="b">
        <f>modif0!S341</f>
        <v>1</v>
      </c>
      <c r="P23">
        <v>25</v>
      </c>
      <c r="Q23" t="s">
        <v>1868</v>
      </c>
      <c r="AA23" s="17">
        <f>IF($A23,$J23*(IF(Q23=regle!$B$11,regle!$B$23*IF(AJ23=-2,1+regle!$B$35,1),
IF(Q23=regle!$C$11,regle!$C$23,
IF(Q23=regle!$D$11,regle!$D$23,
IF(Q23=regle!$E$11,regle!$E$23,
IF(Q23=regle!$F$11,regle!$F$23,
IF(Q23=regle!$G$11,regle!$G$23,
IF(Q23=regle!$H$11,regle!$H$23,
IF(Q23=regle!$I$11,regle!$I$23,
IF(Q23=regle!$J$11,regle!$J$23,
IF(Q23=regle!$K$11,regle!$K$23,0))))))))))))</f>
        <v>-3158.6000000000004</v>
      </c>
      <c r="AB23" s="17">
        <f>IF($A23,$J23*(IF(R23=regle!$B$11,regle!$B$23*IF(AK23=-2,1+regle!$B$35,1),
IF(R23=regle!$C$11,regle!$C$23,
IF(R23=regle!$D$11,regle!$D$23,
IF(R23=regle!$E$11,regle!$E$23,
IF(R23=regle!$F$11,regle!$F$23,
IF(R23=regle!$G$11,regle!$G$23,
IF(R23=regle!$H$11,regle!$H$23,
IF(R23=regle!$I$11,regle!$I$23,
IF(R23=regle!$J$11,regle!$J$23,
IF(R23=regle!$K$11,regle!$K$23,0))))))))))))</f>
        <v>0</v>
      </c>
      <c r="AC23" s="17">
        <f>IF($A23,$J23*(IF(S23=regle!$B$11,regle!$B$23*IF(AL23=-2,1+regle!$B$35,1),
IF(S23=regle!$C$11,regle!$C$23,
IF(S23=regle!$D$11,regle!$D$23,
IF(S23=regle!$E$11,regle!$E$23,
IF(S23=regle!$F$11,regle!$F$23,
IF(S23=regle!$G$11,regle!$G$23,
IF(S23=regle!$H$11,regle!$H$23,
IF(S23=regle!$I$11,regle!$I$23,
IF(S23=regle!$J$11,regle!$J$23,
IF(S23=regle!$K$11,regle!$K$23,0))))))))))))</f>
        <v>0</v>
      </c>
      <c r="AD23" s="17">
        <f>IF($A23,$J23*(IF(T23=regle!$B$11,regle!$B$23*IF(AM23=-2,1+regle!$B$35,1),
IF(T23=regle!$C$11,regle!$C$23,
IF(T23=regle!$D$11,regle!$D$23,
IF(T23=regle!$E$11,regle!$E$23,
IF(T23=regle!$F$11,regle!$F$23,
IF(T23=regle!$G$11,regle!$G$23,
IF(T23=regle!$H$11,regle!$H$23,
IF(T23=regle!$I$11,regle!$I$23,
IF(T23=regle!$J$11,regle!$J$23,
IF(T23=regle!$K$11,regle!$K$23,0))))))))))))</f>
        <v>0</v>
      </c>
      <c r="AE23" s="17">
        <f>IF($A23,$J23*(IF(U23=regle!$B$11,regle!$B$23*IF(AN23=-2,1+regle!$B$35,1),
IF(U23=regle!$C$11,regle!$C$23,
IF(U23=regle!$D$11,regle!$D$23,
IF(U23=regle!$E$11,regle!$E$23,
IF(U23=regle!$F$11,regle!$F$23,
IF(U23=regle!$G$11,regle!$G$23,
IF(U23=regle!$H$11,regle!$H$23,
IF(U23=regle!$I$11,regle!$I$23,
IF(U23=regle!$J$11,regle!$J$23,
IF(U23=regle!$K$11,regle!$K$23,0))))))))))))</f>
        <v>0</v>
      </c>
      <c r="AF23" s="17">
        <f>IF($A23,$J23*(IF(V23=regle!$B$11,regle!$B$23*IF(AO23=-2,1+regle!$B$35,1),
IF(V23=regle!$C$11,regle!$C$23,
IF(V23=regle!$D$11,regle!$D$23,
IF(V23=regle!$E$11,regle!$E$23,
IF(V23=regle!$F$11,regle!$F$23,
IF(V23=regle!$G$11,regle!$G$23,
IF(V23=regle!$H$11,regle!$H$23,
IF(V23=regle!$I$11,regle!$I$23,
IF(V23=regle!$J$11,regle!$J$23,
IF(V23=regle!$K$11,regle!$K$23,0))))))))))))</f>
        <v>0</v>
      </c>
      <c r="AG23" s="17">
        <f>IF($A23,$J23*(IF(W23=regle!$B$11,regle!$B$23*IF(AP23=-2,1+regle!$B$35,1),
IF(W23=regle!$C$11,regle!$C$23,
IF(W23=regle!$D$11,regle!$D$23,
IF(W23=regle!$E$11,regle!$E$23,
IF(W23=regle!$F$11,regle!$F$23,
IF(W23=regle!$G$11,regle!$G$23,
IF(W23=regle!$H$11,regle!$H$23,
IF(W23=regle!$I$11,regle!$I$23,
IF(W23=regle!$J$11,regle!$J$23,
IF(W23=regle!$K$11,regle!$K$23,0))))))))))))</f>
        <v>0</v>
      </c>
      <c r="AH23" s="17">
        <f>IF($A23,$J23*(IF(X23=regle!$B$11,regle!$B$23*IF(AQ23=-2,1+regle!$B$35,1),
IF(X23=regle!$C$11,regle!$C$23,
IF(X23=regle!$D$11,regle!$D$23,
IF(X23=regle!$E$11,regle!$E$23,
IF(X23=regle!$F$11,regle!$F$23,
IF(X23=regle!$G$11,regle!$G$23,
IF(X23=regle!$H$11,regle!$H$23,
IF(X23=regle!$I$11,regle!$I$23,
IF(X23=regle!$J$11,regle!$J$23,
IF(X23=regle!$K$11,regle!$K$23,0))))))))))))</f>
        <v>0</v>
      </c>
      <c r="AI23" s="17">
        <f>IF($A23,$J23*(IF(Y23=regle!$B$11,regle!$B$23*IF(AR23=-2,1+regle!$B$35,1),
IF(Y23=regle!$C$11,regle!$C$23,
IF(Y23=regle!$D$11,regle!$D$23,
IF(Y23=regle!$E$11,regle!$E$23,
IF(Y23=regle!$F$11,regle!$F$23,
IF(Y23=regle!$G$11,regle!$G$23,
IF(Y23=regle!$H$11,regle!$H$23,
IF(Y23=regle!$I$11,regle!$I$23,
IF(Y23=regle!$J$11,regle!$J$23,
IF(Y23=regle!$K$11,regle!$K$23,0))))))))))))</f>
        <v>0</v>
      </c>
      <c r="AJ23" s="17">
        <f>IF($A23,$J23*(IF(Z23=regle!$B$11,regle!$B$23*IF(AS23=-2,1+regle!$B$35,1),
IF(Z23=regle!$C$11,regle!$C$23,
IF(Z23=regle!$D$11,regle!$D$23,
IF(Z23=regle!$E$11,regle!$E$23,
IF(Z23=regle!$F$11,regle!$F$23,
IF(Z23=regle!$G$11,regle!$G$23,
IF(Z23=regle!$H$11,regle!$H$23,
IF(Z23=regle!$I$11,regle!$I$23,
IF(Z23=regle!$J$11,regle!$J$23,
IF(Z23=regle!$K$11,regle!$K$23,0))))))))))))</f>
        <v>0</v>
      </c>
      <c r="AK23" s="16">
        <f>IF(OR(Q23=regle!$J$11,Q23=regle!$K$11),-2,IF(Q23=regle!$B$11,0,IF(AK$1=$AK$1,IF($O23,-1,regle!$B$2-$M23),IF(AJ23=-1,-1,AJ23+1))))</f>
        <v>0</v>
      </c>
      <c r="AL23" s="16">
        <f>IF(OR(R23=regle!$J$11,R23=regle!$K$11),-2,IF(R23=regle!$B$11,0,IF(AL$1=$AK$1,IF($O23,-1,regle!$B$2-$M23),IF(AK23=-1,-1,AK23+1))))</f>
        <v>1</v>
      </c>
      <c r="AM23" s="16">
        <f>IF(OR(S23=regle!$J$11,S23=regle!$K$11),-2,IF(S23=regle!$B$11,0,IF(AM$1=$AK$1,IF($O23,-1,regle!$B$2-$M23),IF(AL23=-1,-1,AL23+1))))</f>
        <v>2</v>
      </c>
      <c r="AN23" s="16">
        <f>IF(OR(T23=regle!$J$11,T23=regle!$K$11),-2,IF(T23=regle!$B$11,0,IF(AN$1=$AK$1,IF($O23,-1,regle!$B$2-$M23),IF(AM23=-1,-1,AM23+1))))</f>
        <v>3</v>
      </c>
      <c r="AO23" s="16">
        <f>IF(OR(U23=regle!$J$11,U23=regle!$K$11),-2,IF(U23=regle!$B$11,0,IF(AO$1=$AK$1,IF($O23,-1,regle!$B$2-$M23),IF(AN23=-1,-1,AN23+1))))</f>
        <v>4</v>
      </c>
      <c r="AP23" s="16">
        <f>IF(OR(V23=regle!$J$11,V23=regle!$K$11),-2,IF(V23=regle!$B$11,0,IF(AP$1=$AK$1,IF($O23,-1,regle!$B$2-$M23),IF(AO23=-1,-1,AO23+1))))</f>
        <v>5</v>
      </c>
      <c r="AQ23" s="16">
        <f>IF(OR(W23=regle!$J$11,W23=regle!$K$11),-2,IF(W23=regle!$B$11,0,IF(AQ$1=$AK$1,IF($O23,-1,regle!$B$2-$M23),IF(AP23=-1,-1,AP23+1))))</f>
        <v>6</v>
      </c>
      <c r="AR23" s="16">
        <f>IF(OR(X23=regle!$J$11,X23=regle!$K$11),-2,IF(X23=regle!$B$11,0,IF(AR$1=$AK$1,IF($O23,-1,regle!$B$2-$M23),IF(AQ23=-1,-1,AQ23+1))))</f>
        <v>7</v>
      </c>
      <c r="AS23" s="16">
        <f>IF(OR(Y23=regle!$J$11,Y23=regle!$K$11),-2,IF(Y23=regle!$B$11,0,IF(AS$1=$AK$1,IF($O23,-1,regle!$B$2-$M23),IF(AR23=-1,-1,AR23+1))))</f>
        <v>8</v>
      </c>
      <c r="AT23" s="16">
        <f>IF(OR(Z23=regle!$J$11,Z23=regle!$K$11),-2,IF(Z23=regle!$B$11,0,IF(AT$1=$AK$1,IF($O23,-1,regle!$B$2-$M23),IF(AS23=-1,-1,AS23+1))))</f>
        <v>9</v>
      </c>
    </row>
    <row r="24" spans="1:46" x14ac:dyDescent="0.25">
      <c r="A24" t="b">
        <f>modif0!A339</f>
        <v>1</v>
      </c>
      <c r="B24">
        <f>ROW(modif0!B339)</f>
        <v>339</v>
      </c>
      <c r="C24" t="str">
        <f>modif0!D339</f>
        <v>171</v>
      </c>
      <c r="D24" t="str">
        <f>modif0!E339</f>
        <v>MANO</v>
      </c>
      <c r="E24">
        <f>modif0!F339</f>
        <v>5</v>
      </c>
      <c r="F24" t="str">
        <f>modif0!G339</f>
        <v>BOSCQ</v>
      </c>
      <c r="G24" t="str">
        <f>modif0!I339</f>
        <v>0D</v>
      </c>
      <c r="H24">
        <f>modif0!J339</f>
        <v>262</v>
      </c>
      <c r="I24" t="str">
        <f>modif0!K339</f>
        <v/>
      </c>
      <c r="J24" s="11">
        <f>modif0!M339</f>
        <v>1.8297000000000001</v>
      </c>
      <c r="K24" s="11" t="str">
        <f>modif0!P339</f>
        <v>CR</v>
      </c>
      <c r="L24" t="str">
        <f>modif0!N339</f>
        <v>PM</v>
      </c>
      <c r="M24">
        <f>modif0!Q339</f>
        <v>2022</v>
      </c>
      <c r="N24" t="str">
        <f>modif0!R339</f>
        <v>CR-PM_2022</v>
      </c>
      <c r="O24" t="b">
        <f>modif0!S339</f>
        <v>1</v>
      </c>
      <c r="P24">
        <v>25</v>
      </c>
      <c r="Q24" t="s">
        <v>1868</v>
      </c>
      <c r="AA24" s="17">
        <f>IF($A24,$J24*(IF(Q24=regle!$B$11,regle!$B$23*IF(AJ24=-2,1+regle!$B$35,1),
IF(Q24=regle!$C$11,regle!$C$23,
IF(Q24=regle!$D$11,regle!$D$23,
IF(Q24=regle!$E$11,regle!$E$23,
IF(Q24=regle!$F$11,regle!$F$23,
IF(Q24=regle!$G$11,regle!$G$23,
IF(Q24=regle!$H$11,regle!$H$23,
IF(Q24=regle!$I$11,regle!$I$23,
IF(Q24=regle!$J$11,regle!$J$23,
IF(Q24=regle!$K$11,regle!$K$23,0))))))))))))</f>
        <v>-3110.4900000000002</v>
      </c>
      <c r="AB24" s="17">
        <f>IF($A24,$J24*(IF(R24=regle!$B$11,regle!$B$23*IF(AK24=-2,1+regle!$B$35,1),
IF(R24=regle!$C$11,regle!$C$23,
IF(R24=regle!$D$11,regle!$D$23,
IF(R24=regle!$E$11,regle!$E$23,
IF(R24=regle!$F$11,regle!$F$23,
IF(R24=regle!$G$11,regle!$G$23,
IF(R24=regle!$H$11,regle!$H$23,
IF(R24=regle!$I$11,regle!$I$23,
IF(R24=regle!$J$11,regle!$J$23,
IF(R24=regle!$K$11,regle!$K$23,0))))))))))))</f>
        <v>0</v>
      </c>
      <c r="AC24" s="17">
        <f>IF($A24,$J24*(IF(S24=regle!$B$11,regle!$B$23*IF(AL24=-2,1+regle!$B$35,1),
IF(S24=regle!$C$11,regle!$C$23,
IF(S24=regle!$D$11,regle!$D$23,
IF(S24=regle!$E$11,regle!$E$23,
IF(S24=regle!$F$11,regle!$F$23,
IF(S24=regle!$G$11,regle!$G$23,
IF(S24=regle!$H$11,regle!$H$23,
IF(S24=regle!$I$11,regle!$I$23,
IF(S24=regle!$J$11,regle!$J$23,
IF(S24=regle!$K$11,regle!$K$23,0))))))))))))</f>
        <v>0</v>
      </c>
      <c r="AD24" s="17">
        <f>IF($A24,$J24*(IF(T24=regle!$B$11,regle!$B$23*IF(AM24=-2,1+regle!$B$35,1),
IF(T24=regle!$C$11,regle!$C$23,
IF(T24=regle!$D$11,regle!$D$23,
IF(T24=regle!$E$11,regle!$E$23,
IF(T24=regle!$F$11,regle!$F$23,
IF(T24=regle!$G$11,regle!$G$23,
IF(T24=regle!$H$11,regle!$H$23,
IF(T24=regle!$I$11,regle!$I$23,
IF(T24=regle!$J$11,regle!$J$23,
IF(T24=regle!$K$11,regle!$K$23,0))))))))))))</f>
        <v>0</v>
      </c>
      <c r="AE24" s="17">
        <f>IF($A24,$J24*(IF(U24=regle!$B$11,regle!$B$23*IF(AN24=-2,1+regle!$B$35,1),
IF(U24=regle!$C$11,regle!$C$23,
IF(U24=regle!$D$11,regle!$D$23,
IF(U24=regle!$E$11,regle!$E$23,
IF(U24=regle!$F$11,regle!$F$23,
IF(U24=regle!$G$11,regle!$G$23,
IF(U24=regle!$H$11,regle!$H$23,
IF(U24=regle!$I$11,regle!$I$23,
IF(U24=regle!$J$11,regle!$J$23,
IF(U24=regle!$K$11,regle!$K$23,0))))))))))))</f>
        <v>0</v>
      </c>
      <c r="AF24" s="17">
        <f>IF($A24,$J24*(IF(V24=regle!$B$11,regle!$B$23*IF(AO24=-2,1+regle!$B$35,1),
IF(V24=regle!$C$11,regle!$C$23,
IF(V24=regle!$D$11,regle!$D$23,
IF(V24=regle!$E$11,regle!$E$23,
IF(V24=regle!$F$11,regle!$F$23,
IF(V24=regle!$G$11,regle!$G$23,
IF(V24=regle!$H$11,regle!$H$23,
IF(V24=regle!$I$11,regle!$I$23,
IF(V24=regle!$J$11,regle!$J$23,
IF(V24=regle!$K$11,regle!$K$23,0))))))))))))</f>
        <v>0</v>
      </c>
      <c r="AG24" s="17">
        <f>IF($A24,$J24*(IF(W24=regle!$B$11,regle!$B$23*IF(AP24=-2,1+regle!$B$35,1),
IF(W24=regle!$C$11,regle!$C$23,
IF(W24=regle!$D$11,regle!$D$23,
IF(W24=regle!$E$11,regle!$E$23,
IF(W24=regle!$F$11,regle!$F$23,
IF(W24=regle!$G$11,regle!$G$23,
IF(W24=regle!$H$11,regle!$H$23,
IF(W24=regle!$I$11,regle!$I$23,
IF(W24=regle!$J$11,regle!$J$23,
IF(W24=regle!$K$11,regle!$K$23,0))))))))))))</f>
        <v>0</v>
      </c>
      <c r="AH24" s="17">
        <f>IF($A24,$J24*(IF(X24=regle!$B$11,regle!$B$23*IF(AQ24=-2,1+regle!$B$35,1),
IF(X24=regle!$C$11,regle!$C$23,
IF(X24=regle!$D$11,regle!$D$23,
IF(X24=regle!$E$11,regle!$E$23,
IF(X24=regle!$F$11,regle!$F$23,
IF(X24=regle!$G$11,regle!$G$23,
IF(X24=regle!$H$11,regle!$H$23,
IF(X24=regle!$I$11,regle!$I$23,
IF(X24=regle!$J$11,regle!$J$23,
IF(X24=regle!$K$11,regle!$K$23,0))))))))))))</f>
        <v>0</v>
      </c>
      <c r="AI24" s="17">
        <f>IF($A24,$J24*(IF(Y24=regle!$B$11,regle!$B$23*IF(AR24=-2,1+regle!$B$35,1),
IF(Y24=regle!$C$11,regle!$C$23,
IF(Y24=regle!$D$11,regle!$D$23,
IF(Y24=regle!$E$11,regle!$E$23,
IF(Y24=regle!$F$11,regle!$F$23,
IF(Y24=regle!$G$11,regle!$G$23,
IF(Y24=regle!$H$11,regle!$H$23,
IF(Y24=regle!$I$11,regle!$I$23,
IF(Y24=regle!$J$11,regle!$J$23,
IF(Y24=regle!$K$11,regle!$K$23,0))))))))))))</f>
        <v>0</v>
      </c>
      <c r="AJ24" s="17">
        <f>IF($A24,$J24*(IF(Z24=regle!$B$11,regle!$B$23*IF(AS24=-2,1+regle!$B$35,1),
IF(Z24=regle!$C$11,regle!$C$23,
IF(Z24=regle!$D$11,regle!$D$23,
IF(Z24=regle!$E$11,regle!$E$23,
IF(Z24=regle!$F$11,regle!$F$23,
IF(Z24=regle!$G$11,regle!$G$23,
IF(Z24=regle!$H$11,regle!$H$23,
IF(Z24=regle!$I$11,regle!$I$23,
IF(Z24=regle!$J$11,regle!$J$23,
IF(Z24=regle!$K$11,regle!$K$23,0))))))))))))</f>
        <v>0</v>
      </c>
      <c r="AK24" s="16">
        <f>IF(OR(Q24=regle!$J$11,Q24=regle!$K$11),-2,IF(Q24=regle!$B$11,0,IF(AK$1=$AK$1,IF($O24,-1,regle!$B$2-$M24),IF(AJ24=-1,-1,AJ24+1))))</f>
        <v>0</v>
      </c>
      <c r="AL24" s="16">
        <f>IF(OR(R24=regle!$J$11,R24=regle!$K$11),-2,IF(R24=regle!$B$11,0,IF(AL$1=$AK$1,IF($O24,-1,regle!$B$2-$M24),IF(AK24=-1,-1,AK24+1))))</f>
        <v>1</v>
      </c>
      <c r="AM24" s="16">
        <f>IF(OR(S24=regle!$J$11,S24=regle!$K$11),-2,IF(S24=regle!$B$11,0,IF(AM$1=$AK$1,IF($O24,-1,regle!$B$2-$M24),IF(AL24=-1,-1,AL24+1))))</f>
        <v>2</v>
      </c>
      <c r="AN24" s="16">
        <f>IF(OR(T24=regle!$J$11,T24=regle!$K$11),-2,IF(T24=regle!$B$11,0,IF(AN$1=$AK$1,IF($O24,-1,regle!$B$2-$M24),IF(AM24=-1,-1,AM24+1))))</f>
        <v>3</v>
      </c>
      <c r="AO24" s="16">
        <f>IF(OR(U24=regle!$J$11,U24=regle!$K$11),-2,IF(U24=regle!$B$11,0,IF(AO$1=$AK$1,IF($O24,-1,regle!$B$2-$M24),IF(AN24=-1,-1,AN24+1))))</f>
        <v>4</v>
      </c>
      <c r="AP24" s="16">
        <f>IF(OR(V24=regle!$J$11,V24=regle!$K$11),-2,IF(V24=regle!$B$11,0,IF(AP$1=$AK$1,IF($O24,-1,regle!$B$2-$M24),IF(AO24=-1,-1,AO24+1))))</f>
        <v>5</v>
      </c>
      <c r="AQ24" s="16">
        <f>IF(OR(W24=regle!$J$11,W24=regle!$K$11),-2,IF(W24=regle!$B$11,0,IF(AQ$1=$AK$1,IF($O24,-1,regle!$B$2-$M24),IF(AP24=-1,-1,AP24+1))))</f>
        <v>6</v>
      </c>
      <c r="AR24" s="16">
        <f>IF(OR(X24=regle!$J$11,X24=regle!$K$11),-2,IF(X24=regle!$B$11,0,IF(AR$1=$AK$1,IF($O24,-1,regle!$B$2-$M24),IF(AQ24=-1,-1,AQ24+1))))</f>
        <v>7</v>
      </c>
      <c r="AS24" s="16">
        <f>IF(OR(Y24=regle!$J$11,Y24=regle!$K$11),-2,IF(Y24=regle!$B$11,0,IF(AS$1=$AK$1,IF($O24,-1,regle!$B$2-$M24),IF(AR24=-1,-1,AR24+1))))</f>
        <v>8</v>
      </c>
      <c r="AT24" s="16">
        <f>IF(OR(Z24=regle!$J$11,Z24=regle!$K$11),-2,IF(Z24=regle!$B$11,0,IF(AT$1=$AK$1,IF($O24,-1,regle!$B$2-$M24),IF(AS24=-1,-1,AS24+1))))</f>
        <v>9</v>
      </c>
    </row>
    <row r="25" spans="1:46" x14ac:dyDescent="0.25">
      <c r="A25" t="b">
        <f>modif0!A240</f>
        <v>1</v>
      </c>
      <c r="B25">
        <f>ROW(modif0!B240)</f>
        <v>240</v>
      </c>
      <c r="C25" t="str">
        <f>modif0!D240</f>
        <v>171</v>
      </c>
      <c r="D25" t="str">
        <f>modif0!E240</f>
        <v>MANO</v>
      </c>
      <c r="E25">
        <f>modif0!F240</f>
        <v>17</v>
      </c>
      <c r="F25" t="str">
        <f>modif0!G240</f>
        <v>LANDE DE TABARTON</v>
      </c>
      <c r="G25" t="str">
        <f>modif0!I240</f>
        <v>0B</v>
      </c>
      <c r="H25">
        <f>modif0!J240</f>
        <v>245</v>
      </c>
      <c r="I25" t="str">
        <f>modif0!K240</f>
        <v/>
      </c>
      <c r="J25" s="11">
        <f>modif0!M240</f>
        <v>1.78</v>
      </c>
      <c r="K25" s="11" t="str">
        <f>modif0!P240</f>
        <v>CR</v>
      </c>
      <c r="L25" t="str">
        <f>modif0!N240</f>
        <v>PM</v>
      </c>
      <c r="M25">
        <f>modif0!Q240</f>
        <v>2022</v>
      </c>
      <c r="N25" t="str">
        <f>modif0!R240</f>
        <v>CR-PM_2022</v>
      </c>
      <c r="O25" t="b">
        <f>modif0!S240</f>
        <v>1</v>
      </c>
      <c r="P25">
        <v>25</v>
      </c>
      <c r="Q25" t="s">
        <v>1868</v>
      </c>
      <c r="AA25" s="17">
        <f>IF($A25,$J25*(IF(Q25=regle!$B$11,regle!$B$23*IF(AJ25=-2,1+regle!$B$35,1),
IF(Q25=regle!$C$11,regle!$C$23,
IF(Q25=regle!$D$11,regle!$D$23,
IF(Q25=regle!$E$11,regle!$E$23,
IF(Q25=regle!$F$11,regle!$F$23,
IF(Q25=regle!$G$11,regle!$G$23,
IF(Q25=regle!$H$11,regle!$H$23,
IF(Q25=regle!$I$11,regle!$I$23,
IF(Q25=regle!$J$11,regle!$J$23,
IF(Q25=regle!$K$11,regle!$K$23,0))))))))))))</f>
        <v>-3026</v>
      </c>
      <c r="AB25" s="17">
        <f>IF($A25,$J25*(IF(R25=regle!$B$11,regle!$B$23*IF(AK25=-2,1+regle!$B$35,1),
IF(R25=regle!$C$11,regle!$C$23,
IF(R25=regle!$D$11,regle!$D$23,
IF(R25=regle!$E$11,regle!$E$23,
IF(R25=regle!$F$11,regle!$F$23,
IF(R25=regle!$G$11,regle!$G$23,
IF(R25=regle!$H$11,regle!$H$23,
IF(R25=regle!$I$11,regle!$I$23,
IF(R25=regle!$J$11,regle!$J$23,
IF(R25=regle!$K$11,regle!$K$23,0))))))))))))</f>
        <v>0</v>
      </c>
      <c r="AC25" s="17">
        <f>IF($A25,$J25*(IF(S25=regle!$B$11,regle!$B$23*IF(AL25=-2,1+regle!$B$35,1),
IF(S25=regle!$C$11,regle!$C$23,
IF(S25=regle!$D$11,regle!$D$23,
IF(S25=regle!$E$11,regle!$E$23,
IF(S25=regle!$F$11,regle!$F$23,
IF(S25=regle!$G$11,regle!$G$23,
IF(S25=regle!$H$11,regle!$H$23,
IF(S25=regle!$I$11,regle!$I$23,
IF(S25=regle!$J$11,regle!$J$23,
IF(S25=regle!$K$11,regle!$K$23,0))))))))))))</f>
        <v>0</v>
      </c>
      <c r="AD25" s="17">
        <f>IF($A25,$J25*(IF(T25=regle!$B$11,regle!$B$23*IF(AM25=-2,1+regle!$B$35,1),
IF(T25=regle!$C$11,regle!$C$23,
IF(T25=regle!$D$11,regle!$D$23,
IF(T25=regle!$E$11,regle!$E$23,
IF(T25=regle!$F$11,regle!$F$23,
IF(T25=regle!$G$11,regle!$G$23,
IF(T25=regle!$H$11,regle!$H$23,
IF(T25=regle!$I$11,regle!$I$23,
IF(T25=regle!$J$11,regle!$J$23,
IF(T25=regle!$K$11,regle!$K$23,0))))))))))))</f>
        <v>0</v>
      </c>
      <c r="AE25" s="17">
        <f>IF($A25,$J25*(IF(U25=regle!$B$11,regle!$B$23*IF(AN25=-2,1+regle!$B$35,1),
IF(U25=regle!$C$11,regle!$C$23,
IF(U25=regle!$D$11,regle!$D$23,
IF(U25=regle!$E$11,regle!$E$23,
IF(U25=regle!$F$11,regle!$F$23,
IF(U25=regle!$G$11,regle!$G$23,
IF(U25=regle!$H$11,regle!$H$23,
IF(U25=regle!$I$11,regle!$I$23,
IF(U25=regle!$J$11,regle!$J$23,
IF(U25=regle!$K$11,regle!$K$23,0))))))))))))</f>
        <v>0</v>
      </c>
      <c r="AF25" s="17">
        <f>IF($A25,$J25*(IF(V25=regle!$B$11,regle!$B$23*IF(AO25=-2,1+regle!$B$35,1),
IF(V25=regle!$C$11,regle!$C$23,
IF(V25=regle!$D$11,regle!$D$23,
IF(V25=regle!$E$11,regle!$E$23,
IF(V25=regle!$F$11,regle!$F$23,
IF(V25=regle!$G$11,regle!$G$23,
IF(V25=regle!$H$11,regle!$H$23,
IF(V25=regle!$I$11,regle!$I$23,
IF(V25=regle!$J$11,regle!$J$23,
IF(V25=regle!$K$11,regle!$K$23,0))))))))))))</f>
        <v>0</v>
      </c>
      <c r="AG25" s="17">
        <f>IF($A25,$J25*(IF(W25=regle!$B$11,regle!$B$23*IF(AP25=-2,1+regle!$B$35,1),
IF(W25=regle!$C$11,regle!$C$23,
IF(W25=regle!$D$11,regle!$D$23,
IF(W25=regle!$E$11,regle!$E$23,
IF(W25=regle!$F$11,regle!$F$23,
IF(W25=regle!$G$11,regle!$G$23,
IF(W25=regle!$H$11,regle!$H$23,
IF(W25=regle!$I$11,regle!$I$23,
IF(W25=regle!$J$11,regle!$J$23,
IF(W25=regle!$K$11,regle!$K$23,0))))))))))))</f>
        <v>0</v>
      </c>
      <c r="AH25" s="17">
        <f>IF($A25,$J25*(IF(X25=regle!$B$11,regle!$B$23*IF(AQ25=-2,1+regle!$B$35,1),
IF(X25=regle!$C$11,regle!$C$23,
IF(X25=regle!$D$11,regle!$D$23,
IF(X25=regle!$E$11,regle!$E$23,
IF(X25=regle!$F$11,regle!$F$23,
IF(X25=regle!$G$11,regle!$G$23,
IF(X25=regle!$H$11,regle!$H$23,
IF(X25=regle!$I$11,regle!$I$23,
IF(X25=regle!$J$11,regle!$J$23,
IF(X25=regle!$K$11,regle!$K$23,0))))))))))))</f>
        <v>0</v>
      </c>
      <c r="AI25" s="17">
        <f>IF($A25,$J25*(IF(Y25=regle!$B$11,regle!$B$23*IF(AR25=-2,1+regle!$B$35,1),
IF(Y25=regle!$C$11,regle!$C$23,
IF(Y25=regle!$D$11,regle!$D$23,
IF(Y25=regle!$E$11,regle!$E$23,
IF(Y25=regle!$F$11,regle!$F$23,
IF(Y25=regle!$G$11,regle!$G$23,
IF(Y25=regle!$H$11,regle!$H$23,
IF(Y25=regle!$I$11,regle!$I$23,
IF(Y25=regle!$J$11,regle!$J$23,
IF(Y25=regle!$K$11,regle!$K$23,0))))))))))))</f>
        <v>0</v>
      </c>
      <c r="AJ25" s="17">
        <f>IF($A25,$J25*(IF(Z25=regle!$B$11,regle!$B$23*IF(AS25=-2,1+regle!$B$35,1),
IF(Z25=regle!$C$11,regle!$C$23,
IF(Z25=regle!$D$11,regle!$D$23,
IF(Z25=regle!$E$11,regle!$E$23,
IF(Z25=regle!$F$11,regle!$F$23,
IF(Z25=regle!$G$11,regle!$G$23,
IF(Z25=regle!$H$11,regle!$H$23,
IF(Z25=regle!$I$11,regle!$I$23,
IF(Z25=regle!$J$11,regle!$J$23,
IF(Z25=regle!$K$11,regle!$K$23,0))))))))))))</f>
        <v>0</v>
      </c>
      <c r="AK25" s="16">
        <f>IF(OR(Q25=regle!$J$11,Q25=regle!$K$11),-2,IF(Q25=regle!$B$11,0,IF(AK$1=$AK$1,IF($O25,-1,regle!$B$2-$M25),IF(AJ25=-1,-1,AJ25+1))))</f>
        <v>0</v>
      </c>
      <c r="AL25" s="16">
        <f>IF(OR(R25=regle!$J$11,R25=regle!$K$11),-2,IF(R25=regle!$B$11,0,IF(AL$1=$AK$1,IF($O25,-1,regle!$B$2-$M25),IF(AK25=-1,-1,AK25+1))))</f>
        <v>1</v>
      </c>
      <c r="AM25" s="16">
        <f>IF(OR(S25=regle!$J$11,S25=regle!$K$11),-2,IF(S25=regle!$B$11,0,IF(AM$1=$AK$1,IF($O25,-1,regle!$B$2-$M25),IF(AL25=-1,-1,AL25+1))))</f>
        <v>2</v>
      </c>
      <c r="AN25" s="16">
        <f>IF(OR(T25=regle!$J$11,T25=regle!$K$11),-2,IF(T25=regle!$B$11,0,IF(AN$1=$AK$1,IF($O25,-1,regle!$B$2-$M25),IF(AM25=-1,-1,AM25+1))))</f>
        <v>3</v>
      </c>
      <c r="AO25" s="16">
        <f>IF(OR(U25=regle!$J$11,U25=regle!$K$11),-2,IF(U25=regle!$B$11,0,IF(AO$1=$AK$1,IF($O25,-1,regle!$B$2-$M25),IF(AN25=-1,-1,AN25+1))))</f>
        <v>4</v>
      </c>
      <c r="AP25" s="16">
        <f>IF(OR(V25=regle!$J$11,V25=regle!$K$11),-2,IF(V25=regle!$B$11,0,IF(AP$1=$AK$1,IF($O25,-1,regle!$B$2-$M25),IF(AO25=-1,-1,AO25+1))))</f>
        <v>5</v>
      </c>
      <c r="AQ25" s="16">
        <f>IF(OR(W25=regle!$J$11,W25=regle!$K$11),-2,IF(W25=regle!$B$11,0,IF(AQ$1=$AK$1,IF($O25,-1,regle!$B$2-$M25),IF(AP25=-1,-1,AP25+1))))</f>
        <v>6</v>
      </c>
      <c r="AR25" s="16">
        <f>IF(OR(X25=regle!$J$11,X25=regle!$K$11),-2,IF(X25=regle!$B$11,0,IF(AR$1=$AK$1,IF($O25,-1,regle!$B$2-$M25),IF(AQ25=-1,-1,AQ25+1))))</f>
        <v>7</v>
      </c>
      <c r="AS25" s="16">
        <f>IF(OR(Y25=regle!$J$11,Y25=regle!$K$11),-2,IF(Y25=regle!$B$11,0,IF(AS$1=$AK$1,IF($O25,-1,regle!$B$2-$M25),IF(AR25=-1,-1,AR25+1))))</f>
        <v>8</v>
      </c>
      <c r="AT25" s="16">
        <f>IF(OR(Z25=regle!$J$11,Z25=regle!$K$11),-2,IF(Z25=regle!$B$11,0,IF(AT$1=$AK$1,IF($O25,-1,regle!$B$2-$M25),IF(AS25=-1,-1,AS25+1))))</f>
        <v>9</v>
      </c>
    </row>
    <row r="26" spans="1:46" x14ac:dyDescent="0.25">
      <c r="A26" t="b">
        <f>modif0!A302</f>
        <v>1</v>
      </c>
      <c r="B26">
        <f>ROW(modif0!B302)</f>
        <v>302</v>
      </c>
      <c r="C26" t="str">
        <f>modif0!D302</f>
        <v>171</v>
      </c>
      <c r="D26" t="str">
        <f>modif0!E302</f>
        <v>MANO</v>
      </c>
      <c r="E26">
        <f>modif0!F302</f>
        <v>6</v>
      </c>
      <c r="F26" t="str">
        <f>modif0!G302</f>
        <v>BARRAT</v>
      </c>
      <c r="G26" t="str">
        <f>modif0!I302</f>
        <v>0C</v>
      </c>
      <c r="H26">
        <f>modif0!J302</f>
        <v>175</v>
      </c>
      <c r="I26" t="str">
        <f>modif0!K302</f>
        <v>k</v>
      </c>
      <c r="J26" s="11">
        <f>modif0!M302</f>
        <v>1.7464</v>
      </c>
      <c r="K26" s="11" t="str">
        <f>modif0!P302</f>
        <v>CR</v>
      </c>
      <c r="L26" t="str">
        <f>modif0!N302</f>
        <v>PM</v>
      </c>
      <c r="M26">
        <f>modif0!Q302</f>
        <v>2022</v>
      </c>
      <c r="N26" t="str">
        <f>modif0!R302</f>
        <v>CR-PM_2022</v>
      </c>
      <c r="O26" t="b">
        <f>modif0!S302</f>
        <v>1</v>
      </c>
      <c r="P26">
        <v>25</v>
      </c>
      <c r="Q26" t="s">
        <v>1868</v>
      </c>
      <c r="AA26" s="17">
        <f>IF($A26,$J26*(IF(Q26=regle!$B$11,regle!$B$23*IF(AJ26=-2,1+regle!$B$35,1),
IF(Q26=regle!$C$11,regle!$C$23,
IF(Q26=regle!$D$11,regle!$D$23,
IF(Q26=regle!$E$11,regle!$E$23,
IF(Q26=regle!$F$11,regle!$F$23,
IF(Q26=regle!$G$11,regle!$G$23,
IF(Q26=regle!$H$11,regle!$H$23,
IF(Q26=regle!$I$11,regle!$I$23,
IF(Q26=regle!$J$11,regle!$J$23,
IF(Q26=regle!$K$11,regle!$K$23,0))))))))))))</f>
        <v>-2968.88</v>
      </c>
      <c r="AB26" s="17">
        <f>IF($A26,$J26*(IF(R26=regle!$B$11,regle!$B$23*IF(AK26=-2,1+regle!$B$35,1),
IF(R26=regle!$C$11,regle!$C$23,
IF(R26=regle!$D$11,regle!$D$23,
IF(R26=regle!$E$11,regle!$E$23,
IF(R26=regle!$F$11,regle!$F$23,
IF(R26=regle!$G$11,regle!$G$23,
IF(R26=regle!$H$11,regle!$H$23,
IF(R26=regle!$I$11,regle!$I$23,
IF(R26=regle!$J$11,regle!$J$23,
IF(R26=regle!$K$11,regle!$K$23,0))))))))))))</f>
        <v>0</v>
      </c>
      <c r="AC26" s="17">
        <f>IF($A26,$J26*(IF(S26=regle!$B$11,regle!$B$23*IF(AL26=-2,1+regle!$B$35,1),
IF(S26=regle!$C$11,regle!$C$23,
IF(S26=regle!$D$11,regle!$D$23,
IF(S26=regle!$E$11,regle!$E$23,
IF(S26=regle!$F$11,regle!$F$23,
IF(S26=regle!$G$11,regle!$G$23,
IF(S26=regle!$H$11,regle!$H$23,
IF(S26=regle!$I$11,regle!$I$23,
IF(S26=regle!$J$11,regle!$J$23,
IF(S26=regle!$K$11,regle!$K$23,0))))))))))))</f>
        <v>0</v>
      </c>
      <c r="AD26" s="17">
        <f>IF($A26,$J26*(IF(T26=regle!$B$11,regle!$B$23*IF(AM26=-2,1+regle!$B$35,1),
IF(T26=regle!$C$11,regle!$C$23,
IF(T26=regle!$D$11,regle!$D$23,
IF(T26=regle!$E$11,regle!$E$23,
IF(T26=regle!$F$11,regle!$F$23,
IF(T26=regle!$G$11,regle!$G$23,
IF(T26=regle!$H$11,regle!$H$23,
IF(T26=regle!$I$11,regle!$I$23,
IF(T26=regle!$J$11,regle!$J$23,
IF(T26=regle!$K$11,regle!$K$23,0))))))))))))</f>
        <v>0</v>
      </c>
      <c r="AE26" s="17">
        <f>IF($A26,$J26*(IF(U26=regle!$B$11,regle!$B$23*IF(AN26=-2,1+regle!$B$35,1),
IF(U26=regle!$C$11,regle!$C$23,
IF(U26=regle!$D$11,regle!$D$23,
IF(U26=regle!$E$11,regle!$E$23,
IF(U26=regle!$F$11,regle!$F$23,
IF(U26=regle!$G$11,regle!$G$23,
IF(U26=regle!$H$11,regle!$H$23,
IF(U26=regle!$I$11,regle!$I$23,
IF(U26=regle!$J$11,regle!$J$23,
IF(U26=regle!$K$11,regle!$K$23,0))))))))))))</f>
        <v>0</v>
      </c>
      <c r="AF26" s="17">
        <f>IF($A26,$J26*(IF(V26=regle!$B$11,regle!$B$23*IF(AO26=-2,1+regle!$B$35,1),
IF(V26=regle!$C$11,regle!$C$23,
IF(V26=regle!$D$11,regle!$D$23,
IF(V26=regle!$E$11,regle!$E$23,
IF(V26=regle!$F$11,regle!$F$23,
IF(V26=regle!$G$11,regle!$G$23,
IF(V26=regle!$H$11,regle!$H$23,
IF(V26=regle!$I$11,regle!$I$23,
IF(V26=regle!$J$11,regle!$J$23,
IF(V26=regle!$K$11,regle!$K$23,0))))))))))))</f>
        <v>0</v>
      </c>
      <c r="AG26" s="17">
        <f>IF($A26,$J26*(IF(W26=regle!$B$11,regle!$B$23*IF(AP26=-2,1+regle!$B$35,1),
IF(W26=regle!$C$11,regle!$C$23,
IF(W26=regle!$D$11,regle!$D$23,
IF(W26=regle!$E$11,regle!$E$23,
IF(W26=regle!$F$11,regle!$F$23,
IF(W26=regle!$G$11,regle!$G$23,
IF(W26=regle!$H$11,regle!$H$23,
IF(W26=regle!$I$11,regle!$I$23,
IF(W26=regle!$J$11,regle!$J$23,
IF(W26=regle!$K$11,regle!$K$23,0))))))))))))</f>
        <v>0</v>
      </c>
      <c r="AH26" s="17">
        <f>IF($A26,$J26*(IF(X26=regle!$B$11,regle!$B$23*IF(AQ26=-2,1+regle!$B$35,1),
IF(X26=regle!$C$11,regle!$C$23,
IF(X26=regle!$D$11,regle!$D$23,
IF(X26=regle!$E$11,regle!$E$23,
IF(X26=regle!$F$11,regle!$F$23,
IF(X26=regle!$G$11,regle!$G$23,
IF(X26=regle!$H$11,regle!$H$23,
IF(X26=regle!$I$11,regle!$I$23,
IF(X26=regle!$J$11,regle!$J$23,
IF(X26=regle!$K$11,regle!$K$23,0))))))))))))</f>
        <v>0</v>
      </c>
      <c r="AI26" s="17">
        <f>IF($A26,$J26*(IF(Y26=regle!$B$11,regle!$B$23*IF(AR26=-2,1+regle!$B$35,1),
IF(Y26=regle!$C$11,regle!$C$23,
IF(Y26=regle!$D$11,regle!$D$23,
IF(Y26=regle!$E$11,regle!$E$23,
IF(Y26=regle!$F$11,regle!$F$23,
IF(Y26=regle!$G$11,regle!$G$23,
IF(Y26=regle!$H$11,regle!$H$23,
IF(Y26=regle!$I$11,regle!$I$23,
IF(Y26=regle!$J$11,regle!$J$23,
IF(Y26=regle!$K$11,regle!$K$23,0))))))))))))</f>
        <v>0</v>
      </c>
      <c r="AJ26" s="17">
        <f>IF($A26,$J26*(IF(Z26=regle!$B$11,regle!$B$23*IF(AS26=-2,1+regle!$B$35,1),
IF(Z26=regle!$C$11,regle!$C$23,
IF(Z26=regle!$D$11,regle!$D$23,
IF(Z26=regle!$E$11,regle!$E$23,
IF(Z26=regle!$F$11,regle!$F$23,
IF(Z26=regle!$G$11,regle!$G$23,
IF(Z26=regle!$H$11,regle!$H$23,
IF(Z26=regle!$I$11,regle!$I$23,
IF(Z26=regle!$J$11,regle!$J$23,
IF(Z26=regle!$K$11,regle!$K$23,0))))))))))))</f>
        <v>0</v>
      </c>
      <c r="AK26" s="16">
        <f>IF(OR(Q26=regle!$J$11,Q26=regle!$K$11),-2,IF(Q26=regle!$B$11,0,IF(AK$1=$AK$1,IF($O26,-1,regle!$B$2-$M26),IF(AJ26=-1,-1,AJ26+1))))</f>
        <v>0</v>
      </c>
      <c r="AL26" s="16">
        <f>IF(OR(R26=regle!$J$11,R26=regle!$K$11),-2,IF(R26=regle!$B$11,0,IF(AL$1=$AK$1,IF($O26,-1,regle!$B$2-$M26),IF(AK26=-1,-1,AK26+1))))</f>
        <v>1</v>
      </c>
      <c r="AM26" s="16">
        <f>IF(OR(S26=regle!$J$11,S26=regle!$K$11),-2,IF(S26=regle!$B$11,0,IF(AM$1=$AK$1,IF($O26,-1,regle!$B$2-$M26),IF(AL26=-1,-1,AL26+1))))</f>
        <v>2</v>
      </c>
      <c r="AN26" s="16">
        <f>IF(OR(T26=regle!$J$11,T26=regle!$K$11),-2,IF(T26=regle!$B$11,0,IF(AN$1=$AK$1,IF($O26,-1,regle!$B$2-$M26),IF(AM26=-1,-1,AM26+1))))</f>
        <v>3</v>
      </c>
      <c r="AO26" s="16">
        <f>IF(OR(U26=regle!$J$11,U26=regle!$K$11),-2,IF(U26=regle!$B$11,0,IF(AO$1=$AK$1,IF($O26,-1,regle!$B$2-$M26),IF(AN26=-1,-1,AN26+1))))</f>
        <v>4</v>
      </c>
      <c r="AP26" s="16">
        <f>IF(OR(V26=regle!$J$11,V26=regle!$K$11),-2,IF(V26=regle!$B$11,0,IF(AP$1=$AK$1,IF($O26,-1,regle!$B$2-$M26),IF(AO26=-1,-1,AO26+1))))</f>
        <v>5</v>
      </c>
      <c r="AQ26" s="16">
        <f>IF(OR(W26=regle!$J$11,W26=regle!$K$11),-2,IF(W26=regle!$B$11,0,IF(AQ$1=$AK$1,IF($O26,-1,regle!$B$2-$M26),IF(AP26=-1,-1,AP26+1))))</f>
        <v>6</v>
      </c>
      <c r="AR26" s="16">
        <f>IF(OR(X26=regle!$J$11,X26=regle!$K$11),-2,IF(X26=regle!$B$11,0,IF(AR$1=$AK$1,IF($O26,-1,regle!$B$2-$M26),IF(AQ26=-1,-1,AQ26+1))))</f>
        <v>7</v>
      </c>
      <c r="AS26" s="16">
        <f>IF(OR(Y26=regle!$J$11,Y26=regle!$K$11),-2,IF(Y26=regle!$B$11,0,IF(AS$1=$AK$1,IF($O26,-1,regle!$B$2-$M26),IF(AR26=-1,-1,AR26+1))))</f>
        <v>8</v>
      </c>
      <c r="AT26" s="16">
        <f>IF(OR(Z26=regle!$J$11,Z26=regle!$K$11),-2,IF(Z26=regle!$B$11,0,IF(AT$1=$AK$1,IF($O26,-1,regle!$B$2-$M26),IF(AS26=-1,-1,AS26+1))))</f>
        <v>9</v>
      </c>
    </row>
    <row r="27" spans="1:46" x14ac:dyDescent="0.25">
      <c r="A27" t="b">
        <f>modif0!A283</f>
        <v>1</v>
      </c>
      <c r="B27">
        <f>ROW(modif0!B283)</f>
        <v>283</v>
      </c>
      <c r="C27" t="str">
        <f>modif0!D283</f>
        <v>171</v>
      </c>
      <c r="D27" t="str">
        <f>modif0!E283</f>
        <v>MANO</v>
      </c>
      <c r="E27">
        <f>modif0!F283</f>
        <v>17</v>
      </c>
      <c r="F27" t="str">
        <f>modif0!G283</f>
        <v>LANDE DE TABARTON</v>
      </c>
      <c r="G27" t="str">
        <f>modif0!I283</f>
        <v>0B</v>
      </c>
      <c r="H27">
        <f>modif0!J283</f>
        <v>320</v>
      </c>
      <c r="I27" t="str">
        <f>modif0!K283</f>
        <v/>
      </c>
      <c r="J27" s="11">
        <f>modif0!M283</f>
        <v>1.7027000000000001</v>
      </c>
      <c r="K27" s="11" t="str">
        <f>modif0!P283</f>
        <v>CR</v>
      </c>
      <c r="L27" t="str">
        <f>modif0!N283</f>
        <v>PM</v>
      </c>
      <c r="M27">
        <f>modif0!Q283</f>
        <v>2022</v>
      </c>
      <c r="N27" t="str">
        <f>modif0!R283</f>
        <v>CR-PM_2022</v>
      </c>
      <c r="O27" t="b">
        <f>modif0!S283</f>
        <v>1</v>
      </c>
      <c r="P27">
        <v>25</v>
      </c>
      <c r="Q27" t="s">
        <v>1868</v>
      </c>
      <c r="AA27" s="17">
        <f>IF($A27,$J27*(IF(Q27=regle!$B$11,regle!$B$23*IF(AJ27=-2,1+regle!$B$35,1),
IF(Q27=regle!$C$11,regle!$C$23,
IF(Q27=regle!$D$11,regle!$D$23,
IF(Q27=regle!$E$11,regle!$E$23,
IF(Q27=regle!$F$11,regle!$F$23,
IF(Q27=regle!$G$11,regle!$G$23,
IF(Q27=regle!$H$11,regle!$H$23,
IF(Q27=regle!$I$11,regle!$I$23,
IF(Q27=regle!$J$11,regle!$J$23,
IF(Q27=regle!$K$11,regle!$K$23,0))))))))))))</f>
        <v>-2894.59</v>
      </c>
      <c r="AB27" s="17">
        <f>IF($A27,$J27*(IF(R27=regle!$B$11,regle!$B$23*IF(AK27=-2,1+regle!$B$35,1),
IF(R27=regle!$C$11,regle!$C$23,
IF(R27=regle!$D$11,regle!$D$23,
IF(R27=regle!$E$11,regle!$E$23,
IF(R27=regle!$F$11,regle!$F$23,
IF(R27=regle!$G$11,regle!$G$23,
IF(R27=regle!$H$11,regle!$H$23,
IF(R27=regle!$I$11,regle!$I$23,
IF(R27=regle!$J$11,regle!$J$23,
IF(R27=regle!$K$11,regle!$K$23,0))))))))))))</f>
        <v>0</v>
      </c>
      <c r="AC27" s="17">
        <f>IF($A27,$J27*(IF(S27=regle!$B$11,regle!$B$23*IF(AL27=-2,1+regle!$B$35,1),
IF(S27=regle!$C$11,regle!$C$23,
IF(S27=regle!$D$11,regle!$D$23,
IF(S27=regle!$E$11,regle!$E$23,
IF(S27=regle!$F$11,regle!$F$23,
IF(S27=regle!$G$11,regle!$G$23,
IF(S27=regle!$H$11,regle!$H$23,
IF(S27=regle!$I$11,regle!$I$23,
IF(S27=regle!$J$11,regle!$J$23,
IF(S27=regle!$K$11,regle!$K$23,0))))))))))))</f>
        <v>0</v>
      </c>
      <c r="AD27" s="17">
        <f>IF($A27,$J27*(IF(T27=regle!$B$11,regle!$B$23*IF(AM27=-2,1+regle!$B$35,1),
IF(T27=regle!$C$11,regle!$C$23,
IF(T27=regle!$D$11,regle!$D$23,
IF(T27=regle!$E$11,regle!$E$23,
IF(T27=regle!$F$11,regle!$F$23,
IF(T27=regle!$G$11,regle!$G$23,
IF(T27=regle!$H$11,regle!$H$23,
IF(T27=regle!$I$11,regle!$I$23,
IF(T27=regle!$J$11,regle!$J$23,
IF(T27=regle!$K$11,regle!$K$23,0))))))))))))</f>
        <v>0</v>
      </c>
      <c r="AE27" s="17">
        <f>IF($A27,$J27*(IF(U27=regle!$B$11,regle!$B$23*IF(AN27=-2,1+regle!$B$35,1),
IF(U27=regle!$C$11,regle!$C$23,
IF(U27=regle!$D$11,regle!$D$23,
IF(U27=regle!$E$11,regle!$E$23,
IF(U27=regle!$F$11,regle!$F$23,
IF(U27=regle!$G$11,regle!$G$23,
IF(U27=regle!$H$11,regle!$H$23,
IF(U27=regle!$I$11,regle!$I$23,
IF(U27=regle!$J$11,regle!$J$23,
IF(U27=regle!$K$11,regle!$K$23,0))))))))))))</f>
        <v>0</v>
      </c>
      <c r="AF27" s="17">
        <f>IF($A27,$J27*(IF(V27=regle!$B$11,regle!$B$23*IF(AO27=-2,1+regle!$B$35,1),
IF(V27=regle!$C$11,regle!$C$23,
IF(V27=regle!$D$11,regle!$D$23,
IF(V27=regle!$E$11,regle!$E$23,
IF(V27=regle!$F$11,regle!$F$23,
IF(V27=regle!$G$11,regle!$G$23,
IF(V27=regle!$H$11,regle!$H$23,
IF(V27=regle!$I$11,regle!$I$23,
IF(V27=regle!$J$11,regle!$J$23,
IF(V27=regle!$K$11,regle!$K$23,0))))))))))))</f>
        <v>0</v>
      </c>
      <c r="AG27" s="17">
        <f>IF($A27,$J27*(IF(W27=regle!$B$11,regle!$B$23*IF(AP27=-2,1+regle!$B$35,1),
IF(W27=regle!$C$11,regle!$C$23,
IF(W27=regle!$D$11,regle!$D$23,
IF(W27=regle!$E$11,regle!$E$23,
IF(W27=regle!$F$11,regle!$F$23,
IF(W27=regle!$G$11,regle!$G$23,
IF(W27=regle!$H$11,regle!$H$23,
IF(W27=regle!$I$11,regle!$I$23,
IF(W27=regle!$J$11,regle!$J$23,
IF(W27=regle!$K$11,regle!$K$23,0))))))))))))</f>
        <v>0</v>
      </c>
      <c r="AH27" s="17">
        <f>IF($A27,$J27*(IF(X27=regle!$B$11,regle!$B$23*IF(AQ27=-2,1+regle!$B$35,1),
IF(X27=regle!$C$11,regle!$C$23,
IF(X27=regle!$D$11,regle!$D$23,
IF(X27=regle!$E$11,regle!$E$23,
IF(X27=regle!$F$11,regle!$F$23,
IF(X27=regle!$G$11,regle!$G$23,
IF(X27=regle!$H$11,regle!$H$23,
IF(X27=regle!$I$11,regle!$I$23,
IF(X27=regle!$J$11,regle!$J$23,
IF(X27=regle!$K$11,regle!$K$23,0))))))))))))</f>
        <v>0</v>
      </c>
      <c r="AI27" s="17">
        <f>IF($A27,$J27*(IF(Y27=regle!$B$11,regle!$B$23*IF(AR27=-2,1+regle!$B$35,1),
IF(Y27=regle!$C$11,regle!$C$23,
IF(Y27=regle!$D$11,regle!$D$23,
IF(Y27=regle!$E$11,regle!$E$23,
IF(Y27=regle!$F$11,regle!$F$23,
IF(Y27=regle!$G$11,regle!$G$23,
IF(Y27=regle!$H$11,regle!$H$23,
IF(Y27=regle!$I$11,regle!$I$23,
IF(Y27=regle!$J$11,regle!$J$23,
IF(Y27=regle!$K$11,regle!$K$23,0))))))))))))</f>
        <v>0</v>
      </c>
      <c r="AJ27" s="17">
        <f>IF($A27,$J27*(IF(Z27=regle!$B$11,regle!$B$23*IF(AS27=-2,1+regle!$B$35,1),
IF(Z27=regle!$C$11,regle!$C$23,
IF(Z27=regle!$D$11,regle!$D$23,
IF(Z27=regle!$E$11,regle!$E$23,
IF(Z27=regle!$F$11,regle!$F$23,
IF(Z27=regle!$G$11,regle!$G$23,
IF(Z27=regle!$H$11,regle!$H$23,
IF(Z27=regle!$I$11,regle!$I$23,
IF(Z27=regle!$J$11,regle!$J$23,
IF(Z27=regle!$K$11,regle!$K$23,0))))))))))))</f>
        <v>0</v>
      </c>
      <c r="AK27" s="16">
        <f>IF(OR(Q27=regle!$J$11,Q27=regle!$K$11),-2,IF(Q27=regle!$B$11,0,IF(AK$1=$AK$1,IF($O27,-1,regle!$B$2-$M27),IF(AJ27=-1,-1,AJ27+1))))</f>
        <v>0</v>
      </c>
      <c r="AL27" s="16">
        <f>IF(OR(R27=regle!$J$11,R27=regle!$K$11),-2,IF(R27=regle!$B$11,0,IF(AL$1=$AK$1,IF($O27,-1,regle!$B$2-$M27),IF(AK27=-1,-1,AK27+1))))</f>
        <v>1</v>
      </c>
      <c r="AM27" s="16">
        <f>IF(OR(S27=regle!$J$11,S27=regle!$K$11),-2,IF(S27=regle!$B$11,0,IF(AM$1=$AK$1,IF($O27,-1,regle!$B$2-$M27),IF(AL27=-1,-1,AL27+1))))</f>
        <v>2</v>
      </c>
      <c r="AN27" s="16">
        <f>IF(OR(T27=regle!$J$11,T27=regle!$K$11),-2,IF(T27=regle!$B$11,0,IF(AN$1=$AK$1,IF($O27,-1,regle!$B$2-$M27),IF(AM27=-1,-1,AM27+1))))</f>
        <v>3</v>
      </c>
      <c r="AO27" s="16">
        <f>IF(OR(U27=regle!$J$11,U27=regle!$K$11),-2,IF(U27=regle!$B$11,0,IF(AO$1=$AK$1,IF($O27,-1,regle!$B$2-$M27),IF(AN27=-1,-1,AN27+1))))</f>
        <v>4</v>
      </c>
      <c r="AP27" s="16">
        <f>IF(OR(V27=regle!$J$11,V27=regle!$K$11),-2,IF(V27=regle!$B$11,0,IF(AP$1=$AK$1,IF($O27,-1,regle!$B$2-$M27),IF(AO27=-1,-1,AO27+1))))</f>
        <v>5</v>
      </c>
      <c r="AQ27" s="16">
        <f>IF(OR(W27=regle!$J$11,W27=regle!$K$11),-2,IF(W27=regle!$B$11,0,IF(AQ$1=$AK$1,IF($O27,-1,regle!$B$2-$M27),IF(AP27=-1,-1,AP27+1))))</f>
        <v>6</v>
      </c>
      <c r="AR27" s="16">
        <f>IF(OR(X27=regle!$J$11,X27=regle!$K$11),-2,IF(X27=regle!$B$11,0,IF(AR$1=$AK$1,IF($O27,-1,regle!$B$2-$M27),IF(AQ27=-1,-1,AQ27+1))))</f>
        <v>7</v>
      </c>
      <c r="AS27" s="16">
        <f>IF(OR(Y27=regle!$J$11,Y27=regle!$K$11),-2,IF(Y27=regle!$B$11,0,IF(AS$1=$AK$1,IF($O27,-1,regle!$B$2-$M27),IF(AR27=-1,-1,AR27+1))))</f>
        <v>8</v>
      </c>
      <c r="AT27" s="16">
        <f>IF(OR(Z27=regle!$J$11,Z27=regle!$K$11),-2,IF(Z27=regle!$B$11,0,IF(AT$1=$AK$1,IF($O27,-1,regle!$B$2-$M27),IF(AS27=-1,-1,AS27+1))))</f>
        <v>9</v>
      </c>
    </row>
    <row r="28" spans="1:46" x14ac:dyDescent="0.25">
      <c r="A28" t="b">
        <f>modif0!A277</f>
        <v>1</v>
      </c>
      <c r="B28">
        <f>ROW(modif0!B277)</f>
        <v>277</v>
      </c>
      <c r="C28" t="str">
        <f>modif0!D277</f>
        <v>171</v>
      </c>
      <c r="D28" t="str">
        <f>modif0!E277</f>
        <v>MANO</v>
      </c>
      <c r="E28">
        <f>modif0!F277</f>
        <v>17</v>
      </c>
      <c r="F28" t="str">
        <f>modif0!G277</f>
        <v>LANDE DE TABARTON</v>
      </c>
      <c r="G28" t="str">
        <f>modif0!I277</f>
        <v>0B</v>
      </c>
      <c r="H28">
        <f>modif0!J277</f>
        <v>309</v>
      </c>
      <c r="I28" t="str">
        <f>modif0!K277</f>
        <v/>
      </c>
      <c r="J28" s="11">
        <f>modif0!M277</f>
        <v>1.6930000000000001</v>
      </c>
      <c r="K28" s="11" t="str">
        <f>modif0!P277</f>
        <v>CR</v>
      </c>
      <c r="L28" t="str">
        <f>modif0!N277</f>
        <v>PM</v>
      </c>
      <c r="M28">
        <f>modif0!Q277</f>
        <v>2022</v>
      </c>
      <c r="N28" t="str">
        <f>modif0!R277</f>
        <v>CR-PM_2022</v>
      </c>
      <c r="O28" t="b">
        <f>modif0!S277</f>
        <v>1</v>
      </c>
      <c r="P28">
        <v>25</v>
      </c>
      <c r="Q28" t="s">
        <v>1868</v>
      </c>
      <c r="AA28" s="17">
        <f>IF($A28,$J28*(IF(Q28=regle!$B$11,regle!$B$23*IF(AJ28=-2,1+regle!$B$35,1),
IF(Q28=regle!$C$11,regle!$C$23,
IF(Q28=regle!$D$11,regle!$D$23,
IF(Q28=regle!$E$11,regle!$E$23,
IF(Q28=regle!$F$11,regle!$F$23,
IF(Q28=regle!$G$11,regle!$G$23,
IF(Q28=regle!$H$11,regle!$H$23,
IF(Q28=regle!$I$11,regle!$I$23,
IF(Q28=regle!$J$11,regle!$J$23,
IF(Q28=regle!$K$11,regle!$K$23,0))))))))))))</f>
        <v>-2878.1</v>
      </c>
      <c r="AB28" s="17">
        <f>IF($A28,$J28*(IF(R28=regle!$B$11,regle!$B$23*IF(AK28=-2,1+regle!$B$35,1),
IF(R28=regle!$C$11,regle!$C$23,
IF(R28=regle!$D$11,regle!$D$23,
IF(R28=regle!$E$11,regle!$E$23,
IF(R28=regle!$F$11,regle!$F$23,
IF(R28=regle!$G$11,regle!$G$23,
IF(R28=regle!$H$11,regle!$H$23,
IF(R28=regle!$I$11,regle!$I$23,
IF(R28=regle!$J$11,regle!$J$23,
IF(R28=regle!$K$11,regle!$K$23,0))))))))))))</f>
        <v>0</v>
      </c>
      <c r="AC28" s="17">
        <f>IF($A28,$J28*(IF(S28=regle!$B$11,regle!$B$23*IF(AL28=-2,1+regle!$B$35,1),
IF(S28=regle!$C$11,regle!$C$23,
IF(S28=regle!$D$11,regle!$D$23,
IF(S28=regle!$E$11,regle!$E$23,
IF(S28=regle!$F$11,regle!$F$23,
IF(S28=regle!$G$11,regle!$G$23,
IF(S28=regle!$H$11,regle!$H$23,
IF(S28=regle!$I$11,regle!$I$23,
IF(S28=regle!$J$11,regle!$J$23,
IF(S28=regle!$K$11,regle!$K$23,0))))))))))))</f>
        <v>0</v>
      </c>
      <c r="AD28" s="17">
        <f>IF($A28,$J28*(IF(T28=regle!$B$11,regle!$B$23*IF(AM28=-2,1+regle!$B$35,1),
IF(T28=regle!$C$11,regle!$C$23,
IF(T28=regle!$D$11,regle!$D$23,
IF(T28=regle!$E$11,regle!$E$23,
IF(T28=regle!$F$11,regle!$F$23,
IF(T28=regle!$G$11,regle!$G$23,
IF(T28=regle!$H$11,regle!$H$23,
IF(T28=regle!$I$11,regle!$I$23,
IF(T28=regle!$J$11,regle!$J$23,
IF(T28=regle!$K$11,regle!$K$23,0))))))))))))</f>
        <v>0</v>
      </c>
      <c r="AE28" s="17">
        <f>IF($A28,$J28*(IF(U28=regle!$B$11,regle!$B$23*IF(AN28=-2,1+regle!$B$35,1),
IF(U28=regle!$C$11,regle!$C$23,
IF(U28=regle!$D$11,regle!$D$23,
IF(U28=regle!$E$11,regle!$E$23,
IF(U28=regle!$F$11,regle!$F$23,
IF(U28=regle!$G$11,regle!$G$23,
IF(U28=regle!$H$11,regle!$H$23,
IF(U28=regle!$I$11,regle!$I$23,
IF(U28=regle!$J$11,regle!$J$23,
IF(U28=regle!$K$11,regle!$K$23,0))))))))))))</f>
        <v>0</v>
      </c>
      <c r="AF28" s="17">
        <f>IF($A28,$J28*(IF(V28=regle!$B$11,regle!$B$23*IF(AO28=-2,1+regle!$B$35,1),
IF(V28=regle!$C$11,regle!$C$23,
IF(V28=regle!$D$11,regle!$D$23,
IF(V28=regle!$E$11,regle!$E$23,
IF(V28=regle!$F$11,regle!$F$23,
IF(V28=regle!$G$11,regle!$G$23,
IF(V28=regle!$H$11,regle!$H$23,
IF(V28=regle!$I$11,regle!$I$23,
IF(V28=regle!$J$11,regle!$J$23,
IF(V28=regle!$K$11,regle!$K$23,0))))))))))))</f>
        <v>0</v>
      </c>
      <c r="AG28" s="17">
        <f>IF($A28,$J28*(IF(W28=regle!$B$11,regle!$B$23*IF(AP28=-2,1+regle!$B$35,1),
IF(W28=regle!$C$11,regle!$C$23,
IF(W28=regle!$D$11,regle!$D$23,
IF(W28=regle!$E$11,regle!$E$23,
IF(W28=regle!$F$11,regle!$F$23,
IF(W28=regle!$G$11,regle!$G$23,
IF(W28=regle!$H$11,regle!$H$23,
IF(W28=regle!$I$11,regle!$I$23,
IF(W28=regle!$J$11,regle!$J$23,
IF(W28=regle!$K$11,regle!$K$23,0))))))))))))</f>
        <v>0</v>
      </c>
      <c r="AH28" s="17">
        <f>IF($A28,$J28*(IF(X28=regle!$B$11,regle!$B$23*IF(AQ28=-2,1+regle!$B$35,1),
IF(X28=regle!$C$11,regle!$C$23,
IF(X28=regle!$D$11,regle!$D$23,
IF(X28=regle!$E$11,regle!$E$23,
IF(X28=regle!$F$11,regle!$F$23,
IF(X28=regle!$G$11,regle!$G$23,
IF(X28=regle!$H$11,regle!$H$23,
IF(X28=regle!$I$11,regle!$I$23,
IF(X28=regle!$J$11,regle!$J$23,
IF(X28=regle!$K$11,regle!$K$23,0))))))))))))</f>
        <v>0</v>
      </c>
      <c r="AI28" s="17">
        <f>IF($A28,$J28*(IF(Y28=regle!$B$11,regle!$B$23*IF(AR28=-2,1+regle!$B$35,1),
IF(Y28=regle!$C$11,regle!$C$23,
IF(Y28=regle!$D$11,regle!$D$23,
IF(Y28=regle!$E$11,regle!$E$23,
IF(Y28=regle!$F$11,regle!$F$23,
IF(Y28=regle!$G$11,regle!$G$23,
IF(Y28=regle!$H$11,regle!$H$23,
IF(Y28=regle!$I$11,regle!$I$23,
IF(Y28=regle!$J$11,regle!$J$23,
IF(Y28=regle!$K$11,regle!$K$23,0))))))))))))</f>
        <v>0</v>
      </c>
      <c r="AJ28" s="17">
        <f>IF($A28,$J28*(IF(Z28=regle!$B$11,regle!$B$23*IF(AS28=-2,1+regle!$B$35,1),
IF(Z28=regle!$C$11,regle!$C$23,
IF(Z28=regle!$D$11,regle!$D$23,
IF(Z28=regle!$E$11,regle!$E$23,
IF(Z28=regle!$F$11,regle!$F$23,
IF(Z28=regle!$G$11,regle!$G$23,
IF(Z28=regle!$H$11,regle!$H$23,
IF(Z28=regle!$I$11,regle!$I$23,
IF(Z28=regle!$J$11,regle!$J$23,
IF(Z28=regle!$K$11,regle!$K$23,0))))))))))))</f>
        <v>0</v>
      </c>
      <c r="AK28" s="16">
        <f>IF(OR(Q28=regle!$J$11,Q28=regle!$K$11),-2,IF(Q28=regle!$B$11,0,IF(AK$1=$AK$1,IF($O28,-1,regle!$B$2-$M28),IF(AJ28=-1,-1,AJ28+1))))</f>
        <v>0</v>
      </c>
      <c r="AL28" s="16">
        <f>IF(OR(R28=regle!$J$11,R28=regle!$K$11),-2,IF(R28=regle!$B$11,0,IF(AL$1=$AK$1,IF($O28,-1,regle!$B$2-$M28),IF(AK28=-1,-1,AK28+1))))</f>
        <v>1</v>
      </c>
      <c r="AM28" s="16">
        <f>IF(OR(S28=regle!$J$11,S28=regle!$K$11),-2,IF(S28=regle!$B$11,0,IF(AM$1=$AK$1,IF($O28,-1,regle!$B$2-$M28),IF(AL28=-1,-1,AL28+1))))</f>
        <v>2</v>
      </c>
      <c r="AN28" s="16">
        <f>IF(OR(T28=regle!$J$11,T28=regle!$K$11),-2,IF(T28=regle!$B$11,0,IF(AN$1=$AK$1,IF($O28,-1,regle!$B$2-$M28),IF(AM28=-1,-1,AM28+1))))</f>
        <v>3</v>
      </c>
      <c r="AO28" s="16">
        <f>IF(OR(U28=regle!$J$11,U28=regle!$K$11),-2,IF(U28=regle!$B$11,0,IF(AO$1=$AK$1,IF($O28,-1,regle!$B$2-$M28),IF(AN28=-1,-1,AN28+1))))</f>
        <v>4</v>
      </c>
      <c r="AP28" s="16">
        <f>IF(OR(V28=regle!$J$11,V28=regle!$K$11),-2,IF(V28=regle!$B$11,0,IF(AP$1=$AK$1,IF($O28,-1,regle!$B$2-$M28),IF(AO28=-1,-1,AO28+1))))</f>
        <v>5</v>
      </c>
      <c r="AQ28" s="16">
        <f>IF(OR(W28=regle!$J$11,W28=regle!$K$11),-2,IF(W28=regle!$B$11,0,IF(AQ$1=$AK$1,IF($O28,-1,regle!$B$2-$M28),IF(AP28=-1,-1,AP28+1))))</f>
        <v>6</v>
      </c>
      <c r="AR28" s="16">
        <f>IF(OR(X28=regle!$J$11,X28=regle!$K$11),-2,IF(X28=regle!$B$11,0,IF(AR$1=$AK$1,IF($O28,-1,regle!$B$2-$M28),IF(AQ28=-1,-1,AQ28+1))))</f>
        <v>7</v>
      </c>
      <c r="AS28" s="16">
        <f>IF(OR(Y28=regle!$J$11,Y28=regle!$K$11),-2,IF(Y28=regle!$B$11,0,IF(AS$1=$AK$1,IF($O28,-1,regle!$B$2-$M28),IF(AR28=-1,-1,AR28+1))))</f>
        <v>8</v>
      </c>
      <c r="AT28" s="16">
        <f>IF(OR(Z28=regle!$J$11,Z28=regle!$K$11),-2,IF(Z28=regle!$B$11,0,IF(AT$1=$AK$1,IF($O28,-1,regle!$B$2-$M28),IF(AS28=-1,-1,AS28+1))))</f>
        <v>9</v>
      </c>
    </row>
    <row r="29" spans="1:46" x14ac:dyDescent="0.25">
      <c r="A29" t="b">
        <f>modif0!A26</f>
        <v>1</v>
      </c>
      <c r="B29">
        <f>ROW(modif0!B26)</f>
        <v>26</v>
      </c>
      <c r="C29" t="str">
        <f>modif0!D26</f>
        <v>202</v>
      </c>
      <c r="D29" t="str">
        <f>modif0!E26</f>
        <v>HOSTENS</v>
      </c>
      <c r="E29">
        <f>modif0!F26</f>
        <v>7</v>
      </c>
      <c r="F29" t="str">
        <f>modif0!G26</f>
        <v>HAUDOUA</v>
      </c>
      <c r="G29" t="str">
        <f>modif0!I26</f>
        <v>0A</v>
      </c>
      <c r="H29">
        <f>modif0!J26</f>
        <v>408</v>
      </c>
      <c r="I29" t="str">
        <f>modif0!K26</f>
        <v/>
      </c>
      <c r="J29" s="11">
        <f>modif0!M26</f>
        <v>1.6405000000000001</v>
      </c>
      <c r="K29" s="11" t="str">
        <f>modif0!P26</f>
        <v>CR</v>
      </c>
      <c r="L29" t="str">
        <f>modif0!N26</f>
        <v>PM</v>
      </c>
      <c r="M29">
        <f>modif0!Q26</f>
        <v>2022</v>
      </c>
      <c r="N29" t="str">
        <f>modif0!R26</f>
        <v>CR-PM_2022</v>
      </c>
      <c r="O29" t="b">
        <f>modif0!S26</f>
        <v>1</v>
      </c>
      <c r="P29">
        <v>25</v>
      </c>
      <c r="Q29" t="s">
        <v>1868</v>
      </c>
      <c r="AA29" s="17">
        <f>IF($A29,$J29*(IF(Q29=regle!$B$11,regle!$B$23*IF(AJ29=-2,1+regle!$B$35,1),
IF(Q29=regle!$C$11,regle!$C$23,
IF(Q29=regle!$D$11,regle!$D$23,
IF(Q29=regle!$E$11,regle!$E$23,
IF(Q29=regle!$F$11,regle!$F$23,
IF(Q29=regle!$G$11,regle!$G$23,
IF(Q29=regle!$H$11,regle!$H$23,
IF(Q29=regle!$I$11,regle!$I$23,
IF(Q29=regle!$J$11,regle!$J$23,
IF(Q29=regle!$K$11,regle!$K$23,0))))))))))))</f>
        <v>-2788.85</v>
      </c>
      <c r="AB29" s="17">
        <f>IF($A29,$J29*(IF(R29=regle!$B$11,regle!$B$23*IF(AK29=-2,1+regle!$B$35,1),
IF(R29=regle!$C$11,regle!$C$23,
IF(R29=regle!$D$11,regle!$D$23,
IF(R29=regle!$E$11,regle!$E$23,
IF(R29=regle!$F$11,regle!$F$23,
IF(R29=regle!$G$11,regle!$G$23,
IF(R29=regle!$H$11,regle!$H$23,
IF(R29=regle!$I$11,regle!$I$23,
IF(R29=regle!$J$11,regle!$J$23,
IF(R29=regle!$K$11,regle!$K$23,0))))))))))))</f>
        <v>0</v>
      </c>
      <c r="AC29" s="17">
        <f>IF($A29,$J29*(IF(S29=regle!$B$11,regle!$B$23*IF(AL29=-2,1+regle!$B$35,1),
IF(S29=regle!$C$11,regle!$C$23,
IF(S29=regle!$D$11,regle!$D$23,
IF(S29=regle!$E$11,regle!$E$23,
IF(S29=regle!$F$11,regle!$F$23,
IF(S29=regle!$G$11,regle!$G$23,
IF(S29=regle!$H$11,regle!$H$23,
IF(S29=regle!$I$11,regle!$I$23,
IF(S29=regle!$J$11,regle!$J$23,
IF(S29=regle!$K$11,regle!$K$23,0))))))))))))</f>
        <v>0</v>
      </c>
      <c r="AD29" s="17">
        <f>IF($A29,$J29*(IF(T29=regle!$B$11,regle!$B$23*IF(AM29=-2,1+regle!$B$35,1),
IF(T29=regle!$C$11,regle!$C$23,
IF(T29=regle!$D$11,regle!$D$23,
IF(T29=regle!$E$11,regle!$E$23,
IF(T29=regle!$F$11,regle!$F$23,
IF(T29=regle!$G$11,regle!$G$23,
IF(T29=regle!$H$11,regle!$H$23,
IF(T29=regle!$I$11,regle!$I$23,
IF(T29=regle!$J$11,regle!$J$23,
IF(T29=regle!$K$11,regle!$K$23,0))))))))))))</f>
        <v>0</v>
      </c>
      <c r="AE29" s="17">
        <f>IF($A29,$J29*(IF(U29=regle!$B$11,regle!$B$23*IF(AN29=-2,1+regle!$B$35,1),
IF(U29=regle!$C$11,regle!$C$23,
IF(U29=regle!$D$11,regle!$D$23,
IF(U29=regle!$E$11,regle!$E$23,
IF(U29=regle!$F$11,regle!$F$23,
IF(U29=regle!$G$11,regle!$G$23,
IF(U29=regle!$H$11,regle!$H$23,
IF(U29=regle!$I$11,regle!$I$23,
IF(U29=regle!$J$11,regle!$J$23,
IF(U29=regle!$K$11,regle!$K$23,0))))))))))))</f>
        <v>0</v>
      </c>
      <c r="AF29" s="17">
        <f>IF($A29,$J29*(IF(V29=regle!$B$11,regle!$B$23*IF(AO29=-2,1+regle!$B$35,1),
IF(V29=regle!$C$11,regle!$C$23,
IF(V29=regle!$D$11,regle!$D$23,
IF(V29=regle!$E$11,regle!$E$23,
IF(V29=regle!$F$11,regle!$F$23,
IF(V29=regle!$G$11,regle!$G$23,
IF(V29=regle!$H$11,regle!$H$23,
IF(V29=regle!$I$11,regle!$I$23,
IF(V29=regle!$J$11,regle!$J$23,
IF(V29=regle!$K$11,regle!$K$23,0))))))))))))</f>
        <v>0</v>
      </c>
      <c r="AG29" s="17">
        <f>IF($A29,$J29*(IF(W29=regle!$B$11,regle!$B$23*IF(AP29=-2,1+regle!$B$35,1),
IF(W29=regle!$C$11,regle!$C$23,
IF(W29=regle!$D$11,regle!$D$23,
IF(W29=regle!$E$11,regle!$E$23,
IF(W29=regle!$F$11,regle!$F$23,
IF(W29=regle!$G$11,regle!$G$23,
IF(W29=regle!$H$11,regle!$H$23,
IF(W29=regle!$I$11,regle!$I$23,
IF(W29=regle!$J$11,regle!$J$23,
IF(W29=regle!$K$11,regle!$K$23,0))))))))))))</f>
        <v>0</v>
      </c>
      <c r="AH29" s="17">
        <f>IF($A29,$J29*(IF(X29=regle!$B$11,regle!$B$23*IF(AQ29=-2,1+regle!$B$35,1),
IF(X29=regle!$C$11,regle!$C$23,
IF(X29=regle!$D$11,regle!$D$23,
IF(X29=regle!$E$11,regle!$E$23,
IF(X29=regle!$F$11,regle!$F$23,
IF(X29=regle!$G$11,regle!$G$23,
IF(X29=regle!$H$11,regle!$H$23,
IF(X29=regle!$I$11,regle!$I$23,
IF(X29=regle!$J$11,regle!$J$23,
IF(X29=regle!$K$11,regle!$K$23,0))))))))))))</f>
        <v>0</v>
      </c>
      <c r="AI29" s="17">
        <f>IF($A29,$J29*(IF(Y29=regle!$B$11,regle!$B$23*IF(AR29=-2,1+regle!$B$35,1),
IF(Y29=regle!$C$11,regle!$C$23,
IF(Y29=regle!$D$11,regle!$D$23,
IF(Y29=regle!$E$11,regle!$E$23,
IF(Y29=regle!$F$11,regle!$F$23,
IF(Y29=regle!$G$11,regle!$G$23,
IF(Y29=regle!$H$11,regle!$H$23,
IF(Y29=regle!$I$11,regle!$I$23,
IF(Y29=regle!$J$11,regle!$J$23,
IF(Y29=regle!$K$11,regle!$K$23,0))))))))))))</f>
        <v>0</v>
      </c>
      <c r="AJ29" s="17">
        <f>IF($A29,$J29*(IF(Z29=regle!$B$11,regle!$B$23*IF(AS29=-2,1+regle!$B$35,1),
IF(Z29=regle!$C$11,regle!$C$23,
IF(Z29=regle!$D$11,regle!$D$23,
IF(Z29=regle!$E$11,regle!$E$23,
IF(Z29=regle!$F$11,regle!$F$23,
IF(Z29=regle!$G$11,regle!$G$23,
IF(Z29=regle!$H$11,regle!$H$23,
IF(Z29=regle!$I$11,regle!$I$23,
IF(Z29=regle!$J$11,regle!$J$23,
IF(Z29=regle!$K$11,regle!$K$23,0))))))))))))</f>
        <v>0</v>
      </c>
      <c r="AK29" s="16">
        <f>IF(OR(Q29=regle!$J$11,Q29=regle!$K$11),-2,IF(Q29=regle!$B$11,0,IF(AK$1=$AK$1,IF($O29,-1,regle!$B$2-$M29),IF(AJ29=-1,-1,AJ29+1))))</f>
        <v>0</v>
      </c>
      <c r="AL29" s="16">
        <f>IF(OR(R29=regle!$J$11,R29=regle!$K$11),-2,IF(R29=regle!$B$11,0,IF(AL$1=$AK$1,IF($O29,-1,regle!$B$2-$M29),IF(AK29=-1,-1,AK29+1))))</f>
        <v>1</v>
      </c>
      <c r="AM29" s="16">
        <f>IF(OR(S29=regle!$J$11,S29=regle!$K$11),-2,IF(S29=regle!$B$11,0,IF(AM$1=$AK$1,IF($O29,-1,regle!$B$2-$M29),IF(AL29=-1,-1,AL29+1))))</f>
        <v>2</v>
      </c>
      <c r="AN29" s="16">
        <f>IF(OR(T29=regle!$J$11,T29=regle!$K$11),-2,IF(T29=regle!$B$11,0,IF(AN$1=$AK$1,IF($O29,-1,regle!$B$2-$M29),IF(AM29=-1,-1,AM29+1))))</f>
        <v>3</v>
      </c>
      <c r="AO29" s="16">
        <f>IF(OR(U29=regle!$J$11,U29=regle!$K$11),-2,IF(U29=regle!$B$11,0,IF(AO$1=$AK$1,IF($O29,-1,regle!$B$2-$M29),IF(AN29=-1,-1,AN29+1))))</f>
        <v>4</v>
      </c>
      <c r="AP29" s="16">
        <f>IF(OR(V29=regle!$J$11,V29=regle!$K$11),-2,IF(V29=regle!$B$11,0,IF(AP$1=$AK$1,IF($O29,-1,regle!$B$2-$M29),IF(AO29=-1,-1,AO29+1))))</f>
        <v>5</v>
      </c>
      <c r="AQ29" s="16">
        <f>IF(OR(W29=regle!$J$11,W29=regle!$K$11),-2,IF(W29=regle!$B$11,0,IF(AQ$1=$AK$1,IF($O29,-1,regle!$B$2-$M29),IF(AP29=-1,-1,AP29+1))))</f>
        <v>6</v>
      </c>
      <c r="AR29" s="16">
        <f>IF(OR(X29=regle!$J$11,X29=regle!$K$11),-2,IF(X29=regle!$B$11,0,IF(AR$1=$AK$1,IF($O29,-1,regle!$B$2-$M29),IF(AQ29=-1,-1,AQ29+1))))</f>
        <v>7</v>
      </c>
      <c r="AS29" s="16">
        <f>IF(OR(Y29=regle!$J$11,Y29=regle!$K$11),-2,IF(Y29=regle!$B$11,0,IF(AS$1=$AK$1,IF($O29,-1,regle!$B$2-$M29),IF(AR29=-1,-1,AR29+1))))</f>
        <v>8</v>
      </c>
      <c r="AT29" s="16">
        <f>IF(OR(Z29=regle!$J$11,Z29=regle!$K$11),-2,IF(Z29=regle!$B$11,0,IF(AT$1=$AK$1,IF($O29,-1,regle!$B$2-$M29),IF(AS29=-1,-1,AS29+1))))</f>
        <v>9</v>
      </c>
    </row>
    <row r="30" spans="1:46" x14ac:dyDescent="0.25">
      <c r="A30" t="b">
        <f>modif0!A340</f>
        <v>1</v>
      </c>
      <c r="B30">
        <f>ROW(modif0!B340)</f>
        <v>340</v>
      </c>
      <c r="C30" t="str">
        <f>modif0!D340</f>
        <v>171</v>
      </c>
      <c r="D30" t="str">
        <f>modif0!E340</f>
        <v>MANO</v>
      </c>
      <c r="E30">
        <f>modif0!F340</f>
        <v>5</v>
      </c>
      <c r="F30" t="str">
        <f>modif0!G340</f>
        <v>BOSCQ</v>
      </c>
      <c r="G30" t="str">
        <f>modif0!I340</f>
        <v>0D</v>
      </c>
      <c r="H30">
        <f>modif0!J340</f>
        <v>263</v>
      </c>
      <c r="I30" t="str">
        <f>modif0!K340</f>
        <v/>
      </c>
      <c r="J30" s="11">
        <f>modif0!M340</f>
        <v>1.6395</v>
      </c>
      <c r="K30" s="11" t="str">
        <f>modif0!P340</f>
        <v>CR</v>
      </c>
      <c r="L30" t="str">
        <f>modif0!N340</f>
        <v>PM</v>
      </c>
      <c r="M30">
        <f>modif0!Q340</f>
        <v>2022</v>
      </c>
      <c r="N30" t="str">
        <f>modif0!R340</f>
        <v>CR-PM_2022</v>
      </c>
      <c r="O30" t="b">
        <f>modif0!S340</f>
        <v>1</v>
      </c>
      <c r="P30">
        <v>25</v>
      </c>
      <c r="Q30" t="s">
        <v>1868</v>
      </c>
      <c r="AA30" s="17">
        <f>IF($A30,$J30*(IF(Q30=regle!$B$11,regle!$B$23*IF(AJ30=-2,1+regle!$B$35,1),
IF(Q30=regle!$C$11,regle!$C$23,
IF(Q30=regle!$D$11,regle!$D$23,
IF(Q30=regle!$E$11,regle!$E$23,
IF(Q30=regle!$F$11,regle!$F$23,
IF(Q30=regle!$G$11,regle!$G$23,
IF(Q30=regle!$H$11,regle!$H$23,
IF(Q30=regle!$I$11,regle!$I$23,
IF(Q30=regle!$J$11,regle!$J$23,
IF(Q30=regle!$K$11,regle!$K$23,0))))))))))))</f>
        <v>-2787.15</v>
      </c>
      <c r="AB30" s="17">
        <f>IF($A30,$J30*(IF(R30=regle!$B$11,regle!$B$23*IF(AK30=-2,1+regle!$B$35,1),
IF(R30=regle!$C$11,regle!$C$23,
IF(R30=regle!$D$11,regle!$D$23,
IF(R30=regle!$E$11,regle!$E$23,
IF(R30=regle!$F$11,regle!$F$23,
IF(R30=regle!$G$11,regle!$G$23,
IF(R30=regle!$H$11,regle!$H$23,
IF(R30=regle!$I$11,regle!$I$23,
IF(R30=regle!$J$11,regle!$J$23,
IF(R30=regle!$K$11,regle!$K$23,0))))))))))))</f>
        <v>0</v>
      </c>
      <c r="AC30" s="17">
        <f>IF($A30,$J30*(IF(S30=regle!$B$11,regle!$B$23*IF(AL30=-2,1+regle!$B$35,1),
IF(S30=regle!$C$11,regle!$C$23,
IF(S30=regle!$D$11,regle!$D$23,
IF(S30=regle!$E$11,regle!$E$23,
IF(S30=regle!$F$11,regle!$F$23,
IF(S30=regle!$G$11,regle!$G$23,
IF(S30=regle!$H$11,regle!$H$23,
IF(S30=regle!$I$11,regle!$I$23,
IF(S30=regle!$J$11,regle!$J$23,
IF(S30=regle!$K$11,regle!$K$23,0))))))))))))</f>
        <v>0</v>
      </c>
      <c r="AD30" s="17">
        <f>IF($A30,$J30*(IF(T30=regle!$B$11,regle!$B$23*IF(AM30=-2,1+regle!$B$35,1),
IF(T30=regle!$C$11,regle!$C$23,
IF(T30=regle!$D$11,regle!$D$23,
IF(T30=regle!$E$11,regle!$E$23,
IF(T30=regle!$F$11,regle!$F$23,
IF(T30=regle!$G$11,regle!$G$23,
IF(T30=regle!$H$11,regle!$H$23,
IF(T30=regle!$I$11,regle!$I$23,
IF(T30=regle!$J$11,regle!$J$23,
IF(T30=regle!$K$11,regle!$K$23,0))))))))))))</f>
        <v>0</v>
      </c>
      <c r="AE30" s="17">
        <f>IF($A30,$J30*(IF(U30=regle!$B$11,regle!$B$23*IF(AN30=-2,1+regle!$B$35,1),
IF(U30=regle!$C$11,regle!$C$23,
IF(U30=regle!$D$11,regle!$D$23,
IF(U30=regle!$E$11,regle!$E$23,
IF(U30=regle!$F$11,regle!$F$23,
IF(U30=regle!$G$11,regle!$G$23,
IF(U30=regle!$H$11,regle!$H$23,
IF(U30=regle!$I$11,regle!$I$23,
IF(U30=regle!$J$11,regle!$J$23,
IF(U30=regle!$K$11,regle!$K$23,0))))))))))))</f>
        <v>0</v>
      </c>
      <c r="AF30" s="17">
        <f>IF($A30,$J30*(IF(V30=regle!$B$11,regle!$B$23*IF(AO30=-2,1+regle!$B$35,1),
IF(V30=regle!$C$11,regle!$C$23,
IF(V30=regle!$D$11,regle!$D$23,
IF(V30=regle!$E$11,regle!$E$23,
IF(V30=regle!$F$11,regle!$F$23,
IF(V30=regle!$G$11,regle!$G$23,
IF(V30=regle!$H$11,regle!$H$23,
IF(V30=regle!$I$11,regle!$I$23,
IF(V30=regle!$J$11,regle!$J$23,
IF(V30=regle!$K$11,regle!$K$23,0))))))))))))</f>
        <v>0</v>
      </c>
      <c r="AG30" s="17">
        <f>IF($A30,$J30*(IF(W30=regle!$B$11,regle!$B$23*IF(AP30=-2,1+regle!$B$35,1),
IF(W30=regle!$C$11,regle!$C$23,
IF(W30=regle!$D$11,regle!$D$23,
IF(W30=regle!$E$11,regle!$E$23,
IF(W30=regle!$F$11,regle!$F$23,
IF(W30=regle!$G$11,regle!$G$23,
IF(W30=regle!$H$11,regle!$H$23,
IF(W30=regle!$I$11,regle!$I$23,
IF(W30=regle!$J$11,regle!$J$23,
IF(W30=regle!$K$11,regle!$K$23,0))))))))))))</f>
        <v>0</v>
      </c>
      <c r="AH30" s="17">
        <f>IF($A30,$J30*(IF(X30=regle!$B$11,regle!$B$23*IF(AQ30=-2,1+regle!$B$35,1),
IF(X30=regle!$C$11,regle!$C$23,
IF(X30=regle!$D$11,regle!$D$23,
IF(X30=regle!$E$11,regle!$E$23,
IF(X30=regle!$F$11,regle!$F$23,
IF(X30=regle!$G$11,regle!$G$23,
IF(X30=regle!$H$11,regle!$H$23,
IF(X30=regle!$I$11,regle!$I$23,
IF(X30=regle!$J$11,regle!$J$23,
IF(X30=regle!$K$11,regle!$K$23,0))))))))))))</f>
        <v>0</v>
      </c>
      <c r="AI30" s="17">
        <f>IF($A30,$J30*(IF(Y30=regle!$B$11,regle!$B$23*IF(AR30=-2,1+regle!$B$35,1),
IF(Y30=regle!$C$11,regle!$C$23,
IF(Y30=regle!$D$11,regle!$D$23,
IF(Y30=regle!$E$11,regle!$E$23,
IF(Y30=regle!$F$11,regle!$F$23,
IF(Y30=regle!$G$11,regle!$G$23,
IF(Y30=regle!$H$11,regle!$H$23,
IF(Y30=regle!$I$11,regle!$I$23,
IF(Y30=regle!$J$11,regle!$J$23,
IF(Y30=regle!$K$11,regle!$K$23,0))))))))))))</f>
        <v>0</v>
      </c>
      <c r="AJ30" s="17">
        <f>IF($A30,$J30*(IF(Z30=regle!$B$11,regle!$B$23*IF(AS30=-2,1+regle!$B$35,1),
IF(Z30=regle!$C$11,regle!$C$23,
IF(Z30=regle!$D$11,regle!$D$23,
IF(Z30=regle!$E$11,regle!$E$23,
IF(Z30=regle!$F$11,regle!$F$23,
IF(Z30=regle!$G$11,regle!$G$23,
IF(Z30=regle!$H$11,regle!$H$23,
IF(Z30=regle!$I$11,regle!$I$23,
IF(Z30=regle!$J$11,regle!$J$23,
IF(Z30=regle!$K$11,regle!$K$23,0))))))))))))</f>
        <v>0</v>
      </c>
      <c r="AK30" s="16">
        <f>IF(OR(Q30=regle!$J$11,Q30=regle!$K$11),-2,IF(Q30=regle!$B$11,0,IF(AK$1=$AK$1,IF($O30,-1,regle!$B$2-$M30),IF(AJ30=-1,-1,AJ30+1))))</f>
        <v>0</v>
      </c>
      <c r="AL30" s="16">
        <f>IF(OR(R30=regle!$J$11,R30=regle!$K$11),-2,IF(R30=regle!$B$11,0,IF(AL$1=$AK$1,IF($O30,-1,regle!$B$2-$M30),IF(AK30=-1,-1,AK30+1))))</f>
        <v>1</v>
      </c>
      <c r="AM30" s="16">
        <f>IF(OR(S30=regle!$J$11,S30=regle!$K$11),-2,IF(S30=regle!$B$11,0,IF(AM$1=$AK$1,IF($O30,-1,regle!$B$2-$M30),IF(AL30=-1,-1,AL30+1))))</f>
        <v>2</v>
      </c>
      <c r="AN30" s="16">
        <f>IF(OR(T30=regle!$J$11,T30=regle!$K$11),-2,IF(T30=regle!$B$11,0,IF(AN$1=$AK$1,IF($O30,-1,regle!$B$2-$M30),IF(AM30=-1,-1,AM30+1))))</f>
        <v>3</v>
      </c>
      <c r="AO30" s="16">
        <f>IF(OR(U30=regle!$J$11,U30=regle!$K$11),-2,IF(U30=regle!$B$11,0,IF(AO$1=$AK$1,IF($O30,-1,regle!$B$2-$M30),IF(AN30=-1,-1,AN30+1))))</f>
        <v>4</v>
      </c>
      <c r="AP30" s="16">
        <f>IF(OR(V30=regle!$J$11,V30=regle!$K$11),-2,IF(V30=regle!$B$11,0,IF(AP$1=$AK$1,IF($O30,-1,regle!$B$2-$M30),IF(AO30=-1,-1,AO30+1))))</f>
        <v>5</v>
      </c>
      <c r="AQ30" s="16">
        <f>IF(OR(W30=regle!$J$11,W30=regle!$K$11),-2,IF(W30=regle!$B$11,0,IF(AQ$1=$AK$1,IF($O30,-1,regle!$B$2-$M30),IF(AP30=-1,-1,AP30+1))))</f>
        <v>6</v>
      </c>
      <c r="AR30" s="16">
        <f>IF(OR(X30=regle!$J$11,X30=regle!$K$11),-2,IF(X30=regle!$B$11,0,IF(AR$1=$AK$1,IF($O30,-1,regle!$B$2-$M30),IF(AQ30=-1,-1,AQ30+1))))</f>
        <v>7</v>
      </c>
      <c r="AS30" s="16">
        <f>IF(OR(Y30=regle!$J$11,Y30=regle!$K$11),-2,IF(Y30=regle!$B$11,0,IF(AS$1=$AK$1,IF($O30,-1,regle!$B$2-$M30),IF(AR30=-1,-1,AR30+1))))</f>
        <v>8</v>
      </c>
      <c r="AT30" s="16">
        <f>IF(OR(Z30=regle!$J$11,Z30=regle!$K$11),-2,IF(Z30=regle!$B$11,0,IF(AT$1=$AK$1,IF($O30,-1,regle!$B$2-$M30),IF(AS30=-1,-1,AS30+1))))</f>
        <v>9</v>
      </c>
    </row>
    <row r="31" spans="1:46" x14ac:dyDescent="0.25">
      <c r="A31" t="b">
        <f>modif0!A11</f>
        <v>1</v>
      </c>
      <c r="B31">
        <f>ROW(modif0!B11)</f>
        <v>11</v>
      </c>
      <c r="C31" t="str">
        <f>modif0!D11</f>
        <v>202</v>
      </c>
      <c r="D31" t="str">
        <f>modif0!E11</f>
        <v>HOSTENS</v>
      </c>
      <c r="E31">
        <f>modif0!F11</f>
        <v>11</v>
      </c>
      <c r="F31" t="str">
        <f>modif0!G11</f>
        <v>L'ARGILEYRE</v>
      </c>
      <c r="G31" t="str">
        <f>modif0!I11</f>
        <v>0A</v>
      </c>
      <c r="H31">
        <f>modif0!J11</f>
        <v>1312</v>
      </c>
      <c r="I31" t="str">
        <f>modif0!K11</f>
        <v>j</v>
      </c>
      <c r="J31" s="11">
        <f>modif0!M11</f>
        <v>1.5449999999999999</v>
      </c>
      <c r="K31" s="11" t="str">
        <f>modif0!P11</f>
        <v>CR</v>
      </c>
      <c r="L31" t="str">
        <f>modif0!N11</f>
        <v>PM</v>
      </c>
      <c r="M31">
        <f>modif0!Q11</f>
        <v>2022</v>
      </c>
      <c r="N31" t="str">
        <f>modif0!R11</f>
        <v>CR-PM_2022</v>
      </c>
      <c r="O31" t="b">
        <f>modif0!S11</f>
        <v>1</v>
      </c>
      <c r="P31">
        <v>25</v>
      </c>
      <c r="Q31" t="s">
        <v>1868</v>
      </c>
      <c r="AA31" s="17">
        <f>IF($A31,$J31*(IF(Q31=regle!$B$11,regle!$B$23*IF(AJ31=-2,1+regle!$B$35,1),
IF(Q31=regle!$C$11,regle!$C$23,
IF(Q31=regle!$D$11,regle!$D$23,
IF(Q31=regle!$E$11,regle!$E$23,
IF(Q31=regle!$F$11,regle!$F$23,
IF(Q31=regle!$G$11,regle!$G$23,
IF(Q31=regle!$H$11,regle!$H$23,
IF(Q31=regle!$I$11,regle!$I$23,
IF(Q31=regle!$J$11,regle!$J$23,
IF(Q31=regle!$K$11,regle!$K$23,0))))))))))))</f>
        <v>-2626.5</v>
      </c>
      <c r="AB31" s="17">
        <f>IF($A31,$J31*(IF(R31=regle!$B$11,regle!$B$23*IF(AK31=-2,1+regle!$B$35,1),
IF(R31=regle!$C$11,regle!$C$23,
IF(R31=regle!$D$11,regle!$D$23,
IF(R31=regle!$E$11,regle!$E$23,
IF(R31=regle!$F$11,regle!$F$23,
IF(R31=regle!$G$11,regle!$G$23,
IF(R31=regle!$H$11,regle!$H$23,
IF(R31=regle!$I$11,regle!$I$23,
IF(R31=regle!$J$11,regle!$J$23,
IF(R31=regle!$K$11,regle!$K$23,0))))))))))))</f>
        <v>0</v>
      </c>
      <c r="AC31" s="17">
        <f>IF($A31,$J31*(IF(S31=regle!$B$11,regle!$B$23*IF(AL31=-2,1+regle!$B$35,1),
IF(S31=regle!$C$11,regle!$C$23,
IF(S31=regle!$D$11,regle!$D$23,
IF(S31=regle!$E$11,regle!$E$23,
IF(S31=regle!$F$11,regle!$F$23,
IF(S31=regle!$G$11,regle!$G$23,
IF(S31=regle!$H$11,regle!$H$23,
IF(S31=regle!$I$11,regle!$I$23,
IF(S31=regle!$J$11,regle!$J$23,
IF(S31=regle!$K$11,regle!$K$23,0))))))))))))</f>
        <v>0</v>
      </c>
      <c r="AD31" s="17">
        <f>IF($A31,$J31*(IF(T31=regle!$B$11,regle!$B$23*IF(AM31=-2,1+regle!$B$35,1),
IF(T31=regle!$C$11,regle!$C$23,
IF(T31=regle!$D$11,regle!$D$23,
IF(T31=regle!$E$11,regle!$E$23,
IF(T31=regle!$F$11,regle!$F$23,
IF(T31=regle!$G$11,regle!$G$23,
IF(T31=regle!$H$11,regle!$H$23,
IF(T31=regle!$I$11,regle!$I$23,
IF(T31=regle!$J$11,regle!$J$23,
IF(T31=regle!$K$11,regle!$K$23,0))))))))))))</f>
        <v>0</v>
      </c>
      <c r="AE31" s="17">
        <f>IF($A31,$J31*(IF(U31=regle!$B$11,regle!$B$23*IF(AN31=-2,1+regle!$B$35,1),
IF(U31=regle!$C$11,regle!$C$23,
IF(U31=regle!$D$11,regle!$D$23,
IF(U31=regle!$E$11,regle!$E$23,
IF(U31=regle!$F$11,regle!$F$23,
IF(U31=regle!$G$11,regle!$G$23,
IF(U31=regle!$H$11,regle!$H$23,
IF(U31=regle!$I$11,regle!$I$23,
IF(U31=regle!$J$11,regle!$J$23,
IF(U31=regle!$K$11,regle!$K$23,0))))))))))))</f>
        <v>0</v>
      </c>
      <c r="AF31" s="17">
        <f>IF($A31,$J31*(IF(V31=regle!$B$11,regle!$B$23*IF(AO31=-2,1+regle!$B$35,1),
IF(V31=regle!$C$11,regle!$C$23,
IF(V31=regle!$D$11,regle!$D$23,
IF(V31=regle!$E$11,regle!$E$23,
IF(V31=regle!$F$11,regle!$F$23,
IF(V31=regle!$G$11,regle!$G$23,
IF(V31=regle!$H$11,regle!$H$23,
IF(V31=regle!$I$11,regle!$I$23,
IF(V31=regle!$J$11,regle!$J$23,
IF(V31=regle!$K$11,regle!$K$23,0))))))))))))</f>
        <v>0</v>
      </c>
      <c r="AG31" s="17">
        <f>IF($A31,$J31*(IF(W31=regle!$B$11,regle!$B$23*IF(AP31=-2,1+regle!$B$35,1),
IF(W31=regle!$C$11,regle!$C$23,
IF(W31=regle!$D$11,regle!$D$23,
IF(W31=regle!$E$11,regle!$E$23,
IF(W31=regle!$F$11,regle!$F$23,
IF(W31=regle!$G$11,regle!$G$23,
IF(W31=regle!$H$11,regle!$H$23,
IF(W31=regle!$I$11,regle!$I$23,
IF(W31=regle!$J$11,regle!$J$23,
IF(W31=regle!$K$11,regle!$K$23,0))))))))))))</f>
        <v>0</v>
      </c>
      <c r="AH31" s="17">
        <f>IF($A31,$J31*(IF(X31=regle!$B$11,regle!$B$23*IF(AQ31=-2,1+regle!$B$35,1),
IF(X31=regle!$C$11,regle!$C$23,
IF(X31=regle!$D$11,regle!$D$23,
IF(X31=regle!$E$11,regle!$E$23,
IF(X31=regle!$F$11,regle!$F$23,
IF(X31=regle!$G$11,regle!$G$23,
IF(X31=regle!$H$11,regle!$H$23,
IF(X31=regle!$I$11,regle!$I$23,
IF(X31=regle!$J$11,regle!$J$23,
IF(X31=regle!$K$11,regle!$K$23,0))))))))))))</f>
        <v>0</v>
      </c>
      <c r="AI31" s="17">
        <f>IF($A31,$J31*(IF(Y31=regle!$B$11,regle!$B$23*IF(AR31=-2,1+regle!$B$35,1),
IF(Y31=regle!$C$11,regle!$C$23,
IF(Y31=regle!$D$11,regle!$D$23,
IF(Y31=regle!$E$11,regle!$E$23,
IF(Y31=regle!$F$11,regle!$F$23,
IF(Y31=regle!$G$11,regle!$G$23,
IF(Y31=regle!$H$11,regle!$H$23,
IF(Y31=regle!$I$11,regle!$I$23,
IF(Y31=regle!$J$11,regle!$J$23,
IF(Y31=regle!$K$11,regle!$K$23,0))))))))))))</f>
        <v>0</v>
      </c>
      <c r="AJ31" s="17">
        <f>IF($A31,$J31*(IF(Z31=regle!$B$11,regle!$B$23*IF(AS31=-2,1+regle!$B$35,1),
IF(Z31=regle!$C$11,regle!$C$23,
IF(Z31=regle!$D$11,regle!$D$23,
IF(Z31=regle!$E$11,regle!$E$23,
IF(Z31=regle!$F$11,regle!$F$23,
IF(Z31=regle!$G$11,regle!$G$23,
IF(Z31=regle!$H$11,regle!$H$23,
IF(Z31=regle!$I$11,regle!$I$23,
IF(Z31=regle!$J$11,regle!$J$23,
IF(Z31=regle!$K$11,regle!$K$23,0))))))))))))</f>
        <v>0</v>
      </c>
      <c r="AK31" s="16">
        <f>IF(OR(Q31=regle!$J$11,Q31=regle!$K$11),-2,IF(Q31=regle!$B$11,0,IF(AK$1=$AK$1,IF($O31,-1,regle!$B$2-$M31),IF(AJ31=-1,-1,AJ31+1))))</f>
        <v>0</v>
      </c>
      <c r="AL31" s="16">
        <f>IF(OR(R31=regle!$J$11,R31=regle!$K$11),-2,IF(R31=regle!$B$11,0,IF(AL$1=$AK$1,IF($O31,-1,regle!$B$2-$M31),IF(AK31=-1,-1,AK31+1))))</f>
        <v>1</v>
      </c>
      <c r="AM31" s="16">
        <f>IF(OR(S31=regle!$J$11,S31=regle!$K$11),-2,IF(S31=regle!$B$11,0,IF(AM$1=$AK$1,IF($O31,-1,regle!$B$2-$M31),IF(AL31=-1,-1,AL31+1))))</f>
        <v>2</v>
      </c>
      <c r="AN31" s="16">
        <f>IF(OR(T31=regle!$J$11,T31=regle!$K$11),-2,IF(T31=regle!$B$11,0,IF(AN$1=$AK$1,IF($O31,-1,regle!$B$2-$M31),IF(AM31=-1,-1,AM31+1))))</f>
        <v>3</v>
      </c>
      <c r="AO31" s="16">
        <f>IF(OR(U31=regle!$J$11,U31=regle!$K$11),-2,IF(U31=regle!$B$11,0,IF(AO$1=$AK$1,IF($O31,-1,regle!$B$2-$M31),IF(AN31=-1,-1,AN31+1))))</f>
        <v>4</v>
      </c>
      <c r="AP31" s="16">
        <f>IF(OR(V31=regle!$J$11,V31=regle!$K$11),-2,IF(V31=regle!$B$11,0,IF(AP$1=$AK$1,IF($O31,-1,regle!$B$2-$M31),IF(AO31=-1,-1,AO31+1))))</f>
        <v>5</v>
      </c>
      <c r="AQ31" s="16">
        <f>IF(OR(W31=regle!$J$11,W31=regle!$K$11),-2,IF(W31=regle!$B$11,0,IF(AQ$1=$AK$1,IF($O31,-1,regle!$B$2-$M31),IF(AP31=-1,-1,AP31+1))))</f>
        <v>6</v>
      </c>
      <c r="AR31" s="16">
        <f>IF(OR(X31=regle!$J$11,X31=regle!$K$11),-2,IF(X31=regle!$B$11,0,IF(AR$1=$AK$1,IF($O31,-1,regle!$B$2-$M31),IF(AQ31=-1,-1,AQ31+1))))</f>
        <v>7</v>
      </c>
      <c r="AS31" s="16">
        <f>IF(OR(Y31=regle!$J$11,Y31=regle!$K$11),-2,IF(Y31=regle!$B$11,0,IF(AS$1=$AK$1,IF($O31,-1,regle!$B$2-$M31),IF(AR31=-1,-1,AR31+1))))</f>
        <v>8</v>
      </c>
      <c r="AT31" s="16">
        <f>IF(OR(Z31=regle!$J$11,Z31=regle!$K$11),-2,IF(Z31=regle!$B$11,0,IF(AT$1=$AK$1,IF($O31,-1,regle!$B$2-$M31),IF(AS31=-1,-1,AS31+1))))</f>
        <v>9</v>
      </c>
    </row>
    <row r="32" spans="1:46" x14ac:dyDescent="0.25">
      <c r="A32" t="b">
        <f>modif0!A371</f>
        <v>1</v>
      </c>
      <c r="B32">
        <f>ROW(modif0!B371)</f>
        <v>371</v>
      </c>
      <c r="C32" t="str">
        <f>modif0!D371</f>
        <v>200</v>
      </c>
      <c r="D32" t="str">
        <f>modif0!E371</f>
        <v>MOUSTEY</v>
      </c>
      <c r="E32">
        <f>modif0!F371</f>
        <v>9</v>
      </c>
      <c r="F32" t="str">
        <f>modif0!G371</f>
        <v>Peyroulet</v>
      </c>
      <c r="G32" t="str">
        <f>modif0!I371</f>
        <v>0N</v>
      </c>
      <c r="H32">
        <f>modif0!J371</f>
        <v>181</v>
      </c>
      <c r="I32" t="str">
        <f>modif0!K371</f>
        <v/>
      </c>
      <c r="J32" s="11">
        <f>modif0!M371</f>
        <v>1.486</v>
      </c>
      <c r="K32" s="11" t="str">
        <f>modif0!P371</f>
        <v>CR</v>
      </c>
      <c r="L32" t="str">
        <f>modif0!N371</f>
        <v>PM</v>
      </c>
      <c r="M32">
        <f>modif0!Q371</f>
        <v>2022</v>
      </c>
      <c r="N32" t="str">
        <f>modif0!R371</f>
        <v>CR-PM_2022</v>
      </c>
      <c r="O32" t="b">
        <f>modif0!S371</f>
        <v>1</v>
      </c>
      <c r="P32">
        <v>25</v>
      </c>
      <c r="Q32" t="s">
        <v>1868</v>
      </c>
      <c r="AA32" s="17">
        <f>IF($A32,$J32*(IF(Q32=regle!$B$11,regle!$B$23*IF(AJ32=-2,1+regle!$B$35,1),
IF(Q32=regle!$C$11,regle!$C$23,
IF(Q32=regle!$D$11,regle!$D$23,
IF(Q32=regle!$E$11,regle!$E$23,
IF(Q32=regle!$F$11,regle!$F$23,
IF(Q32=regle!$G$11,regle!$G$23,
IF(Q32=regle!$H$11,regle!$H$23,
IF(Q32=regle!$I$11,regle!$I$23,
IF(Q32=regle!$J$11,regle!$J$23,
IF(Q32=regle!$K$11,regle!$K$23,0))))))))))))</f>
        <v>-2526.1999999999998</v>
      </c>
      <c r="AB32" s="17">
        <f>IF($A32,$J32*(IF(R32=regle!$B$11,regle!$B$23*IF(AK32=-2,1+regle!$B$35,1),
IF(R32=regle!$C$11,regle!$C$23,
IF(R32=regle!$D$11,regle!$D$23,
IF(R32=regle!$E$11,regle!$E$23,
IF(R32=regle!$F$11,regle!$F$23,
IF(R32=regle!$G$11,regle!$G$23,
IF(R32=regle!$H$11,regle!$H$23,
IF(R32=regle!$I$11,regle!$I$23,
IF(R32=regle!$J$11,regle!$J$23,
IF(R32=regle!$K$11,regle!$K$23,0))))))))))))</f>
        <v>0</v>
      </c>
      <c r="AC32" s="17">
        <f>IF($A32,$J32*(IF(S32=regle!$B$11,regle!$B$23*IF(AL32=-2,1+regle!$B$35,1),
IF(S32=regle!$C$11,regle!$C$23,
IF(S32=regle!$D$11,regle!$D$23,
IF(S32=regle!$E$11,regle!$E$23,
IF(S32=regle!$F$11,regle!$F$23,
IF(S32=regle!$G$11,regle!$G$23,
IF(S32=regle!$H$11,regle!$H$23,
IF(S32=regle!$I$11,regle!$I$23,
IF(S32=regle!$J$11,regle!$J$23,
IF(S32=regle!$K$11,regle!$K$23,0))))))))))))</f>
        <v>0</v>
      </c>
      <c r="AD32" s="17">
        <f>IF($A32,$J32*(IF(T32=regle!$B$11,regle!$B$23*IF(AM32=-2,1+regle!$B$35,1),
IF(T32=regle!$C$11,regle!$C$23,
IF(T32=regle!$D$11,regle!$D$23,
IF(T32=regle!$E$11,regle!$E$23,
IF(T32=regle!$F$11,regle!$F$23,
IF(T32=regle!$G$11,regle!$G$23,
IF(T32=regle!$H$11,regle!$H$23,
IF(T32=regle!$I$11,regle!$I$23,
IF(T32=regle!$J$11,regle!$J$23,
IF(T32=regle!$K$11,regle!$K$23,0))))))))))))</f>
        <v>0</v>
      </c>
      <c r="AE32" s="17">
        <f>IF($A32,$J32*(IF(U32=regle!$B$11,regle!$B$23*IF(AN32=-2,1+regle!$B$35,1),
IF(U32=regle!$C$11,regle!$C$23,
IF(U32=regle!$D$11,regle!$D$23,
IF(U32=regle!$E$11,regle!$E$23,
IF(U32=regle!$F$11,regle!$F$23,
IF(U32=regle!$G$11,regle!$G$23,
IF(U32=regle!$H$11,regle!$H$23,
IF(U32=regle!$I$11,regle!$I$23,
IF(U32=regle!$J$11,regle!$J$23,
IF(U32=regle!$K$11,regle!$K$23,0))))))))))))</f>
        <v>0</v>
      </c>
      <c r="AF32" s="17">
        <f>IF($A32,$J32*(IF(V32=regle!$B$11,regle!$B$23*IF(AO32=-2,1+regle!$B$35,1),
IF(V32=regle!$C$11,regle!$C$23,
IF(V32=regle!$D$11,regle!$D$23,
IF(V32=regle!$E$11,regle!$E$23,
IF(V32=regle!$F$11,regle!$F$23,
IF(V32=regle!$G$11,regle!$G$23,
IF(V32=regle!$H$11,regle!$H$23,
IF(V32=regle!$I$11,regle!$I$23,
IF(V32=regle!$J$11,regle!$J$23,
IF(V32=regle!$K$11,regle!$K$23,0))))))))))))</f>
        <v>0</v>
      </c>
      <c r="AG32" s="17">
        <f>IF($A32,$J32*(IF(W32=regle!$B$11,regle!$B$23*IF(AP32=-2,1+regle!$B$35,1),
IF(W32=regle!$C$11,regle!$C$23,
IF(W32=regle!$D$11,regle!$D$23,
IF(W32=regle!$E$11,regle!$E$23,
IF(W32=regle!$F$11,regle!$F$23,
IF(W32=regle!$G$11,regle!$G$23,
IF(W32=regle!$H$11,regle!$H$23,
IF(W32=regle!$I$11,regle!$I$23,
IF(W32=regle!$J$11,regle!$J$23,
IF(W32=regle!$K$11,regle!$K$23,0))))))))))))</f>
        <v>0</v>
      </c>
      <c r="AH32" s="17">
        <f>IF($A32,$J32*(IF(X32=regle!$B$11,regle!$B$23*IF(AQ32=-2,1+regle!$B$35,1),
IF(X32=regle!$C$11,regle!$C$23,
IF(X32=regle!$D$11,regle!$D$23,
IF(X32=regle!$E$11,regle!$E$23,
IF(X32=regle!$F$11,regle!$F$23,
IF(X32=regle!$G$11,regle!$G$23,
IF(X32=regle!$H$11,regle!$H$23,
IF(X32=regle!$I$11,regle!$I$23,
IF(X32=regle!$J$11,regle!$J$23,
IF(X32=regle!$K$11,regle!$K$23,0))))))))))))</f>
        <v>0</v>
      </c>
      <c r="AI32" s="17">
        <f>IF($A32,$J32*(IF(Y32=regle!$B$11,regle!$B$23*IF(AR32=-2,1+regle!$B$35,1),
IF(Y32=regle!$C$11,regle!$C$23,
IF(Y32=regle!$D$11,regle!$D$23,
IF(Y32=regle!$E$11,regle!$E$23,
IF(Y32=regle!$F$11,regle!$F$23,
IF(Y32=regle!$G$11,regle!$G$23,
IF(Y32=regle!$H$11,regle!$H$23,
IF(Y32=regle!$I$11,regle!$I$23,
IF(Y32=regle!$J$11,regle!$J$23,
IF(Y32=regle!$K$11,regle!$K$23,0))))))))))))</f>
        <v>0</v>
      </c>
      <c r="AJ32" s="17">
        <f>IF($A32,$J32*(IF(Z32=regle!$B$11,regle!$B$23*IF(AS32=-2,1+regle!$B$35,1),
IF(Z32=regle!$C$11,regle!$C$23,
IF(Z32=regle!$D$11,regle!$D$23,
IF(Z32=regle!$E$11,regle!$E$23,
IF(Z32=regle!$F$11,regle!$F$23,
IF(Z32=regle!$G$11,regle!$G$23,
IF(Z32=regle!$H$11,regle!$H$23,
IF(Z32=regle!$I$11,regle!$I$23,
IF(Z32=regle!$J$11,regle!$J$23,
IF(Z32=regle!$K$11,regle!$K$23,0))))))))))))</f>
        <v>0</v>
      </c>
      <c r="AK32" s="16">
        <f>IF(OR(Q32=regle!$J$11,Q32=regle!$K$11),-2,IF(Q32=regle!$B$11,0,IF(AK$1=$AK$1,IF($O32,-1,regle!$B$2-$M32),IF(AJ32=-1,-1,AJ32+1))))</f>
        <v>0</v>
      </c>
      <c r="AL32" s="16">
        <f>IF(OR(R32=regle!$J$11,R32=regle!$K$11),-2,IF(R32=regle!$B$11,0,IF(AL$1=$AK$1,IF($O32,-1,regle!$B$2-$M32),IF(AK32=-1,-1,AK32+1))))</f>
        <v>1</v>
      </c>
      <c r="AM32" s="16">
        <f>IF(OR(S32=regle!$J$11,S32=regle!$K$11),-2,IF(S32=regle!$B$11,0,IF(AM$1=$AK$1,IF($O32,-1,regle!$B$2-$M32),IF(AL32=-1,-1,AL32+1))))</f>
        <v>2</v>
      </c>
      <c r="AN32" s="16">
        <f>IF(OR(T32=regle!$J$11,T32=regle!$K$11),-2,IF(T32=regle!$B$11,0,IF(AN$1=$AK$1,IF($O32,-1,regle!$B$2-$M32),IF(AM32=-1,-1,AM32+1))))</f>
        <v>3</v>
      </c>
      <c r="AO32" s="16">
        <f>IF(OR(U32=regle!$J$11,U32=regle!$K$11),-2,IF(U32=regle!$B$11,0,IF(AO$1=$AK$1,IF($O32,-1,regle!$B$2-$M32),IF(AN32=-1,-1,AN32+1))))</f>
        <v>4</v>
      </c>
      <c r="AP32" s="16">
        <f>IF(OR(V32=regle!$J$11,V32=regle!$K$11),-2,IF(V32=regle!$B$11,0,IF(AP$1=$AK$1,IF($O32,-1,regle!$B$2-$M32),IF(AO32=-1,-1,AO32+1))))</f>
        <v>5</v>
      </c>
      <c r="AQ32" s="16">
        <f>IF(OR(W32=regle!$J$11,W32=regle!$K$11),-2,IF(W32=regle!$B$11,0,IF(AQ$1=$AK$1,IF($O32,-1,regle!$B$2-$M32),IF(AP32=-1,-1,AP32+1))))</f>
        <v>6</v>
      </c>
      <c r="AR32" s="16">
        <f>IF(OR(X32=regle!$J$11,X32=regle!$K$11),-2,IF(X32=regle!$B$11,0,IF(AR$1=$AK$1,IF($O32,-1,regle!$B$2-$M32),IF(AQ32=-1,-1,AQ32+1))))</f>
        <v>7</v>
      </c>
      <c r="AS32" s="16">
        <f>IF(OR(Y32=regle!$J$11,Y32=regle!$K$11),-2,IF(Y32=regle!$B$11,0,IF(AS$1=$AK$1,IF($O32,-1,regle!$B$2-$M32),IF(AR32=-1,-1,AR32+1))))</f>
        <v>8</v>
      </c>
      <c r="AT32" s="16">
        <f>IF(OR(Z32=regle!$J$11,Z32=regle!$K$11),-2,IF(Z32=regle!$B$11,0,IF(AT$1=$AK$1,IF($O32,-1,regle!$B$2-$M32),IF(AS32=-1,-1,AS32+1))))</f>
        <v>9</v>
      </c>
    </row>
    <row r="33" spans="1:46" x14ac:dyDescent="0.25">
      <c r="A33" t="b">
        <f>modif0!A265</f>
        <v>1</v>
      </c>
      <c r="B33">
        <f>ROW(modif0!B265)</f>
        <v>265</v>
      </c>
      <c r="C33" t="str">
        <f>modif0!D265</f>
        <v>171</v>
      </c>
      <c r="D33" t="str">
        <f>modif0!E265</f>
        <v>MANO</v>
      </c>
      <c r="E33">
        <f>modif0!F265</f>
        <v>17</v>
      </c>
      <c r="F33" t="str">
        <f>modif0!G265</f>
        <v>LANDE DE TABARTON</v>
      </c>
      <c r="G33" t="str">
        <f>modif0!I265</f>
        <v>0B</v>
      </c>
      <c r="H33">
        <f>modif0!J265</f>
        <v>297</v>
      </c>
      <c r="I33" t="str">
        <f>modif0!K265</f>
        <v/>
      </c>
      <c r="J33" s="11">
        <f>modif0!M265</f>
        <v>1.4850000000000001</v>
      </c>
      <c r="K33" s="11" t="str">
        <f>modif0!P265</f>
        <v>CR</v>
      </c>
      <c r="L33" t="str">
        <f>modif0!N265</f>
        <v>PM</v>
      </c>
      <c r="M33">
        <f>modif0!Q265</f>
        <v>2022</v>
      </c>
      <c r="N33" t="str">
        <f>modif0!R265</f>
        <v>CR-PM_2022</v>
      </c>
      <c r="O33" t="b">
        <f>modif0!S265</f>
        <v>1</v>
      </c>
      <c r="P33">
        <v>25</v>
      </c>
      <c r="Q33" t="s">
        <v>1868</v>
      </c>
      <c r="AA33" s="17">
        <f>IF($A33,$J33*(IF(Q33=regle!$B$11,regle!$B$23*IF(AJ33=-2,1+regle!$B$35,1),
IF(Q33=regle!$C$11,regle!$C$23,
IF(Q33=regle!$D$11,regle!$D$23,
IF(Q33=regle!$E$11,regle!$E$23,
IF(Q33=regle!$F$11,regle!$F$23,
IF(Q33=regle!$G$11,regle!$G$23,
IF(Q33=regle!$H$11,regle!$H$23,
IF(Q33=regle!$I$11,regle!$I$23,
IF(Q33=regle!$J$11,regle!$J$23,
IF(Q33=regle!$K$11,regle!$K$23,0))))))))))))</f>
        <v>-2524.5</v>
      </c>
      <c r="AB33" s="17">
        <f>IF($A33,$J33*(IF(R33=regle!$B$11,regle!$B$23*IF(AK33=-2,1+regle!$B$35,1),
IF(R33=regle!$C$11,regle!$C$23,
IF(R33=regle!$D$11,regle!$D$23,
IF(R33=regle!$E$11,regle!$E$23,
IF(R33=regle!$F$11,regle!$F$23,
IF(R33=regle!$G$11,regle!$G$23,
IF(R33=regle!$H$11,regle!$H$23,
IF(R33=regle!$I$11,regle!$I$23,
IF(R33=regle!$J$11,regle!$J$23,
IF(R33=regle!$K$11,regle!$K$23,0))))))))))))</f>
        <v>0</v>
      </c>
      <c r="AC33" s="17">
        <f>IF($A33,$J33*(IF(S33=regle!$B$11,regle!$B$23*IF(AL33=-2,1+regle!$B$35,1),
IF(S33=regle!$C$11,regle!$C$23,
IF(S33=regle!$D$11,regle!$D$23,
IF(S33=regle!$E$11,regle!$E$23,
IF(S33=regle!$F$11,regle!$F$23,
IF(S33=regle!$G$11,regle!$G$23,
IF(S33=regle!$H$11,regle!$H$23,
IF(S33=regle!$I$11,regle!$I$23,
IF(S33=regle!$J$11,regle!$J$23,
IF(S33=regle!$K$11,regle!$K$23,0))))))))))))</f>
        <v>0</v>
      </c>
      <c r="AD33" s="17">
        <f>IF($A33,$J33*(IF(T33=regle!$B$11,regle!$B$23*IF(AM33=-2,1+regle!$B$35,1),
IF(T33=regle!$C$11,regle!$C$23,
IF(T33=regle!$D$11,regle!$D$23,
IF(T33=regle!$E$11,regle!$E$23,
IF(T33=regle!$F$11,regle!$F$23,
IF(T33=regle!$G$11,regle!$G$23,
IF(T33=regle!$H$11,regle!$H$23,
IF(T33=regle!$I$11,regle!$I$23,
IF(T33=regle!$J$11,regle!$J$23,
IF(T33=regle!$K$11,regle!$K$23,0))))))))))))</f>
        <v>0</v>
      </c>
      <c r="AE33" s="17">
        <f>IF($A33,$J33*(IF(U33=regle!$B$11,regle!$B$23*IF(AN33=-2,1+regle!$B$35,1),
IF(U33=regle!$C$11,regle!$C$23,
IF(U33=regle!$D$11,regle!$D$23,
IF(U33=regle!$E$11,regle!$E$23,
IF(U33=regle!$F$11,regle!$F$23,
IF(U33=regle!$G$11,regle!$G$23,
IF(U33=regle!$H$11,regle!$H$23,
IF(U33=regle!$I$11,regle!$I$23,
IF(U33=regle!$J$11,regle!$J$23,
IF(U33=regle!$K$11,regle!$K$23,0))))))))))))</f>
        <v>0</v>
      </c>
      <c r="AF33" s="17">
        <f>IF($A33,$J33*(IF(V33=regle!$B$11,regle!$B$23*IF(AO33=-2,1+regle!$B$35,1),
IF(V33=regle!$C$11,regle!$C$23,
IF(V33=regle!$D$11,regle!$D$23,
IF(V33=regle!$E$11,regle!$E$23,
IF(V33=regle!$F$11,regle!$F$23,
IF(V33=regle!$G$11,regle!$G$23,
IF(V33=regle!$H$11,regle!$H$23,
IF(V33=regle!$I$11,regle!$I$23,
IF(V33=regle!$J$11,regle!$J$23,
IF(V33=regle!$K$11,regle!$K$23,0))))))))))))</f>
        <v>0</v>
      </c>
      <c r="AG33" s="17">
        <f>IF($A33,$J33*(IF(W33=regle!$B$11,regle!$B$23*IF(AP33=-2,1+regle!$B$35,1),
IF(W33=regle!$C$11,regle!$C$23,
IF(W33=regle!$D$11,regle!$D$23,
IF(W33=regle!$E$11,regle!$E$23,
IF(W33=regle!$F$11,regle!$F$23,
IF(W33=regle!$G$11,regle!$G$23,
IF(W33=regle!$H$11,regle!$H$23,
IF(W33=regle!$I$11,regle!$I$23,
IF(W33=regle!$J$11,regle!$J$23,
IF(W33=regle!$K$11,regle!$K$23,0))))))))))))</f>
        <v>0</v>
      </c>
      <c r="AH33" s="17">
        <f>IF($A33,$J33*(IF(X33=regle!$B$11,regle!$B$23*IF(AQ33=-2,1+regle!$B$35,1),
IF(X33=regle!$C$11,regle!$C$23,
IF(X33=regle!$D$11,regle!$D$23,
IF(X33=regle!$E$11,regle!$E$23,
IF(X33=regle!$F$11,regle!$F$23,
IF(X33=regle!$G$11,regle!$G$23,
IF(X33=regle!$H$11,regle!$H$23,
IF(X33=regle!$I$11,regle!$I$23,
IF(X33=regle!$J$11,regle!$J$23,
IF(X33=regle!$K$11,regle!$K$23,0))))))))))))</f>
        <v>0</v>
      </c>
      <c r="AI33" s="17">
        <f>IF($A33,$J33*(IF(Y33=regle!$B$11,regle!$B$23*IF(AR33=-2,1+regle!$B$35,1),
IF(Y33=regle!$C$11,regle!$C$23,
IF(Y33=regle!$D$11,regle!$D$23,
IF(Y33=regle!$E$11,regle!$E$23,
IF(Y33=regle!$F$11,regle!$F$23,
IF(Y33=regle!$G$11,regle!$G$23,
IF(Y33=regle!$H$11,regle!$H$23,
IF(Y33=regle!$I$11,regle!$I$23,
IF(Y33=regle!$J$11,regle!$J$23,
IF(Y33=regle!$K$11,regle!$K$23,0))))))))))))</f>
        <v>0</v>
      </c>
      <c r="AJ33" s="17">
        <f>IF($A33,$J33*(IF(Z33=regle!$B$11,regle!$B$23*IF(AS33=-2,1+regle!$B$35,1),
IF(Z33=regle!$C$11,regle!$C$23,
IF(Z33=regle!$D$11,regle!$D$23,
IF(Z33=regle!$E$11,regle!$E$23,
IF(Z33=regle!$F$11,regle!$F$23,
IF(Z33=regle!$G$11,regle!$G$23,
IF(Z33=regle!$H$11,regle!$H$23,
IF(Z33=regle!$I$11,regle!$I$23,
IF(Z33=regle!$J$11,regle!$J$23,
IF(Z33=regle!$K$11,regle!$K$23,0))))))))))))</f>
        <v>0</v>
      </c>
      <c r="AK33" s="16">
        <f>IF(OR(Q33=regle!$J$11,Q33=regle!$K$11),-2,IF(Q33=regle!$B$11,0,IF(AK$1=$AK$1,IF($O33,-1,regle!$B$2-$M33),IF(AJ33=-1,-1,AJ33+1))))</f>
        <v>0</v>
      </c>
      <c r="AL33" s="16">
        <f>IF(OR(R33=regle!$J$11,R33=regle!$K$11),-2,IF(R33=regle!$B$11,0,IF(AL$1=$AK$1,IF($O33,-1,regle!$B$2-$M33),IF(AK33=-1,-1,AK33+1))))</f>
        <v>1</v>
      </c>
      <c r="AM33" s="16">
        <f>IF(OR(S33=regle!$J$11,S33=regle!$K$11),-2,IF(S33=regle!$B$11,0,IF(AM$1=$AK$1,IF($O33,-1,regle!$B$2-$M33),IF(AL33=-1,-1,AL33+1))))</f>
        <v>2</v>
      </c>
      <c r="AN33" s="16">
        <f>IF(OR(T33=regle!$J$11,T33=regle!$K$11),-2,IF(T33=regle!$B$11,0,IF(AN$1=$AK$1,IF($O33,-1,regle!$B$2-$M33),IF(AM33=-1,-1,AM33+1))))</f>
        <v>3</v>
      </c>
      <c r="AO33" s="16">
        <f>IF(OR(U33=regle!$J$11,U33=regle!$K$11),-2,IF(U33=regle!$B$11,0,IF(AO$1=$AK$1,IF($O33,-1,regle!$B$2-$M33),IF(AN33=-1,-1,AN33+1))))</f>
        <v>4</v>
      </c>
      <c r="AP33" s="16">
        <f>IF(OR(V33=regle!$J$11,V33=regle!$K$11),-2,IF(V33=regle!$B$11,0,IF(AP$1=$AK$1,IF($O33,-1,regle!$B$2-$M33),IF(AO33=-1,-1,AO33+1))))</f>
        <v>5</v>
      </c>
      <c r="AQ33" s="16">
        <f>IF(OR(W33=regle!$J$11,W33=regle!$K$11),-2,IF(W33=regle!$B$11,0,IF(AQ$1=$AK$1,IF($O33,-1,regle!$B$2-$M33),IF(AP33=-1,-1,AP33+1))))</f>
        <v>6</v>
      </c>
      <c r="AR33" s="16">
        <f>IF(OR(X33=regle!$J$11,X33=regle!$K$11),-2,IF(X33=regle!$B$11,0,IF(AR$1=$AK$1,IF($O33,-1,regle!$B$2-$M33),IF(AQ33=-1,-1,AQ33+1))))</f>
        <v>7</v>
      </c>
      <c r="AS33" s="16">
        <f>IF(OR(Y33=regle!$J$11,Y33=regle!$K$11),-2,IF(Y33=regle!$B$11,0,IF(AS$1=$AK$1,IF($O33,-1,regle!$B$2-$M33),IF(AR33=-1,-1,AR33+1))))</f>
        <v>8</v>
      </c>
      <c r="AT33" s="16">
        <f>IF(OR(Z33=regle!$J$11,Z33=regle!$K$11),-2,IF(Z33=regle!$B$11,0,IF(AT$1=$AK$1,IF($O33,-1,regle!$B$2-$M33),IF(AS33=-1,-1,AS33+1))))</f>
        <v>9</v>
      </c>
    </row>
    <row r="34" spans="1:46" x14ac:dyDescent="0.25">
      <c r="A34" t="b">
        <f>modif0!A259</f>
        <v>1</v>
      </c>
      <c r="B34">
        <f>ROW(modif0!B259)</f>
        <v>259</v>
      </c>
      <c r="C34" t="str">
        <f>modif0!D259</f>
        <v>171</v>
      </c>
      <c r="D34" t="str">
        <f>modif0!E259</f>
        <v>MANO</v>
      </c>
      <c r="E34">
        <f>modif0!F259</f>
        <v>17</v>
      </c>
      <c r="F34" t="str">
        <f>modif0!G259</f>
        <v>LANDE DE TABARTON</v>
      </c>
      <c r="G34" t="str">
        <f>modif0!I259</f>
        <v>0B</v>
      </c>
      <c r="H34">
        <f>modif0!J259</f>
        <v>273</v>
      </c>
      <c r="I34" t="str">
        <f>modif0!K259</f>
        <v/>
      </c>
      <c r="J34" s="11">
        <f>modif0!M259</f>
        <v>1.45</v>
      </c>
      <c r="K34" s="11" t="str">
        <f>modif0!P259</f>
        <v>CR</v>
      </c>
      <c r="L34" t="str">
        <f>modif0!N259</f>
        <v>PM</v>
      </c>
      <c r="M34">
        <f>modif0!Q259</f>
        <v>2022</v>
      </c>
      <c r="N34" t="str">
        <f>modif0!R259</f>
        <v>CR-PM_2022</v>
      </c>
      <c r="O34" t="b">
        <f>modif0!S259</f>
        <v>1</v>
      </c>
      <c r="P34">
        <v>25</v>
      </c>
      <c r="Q34" t="s">
        <v>1868</v>
      </c>
      <c r="AA34" s="17">
        <f>IF($A34,$J34*(IF(Q34=regle!$B$11,regle!$B$23*IF(AJ34=-2,1+regle!$B$35,1),
IF(Q34=regle!$C$11,regle!$C$23,
IF(Q34=regle!$D$11,regle!$D$23,
IF(Q34=regle!$E$11,regle!$E$23,
IF(Q34=regle!$F$11,regle!$F$23,
IF(Q34=regle!$G$11,regle!$G$23,
IF(Q34=regle!$H$11,regle!$H$23,
IF(Q34=regle!$I$11,regle!$I$23,
IF(Q34=regle!$J$11,regle!$J$23,
IF(Q34=regle!$K$11,regle!$K$23,0))))))))))))</f>
        <v>-2465</v>
      </c>
      <c r="AB34" s="17">
        <f>IF($A34,$J34*(IF(R34=regle!$B$11,regle!$B$23*IF(AK34=-2,1+regle!$B$35,1),
IF(R34=regle!$C$11,regle!$C$23,
IF(R34=regle!$D$11,regle!$D$23,
IF(R34=regle!$E$11,regle!$E$23,
IF(R34=regle!$F$11,regle!$F$23,
IF(R34=regle!$G$11,regle!$G$23,
IF(R34=regle!$H$11,regle!$H$23,
IF(R34=regle!$I$11,regle!$I$23,
IF(R34=regle!$J$11,regle!$J$23,
IF(R34=regle!$K$11,regle!$K$23,0))))))))))))</f>
        <v>0</v>
      </c>
      <c r="AC34" s="17">
        <f>IF($A34,$J34*(IF(S34=regle!$B$11,regle!$B$23*IF(AL34=-2,1+regle!$B$35,1),
IF(S34=regle!$C$11,regle!$C$23,
IF(S34=regle!$D$11,regle!$D$23,
IF(S34=regle!$E$11,regle!$E$23,
IF(S34=regle!$F$11,regle!$F$23,
IF(S34=regle!$G$11,regle!$G$23,
IF(S34=regle!$H$11,regle!$H$23,
IF(S34=regle!$I$11,regle!$I$23,
IF(S34=regle!$J$11,regle!$J$23,
IF(S34=regle!$K$11,regle!$K$23,0))))))))))))</f>
        <v>0</v>
      </c>
      <c r="AD34" s="17">
        <f>IF($A34,$J34*(IF(T34=regle!$B$11,regle!$B$23*IF(AM34=-2,1+regle!$B$35,1),
IF(T34=regle!$C$11,regle!$C$23,
IF(T34=regle!$D$11,regle!$D$23,
IF(T34=regle!$E$11,regle!$E$23,
IF(T34=regle!$F$11,regle!$F$23,
IF(T34=regle!$G$11,regle!$G$23,
IF(T34=regle!$H$11,regle!$H$23,
IF(T34=regle!$I$11,regle!$I$23,
IF(T34=regle!$J$11,regle!$J$23,
IF(T34=regle!$K$11,regle!$K$23,0))))))))))))</f>
        <v>0</v>
      </c>
      <c r="AE34" s="17">
        <f>IF($A34,$J34*(IF(U34=regle!$B$11,regle!$B$23*IF(AN34=-2,1+regle!$B$35,1),
IF(U34=regle!$C$11,regle!$C$23,
IF(U34=regle!$D$11,regle!$D$23,
IF(U34=regle!$E$11,regle!$E$23,
IF(U34=regle!$F$11,regle!$F$23,
IF(U34=regle!$G$11,regle!$G$23,
IF(U34=regle!$H$11,regle!$H$23,
IF(U34=regle!$I$11,regle!$I$23,
IF(U34=regle!$J$11,regle!$J$23,
IF(U34=regle!$K$11,regle!$K$23,0))))))))))))</f>
        <v>0</v>
      </c>
      <c r="AF34" s="17">
        <f>IF($A34,$J34*(IF(V34=regle!$B$11,regle!$B$23*IF(AO34=-2,1+regle!$B$35,1),
IF(V34=regle!$C$11,regle!$C$23,
IF(V34=regle!$D$11,regle!$D$23,
IF(V34=regle!$E$11,regle!$E$23,
IF(V34=regle!$F$11,regle!$F$23,
IF(V34=regle!$G$11,regle!$G$23,
IF(V34=regle!$H$11,regle!$H$23,
IF(V34=regle!$I$11,regle!$I$23,
IF(V34=regle!$J$11,regle!$J$23,
IF(V34=regle!$K$11,regle!$K$23,0))))))))))))</f>
        <v>0</v>
      </c>
      <c r="AG34" s="17">
        <f>IF($A34,$J34*(IF(W34=regle!$B$11,regle!$B$23*IF(AP34=-2,1+regle!$B$35,1),
IF(W34=regle!$C$11,regle!$C$23,
IF(W34=regle!$D$11,regle!$D$23,
IF(W34=regle!$E$11,regle!$E$23,
IF(W34=regle!$F$11,regle!$F$23,
IF(W34=regle!$G$11,regle!$G$23,
IF(W34=regle!$H$11,regle!$H$23,
IF(W34=regle!$I$11,regle!$I$23,
IF(W34=regle!$J$11,regle!$J$23,
IF(W34=regle!$K$11,regle!$K$23,0))))))))))))</f>
        <v>0</v>
      </c>
      <c r="AH34" s="17">
        <f>IF($A34,$J34*(IF(X34=regle!$B$11,regle!$B$23*IF(AQ34=-2,1+regle!$B$35,1),
IF(X34=regle!$C$11,regle!$C$23,
IF(X34=regle!$D$11,regle!$D$23,
IF(X34=regle!$E$11,regle!$E$23,
IF(X34=regle!$F$11,regle!$F$23,
IF(X34=regle!$G$11,regle!$G$23,
IF(X34=regle!$H$11,regle!$H$23,
IF(X34=regle!$I$11,regle!$I$23,
IF(X34=regle!$J$11,regle!$J$23,
IF(X34=regle!$K$11,regle!$K$23,0))))))))))))</f>
        <v>0</v>
      </c>
      <c r="AI34" s="17">
        <f>IF($A34,$J34*(IF(Y34=regle!$B$11,regle!$B$23*IF(AR34=-2,1+regle!$B$35,1),
IF(Y34=regle!$C$11,regle!$C$23,
IF(Y34=regle!$D$11,regle!$D$23,
IF(Y34=regle!$E$11,regle!$E$23,
IF(Y34=regle!$F$11,regle!$F$23,
IF(Y34=regle!$G$11,regle!$G$23,
IF(Y34=regle!$H$11,regle!$H$23,
IF(Y34=regle!$I$11,regle!$I$23,
IF(Y34=regle!$J$11,regle!$J$23,
IF(Y34=regle!$K$11,regle!$K$23,0))))))))))))</f>
        <v>0</v>
      </c>
      <c r="AJ34" s="17">
        <f>IF($A34,$J34*(IF(Z34=regle!$B$11,regle!$B$23*IF(AS34=-2,1+regle!$B$35,1),
IF(Z34=regle!$C$11,regle!$C$23,
IF(Z34=regle!$D$11,regle!$D$23,
IF(Z34=regle!$E$11,regle!$E$23,
IF(Z34=regle!$F$11,regle!$F$23,
IF(Z34=regle!$G$11,regle!$G$23,
IF(Z34=regle!$H$11,regle!$H$23,
IF(Z34=regle!$I$11,regle!$I$23,
IF(Z34=regle!$J$11,regle!$J$23,
IF(Z34=regle!$K$11,regle!$K$23,0))))))))))))</f>
        <v>0</v>
      </c>
      <c r="AK34" s="16">
        <f>IF(OR(Q34=regle!$J$11,Q34=regle!$K$11),-2,IF(Q34=regle!$B$11,0,IF(AK$1=$AK$1,IF($O34,-1,regle!$B$2-$M34),IF(AJ34=-1,-1,AJ34+1))))</f>
        <v>0</v>
      </c>
      <c r="AL34" s="16">
        <f>IF(OR(R34=regle!$J$11,R34=regle!$K$11),-2,IF(R34=regle!$B$11,0,IF(AL$1=$AK$1,IF($O34,-1,regle!$B$2-$M34),IF(AK34=-1,-1,AK34+1))))</f>
        <v>1</v>
      </c>
      <c r="AM34" s="16">
        <f>IF(OR(S34=regle!$J$11,S34=regle!$K$11),-2,IF(S34=regle!$B$11,0,IF(AM$1=$AK$1,IF($O34,-1,regle!$B$2-$M34),IF(AL34=-1,-1,AL34+1))))</f>
        <v>2</v>
      </c>
      <c r="AN34" s="16">
        <f>IF(OR(T34=regle!$J$11,T34=regle!$K$11),-2,IF(T34=regle!$B$11,0,IF(AN$1=$AK$1,IF($O34,-1,regle!$B$2-$M34),IF(AM34=-1,-1,AM34+1))))</f>
        <v>3</v>
      </c>
      <c r="AO34" s="16">
        <f>IF(OR(U34=regle!$J$11,U34=regle!$K$11),-2,IF(U34=regle!$B$11,0,IF(AO$1=$AK$1,IF($O34,-1,regle!$B$2-$M34),IF(AN34=-1,-1,AN34+1))))</f>
        <v>4</v>
      </c>
      <c r="AP34" s="16">
        <f>IF(OR(V34=regle!$J$11,V34=regle!$K$11),-2,IF(V34=regle!$B$11,0,IF(AP$1=$AK$1,IF($O34,-1,regle!$B$2-$M34),IF(AO34=-1,-1,AO34+1))))</f>
        <v>5</v>
      </c>
      <c r="AQ34" s="16">
        <f>IF(OR(W34=regle!$J$11,W34=regle!$K$11),-2,IF(W34=regle!$B$11,0,IF(AQ$1=$AK$1,IF($O34,-1,regle!$B$2-$M34),IF(AP34=-1,-1,AP34+1))))</f>
        <v>6</v>
      </c>
      <c r="AR34" s="16">
        <f>IF(OR(X34=regle!$J$11,X34=regle!$K$11),-2,IF(X34=regle!$B$11,0,IF(AR$1=$AK$1,IF($O34,-1,regle!$B$2-$M34),IF(AQ34=-1,-1,AQ34+1))))</f>
        <v>7</v>
      </c>
      <c r="AS34" s="16">
        <f>IF(OR(Y34=regle!$J$11,Y34=regle!$K$11),-2,IF(Y34=regle!$B$11,0,IF(AS$1=$AK$1,IF($O34,-1,regle!$B$2-$M34),IF(AR34=-1,-1,AR34+1))))</f>
        <v>8</v>
      </c>
      <c r="AT34" s="16">
        <f>IF(OR(Z34=regle!$J$11,Z34=regle!$K$11),-2,IF(Z34=regle!$B$11,0,IF(AT$1=$AK$1,IF($O34,-1,regle!$B$2-$M34),IF(AS34=-1,-1,AS34+1))))</f>
        <v>9</v>
      </c>
    </row>
    <row r="35" spans="1:46" x14ac:dyDescent="0.25">
      <c r="A35" t="b">
        <f>modif0!A3</f>
        <v>1</v>
      </c>
      <c r="B35">
        <f>ROW(modif0!B3)</f>
        <v>3</v>
      </c>
      <c r="C35" t="str">
        <f>modif0!D3</f>
        <v>202</v>
      </c>
      <c r="D35" t="str">
        <f>modif0!E3</f>
        <v>HOSTENS</v>
      </c>
      <c r="E35">
        <f>modif0!F3</f>
        <v>10</v>
      </c>
      <c r="F35" t="str">
        <f>modif0!G3</f>
        <v>LES DOUILS</v>
      </c>
      <c r="G35" t="str">
        <f>modif0!I3</f>
        <v>0A</v>
      </c>
      <c r="H35">
        <f>modif0!J3</f>
        <v>1224</v>
      </c>
      <c r="I35" t="str">
        <f>modif0!K3</f>
        <v/>
      </c>
      <c r="J35" s="11">
        <f>modif0!M3</f>
        <v>1.425</v>
      </c>
      <c r="K35" s="11" t="str">
        <f>modif0!P3</f>
        <v>CR</v>
      </c>
      <c r="L35" t="str">
        <f>modif0!N3</f>
        <v>PM</v>
      </c>
      <c r="M35">
        <f>modif0!Q3</f>
        <v>2022</v>
      </c>
      <c r="N35" t="str">
        <f>modif0!R3</f>
        <v>CR-PM_2022</v>
      </c>
      <c r="O35" t="b">
        <f>modif0!S3</f>
        <v>1</v>
      </c>
      <c r="P35">
        <v>25</v>
      </c>
      <c r="Q35" t="s">
        <v>1868</v>
      </c>
      <c r="AA35" s="17">
        <f>IF($A35,$J35*(IF(Q35=regle!$B$11,regle!$B$23*IF(AJ35=-2,1+regle!$B$35,1),
IF(Q35=regle!$C$11,regle!$C$23,
IF(Q35=regle!$D$11,regle!$D$23,
IF(Q35=regle!$E$11,regle!$E$23,
IF(Q35=regle!$F$11,regle!$F$23,
IF(Q35=regle!$G$11,regle!$G$23,
IF(Q35=regle!$H$11,regle!$H$23,
IF(Q35=regle!$I$11,regle!$I$23,
IF(Q35=regle!$J$11,regle!$J$23,
IF(Q35=regle!$K$11,regle!$K$23,0))))))))))))</f>
        <v>-2422.5</v>
      </c>
      <c r="AB35" s="17">
        <f>IF($A35,$J35*(IF(R35=regle!$B$11,regle!$B$23*IF(AK35=-2,1+regle!$B$35,1),
IF(R35=regle!$C$11,regle!$C$23,
IF(R35=regle!$D$11,regle!$D$23,
IF(R35=regle!$E$11,regle!$E$23,
IF(R35=regle!$F$11,regle!$F$23,
IF(R35=regle!$G$11,regle!$G$23,
IF(R35=regle!$H$11,regle!$H$23,
IF(R35=regle!$I$11,regle!$I$23,
IF(R35=regle!$J$11,regle!$J$23,
IF(R35=regle!$K$11,regle!$K$23,0))))))))))))</f>
        <v>0</v>
      </c>
      <c r="AC35" s="17">
        <f>IF($A35,$J35*(IF(S35=regle!$B$11,regle!$B$23*IF(AL35=-2,1+regle!$B$35,1),
IF(S35=regle!$C$11,regle!$C$23,
IF(S35=regle!$D$11,regle!$D$23,
IF(S35=regle!$E$11,regle!$E$23,
IF(S35=regle!$F$11,regle!$F$23,
IF(S35=regle!$G$11,regle!$G$23,
IF(S35=regle!$H$11,regle!$H$23,
IF(S35=regle!$I$11,regle!$I$23,
IF(S35=regle!$J$11,regle!$J$23,
IF(S35=regle!$K$11,regle!$K$23,0))))))))))))</f>
        <v>0</v>
      </c>
      <c r="AD35" s="17">
        <f>IF($A35,$J35*(IF(T35=regle!$B$11,regle!$B$23*IF(AM35=-2,1+regle!$B$35,1),
IF(T35=regle!$C$11,regle!$C$23,
IF(T35=regle!$D$11,regle!$D$23,
IF(T35=regle!$E$11,regle!$E$23,
IF(T35=regle!$F$11,regle!$F$23,
IF(T35=regle!$G$11,regle!$G$23,
IF(T35=regle!$H$11,regle!$H$23,
IF(T35=regle!$I$11,regle!$I$23,
IF(T35=regle!$J$11,regle!$J$23,
IF(T35=regle!$K$11,regle!$K$23,0))))))))))))</f>
        <v>0</v>
      </c>
      <c r="AE35" s="17">
        <f>IF($A35,$J35*(IF(U35=regle!$B$11,regle!$B$23*IF(AN35=-2,1+regle!$B$35,1),
IF(U35=regle!$C$11,regle!$C$23,
IF(U35=regle!$D$11,regle!$D$23,
IF(U35=regle!$E$11,regle!$E$23,
IF(U35=regle!$F$11,regle!$F$23,
IF(U35=regle!$G$11,regle!$G$23,
IF(U35=regle!$H$11,regle!$H$23,
IF(U35=regle!$I$11,regle!$I$23,
IF(U35=regle!$J$11,regle!$J$23,
IF(U35=regle!$K$11,regle!$K$23,0))))))))))))</f>
        <v>0</v>
      </c>
      <c r="AF35" s="17">
        <f>IF($A35,$J35*(IF(V35=regle!$B$11,regle!$B$23*IF(AO35=-2,1+regle!$B$35,1),
IF(V35=regle!$C$11,regle!$C$23,
IF(V35=regle!$D$11,regle!$D$23,
IF(V35=regle!$E$11,regle!$E$23,
IF(V35=regle!$F$11,regle!$F$23,
IF(V35=regle!$G$11,regle!$G$23,
IF(V35=regle!$H$11,regle!$H$23,
IF(V35=regle!$I$11,regle!$I$23,
IF(V35=regle!$J$11,regle!$J$23,
IF(V35=regle!$K$11,regle!$K$23,0))))))))))))</f>
        <v>0</v>
      </c>
      <c r="AG35" s="17">
        <f>IF($A35,$J35*(IF(W35=regle!$B$11,regle!$B$23*IF(AP35=-2,1+regle!$B$35,1),
IF(W35=regle!$C$11,regle!$C$23,
IF(W35=regle!$D$11,regle!$D$23,
IF(W35=regle!$E$11,regle!$E$23,
IF(W35=regle!$F$11,regle!$F$23,
IF(W35=regle!$G$11,regle!$G$23,
IF(W35=regle!$H$11,regle!$H$23,
IF(W35=regle!$I$11,regle!$I$23,
IF(W35=regle!$J$11,regle!$J$23,
IF(W35=regle!$K$11,regle!$K$23,0))))))))))))</f>
        <v>0</v>
      </c>
      <c r="AH35" s="17">
        <f>IF($A35,$J35*(IF(X35=regle!$B$11,regle!$B$23*IF(AQ35=-2,1+regle!$B$35,1),
IF(X35=regle!$C$11,regle!$C$23,
IF(X35=regle!$D$11,regle!$D$23,
IF(X35=regle!$E$11,regle!$E$23,
IF(X35=regle!$F$11,regle!$F$23,
IF(X35=regle!$G$11,regle!$G$23,
IF(X35=regle!$H$11,regle!$H$23,
IF(X35=regle!$I$11,regle!$I$23,
IF(X35=regle!$J$11,regle!$J$23,
IF(X35=regle!$K$11,regle!$K$23,0))))))))))))</f>
        <v>0</v>
      </c>
      <c r="AI35" s="17">
        <f>IF($A35,$J35*(IF(Y35=regle!$B$11,regle!$B$23*IF(AR35=-2,1+regle!$B$35,1),
IF(Y35=regle!$C$11,regle!$C$23,
IF(Y35=regle!$D$11,regle!$D$23,
IF(Y35=regle!$E$11,regle!$E$23,
IF(Y35=regle!$F$11,regle!$F$23,
IF(Y35=regle!$G$11,regle!$G$23,
IF(Y35=regle!$H$11,regle!$H$23,
IF(Y35=regle!$I$11,regle!$I$23,
IF(Y35=regle!$J$11,regle!$J$23,
IF(Y35=regle!$K$11,regle!$K$23,0))))))))))))</f>
        <v>0</v>
      </c>
      <c r="AJ35" s="17">
        <f>IF($A35,$J35*(IF(Z35=regle!$B$11,regle!$B$23*IF(AS35=-2,1+regle!$B$35,1),
IF(Z35=regle!$C$11,regle!$C$23,
IF(Z35=regle!$D$11,regle!$D$23,
IF(Z35=regle!$E$11,regle!$E$23,
IF(Z35=regle!$F$11,regle!$F$23,
IF(Z35=regle!$G$11,regle!$G$23,
IF(Z35=regle!$H$11,regle!$H$23,
IF(Z35=regle!$I$11,regle!$I$23,
IF(Z35=regle!$J$11,regle!$J$23,
IF(Z35=regle!$K$11,regle!$K$23,0))))))))))))</f>
        <v>0</v>
      </c>
      <c r="AK35" s="16">
        <f>IF(OR(Q35=regle!$J$11,Q35=regle!$K$11),-2,IF(Q35=regle!$B$11,0,IF(AK$1=$AK$1,IF($O35,-1,regle!$B$2-$M35),IF(AJ35=-1,-1,AJ35+1))))</f>
        <v>0</v>
      </c>
      <c r="AL35" s="16">
        <f>IF(OR(R35=regle!$J$11,R35=regle!$K$11),-2,IF(R35=regle!$B$11,0,IF(AL$1=$AK$1,IF($O35,-1,regle!$B$2-$M35),IF(AK35=-1,-1,AK35+1))))</f>
        <v>1</v>
      </c>
      <c r="AM35" s="16">
        <f>IF(OR(S35=regle!$J$11,S35=regle!$K$11),-2,IF(S35=regle!$B$11,0,IF(AM$1=$AK$1,IF($O35,-1,regle!$B$2-$M35),IF(AL35=-1,-1,AL35+1))))</f>
        <v>2</v>
      </c>
      <c r="AN35" s="16">
        <f>IF(OR(T35=regle!$J$11,T35=regle!$K$11),-2,IF(T35=regle!$B$11,0,IF(AN$1=$AK$1,IF($O35,-1,regle!$B$2-$M35),IF(AM35=-1,-1,AM35+1))))</f>
        <v>3</v>
      </c>
      <c r="AO35" s="16">
        <f>IF(OR(U35=regle!$J$11,U35=regle!$K$11),-2,IF(U35=regle!$B$11,0,IF(AO$1=$AK$1,IF($O35,-1,regle!$B$2-$M35),IF(AN35=-1,-1,AN35+1))))</f>
        <v>4</v>
      </c>
      <c r="AP35" s="16">
        <f>IF(OR(V35=regle!$J$11,V35=regle!$K$11),-2,IF(V35=regle!$B$11,0,IF(AP$1=$AK$1,IF($O35,-1,regle!$B$2-$M35),IF(AO35=-1,-1,AO35+1))))</f>
        <v>5</v>
      </c>
      <c r="AQ35" s="16">
        <f>IF(OR(W35=regle!$J$11,W35=regle!$K$11),-2,IF(W35=regle!$B$11,0,IF(AQ$1=$AK$1,IF($O35,-1,regle!$B$2-$M35),IF(AP35=-1,-1,AP35+1))))</f>
        <v>6</v>
      </c>
      <c r="AR35" s="16">
        <f>IF(OR(X35=regle!$J$11,X35=regle!$K$11),-2,IF(X35=regle!$B$11,0,IF(AR$1=$AK$1,IF($O35,-1,regle!$B$2-$M35),IF(AQ35=-1,-1,AQ35+1))))</f>
        <v>7</v>
      </c>
      <c r="AS35" s="16">
        <f>IF(OR(Y35=regle!$J$11,Y35=regle!$K$11),-2,IF(Y35=regle!$B$11,0,IF(AS$1=$AK$1,IF($O35,-1,regle!$B$2-$M35),IF(AR35=-1,-1,AR35+1))))</f>
        <v>8</v>
      </c>
      <c r="AT35" s="16">
        <f>IF(OR(Z35=regle!$J$11,Z35=regle!$K$11),-2,IF(Z35=regle!$B$11,0,IF(AT$1=$AK$1,IF($O35,-1,regle!$B$2-$M35),IF(AS35=-1,-1,AS35+1))))</f>
        <v>9</v>
      </c>
    </row>
    <row r="36" spans="1:46" x14ac:dyDescent="0.25">
      <c r="A36" t="b">
        <f>modif0!A248</f>
        <v>1</v>
      </c>
      <c r="B36">
        <f>ROW(modif0!B248)</f>
        <v>248</v>
      </c>
      <c r="C36" t="str">
        <f>modif0!D248</f>
        <v>171</v>
      </c>
      <c r="D36" t="str">
        <f>modif0!E248</f>
        <v>MANO</v>
      </c>
      <c r="E36">
        <f>modif0!F248</f>
        <v>17</v>
      </c>
      <c r="F36" t="str">
        <f>modif0!G248</f>
        <v>LANDE DE TABARTON</v>
      </c>
      <c r="G36" t="str">
        <f>modif0!I248</f>
        <v>0B</v>
      </c>
      <c r="H36">
        <f>modif0!J248</f>
        <v>248</v>
      </c>
      <c r="I36" t="str">
        <f>modif0!K248</f>
        <v/>
      </c>
      <c r="J36" s="11">
        <f>modif0!M248</f>
        <v>1.4159999999999999</v>
      </c>
      <c r="K36" s="11" t="str">
        <f>modif0!P248</f>
        <v>CR</v>
      </c>
      <c r="L36" t="str">
        <f>modif0!N248</f>
        <v>PM</v>
      </c>
      <c r="M36">
        <f>modif0!Q248</f>
        <v>2022</v>
      </c>
      <c r="N36" t="str">
        <f>modif0!R248</f>
        <v>CR-PM_2022</v>
      </c>
      <c r="O36" t="b">
        <f>modif0!S248</f>
        <v>1</v>
      </c>
      <c r="P36">
        <v>25</v>
      </c>
      <c r="Q36" t="s">
        <v>1868</v>
      </c>
      <c r="AA36" s="17">
        <f>IF($A36,$J36*(IF(Q36=regle!$B$11,regle!$B$23*IF(AJ36=-2,1+regle!$B$35,1),
IF(Q36=regle!$C$11,regle!$C$23,
IF(Q36=regle!$D$11,regle!$D$23,
IF(Q36=regle!$E$11,regle!$E$23,
IF(Q36=regle!$F$11,regle!$F$23,
IF(Q36=regle!$G$11,regle!$G$23,
IF(Q36=regle!$H$11,regle!$H$23,
IF(Q36=regle!$I$11,regle!$I$23,
IF(Q36=regle!$J$11,regle!$J$23,
IF(Q36=regle!$K$11,regle!$K$23,0))))))))))))</f>
        <v>-2407.1999999999998</v>
      </c>
      <c r="AB36" s="17">
        <f>IF($A36,$J36*(IF(R36=regle!$B$11,regle!$B$23*IF(AK36=-2,1+regle!$B$35,1),
IF(R36=regle!$C$11,regle!$C$23,
IF(R36=regle!$D$11,regle!$D$23,
IF(R36=regle!$E$11,regle!$E$23,
IF(R36=regle!$F$11,regle!$F$23,
IF(R36=regle!$G$11,regle!$G$23,
IF(R36=regle!$H$11,regle!$H$23,
IF(R36=regle!$I$11,regle!$I$23,
IF(R36=regle!$J$11,regle!$J$23,
IF(R36=regle!$K$11,regle!$K$23,0))))))))))))</f>
        <v>0</v>
      </c>
      <c r="AC36" s="17">
        <f>IF($A36,$J36*(IF(S36=regle!$B$11,regle!$B$23*IF(AL36=-2,1+regle!$B$35,1),
IF(S36=regle!$C$11,regle!$C$23,
IF(S36=regle!$D$11,regle!$D$23,
IF(S36=regle!$E$11,regle!$E$23,
IF(S36=regle!$F$11,regle!$F$23,
IF(S36=regle!$G$11,regle!$G$23,
IF(S36=regle!$H$11,regle!$H$23,
IF(S36=regle!$I$11,regle!$I$23,
IF(S36=regle!$J$11,regle!$J$23,
IF(S36=regle!$K$11,regle!$K$23,0))))))))))))</f>
        <v>0</v>
      </c>
      <c r="AD36" s="17">
        <f>IF($A36,$J36*(IF(T36=regle!$B$11,regle!$B$23*IF(AM36=-2,1+regle!$B$35,1),
IF(T36=regle!$C$11,regle!$C$23,
IF(T36=regle!$D$11,regle!$D$23,
IF(T36=regle!$E$11,regle!$E$23,
IF(T36=regle!$F$11,regle!$F$23,
IF(T36=regle!$G$11,regle!$G$23,
IF(T36=regle!$H$11,regle!$H$23,
IF(T36=regle!$I$11,regle!$I$23,
IF(T36=regle!$J$11,regle!$J$23,
IF(T36=regle!$K$11,regle!$K$23,0))))))))))))</f>
        <v>0</v>
      </c>
      <c r="AE36" s="17">
        <f>IF($A36,$J36*(IF(U36=regle!$B$11,regle!$B$23*IF(AN36=-2,1+regle!$B$35,1),
IF(U36=regle!$C$11,regle!$C$23,
IF(U36=regle!$D$11,regle!$D$23,
IF(U36=regle!$E$11,regle!$E$23,
IF(U36=regle!$F$11,regle!$F$23,
IF(U36=regle!$G$11,regle!$G$23,
IF(U36=regle!$H$11,regle!$H$23,
IF(U36=regle!$I$11,regle!$I$23,
IF(U36=regle!$J$11,regle!$J$23,
IF(U36=regle!$K$11,regle!$K$23,0))))))))))))</f>
        <v>0</v>
      </c>
      <c r="AF36" s="17">
        <f>IF($A36,$J36*(IF(V36=regle!$B$11,regle!$B$23*IF(AO36=-2,1+regle!$B$35,1),
IF(V36=regle!$C$11,regle!$C$23,
IF(V36=regle!$D$11,regle!$D$23,
IF(V36=regle!$E$11,regle!$E$23,
IF(V36=regle!$F$11,regle!$F$23,
IF(V36=regle!$G$11,regle!$G$23,
IF(V36=regle!$H$11,regle!$H$23,
IF(V36=regle!$I$11,regle!$I$23,
IF(V36=regle!$J$11,regle!$J$23,
IF(V36=regle!$K$11,regle!$K$23,0))))))))))))</f>
        <v>0</v>
      </c>
      <c r="AG36" s="17">
        <f>IF($A36,$J36*(IF(W36=regle!$B$11,regle!$B$23*IF(AP36=-2,1+regle!$B$35,1),
IF(W36=regle!$C$11,regle!$C$23,
IF(W36=regle!$D$11,regle!$D$23,
IF(W36=regle!$E$11,regle!$E$23,
IF(W36=regle!$F$11,regle!$F$23,
IF(W36=regle!$G$11,regle!$G$23,
IF(W36=regle!$H$11,regle!$H$23,
IF(W36=regle!$I$11,regle!$I$23,
IF(W36=regle!$J$11,regle!$J$23,
IF(W36=regle!$K$11,regle!$K$23,0))))))))))))</f>
        <v>0</v>
      </c>
      <c r="AH36" s="17">
        <f>IF($A36,$J36*(IF(X36=regle!$B$11,regle!$B$23*IF(AQ36=-2,1+regle!$B$35,1),
IF(X36=regle!$C$11,regle!$C$23,
IF(X36=regle!$D$11,regle!$D$23,
IF(X36=regle!$E$11,regle!$E$23,
IF(X36=regle!$F$11,regle!$F$23,
IF(X36=regle!$G$11,regle!$G$23,
IF(X36=regle!$H$11,regle!$H$23,
IF(X36=regle!$I$11,regle!$I$23,
IF(X36=regle!$J$11,regle!$J$23,
IF(X36=regle!$K$11,regle!$K$23,0))))))))))))</f>
        <v>0</v>
      </c>
      <c r="AI36" s="17">
        <f>IF($A36,$J36*(IF(Y36=regle!$B$11,regle!$B$23*IF(AR36=-2,1+regle!$B$35,1),
IF(Y36=regle!$C$11,regle!$C$23,
IF(Y36=regle!$D$11,regle!$D$23,
IF(Y36=regle!$E$11,regle!$E$23,
IF(Y36=regle!$F$11,regle!$F$23,
IF(Y36=regle!$G$11,regle!$G$23,
IF(Y36=regle!$H$11,regle!$H$23,
IF(Y36=regle!$I$11,regle!$I$23,
IF(Y36=regle!$J$11,regle!$J$23,
IF(Y36=regle!$K$11,regle!$K$23,0))))))))))))</f>
        <v>0</v>
      </c>
      <c r="AJ36" s="17">
        <f>IF($A36,$J36*(IF(Z36=regle!$B$11,regle!$B$23*IF(AS36=-2,1+regle!$B$35,1),
IF(Z36=regle!$C$11,regle!$C$23,
IF(Z36=regle!$D$11,regle!$D$23,
IF(Z36=regle!$E$11,regle!$E$23,
IF(Z36=regle!$F$11,regle!$F$23,
IF(Z36=regle!$G$11,regle!$G$23,
IF(Z36=regle!$H$11,regle!$H$23,
IF(Z36=regle!$I$11,regle!$I$23,
IF(Z36=regle!$J$11,regle!$J$23,
IF(Z36=regle!$K$11,regle!$K$23,0))))))))))))</f>
        <v>0</v>
      </c>
      <c r="AK36" s="16">
        <f>IF(OR(Q36=regle!$J$11,Q36=regle!$K$11),-2,IF(Q36=regle!$B$11,0,IF(AK$1=$AK$1,IF($O36,-1,regle!$B$2-$M36),IF(AJ36=-1,-1,AJ36+1))))</f>
        <v>0</v>
      </c>
      <c r="AL36" s="16">
        <f>IF(OR(R36=regle!$J$11,R36=regle!$K$11),-2,IF(R36=regle!$B$11,0,IF(AL$1=$AK$1,IF($O36,-1,regle!$B$2-$M36),IF(AK36=-1,-1,AK36+1))))</f>
        <v>1</v>
      </c>
      <c r="AM36" s="16">
        <f>IF(OR(S36=regle!$J$11,S36=regle!$K$11),-2,IF(S36=regle!$B$11,0,IF(AM$1=$AK$1,IF($O36,-1,regle!$B$2-$M36),IF(AL36=-1,-1,AL36+1))))</f>
        <v>2</v>
      </c>
      <c r="AN36" s="16">
        <f>IF(OR(T36=regle!$J$11,T36=regle!$K$11),-2,IF(T36=regle!$B$11,0,IF(AN$1=$AK$1,IF($O36,-1,regle!$B$2-$M36),IF(AM36=-1,-1,AM36+1))))</f>
        <v>3</v>
      </c>
      <c r="AO36" s="16">
        <f>IF(OR(U36=regle!$J$11,U36=regle!$K$11),-2,IF(U36=regle!$B$11,0,IF(AO$1=$AK$1,IF($O36,-1,regle!$B$2-$M36),IF(AN36=-1,-1,AN36+1))))</f>
        <v>4</v>
      </c>
      <c r="AP36" s="16">
        <f>IF(OR(V36=regle!$J$11,V36=regle!$K$11),-2,IF(V36=regle!$B$11,0,IF(AP$1=$AK$1,IF($O36,-1,regle!$B$2-$M36),IF(AO36=-1,-1,AO36+1))))</f>
        <v>5</v>
      </c>
      <c r="AQ36" s="16">
        <f>IF(OR(W36=regle!$J$11,W36=regle!$K$11),-2,IF(W36=regle!$B$11,0,IF(AQ$1=$AK$1,IF($O36,-1,regle!$B$2-$M36),IF(AP36=-1,-1,AP36+1))))</f>
        <v>6</v>
      </c>
      <c r="AR36" s="16">
        <f>IF(OR(X36=regle!$J$11,X36=regle!$K$11),-2,IF(X36=regle!$B$11,0,IF(AR$1=$AK$1,IF($O36,-1,regle!$B$2-$M36),IF(AQ36=-1,-1,AQ36+1))))</f>
        <v>7</v>
      </c>
      <c r="AS36" s="16">
        <f>IF(OR(Y36=regle!$J$11,Y36=regle!$K$11),-2,IF(Y36=regle!$B$11,0,IF(AS$1=$AK$1,IF($O36,-1,regle!$B$2-$M36),IF(AR36=-1,-1,AR36+1))))</f>
        <v>8</v>
      </c>
      <c r="AT36" s="16">
        <f>IF(OR(Z36=regle!$J$11,Z36=regle!$K$11),-2,IF(Z36=regle!$B$11,0,IF(AT$1=$AK$1,IF($O36,-1,regle!$B$2-$M36),IF(AS36=-1,-1,AS36+1))))</f>
        <v>9</v>
      </c>
    </row>
    <row r="37" spans="1:46" x14ac:dyDescent="0.25">
      <c r="A37" t="b">
        <f>modif0!A250</f>
        <v>1</v>
      </c>
      <c r="B37">
        <f>ROW(modif0!B250)</f>
        <v>250</v>
      </c>
      <c r="C37" t="str">
        <f>modif0!D250</f>
        <v>171</v>
      </c>
      <c r="D37" t="str">
        <f>modif0!E250</f>
        <v>MANO</v>
      </c>
      <c r="E37">
        <f>modif0!F250</f>
        <v>17</v>
      </c>
      <c r="F37" t="str">
        <f>modif0!G250</f>
        <v>LANDE DE TABARTON</v>
      </c>
      <c r="G37" t="str">
        <f>modif0!I250</f>
        <v>0B</v>
      </c>
      <c r="H37">
        <f>modif0!J250</f>
        <v>251</v>
      </c>
      <c r="I37" t="str">
        <f>modif0!K250</f>
        <v/>
      </c>
      <c r="J37" s="11">
        <f>modif0!M250</f>
        <v>1.4</v>
      </c>
      <c r="K37" s="11" t="str">
        <f>modif0!P250</f>
        <v>CR</v>
      </c>
      <c r="L37" t="str">
        <f>modif0!N250</f>
        <v>PM</v>
      </c>
      <c r="M37">
        <f>modif0!Q250</f>
        <v>2022</v>
      </c>
      <c r="N37" t="str">
        <f>modif0!R250</f>
        <v>CR-PM_2022</v>
      </c>
      <c r="O37" t="b">
        <f>modif0!S250</f>
        <v>1</v>
      </c>
      <c r="P37">
        <v>25</v>
      </c>
      <c r="Q37" t="s">
        <v>1868</v>
      </c>
      <c r="AA37" s="17">
        <f>IF($A37,$J37*(IF(Q37=regle!$B$11,regle!$B$23*IF(AJ37=-2,1+regle!$B$35,1),
IF(Q37=regle!$C$11,regle!$C$23,
IF(Q37=regle!$D$11,regle!$D$23,
IF(Q37=regle!$E$11,regle!$E$23,
IF(Q37=regle!$F$11,regle!$F$23,
IF(Q37=regle!$G$11,regle!$G$23,
IF(Q37=regle!$H$11,regle!$H$23,
IF(Q37=regle!$I$11,regle!$I$23,
IF(Q37=regle!$J$11,regle!$J$23,
IF(Q37=regle!$K$11,regle!$K$23,0))))))))))))</f>
        <v>-2380</v>
      </c>
      <c r="AB37" s="17">
        <f>IF($A37,$J37*(IF(R37=regle!$B$11,regle!$B$23*IF(AK37=-2,1+regle!$B$35,1),
IF(R37=regle!$C$11,regle!$C$23,
IF(R37=regle!$D$11,regle!$D$23,
IF(R37=regle!$E$11,regle!$E$23,
IF(R37=regle!$F$11,regle!$F$23,
IF(R37=regle!$G$11,regle!$G$23,
IF(R37=regle!$H$11,regle!$H$23,
IF(R37=regle!$I$11,regle!$I$23,
IF(R37=regle!$J$11,regle!$J$23,
IF(R37=regle!$K$11,regle!$K$23,0))))))))))))</f>
        <v>0</v>
      </c>
      <c r="AC37" s="17">
        <f>IF($A37,$J37*(IF(S37=regle!$B$11,regle!$B$23*IF(AL37=-2,1+regle!$B$35,1),
IF(S37=regle!$C$11,regle!$C$23,
IF(S37=regle!$D$11,regle!$D$23,
IF(S37=regle!$E$11,regle!$E$23,
IF(S37=regle!$F$11,regle!$F$23,
IF(S37=regle!$G$11,regle!$G$23,
IF(S37=regle!$H$11,regle!$H$23,
IF(S37=regle!$I$11,regle!$I$23,
IF(S37=regle!$J$11,regle!$J$23,
IF(S37=regle!$K$11,regle!$K$23,0))))))))))))</f>
        <v>0</v>
      </c>
      <c r="AD37" s="17">
        <f>IF($A37,$J37*(IF(T37=regle!$B$11,regle!$B$23*IF(AM37=-2,1+regle!$B$35,1),
IF(T37=regle!$C$11,regle!$C$23,
IF(T37=regle!$D$11,regle!$D$23,
IF(T37=regle!$E$11,regle!$E$23,
IF(T37=regle!$F$11,regle!$F$23,
IF(T37=regle!$G$11,regle!$G$23,
IF(T37=regle!$H$11,regle!$H$23,
IF(T37=regle!$I$11,regle!$I$23,
IF(T37=regle!$J$11,regle!$J$23,
IF(T37=regle!$K$11,regle!$K$23,0))))))))))))</f>
        <v>0</v>
      </c>
      <c r="AE37" s="17">
        <f>IF($A37,$J37*(IF(U37=regle!$B$11,regle!$B$23*IF(AN37=-2,1+regle!$B$35,1),
IF(U37=regle!$C$11,regle!$C$23,
IF(U37=regle!$D$11,regle!$D$23,
IF(U37=regle!$E$11,regle!$E$23,
IF(U37=regle!$F$11,regle!$F$23,
IF(U37=regle!$G$11,regle!$G$23,
IF(U37=regle!$H$11,regle!$H$23,
IF(U37=regle!$I$11,regle!$I$23,
IF(U37=regle!$J$11,regle!$J$23,
IF(U37=regle!$K$11,regle!$K$23,0))))))))))))</f>
        <v>0</v>
      </c>
      <c r="AF37" s="17">
        <f>IF($A37,$J37*(IF(V37=regle!$B$11,regle!$B$23*IF(AO37=-2,1+regle!$B$35,1),
IF(V37=regle!$C$11,regle!$C$23,
IF(V37=regle!$D$11,regle!$D$23,
IF(V37=regle!$E$11,regle!$E$23,
IF(V37=regle!$F$11,regle!$F$23,
IF(V37=regle!$G$11,regle!$G$23,
IF(V37=regle!$H$11,regle!$H$23,
IF(V37=regle!$I$11,regle!$I$23,
IF(V37=regle!$J$11,regle!$J$23,
IF(V37=regle!$K$11,regle!$K$23,0))))))))))))</f>
        <v>0</v>
      </c>
      <c r="AG37" s="17">
        <f>IF($A37,$J37*(IF(W37=regle!$B$11,regle!$B$23*IF(AP37=-2,1+regle!$B$35,1),
IF(W37=regle!$C$11,regle!$C$23,
IF(W37=regle!$D$11,regle!$D$23,
IF(W37=regle!$E$11,regle!$E$23,
IF(W37=regle!$F$11,regle!$F$23,
IF(W37=regle!$G$11,regle!$G$23,
IF(W37=regle!$H$11,regle!$H$23,
IF(W37=regle!$I$11,regle!$I$23,
IF(W37=regle!$J$11,regle!$J$23,
IF(W37=regle!$K$11,regle!$K$23,0))))))))))))</f>
        <v>0</v>
      </c>
      <c r="AH37" s="17">
        <f>IF($A37,$J37*(IF(X37=regle!$B$11,regle!$B$23*IF(AQ37=-2,1+regle!$B$35,1),
IF(X37=regle!$C$11,regle!$C$23,
IF(X37=regle!$D$11,regle!$D$23,
IF(X37=regle!$E$11,regle!$E$23,
IF(X37=regle!$F$11,regle!$F$23,
IF(X37=regle!$G$11,regle!$G$23,
IF(X37=regle!$H$11,regle!$H$23,
IF(X37=regle!$I$11,regle!$I$23,
IF(X37=regle!$J$11,regle!$J$23,
IF(X37=regle!$K$11,regle!$K$23,0))))))))))))</f>
        <v>0</v>
      </c>
      <c r="AI37" s="17">
        <f>IF($A37,$J37*(IF(Y37=regle!$B$11,regle!$B$23*IF(AR37=-2,1+regle!$B$35,1),
IF(Y37=regle!$C$11,regle!$C$23,
IF(Y37=regle!$D$11,regle!$D$23,
IF(Y37=regle!$E$11,regle!$E$23,
IF(Y37=regle!$F$11,regle!$F$23,
IF(Y37=regle!$G$11,regle!$G$23,
IF(Y37=regle!$H$11,regle!$H$23,
IF(Y37=regle!$I$11,regle!$I$23,
IF(Y37=regle!$J$11,regle!$J$23,
IF(Y37=regle!$K$11,regle!$K$23,0))))))))))))</f>
        <v>0</v>
      </c>
      <c r="AJ37" s="17">
        <f>IF($A37,$J37*(IF(Z37=regle!$B$11,regle!$B$23*IF(AS37=-2,1+regle!$B$35,1),
IF(Z37=regle!$C$11,regle!$C$23,
IF(Z37=regle!$D$11,regle!$D$23,
IF(Z37=regle!$E$11,regle!$E$23,
IF(Z37=regle!$F$11,regle!$F$23,
IF(Z37=regle!$G$11,regle!$G$23,
IF(Z37=regle!$H$11,regle!$H$23,
IF(Z37=regle!$I$11,regle!$I$23,
IF(Z37=regle!$J$11,regle!$J$23,
IF(Z37=regle!$K$11,regle!$K$23,0))))))))))))</f>
        <v>0</v>
      </c>
      <c r="AK37" s="16">
        <f>IF(OR(Q37=regle!$J$11,Q37=regle!$K$11),-2,IF(Q37=regle!$B$11,0,IF(AK$1=$AK$1,IF($O37,-1,regle!$B$2-$M37),IF(AJ37=-1,-1,AJ37+1))))</f>
        <v>0</v>
      </c>
      <c r="AL37" s="16">
        <f>IF(OR(R37=regle!$J$11,R37=regle!$K$11),-2,IF(R37=regle!$B$11,0,IF(AL$1=$AK$1,IF($O37,-1,regle!$B$2-$M37),IF(AK37=-1,-1,AK37+1))))</f>
        <v>1</v>
      </c>
      <c r="AM37" s="16">
        <f>IF(OR(S37=regle!$J$11,S37=regle!$K$11),-2,IF(S37=regle!$B$11,0,IF(AM$1=$AK$1,IF($O37,-1,regle!$B$2-$M37),IF(AL37=-1,-1,AL37+1))))</f>
        <v>2</v>
      </c>
      <c r="AN37" s="16">
        <f>IF(OR(T37=regle!$J$11,T37=regle!$K$11),-2,IF(T37=regle!$B$11,0,IF(AN$1=$AK$1,IF($O37,-1,regle!$B$2-$M37),IF(AM37=-1,-1,AM37+1))))</f>
        <v>3</v>
      </c>
      <c r="AO37" s="16">
        <f>IF(OR(U37=regle!$J$11,U37=regle!$K$11),-2,IF(U37=regle!$B$11,0,IF(AO$1=$AK$1,IF($O37,-1,regle!$B$2-$M37),IF(AN37=-1,-1,AN37+1))))</f>
        <v>4</v>
      </c>
      <c r="AP37" s="16">
        <f>IF(OR(V37=regle!$J$11,V37=regle!$K$11),-2,IF(V37=regle!$B$11,0,IF(AP$1=$AK$1,IF($O37,-1,regle!$B$2-$M37),IF(AO37=-1,-1,AO37+1))))</f>
        <v>5</v>
      </c>
      <c r="AQ37" s="16">
        <f>IF(OR(W37=regle!$J$11,W37=regle!$K$11),-2,IF(W37=regle!$B$11,0,IF(AQ$1=$AK$1,IF($O37,-1,regle!$B$2-$M37),IF(AP37=-1,-1,AP37+1))))</f>
        <v>6</v>
      </c>
      <c r="AR37" s="16">
        <f>IF(OR(X37=regle!$J$11,X37=regle!$K$11),-2,IF(X37=regle!$B$11,0,IF(AR$1=$AK$1,IF($O37,-1,regle!$B$2-$M37),IF(AQ37=-1,-1,AQ37+1))))</f>
        <v>7</v>
      </c>
      <c r="AS37" s="16">
        <f>IF(OR(Y37=regle!$J$11,Y37=regle!$K$11),-2,IF(Y37=regle!$B$11,0,IF(AS$1=$AK$1,IF($O37,-1,regle!$B$2-$M37),IF(AR37=-1,-1,AR37+1))))</f>
        <v>8</v>
      </c>
      <c r="AT37" s="16">
        <f>IF(OR(Z37=regle!$J$11,Z37=regle!$K$11),-2,IF(Z37=regle!$B$11,0,IF(AT$1=$AK$1,IF($O37,-1,regle!$B$2-$M37),IF(AS37=-1,-1,AS37+1))))</f>
        <v>9</v>
      </c>
    </row>
    <row r="38" spans="1:46" x14ac:dyDescent="0.25">
      <c r="A38" t="b">
        <f>modif0!A258</f>
        <v>1</v>
      </c>
      <c r="B38">
        <f>ROW(modif0!B258)</f>
        <v>258</v>
      </c>
      <c r="C38" t="str">
        <f>modif0!D258</f>
        <v>171</v>
      </c>
      <c r="D38" t="str">
        <f>modif0!E258</f>
        <v>MANO</v>
      </c>
      <c r="E38">
        <f>modif0!F258</f>
        <v>17</v>
      </c>
      <c r="F38" t="str">
        <f>modif0!G258</f>
        <v>LANDE DE TABARTON</v>
      </c>
      <c r="G38" t="str">
        <f>modif0!I258</f>
        <v>0B</v>
      </c>
      <c r="H38">
        <f>modif0!J258</f>
        <v>272</v>
      </c>
      <c r="I38" t="str">
        <f>modif0!K258</f>
        <v/>
      </c>
      <c r="J38" s="11">
        <f>modif0!M258</f>
        <v>1.355</v>
      </c>
      <c r="K38" s="11" t="str">
        <f>modif0!P258</f>
        <v>CR</v>
      </c>
      <c r="L38" t="str">
        <f>modif0!N258</f>
        <v>PM</v>
      </c>
      <c r="M38">
        <f>modif0!Q258</f>
        <v>2022</v>
      </c>
      <c r="N38" t="str">
        <f>modif0!R258</f>
        <v>CR-PM_2022</v>
      </c>
      <c r="O38" t="b">
        <f>modif0!S258</f>
        <v>1</v>
      </c>
      <c r="P38">
        <v>25</v>
      </c>
      <c r="Q38" t="s">
        <v>1868</v>
      </c>
      <c r="AA38" s="17">
        <f>IF($A38,$J38*(IF(Q38=regle!$B$11,regle!$B$23*IF(AJ38=-2,1+regle!$B$35,1),
IF(Q38=regle!$C$11,regle!$C$23,
IF(Q38=regle!$D$11,regle!$D$23,
IF(Q38=regle!$E$11,regle!$E$23,
IF(Q38=regle!$F$11,regle!$F$23,
IF(Q38=regle!$G$11,regle!$G$23,
IF(Q38=regle!$H$11,regle!$H$23,
IF(Q38=regle!$I$11,regle!$I$23,
IF(Q38=regle!$J$11,regle!$J$23,
IF(Q38=regle!$K$11,regle!$K$23,0))))))))))))</f>
        <v>-2303.5</v>
      </c>
      <c r="AB38" s="17">
        <f>IF($A38,$J38*(IF(R38=regle!$B$11,regle!$B$23*IF(AK38=-2,1+regle!$B$35,1),
IF(R38=regle!$C$11,regle!$C$23,
IF(R38=regle!$D$11,regle!$D$23,
IF(R38=regle!$E$11,regle!$E$23,
IF(R38=regle!$F$11,regle!$F$23,
IF(R38=regle!$G$11,regle!$G$23,
IF(R38=regle!$H$11,regle!$H$23,
IF(R38=regle!$I$11,regle!$I$23,
IF(R38=regle!$J$11,regle!$J$23,
IF(R38=regle!$K$11,regle!$K$23,0))))))))))))</f>
        <v>0</v>
      </c>
      <c r="AC38" s="17">
        <f>IF($A38,$J38*(IF(S38=regle!$B$11,regle!$B$23*IF(AL38=-2,1+regle!$B$35,1),
IF(S38=regle!$C$11,regle!$C$23,
IF(S38=regle!$D$11,regle!$D$23,
IF(S38=regle!$E$11,regle!$E$23,
IF(S38=regle!$F$11,regle!$F$23,
IF(S38=regle!$G$11,regle!$G$23,
IF(S38=regle!$H$11,regle!$H$23,
IF(S38=regle!$I$11,regle!$I$23,
IF(S38=regle!$J$11,regle!$J$23,
IF(S38=regle!$K$11,regle!$K$23,0))))))))))))</f>
        <v>0</v>
      </c>
      <c r="AD38" s="17">
        <f>IF($A38,$J38*(IF(T38=regle!$B$11,regle!$B$23*IF(AM38=-2,1+regle!$B$35,1),
IF(T38=regle!$C$11,regle!$C$23,
IF(T38=regle!$D$11,regle!$D$23,
IF(T38=regle!$E$11,regle!$E$23,
IF(T38=regle!$F$11,regle!$F$23,
IF(T38=regle!$G$11,regle!$G$23,
IF(T38=regle!$H$11,regle!$H$23,
IF(T38=regle!$I$11,regle!$I$23,
IF(T38=regle!$J$11,regle!$J$23,
IF(T38=regle!$K$11,regle!$K$23,0))))))))))))</f>
        <v>0</v>
      </c>
      <c r="AE38" s="17">
        <f>IF($A38,$J38*(IF(U38=regle!$B$11,regle!$B$23*IF(AN38=-2,1+regle!$B$35,1),
IF(U38=regle!$C$11,regle!$C$23,
IF(U38=regle!$D$11,regle!$D$23,
IF(U38=regle!$E$11,regle!$E$23,
IF(U38=regle!$F$11,regle!$F$23,
IF(U38=regle!$G$11,regle!$G$23,
IF(U38=regle!$H$11,regle!$H$23,
IF(U38=regle!$I$11,regle!$I$23,
IF(U38=regle!$J$11,regle!$J$23,
IF(U38=regle!$K$11,regle!$K$23,0))))))))))))</f>
        <v>0</v>
      </c>
      <c r="AF38" s="17">
        <f>IF($A38,$J38*(IF(V38=regle!$B$11,regle!$B$23*IF(AO38=-2,1+regle!$B$35,1),
IF(V38=regle!$C$11,regle!$C$23,
IF(V38=regle!$D$11,regle!$D$23,
IF(V38=regle!$E$11,regle!$E$23,
IF(V38=regle!$F$11,regle!$F$23,
IF(V38=regle!$G$11,regle!$G$23,
IF(V38=regle!$H$11,regle!$H$23,
IF(V38=regle!$I$11,regle!$I$23,
IF(V38=regle!$J$11,regle!$J$23,
IF(V38=regle!$K$11,regle!$K$23,0))))))))))))</f>
        <v>0</v>
      </c>
      <c r="AG38" s="17">
        <f>IF($A38,$J38*(IF(W38=regle!$B$11,regle!$B$23*IF(AP38=-2,1+regle!$B$35,1),
IF(W38=regle!$C$11,regle!$C$23,
IF(W38=regle!$D$11,regle!$D$23,
IF(W38=regle!$E$11,regle!$E$23,
IF(W38=regle!$F$11,regle!$F$23,
IF(W38=regle!$G$11,regle!$G$23,
IF(W38=regle!$H$11,regle!$H$23,
IF(W38=regle!$I$11,regle!$I$23,
IF(W38=regle!$J$11,regle!$J$23,
IF(W38=regle!$K$11,regle!$K$23,0))))))))))))</f>
        <v>0</v>
      </c>
      <c r="AH38" s="17">
        <f>IF($A38,$J38*(IF(X38=regle!$B$11,regle!$B$23*IF(AQ38=-2,1+regle!$B$35,1),
IF(X38=regle!$C$11,regle!$C$23,
IF(X38=regle!$D$11,regle!$D$23,
IF(X38=regle!$E$11,regle!$E$23,
IF(X38=regle!$F$11,regle!$F$23,
IF(X38=regle!$G$11,regle!$G$23,
IF(X38=regle!$H$11,regle!$H$23,
IF(X38=regle!$I$11,regle!$I$23,
IF(X38=regle!$J$11,regle!$J$23,
IF(X38=regle!$K$11,regle!$K$23,0))))))))))))</f>
        <v>0</v>
      </c>
      <c r="AI38" s="17">
        <f>IF($A38,$J38*(IF(Y38=regle!$B$11,regle!$B$23*IF(AR38=-2,1+regle!$B$35,1),
IF(Y38=regle!$C$11,regle!$C$23,
IF(Y38=regle!$D$11,regle!$D$23,
IF(Y38=regle!$E$11,regle!$E$23,
IF(Y38=regle!$F$11,regle!$F$23,
IF(Y38=regle!$G$11,regle!$G$23,
IF(Y38=regle!$H$11,regle!$H$23,
IF(Y38=regle!$I$11,regle!$I$23,
IF(Y38=regle!$J$11,regle!$J$23,
IF(Y38=regle!$K$11,regle!$K$23,0))))))))))))</f>
        <v>0</v>
      </c>
      <c r="AJ38" s="17">
        <f>IF($A38,$J38*(IF(Z38=regle!$B$11,regle!$B$23*IF(AS38=-2,1+regle!$B$35,1),
IF(Z38=regle!$C$11,regle!$C$23,
IF(Z38=regle!$D$11,regle!$D$23,
IF(Z38=regle!$E$11,regle!$E$23,
IF(Z38=regle!$F$11,regle!$F$23,
IF(Z38=regle!$G$11,regle!$G$23,
IF(Z38=regle!$H$11,regle!$H$23,
IF(Z38=regle!$I$11,regle!$I$23,
IF(Z38=regle!$J$11,regle!$J$23,
IF(Z38=regle!$K$11,regle!$K$23,0))))))))))))</f>
        <v>0</v>
      </c>
      <c r="AK38" s="16">
        <f>IF(OR(Q38=regle!$J$11,Q38=regle!$K$11),-2,IF(Q38=regle!$B$11,0,IF(AK$1=$AK$1,IF($O38,-1,regle!$B$2-$M38),IF(AJ38=-1,-1,AJ38+1))))</f>
        <v>0</v>
      </c>
      <c r="AL38" s="16">
        <f>IF(OR(R38=regle!$J$11,R38=regle!$K$11),-2,IF(R38=regle!$B$11,0,IF(AL$1=$AK$1,IF($O38,-1,regle!$B$2-$M38),IF(AK38=-1,-1,AK38+1))))</f>
        <v>1</v>
      </c>
      <c r="AM38" s="16">
        <f>IF(OR(S38=regle!$J$11,S38=regle!$K$11),-2,IF(S38=regle!$B$11,0,IF(AM$1=$AK$1,IF($O38,-1,regle!$B$2-$M38),IF(AL38=-1,-1,AL38+1))))</f>
        <v>2</v>
      </c>
      <c r="AN38" s="16">
        <f>IF(OR(T38=regle!$J$11,T38=regle!$K$11),-2,IF(T38=regle!$B$11,0,IF(AN$1=$AK$1,IF($O38,-1,regle!$B$2-$M38),IF(AM38=-1,-1,AM38+1))))</f>
        <v>3</v>
      </c>
      <c r="AO38" s="16">
        <f>IF(OR(U38=regle!$J$11,U38=regle!$K$11),-2,IF(U38=regle!$B$11,0,IF(AO$1=$AK$1,IF($O38,-1,regle!$B$2-$M38),IF(AN38=-1,-1,AN38+1))))</f>
        <v>4</v>
      </c>
      <c r="AP38" s="16">
        <f>IF(OR(V38=regle!$J$11,V38=regle!$K$11),-2,IF(V38=regle!$B$11,0,IF(AP$1=$AK$1,IF($O38,-1,regle!$B$2-$M38),IF(AO38=-1,-1,AO38+1))))</f>
        <v>5</v>
      </c>
      <c r="AQ38" s="16">
        <f>IF(OR(W38=regle!$J$11,W38=regle!$K$11),-2,IF(W38=regle!$B$11,0,IF(AQ$1=$AK$1,IF($O38,-1,regle!$B$2-$M38),IF(AP38=-1,-1,AP38+1))))</f>
        <v>6</v>
      </c>
      <c r="AR38" s="16">
        <f>IF(OR(X38=regle!$J$11,X38=regle!$K$11),-2,IF(X38=regle!$B$11,0,IF(AR$1=$AK$1,IF($O38,-1,regle!$B$2-$M38),IF(AQ38=-1,-1,AQ38+1))))</f>
        <v>7</v>
      </c>
      <c r="AS38" s="16">
        <f>IF(OR(Y38=regle!$J$11,Y38=regle!$K$11),-2,IF(Y38=regle!$B$11,0,IF(AS$1=$AK$1,IF($O38,-1,regle!$B$2-$M38),IF(AR38=-1,-1,AR38+1))))</f>
        <v>8</v>
      </c>
      <c r="AT38" s="16">
        <f>IF(OR(Z38=regle!$J$11,Z38=regle!$K$11),-2,IF(Z38=regle!$B$11,0,IF(AT$1=$AK$1,IF($O38,-1,regle!$B$2-$M38),IF(AS38=-1,-1,AS38+1))))</f>
        <v>9</v>
      </c>
    </row>
    <row r="39" spans="1:46" x14ac:dyDescent="0.25">
      <c r="A39" t="b">
        <f>modif0!A369</f>
        <v>1</v>
      </c>
      <c r="B39">
        <f>ROW(modif0!B369)</f>
        <v>369</v>
      </c>
      <c r="C39" t="str">
        <f>modif0!D369</f>
        <v>200</v>
      </c>
      <c r="D39" t="str">
        <f>modif0!E369</f>
        <v>MOUSTEY</v>
      </c>
      <c r="E39">
        <f>modif0!F369</f>
        <v>9</v>
      </c>
      <c r="F39" t="str">
        <f>modif0!G369</f>
        <v>Peyroulet</v>
      </c>
      <c r="G39" t="str">
        <f>modif0!I369</f>
        <v>0N</v>
      </c>
      <c r="H39">
        <f>modif0!J369</f>
        <v>161</v>
      </c>
      <c r="I39" t="str">
        <f>modif0!K369</f>
        <v>b</v>
      </c>
      <c r="J39" s="11">
        <f>modif0!M369</f>
        <v>1.2435</v>
      </c>
      <c r="K39" s="11" t="str">
        <f>modif0!P369</f>
        <v>CR</v>
      </c>
      <c r="L39" t="str">
        <f>modif0!N369</f>
        <v>PM</v>
      </c>
      <c r="M39">
        <f>modif0!Q369</f>
        <v>2022</v>
      </c>
      <c r="N39" t="str">
        <f>modif0!R369</f>
        <v>CR-PM_2022</v>
      </c>
      <c r="O39" t="b">
        <f>modif0!S369</f>
        <v>1</v>
      </c>
      <c r="P39">
        <v>25</v>
      </c>
      <c r="Q39" t="s">
        <v>1868</v>
      </c>
      <c r="AA39" s="17">
        <f>IF($A39,$J39*(IF(Q39=regle!$B$11,regle!$B$23*IF(AJ39=-2,1+regle!$B$35,1),
IF(Q39=regle!$C$11,regle!$C$23,
IF(Q39=regle!$D$11,regle!$D$23,
IF(Q39=regle!$E$11,regle!$E$23,
IF(Q39=regle!$F$11,regle!$F$23,
IF(Q39=regle!$G$11,regle!$G$23,
IF(Q39=regle!$H$11,regle!$H$23,
IF(Q39=regle!$I$11,regle!$I$23,
IF(Q39=regle!$J$11,regle!$J$23,
IF(Q39=regle!$K$11,regle!$K$23,0))))))))))))</f>
        <v>-2113.9500000000003</v>
      </c>
      <c r="AB39" s="17">
        <f>IF($A39,$J39*(IF(R39=regle!$B$11,regle!$B$23*IF(AK39=-2,1+regle!$B$35,1),
IF(R39=regle!$C$11,regle!$C$23,
IF(R39=regle!$D$11,regle!$D$23,
IF(R39=regle!$E$11,regle!$E$23,
IF(R39=regle!$F$11,regle!$F$23,
IF(R39=regle!$G$11,regle!$G$23,
IF(R39=regle!$H$11,regle!$H$23,
IF(R39=regle!$I$11,regle!$I$23,
IF(R39=regle!$J$11,regle!$J$23,
IF(R39=regle!$K$11,regle!$K$23,0))))))))))))</f>
        <v>0</v>
      </c>
      <c r="AC39" s="17">
        <f>IF($A39,$J39*(IF(S39=regle!$B$11,regle!$B$23*IF(AL39=-2,1+regle!$B$35,1),
IF(S39=regle!$C$11,regle!$C$23,
IF(S39=regle!$D$11,regle!$D$23,
IF(S39=regle!$E$11,regle!$E$23,
IF(S39=regle!$F$11,regle!$F$23,
IF(S39=regle!$G$11,regle!$G$23,
IF(S39=regle!$H$11,regle!$H$23,
IF(S39=regle!$I$11,regle!$I$23,
IF(S39=regle!$J$11,regle!$J$23,
IF(S39=regle!$K$11,regle!$K$23,0))))))))))))</f>
        <v>0</v>
      </c>
      <c r="AD39" s="17">
        <f>IF($A39,$J39*(IF(T39=regle!$B$11,regle!$B$23*IF(AM39=-2,1+regle!$B$35,1),
IF(T39=regle!$C$11,regle!$C$23,
IF(T39=regle!$D$11,regle!$D$23,
IF(T39=regle!$E$11,regle!$E$23,
IF(T39=regle!$F$11,regle!$F$23,
IF(T39=regle!$G$11,regle!$G$23,
IF(T39=regle!$H$11,regle!$H$23,
IF(T39=regle!$I$11,regle!$I$23,
IF(T39=regle!$J$11,regle!$J$23,
IF(T39=regle!$K$11,regle!$K$23,0))))))))))))</f>
        <v>0</v>
      </c>
      <c r="AE39" s="17">
        <f>IF($A39,$J39*(IF(U39=regle!$B$11,regle!$B$23*IF(AN39=-2,1+regle!$B$35,1),
IF(U39=regle!$C$11,regle!$C$23,
IF(U39=regle!$D$11,regle!$D$23,
IF(U39=regle!$E$11,regle!$E$23,
IF(U39=regle!$F$11,regle!$F$23,
IF(U39=regle!$G$11,regle!$G$23,
IF(U39=regle!$H$11,regle!$H$23,
IF(U39=regle!$I$11,regle!$I$23,
IF(U39=regle!$J$11,regle!$J$23,
IF(U39=regle!$K$11,regle!$K$23,0))))))))))))</f>
        <v>0</v>
      </c>
      <c r="AF39" s="17">
        <f>IF($A39,$J39*(IF(V39=regle!$B$11,regle!$B$23*IF(AO39=-2,1+regle!$B$35,1),
IF(V39=regle!$C$11,regle!$C$23,
IF(V39=regle!$D$11,regle!$D$23,
IF(V39=regle!$E$11,regle!$E$23,
IF(V39=regle!$F$11,regle!$F$23,
IF(V39=regle!$G$11,regle!$G$23,
IF(V39=regle!$H$11,regle!$H$23,
IF(V39=regle!$I$11,regle!$I$23,
IF(V39=regle!$J$11,regle!$J$23,
IF(V39=regle!$K$11,regle!$K$23,0))))))))))))</f>
        <v>0</v>
      </c>
      <c r="AG39" s="17">
        <f>IF($A39,$J39*(IF(W39=regle!$B$11,regle!$B$23*IF(AP39=-2,1+regle!$B$35,1),
IF(W39=regle!$C$11,regle!$C$23,
IF(W39=regle!$D$11,regle!$D$23,
IF(W39=regle!$E$11,regle!$E$23,
IF(W39=regle!$F$11,regle!$F$23,
IF(W39=regle!$G$11,regle!$G$23,
IF(W39=regle!$H$11,regle!$H$23,
IF(W39=regle!$I$11,regle!$I$23,
IF(W39=regle!$J$11,regle!$J$23,
IF(W39=regle!$K$11,regle!$K$23,0))))))))))))</f>
        <v>0</v>
      </c>
      <c r="AH39" s="17">
        <f>IF($A39,$J39*(IF(X39=regle!$B$11,regle!$B$23*IF(AQ39=-2,1+regle!$B$35,1),
IF(X39=regle!$C$11,regle!$C$23,
IF(X39=regle!$D$11,regle!$D$23,
IF(X39=regle!$E$11,regle!$E$23,
IF(X39=regle!$F$11,regle!$F$23,
IF(X39=regle!$G$11,regle!$G$23,
IF(X39=regle!$H$11,regle!$H$23,
IF(X39=regle!$I$11,regle!$I$23,
IF(X39=regle!$J$11,regle!$J$23,
IF(X39=regle!$K$11,regle!$K$23,0))))))))))))</f>
        <v>0</v>
      </c>
      <c r="AI39" s="17">
        <f>IF($A39,$J39*(IF(Y39=regle!$B$11,regle!$B$23*IF(AR39=-2,1+regle!$B$35,1),
IF(Y39=regle!$C$11,regle!$C$23,
IF(Y39=regle!$D$11,regle!$D$23,
IF(Y39=regle!$E$11,regle!$E$23,
IF(Y39=regle!$F$11,regle!$F$23,
IF(Y39=regle!$G$11,regle!$G$23,
IF(Y39=regle!$H$11,regle!$H$23,
IF(Y39=regle!$I$11,regle!$I$23,
IF(Y39=regle!$J$11,regle!$J$23,
IF(Y39=regle!$K$11,regle!$K$23,0))))))))))))</f>
        <v>0</v>
      </c>
      <c r="AJ39" s="17">
        <f>IF($A39,$J39*(IF(Z39=regle!$B$11,regle!$B$23*IF(AS39=-2,1+regle!$B$35,1),
IF(Z39=regle!$C$11,regle!$C$23,
IF(Z39=regle!$D$11,regle!$D$23,
IF(Z39=regle!$E$11,regle!$E$23,
IF(Z39=regle!$F$11,regle!$F$23,
IF(Z39=regle!$G$11,regle!$G$23,
IF(Z39=regle!$H$11,regle!$H$23,
IF(Z39=regle!$I$11,regle!$I$23,
IF(Z39=regle!$J$11,regle!$J$23,
IF(Z39=regle!$K$11,regle!$K$23,0))))))))))))</f>
        <v>0</v>
      </c>
      <c r="AK39" s="16">
        <f>IF(OR(Q39=regle!$J$11,Q39=regle!$K$11),-2,IF(Q39=regle!$B$11,0,IF(AK$1=$AK$1,IF($O39,-1,regle!$B$2-$M39),IF(AJ39=-1,-1,AJ39+1))))</f>
        <v>0</v>
      </c>
      <c r="AL39" s="16">
        <f>IF(OR(R39=regle!$J$11,R39=regle!$K$11),-2,IF(R39=regle!$B$11,0,IF(AL$1=$AK$1,IF($O39,-1,regle!$B$2-$M39),IF(AK39=-1,-1,AK39+1))))</f>
        <v>1</v>
      </c>
      <c r="AM39" s="16">
        <f>IF(OR(S39=regle!$J$11,S39=regle!$K$11),-2,IF(S39=regle!$B$11,0,IF(AM$1=$AK$1,IF($O39,-1,regle!$B$2-$M39),IF(AL39=-1,-1,AL39+1))))</f>
        <v>2</v>
      </c>
      <c r="AN39" s="16">
        <f>IF(OR(T39=regle!$J$11,T39=regle!$K$11),-2,IF(T39=regle!$B$11,0,IF(AN$1=$AK$1,IF($O39,-1,regle!$B$2-$M39),IF(AM39=-1,-1,AM39+1))))</f>
        <v>3</v>
      </c>
      <c r="AO39" s="16">
        <f>IF(OR(U39=regle!$J$11,U39=regle!$K$11),-2,IF(U39=regle!$B$11,0,IF(AO$1=$AK$1,IF($O39,-1,regle!$B$2-$M39),IF(AN39=-1,-1,AN39+1))))</f>
        <v>4</v>
      </c>
      <c r="AP39" s="16">
        <f>IF(OR(V39=regle!$J$11,V39=regle!$K$11),-2,IF(V39=regle!$B$11,0,IF(AP$1=$AK$1,IF($O39,-1,regle!$B$2-$M39),IF(AO39=-1,-1,AO39+1))))</f>
        <v>5</v>
      </c>
      <c r="AQ39" s="16">
        <f>IF(OR(W39=regle!$J$11,W39=regle!$K$11),-2,IF(W39=regle!$B$11,0,IF(AQ$1=$AK$1,IF($O39,-1,regle!$B$2-$M39),IF(AP39=-1,-1,AP39+1))))</f>
        <v>6</v>
      </c>
      <c r="AR39" s="16">
        <f>IF(OR(X39=regle!$J$11,X39=regle!$K$11),-2,IF(X39=regle!$B$11,0,IF(AR$1=$AK$1,IF($O39,-1,regle!$B$2-$M39),IF(AQ39=-1,-1,AQ39+1))))</f>
        <v>7</v>
      </c>
      <c r="AS39" s="16">
        <f>IF(OR(Y39=regle!$J$11,Y39=regle!$K$11),-2,IF(Y39=regle!$B$11,0,IF(AS$1=$AK$1,IF($O39,-1,regle!$B$2-$M39),IF(AR39=-1,-1,AR39+1))))</f>
        <v>8</v>
      </c>
      <c r="AT39" s="16">
        <f>IF(OR(Z39=regle!$J$11,Z39=regle!$K$11),-2,IF(Z39=regle!$B$11,0,IF(AT$1=$AK$1,IF($O39,-1,regle!$B$2-$M39),IF(AS39=-1,-1,AS39+1))))</f>
        <v>9</v>
      </c>
    </row>
    <row r="40" spans="1:46" x14ac:dyDescent="0.25">
      <c r="A40" t="b">
        <f>modif0!A263</f>
        <v>1</v>
      </c>
      <c r="B40">
        <f>ROW(modif0!B263)</f>
        <v>263</v>
      </c>
      <c r="C40" t="str">
        <f>modif0!D263</f>
        <v>171</v>
      </c>
      <c r="D40" t="str">
        <f>modif0!E263</f>
        <v>MANO</v>
      </c>
      <c r="E40">
        <f>modif0!F263</f>
        <v>17</v>
      </c>
      <c r="F40" t="str">
        <f>modif0!G263</f>
        <v>LANDE DE TABARTON</v>
      </c>
      <c r="G40" t="str">
        <f>modif0!I263</f>
        <v>0B</v>
      </c>
      <c r="H40">
        <f>modif0!J263</f>
        <v>279</v>
      </c>
      <c r="I40" t="str">
        <f>modif0!K263</f>
        <v/>
      </c>
      <c r="J40" s="11">
        <f>modif0!M263</f>
        <v>1.1200000000000001</v>
      </c>
      <c r="K40" s="11" t="str">
        <f>modif0!P263</f>
        <v>CR</v>
      </c>
      <c r="L40" t="str">
        <f>modif0!N263</f>
        <v>PM</v>
      </c>
      <c r="M40">
        <f>modif0!Q263</f>
        <v>2022</v>
      </c>
      <c r="N40" t="str">
        <f>modif0!R263</f>
        <v>CR-PM_2022</v>
      </c>
      <c r="O40" t="b">
        <f>modif0!S263</f>
        <v>1</v>
      </c>
      <c r="P40">
        <v>25</v>
      </c>
      <c r="Q40" t="s">
        <v>1868</v>
      </c>
      <c r="AA40" s="17">
        <f>IF($A40,$J40*(IF(Q40=regle!$B$11,regle!$B$23*IF(AJ40=-2,1+regle!$B$35,1),
IF(Q40=regle!$C$11,regle!$C$23,
IF(Q40=regle!$D$11,regle!$D$23,
IF(Q40=regle!$E$11,regle!$E$23,
IF(Q40=regle!$F$11,regle!$F$23,
IF(Q40=regle!$G$11,regle!$G$23,
IF(Q40=regle!$H$11,regle!$H$23,
IF(Q40=regle!$I$11,regle!$I$23,
IF(Q40=regle!$J$11,regle!$J$23,
IF(Q40=regle!$K$11,regle!$K$23,0))))))))))))</f>
        <v>-1904.0000000000002</v>
      </c>
      <c r="AB40" s="17">
        <f>IF($A40,$J40*(IF(R40=regle!$B$11,regle!$B$23*IF(AK40=-2,1+regle!$B$35,1),
IF(R40=regle!$C$11,regle!$C$23,
IF(R40=regle!$D$11,regle!$D$23,
IF(R40=regle!$E$11,regle!$E$23,
IF(R40=regle!$F$11,regle!$F$23,
IF(R40=regle!$G$11,regle!$G$23,
IF(R40=regle!$H$11,regle!$H$23,
IF(R40=regle!$I$11,regle!$I$23,
IF(R40=regle!$J$11,regle!$J$23,
IF(R40=regle!$K$11,regle!$K$23,0))))))))))))</f>
        <v>0</v>
      </c>
      <c r="AC40" s="17">
        <f>IF($A40,$J40*(IF(S40=regle!$B$11,regle!$B$23*IF(AL40=-2,1+regle!$B$35,1),
IF(S40=regle!$C$11,regle!$C$23,
IF(S40=regle!$D$11,regle!$D$23,
IF(S40=regle!$E$11,regle!$E$23,
IF(S40=regle!$F$11,regle!$F$23,
IF(S40=regle!$G$11,regle!$G$23,
IF(S40=regle!$H$11,regle!$H$23,
IF(S40=regle!$I$11,regle!$I$23,
IF(S40=regle!$J$11,regle!$J$23,
IF(S40=regle!$K$11,regle!$K$23,0))))))))))))</f>
        <v>0</v>
      </c>
      <c r="AD40" s="17">
        <f>IF($A40,$J40*(IF(T40=regle!$B$11,regle!$B$23*IF(AM40=-2,1+regle!$B$35,1),
IF(T40=regle!$C$11,regle!$C$23,
IF(T40=regle!$D$11,regle!$D$23,
IF(T40=regle!$E$11,regle!$E$23,
IF(T40=regle!$F$11,regle!$F$23,
IF(T40=regle!$G$11,regle!$G$23,
IF(T40=regle!$H$11,regle!$H$23,
IF(T40=regle!$I$11,regle!$I$23,
IF(T40=regle!$J$11,regle!$J$23,
IF(T40=regle!$K$11,regle!$K$23,0))))))))))))</f>
        <v>0</v>
      </c>
      <c r="AE40" s="17">
        <f>IF($A40,$J40*(IF(U40=regle!$B$11,regle!$B$23*IF(AN40=-2,1+regle!$B$35,1),
IF(U40=regle!$C$11,regle!$C$23,
IF(U40=regle!$D$11,regle!$D$23,
IF(U40=regle!$E$11,regle!$E$23,
IF(U40=regle!$F$11,regle!$F$23,
IF(U40=regle!$G$11,regle!$G$23,
IF(U40=regle!$H$11,regle!$H$23,
IF(U40=regle!$I$11,regle!$I$23,
IF(U40=regle!$J$11,regle!$J$23,
IF(U40=regle!$K$11,regle!$K$23,0))))))))))))</f>
        <v>0</v>
      </c>
      <c r="AF40" s="17">
        <f>IF($A40,$J40*(IF(V40=regle!$B$11,regle!$B$23*IF(AO40=-2,1+regle!$B$35,1),
IF(V40=regle!$C$11,regle!$C$23,
IF(V40=regle!$D$11,regle!$D$23,
IF(V40=regle!$E$11,regle!$E$23,
IF(V40=regle!$F$11,regle!$F$23,
IF(V40=regle!$G$11,regle!$G$23,
IF(V40=regle!$H$11,regle!$H$23,
IF(V40=regle!$I$11,regle!$I$23,
IF(V40=regle!$J$11,regle!$J$23,
IF(V40=regle!$K$11,regle!$K$23,0))))))))))))</f>
        <v>0</v>
      </c>
      <c r="AG40" s="17">
        <f>IF($A40,$J40*(IF(W40=regle!$B$11,regle!$B$23*IF(AP40=-2,1+regle!$B$35,1),
IF(W40=regle!$C$11,regle!$C$23,
IF(W40=regle!$D$11,regle!$D$23,
IF(W40=regle!$E$11,regle!$E$23,
IF(W40=regle!$F$11,regle!$F$23,
IF(W40=regle!$G$11,regle!$G$23,
IF(W40=regle!$H$11,regle!$H$23,
IF(W40=regle!$I$11,regle!$I$23,
IF(W40=regle!$J$11,regle!$J$23,
IF(W40=regle!$K$11,regle!$K$23,0))))))))))))</f>
        <v>0</v>
      </c>
      <c r="AH40" s="17">
        <f>IF($A40,$J40*(IF(X40=regle!$B$11,regle!$B$23*IF(AQ40=-2,1+regle!$B$35,1),
IF(X40=regle!$C$11,regle!$C$23,
IF(X40=regle!$D$11,regle!$D$23,
IF(X40=regle!$E$11,regle!$E$23,
IF(X40=regle!$F$11,regle!$F$23,
IF(X40=regle!$G$11,regle!$G$23,
IF(X40=regle!$H$11,regle!$H$23,
IF(X40=regle!$I$11,regle!$I$23,
IF(X40=regle!$J$11,regle!$J$23,
IF(X40=regle!$K$11,regle!$K$23,0))))))))))))</f>
        <v>0</v>
      </c>
      <c r="AI40" s="17">
        <f>IF($A40,$J40*(IF(Y40=regle!$B$11,regle!$B$23*IF(AR40=-2,1+regle!$B$35,1),
IF(Y40=regle!$C$11,regle!$C$23,
IF(Y40=regle!$D$11,regle!$D$23,
IF(Y40=regle!$E$11,regle!$E$23,
IF(Y40=regle!$F$11,regle!$F$23,
IF(Y40=regle!$G$11,regle!$G$23,
IF(Y40=regle!$H$11,regle!$H$23,
IF(Y40=regle!$I$11,regle!$I$23,
IF(Y40=regle!$J$11,regle!$J$23,
IF(Y40=regle!$K$11,regle!$K$23,0))))))))))))</f>
        <v>0</v>
      </c>
      <c r="AJ40" s="17">
        <f>IF($A40,$J40*(IF(Z40=regle!$B$11,regle!$B$23*IF(AS40=-2,1+regle!$B$35,1),
IF(Z40=regle!$C$11,regle!$C$23,
IF(Z40=regle!$D$11,regle!$D$23,
IF(Z40=regle!$E$11,regle!$E$23,
IF(Z40=regle!$F$11,regle!$F$23,
IF(Z40=regle!$G$11,regle!$G$23,
IF(Z40=regle!$H$11,regle!$H$23,
IF(Z40=regle!$I$11,regle!$I$23,
IF(Z40=regle!$J$11,regle!$J$23,
IF(Z40=regle!$K$11,regle!$K$23,0))))))))))))</f>
        <v>0</v>
      </c>
      <c r="AK40" s="16">
        <f>IF(OR(Q40=regle!$J$11,Q40=regle!$K$11),-2,IF(Q40=regle!$B$11,0,IF(AK$1=$AK$1,IF($O40,-1,regle!$B$2-$M40),IF(AJ40=-1,-1,AJ40+1))))</f>
        <v>0</v>
      </c>
      <c r="AL40" s="16">
        <f>IF(OR(R40=regle!$J$11,R40=regle!$K$11),-2,IF(R40=regle!$B$11,0,IF(AL$1=$AK$1,IF($O40,-1,regle!$B$2-$M40),IF(AK40=-1,-1,AK40+1))))</f>
        <v>1</v>
      </c>
      <c r="AM40" s="16">
        <f>IF(OR(S40=regle!$J$11,S40=regle!$K$11),-2,IF(S40=regle!$B$11,0,IF(AM$1=$AK$1,IF($O40,-1,regle!$B$2-$M40),IF(AL40=-1,-1,AL40+1))))</f>
        <v>2</v>
      </c>
      <c r="AN40" s="16">
        <f>IF(OR(T40=regle!$J$11,T40=regle!$K$11),-2,IF(T40=regle!$B$11,0,IF(AN$1=$AK$1,IF($O40,-1,regle!$B$2-$M40),IF(AM40=-1,-1,AM40+1))))</f>
        <v>3</v>
      </c>
      <c r="AO40" s="16">
        <f>IF(OR(U40=regle!$J$11,U40=regle!$K$11),-2,IF(U40=regle!$B$11,0,IF(AO$1=$AK$1,IF($O40,-1,regle!$B$2-$M40),IF(AN40=-1,-1,AN40+1))))</f>
        <v>4</v>
      </c>
      <c r="AP40" s="16">
        <f>IF(OR(V40=regle!$J$11,V40=regle!$K$11),-2,IF(V40=regle!$B$11,0,IF(AP$1=$AK$1,IF($O40,-1,regle!$B$2-$M40),IF(AO40=-1,-1,AO40+1))))</f>
        <v>5</v>
      </c>
      <c r="AQ40" s="16">
        <f>IF(OR(W40=regle!$J$11,W40=regle!$K$11),-2,IF(W40=regle!$B$11,0,IF(AQ$1=$AK$1,IF($O40,-1,regle!$B$2-$M40),IF(AP40=-1,-1,AP40+1))))</f>
        <v>6</v>
      </c>
      <c r="AR40" s="16">
        <f>IF(OR(X40=regle!$J$11,X40=regle!$K$11),-2,IF(X40=regle!$B$11,0,IF(AR$1=$AK$1,IF($O40,-1,regle!$B$2-$M40),IF(AQ40=-1,-1,AQ40+1))))</f>
        <v>7</v>
      </c>
      <c r="AS40" s="16">
        <f>IF(OR(Y40=regle!$J$11,Y40=regle!$K$11),-2,IF(Y40=regle!$B$11,0,IF(AS$1=$AK$1,IF($O40,-1,regle!$B$2-$M40),IF(AR40=-1,-1,AR40+1))))</f>
        <v>8</v>
      </c>
      <c r="AT40" s="16">
        <f>IF(OR(Z40=regle!$J$11,Z40=regle!$K$11),-2,IF(Z40=regle!$B$11,0,IF(AT$1=$AK$1,IF($O40,-1,regle!$B$2-$M40),IF(AS40=-1,-1,AS40+1))))</f>
        <v>9</v>
      </c>
    </row>
    <row r="41" spans="1:46" x14ac:dyDescent="0.25">
      <c r="A41" t="b">
        <f>modif0!A5</f>
        <v>1</v>
      </c>
      <c r="B41">
        <f>ROW(modif0!B5)</f>
        <v>5</v>
      </c>
      <c r="C41" t="str">
        <f>modif0!D5</f>
        <v>202</v>
      </c>
      <c r="D41" t="str">
        <f>modif0!E5</f>
        <v>HOSTENS</v>
      </c>
      <c r="E41">
        <f>modif0!F5</f>
        <v>11</v>
      </c>
      <c r="F41" t="str">
        <f>modif0!G5</f>
        <v>L'ARGILEYRE</v>
      </c>
      <c r="G41" t="str">
        <f>modif0!I5</f>
        <v>0A</v>
      </c>
      <c r="H41">
        <f>modif0!J5</f>
        <v>1293</v>
      </c>
      <c r="I41" t="str">
        <f>modif0!K5</f>
        <v>l</v>
      </c>
      <c r="J41" s="11">
        <f>modif0!M5</f>
        <v>1.1172</v>
      </c>
      <c r="K41" s="11" t="str">
        <f>modif0!P5</f>
        <v>CR</v>
      </c>
      <c r="L41" t="str">
        <f>modif0!N5</f>
        <v>PM</v>
      </c>
      <c r="M41">
        <f>modif0!Q5</f>
        <v>2022</v>
      </c>
      <c r="N41" t="str">
        <f>modif0!R5</f>
        <v>CR-PM_2022</v>
      </c>
      <c r="O41" t="b">
        <f>modif0!S5</f>
        <v>1</v>
      </c>
      <c r="P41">
        <v>25</v>
      </c>
      <c r="Q41" t="s">
        <v>1868</v>
      </c>
      <c r="AA41" s="17">
        <f>IF($A41,$J41*(IF(Q41=regle!$B$11,regle!$B$23*IF(AJ41=-2,1+regle!$B$35,1),
IF(Q41=regle!$C$11,regle!$C$23,
IF(Q41=regle!$D$11,regle!$D$23,
IF(Q41=regle!$E$11,regle!$E$23,
IF(Q41=regle!$F$11,regle!$F$23,
IF(Q41=regle!$G$11,regle!$G$23,
IF(Q41=regle!$H$11,regle!$H$23,
IF(Q41=regle!$I$11,regle!$I$23,
IF(Q41=regle!$J$11,regle!$J$23,
IF(Q41=regle!$K$11,regle!$K$23,0))))))))))))</f>
        <v>-1899.24</v>
      </c>
      <c r="AB41" s="17">
        <f>IF($A41,$J41*(IF(R41=regle!$B$11,regle!$B$23*IF(AK41=-2,1+regle!$B$35,1),
IF(R41=regle!$C$11,regle!$C$23,
IF(R41=regle!$D$11,regle!$D$23,
IF(R41=regle!$E$11,regle!$E$23,
IF(R41=regle!$F$11,regle!$F$23,
IF(R41=regle!$G$11,regle!$G$23,
IF(R41=regle!$H$11,regle!$H$23,
IF(R41=regle!$I$11,regle!$I$23,
IF(R41=regle!$J$11,regle!$J$23,
IF(R41=regle!$K$11,regle!$K$23,0))))))))))))</f>
        <v>0</v>
      </c>
      <c r="AC41" s="17">
        <f>IF($A41,$J41*(IF(S41=regle!$B$11,regle!$B$23*IF(AL41=-2,1+regle!$B$35,1),
IF(S41=regle!$C$11,regle!$C$23,
IF(S41=regle!$D$11,regle!$D$23,
IF(S41=regle!$E$11,regle!$E$23,
IF(S41=regle!$F$11,regle!$F$23,
IF(S41=regle!$G$11,regle!$G$23,
IF(S41=regle!$H$11,regle!$H$23,
IF(S41=regle!$I$11,regle!$I$23,
IF(S41=regle!$J$11,regle!$J$23,
IF(S41=regle!$K$11,regle!$K$23,0))))))))))))</f>
        <v>0</v>
      </c>
      <c r="AD41" s="17">
        <f>IF($A41,$J41*(IF(T41=regle!$B$11,regle!$B$23*IF(AM41=-2,1+regle!$B$35,1),
IF(T41=regle!$C$11,regle!$C$23,
IF(T41=regle!$D$11,regle!$D$23,
IF(T41=regle!$E$11,regle!$E$23,
IF(T41=regle!$F$11,regle!$F$23,
IF(T41=regle!$G$11,regle!$G$23,
IF(T41=regle!$H$11,regle!$H$23,
IF(T41=regle!$I$11,regle!$I$23,
IF(T41=regle!$J$11,regle!$J$23,
IF(T41=regle!$K$11,regle!$K$23,0))))))))))))</f>
        <v>0</v>
      </c>
      <c r="AE41" s="17">
        <f>IF($A41,$J41*(IF(U41=regle!$B$11,regle!$B$23*IF(AN41=-2,1+regle!$B$35,1),
IF(U41=regle!$C$11,regle!$C$23,
IF(U41=regle!$D$11,regle!$D$23,
IF(U41=regle!$E$11,regle!$E$23,
IF(U41=regle!$F$11,regle!$F$23,
IF(U41=regle!$G$11,regle!$G$23,
IF(U41=regle!$H$11,regle!$H$23,
IF(U41=regle!$I$11,regle!$I$23,
IF(U41=regle!$J$11,regle!$J$23,
IF(U41=regle!$K$11,regle!$K$23,0))))))))))))</f>
        <v>0</v>
      </c>
      <c r="AF41" s="17">
        <f>IF($A41,$J41*(IF(V41=regle!$B$11,regle!$B$23*IF(AO41=-2,1+regle!$B$35,1),
IF(V41=regle!$C$11,regle!$C$23,
IF(V41=regle!$D$11,regle!$D$23,
IF(V41=regle!$E$11,regle!$E$23,
IF(V41=regle!$F$11,regle!$F$23,
IF(V41=regle!$G$11,regle!$G$23,
IF(V41=regle!$H$11,regle!$H$23,
IF(V41=regle!$I$11,regle!$I$23,
IF(V41=regle!$J$11,regle!$J$23,
IF(V41=regle!$K$11,regle!$K$23,0))))))))))))</f>
        <v>0</v>
      </c>
      <c r="AG41" s="17">
        <f>IF($A41,$J41*(IF(W41=regle!$B$11,regle!$B$23*IF(AP41=-2,1+regle!$B$35,1),
IF(W41=regle!$C$11,regle!$C$23,
IF(W41=regle!$D$11,regle!$D$23,
IF(W41=regle!$E$11,regle!$E$23,
IF(W41=regle!$F$11,regle!$F$23,
IF(W41=regle!$G$11,regle!$G$23,
IF(W41=regle!$H$11,regle!$H$23,
IF(W41=regle!$I$11,regle!$I$23,
IF(W41=regle!$J$11,regle!$J$23,
IF(W41=regle!$K$11,regle!$K$23,0))))))))))))</f>
        <v>0</v>
      </c>
      <c r="AH41" s="17">
        <f>IF($A41,$J41*(IF(X41=regle!$B$11,regle!$B$23*IF(AQ41=-2,1+regle!$B$35,1),
IF(X41=regle!$C$11,regle!$C$23,
IF(X41=regle!$D$11,regle!$D$23,
IF(X41=regle!$E$11,regle!$E$23,
IF(X41=regle!$F$11,regle!$F$23,
IF(X41=regle!$G$11,regle!$G$23,
IF(X41=regle!$H$11,regle!$H$23,
IF(X41=regle!$I$11,regle!$I$23,
IF(X41=regle!$J$11,regle!$J$23,
IF(X41=regle!$K$11,regle!$K$23,0))))))))))))</f>
        <v>0</v>
      </c>
      <c r="AI41" s="17">
        <f>IF($A41,$J41*(IF(Y41=regle!$B$11,regle!$B$23*IF(AR41=-2,1+regle!$B$35,1),
IF(Y41=regle!$C$11,regle!$C$23,
IF(Y41=regle!$D$11,regle!$D$23,
IF(Y41=regle!$E$11,regle!$E$23,
IF(Y41=regle!$F$11,regle!$F$23,
IF(Y41=regle!$G$11,regle!$G$23,
IF(Y41=regle!$H$11,regle!$H$23,
IF(Y41=regle!$I$11,regle!$I$23,
IF(Y41=regle!$J$11,regle!$J$23,
IF(Y41=regle!$K$11,regle!$K$23,0))))))))))))</f>
        <v>0</v>
      </c>
      <c r="AJ41" s="17">
        <f>IF($A41,$J41*(IF(Z41=regle!$B$11,regle!$B$23*IF(AS41=-2,1+regle!$B$35,1),
IF(Z41=regle!$C$11,regle!$C$23,
IF(Z41=regle!$D$11,regle!$D$23,
IF(Z41=regle!$E$11,regle!$E$23,
IF(Z41=regle!$F$11,regle!$F$23,
IF(Z41=regle!$G$11,regle!$G$23,
IF(Z41=regle!$H$11,regle!$H$23,
IF(Z41=regle!$I$11,regle!$I$23,
IF(Z41=regle!$J$11,regle!$J$23,
IF(Z41=regle!$K$11,regle!$K$23,0))))))))))))</f>
        <v>0</v>
      </c>
      <c r="AK41" s="16">
        <f>IF(OR(Q41=regle!$J$11,Q41=regle!$K$11),-2,IF(Q41=regle!$B$11,0,IF(AK$1=$AK$1,IF($O41,-1,regle!$B$2-$M41),IF(AJ41=-1,-1,AJ41+1))))</f>
        <v>0</v>
      </c>
      <c r="AL41" s="16">
        <f>IF(OR(R41=regle!$J$11,R41=regle!$K$11),-2,IF(R41=regle!$B$11,0,IF(AL$1=$AK$1,IF($O41,-1,regle!$B$2-$M41),IF(AK41=-1,-1,AK41+1))))</f>
        <v>1</v>
      </c>
      <c r="AM41" s="16">
        <f>IF(OR(S41=regle!$J$11,S41=regle!$K$11),-2,IF(S41=regle!$B$11,0,IF(AM$1=$AK$1,IF($O41,-1,regle!$B$2-$M41),IF(AL41=-1,-1,AL41+1))))</f>
        <v>2</v>
      </c>
      <c r="AN41" s="16">
        <f>IF(OR(T41=regle!$J$11,T41=regle!$K$11),-2,IF(T41=regle!$B$11,0,IF(AN$1=$AK$1,IF($O41,-1,regle!$B$2-$M41),IF(AM41=-1,-1,AM41+1))))</f>
        <v>3</v>
      </c>
      <c r="AO41" s="16">
        <f>IF(OR(U41=regle!$J$11,U41=regle!$K$11),-2,IF(U41=regle!$B$11,0,IF(AO$1=$AK$1,IF($O41,-1,regle!$B$2-$M41),IF(AN41=-1,-1,AN41+1))))</f>
        <v>4</v>
      </c>
      <c r="AP41" s="16">
        <f>IF(OR(V41=regle!$J$11,V41=regle!$K$11),-2,IF(V41=regle!$B$11,0,IF(AP$1=$AK$1,IF($O41,-1,regle!$B$2-$M41),IF(AO41=-1,-1,AO41+1))))</f>
        <v>5</v>
      </c>
      <c r="AQ41" s="16">
        <f>IF(OR(W41=regle!$J$11,W41=regle!$K$11),-2,IF(W41=regle!$B$11,0,IF(AQ$1=$AK$1,IF($O41,-1,regle!$B$2-$M41),IF(AP41=-1,-1,AP41+1))))</f>
        <v>6</v>
      </c>
      <c r="AR41" s="16">
        <f>IF(OR(X41=regle!$J$11,X41=regle!$K$11),-2,IF(X41=regle!$B$11,0,IF(AR$1=$AK$1,IF($O41,-1,regle!$B$2-$M41),IF(AQ41=-1,-1,AQ41+1))))</f>
        <v>7</v>
      </c>
      <c r="AS41" s="16">
        <f>IF(OR(Y41=regle!$J$11,Y41=regle!$K$11),-2,IF(Y41=regle!$B$11,0,IF(AS$1=$AK$1,IF($O41,-1,regle!$B$2-$M41),IF(AR41=-1,-1,AR41+1))))</f>
        <v>8</v>
      </c>
      <c r="AT41" s="16">
        <f>IF(OR(Z41=regle!$J$11,Z41=regle!$K$11),-2,IF(Z41=regle!$B$11,0,IF(AT$1=$AK$1,IF($O41,-1,regle!$B$2-$M41),IF(AS41=-1,-1,AS41+1))))</f>
        <v>9</v>
      </c>
    </row>
    <row r="42" spans="1:46" x14ac:dyDescent="0.25">
      <c r="A42" t="b">
        <f>modif0!A237</f>
        <v>1</v>
      </c>
      <c r="B42">
        <f>ROW(modif0!B237)</f>
        <v>237</v>
      </c>
      <c r="C42" t="str">
        <f>modif0!D237</f>
        <v>171</v>
      </c>
      <c r="D42" t="str">
        <f>modif0!E237</f>
        <v>MANO</v>
      </c>
      <c r="E42">
        <f>modif0!F237</f>
        <v>16</v>
      </c>
      <c r="F42" t="str">
        <f>modif0!G237</f>
        <v>BAS DE TOURNICON</v>
      </c>
      <c r="G42" t="str">
        <f>modif0!I237</f>
        <v>0B</v>
      </c>
      <c r="H42">
        <f>modif0!J237</f>
        <v>241</v>
      </c>
      <c r="I42" t="str">
        <f>modif0!K237</f>
        <v/>
      </c>
      <c r="J42" s="11">
        <f>modif0!M237</f>
        <v>1.1120000000000001</v>
      </c>
      <c r="K42" s="11" t="str">
        <f>modif0!P237</f>
        <v>CR</v>
      </c>
      <c r="L42" t="str">
        <f>modif0!N237</f>
        <v>PM</v>
      </c>
      <c r="M42">
        <f>modif0!Q237</f>
        <v>2022</v>
      </c>
      <c r="N42" t="str">
        <f>modif0!R237</f>
        <v>CR-PM_2022</v>
      </c>
      <c r="O42" t="b">
        <f>modif0!S237</f>
        <v>1</v>
      </c>
      <c r="P42">
        <v>25</v>
      </c>
      <c r="Q42" t="s">
        <v>1868</v>
      </c>
      <c r="AA42" s="17">
        <f>IF($A42,$J42*(IF(Q42=regle!$B$11,regle!$B$23*IF(AJ42=-2,1+regle!$B$35,1),
IF(Q42=regle!$C$11,regle!$C$23,
IF(Q42=regle!$D$11,regle!$D$23,
IF(Q42=regle!$E$11,regle!$E$23,
IF(Q42=regle!$F$11,regle!$F$23,
IF(Q42=regle!$G$11,regle!$G$23,
IF(Q42=regle!$H$11,regle!$H$23,
IF(Q42=regle!$I$11,regle!$I$23,
IF(Q42=regle!$J$11,regle!$J$23,
IF(Q42=regle!$K$11,regle!$K$23,0))))))))))))</f>
        <v>-1890.4</v>
      </c>
      <c r="AB42" s="17">
        <f>IF($A42,$J42*(IF(R42=regle!$B$11,regle!$B$23*IF(AK42=-2,1+regle!$B$35,1),
IF(R42=regle!$C$11,regle!$C$23,
IF(R42=regle!$D$11,regle!$D$23,
IF(R42=regle!$E$11,regle!$E$23,
IF(R42=regle!$F$11,regle!$F$23,
IF(R42=regle!$G$11,regle!$G$23,
IF(R42=regle!$H$11,regle!$H$23,
IF(R42=regle!$I$11,regle!$I$23,
IF(R42=regle!$J$11,regle!$J$23,
IF(R42=regle!$K$11,regle!$K$23,0))))))))))))</f>
        <v>0</v>
      </c>
      <c r="AC42" s="17">
        <f>IF($A42,$J42*(IF(S42=regle!$B$11,regle!$B$23*IF(AL42=-2,1+regle!$B$35,1),
IF(S42=regle!$C$11,regle!$C$23,
IF(S42=regle!$D$11,regle!$D$23,
IF(S42=regle!$E$11,regle!$E$23,
IF(S42=regle!$F$11,regle!$F$23,
IF(S42=regle!$G$11,regle!$G$23,
IF(S42=regle!$H$11,regle!$H$23,
IF(S42=regle!$I$11,regle!$I$23,
IF(S42=regle!$J$11,regle!$J$23,
IF(S42=regle!$K$11,regle!$K$23,0))))))))))))</f>
        <v>0</v>
      </c>
      <c r="AD42" s="17">
        <f>IF($A42,$J42*(IF(T42=regle!$B$11,regle!$B$23*IF(AM42=-2,1+regle!$B$35,1),
IF(T42=regle!$C$11,regle!$C$23,
IF(T42=regle!$D$11,regle!$D$23,
IF(T42=regle!$E$11,regle!$E$23,
IF(T42=regle!$F$11,regle!$F$23,
IF(T42=regle!$G$11,regle!$G$23,
IF(T42=regle!$H$11,regle!$H$23,
IF(T42=regle!$I$11,regle!$I$23,
IF(T42=regle!$J$11,regle!$J$23,
IF(T42=regle!$K$11,regle!$K$23,0))))))))))))</f>
        <v>0</v>
      </c>
      <c r="AE42" s="17">
        <f>IF($A42,$J42*(IF(U42=regle!$B$11,regle!$B$23*IF(AN42=-2,1+regle!$B$35,1),
IF(U42=regle!$C$11,regle!$C$23,
IF(U42=regle!$D$11,regle!$D$23,
IF(U42=regle!$E$11,regle!$E$23,
IF(U42=regle!$F$11,regle!$F$23,
IF(U42=regle!$G$11,regle!$G$23,
IF(U42=regle!$H$11,regle!$H$23,
IF(U42=regle!$I$11,regle!$I$23,
IF(U42=regle!$J$11,regle!$J$23,
IF(U42=regle!$K$11,regle!$K$23,0))))))))))))</f>
        <v>0</v>
      </c>
      <c r="AF42" s="17">
        <f>IF($A42,$J42*(IF(V42=regle!$B$11,regle!$B$23*IF(AO42=-2,1+regle!$B$35,1),
IF(V42=regle!$C$11,regle!$C$23,
IF(V42=regle!$D$11,regle!$D$23,
IF(V42=regle!$E$11,regle!$E$23,
IF(V42=regle!$F$11,regle!$F$23,
IF(V42=regle!$G$11,regle!$G$23,
IF(V42=regle!$H$11,regle!$H$23,
IF(V42=regle!$I$11,regle!$I$23,
IF(V42=regle!$J$11,regle!$J$23,
IF(V42=regle!$K$11,regle!$K$23,0))))))))))))</f>
        <v>0</v>
      </c>
      <c r="AG42" s="17">
        <f>IF($A42,$J42*(IF(W42=regle!$B$11,regle!$B$23*IF(AP42=-2,1+regle!$B$35,1),
IF(W42=regle!$C$11,regle!$C$23,
IF(W42=regle!$D$11,regle!$D$23,
IF(W42=regle!$E$11,regle!$E$23,
IF(W42=regle!$F$11,regle!$F$23,
IF(W42=regle!$G$11,regle!$G$23,
IF(W42=regle!$H$11,regle!$H$23,
IF(W42=regle!$I$11,regle!$I$23,
IF(W42=regle!$J$11,regle!$J$23,
IF(W42=regle!$K$11,regle!$K$23,0))))))))))))</f>
        <v>0</v>
      </c>
      <c r="AH42" s="17">
        <f>IF($A42,$J42*(IF(X42=regle!$B$11,regle!$B$23*IF(AQ42=-2,1+regle!$B$35,1),
IF(X42=regle!$C$11,regle!$C$23,
IF(X42=regle!$D$11,regle!$D$23,
IF(X42=regle!$E$11,regle!$E$23,
IF(X42=regle!$F$11,regle!$F$23,
IF(X42=regle!$G$11,regle!$G$23,
IF(X42=regle!$H$11,regle!$H$23,
IF(X42=regle!$I$11,regle!$I$23,
IF(X42=regle!$J$11,regle!$J$23,
IF(X42=regle!$K$11,regle!$K$23,0))))))))))))</f>
        <v>0</v>
      </c>
      <c r="AI42" s="17">
        <f>IF($A42,$J42*(IF(Y42=regle!$B$11,regle!$B$23*IF(AR42=-2,1+regle!$B$35,1),
IF(Y42=regle!$C$11,regle!$C$23,
IF(Y42=regle!$D$11,regle!$D$23,
IF(Y42=regle!$E$11,regle!$E$23,
IF(Y42=regle!$F$11,regle!$F$23,
IF(Y42=regle!$G$11,regle!$G$23,
IF(Y42=regle!$H$11,regle!$H$23,
IF(Y42=regle!$I$11,regle!$I$23,
IF(Y42=regle!$J$11,regle!$J$23,
IF(Y42=regle!$K$11,regle!$K$23,0))))))))))))</f>
        <v>0</v>
      </c>
      <c r="AJ42" s="17">
        <f>IF($A42,$J42*(IF(Z42=regle!$B$11,regle!$B$23*IF(AS42=-2,1+regle!$B$35,1),
IF(Z42=regle!$C$11,regle!$C$23,
IF(Z42=regle!$D$11,regle!$D$23,
IF(Z42=regle!$E$11,regle!$E$23,
IF(Z42=regle!$F$11,regle!$F$23,
IF(Z42=regle!$G$11,regle!$G$23,
IF(Z42=regle!$H$11,regle!$H$23,
IF(Z42=regle!$I$11,regle!$I$23,
IF(Z42=regle!$J$11,regle!$J$23,
IF(Z42=regle!$K$11,regle!$K$23,0))))))))))))</f>
        <v>0</v>
      </c>
      <c r="AK42" s="16">
        <f>IF(OR(Q42=regle!$J$11,Q42=regle!$K$11),-2,IF(Q42=regle!$B$11,0,IF(AK$1=$AK$1,IF($O42,-1,regle!$B$2-$M42),IF(AJ42=-1,-1,AJ42+1))))</f>
        <v>0</v>
      </c>
      <c r="AL42" s="16">
        <f>IF(OR(R42=regle!$J$11,R42=regle!$K$11),-2,IF(R42=regle!$B$11,0,IF(AL$1=$AK$1,IF($O42,-1,regle!$B$2-$M42),IF(AK42=-1,-1,AK42+1))))</f>
        <v>1</v>
      </c>
      <c r="AM42" s="16">
        <f>IF(OR(S42=regle!$J$11,S42=regle!$K$11),-2,IF(S42=regle!$B$11,0,IF(AM$1=$AK$1,IF($O42,-1,regle!$B$2-$M42),IF(AL42=-1,-1,AL42+1))))</f>
        <v>2</v>
      </c>
      <c r="AN42" s="16">
        <f>IF(OR(T42=regle!$J$11,T42=regle!$K$11),-2,IF(T42=regle!$B$11,0,IF(AN$1=$AK$1,IF($O42,-1,regle!$B$2-$M42),IF(AM42=-1,-1,AM42+1))))</f>
        <v>3</v>
      </c>
      <c r="AO42" s="16">
        <f>IF(OR(U42=regle!$J$11,U42=regle!$K$11),-2,IF(U42=regle!$B$11,0,IF(AO$1=$AK$1,IF($O42,-1,regle!$B$2-$M42),IF(AN42=-1,-1,AN42+1))))</f>
        <v>4</v>
      </c>
      <c r="AP42" s="16">
        <f>IF(OR(V42=regle!$J$11,V42=regle!$K$11),-2,IF(V42=regle!$B$11,0,IF(AP$1=$AK$1,IF($O42,-1,regle!$B$2-$M42),IF(AO42=-1,-1,AO42+1))))</f>
        <v>5</v>
      </c>
      <c r="AQ42" s="16">
        <f>IF(OR(W42=regle!$J$11,W42=regle!$K$11),-2,IF(W42=regle!$B$11,0,IF(AQ$1=$AK$1,IF($O42,-1,regle!$B$2-$M42),IF(AP42=-1,-1,AP42+1))))</f>
        <v>6</v>
      </c>
      <c r="AR42" s="16">
        <f>IF(OR(X42=regle!$J$11,X42=regle!$K$11),-2,IF(X42=regle!$B$11,0,IF(AR$1=$AK$1,IF($O42,-1,regle!$B$2-$M42),IF(AQ42=-1,-1,AQ42+1))))</f>
        <v>7</v>
      </c>
      <c r="AS42" s="16">
        <f>IF(OR(Y42=regle!$J$11,Y42=regle!$K$11),-2,IF(Y42=regle!$B$11,0,IF(AS$1=$AK$1,IF($O42,-1,regle!$B$2-$M42),IF(AR42=-1,-1,AR42+1))))</f>
        <v>8</v>
      </c>
      <c r="AT42" s="16">
        <f>IF(OR(Z42=regle!$J$11,Z42=regle!$K$11),-2,IF(Z42=regle!$B$11,0,IF(AT$1=$AK$1,IF($O42,-1,regle!$B$2-$M42),IF(AS42=-1,-1,AS42+1))))</f>
        <v>9</v>
      </c>
    </row>
    <row r="43" spans="1:46" x14ac:dyDescent="0.25">
      <c r="A43" t="b">
        <f>modif0!A345</f>
        <v>1</v>
      </c>
      <c r="B43">
        <f>ROW(modif0!B345)</f>
        <v>345</v>
      </c>
      <c r="C43" t="str">
        <f>modif0!D345</f>
        <v>200</v>
      </c>
      <c r="D43" t="str">
        <f>modif0!E345</f>
        <v>MOUSTEY</v>
      </c>
      <c r="E43">
        <f>modif0!F345</f>
        <v>5</v>
      </c>
      <c r="F43" t="str">
        <f>modif0!G345</f>
        <v>Plata</v>
      </c>
      <c r="G43" t="str">
        <f>modif0!I345</f>
        <v>0M</v>
      </c>
      <c r="H43">
        <f>modif0!J345</f>
        <v>23</v>
      </c>
      <c r="I43" t="str">
        <f>modif0!K345</f>
        <v>a</v>
      </c>
      <c r="J43" s="11">
        <f>modif0!M345</f>
        <v>1.1000000000000001</v>
      </c>
      <c r="K43" s="11" t="str">
        <f>modif0!P345</f>
        <v>CR</v>
      </c>
      <c r="L43" t="str">
        <f>modif0!N345</f>
        <v>PM</v>
      </c>
      <c r="M43">
        <f>modif0!Q345</f>
        <v>2022</v>
      </c>
      <c r="N43" t="str">
        <f>modif0!R345</f>
        <v>CR-PM_2022</v>
      </c>
      <c r="O43" t="b">
        <f>modif0!S345</f>
        <v>1</v>
      </c>
      <c r="P43">
        <v>25</v>
      </c>
      <c r="Q43" t="s">
        <v>1868</v>
      </c>
      <c r="AA43" s="17">
        <f>IF($A43,$J43*(IF(Q43=regle!$B$11,regle!$B$23*IF(AJ43=-2,1+regle!$B$35,1),
IF(Q43=regle!$C$11,regle!$C$23,
IF(Q43=regle!$D$11,regle!$D$23,
IF(Q43=regle!$E$11,regle!$E$23,
IF(Q43=regle!$F$11,regle!$F$23,
IF(Q43=regle!$G$11,regle!$G$23,
IF(Q43=regle!$H$11,regle!$H$23,
IF(Q43=regle!$I$11,regle!$I$23,
IF(Q43=regle!$J$11,regle!$J$23,
IF(Q43=regle!$K$11,regle!$K$23,0))))))))))))</f>
        <v>-1870.0000000000002</v>
      </c>
      <c r="AB43" s="17">
        <f>IF($A43,$J43*(IF(R43=regle!$B$11,regle!$B$23*IF(AK43=-2,1+regle!$B$35,1),
IF(R43=regle!$C$11,regle!$C$23,
IF(R43=regle!$D$11,regle!$D$23,
IF(R43=regle!$E$11,regle!$E$23,
IF(R43=regle!$F$11,regle!$F$23,
IF(R43=regle!$G$11,regle!$G$23,
IF(R43=regle!$H$11,regle!$H$23,
IF(R43=regle!$I$11,regle!$I$23,
IF(R43=regle!$J$11,regle!$J$23,
IF(R43=regle!$K$11,regle!$K$23,0))))))))))))</f>
        <v>0</v>
      </c>
      <c r="AC43" s="17">
        <f>IF($A43,$J43*(IF(S43=regle!$B$11,regle!$B$23*IF(AL43=-2,1+regle!$B$35,1),
IF(S43=regle!$C$11,regle!$C$23,
IF(S43=regle!$D$11,regle!$D$23,
IF(S43=regle!$E$11,regle!$E$23,
IF(S43=regle!$F$11,regle!$F$23,
IF(S43=regle!$G$11,regle!$G$23,
IF(S43=regle!$H$11,regle!$H$23,
IF(S43=regle!$I$11,regle!$I$23,
IF(S43=regle!$J$11,regle!$J$23,
IF(S43=regle!$K$11,regle!$K$23,0))))))))))))</f>
        <v>0</v>
      </c>
      <c r="AD43" s="17">
        <f>IF($A43,$J43*(IF(T43=regle!$B$11,regle!$B$23*IF(AM43=-2,1+regle!$B$35,1),
IF(T43=regle!$C$11,regle!$C$23,
IF(T43=regle!$D$11,regle!$D$23,
IF(T43=regle!$E$11,regle!$E$23,
IF(T43=regle!$F$11,regle!$F$23,
IF(T43=regle!$G$11,regle!$G$23,
IF(T43=regle!$H$11,regle!$H$23,
IF(T43=regle!$I$11,regle!$I$23,
IF(T43=regle!$J$11,regle!$J$23,
IF(T43=regle!$K$11,regle!$K$23,0))))))))))))</f>
        <v>0</v>
      </c>
      <c r="AE43" s="17">
        <f>IF($A43,$J43*(IF(U43=regle!$B$11,regle!$B$23*IF(AN43=-2,1+regle!$B$35,1),
IF(U43=regle!$C$11,regle!$C$23,
IF(U43=regle!$D$11,regle!$D$23,
IF(U43=regle!$E$11,regle!$E$23,
IF(U43=regle!$F$11,regle!$F$23,
IF(U43=regle!$G$11,regle!$G$23,
IF(U43=regle!$H$11,regle!$H$23,
IF(U43=regle!$I$11,regle!$I$23,
IF(U43=regle!$J$11,regle!$J$23,
IF(U43=regle!$K$11,regle!$K$23,0))))))))))))</f>
        <v>0</v>
      </c>
      <c r="AF43" s="17">
        <f>IF($A43,$J43*(IF(V43=regle!$B$11,regle!$B$23*IF(AO43=-2,1+regle!$B$35,1),
IF(V43=regle!$C$11,regle!$C$23,
IF(V43=regle!$D$11,regle!$D$23,
IF(V43=regle!$E$11,regle!$E$23,
IF(V43=regle!$F$11,regle!$F$23,
IF(V43=regle!$G$11,regle!$G$23,
IF(V43=regle!$H$11,regle!$H$23,
IF(V43=regle!$I$11,regle!$I$23,
IF(V43=regle!$J$11,regle!$J$23,
IF(V43=regle!$K$11,regle!$K$23,0))))))))))))</f>
        <v>0</v>
      </c>
      <c r="AG43" s="17">
        <f>IF($A43,$J43*(IF(W43=regle!$B$11,regle!$B$23*IF(AP43=-2,1+regle!$B$35,1),
IF(W43=regle!$C$11,regle!$C$23,
IF(W43=regle!$D$11,regle!$D$23,
IF(W43=regle!$E$11,regle!$E$23,
IF(W43=regle!$F$11,regle!$F$23,
IF(W43=regle!$G$11,regle!$G$23,
IF(W43=regle!$H$11,regle!$H$23,
IF(W43=regle!$I$11,regle!$I$23,
IF(W43=regle!$J$11,regle!$J$23,
IF(W43=regle!$K$11,regle!$K$23,0))))))))))))</f>
        <v>0</v>
      </c>
      <c r="AH43" s="17">
        <f>IF($A43,$J43*(IF(X43=regle!$B$11,regle!$B$23*IF(AQ43=-2,1+regle!$B$35,1),
IF(X43=regle!$C$11,regle!$C$23,
IF(X43=regle!$D$11,regle!$D$23,
IF(X43=regle!$E$11,regle!$E$23,
IF(X43=regle!$F$11,regle!$F$23,
IF(X43=regle!$G$11,regle!$G$23,
IF(X43=regle!$H$11,regle!$H$23,
IF(X43=regle!$I$11,regle!$I$23,
IF(X43=regle!$J$11,regle!$J$23,
IF(X43=regle!$K$11,regle!$K$23,0))))))))))))</f>
        <v>0</v>
      </c>
      <c r="AI43" s="17">
        <f>IF($A43,$J43*(IF(Y43=regle!$B$11,regle!$B$23*IF(AR43=-2,1+regle!$B$35,1),
IF(Y43=regle!$C$11,regle!$C$23,
IF(Y43=regle!$D$11,regle!$D$23,
IF(Y43=regle!$E$11,regle!$E$23,
IF(Y43=regle!$F$11,regle!$F$23,
IF(Y43=regle!$G$11,regle!$G$23,
IF(Y43=regle!$H$11,regle!$H$23,
IF(Y43=regle!$I$11,regle!$I$23,
IF(Y43=regle!$J$11,regle!$J$23,
IF(Y43=regle!$K$11,regle!$K$23,0))))))))))))</f>
        <v>0</v>
      </c>
      <c r="AJ43" s="17">
        <f>IF($A43,$J43*(IF(Z43=regle!$B$11,regle!$B$23*IF(AS43=-2,1+regle!$B$35,1),
IF(Z43=regle!$C$11,regle!$C$23,
IF(Z43=regle!$D$11,regle!$D$23,
IF(Z43=regle!$E$11,regle!$E$23,
IF(Z43=regle!$F$11,regle!$F$23,
IF(Z43=regle!$G$11,regle!$G$23,
IF(Z43=regle!$H$11,regle!$H$23,
IF(Z43=regle!$I$11,regle!$I$23,
IF(Z43=regle!$J$11,regle!$J$23,
IF(Z43=regle!$K$11,regle!$K$23,0))))))))))))</f>
        <v>0</v>
      </c>
      <c r="AK43" s="16">
        <f>IF(OR(Q43=regle!$J$11,Q43=regle!$K$11),-2,IF(Q43=regle!$B$11,0,IF(AK$1=$AK$1,IF($O43,-1,regle!$B$2-$M43),IF(AJ43=-1,-1,AJ43+1))))</f>
        <v>0</v>
      </c>
      <c r="AL43" s="16">
        <f>IF(OR(R43=regle!$J$11,R43=regle!$K$11),-2,IF(R43=regle!$B$11,0,IF(AL$1=$AK$1,IF($O43,-1,regle!$B$2-$M43),IF(AK43=-1,-1,AK43+1))))</f>
        <v>1</v>
      </c>
      <c r="AM43" s="16">
        <f>IF(OR(S43=regle!$J$11,S43=regle!$K$11),-2,IF(S43=regle!$B$11,0,IF(AM$1=$AK$1,IF($O43,-1,regle!$B$2-$M43),IF(AL43=-1,-1,AL43+1))))</f>
        <v>2</v>
      </c>
      <c r="AN43" s="16">
        <f>IF(OR(T43=regle!$J$11,T43=regle!$K$11),-2,IF(T43=regle!$B$11,0,IF(AN$1=$AK$1,IF($O43,-1,regle!$B$2-$M43),IF(AM43=-1,-1,AM43+1))))</f>
        <v>3</v>
      </c>
      <c r="AO43" s="16">
        <f>IF(OR(U43=regle!$J$11,U43=regle!$K$11),-2,IF(U43=regle!$B$11,0,IF(AO$1=$AK$1,IF($O43,-1,regle!$B$2-$M43),IF(AN43=-1,-1,AN43+1))))</f>
        <v>4</v>
      </c>
      <c r="AP43" s="16">
        <f>IF(OR(V43=regle!$J$11,V43=regle!$K$11),-2,IF(V43=regle!$B$11,0,IF(AP$1=$AK$1,IF($O43,-1,regle!$B$2-$M43),IF(AO43=-1,-1,AO43+1))))</f>
        <v>5</v>
      </c>
      <c r="AQ43" s="16">
        <f>IF(OR(W43=regle!$J$11,W43=regle!$K$11),-2,IF(W43=regle!$B$11,0,IF(AQ$1=$AK$1,IF($O43,-1,regle!$B$2-$M43),IF(AP43=-1,-1,AP43+1))))</f>
        <v>6</v>
      </c>
      <c r="AR43" s="16">
        <f>IF(OR(X43=regle!$J$11,X43=regle!$K$11),-2,IF(X43=regle!$B$11,0,IF(AR$1=$AK$1,IF($O43,-1,regle!$B$2-$M43),IF(AQ43=-1,-1,AQ43+1))))</f>
        <v>7</v>
      </c>
      <c r="AS43" s="16">
        <f>IF(OR(Y43=regle!$J$11,Y43=regle!$K$11),-2,IF(Y43=regle!$B$11,0,IF(AS$1=$AK$1,IF($O43,-1,regle!$B$2-$M43),IF(AR43=-1,-1,AR43+1))))</f>
        <v>8</v>
      </c>
      <c r="AT43" s="16">
        <f>IF(OR(Z43=regle!$J$11,Z43=regle!$K$11),-2,IF(Z43=regle!$B$11,0,IF(AT$1=$AK$1,IF($O43,-1,regle!$B$2-$M43),IF(AS43=-1,-1,AS43+1))))</f>
        <v>9</v>
      </c>
    </row>
    <row r="44" spans="1:46" x14ac:dyDescent="0.25">
      <c r="A44" t="b">
        <f>modif0!A278</f>
        <v>1</v>
      </c>
      <c r="B44">
        <f>ROW(modif0!B278)</f>
        <v>278</v>
      </c>
      <c r="C44" t="str">
        <f>modif0!D278</f>
        <v>171</v>
      </c>
      <c r="D44" t="str">
        <f>modif0!E278</f>
        <v>MANO</v>
      </c>
      <c r="E44">
        <f>modif0!F278</f>
        <v>17</v>
      </c>
      <c r="F44" t="str">
        <f>modif0!G278</f>
        <v>LANDE DE TABARTON</v>
      </c>
      <c r="G44" t="str">
        <f>modif0!I278</f>
        <v>0B</v>
      </c>
      <c r="H44">
        <f>modif0!J278</f>
        <v>310</v>
      </c>
      <c r="I44" t="str">
        <f>modif0!K278</f>
        <v/>
      </c>
      <c r="J44" s="11">
        <f>modif0!M278</f>
        <v>1.087</v>
      </c>
      <c r="K44" s="11" t="str">
        <f>modif0!P278</f>
        <v>CR</v>
      </c>
      <c r="L44" t="str">
        <f>modif0!N278</f>
        <v>PM</v>
      </c>
      <c r="M44">
        <f>modif0!Q278</f>
        <v>2022</v>
      </c>
      <c r="N44" t="str">
        <f>modif0!R278</f>
        <v>CR-PM_2022</v>
      </c>
      <c r="O44" t="b">
        <f>modif0!S278</f>
        <v>1</v>
      </c>
      <c r="P44">
        <v>25</v>
      </c>
      <c r="Q44" t="s">
        <v>1868</v>
      </c>
      <c r="AA44" s="17">
        <f>IF($A44,$J44*(IF(Q44=regle!$B$11,regle!$B$23*IF(AJ44=-2,1+regle!$B$35,1),
IF(Q44=regle!$C$11,regle!$C$23,
IF(Q44=regle!$D$11,regle!$D$23,
IF(Q44=regle!$E$11,regle!$E$23,
IF(Q44=regle!$F$11,regle!$F$23,
IF(Q44=regle!$G$11,regle!$G$23,
IF(Q44=regle!$H$11,regle!$H$23,
IF(Q44=regle!$I$11,regle!$I$23,
IF(Q44=regle!$J$11,regle!$J$23,
IF(Q44=regle!$K$11,regle!$K$23,0))))))))))))</f>
        <v>-1847.8999999999999</v>
      </c>
      <c r="AB44" s="17">
        <f>IF($A44,$J44*(IF(R44=regle!$B$11,regle!$B$23*IF(AK44=-2,1+regle!$B$35,1),
IF(R44=regle!$C$11,regle!$C$23,
IF(R44=regle!$D$11,regle!$D$23,
IF(R44=regle!$E$11,regle!$E$23,
IF(R44=regle!$F$11,regle!$F$23,
IF(R44=regle!$G$11,regle!$G$23,
IF(R44=regle!$H$11,regle!$H$23,
IF(R44=regle!$I$11,regle!$I$23,
IF(R44=regle!$J$11,regle!$J$23,
IF(R44=regle!$K$11,regle!$K$23,0))))))))))))</f>
        <v>0</v>
      </c>
      <c r="AC44" s="17">
        <f>IF($A44,$J44*(IF(S44=regle!$B$11,regle!$B$23*IF(AL44=-2,1+regle!$B$35,1),
IF(S44=regle!$C$11,regle!$C$23,
IF(S44=regle!$D$11,regle!$D$23,
IF(S44=regle!$E$11,regle!$E$23,
IF(S44=regle!$F$11,regle!$F$23,
IF(S44=regle!$G$11,regle!$G$23,
IF(S44=regle!$H$11,regle!$H$23,
IF(S44=regle!$I$11,regle!$I$23,
IF(S44=regle!$J$11,regle!$J$23,
IF(S44=regle!$K$11,regle!$K$23,0))))))))))))</f>
        <v>0</v>
      </c>
      <c r="AD44" s="17">
        <f>IF($A44,$J44*(IF(T44=regle!$B$11,regle!$B$23*IF(AM44=-2,1+regle!$B$35,1),
IF(T44=regle!$C$11,regle!$C$23,
IF(T44=regle!$D$11,regle!$D$23,
IF(T44=regle!$E$11,regle!$E$23,
IF(T44=regle!$F$11,regle!$F$23,
IF(T44=regle!$G$11,regle!$G$23,
IF(T44=regle!$H$11,regle!$H$23,
IF(T44=regle!$I$11,regle!$I$23,
IF(T44=regle!$J$11,regle!$J$23,
IF(T44=regle!$K$11,regle!$K$23,0))))))))))))</f>
        <v>0</v>
      </c>
      <c r="AE44" s="17">
        <f>IF($A44,$J44*(IF(U44=regle!$B$11,regle!$B$23*IF(AN44=-2,1+regle!$B$35,1),
IF(U44=regle!$C$11,regle!$C$23,
IF(U44=regle!$D$11,regle!$D$23,
IF(U44=regle!$E$11,regle!$E$23,
IF(U44=regle!$F$11,regle!$F$23,
IF(U44=regle!$G$11,regle!$G$23,
IF(U44=regle!$H$11,regle!$H$23,
IF(U44=regle!$I$11,regle!$I$23,
IF(U44=regle!$J$11,regle!$J$23,
IF(U44=regle!$K$11,regle!$K$23,0))))))))))))</f>
        <v>0</v>
      </c>
      <c r="AF44" s="17">
        <f>IF($A44,$J44*(IF(V44=regle!$B$11,regle!$B$23*IF(AO44=-2,1+regle!$B$35,1),
IF(V44=regle!$C$11,regle!$C$23,
IF(V44=regle!$D$11,regle!$D$23,
IF(V44=regle!$E$11,regle!$E$23,
IF(V44=regle!$F$11,regle!$F$23,
IF(V44=regle!$G$11,regle!$G$23,
IF(V44=regle!$H$11,regle!$H$23,
IF(V44=regle!$I$11,regle!$I$23,
IF(V44=regle!$J$11,regle!$J$23,
IF(V44=regle!$K$11,regle!$K$23,0))))))))))))</f>
        <v>0</v>
      </c>
      <c r="AG44" s="17">
        <f>IF($A44,$J44*(IF(W44=regle!$B$11,regle!$B$23*IF(AP44=-2,1+regle!$B$35,1),
IF(W44=regle!$C$11,regle!$C$23,
IF(W44=regle!$D$11,regle!$D$23,
IF(W44=regle!$E$11,regle!$E$23,
IF(W44=regle!$F$11,regle!$F$23,
IF(W44=regle!$G$11,regle!$G$23,
IF(W44=regle!$H$11,regle!$H$23,
IF(W44=regle!$I$11,regle!$I$23,
IF(W44=regle!$J$11,regle!$J$23,
IF(W44=regle!$K$11,regle!$K$23,0))))))))))))</f>
        <v>0</v>
      </c>
      <c r="AH44" s="17">
        <f>IF($A44,$J44*(IF(X44=regle!$B$11,regle!$B$23*IF(AQ44=-2,1+regle!$B$35,1),
IF(X44=regle!$C$11,regle!$C$23,
IF(X44=regle!$D$11,regle!$D$23,
IF(X44=regle!$E$11,regle!$E$23,
IF(X44=regle!$F$11,regle!$F$23,
IF(X44=regle!$G$11,regle!$G$23,
IF(X44=regle!$H$11,regle!$H$23,
IF(X44=regle!$I$11,regle!$I$23,
IF(X44=regle!$J$11,regle!$J$23,
IF(X44=regle!$K$11,regle!$K$23,0))))))))))))</f>
        <v>0</v>
      </c>
      <c r="AI44" s="17">
        <f>IF($A44,$J44*(IF(Y44=regle!$B$11,regle!$B$23*IF(AR44=-2,1+regle!$B$35,1),
IF(Y44=regle!$C$11,regle!$C$23,
IF(Y44=regle!$D$11,regle!$D$23,
IF(Y44=regle!$E$11,regle!$E$23,
IF(Y44=regle!$F$11,regle!$F$23,
IF(Y44=regle!$G$11,regle!$G$23,
IF(Y44=regle!$H$11,regle!$H$23,
IF(Y44=regle!$I$11,regle!$I$23,
IF(Y44=regle!$J$11,regle!$J$23,
IF(Y44=regle!$K$11,regle!$K$23,0))))))))))))</f>
        <v>0</v>
      </c>
      <c r="AJ44" s="17">
        <f>IF($A44,$J44*(IF(Z44=regle!$B$11,regle!$B$23*IF(AS44=-2,1+regle!$B$35,1),
IF(Z44=regle!$C$11,regle!$C$23,
IF(Z44=regle!$D$11,regle!$D$23,
IF(Z44=regle!$E$11,regle!$E$23,
IF(Z44=regle!$F$11,regle!$F$23,
IF(Z44=regle!$G$11,regle!$G$23,
IF(Z44=regle!$H$11,regle!$H$23,
IF(Z44=regle!$I$11,regle!$I$23,
IF(Z44=regle!$J$11,regle!$J$23,
IF(Z44=regle!$K$11,regle!$K$23,0))))))))))))</f>
        <v>0</v>
      </c>
      <c r="AK44" s="16">
        <f>IF(OR(Q44=regle!$J$11,Q44=regle!$K$11),-2,IF(Q44=regle!$B$11,0,IF(AK$1=$AK$1,IF($O44,-1,regle!$B$2-$M44),IF(AJ44=-1,-1,AJ44+1))))</f>
        <v>0</v>
      </c>
      <c r="AL44" s="16">
        <f>IF(OR(R44=regle!$J$11,R44=regle!$K$11),-2,IF(R44=regle!$B$11,0,IF(AL$1=$AK$1,IF($O44,-1,regle!$B$2-$M44),IF(AK44=-1,-1,AK44+1))))</f>
        <v>1</v>
      </c>
      <c r="AM44" s="16">
        <f>IF(OR(S44=regle!$J$11,S44=regle!$K$11),-2,IF(S44=regle!$B$11,0,IF(AM$1=$AK$1,IF($O44,-1,regle!$B$2-$M44),IF(AL44=-1,-1,AL44+1))))</f>
        <v>2</v>
      </c>
      <c r="AN44" s="16">
        <f>IF(OR(T44=regle!$J$11,T44=regle!$K$11),-2,IF(T44=regle!$B$11,0,IF(AN$1=$AK$1,IF($O44,-1,regle!$B$2-$M44),IF(AM44=-1,-1,AM44+1))))</f>
        <v>3</v>
      </c>
      <c r="AO44" s="16">
        <f>IF(OR(U44=regle!$J$11,U44=regle!$K$11),-2,IF(U44=regle!$B$11,0,IF(AO$1=$AK$1,IF($O44,-1,regle!$B$2-$M44),IF(AN44=-1,-1,AN44+1))))</f>
        <v>4</v>
      </c>
      <c r="AP44" s="16">
        <f>IF(OR(V44=regle!$J$11,V44=regle!$K$11),-2,IF(V44=regle!$B$11,0,IF(AP$1=$AK$1,IF($O44,-1,regle!$B$2-$M44),IF(AO44=-1,-1,AO44+1))))</f>
        <v>5</v>
      </c>
      <c r="AQ44" s="16">
        <f>IF(OR(W44=regle!$J$11,W44=regle!$K$11),-2,IF(W44=regle!$B$11,0,IF(AQ$1=$AK$1,IF($O44,-1,regle!$B$2-$M44),IF(AP44=-1,-1,AP44+1))))</f>
        <v>6</v>
      </c>
      <c r="AR44" s="16">
        <f>IF(OR(X44=regle!$J$11,X44=regle!$K$11),-2,IF(X44=regle!$B$11,0,IF(AR$1=$AK$1,IF($O44,-1,regle!$B$2-$M44),IF(AQ44=-1,-1,AQ44+1))))</f>
        <v>7</v>
      </c>
      <c r="AS44" s="16">
        <f>IF(OR(Y44=regle!$J$11,Y44=regle!$K$11),-2,IF(Y44=regle!$B$11,0,IF(AS$1=$AK$1,IF($O44,-1,regle!$B$2-$M44),IF(AR44=-1,-1,AR44+1))))</f>
        <v>8</v>
      </c>
      <c r="AT44" s="16">
        <f>IF(OR(Z44=regle!$J$11,Z44=regle!$K$11),-2,IF(Z44=regle!$B$11,0,IF(AT$1=$AK$1,IF($O44,-1,regle!$B$2-$M44),IF(AS44=-1,-1,AS44+1))))</f>
        <v>9</v>
      </c>
    </row>
    <row r="45" spans="1:46" x14ac:dyDescent="0.25">
      <c r="A45" t="b">
        <f>modif0!A236</f>
        <v>1</v>
      </c>
      <c r="B45">
        <f>ROW(modif0!B236)</f>
        <v>236</v>
      </c>
      <c r="C45" t="str">
        <f>modif0!D236</f>
        <v>171</v>
      </c>
      <c r="D45" t="str">
        <f>modif0!E236</f>
        <v>MANO</v>
      </c>
      <c r="E45">
        <f>modif0!F236</f>
        <v>16</v>
      </c>
      <c r="F45" t="str">
        <f>modif0!G236</f>
        <v>BAS DE TOURNICON</v>
      </c>
      <c r="G45" t="str">
        <f>modif0!I236</f>
        <v>0B</v>
      </c>
      <c r="H45">
        <f>modif0!J236</f>
        <v>240</v>
      </c>
      <c r="I45" t="str">
        <f>modif0!K236</f>
        <v/>
      </c>
      <c r="J45" s="11">
        <f>modif0!M236</f>
        <v>1.0591999999999999</v>
      </c>
      <c r="K45" s="11" t="str">
        <f>modif0!P236</f>
        <v>CR</v>
      </c>
      <c r="L45" t="str">
        <f>modif0!N236</f>
        <v>PM</v>
      </c>
      <c r="M45">
        <f>modif0!Q236</f>
        <v>2022</v>
      </c>
      <c r="N45" t="str">
        <f>modif0!R236</f>
        <v>CR-PM_2022</v>
      </c>
      <c r="O45" t="b">
        <f>modif0!S236</f>
        <v>1</v>
      </c>
      <c r="P45">
        <v>25</v>
      </c>
      <c r="Q45" t="s">
        <v>1868</v>
      </c>
      <c r="AA45" s="17">
        <f>IF($A45,$J45*(IF(Q45=regle!$B$11,regle!$B$23*IF(AJ45=-2,1+regle!$B$35,1),
IF(Q45=regle!$C$11,regle!$C$23,
IF(Q45=regle!$D$11,regle!$D$23,
IF(Q45=regle!$E$11,regle!$E$23,
IF(Q45=regle!$F$11,regle!$F$23,
IF(Q45=regle!$G$11,regle!$G$23,
IF(Q45=regle!$H$11,regle!$H$23,
IF(Q45=regle!$I$11,regle!$I$23,
IF(Q45=regle!$J$11,regle!$J$23,
IF(Q45=regle!$K$11,regle!$K$23,0))))))))))))</f>
        <v>-1800.6399999999999</v>
      </c>
      <c r="AB45" s="17">
        <f>IF($A45,$J45*(IF(R45=regle!$B$11,regle!$B$23*IF(AK45=-2,1+regle!$B$35,1),
IF(R45=regle!$C$11,regle!$C$23,
IF(R45=regle!$D$11,regle!$D$23,
IF(R45=regle!$E$11,regle!$E$23,
IF(R45=regle!$F$11,regle!$F$23,
IF(R45=regle!$G$11,regle!$G$23,
IF(R45=regle!$H$11,regle!$H$23,
IF(R45=regle!$I$11,regle!$I$23,
IF(R45=regle!$J$11,regle!$J$23,
IF(R45=regle!$K$11,regle!$K$23,0))))))))))))</f>
        <v>0</v>
      </c>
      <c r="AC45" s="17">
        <f>IF($A45,$J45*(IF(S45=regle!$B$11,regle!$B$23*IF(AL45=-2,1+regle!$B$35,1),
IF(S45=regle!$C$11,regle!$C$23,
IF(S45=regle!$D$11,regle!$D$23,
IF(S45=regle!$E$11,regle!$E$23,
IF(S45=regle!$F$11,regle!$F$23,
IF(S45=regle!$G$11,regle!$G$23,
IF(S45=regle!$H$11,regle!$H$23,
IF(S45=regle!$I$11,regle!$I$23,
IF(S45=regle!$J$11,regle!$J$23,
IF(S45=regle!$K$11,regle!$K$23,0))))))))))))</f>
        <v>0</v>
      </c>
      <c r="AD45" s="17">
        <f>IF($A45,$J45*(IF(T45=regle!$B$11,regle!$B$23*IF(AM45=-2,1+regle!$B$35,1),
IF(T45=regle!$C$11,regle!$C$23,
IF(T45=regle!$D$11,regle!$D$23,
IF(T45=regle!$E$11,regle!$E$23,
IF(T45=regle!$F$11,regle!$F$23,
IF(T45=regle!$G$11,regle!$G$23,
IF(T45=regle!$H$11,regle!$H$23,
IF(T45=regle!$I$11,regle!$I$23,
IF(T45=regle!$J$11,regle!$J$23,
IF(T45=regle!$K$11,regle!$K$23,0))))))))))))</f>
        <v>0</v>
      </c>
      <c r="AE45" s="17">
        <f>IF($A45,$J45*(IF(U45=regle!$B$11,regle!$B$23*IF(AN45=-2,1+regle!$B$35,1),
IF(U45=regle!$C$11,regle!$C$23,
IF(U45=regle!$D$11,regle!$D$23,
IF(U45=regle!$E$11,regle!$E$23,
IF(U45=regle!$F$11,regle!$F$23,
IF(U45=regle!$G$11,regle!$G$23,
IF(U45=regle!$H$11,regle!$H$23,
IF(U45=regle!$I$11,regle!$I$23,
IF(U45=regle!$J$11,regle!$J$23,
IF(U45=regle!$K$11,regle!$K$23,0))))))))))))</f>
        <v>0</v>
      </c>
      <c r="AF45" s="17">
        <f>IF($A45,$J45*(IF(V45=regle!$B$11,regle!$B$23*IF(AO45=-2,1+regle!$B$35,1),
IF(V45=regle!$C$11,regle!$C$23,
IF(V45=regle!$D$11,regle!$D$23,
IF(V45=regle!$E$11,regle!$E$23,
IF(V45=regle!$F$11,regle!$F$23,
IF(V45=regle!$G$11,regle!$G$23,
IF(V45=regle!$H$11,regle!$H$23,
IF(V45=regle!$I$11,regle!$I$23,
IF(V45=regle!$J$11,regle!$J$23,
IF(V45=regle!$K$11,regle!$K$23,0))))))))))))</f>
        <v>0</v>
      </c>
      <c r="AG45" s="17">
        <f>IF($A45,$J45*(IF(W45=regle!$B$11,regle!$B$23*IF(AP45=-2,1+regle!$B$35,1),
IF(W45=regle!$C$11,regle!$C$23,
IF(W45=regle!$D$11,regle!$D$23,
IF(W45=regle!$E$11,regle!$E$23,
IF(W45=regle!$F$11,regle!$F$23,
IF(W45=regle!$G$11,regle!$G$23,
IF(W45=regle!$H$11,regle!$H$23,
IF(W45=regle!$I$11,regle!$I$23,
IF(W45=regle!$J$11,regle!$J$23,
IF(W45=regle!$K$11,regle!$K$23,0))))))))))))</f>
        <v>0</v>
      </c>
      <c r="AH45" s="17">
        <f>IF($A45,$J45*(IF(X45=regle!$B$11,regle!$B$23*IF(AQ45=-2,1+regle!$B$35,1),
IF(X45=regle!$C$11,regle!$C$23,
IF(X45=regle!$D$11,regle!$D$23,
IF(X45=regle!$E$11,regle!$E$23,
IF(X45=regle!$F$11,regle!$F$23,
IF(X45=regle!$G$11,regle!$G$23,
IF(X45=regle!$H$11,regle!$H$23,
IF(X45=regle!$I$11,regle!$I$23,
IF(X45=regle!$J$11,regle!$J$23,
IF(X45=regle!$K$11,regle!$K$23,0))))))))))))</f>
        <v>0</v>
      </c>
      <c r="AI45" s="17">
        <f>IF($A45,$J45*(IF(Y45=regle!$B$11,regle!$B$23*IF(AR45=-2,1+regle!$B$35,1),
IF(Y45=regle!$C$11,regle!$C$23,
IF(Y45=regle!$D$11,regle!$D$23,
IF(Y45=regle!$E$11,regle!$E$23,
IF(Y45=regle!$F$11,regle!$F$23,
IF(Y45=regle!$G$11,regle!$G$23,
IF(Y45=regle!$H$11,regle!$H$23,
IF(Y45=regle!$I$11,regle!$I$23,
IF(Y45=regle!$J$11,regle!$J$23,
IF(Y45=regle!$K$11,regle!$K$23,0))))))))))))</f>
        <v>0</v>
      </c>
      <c r="AJ45" s="17">
        <f>IF($A45,$J45*(IF(Z45=regle!$B$11,regle!$B$23*IF(AS45=-2,1+regle!$B$35,1),
IF(Z45=regle!$C$11,regle!$C$23,
IF(Z45=regle!$D$11,regle!$D$23,
IF(Z45=regle!$E$11,regle!$E$23,
IF(Z45=regle!$F$11,regle!$F$23,
IF(Z45=regle!$G$11,regle!$G$23,
IF(Z45=regle!$H$11,regle!$H$23,
IF(Z45=regle!$I$11,regle!$I$23,
IF(Z45=regle!$J$11,regle!$J$23,
IF(Z45=regle!$K$11,regle!$K$23,0))))))))))))</f>
        <v>0</v>
      </c>
      <c r="AK45" s="16">
        <f>IF(OR(Q45=regle!$J$11,Q45=regle!$K$11),-2,IF(Q45=regle!$B$11,0,IF(AK$1=$AK$1,IF($O45,-1,regle!$B$2-$M45),IF(AJ45=-1,-1,AJ45+1))))</f>
        <v>0</v>
      </c>
      <c r="AL45" s="16">
        <f>IF(OR(R45=regle!$J$11,R45=regle!$K$11),-2,IF(R45=regle!$B$11,0,IF(AL$1=$AK$1,IF($O45,-1,regle!$B$2-$M45),IF(AK45=-1,-1,AK45+1))))</f>
        <v>1</v>
      </c>
      <c r="AM45" s="16">
        <f>IF(OR(S45=regle!$J$11,S45=regle!$K$11),-2,IF(S45=regle!$B$11,0,IF(AM$1=$AK$1,IF($O45,-1,regle!$B$2-$M45),IF(AL45=-1,-1,AL45+1))))</f>
        <v>2</v>
      </c>
      <c r="AN45" s="16">
        <f>IF(OR(T45=regle!$J$11,T45=regle!$K$11),-2,IF(T45=regle!$B$11,0,IF(AN$1=$AK$1,IF($O45,-1,regle!$B$2-$M45),IF(AM45=-1,-1,AM45+1))))</f>
        <v>3</v>
      </c>
      <c r="AO45" s="16">
        <f>IF(OR(U45=regle!$J$11,U45=regle!$K$11),-2,IF(U45=regle!$B$11,0,IF(AO$1=$AK$1,IF($O45,-1,regle!$B$2-$M45),IF(AN45=-1,-1,AN45+1))))</f>
        <v>4</v>
      </c>
      <c r="AP45" s="16">
        <f>IF(OR(V45=regle!$J$11,V45=regle!$K$11),-2,IF(V45=regle!$B$11,0,IF(AP$1=$AK$1,IF($O45,-1,regle!$B$2-$M45),IF(AO45=-1,-1,AO45+1))))</f>
        <v>5</v>
      </c>
      <c r="AQ45" s="16">
        <f>IF(OR(W45=regle!$J$11,W45=regle!$K$11),-2,IF(W45=regle!$B$11,0,IF(AQ$1=$AK$1,IF($O45,-1,regle!$B$2-$M45),IF(AP45=-1,-1,AP45+1))))</f>
        <v>6</v>
      </c>
      <c r="AR45" s="16">
        <f>IF(OR(X45=regle!$J$11,X45=regle!$K$11),-2,IF(X45=regle!$B$11,0,IF(AR$1=$AK$1,IF($O45,-1,regle!$B$2-$M45),IF(AQ45=-1,-1,AQ45+1))))</f>
        <v>7</v>
      </c>
      <c r="AS45" s="16">
        <f>IF(OR(Y45=regle!$J$11,Y45=regle!$K$11),-2,IF(Y45=regle!$B$11,0,IF(AS$1=$AK$1,IF($O45,-1,regle!$B$2-$M45),IF(AR45=-1,-1,AR45+1))))</f>
        <v>8</v>
      </c>
      <c r="AT45" s="16">
        <f>IF(OR(Z45=regle!$J$11,Z45=regle!$K$11),-2,IF(Z45=regle!$B$11,0,IF(AT$1=$AK$1,IF($O45,-1,regle!$B$2-$M45),IF(AS45=-1,-1,AS45+1))))</f>
        <v>9</v>
      </c>
    </row>
    <row r="46" spans="1:46" x14ac:dyDescent="0.25">
      <c r="A46" t="b">
        <f>modif0!A238</f>
        <v>1</v>
      </c>
      <c r="B46">
        <f>ROW(modif0!B238)</f>
        <v>238</v>
      </c>
      <c r="C46" t="str">
        <f>modif0!D238</f>
        <v>171</v>
      </c>
      <c r="D46" t="str">
        <f>modif0!E238</f>
        <v>MANO</v>
      </c>
      <c r="E46">
        <f>modif0!F238</f>
        <v>16</v>
      </c>
      <c r="F46" t="str">
        <f>modif0!G238</f>
        <v>BAS DE TOURNICON</v>
      </c>
      <c r="G46" t="str">
        <f>modif0!I238</f>
        <v>0B</v>
      </c>
      <c r="H46">
        <f>modif0!J238</f>
        <v>242</v>
      </c>
      <c r="I46" t="str">
        <f>modif0!K238</f>
        <v/>
      </c>
      <c r="J46" s="11">
        <f>modif0!M238</f>
        <v>1.0582</v>
      </c>
      <c r="K46" s="11" t="str">
        <f>modif0!P238</f>
        <v>CR</v>
      </c>
      <c r="L46" t="str">
        <f>modif0!N238</f>
        <v>PM</v>
      </c>
      <c r="M46">
        <f>modif0!Q238</f>
        <v>2022</v>
      </c>
      <c r="N46" t="str">
        <f>modif0!R238</f>
        <v>CR-PM_2022</v>
      </c>
      <c r="O46" t="b">
        <f>modif0!S238</f>
        <v>1</v>
      </c>
      <c r="P46">
        <v>25</v>
      </c>
      <c r="Q46" t="s">
        <v>1868</v>
      </c>
      <c r="AA46" s="17">
        <f>IF($A46,$J46*(IF(Q46=regle!$B$11,regle!$B$23*IF(AJ46=-2,1+regle!$B$35,1),
IF(Q46=regle!$C$11,regle!$C$23,
IF(Q46=regle!$D$11,regle!$D$23,
IF(Q46=regle!$E$11,regle!$E$23,
IF(Q46=regle!$F$11,regle!$F$23,
IF(Q46=regle!$G$11,regle!$G$23,
IF(Q46=regle!$H$11,regle!$H$23,
IF(Q46=regle!$I$11,regle!$I$23,
IF(Q46=regle!$J$11,regle!$J$23,
IF(Q46=regle!$K$11,regle!$K$23,0))))))))))))</f>
        <v>-1798.94</v>
      </c>
      <c r="AB46" s="17">
        <f>IF($A46,$J46*(IF(R46=regle!$B$11,regle!$B$23*IF(AK46=-2,1+regle!$B$35,1),
IF(R46=regle!$C$11,regle!$C$23,
IF(R46=regle!$D$11,regle!$D$23,
IF(R46=regle!$E$11,regle!$E$23,
IF(R46=regle!$F$11,regle!$F$23,
IF(R46=regle!$G$11,regle!$G$23,
IF(R46=regle!$H$11,regle!$H$23,
IF(R46=regle!$I$11,regle!$I$23,
IF(R46=regle!$J$11,regle!$J$23,
IF(R46=regle!$K$11,regle!$K$23,0))))))))))))</f>
        <v>0</v>
      </c>
      <c r="AC46" s="17">
        <f>IF($A46,$J46*(IF(S46=regle!$B$11,regle!$B$23*IF(AL46=-2,1+regle!$B$35,1),
IF(S46=regle!$C$11,regle!$C$23,
IF(S46=regle!$D$11,regle!$D$23,
IF(S46=regle!$E$11,regle!$E$23,
IF(S46=regle!$F$11,regle!$F$23,
IF(S46=regle!$G$11,regle!$G$23,
IF(S46=regle!$H$11,regle!$H$23,
IF(S46=regle!$I$11,regle!$I$23,
IF(S46=regle!$J$11,regle!$J$23,
IF(S46=regle!$K$11,regle!$K$23,0))))))))))))</f>
        <v>0</v>
      </c>
      <c r="AD46" s="17">
        <f>IF($A46,$J46*(IF(T46=regle!$B$11,regle!$B$23*IF(AM46=-2,1+regle!$B$35,1),
IF(T46=regle!$C$11,regle!$C$23,
IF(T46=regle!$D$11,regle!$D$23,
IF(T46=regle!$E$11,regle!$E$23,
IF(T46=regle!$F$11,regle!$F$23,
IF(T46=regle!$G$11,regle!$G$23,
IF(T46=regle!$H$11,regle!$H$23,
IF(T46=regle!$I$11,regle!$I$23,
IF(T46=regle!$J$11,regle!$J$23,
IF(T46=regle!$K$11,regle!$K$23,0))))))))))))</f>
        <v>0</v>
      </c>
      <c r="AE46" s="17">
        <f>IF($A46,$J46*(IF(U46=regle!$B$11,regle!$B$23*IF(AN46=-2,1+regle!$B$35,1),
IF(U46=regle!$C$11,regle!$C$23,
IF(U46=regle!$D$11,regle!$D$23,
IF(U46=regle!$E$11,regle!$E$23,
IF(U46=regle!$F$11,regle!$F$23,
IF(U46=regle!$G$11,regle!$G$23,
IF(U46=regle!$H$11,regle!$H$23,
IF(U46=regle!$I$11,regle!$I$23,
IF(U46=regle!$J$11,regle!$J$23,
IF(U46=regle!$K$11,regle!$K$23,0))))))))))))</f>
        <v>0</v>
      </c>
      <c r="AF46" s="17">
        <f>IF($A46,$J46*(IF(V46=regle!$B$11,regle!$B$23*IF(AO46=-2,1+regle!$B$35,1),
IF(V46=regle!$C$11,regle!$C$23,
IF(V46=regle!$D$11,regle!$D$23,
IF(V46=regle!$E$11,regle!$E$23,
IF(V46=regle!$F$11,regle!$F$23,
IF(V46=regle!$G$11,regle!$G$23,
IF(V46=regle!$H$11,regle!$H$23,
IF(V46=regle!$I$11,regle!$I$23,
IF(V46=regle!$J$11,regle!$J$23,
IF(V46=regle!$K$11,regle!$K$23,0))))))))))))</f>
        <v>0</v>
      </c>
      <c r="AG46" s="17">
        <f>IF($A46,$J46*(IF(W46=regle!$B$11,regle!$B$23*IF(AP46=-2,1+regle!$B$35,1),
IF(W46=regle!$C$11,regle!$C$23,
IF(W46=regle!$D$11,regle!$D$23,
IF(W46=regle!$E$11,regle!$E$23,
IF(W46=regle!$F$11,regle!$F$23,
IF(W46=regle!$G$11,regle!$G$23,
IF(W46=regle!$H$11,regle!$H$23,
IF(W46=regle!$I$11,regle!$I$23,
IF(W46=regle!$J$11,regle!$J$23,
IF(W46=regle!$K$11,regle!$K$23,0))))))))))))</f>
        <v>0</v>
      </c>
      <c r="AH46" s="17">
        <f>IF($A46,$J46*(IF(X46=regle!$B$11,regle!$B$23*IF(AQ46=-2,1+regle!$B$35,1),
IF(X46=regle!$C$11,regle!$C$23,
IF(X46=regle!$D$11,regle!$D$23,
IF(X46=regle!$E$11,regle!$E$23,
IF(X46=regle!$F$11,regle!$F$23,
IF(X46=regle!$G$11,regle!$G$23,
IF(X46=regle!$H$11,regle!$H$23,
IF(X46=regle!$I$11,regle!$I$23,
IF(X46=regle!$J$11,regle!$J$23,
IF(X46=regle!$K$11,regle!$K$23,0))))))))))))</f>
        <v>0</v>
      </c>
      <c r="AI46" s="17">
        <f>IF($A46,$J46*(IF(Y46=regle!$B$11,regle!$B$23*IF(AR46=-2,1+regle!$B$35,1),
IF(Y46=regle!$C$11,regle!$C$23,
IF(Y46=regle!$D$11,regle!$D$23,
IF(Y46=regle!$E$11,regle!$E$23,
IF(Y46=regle!$F$11,regle!$F$23,
IF(Y46=regle!$G$11,regle!$G$23,
IF(Y46=regle!$H$11,regle!$H$23,
IF(Y46=regle!$I$11,regle!$I$23,
IF(Y46=regle!$J$11,regle!$J$23,
IF(Y46=regle!$K$11,regle!$K$23,0))))))))))))</f>
        <v>0</v>
      </c>
      <c r="AJ46" s="17">
        <f>IF($A46,$J46*(IF(Z46=regle!$B$11,regle!$B$23*IF(AS46=-2,1+regle!$B$35,1),
IF(Z46=regle!$C$11,regle!$C$23,
IF(Z46=regle!$D$11,regle!$D$23,
IF(Z46=regle!$E$11,regle!$E$23,
IF(Z46=regle!$F$11,regle!$F$23,
IF(Z46=regle!$G$11,regle!$G$23,
IF(Z46=regle!$H$11,regle!$H$23,
IF(Z46=regle!$I$11,regle!$I$23,
IF(Z46=regle!$J$11,regle!$J$23,
IF(Z46=regle!$K$11,regle!$K$23,0))))))))))))</f>
        <v>0</v>
      </c>
      <c r="AK46" s="16">
        <f>IF(OR(Q46=regle!$J$11,Q46=regle!$K$11),-2,IF(Q46=regle!$B$11,0,IF(AK$1=$AK$1,IF($O46,-1,regle!$B$2-$M46),IF(AJ46=-1,-1,AJ46+1))))</f>
        <v>0</v>
      </c>
      <c r="AL46" s="16">
        <f>IF(OR(R46=regle!$J$11,R46=regle!$K$11),-2,IF(R46=regle!$B$11,0,IF(AL$1=$AK$1,IF($O46,-1,regle!$B$2-$M46),IF(AK46=-1,-1,AK46+1))))</f>
        <v>1</v>
      </c>
      <c r="AM46" s="16">
        <f>IF(OR(S46=regle!$J$11,S46=regle!$K$11),-2,IF(S46=regle!$B$11,0,IF(AM$1=$AK$1,IF($O46,-1,regle!$B$2-$M46),IF(AL46=-1,-1,AL46+1))))</f>
        <v>2</v>
      </c>
      <c r="AN46" s="16">
        <f>IF(OR(T46=regle!$J$11,T46=regle!$K$11),-2,IF(T46=regle!$B$11,0,IF(AN$1=$AK$1,IF($O46,-1,regle!$B$2-$M46),IF(AM46=-1,-1,AM46+1))))</f>
        <v>3</v>
      </c>
      <c r="AO46" s="16">
        <f>IF(OR(U46=regle!$J$11,U46=regle!$K$11),-2,IF(U46=regle!$B$11,0,IF(AO$1=$AK$1,IF($O46,-1,regle!$B$2-$M46),IF(AN46=-1,-1,AN46+1))))</f>
        <v>4</v>
      </c>
      <c r="AP46" s="16">
        <f>IF(OR(V46=regle!$J$11,V46=regle!$K$11),-2,IF(V46=regle!$B$11,0,IF(AP$1=$AK$1,IF($O46,-1,regle!$B$2-$M46),IF(AO46=-1,-1,AO46+1))))</f>
        <v>5</v>
      </c>
      <c r="AQ46" s="16">
        <f>IF(OR(W46=regle!$J$11,W46=regle!$K$11),-2,IF(W46=regle!$B$11,0,IF(AQ$1=$AK$1,IF($O46,-1,regle!$B$2-$M46),IF(AP46=-1,-1,AP46+1))))</f>
        <v>6</v>
      </c>
      <c r="AR46" s="16">
        <f>IF(OR(X46=regle!$J$11,X46=regle!$K$11),-2,IF(X46=regle!$B$11,0,IF(AR$1=$AK$1,IF($O46,-1,regle!$B$2-$M46),IF(AQ46=-1,-1,AQ46+1))))</f>
        <v>7</v>
      </c>
      <c r="AS46" s="16">
        <f>IF(OR(Y46=regle!$J$11,Y46=regle!$K$11),-2,IF(Y46=regle!$B$11,0,IF(AS$1=$AK$1,IF($O46,-1,regle!$B$2-$M46),IF(AR46=-1,-1,AR46+1))))</f>
        <v>8</v>
      </c>
      <c r="AT46" s="16">
        <f>IF(OR(Z46=regle!$J$11,Z46=regle!$K$11),-2,IF(Z46=regle!$B$11,0,IF(AT$1=$AK$1,IF($O46,-1,regle!$B$2-$M46),IF(AS46=-1,-1,AS46+1))))</f>
        <v>9</v>
      </c>
    </row>
    <row r="47" spans="1:46" x14ac:dyDescent="0.25">
      <c r="A47" t="b">
        <f>modif0!A260</f>
        <v>1</v>
      </c>
      <c r="B47">
        <f>ROW(modif0!B260)</f>
        <v>260</v>
      </c>
      <c r="C47" t="str">
        <f>modif0!D260</f>
        <v>171</v>
      </c>
      <c r="D47" t="str">
        <f>modif0!E260</f>
        <v>MANO</v>
      </c>
      <c r="E47">
        <f>modif0!F260</f>
        <v>17</v>
      </c>
      <c r="F47" t="str">
        <f>modif0!G260</f>
        <v>LANDE DE TABARTON</v>
      </c>
      <c r="G47" t="str">
        <f>modif0!I260</f>
        <v>0B</v>
      </c>
      <c r="H47">
        <f>modif0!J260</f>
        <v>275</v>
      </c>
      <c r="I47" t="str">
        <f>modif0!K260</f>
        <v/>
      </c>
      <c r="J47" s="11">
        <f>modif0!M260</f>
        <v>1.0449999999999999</v>
      </c>
      <c r="K47" s="11" t="str">
        <f>modif0!P260</f>
        <v>CR</v>
      </c>
      <c r="L47" t="str">
        <f>modif0!N260</f>
        <v>PM</v>
      </c>
      <c r="M47">
        <f>modif0!Q260</f>
        <v>2022</v>
      </c>
      <c r="N47" t="str">
        <f>modif0!R260</f>
        <v>CR-PM_2022</v>
      </c>
      <c r="O47" t="b">
        <f>modif0!S260</f>
        <v>1</v>
      </c>
      <c r="P47">
        <v>25</v>
      </c>
      <c r="Q47" t="s">
        <v>1868</v>
      </c>
      <c r="AA47" s="17">
        <f>IF($A47,$J47*(IF(Q47=regle!$B$11,regle!$B$23*IF(AJ47=-2,1+regle!$B$35,1),
IF(Q47=regle!$C$11,regle!$C$23,
IF(Q47=regle!$D$11,regle!$D$23,
IF(Q47=regle!$E$11,regle!$E$23,
IF(Q47=regle!$F$11,regle!$F$23,
IF(Q47=regle!$G$11,regle!$G$23,
IF(Q47=regle!$H$11,regle!$H$23,
IF(Q47=regle!$I$11,regle!$I$23,
IF(Q47=regle!$J$11,regle!$J$23,
IF(Q47=regle!$K$11,regle!$K$23,0))))))))))))</f>
        <v>-1776.4999999999998</v>
      </c>
      <c r="AB47" s="17">
        <f>IF($A47,$J47*(IF(R47=regle!$B$11,regle!$B$23*IF(AK47=-2,1+regle!$B$35,1),
IF(R47=regle!$C$11,regle!$C$23,
IF(R47=regle!$D$11,regle!$D$23,
IF(R47=regle!$E$11,regle!$E$23,
IF(R47=regle!$F$11,regle!$F$23,
IF(R47=regle!$G$11,regle!$G$23,
IF(R47=regle!$H$11,regle!$H$23,
IF(R47=regle!$I$11,regle!$I$23,
IF(R47=regle!$J$11,regle!$J$23,
IF(R47=regle!$K$11,regle!$K$23,0))))))))))))</f>
        <v>0</v>
      </c>
      <c r="AC47" s="17">
        <f>IF($A47,$J47*(IF(S47=regle!$B$11,regle!$B$23*IF(AL47=-2,1+regle!$B$35,1),
IF(S47=regle!$C$11,regle!$C$23,
IF(S47=regle!$D$11,regle!$D$23,
IF(S47=regle!$E$11,regle!$E$23,
IF(S47=regle!$F$11,regle!$F$23,
IF(S47=regle!$G$11,regle!$G$23,
IF(S47=regle!$H$11,regle!$H$23,
IF(S47=regle!$I$11,regle!$I$23,
IF(S47=regle!$J$11,regle!$J$23,
IF(S47=regle!$K$11,regle!$K$23,0))))))))))))</f>
        <v>0</v>
      </c>
      <c r="AD47" s="17">
        <f>IF($A47,$J47*(IF(T47=regle!$B$11,regle!$B$23*IF(AM47=-2,1+regle!$B$35,1),
IF(T47=regle!$C$11,regle!$C$23,
IF(T47=regle!$D$11,regle!$D$23,
IF(T47=regle!$E$11,regle!$E$23,
IF(T47=regle!$F$11,regle!$F$23,
IF(T47=regle!$G$11,regle!$G$23,
IF(T47=regle!$H$11,regle!$H$23,
IF(T47=regle!$I$11,regle!$I$23,
IF(T47=regle!$J$11,regle!$J$23,
IF(T47=regle!$K$11,regle!$K$23,0))))))))))))</f>
        <v>0</v>
      </c>
      <c r="AE47" s="17">
        <f>IF($A47,$J47*(IF(U47=regle!$B$11,regle!$B$23*IF(AN47=-2,1+regle!$B$35,1),
IF(U47=regle!$C$11,regle!$C$23,
IF(U47=regle!$D$11,regle!$D$23,
IF(U47=regle!$E$11,regle!$E$23,
IF(U47=regle!$F$11,regle!$F$23,
IF(U47=regle!$G$11,regle!$G$23,
IF(U47=regle!$H$11,regle!$H$23,
IF(U47=regle!$I$11,regle!$I$23,
IF(U47=regle!$J$11,regle!$J$23,
IF(U47=regle!$K$11,regle!$K$23,0))))))))))))</f>
        <v>0</v>
      </c>
      <c r="AF47" s="17">
        <f>IF($A47,$J47*(IF(V47=regle!$B$11,regle!$B$23*IF(AO47=-2,1+regle!$B$35,1),
IF(V47=regle!$C$11,regle!$C$23,
IF(V47=regle!$D$11,regle!$D$23,
IF(V47=regle!$E$11,regle!$E$23,
IF(V47=regle!$F$11,regle!$F$23,
IF(V47=regle!$G$11,regle!$G$23,
IF(V47=regle!$H$11,regle!$H$23,
IF(V47=regle!$I$11,regle!$I$23,
IF(V47=regle!$J$11,regle!$J$23,
IF(V47=regle!$K$11,regle!$K$23,0))))))))))))</f>
        <v>0</v>
      </c>
      <c r="AG47" s="17">
        <f>IF($A47,$J47*(IF(W47=regle!$B$11,regle!$B$23*IF(AP47=-2,1+regle!$B$35,1),
IF(W47=regle!$C$11,regle!$C$23,
IF(W47=regle!$D$11,regle!$D$23,
IF(W47=regle!$E$11,regle!$E$23,
IF(W47=regle!$F$11,regle!$F$23,
IF(W47=regle!$G$11,regle!$G$23,
IF(W47=regle!$H$11,regle!$H$23,
IF(W47=regle!$I$11,regle!$I$23,
IF(W47=regle!$J$11,regle!$J$23,
IF(W47=regle!$K$11,regle!$K$23,0))))))))))))</f>
        <v>0</v>
      </c>
      <c r="AH47" s="17">
        <f>IF($A47,$J47*(IF(X47=regle!$B$11,regle!$B$23*IF(AQ47=-2,1+regle!$B$35,1),
IF(X47=regle!$C$11,regle!$C$23,
IF(X47=regle!$D$11,regle!$D$23,
IF(X47=regle!$E$11,regle!$E$23,
IF(X47=regle!$F$11,regle!$F$23,
IF(X47=regle!$G$11,regle!$G$23,
IF(X47=regle!$H$11,regle!$H$23,
IF(X47=regle!$I$11,regle!$I$23,
IF(X47=regle!$J$11,regle!$J$23,
IF(X47=regle!$K$11,regle!$K$23,0))))))))))))</f>
        <v>0</v>
      </c>
      <c r="AI47" s="17">
        <f>IF($A47,$J47*(IF(Y47=regle!$B$11,regle!$B$23*IF(AR47=-2,1+regle!$B$35,1),
IF(Y47=regle!$C$11,regle!$C$23,
IF(Y47=regle!$D$11,regle!$D$23,
IF(Y47=regle!$E$11,regle!$E$23,
IF(Y47=regle!$F$11,regle!$F$23,
IF(Y47=regle!$G$11,regle!$G$23,
IF(Y47=regle!$H$11,regle!$H$23,
IF(Y47=regle!$I$11,regle!$I$23,
IF(Y47=regle!$J$11,regle!$J$23,
IF(Y47=regle!$K$11,regle!$K$23,0))))))))))))</f>
        <v>0</v>
      </c>
      <c r="AJ47" s="17">
        <f>IF($A47,$J47*(IF(Z47=regle!$B$11,regle!$B$23*IF(AS47=-2,1+regle!$B$35,1),
IF(Z47=regle!$C$11,regle!$C$23,
IF(Z47=regle!$D$11,regle!$D$23,
IF(Z47=regle!$E$11,regle!$E$23,
IF(Z47=regle!$F$11,regle!$F$23,
IF(Z47=regle!$G$11,regle!$G$23,
IF(Z47=regle!$H$11,regle!$H$23,
IF(Z47=regle!$I$11,regle!$I$23,
IF(Z47=regle!$J$11,regle!$J$23,
IF(Z47=regle!$K$11,regle!$K$23,0))))))))))))</f>
        <v>0</v>
      </c>
      <c r="AK47" s="16">
        <f>IF(OR(Q47=regle!$J$11,Q47=regle!$K$11),-2,IF(Q47=regle!$B$11,0,IF(AK$1=$AK$1,IF($O47,-1,regle!$B$2-$M47),IF(AJ47=-1,-1,AJ47+1))))</f>
        <v>0</v>
      </c>
      <c r="AL47" s="16">
        <f>IF(OR(R47=regle!$J$11,R47=regle!$K$11),-2,IF(R47=regle!$B$11,0,IF(AL$1=$AK$1,IF($O47,-1,regle!$B$2-$M47),IF(AK47=-1,-1,AK47+1))))</f>
        <v>1</v>
      </c>
      <c r="AM47" s="16">
        <f>IF(OR(S47=regle!$J$11,S47=regle!$K$11),-2,IF(S47=regle!$B$11,0,IF(AM$1=$AK$1,IF($O47,-1,regle!$B$2-$M47),IF(AL47=-1,-1,AL47+1))))</f>
        <v>2</v>
      </c>
      <c r="AN47" s="16">
        <f>IF(OR(T47=regle!$J$11,T47=regle!$K$11),-2,IF(T47=regle!$B$11,0,IF(AN$1=$AK$1,IF($O47,-1,regle!$B$2-$M47),IF(AM47=-1,-1,AM47+1))))</f>
        <v>3</v>
      </c>
      <c r="AO47" s="16">
        <f>IF(OR(U47=regle!$J$11,U47=regle!$K$11),-2,IF(U47=regle!$B$11,0,IF(AO$1=$AK$1,IF($O47,-1,regle!$B$2-$M47),IF(AN47=-1,-1,AN47+1))))</f>
        <v>4</v>
      </c>
      <c r="AP47" s="16">
        <f>IF(OR(V47=regle!$J$11,V47=regle!$K$11),-2,IF(V47=regle!$B$11,0,IF(AP$1=$AK$1,IF($O47,-1,regle!$B$2-$M47),IF(AO47=-1,-1,AO47+1))))</f>
        <v>5</v>
      </c>
      <c r="AQ47" s="16">
        <f>IF(OR(W47=regle!$J$11,W47=regle!$K$11),-2,IF(W47=regle!$B$11,0,IF(AQ$1=$AK$1,IF($O47,-1,regle!$B$2-$M47),IF(AP47=-1,-1,AP47+1))))</f>
        <v>6</v>
      </c>
      <c r="AR47" s="16">
        <f>IF(OR(X47=regle!$J$11,X47=regle!$K$11),-2,IF(X47=regle!$B$11,0,IF(AR$1=$AK$1,IF($O47,-1,regle!$B$2-$M47),IF(AQ47=-1,-1,AQ47+1))))</f>
        <v>7</v>
      </c>
      <c r="AS47" s="16">
        <f>IF(OR(Y47=regle!$J$11,Y47=regle!$K$11),-2,IF(Y47=regle!$B$11,0,IF(AS$1=$AK$1,IF($O47,-1,regle!$B$2-$M47),IF(AR47=-1,-1,AR47+1))))</f>
        <v>8</v>
      </c>
      <c r="AT47" s="16">
        <f>IF(OR(Z47=regle!$J$11,Z47=regle!$K$11),-2,IF(Z47=regle!$B$11,0,IF(AT$1=$AK$1,IF($O47,-1,regle!$B$2-$M47),IF(AS47=-1,-1,AS47+1))))</f>
        <v>9</v>
      </c>
    </row>
    <row r="48" spans="1:46" x14ac:dyDescent="0.25">
      <c r="A48" t="b">
        <f>modif0!A366</f>
        <v>1</v>
      </c>
      <c r="B48">
        <f>ROW(modif0!B366)</f>
        <v>366</v>
      </c>
      <c r="C48" t="str">
        <f>modif0!D366</f>
        <v>200</v>
      </c>
      <c r="D48" t="str">
        <f>modif0!E366</f>
        <v>MOUSTEY</v>
      </c>
      <c r="E48">
        <f>modif0!F366</f>
        <v>5</v>
      </c>
      <c r="F48" t="str">
        <f>modif0!G366</f>
        <v>Plata</v>
      </c>
      <c r="G48" t="str">
        <f>modif0!I366</f>
        <v>0M</v>
      </c>
      <c r="H48">
        <f>modif0!J366</f>
        <v>9</v>
      </c>
      <c r="I48" t="str">
        <f>modif0!K366</f>
        <v>a</v>
      </c>
      <c r="J48" s="11">
        <f>modif0!M366</f>
        <v>1.0283</v>
      </c>
      <c r="K48" s="11" t="str">
        <f>modif0!P366</f>
        <v>CR</v>
      </c>
      <c r="L48" t="str">
        <f>modif0!N366</f>
        <v>PM</v>
      </c>
      <c r="M48">
        <f>modif0!Q366</f>
        <v>2022</v>
      </c>
      <c r="N48" t="str">
        <f>modif0!R366</f>
        <v>CR-PM_2022</v>
      </c>
      <c r="O48" t="b">
        <f>modif0!S366</f>
        <v>1</v>
      </c>
      <c r="P48">
        <v>25</v>
      </c>
      <c r="Q48" t="s">
        <v>1868</v>
      </c>
      <c r="AA48" s="17">
        <f>IF($A48,$J48*(IF(Q48=regle!$B$11,regle!$B$23*IF(AJ48=-2,1+regle!$B$35,1),
IF(Q48=regle!$C$11,regle!$C$23,
IF(Q48=regle!$D$11,regle!$D$23,
IF(Q48=regle!$E$11,regle!$E$23,
IF(Q48=regle!$F$11,regle!$F$23,
IF(Q48=regle!$G$11,regle!$G$23,
IF(Q48=regle!$H$11,regle!$H$23,
IF(Q48=regle!$I$11,regle!$I$23,
IF(Q48=regle!$J$11,regle!$J$23,
IF(Q48=regle!$K$11,regle!$K$23,0))))))))))))</f>
        <v>-1748.11</v>
      </c>
      <c r="AB48" s="17">
        <f>IF($A48,$J48*(IF(R48=regle!$B$11,regle!$B$23*IF(AK48=-2,1+regle!$B$35,1),
IF(R48=regle!$C$11,regle!$C$23,
IF(R48=regle!$D$11,regle!$D$23,
IF(R48=regle!$E$11,regle!$E$23,
IF(R48=regle!$F$11,regle!$F$23,
IF(R48=regle!$G$11,regle!$G$23,
IF(R48=regle!$H$11,regle!$H$23,
IF(R48=regle!$I$11,regle!$I$23,
IF(R48=regle!$J$11,regle!$J$23,
IF(R48=regle!$K$11,regle!$K$23,0))))))))))))</f>
        <v>0</v>
      </c>
      <c r="AC48" s="17">
        <f>IF($A48,$J48*(IF(S48=regle!$B$11,regle!$B$23*IF(AL48=-2,1+regle!$B$35,1),
IF(S48=regle!$C$11,regle!$C$23,
IF(S48=regle!$D$11,regle!$D$23,
IF(S48=regle!$E$11,regle!$E$23,
IF(S48=regle!$F$11,regle!$F$23,
IF(S48=regle!$G$11,regle!$G$23,
IF(S48=regle!$H$11,regle!$H$23,
IF(S48=regle!$I$11,regle!$I$23,
IF(S48=regle!$J$11,regle!$J$23,
IF(S48=regle!$K$11,regle!$K$23,0))))))))))))</f>
        <v>0</v>
      </c>
      <c r="AD48" s="17">
        <f>IF($A48,$J48*(IF(T48=regle!$B$11,regle!$B$23*IF(AM48=-2,1+regle!$B$35,1),
IF(T48=regle!$C$11,regle!$C$23,
IF(T48=regle!$D$11,regle!$D$23,
IF(T48=regle!$E$11,regle!$E$23,
IF(T48=regle!$F$11,regle!$F$23,
IF(T48=regle!$G$11,regle!$G$23,
IF(T48=regle!$H$11,regle!$H$23,
IF(T48=regle!$I$11,regle!$I$23,
IF(T48=regle!$J$11,regle!$J$23,
IF(T48=regle!$K$11,regle!$K$23,0))))))))))))</f>
        <v>0</v>
      </c>
      <c r="AE48" s="17">
        <f>IF($A48,$J48*(IF(U48=regle!$B$11,regle!$B$23*IF(AN48=-2,1+regle!$B$35,1),
IF(U48=regle!$C$11,regle!$C$23,
IF(U48=regle!$D$11,regle!$D$23,
IF(U48=regle!$E$11,regle!$E$23,
IF(U48=regle!$F$11,regle!$F$23,
IF(U48=regle!$G$11,regle!$G$23,
IF(U48=regle!$H$11,regle!$H$23,
IF(U48=regle!$I$11,regle!$I$23,
IF(U48=regle!$J$11,regle!$J$23,
IF(U48=regle!$K$11,regle!$K$23,0))))))))))))</f>
        <v>0</v>
      </c>
      <c r="AF48" s="17">
        <f>IF($A48,$J48*(IF(V48=regle!$B$11,regle!$B$23*IF(AO48=-2,1+regle!$B$35,1),
IF(V48=regle!$C$11,regle!$C$23,
IF(V48=regle!$D$11,regle!$D$23,
IF(V48=regle!$E$11,regle!$E$23,
IF(V48=regle!$F$11,regle!$F$23,
IF(V48=regle!$G$11,regle!$G$23,
IF(V48=regle!$H$11,regle!$H$23,
IF(V48=regle!$I$11,regle!$I$23,
IF(V48=regle!$J$11,regle!$J$23,
IF(V48=regle!$K$11,regle!$K$23,0))))))))))))</f>
        <v>0</v>
      </c>
      <c r="AG48" s="17">
        <f>IF($A48,$J48*(IF(W48=regle!$B$11,regle!$B$23*IF(AP48=-2,1+regle!$B$35,1),
IF(W48=regle!$C$11,regle!$C$23,
IF(W48=regle!$D$11,regle!$D$23,
IF(W48=regle!$E$11,regle!$E$23,
IF(W48=regle!$F$11,regle!$F$23,
IF(W48=regle!$G$11,regle!$G$23,
IF(W48=regle!$H$11,regle!$H$23,
IF(W48=regle!$I$11,regle!$I$23,
IF(W48=regle!$J$11,regle!$J$23,
IF(W48=regle!$K$11,regle!$K$23,0))))))))))))</f>
        <v>0</v>
      </c>
      <c r="AH48" s="17">
        <f>IF($A48,$J48*(IF(X48=regle!$B$11,regle!$B$23*IF(AQ48=-2,1+regle!$B$35,1),
IF(X48=regle!$C$11,regle!$C$23,
IF(X48=regle!$D$11,regle!$D$23,
IF(X48=regle!$E$11,regle!$E$23,
IF(X48=regle!$F$11,regle!$F$23,
IF(X48=regle!$G$11,regle!$G$23,
IF(X48=regle!$H$11,regle!$H$23,
IF(X48=regle!$I$11,regle!$I$23,
IF(X48=regle!$J$11,regle!$J$23,
IF(X48=regle!$K$11,regle!$K$23,0))))))))))))</f>
        <v>0</v>
      </c>
      <c r="AI48" s="17">
        <f>IF($A48,$J48*(IF(Y48=regle!$B$11,regle!$B$23*IF(AR48=-2,1+regle!$B$35,1),
IF(Y48=regle!$C$11,regle!$C$23,
IF(Y48=regle!$D$11,regle!$D$23,
IF(Y48=regle!$E$11,regle!$E$23,
IF(Y48=regle!$F$11,regle!$F$23,
IF(Y48=regle!$G$11,regle!$G$23,
IF(Y48=regle!$H$11,regle!$H$23,
IF(Y48=regle!$I$11,regle!$I$23,
IF(Y48=regle!$J$11,regle!$J$23,
IF(Y48=regle!$K$11,regle!$K$23,0))))))))))))</f>
        <v>0</v>
      </c>
      <c r="AJ48" s="17">
        <f>IF($A48,$J48*(IF(Z48=regle!$B$11,regle!$B$23*IF(AS48=-2,1+regle!$B$35,1),
IF(Z48=regle!$C$11,regle!$C$23,
IF(Z48=regle!$D$11,regle!$D$23,
IF(Z48=regle!$E$11,regle!$E$23,
IF(Z48=regle!$F$11,regle!$F$23,
IF(Z48=regle!$G$11,regle!$G$23,
IF(Z48=regle!$H$11,regle!$H$23,
IF(Z48=regle!$I$11,regle!$I$23,
IF(Z48=regle!$J$11,regle!$J$23,
IF(Z48=regle!$K$11,regle!$K$23,0))))))))))))</f>
        <v>0</v>
      </c>
      <c r="AK48" s="16">
        <f>IF(OR(Q48=regle!$J$11,Q48=regle!$K$11),-2,IF(Q48=regle!$B$11,0,IF(AK$1=$AK$1,IF($O48,-1,regle!$B$2-$M48),IF(AJ48=-1,-1,AJ48+1))))</f>
        <v>0</v>
      </c>
      <c r="AL48" s="16">
        <f>IF(OR(R48=regle!$J$11,R48=regle!$K$11),-2,IF(R48=regle!$B$11,0,IF(AL$1=$AK$1,IF($O48,-1,regle!$B$2-$M48),IF(AK48=-1,-1,AK48+1))))</f>
        <v>1</v>
      </c>
      <c r="AM48" s="16">
        <f>IF(OR(S48=regle!$J$11,S48=regle!$K$11),-2,IF(S48=regle!$B$11,0,IF(AM$1=$AK$1,IF($O48,-1,regle!$B$2-$M48),IF(AL48=-1,-1,AL48+1))))</f>
        <v>2</v>
      </c>
      <c r="AN48" s="16">
        <f>IF(OR(T48=regle!$J$11,T48=regle!$K$11),-2,IF(T48=regle!$B$11,0,IF(AN$1=$AK$1,IF($O48,-1,regle!$B$2-$M48),IF(AM48=-1,-1,AM48+1))))</f>
        <v>3</v>
      </c>
      <c r="AO48" s="16">
        <f>IF(OR(U48=regle!$J$11,U48=regle!$K$11),-2,IF(U48=regle!$B$11,0,IF(AO$1=$AK$1,IF($O48,-1,regle!$B$2-$M48),IF(AN48=-1,-1,AN48+1))))</f>
        <v>4</v>
      </c>
      <c r="AP48" s="16">
        <f>IF(OR(V48=regle!$J$11,V48=regle!$K$11),-2,IF(V48=regle!$B$11,0,IF(AP$1=$AK$1,IF($O48,-1,regle!$B$2-$M48),IF(AO48=-1,-1,AO48+1))))</f>
        <v>5</v>
      </c>
      <c r="AQ48" s="16">
        <f>IF(OR(W48=regle!$J$11,W48=regle!$K$11),-2,IF(W48=regle!$B$11,0,IF(AQ$1=$AK$1,IF($O48,-1,regle!$B$2-$M48),IF(AP48=-1,-1,AP48+1))))</f>
        <v>6</v>
      </c>
      <c r="AR48" s="16">
        <f>IF(OR(X48=regle!$J$11,X48=regle!$K$11),-2,IF(X48=regle!$B$11,0,IF(AR$1=$AK$1,IF($O48,-1,regle!$B$2-$M48),IF(AQ48=-1,-1,AQ48+1))))</f>
        <v>7</v>
      </c>
      <c r="AS48" s="16">
        <f>IF(OR(Y48=regle!$J$11,Y48=regle!$K$11),-2,IF(Y48=regle!$B$11,0,IF(AS$1=$AK$1,IF($O48,-1,regle!$B$2-$M48),IF(AR48=-1,-1,AR48+1))))</f>
        <v>8</v>
      </c>
      <c r="AT48" s="16">
        <f>IF(OR(Z48=regle!$J$11,Z48=regle!$K$11),-2,IF(Z48=regle!$B$11,0,IF(AT$1=$AK$1,IF($O48,-1,regle!$B$2-$M48),IF(AS48=-1,-1,AS48+1))))</f>
        <v>9</v>
      </c>
    </row>
    <row r="49" spans="1:46" x14ac:dyDescent="0.25">
      <c r="A49" t="b">
        <f>modif0!A9</f>
        <v>1</v>
      </c>
      <c r="B49">
        <f>ROW(modif0!B9)</f>
        <v>9</v>
      </c>
      <c r="C49" t="str">
        <f>modif0!D9</f>
        <v>202</v>
      </c>
      <c r="D49" t="str">
        <f>modif0!E9</f>
        <v>HOSTENS</v>
      </c>
      <c r="E49">
        <f>modif0!F9</f>
        <v>11</v>
      </c>
      <c r="F49" t="str">
        <f>modif0!G9</f>
        <v>L'ARGILEYRE</v>
      </c>
      <c r="G49" t="str">
        <f>modif0!I9</f>
        <v>0A</v>
      </c>
      <c r="H49">
        <f>modif0!J9</f>
        <v>1310</v>
      </c>
      <c r="I49" t="str">
        <f>modif0!K9</f>
        <v/>
      </c>
      <c r="J49" s="11">
        <f>modif0!M9</f>
        <v>1.028</v>
      </c>
      <c r="K49" s="11" t="str">
        <f>modif0!P9</f>
        <v>CR</v>
      </c>
      <c r="L49" t="str">
        <f>modif0!N9</f>
        <v>PM</v>
      </c>
      <c r="M49">
        <f>modif0!Q9</f>
        <v>2022</v>
      </c>
      <c r="N49" t="str">
        <f>modif0!R9</f>
        <v>CR-PM_2022</v>
      </c>
      <c r="O49" t="b">
        <f>modif0!S9</f>
        <v>1</v>
      </c>
      <c r="P49">
        <v>25</v>
      </c>
      <c r="Q49" t="s">
        <v>1868</v>
      </c>
      <c r="AA49" s="17">
        <f>IF($A49,$J49*(IF(Q49=regle!$B$11,regle!$B$23*IF(AJ49=-2,1+regle!$B$35,1),
IF(Q49=regle!$C$11,regle!$C$23,
IF(Q49=regle!$D$11,regle!$D$23,
IF(Q49=regle!$E$11,regle!$E$23,
IF(Q49=regle!$F$11,regle!$F$23,
IF(Q49=regle!$G$11,regle!$G$23,
IF(Q49=regle!$H$11,regle!$H$23,
IF(Q49=regle!$I$11,regle!$I$23,
IF(Q49=regle!$J$11,regle!$J$23,
IF(Q49=regle!$K$11,regle!$K$23,0))))))))))))</f>
        <v>-1747.6000000000001</v>
      </c>
      <c r="AB49" s="17">
        <f>IF($A49,$J49*(IF(R49=regle!$B$11,regle!$B$23*IF(AK49=-2,1+regle!$B$35,1),
IF(R49=regle!$C$11,regle!$C$23,
IF(R49=regle!$D$11,regle!$D$23,
IF(R49=regle!$E$11,regle!$E$23,
IF(R49=regle!$F$11,regle!$F$23,
IF(R49=regle!$G$11,regle!$G$23,
IF(R49=regle!$H$11,regle!$H$23,
IF(R49=regle!$I$11,regle!$I$23,
IF(R49=regle!$J$11,regle!$J$23,
IF(R49=regle!$K$11,regle!$K$23,0))))))))))))</f>
        <v>0</v>
      </c>
      <c r="AC49" s="17">
        <f>IF($A49,$J49*(IF(S49=regle!$B$11,regle!$B$23*IF(AL49=-2,1+regle!$B$35,1),
IF(S49=regle!$C$11,regle!$C$23,
IF(S49=regle!$D$11,regle!$D$23,
IF(S49=regle!$E$11,regle!$E$23,
IF(S49=regle!$F$11,regle!$F$23,
IF(S49=regle!$G$11,regle!$G$23,
IF(S49=regle!$H$11,regle!$H$23,
IF(S49=regle!$I$11,regle!$I$23,
IF(S49=regle!$J$11,regle!$J$23,
IF(S49=regle!$K$11,regle!$K$23,0))))))))))))</f>
        <v>0</v>
      </c>
      <c r="AD49" s="17">
        <f>IF($A49,$J49*(IF(T49=regle!$B$11,regle!$B$23*IF(AM49=-2,1+regle!$B$35,1),
IF(T49=regle!$C$11,regle!$C$23,
IF(T49=regle!$D$11,regle!$D$23,
IF(T49=regle!$E$11,regle!$E$23,
IF(T49=regle!$F$11,regle!$F$23,
IF(T49=regle!$G$11,regle!$G$23,
IF(T49=regle!$H$11,regle!$H$23,
IF(T49=regle!$I$11,regle!$I$23,
IF(T49=regle!$J$11,regle!$J$23,
IF(T49=regle!$K$11,regle!$K$23,0))))))))))))</f>
        <v>0</v>
      </c>
      <c r="AE49" s="17">
        <f>IF($A49,$J49*(IF(U49=regle!$B$11,regle!$B$23*IF(AN49=-2,1+regle!$B$35,1),
IF(U49=regle!$C$11,regle!$C$23,
IF(U49=regle!$D$11,regle!$D$23,
IF(U49=regle!$E$11,regle!$E$23,
IF(U49=regle!$F$11,regle!$F$23,
IF(U49=regle!$G$11,regle!$G$23,
IF(U49=regle!$H$11,regle!$H$23,
IF(U49=regle!$I$11,regle!$I$23,
IF(U49=regle!$J$11,regle!$J$23,
IF(U49=regle!$K$11,regle!$K$23,0))))))))))))</f>
        <v>0</v>
      </c>
      <c r="AF49" s="17">
        <f>IF($A49,$J49*(IF(V49=regle!$B$11,regle!$B$23*IF(AO49=-2,1+regle!$B$35,1),
IF(V49=regle!$C$11,regle!$C$23,
IF(V49=regle!$D$11,regle!$D$23,
IF(V49=regle!$E$11,regle!$E$23,
IF(V49=regle!$F$11,regle!$F$23,
IF(V49=regle!$G$11,regle!$G$23,
IF(V49=regle!$H$11,regle!$H$23,
IF(V49=regle!$I$11,regle!$I$23,
IF(V49=regle!$J$11,regle!$J$23,
IF(V49=regle!$K$11,regle!$K$23,0))))))))))))</f>
        <v>0</v>
      </c>
      <c r="AG49" s="17">
        <f>IF($A49,$J49*(IF(W49=regle!$B$11,regle!$B$23*IF(AP49=-2,1+regle!$B$35,1),
IF(W49=regle!$C$11,regle!$C$23,
IF(W49=regle!$D$11,regle!$D$23,
IF(W49=regle!$E$11,regle!$E$23,
IF(W49=regle!$F$11,regle!$F$23,
IF(W49=regle!$G$11,regle!$G$23,
IF(W49=regle!$H$11,regle!$H$23,
IF(W49=regle!$I$11,regle!$I$23,
IF(W49=regle!$J$11,regle!$J$23,
IF(W49=regle!$K$11,regle!$K$23,0))))))))))))</f>
        <v>0</v>
      </c>
      <c r="AH49" s="17">
        <f>IF($A49,$J49*(IF(X49=regle!$B$11,regle!$B$23*IF(AQ49=-2,1+regle!$B$35,1),
IF(X49=regle!$C$11,regle!$C$23,
IF(X49=regle!$D$11,regle!$D$23,
IF(X49=regle!$E$11,regle!$E$23,
IF(X49=regle!$F$11,regle!$F$23,
IF(X49=regle!$G$11,regle!$G$23,
IF(X49=regle!$H$11,regle!$H$23,
IF(X49=regle!$I$11,regle!$I$23,
IF(X49=regle!$J$11,regle!$J$23,
IF(X49=regle!$K$11,regle!$K$23,0))))))))))))</f>
        <v>0</v>
      </c>
      <c r="AI49" s="17">
        <f>IF($A49,$J49*(IF(Y49=regle!$B$11,regle!$B$23*IF(AR49=-2,1+regle!$B$35,1),
IF(Y49=regle!$C$11,regle!$C$23,
IF(Y49=regle!$D$11,regle!$D$23,
IF(Y49=regle!$E$11,regle!$E$23,
IF(Y49=regle!$F$11,regle!$F$23,
IF(Y49=regle!$G$11,regle!$G$23,
IF(Y49=regle!$H$11,regle!$H$23,
IF(Y49=regle!$I$11,regle!$I$23,
IF(Y49=regle!$J$11,regle!$J$23,
IF(Y49=regle!$K$11,regle!$K$23,0))))))))))))</f>
        <v>0</v>
      </c>
      <c r="AJ49" s="17">
        <f>IF($A49,$J49*(IF(Z49=regle!$B$11,regle!$B$23*IF(AS49=-2,1+regle!$B$35,1),
IF(Z49=regle!$C$11,regle!$C$23,
IF(Z49=regle!$D$11,regle!$D$23,
IF(Z49=regle!$E$11,regle!$E$23,
IF(Z49=regle!$F$11,regle!$F$23,
IF(Z49=regle!$G$11,regle!$G$23,
IF(Z49=regle!$H$11,regle!$H$23,
IF(Z49=regle!$I$11,regle!$I$23,
IF(Z49=regle!$J$11,regle!$J$23,
IF(Z49=regle!$K$11,regle!$K$23,0))))))))))))</f>
        <v>0</v>
      </c>
      <c r="AK49" s="16">
        <f>IF(OR(Q49=regle!$J$11,Q49=regle!$K$11),-2,IF(Q49=regle!$B$11,0,IF(AK$1=$AK$1,IF($O49,-1,regle!$B$2-$M49),IF(AJ49=-1,-1,AJ49+1))))</f>
        <v>0</v>
      </c>
      <c r="AL49" s="16">
        <f>IF(OR(R49=regle!$J$11,R49=regle!$K$11),-2,IF(R49=regle!$B$11,0,IF(AL$1=$AK$1,IF($O49,-1,regle!$B$2-$M49),IF(AK49=-1,-1,AK49+1))))</f>
        <v>1</v>
      </c>
      <c r="AM49" s="16">
        <f>IF(OR(S49=regle!$J$11,S49=regle!$K$11),-2,IF(S49=regle!$B$11,0,IF(AM$1=$AK$1,IF($O49,-1,regle!$B$2-$M49),IF(AL49=-1,-1,AL49+1))))</f>
        <v>2</v>
      </c>
      <c r="AN49" s="16">
        <f>IF(OR(T49=regle!$J$11,T49=regle!$K$11),-2,IF(T49=regle!$B$11,0,IF(AN$1=$AK$1,IF($O49,-1,regle!$B$2-$M49),IF(AM49=-1,-1,AM49+1))))</f>
        <v>3</v>
      </c>
      <c r="AO49" s="16">
        <f>IF(OR(U49=regle!$J$11,U49=regle!$K$11),-2,IF(U49=regle!$B$11,0,IF(AO$1=$AK$1,IF($O49,-1,regle!$B$2-$M49),IF(AN49=-1,-1,AN49+1))))</f>
        <v>4</v>
      </c>
      <c r="AP49" s="16">
        <f>IF(OR(V49=regle!$J$11,V49=regle!$K$11),-2,IF(V49=regle!$B$11,0,IF(AP$1=$AK$1,IF($O49,-1,regle!$B$2-$M49),IF(AO49=-1,-1,AO49+1))))</f>
        <v>5</v>
      </c>
      <c r="AQ49" s="16">
        <f>IF(OR(W49=regle!$J$11,W49=regle!$K$11),-2,IF(W49=regle!$B$11,0,IF(AQ$1=$AK$1,IF($O49,-1,regle!$B$2-$M49),IF(AP49=-1,-1,AP49+1))))</f>
        <v>6</v>
      </c>
      <c r="AR49" s="16">
        <f>IF(OR(X49=regle!$J$11,X49=regle!$K$11),-2,IF(X49=regle!$B$11,0,IF(AR$1=$AK$1,IF($O49,-1,regle!$B$2-$M49),IF(AQ49=-1,-1,AQ49+1))))</f>
        <v>7</v>
      </c>
      <c r="AS49" s="16">
        <f>IF(OR(Y49=regle!$J$11,Y49=regle!$K$11),-2,IF(Y49=regle!$B$11,0,IF(AS$1=$AK$1,IF($O49,-1,regle!$B$2-$M49),IF(AR49=-1,-1,AR49+1))))</f>
        <v>8</v>
      </c>
      <c r="AT49" s="16">
        <f>IF(OR(Z49=regle!$J$11,Z49=regle!$K$11),-2,IF(Z49=regle!$B$11,0,IF(AT$1=$AK$1,IF($O49,-1,regle!$B$2-$M49),IF(AS49=-1,-1,AS49+1))))</f>
        <v>9</v>
      </c>
    </row>
    <row r="50" spans="1:46" x14ac:dyDescent="0.25">
      <c r="A50" t="b">
        <f>modif0!A342</f>
        <v>1</v>
      </c>
      <c r="B50">
        <f>ROW(modif0!B342)</f>
        <v>342</v>
      </c>
      <c r="C50" t="str">
        <f>modif0!D342</f>
        <v>200</v>
      </c>
      <c r="D50" t="str">
        <f>modif0!E342</f>
        <v>MOUSTEY</v>
      </c>
      <c r="E50">
        <f>modif0!F342</f>
        <v>5</v>
      </c>
      <c r="F50" t="str">
        <f>modif0!G342</f>
        <v>Plata</v>
      </c>
      <c r="G50" t="str">
        <f>modif0!I342</f>
        <v>0M</v>
      </c>
      <c r="H50">
        <f>modif0!J342</f>
        <v>11</v>
      </c>
      <c r="I50" t="str">
        <f>modif0!K342</f>
        <v>a</v>
      </c>
      <c r="J50" s="11">
        <f>modif0!M342</f>
        <v>0.94350000000000001</v>
      </c>
      <c r="K50" s="11" t="str">
        <f>modif0!P342</f>
        <v>CR</v>
      </c>
      <c r="L50" t="str">
        <f>modif0!N342</f>
        <v>PM</v>
      </c>
      <c r="M50">
        <f>modif0!Q342</f>
        <v>2022</v>
      </c>
      <c r="N50" t="str">
        <f>modif0!R342</f>
        <v>CR-PM_2022</v>
      </c>
      <c r="O50" t="b">
        <f>modif0!S342</f>
        <v>1</v>
      </c>
      <c r="P50">
        <v>25</v>
      </c>
      <c r="Q50" t="s">
        <v>1868</v>
      </c>
      <c r="AA50" s="17">
        <f>IF($A50,$J50*(IF(Q50=regle!$B$11,regle!$B$23*IF(AJ50=-2,1+regle!$B$35,1),
IF(Q50=regle!$C$11,regle!$C$23,
IF(Q50=regle!$D$11,regle!$D$23,
IF(Q50=regle!$E$11,regle!$E$23,
IF(Q50=regle!$F$11,regle!$F$23,
IF(Q50=regle!$G$11,regle!$G$23,
IF(Q50=regle!$H$11,regle!$H$23,
IF(Q50=regle!$I$11,regle!$I$23,
IF(Q50=regle!$J$11,regle!$J$23,
IF(Q50=regle!$K$11,regle!$K$23,0))))))))))))</f>
        <v>-1603.95</v>
      </c>
      <c r="AB50" s="17">
        <f>IF($A50,$J50*(IF(R50=regle!$B$11,regle!$B$23*IF(AK50=-2,1+regle!$B$35,1),
IF(R50=regle!$C$11,regle!$C$23,
IF(R50=regle!$D$11,regle!$D$23,
IF(R50=regle!$E$11,regle!$E$23,
IF(R50=regle!$F$11,regle!$F$23,
IF(R50=regle!$G$11,regle!$G$23,
IF(R50=regle!$H$11,regle!$H$23,
IF(R50=regle!$I$11,regle!$I$23,
IF(R50=regle!$J$11,regle!$J$23,
IF(R50=regle!$K$11,regle!$K$23,0))))))))))))</f>
        <v>0</v>
      </c>
      <c r="AC50" s="17">
        <f>IF($A50,$J50*(IF(S50=regle!$B$11,regle!$B$23*IF(AL50=-2,1+regle!$B$35,1),
IF(S50=regle!$C$11,regle!$C$23,
IF(S50=regle!$D$11,regle!$D$23,
IF(S50=regle!$E$11,regle!$E$23,
IF(S50=regle!$F$11,regle!$F$23,
IF(S50=regle!$G$11,regle!$G$23,
IF(S50=regle!$H$11,regle!$H$23,
IF(S50=regle!$I$11,regle!$I$23,
IF(S50=regle!$J$11,regle!$J$23,
IF(S50=regle!$K$11,regle!$K$23,0))))))))))))</f>
        <v>0</v>
      </c>
      <c r="AD50" s="17">
        <f>IF($A50,$J50*(IF(T50=regle!$B$11,regle!$B$23*IF(AM50=-2,1+regle!$B$35,1),
IF(T50=regle!$C$11,regle!$C$23,
IF(T50=regle!$D$11,regle!$D$23,
IF(T50=regle!$E$11,regle!$E$23,
IF(T50=regle!$F$11,regle!$F$23,
IF(T50=regle!$G$11,regle!$G$23,
IF(T50=regle!$H$11,regle!$H$23,
IF(T50=regle!$I$11,regle!$I$23,
IF(T50=regle!$J$11,regle!$J$23,
IF(T50=regle!$K$11,regle!$K$23,0))))))))))))</f>
        <v>0</v>
      </c>
      <c r="AE50" s="17">
        <f>IF($A50,$J50*(IF(U50=regle!$B$11,regle!$B$23*IF(AN50=-2,1+regle!$B$35,1),
IF(U50=regle!$C$11,regle!$C$23,
IF(U50=regle!$D$11,regle!$D$23,
IF(U50=regle!$E$11,regle!$E$23,
IF(U50=regle!$F$11,regle!$F$23,
IF(U50=regle!$G$11,regle!$G$23,
IF(U50=regle!$H$11,regle!$H$23,
IF(U50=regle!$I$11,regle!$I$23,
IF(U50=regle!$J$11,regle!$J$23,
IF(U50=regle!$K$11,regle!$K$23,0))))))))))))</f>
        <v>0</v>
      </c>
      <c r="AF50" s="17">
        <f>IF($A50,$J50*(IF(V50=regle!$B$11,regle!$B$23*IF(AO50=-2,1+regle!$B$35,1),
IF(V50=regle!$C$11,regle!$C$23,
IF(V50=regle!$D$11,regle!$D$23,
IF(V50=regle!$E$11,regle!$E$23,
IF(V50=regle!$F$11,regle!$F$23,
IF(V50=regle!$G$11,regle!$G$23,
IF(V50=regle!$H$11,regle!$H$23,
IF(V50=regle!$I$11,regle!$I$23,
IF(V50=regle!$J$11,regle!$J$23,
IF(V50=regle!$K$11,regle!$K$23,0))))))))))))</f>
        <v>0</v>
      </c>
      <c r="AG50" s="17">
        <f>IF($A50,$J50*(IF(W50=regle!$B$11,regle!$B$23*IF(AP50=-2,1+regle!$B$35,1),
IF(W50=regle!$C$11,regle!$C$23,
IF(W50=regle!$D$11,regle!$D$23,
IF(W50=regle!$E$11,regle!$E$23,
IF(W50=regle!$F$11,regle!$F$23,
IF(W50=regle!$G$11,regle!$G$23,
IF(W50=regle!$H$11,regle!$H$23,
IF(W50=regle!$I$11,regle!$I$23,
IF(W50=regle!$J$11,regle!$J$23,
IF(W50=regle!$K$11,regle!$K$23,0))))))))))))</f>
        <v>0</v>
      </c>
      <c r="AH50" s="17">
        <f>IF($A50,$J50*(IF(X50=regle!$B$11,regle!$B$23*IF(AQ50=-2,1+regle!$B$35,1),
IF(X50=regle!$C$11,regle!$C$23,
IF(X50=regle!$D$11,regle!$D$23,
IF(X50=regle!$E$11,regle!$E$23,
IF(X50=regle!$F$11,regle!$F$23,
IF(X50=regle!$G$11,regle!$G$23,
IF(X50=regle!$H$11,regle!$H$23,
IF(X50=regle!$I$11,regle!$I$23,
IF(X50=regle!$J$11,regle!$J$23,
IF(X50=regle!$K$11,regle!$K$23,0))))))))))))</f>
        <v>0</v>
      </c>
      <c r="AI50" s="17">
        <f>IF($A50,$J50*(IF(Y50=regle!$B$11,regle!$B$23*IF(AR50=-2,1+regle!$B$35,1),
IF(Y50=regle!$C$11,regle!$C$23,
IF(Y50=regle!$D$11,regle!$D$23,
IF(Y50=regle!$E$11,regle!$E$23,
IF(Y50=regle!$F$11,regle!$F$23,
IF(Y50=regle!$G$11,regle!$G$23,
IF(Y50=regle!$H$11,regle!$H$23,
IF(Y50=regle!$I$11,regle!$I$23,
IF(Y50=regle!$J$11,regle!$J$23,
IF(Y50=regle!$K$11,regle!$K$23,0))))))))))))</f>
        <v>0</v>
      </c>
      <c r="AJ50" s="17">
        <f>IF($A50,$J50*(IF(Z50=regle!$B$11,regle!$B$23*IF(AS50=-2,1+regle!$B$35,1),
IF(Z50=regle!$C$11,regle!$C$23,
IF(Z50=regle!$D$11,regle!$D$23,
IF(Z50=regle!$E$11,regle!$E$23,
IF(Z50=regle!$F$11,regle!$F$23,
IF(Z50=regle!$G$11,regle!$G$23,
IF(Z50=regle!$H$11,regle!$H$23,
IF(Z50=regle!$I$11,regle!$I$23,
IF(Z50=regle!$J$11,regle!$J$23,
IF(Z50=regle!$K$11,regle!$K$23,0))))))))))))</f>
        <v>0</v>
      </c>
      <c r="AK50" s="16">
        <f>IF(OR(Q50=regle!$J$11,Q50=regle!$K$11),-2,IF(Q50=regle!$B$11,0,IF(AK$1=$AK$1,IF($O50,-1,regle!$B$2-$M50),IF(AJ50=-1,-1,AJ50+1))))</f>
        <v>0</v>
      </c>
      <c r="AL50" s="16">
        <f>IF(OR(R50=regle!$J$11,R50=regle!$K$11),-2,IF(R50=regle!$B$11,0,IF(AL$1=$AK$1,IF($O50,-1,regle!$B$2-$M50),IF(AK50=-1,-1,AK50+1))))</f>
        <v>1</v>
      </c>
      <c r="AM50" s="16">
        <f>IF(OR(S50=regle!$J$11,S50=regle!$K$11),-2,IF(S50=regle!$B$11,0,IF(AM$1=$AK$1,IF($O50,-1,regle!$B$2-$M50),IF(AL50=-1,-1,AL50+1))))</f>
        <v>2</v>
      </c>
      <c r="AN50" s="16">
        <f>IF(OR(T50=regle!$J$11,T50=regle!$K$11),-2,IF(T50=regle!$B$11,0,IF(AN$1=$AK$1,IF($O50,-1,regle!$B$2-$M50),IF(AM50=-1,-1,AM50+1))))</f>
        <v>3</v>
      </c>
      <c r="AO50" s="16">
        <f>IF(OR(U50=regle!$J$11,U50=regle!$K$11),-2,IF(U50=regle!$B$11,0,IF(AO$1=$AK$1,IF($O50,-1,regle!$B$2-$M50),IF(AN50=-1,-1,AN50+1))))</f>
        <v>4</v>
      </c>
      <c r="AP50" s="16">
        <f>IF(OR(V50=regle!$J$11,V50=regle!$K$11),-2,IF(V50=regle!$B$11,0,IF(AP$1=$AK$1,IF($O50,-1,regle!$B$2-$M50),IF(AO50=-1,-1,AO50+1))))</f>
        <v>5</v>
      </c>
      <c r="AQ50" s="16">
        <f>IF(OR(W50=regle!$J$11,W50=regle!$K$11),-2,IF(W50=regle!$B$11,0,IF(AQ$1=$AK$1,IF($O50,-1,regle!$B$2-$M50),IF(AP50=-1,-1,AP50+1))))</f>
        <v>6</v>
      </c>
      <c r="AR50" s="16">
        <f>IF(OR(X50=regle!$J$11,X50=regle!$K$11),-2,IF(X50=regle!$B$11,0,IF(AR$1=$AK$1,IF($O50,-1,regle!$B$2-$M50),IF(AQ50=-1,-1,AQ50+1))))</f>
        <v>7</v>
      </c>
      <c r="AS50" s="16">
        <f>IF(OR(Y50=regle!$J$11,Y50=regle!$K$11),-2,IF(Y50=regle!$B$11,0,IF(AS$1=$AK$1,IF($O50,-1,regle!$B$2-$M50),IF(AR50=-1,-1,AR50+1))))</f>
        <v>8</v>
      </c>
      <c r="AT50" s="16">
        <f>IF(OR(Z50=regle!$J$11,Z50=regle!$K$11),-2,IF(Z50=regle!$B$11,0,IF(AT$1=$AK$1,IF($O50,-1,regle!$B$2-$M50),IF(AS50=-1,-1,AS50+1))))</f>
        <v>9</v>
      </c>
    </row>
    <row r="51" spans="1:46" x14ac:dyDescent="0.25">
      <c r="A51" t="b">
        <f>modif0!A12</f>
        <v>1</v>
      </c>
      <c r="B51">
        <f>ROW(modif0!B12)</f>
        <v>12</v>
      </c>
      <c r="C51" t="str">
        <f>modif0!D12</f>
        <v>202</v>
      </c>
      <c r="D51" t="str">
        <f>modif0!E12</f>
        <v>HOSTENS</v>
      </c>
      <c r="E51">
        <f>modif0!F12</f>
        <v>11</v>
      </c>
      <c r="F51" t="str">
        <f>modif0!G12</f>
        <v>L'ARGILEYRE</v>
      </c>
      <c r="G51" t="str">
        <f>modif0!I12</f>
        <v>0A</v>
      </c>
      <c r="H51">
        <f>modif0!J12</f>
        <v>1312</v>
      </c>
      <c r="I51" t="str">
        <f>modif0!K12</f>
        <v>k</v>
      </c>
      <c r="J51" s="11">
        <f>modif0!M12</f>
        <v>0.86199999999999999</v>
      </c>
      <c r="K51" s="11" t="str">
        <f>modif0!P12</f>
        <v>CR</v>
      </c>
      <c r="L51" t="str">
        <f>modif0!N12</f>
        <v>PM</v>
      </c>
      <c r="M51">
        <f>modif0!Q12</f>
        <v>2022</v>
      </c>
      <c r="N51" t="str">
        <f>modif0!R12</f>
        <v>CR-PM_2022</v>
      </c>
      <c r="O51" t="b">
        <f>modif0!S12</f>
        <v>1</v>
      </c>
      <c r="P51">
        <v>25</v>
      </c>
      <c r="Q51" t="s">
        <v>1868</v>
      </c>
      <c r="AA51" s="17">
        <f>IF($A51,$J51*(IF(Q51=regle!$B$11,regle!$B$23*IF(AJ51=-2,1+regle!$B$35,1),
IF(Q51=regle!$C$11,regle!$C$23,
IF(Q51=regle!$D$11,regle!$D$23,
IF(Q51=regle!$E$11,regle!$E$23,
IF(Q51=regle!$F$11,regle!$F$23,
IF(Q51=regle!$G$11,regle!$G$23,
IF(Q51=regle!$H$11,regle!$H$23,
IF(Q51=regle!$I$11,regle!$I$23,
IF(Q51=regle!$J$11,regle!$J$23,
IF(Q51=regle!$K$11,regle!$K$23,0))))))))))))</f>
        <v>-1465.4</v>
      </c>
      <c r="AB51" s="17">
        <f>IF($A51,$J51*(IF(R51=regle!$B$11,regle!$B$23*IF(AK51=-2,1+regle!$B$35,1),
IF(R51=regle!$C$11,regle!$C$23,
IF(R51=regle!$D$11,regle!$D$23,
IF(R51=regle!$E$11,regle!$E$23,
IF(R51=regle!$F$11,regle!$F$23,
IF(R51=regle!$G$11,regle!$G$23,
IF(R51=regle!$H$11,regle!$H$23,
IF(R51=regle!$I$11,regle!$I$23,
IF(R51=regle!$J$11,regle!$J$23,
IF(R51=regle!$K$11,regle!$K$23,0))))))))))))</f>
        <v>0</v>
      </c>
      <c r="AC51" s="17">
        <f>IF($A51,$J51*(IF(S51=regle!$B$11,regle!$B$23*IF(AL51=-2,1+regle!$B$35,1),
IF(S51=regle!$C$11,regle!$C$23,
IF(S51=regle!$D$11,regle!$D$23,
IF(S51=regle!$E$11,regle!$E$23,
IF(S51=regle!$F$11,regle!$F$23,
IF(S51=regle!$G$11,regle!$G$23,
IF(S51=regle!$H$11,regle!$H$23,
IF(S51=regle!$I$11,regle!$I$23,
IF(S51=regle!$J$11,regle!$J$23,
IF(S51=regle!$K$11,regle!$K$23,0))))))))))))</f>
        <v>0</v>
      </c>
      <c r="AD51" s="17">
        <f>IF($A51,$J51*(IF(T51=regle!$B$11,regle!$B$23*IF(AM51=-2,1+regle!$B$35,1),
IF(T51=regle!$C$11,regle!$C$23,
IF(T51=regle!$D$11,regle!$D$23,
IF(T51=regle!$E$11,regle!$E$23,
IF(T51=regle!$F$11,regle!$F$23,
IF(T51=regle!$G$11,regle!$G$23,
IF(T51=regle!$H$11,regle!$H$23,
IF(T51=regle!$I$11,regle!$I$23,
IF(T51=regle!$J$11,regle!$J$23,
IF(T51=regle!$K$11,regle!$K$23,0))))))))))))</f>
        <v>0</v>
      </c>
      <c r="AE51" s="17">
        <f>IF($A51,$J51*(IF(U51=regle!$B$11,regle!$B$23*IF(AN51=-2,1+regle!$B$35,1),
IF(U51=regle!$C$11,regle!$C$23,
IF(U51=regle!$D$11,regle!$D$23,
IF(U51=regle!$E$11,regle!$E$23,
IF(U51=regle!$F$11,regle!$F$23,
IF(U51=regle!$G$11,regle!$G$23,
IF(U51=regle!$H$11,regle!$H$23,
IF(U51=regle!$I$11,regle!$I$23,
IF(U51=regle!$J$11,regle!$J$23,
IF(U51=regle!$K$11,regle!$K$23,0))))))))))))</f>
        <v>0</v>
      </c>
      <c r="AF51" s="17">
        <f>IF($A51,$J51*(IF(V51=regle!$B$11,regle!$B$23*IF(AO51=-2,1+regle!$B$35,1),
IF(V51=regle!$C$11,regle!$C$23,
IF(V51=regle!$D$11,regle!$D$23,
IF(V51=regle!$E$11,regle!$E$23,
IF(V51=regle!$F$11,regle!$F$23,
IF(V51=regle!$G$11,regle!$G$23,
IF(V51=regle!$H$11,regle!$H$23,
IF(V51=regle!$I$11,regle!$I$23,
IF(V51=regle!$J$11,regle!$J$23,
IF(V51=regle!$K$11,regle!$K$23,0))))))))))))</f>
        <v>0</v>
      </c>
      <c r="AG51" s="17">
        <f>IF($A51,$J51*(IF(W51=regle!$B$11,regle!$B$23*IF(AP51=-2,1+regle!$B$35,1),
IF(W51=regle!$C$11,regle!$C$23,
IF(W51=regle!$D$11,regle!$D$23,
IF(W51=regle!$E$11,regle!$E$23,
IF(W51=regle!$F$11,regle!$F$23,
IF(W51=regle!$G$11,regle!$G$23,
IF(W51=regle!$H$11,regle!$H$23,
IF(W51=regle!$I$11,regle!$I$23,
IF(W51=regle!$J$11,regle!$J$23,
IF(W51=regle!$K$11,regle!$K$23,0))))))))))))</f>
        <v>0</v>
      </c>
      <c r="AH51" s="17">
        <f>IF($A51,$J51*(IF(X51=regle!$B$11,regle!$B$23*IF(AQ51=-2,1+regle!$B$35,1),
IF(X51=regle!$C$11,regle!$C$23,
IF(X51=regle!$D$11,regle!$D$23,
IF(X51=regle!$E$11,regle!$E$23,
IF(X51=regle!$F$11,regle!$F$23,
IF(X51=regle!$G$11,regle!$G$23,
IF(X51=regle!$H$11,regle!$H$23,
IF(X51=regle!$I$11,regle!$I$23,
IF(X51=regle!$J$11,regle!$J$23,
IF(X51=regle!$K$11,regle!$K$23,0))))))))))))</f>
        <v>0</v>
      </c>
      <c r="AI51" s="17">
        <f>IF($A51,$J51*(IF(Y51=regle!$B$11,regle!$B$23*IF(AR51=-2,1+regle!$B$35,1),
IF(Y51=regle!$C$11,regle!$C$23,
IF(Y51=regle!$D$11,regle!$D$23,
IF(Y51=regle!$E$11,regle!$E$23,
IF(Y51=regle!$F$11,regle!$F$23,
IF(Y51=regle!$G$11,regle!$G$23,
IF(Y51=regle!$H$11,regle!$H$23,
IF(Y51=regle!$I$11,regle!$I$23,
IF(Y51=regle!$J$11,regle!$J$23,
IF(Y51=regle!$K$11,regle!$K$23,0))))))))))))</f>
        <v>0</v>
      </c>
      <c r="AJ51" s="17">
        <f>IF($A51,$J51*(IF(Z51=regle!$B$11,regle!$B$23*IF(AS51=-2,1+regle!$B$35,1),
IF(Z51=regle!$C$11,regle!$C$23,
IF(Z51=regle!$D$11,regle!$D$23,
IF(Z51=regle!$E$11,regle!$E$23,
IF(Z51=regle!$F$11,regle!$F$23,
IF(Z51=regle!$G$11,regle!$G$23,
IF(Z51=regle!$H$11,regle!$H$23,
IF(Z51=regle!$I$11,regle!$I$23,
IF(Z51=regle!$J$11,regle!$J$23,
IF(Z51=regle!$K$11,regle!$K$23,0))))))))))))</f>
        <v>0</v>
      </c>
      <c r="AK51" s="16">
        <f>IF(OR(Q51=regle!$J$11,Q51=regle!$K$11),-2,IF(Q51=regle!$B$11,0,IF(AK$1=$AK$1,IF($O51,-1,regle!$B$2-$M51),IF(AJ51=-1,-1,AJ51+1))))</f>
        <v>0</v>
      </c>
      <c r="AL51" s="16">
        <f>IF(OR(R51=regle!$J$11,R51=regle!$K$11),-2,IF(R51=regle!$B$11,0,IF(AL$1=$AK$1,IF($O51,-1,regle!$B$2-$M51),IF(AK51=-1,-1,AK51+1))))</f>
        <v>1</v>
      </c>
      <c r="AM51" s="16">
        <f>IF(OR(S51=regle!$J$11,S51=regle!$K$11),-2,IF(S51=regle!$B$11,0,IF(AM$1=$AK$1,IF($O51,-1,regle!$B$2-$M51),IF(AL51=-1,-1,AL51+1))))</f>
        <v>2</v>
      </c>
      <c r="AN51" s="16">
        <f>IF(OR(T51=regle!$J$11,T51=regle!$K$11),-2,IF(T51=regle!$B$11,0,IF(AN$1=$AK$1,IF($O51,-1,regle!$B$2-$M51),IF(AM51=-1,-1,AM51+1))))</f>
        <v>3</v>
      </c>
      <c r="AO51" s="16">
        <f>IF(OR(U51=regle!$J$11,U51=regle!$K$11),-2,IF(U51=regle!$B$11,0,IF(AO$1=$AK$1,IF($O51,-1,regle!$B$2-$M51),IF(AN51=-1,-1,AN51+1))))</f>
        <v>4</v>
      </c>
      <c r="AP51" s="16">
        <f>IF(OR(V51=regle!$J$11,V51=regle!$K$11),-2,IF(V51=regle!$B$11,0,IF(AP$1=$AK$1,IF($O51,-1,regle!$B$2-$M51),IF(AO51=-1,-1,AO51+1))))</f>
        <v>5</v>
      </c>
      <c r="AQ51" s="16">
        <f>IF(OR(W51=regle!$J$11,W51=regle!$K$11),-2,IF(W51=regle!$B$11,0,IF(AQ$1=$AK$1,IF($O51,-1,regle!$B$2-$M51),IF(AP51=-1,-1,AP51+1))))</f>
        <v>6</v>
      </c>
      <c r="AR51" s="16">
        <f>IF(OR(X51=regle!$J$11,X51=regle!$K$11),-2,IF(X51=regle!$B$11,0,IF(AR$1=$AK$1,IF($O51,-1,regle!$B$2-$M51),IF(AQ51=-1,-1,AQ51+1))))</f>
        <v>7</v>
      </c>
      <c r="AS51" s="16">
        <f>IF(OR(Y51=regle!$J$11,Y51=regle!$K$11),-2,IF(Y51=regle!$B$11,0,IF(AS$1=$AK$1,IF($O51,-1,regle!$B$2-$M51),IF(AR51=-1,-1,AR51+1))))</f>
        <v>8</v>
      </c>
      <c r="AT51" s="16">
        <f>IF(OR(Z51=regle!$J$11,Z51=regle!$K$11),-2,IF(Z51=regle!$B$11,0,IF(AT$1=$AK$1,IF($O51,-1,regle!$B$2-$M51),IF(AS51=-1,-1,AS51+1))))</f>
        <v>9</v>
      </c>
    </row>
    <row r="52" spans="1:46" x14ac:dyDescent="0.25">
      <c r="A52" t="b">
        <f>modif0!A269</f>
        <v>1</v>
      </c>
      <c r="B52">
        <f>ROW(modif0!B269)</f>
        <v>269</v>
      </c>
      <c r="C52" t="str">
        <f>modif0!D269</f>
        <v>171</v>
      </c>
      <c r="D52" t="str">
        <f>modif0!E269</f>
        <v>MANO</v>
      </c>
      <c r="E52">
        <f>modif0!F269</f>
        <v>17</v>
      </c>
      <c r="F52" t="str">
        <f>modif0!G269</f>
        <v>LANDE DE TABARTON</v>
      </c>
      <c r="G52" t="str">
        <f>modif0!I269</f>
        <v>0B</v>
      </c>
      <c r="H52">
        <f>modif0!J269</f>
        <v>303</v>
      </c>
      <c r="I52" t="str">
        <f>modif0!K269</f>
        <v>j</v>
      </c>
      <c r="J52" s="11">
        <f>modif0!M269</f>
        <v>0.84970000000000001</v>
      </c>
      <c r="K52" s="11" t="str">
        <f>modif0!P269</f>
        <v>CR</v>
      </c>
      <c r="L52" t="str">
        <f>modif0!N269</f>
        <v>PM</v>
      </c>
      <c r="M52">
        <f>modif0!Q269</f>
        <v>2022</v>
      </c>
      <c r="N52" t="str">
        <f>modif0!R269</f>
        <v>CR-PM_2022</v>
      </c>
      <c r="O52" t="b">
        <f>modif0!S269</f>
        <v>1</v>
      </c>
      <c r="P52">
        <v>25</v>
      </c>
      <c r="Q52" t="s">
        <v>1868</v>
      </c>
      <c r="AA52" s="17">
        <f>IF($A52,$J52*(IF(Q52=regle!$B$11,regle!$B$23*IF(AJ52=-2,1+regle!$B$35,1),
IF(Q52=regle!$C$11,regle!$C$23,
IF(Q52=regle!$D$11,regle!$D$23,
IF(Q52=regle!$E$11,regle!$E$23,
IF(Q52=regle!$F$11,regle!$F$23,
IF(Q52=regle!$G$11,regle!$G$23,
IF(Q52=regle!$H$11,regle!$H$23,
IF(Q52=regle!$I$11,regle!$I$23,
IF(Q52=regle!$J$11,regle!$J$23,
IF(Q52=regle!$K$11,regle!$K$23,0))))))))))))</f>
        <v>-1444.49</v>
      </c>
      <c r="AB52" s="17">
        <f>IF($A52,$J52*(IF(R52=regle!$B$11,regle!$B$23*IF(AK52=-2,1+regle!$B$35,1),
IF(R52=regle!$C$11,regle!$C$23,
IF(R52=regle!$D$11,regle!$D$23,
IF(R52=regle!$E$11,regle!$E$23,
IF(R52=regle!$F$11,regle!$F$23,
IF(R52=regle!$G$11,regle!$G$23,
IF(R52=regle!$H$11,regle!$H$23,
IF(R52=regle!$I$11,regle!$I$23,
IF(R52=regle!$J$11,regle!$J$23,
IF(R52=regle!$K$11,regle!$K$23,0))))))))))))</f>
        <v>0</v>
      </c>
      <c r="AC52" s="17">
        <f>IF($A52,$J52*(IF(S52=regle!$B$11,regle!$B$23*IF(AL52=-2,1+regle!$B$35,1),
IF(S52=regle!$C$11,regle!$C$23,
IF(S52=regle!$D$11,regle!$D$23,
IF(S52=regle!$E$11,regle!$E$23,
IF(S52=regle!$F$11,regle!$F$23,
IF(S52=regle!$G$11,regle!$G$23,
IF(S52=regle!$H$11,regle!$H$23,
IF(S52=regle!$I$11,regle!$I$23,
IF(S52=regle!$J$11,regle!$J$23,
IF(S52=regle!$K$11,regle!$K$23,0))))))))))))</f>
        <v>0</v>
      </c>
      <c r="AD52" s="17">
        <f>IF($A52,$J52*(IF(T52=regle!$B$11,regle!$B$23*IF(AM52=-2,1+regle!$B$35,1),
IF(T52=regle!$C$11,regle!$C$23,
IF(T52=regle!$D$11,regle!$D$23,
IF(T52=regle!$E$11,regle!$E$23,
IF(T52=regle!$F$11,regle!$F$23,
IF(T52=regle!$G$11,regle!$G$23,
IF(T52=regle!$H$11,regle!$H$23,
IF(T52=regle!$I$11,regle!$I$23,
IF(T52=regle!$J$11,regle!$J$23,
IF(T52=regle!$K$11,regle!$K$23,0))))))))))))</f>
        <v>0</v>
      </c>
      <c r="AE52" s="17">
        <f>IF($A52,$J52*(IF(U52=regle!$B$11,regle!$B$23*IF(AN52=-2,1+regle!$B$35,1),
IF(U52=regle!$C$11,regle!$C$23,
IF(U52=regle!$D$11,regle!$D$23,
IF(U52=regle!$E$11,regle!$E$23,
IF(U52=regle!$F$11,regle!$F$23,
IF(U52=regle!$G$11,regle!$G$23,
IF(U52=regle!$H$11,regle!$H$23,
IF(U52=regle!$I$11,regle!$I$23,
IF(U52=regle!$J$11,regle!$J$23,
IF(U52=regle!$K$11,regle!$K$23,0))))))))))))</f>
        <v>0</v>
      </c>
      <c r="AF52" s="17">
        <f>IF($A52,$J52*(IF(V52=regle!$B$11,regle!$B$23*IF(AO52=-2,1+regle!$B$35,1),
IF(V52=regle!$C$11,regle!$C$23,
IF(V52=regle!$D$11,regle!$D$23,
IF(V52=regle!$E$11,regle!$E$23,
IF(V52=regle!$F$11,regle!$F$23,
IF(V52=regle!$G$11,regle!$G$23,
IF(V52=regle!$H$11,regle!$H$23,
IF(V52=regle!$I$11,regle!$I$23,
IF(V52=regle!$J$11,regle!$J$23,
IF(V52=regle!$K$11,regle!$K$23,0))))))))))))</f>
        <v>0</v>
      </c>
      <c r="AG52" s="17">
        <f>IF($A52,$J52*(IF(W52=regle!$B$11,regle!$B$23*IF(AP52=-2,1+regle!$B$35,1),
IF(W52=regle!$C$11,regle!$C$23,
IF(W52=regle!$D$11,regle!$D$23,
IF(W52=regle!$E$11,regle!$E$23,
IF(W52=regle!$F$11,regle!$F$23,
IF(W52=regle!$G$11,regle!$G$23,
IF(W52=regle!$H$11,regle!$H$23,
IF(W52=regle!$I$11,regle!$I$23,
IF(W52=regle!$J$11,regle!$J$23,
IF(W52=regle!$K$11,regle!$K$23,0))))))))))))</f>
        <v>0</v>
      </c>
      <c r="AH52" s="17">
        <f>IF($A52,$J52*(IF(X52=regle!$B$11,regle!$B$23*IF(AQ52=-2,1+regle!$B$35,1),
IF(X52=regle!$C$11,regle!$C$23,
IF(X52=regle!$D$11,regle!$D$23,
IF(X52=regle!$E$11,regle!$E$23,
IF(X52=regle!$F$11,regle!$F$23,
IF(X52=regle!$G$11,regle!$G$23,
IF(X52=regle!$H$11,regle!$H$23,
IF(X52=regle!$I$11,regle!$I$23,
IF(X52=regle!$J$11,regle!$J$23,
IF(X52=regle!$K$11,regle!$K$23,0))))))))))))</f>
        <v>0</v>
      </c>
      <c r="AI52" s="17">
        <f>IF($A52,$J52*(IF(Y52=regle!$B$11,regle!$B$23*IF(AR52=-2,1+regle!$B$35,1),
IF(Y52=regle!$C$11,regle!$C$23,
IF(Y52=regle!$D$11,regle!$D$23,
IF(Y52=regle!$E$11,regle!$E$23,
IF(Y52=regle!$F$11,regle!$F$23,
IF(Y52=regle!$G$11,regle!$G$23,
IF(Y52=regle!$H$11,regle!$H$23,
IF(Y52=regle!$I$11,regle!$I$23,
IF(Y52=regle!$J$11,regle!$J$23,
IF(Y52=regle!$K$11,regle!$K$23,0))))))))))))</f>
        <v>0</v>
      </c>
      <c r="AJ52" s="17">
        <f>IF($A52,$J52*(IF(Z52=regle!$B$11,regle!$B$23*IF(AS52=-2,1+regle!$B$35,1),
IF(Z52=regle!$C$11,regle!$C$23,
IF(Z52=regle!$D$11,regle!$D$23,
IF(Z52=regle!$E$11,regle!$E$23,
IF(Z52=regle!$F$11,regle!$F$23,
IF(Z52=regle!$G$11,regle!$G$23,
IF(Z52=regle!$H$11,regle!$H$23,
IF(Z52=regle!$I$11,regle!$I$23,
IF(Z52=regle!$J$11,regle!$J$23,
IF(Z52=regle!$K$11,regle!$K$23,0))))))))))))</f>
        <v>0</v>
      </c>
      <c r="AK52" s="16">
        <f>IF(OR(Q52=regle!$J$11,Q52=regle!$K$11),-2,IF(Q52=regle!$B$11,0,IF(AK$1=$AK$1,IF($O52,-1,regle!$B$2-$M52),IF(AJ52=-1,-1,AJ52+1))))</f>
        <v>0</v>
      </c>
      <c r="AL52" s="16">
        <f>IF(OR(R52=regle!$J$11,R52=regle!$K$11),-2,IF(R52=regle!$B$11,0,IF(AL$1=$AK$1,IF($O52,-1,regle!$B$2-$M52),IF(AK52=-1,-1,AK52+1))))</f>
        <v>1</v>
      </c>
      <c r="AM52" s="16">
        <f>IF(OR(S52=regle!$J$11,S52=regle!$K$11),-2,IF(S52=regle!$B$11,0,IF(AM$1=$AK$1,IF($O52,-1,regle!$B$2-$M52),IF(AL52=-1,-1,AL52+1))))</f>
        <v>2</v>
      </c>
      <c r="AN52" s="16">
        <f>IF(OR(T52=regle!$J$11,T52=regle!$K$11),-2,IF(T52=regle!$B$11,0,IF(AN$1=$AK$1,IF($O52,-1,regle!$B$2-$M52),IF(AM52=-1,-1,AM52+1))))</f>
        <v>3</v>
      </c>
      <c r="AO52" s="16">
        <f>IF(OR(U52=regle!$J$11,U52=regle!$K$11),-2,IF(U52=regle!$B$11,0,IF(AO$1=$AK$1,IF($O52,-1,regle!$B$2-$M52),IF(AN52=-1,-1,AN52+1))))</f>
        <v>4</v>
      </c>
      <c r="AP52" s="16">
        <f>IF(OR(V52=regle!$J$11,V52=regle!$K$11),-2,IF(V52=regle!$B$11,0,IF(AP$1=$AK$1,IF($O52,-1,regle!$B$2-$M52),IF(AO52=-1,-1,AO52+1))))</f>
        <v>5</v>
      </c>
      <c r="AQ52" s="16">
        <f>IF(OR(W52=regle!$J$11,W52=regle!$K$11),-2,IF(W52=regle!$B$11,0,IF(AQ$1=$AK$1,IF($O52,-1,regle!$B$2-$M52),IF(AP52=-1,-1,AP52+1))))</f>
        <v>6</v>
      </c>
      <c r="AR52" s="16">
        <f>IF(OR(X52=regle!$J$11,X52=regle!$K$11),-2,IF(X52=regle!$B$11,0,IF(AR$1=$AK$1,IF($O52,-1,regle!$B$2-$M52),IF(AQ52=-1,-1,AQ52+1))))</f>
        <v>7</v>
      </c>
      <c r="AS52" s="16">
        <f>IF(OR(Y52=regle!$J$11,Y52=regle!$K$11),-2,IF(Y52=regle!$B$11,0,IF(AS$1=$AK$1,IF($O52,-1,regle!$B$2-$M52),IF(AR52=-1,-1,AR52+1))))</f>
        <v>8</v>
      </c>
      <c r="AT52" s="16">
        <f>IF(OR(Z52=regle!$J$11,Z52=regle!$K$11),-2,IF(Z52=regle!$B$11,0,IF(AT$1=$AK$1,IF($O52,-1,regle!$B$2-$M52),IF(AS52=-1,-1,AS52+1))))</f>
        <v>9</v>
      </c>
    </row>
    <row r="53" spans="1:46" x14ac:dyDescent="0.25">
      <c r="A53" t="b">
        <f>modif0!A275</f>
        <v>1</v>
      </c>
      <c r="B53">
        <f>ROW(modif0!B275)</f>
        <v>275</v>
      </c>
      <c r="C53" t="str">
        <f>modif0!D275</f>
        <v>171</v>
      </c>
      <c r="D53" t="str">
        <f>modif0!E275</f>
        <v>MANO</v>
      </c>
      <c r="E53">
        <f>modif0!F275</f>
        <v>17</v>
      </c>
      <c r="F53" t="str">
        <f>modif0!G275</f>
        <v>LANDE DE TABARTON</v>
      </c>
      <c r="G53" t="str">
        <f>modif0!I275</f>
        <v>0B</v>
      </c>
      <c r="H53">
        <f>modif0!J275</f>
        <v>308</v>
      </c>
      <c r="I53" t="str">
        <f>modif0!K275</f>
        <v>j</v>
      </c>
      <c r="J53" s="11">
        <f>modif0!M275</f>
        <v>0.84750000000000003</v>
      </c>
      <c r="K53" s="11" t="str">
        <f>modif0!P275</f>
        <v>CR</v>
      </c>
      <c r="L53" t="str">
        <f>modif0!N275</f>
        <v>PM</v>
      </c>
      <c r="M53">
        <f>modif0!Q275</f>
        <v>2022</v>
      </c>
      <c r="N53" t="str">
        <f>modif0!R275</f>
        <v>CR-PM_2022</v>
      </c>
      <c r="O53" t="b">
        <f>modif0!S275</f>
        <v>1</v>
      </c>
      <c r="P53">
        <v>25</v>
      </c>
      <c r="Q53" t="s">
        <v>1868</v>
      </c>
      <c r="AA53" s="17">
        <f>IF($A53,$J53*(IF(Q53=regle!$B$11,regle!$B$23*IF(AJ53=-2,1+regle!$B$35,1),
IF(Q53=regle!$C$11,regle!$C$23,
IF(Q53=regle!$D$11,regle!$D$23,
IF(Q53=regle!$E$11,regle!$E$23,
IF(Q53=regle!$F$11,regle!$F$23,
IF(Q53=regle!$G$11,regle!$G$23,
IF(Q53=regle!$H$11,regle!$H$23,
IF(Q53=regle!$I$11,regle!$I$23,
IF(Q53=regle!$J$11,regle!$J$23,
IF(Q53=regle!$K$11,regle!$K$23,0))))))))))))</f>
        <v>-1440.75</v>
      </c>
      <c r="AB53" s="17">
        <f>IF($A53,$J53*(IF(R53=regle!$B$11,regle!$B$23*IF(AK53=-2,1+regle!$B$35,1),
IF(R53=regle!$C$11,regle!$C$23,
IF(R53=regle!$D$11,regle!$D$23,
IF(R53=regle!$E$11,regle!$E$23,
IF(R53=regle!$F$11,regle!$F$23,
IF(R53=regle!$G$11,regle!$G$23,
IF(R53=regle!$H$11,regle!$H$23,
IF(R53=regle!$I$11,regle!$I$23,
IF(R53=regle!$J$11,regle!$J$23,
IF(R53=regle!$K$11,regle!$K$23,0))))))))))))</f>
        <v>0</v>
      </c>
      <c r="AC53" s="17">
        <f>IF($A53,$J53*(IF(S53=regle!$B$11,regle!$B$23*IF(AL53=-2,1+regle!$B$35,1),
IF(S53=regle!$C$11,regle!$C$23,
IF(S53=regle!$D$11,regle!$D$23,
IF(S53=regle!$E$11,regle!$E$23,
IF(S53=regle!$F$11,regle!$F$23,
IF(S53=regle!$G$11,regle!$G$23,
IF(S53=regle!$H$11,regle!$H$23,
IF(S53=regle!$I$11,regle!$I$23,
IF(S53=regle!$J$11,regle!$J$23,
IF(S53=regle!$K$11,regle!$K$23,0))))))))))))</f>
        <v>0</v>
      </c>
      <c r="AD53" s="17">
        <f>IF($A53,$J53*(IF(T53=regle!$B$11,regle!$B$23*IF(AM53=-2,1+regle!$B$35,1),
IF(T53=regle!$C$11,regle!$C$23,
IF(T53=regle!$D$11,regle!$D$23,
IF(T53=regle!$E$11,regle!$E$23,
IF(T53=regle!$F$11,regle!$F$23,
IF(T53=regle!$G$11,regle!$G$23,
IF(T53=regle!$H$11,regle!$H$23,
IF(T53=regle!$I$11,regle!$I$23,
IF(T53=regle!$J$11,regle!$J$23,
IF(T53=regle!$K$11,regle!$K$23,0))))))))))))</f>
        <v>0</v>
      </c>
      <c r="AE53" s="17">
        <f>IF($A53,$J53*(IF(U53=regle!$B$11,regle!$B$23*IF(AN53=-2,1+regle!$B$35,1),
IF(U53=regle!$C$11,regle!$C$23,
IF(U53=regle!$D$11,regle!$D$23,
IF(U53=regle!$E$11,regle!$E$23,
IF(U53=regle!$F$11,regle!$F$23,
IF(U53=regle!$G$11,regle!$G$23,
IF(U53=regle!$H$11,regle!$H$23,
IF(U53=regle!$I$11,regle!$I$23,
IF(U53=regle!$J$11,regle!$J$23,
IF(U53=regle!$K$11,regle!$K$23,0))))))))))))</f>
        <v>0</v>
      </c>
      <c r="AF53" s="17">
        <f>IF($A53,$J53*(IF(V53=regle!$B$11,regle!$B$23*IF(AO53=-2,1+regle!$B$35,1),
IF(V53=regle!$C$11,regle!$C$23,
IF(V53=regle!$D$11,regle!$D$23,
IF(V53=regle!$E$11,regle!$E$23,
IF(V53=regle!$F$11,regle!$F$23,
IF(V53=regle!$G$11,regle!$G$23,
IF(V53=regle!$H$11,regle!$H$23,
IF(V53=regle!$I$11,regle!$I$23,
IF(V53=regle!$J$11,regle!$J$23,
IF(V53=regle!$K$11,regle!$K$23,0))))))))))))</f>
        <v>0</v>
      </c>
      <c r="AG53" s="17">
        <f>IF($A53,$J53*(IF(W53=regle!$B$11,regle!$B$23*IF(AP53=-2,1+regle!$B$35,1),
IF(W53=regle!$C$11,regle!$C$23,
IF(W53=regle!$D$11,regle!$D$23,
IF(W53=regle!$E$11,regle!$E$23,
IF(W53=regle!$F$11,regle!$F$23,
IF(W53=regle!$G$11,regle!$G$23,
IF(W53=regle!$H$11,regle!$H$23,
IF(W53=regle!$I$11,regle!$I$23,
IF(W53=regle!$J$11,regle!$J$23,
IF(W53=regle!$K$11,regle!$K$23,0))))))))))))</f>
        <v>0</v>
      </c>
      <c r="AH53" s="17">
        <f>IF($A53,$J53*(IF(X53=regle!$B$11,regle!$B$23*IF(AQ53=-2,1+regle!$B$35,1),
IF(X53=regle!$C$11,regle!$C$23,
IF(X53=regle!$D$11,regle!$D$23,
IF(X53=regle!$E$11,regle!$E$23,
IF(X53=regle!$F$11,regle!$F$23,
IF(X53=regle!$G$11,regle!$G$23,
IF(X53=regle!$H$11,regle!$H$23,
IF(X53=regle!$I$11,regle!$I$23,
IF(X53=regle!$J$11,regle!$J$23,
IF(X53=regle!$K$11,regle!$K$23,0))))))))))))</f>
        <v>0</v>
      </c>
      <c r="AI53" s="17">
        <f>IF($A53,$J53*(IF(Y53=regle!$B$11,regle!$B$23*IF(AR53=-2,1+regle!$B$35,1),
IF(Y53=regle!$C$11,regle!$C$23,
IF(Y53=regle!$D$11,regle!$D$23,
IF(Y53=regle!$E$11,regle!$E$23,
IF(Y53=regle!$F$11,regle!$F$23,
IF(Y53=regle!$G$11,regle!$G$23,
IF(Y53=regle!$H$11,regle!$H$23,
IF(Y53=regle!$I$11,regle!$I$23,
IF(Y53=regle!$J$11,regle!$J$23,
IF(Y53=regle!$K$11,regle!$K$23,0))))))))))))</f>
        <v>0</v>
      </c>
      <c r="AJ53" s="17">
        <f>IF($A53,$J53*(IF(Z53=regle!$B$11,regle!$B$23*IF(AS53=-2,1+regle!$B$35,1),
IF(Z53=regle!$C$11,regle!$C$23,
IF(Z53=regle!$D$11,regle!$D$23,
IF(Z53=regle!$E$11,regle!$E$23,
IF(Z53=regle!$F$11,regle!$F$23,
IF(Z53=regle!$G$11,regle!$G$23,
IF(Z53=regle!$H$11,regle!$H$23,
IF(Z53=regle!$I$11,regle!$I$23,
IF(Z53=regle!$J$11,regle!$J$23,
IF(Z53=regle!$K$11,regle!$K$23,0))))))))))))</f>
        <v>0</v>
      </c>
      <c r="AK53" s="16">
        <f>IF(OR(Q53=regle!$J$11,Q53=regle!$K$11),-2,IF(Q53=regle!$B$11,0,IF(AK$1=$AK$1,IF($O53,-1,regle!$B$2-$M53),IF(AJ53=-1,-1,AJ53+1))))</f>
        <v>0</v>
      </c>
      <c r="AL53" s="16">
        <f>IF(OR(R53=regle!$J$11,R53=regle!$K$11),-2,IF(R53=regle!$B$11,0,IF(AL$1=$AK$1,IF($O53,-1,regle!$B$2-$M53),IF(AK53=-1,-1,AK53+1))))</f>
        <v>1</v>
      </c>
      <c r="AM53" s="16">
        <f>IF(OR(S53=regle!$J$11,S53=regle!$K$11),-2,IF(S53=regle!$B$11,0,IF(AM$1=$AK$1,IF($O53,-1,regle!$B$2-$M53),IF(AL53=-1,-1,AL53+1))))</f>
        <v>2</v>
      </c>
      <c r="AN53" s="16">
        <f>IF(OR(T53=regle!$J$11,T53=regle!$K$11),-2,IF(T53=regle!$B$11,0,IF(AN$1=$AK$1,IF($O53,-1,regle!$B$2-$M53),IF(AM53=-1,-1,AM53+1))))</f>
        <v>3</v>
      </c>
      <c r="AO53" s="16">
        <f>IF(OR(U53=regle!$J$11,U53=regle!$K$11),-2,IF(U53=regle!$B$11,0,IF(AO$1=$AK$1,IF($O53,-1,regle!$B$2-$M53),IF(AN53=-1,-1,AN53+1))))</f>
        <v>4</v>
      </c>
      <c r="AP53" s="16">
        <f>IF(OR(V53=regle!$J$11,V53=regle!$K$11),-2,IF(V53=regle!$B$11,0,IF(AP$1=$AK$1,IF($O53,-1,regle!$B$2-$M53),IF(AO53=-1,-1,AO53+1))))</f>
        <v>5</v>
      </c>
      <c r="AQ53" s="16">
        <f>IF(OR(W53=regle!$J$11,W53=regle!$K$11),-2,IF(W53=regle!$B$11,0,IF(AQ$1=$AK$1,IF($O53,-1,regle!$B$2-$M53),IF(AP53=-1,-1,AP53+1))))</f>
        <v>6</v>
      </c>
      <c r="AR53" s="16">
        <f>IF(OR(X53=regle!$J$11,X53=regle!$K$11),-2,IF(X53=regle!$B$11,0,IF(AR$1=$AK$1,IF($O53,-1,regle!$B$2-$M53),IF(AQ53=-1,-1,AQ53+1))))</f>
        <v>7</v>
      </c>
      <c r="AS53" s="16">
        <f>IF(OR(Y53=regle!$J$11,Y53=regle!$K$11),-2,IF(Y53=regle!$B$11,0,IF(AS$1=$AK$1,IF($O53,-1,regle!$B$2-$M53),IF(AR53=-1,-1,AR53+1))))</f>
        <v>8</v>
      </c>
      <c r="AT53" s="16">
        <f>IF(OR(Z53=regle!$J$11,Z53=regle!$K$11),-2,IF(Z53=regle!$B$11,0,IF(AT$1=$AK$1,IF($O53,-1,regle!$B$2-$M53),IF(AS53=-1,-1,AS53+1))))</f>
        <v>9</v>
      </c>
    </row>
    <row r="54" spans="1:46" x14ac:dyDescent="0.25">
      <c r="A54" t="b">
        <f>modif0!A359</f>
        <v>1</v>
      </c>
      <c r="B54">
        <f>ROW(modif0!B359)</f>
        <v>359</v>
      </c>
      <c r="C54" t="str">
        <f>modif0!D359</f>
        <v>200</v>
      </c>
      <c r="D54" t="str">
        <f>modif0!E359</f>
        <v>MOUSTEY</v>
      </c>
      <c r="E54">
        <f>modif0!F359</f>
        <v>5</v>
      </c>
      <c r="F54" t="str">
        <f>modif0!G359</f>
        <v>Plata</v>
      </c>
      <c r="G54" t="str">
        <f>modif0!I359</f>
        <v>0M</v>
      </c>
      <c r="H54">
        <f>modif0!J359</f>
        <v>7</v>
      </c>
      <c r="I54" t="str">
        <f>modif0!K359</f>
        <v>a</v>
      </c>
      <c r="J54" s="11">
        <f>modif0!M359</f>
        <v>0.84609999999999996</v>
      </c>
      <c r="K54" s="11" t="str">
        <f>modif0!P359</f>
        <v>CR</v>
      </c>
      <c r="L54" t="str">
        <f>modif0!N359</f>
        <v>PM</v>
      </c>
      <c r="M54">
        <f>modif0!Q359</f>
        <v>2022</v>
      </c>
      <c r="N54" t="str">
        <f>modif0!R359</f>
        <v>CR-PM_2022</v>
      </c>
      <c r="O54" t="b">
        <f>modif0!S359</f>
        <v>1</v>
      </c>
      <c r="P54">
        <v>25</v>
      </c>
      <c r="Q54" t="s">
        <v>1868</v>
      </c>
      <c r="AA54" s="17">
        <f>IF($A54,$J54*(IF(Q54=regle!$B$11,regle!$B$23*IF(AJ54=-2,1+regle!$B$35,1),
IF(Q54=regle!$C$11,regle!$C$23,
IF(Q54=regle!$D$11,regle!$D$23,
IF(Q54=regle!$E$11,regle!$E$23,
IF(Q54=regle!$F$11,regle!$F$23,
IF(Q54=regle!$G$11,regle!$G$23,
IF(Q54=regle!$H$11,regle!$H$23,
IF(Q54=regle!$I$11,regle!$I$23,
IF(Q54=regle!$J$11,regle!$J$23,
IF(Q54=regle!$K$11,regle!$K$23,0))))))))))))</f>
        <v>-1438.37</v>
      </c>
      <c r="AB54" s="17">
        <f>IF($A54,$J54*(IF(R54=regle!$B$11,regle!$B$23*IF(AK54=-2,1+regle!$B$35,1),
IF(R54=regle!$C$11,regle!$C$23,
IF(R54=regle!$D$11,regle!$D$23,
IF(R54=regle!$E$11,regle!$E$23,
IF(R54=regle!$F$11,regle!$F$23,
IF(R54=regle!$G$11,regle!$G$23,
IF(R54=regle!$H$11,regle!$H$23,
IF(R54=regle!$I$11,regle!$I$23,
IF(R54=regle!$J$11,regle!$J$23,
IF(R54=regle!$K$11,regle!$K$23,0))))))))))))</f>
        <v>0</v>
      </c>
      <c r="AC54" s="17">
        <f>IF($A54,$J54*(IF(S54=regle!$B$11,regle!$B$23*IF(AL54=-2,1+regle!$B$35,1),
IF(S54=regle!$C$11,regle!$C$23,
IF(S54=regle!$D$11,regle!$D$23,
IF(S54=regle!$E$11,regle!$E$23,
IF(S54=regle!$F$11,regle!$F$23,
IF(S54=regle!$G$11,regle!$G$23,
IF(S54=regle!$H$11,regle!$H$23,
IF(S54=regle!$I$11,regle!$I$23,
IF(S54=regle!$J$11,regle!$J$23,
IF(S54=regle!$K$11,regle!$K$23,0))))))))))))</f>
        <v>0</v>
      </c>
      <c r="AD54" s="17">
        <f>IF($A54,$J54*(IF(T54=regle!$B$11,regle!$B$23*IF(AM54=-2,1+regle!$B$35,1),
IF(T54=regle!$C$11,regle!$C$23,
IF(T54=regle!$D$11,regle!$D$23,
IF(T54=regle!$E$11,regle!$E$23,
IF(T54=regle!$F$11,regle!$F$23,
IF(T54=regle!$G$11,regle!$G$23,
IF(T54=regle!$H$11,regle!$H$23,
IF(T54=regle!$I$11,regle!$I$23,
IF(T54=regle!$J$11,regle!$J$23,
IF(T54=regle!$K$11,regle!$K$23,0))))))))))))</f>
        <v>0</v>
      </c>
      <c r="AE54" s="17">
        <f>IF($A54,$J54*(IF(U54=regle!$B$11,regle!$B$23*IF(AN54=-2,1+regle!$B$35,1),
IF(U54=regle!$C$11,regle!$C$23,
IF(U54=regle!$D$11,regle!$D$23,
IF(U54=regle!$E$11,regle!$E$23,
IF(U54=regle!$F$11,regle!$F$23,
IF(U54=regle!$G$11,regle!$G$23,
IF(U54=regle!$H$11,regle!$H$23,
IF(U54=regle!$I$11,regle!$I$23,
IF(U54=regle!$J$11,regle!$J$23,
IF(U54=regle!$K$11,regle!$K$23,0))))))))))))</f>
        <v>0</v>
      </c>
      <c r="AF54" s="17">
        <f>IF($A54,$J54*(IF(V54=regle!$B$11,regle!$B$23*IF(AO54=-2,1+regle!$B$35,1),
IF(V54=regle!$C$11,regle!$C$23,
IF(V54=regle!$D$11,regle!$D$23,
IF(V54=regle!$E$11,regle!$E$23,
IF(V54=regle!$F$11,regle!$F$23,
IF(V54=regle!$G$11,regle!$G$23,
IF(V54=regle!$H$11,regle!$H$23,
IF(V54=regle!$I$11,regle!$I$23,
IF(V54=regle!$J$11,regle!$J$23,
IF(V54=regle!$K$11,regle!$K$23,0))))))))))))</f>
        <v>0</v>
      </c>
      <c r="AG54" s="17">
        <f>IF($A54,$J54*(IF(W54=regle!$B$11,regle!$B$23*IF(AP54=-2,1+regle!$B$35,1),
IF(W54=regle!$C$11,regle!$C$23,
IF(W54=regle!$D$11,regle!$D$23,
IF(W54=regle!$E$11,regle!$E$23,
IF(W54=regle!$F$11,regle!$F$23,
IF(W54=regle!$G$11,regle!$G$23,
IF(W54=regle!$H$11,regle!$H$23,
IF(W54=regle!$I$11,regle!$I$23,
IF(W54=regle!$J$11,regle!$J$23,
IF(W54=regle!$K$11,regle!$K$23,0))))))))))))</f>
        <v>0</v>
      </c>
      <c r="AH54" s="17">
        <f>IF($A54,$J54*(IF(X54=regle!$B$11,regle!$B$23*IF(AQ54=-2,1+regle!$B$35,1),
IF(X54=regle!$C$11,regle!$C$23,
IF(X54=regle!$D$11,regle!$D$23,
IF(X54=regle!$E$11,regle!$E$23,
IF(X54=regle!$F$11,regle!$F$23,
IF(X54=regle!$G$11,regle!$G$23,
IF(X54=regle!$H$11,regle!$H$23,
IF(X54=regle!$I$11,regle!$I$23,
IF(X54=regle!$J$11,regle!$J$23,
IF(X54=regle!$K$11,regle!$K$23,0))))))))))))</f>
        <v>0</v>
      </c>
      <c r="AI54" s="17">
        <f>IF($A54,$J54*(IF(Y54=regle!$B$11,regle!$B$23*IF(AR54=-2,1+regle!$B$35,1),
IF(Y54=regle!$C$11,regle!$C$23,
IF(Y54=regle!$D$11,regle!$D$23,
IF(Y54=regle!$E$11,regle!$E$23,
IF(Y54=regle!$F$11,regle!$F$23,
IF(Y54=regle!$G$11,regle!$G$23,
IF(Y54=regle!$H$11,regle!$H$23,
IF(Y54=regle!$I$11,regle!$I$23,
IF(Y54=regle!$J$11,regle!$J$23,
IF(Y54=regle!$K$11,regle!$K$23,0))))))))))))</f>
        <v>0</v>
      </c>
      <c r="AJ54" s="17">
        <f>IF($A54,$J54*(IF(Z54=regle!$B$11,regle!$B$23*IF(AS54=-2,1+regle!$B$35,1),
IF(Z54=regle!$C$11,regle!$C$23,
IF(Z54=regle!$D$11,regle!$D$23,
IF(Z54=regle!$E$11,regle!$E$23,
IF(Z54=regle!$F$11,regle!$F$23,
IF(Z54=regle!$G$11,regle!$G$23,
IF(Z54=regle!$H$11,regle!$H$23,
IF(Z54=regle!$I$11,regle!$I$23,
IF(Z54=regle!$J$11,regle!$J$23,
IF(Z54=regle!$K$11,regle!$K$23,0))))))))))))</f>
        <v>0</v>
      </c>
      <c r="AK54" s="16">
        <f>IF(OR(Q54=regle!$J$11,Q54=regle!$K$11),-2,IF(Q54=regle!$B$11,0,IF(AK$1=$AK$1,IF($O54,-1,regle!$B$2-$M54),IF(AJ54=-1,-1,AJ54+1))))</f>
        <v>0</v>
      </c>
      <c r="AL54" s="16">
        <f>IF(OR(R54=regle!$J$11,R54=regle!$K$11),-2,IF(R54=regle!$B$11,0,IF(AL$1=$AK$1,IF($O54,-1,regle!$B$2-$M54),IF(AK54=-1,-1,AK54+1))))</f>
        <v>1</v>
      </c>
      <c r="AM54" s="16">
        <f>IF(OR(S54=regle!$J$11,S54=regle!$K$11),-2,IF(S54=regle!$B$11,0,IF(AM$1=$AK$1,IF($O54,-1,regle!$B$2-$M54),IF(AL54=-1,-1,AL54+1))))</f>
        <v>2</v>
      </c>
      <c r="AN54" s="16">
        <f>IF(OR(T54=regle!$J$11,T54=regle!$K$11),-2,IF(T54=regle!$B$11,0,IF(AN$1=$AK$1,IF($O54,-1,regle!$B$2-$M54),IF(AM54=-1,-1,AM54+1))))</f>
        <v>3</v>
      </c>
      <c r="AO54" s="16">
        <f>IF(OR(U54=regle!$J$11,U54=regle!$K$11),-2,IF(U54=regle!$B$11,0,IF(AO$1=$AK$1,IF($O54,-1,regle!$B$2-$M54),IF(AN54=-1,-1,AN54+1))))</f>
        <v>4</v>
      </c>
      <c r="AP54" s="16">
        <f>IF(OR(V54=regle!$J$11,V54=regle!$K$11),-2,IF(V54=regle!$B$11,0,IF(AP$1=$AK$1,IF($O54,-1,regle!$B$2-$M54),IF(AO54=-1,-1,AO54+1))))</f>
        <v>5</v>
      </c>
      <c r="AQ54" s="16">
        <f>IF(OR(W54=regle!$J$11,W54=regle!$K$11),-2,IF(W54=regle!$B$11,0,IF(AQ$1=$AK$1,IF($O54,-1,regle!$B$2-$M54),IF(AP54=-1,-1,AP54+1))))</f>
        <v>6</v>
      </c>
      <c r="AR54" s="16">
        <f>IF(OR(X54=regle!$J$11,X54=regle!$K$11),-2,IF(X54=regle!$B$11,0,IF(AR$1=$AK$1,IF($O54,-1,regle!$B$2-$M54),IF(AQ54=-1,-1,AQ54+1))))</f>
        <v>7</v>
      </c>
      <c r="AS54" s="16">
        <f>IF(OR(Y54=regle!$J$11,Y54=regle!$K$11),-2,IF(Y54=regle!$B$11,0,IF(AS$1=$AK$1,IF($O54,-1,regle!$B$2-$M54),IF(AR54=-1,-1,AR54+1))))</f>
        <v>8</v>
      </c>
      <c r="AT54" s="16">
        <f>IF(OR(Z54=regle!$J$11,Z54=regle!$K$11),-2,IF(Z54=regle!$B$11,0,IF(AT$1=$AK$1,IF($O54,-1,regle!$B$2-$M54),IF(AS54=-1,-1,AS54+1))))</f>
        <v>9</v>
      </c>
    </row>
    <row r="55" spans="1:46" x14ac:dyDescent="0.25">
      <c r="A55" t="b">
        <f>modif0!A241</f>
        <v>1</v>
      </c>
      <c r="B55">
        <f>ROW(modif0!B241)</f>
        <v>241</v>
      </c>
      <c r="C55" t="str">
        <f>modif0!D241</f>
        <v>171</v>
      </c>
      <c r="D55" t="str">
        <f>modif0!E241</f>
        <v>MANO</v>
      </c>
      <c r="E55">
        <f>modif0!F241</f>
        <v>17</v>
      </c>
      <c r="F55" t="str">
        <f>modif0!G241</f>
        <v>LANDE DE TABARTON</v>
      </c>
      <c r="G55" t="str">
        <f>modif0!I241</f>
        <v>0B</v>
      </c>
      <c r="H55">
        <f>modif0!J241</f>
        <v>246</v>
      </c>
      <c r="I55" t="str">
        <f>modif0!K241</f>
        <v/>
      </c>
      <c r="J55" s="11">
        <f>modif0!M241</f>
        <v>0.81599999999999995</v>
      </c>
      <c r="K55" s="11" t="str">
        <f>modif0!P241</f>
        <v>CR</v>
      </c>
      <c r="L55" t="str">
        <f>modif0!N241</f>
        <v>PM</v>
      </c>
      <c r="M55">
        <f>modif0!Q241</f>
        <v>2022</v>
      </c>
      <c r="N55" t="str">
        <f>modif0!R241</f>
        <v>CR-PM_2022</v>
      </c>
      <c r="O55" t="b">
        <f>modif0!S241</f>
        <v>1</v>
      </c>
      <c r="P55">
        <v>25</v>
      </c>
      <c r="Q55" t="s">
        <v>1868</v>
      </c>
      <c r="AA55" s="17">
        <f>IF($A55,$J55*(IF(Q55=regle!$B$11,regle!$B$23*IF(AJ55=-2,1+regle!$B$35,1),
IF(Q55=regle!$C$11,regle!$C$23,
IF(Q55=regle!$D$11,regle!$D$23,
IF(Q55=regle!$E$11,regle!$E$23,
IF(Q55=regle!$F$11,regle!$F$23,
IF(Q55=regle!$G$11,regle!$G$23,
IF(Q55=regle!$H$11,regle!$H$23,
IF(Q55=regle!$I$11,regle!$I$23,
IF(Q55=regle!$J$11,regle!$J$23,
IF(Q55=regle!$K$11,regle!$K$23,0))))))))))))</f>
        <v>-1387.1999999999998</v>
      </c>
      <c r="AB55" s="17">
        <f>IF($A55,$J55*(IF(R55=regle!$B$11,regle!$B$23*IF(AK55=-2,1+regle!$B$35,1),
IF(R55=regle!$C$11,regle!$C$23,
IF(R55=regle!$D$11,regle!$D$23,
IF(R55=regle!$E$11,regle!$E$23,
IF(R55=regle!$F$11,regle!$F$23,
IF(R55=regle!$G$11,regle!$G$23,
IF(R55=regle!$H$11,regle!$H$23,
IF(R55=regle!$I$11,regle!$I$23,
IF(R55=regle!$J$11,regle!$J$23,
IF(R55=regle!$K$11,regle!$K$23,0))))))))))))</f>
        <v>0</v>
      </c>
      <c r="AC55" s="17">
        <f>IF($A55,$J55*(IF(S55=regle!$B$11,regle!$B$23*IF(AL55=-2,1+regle!$B$35,1),
IF(S55=regle!$C$11,regle!$C$23,
IF(S55=regle!$D$11,regle!$D$23,
IF(S55=regle!$E$11,regle!$E$23,
IF(S55=regle!$F$11,regle!$F$23,
IF(S55=regle!$G$11,regle!$G$23,
IF(S55=regle!$H$11,regle!$H$23,
IF(S55=regle!$I$11,regle!$I$23,
IF(S55=regle!$J$11,regle!$J$23,
IF(S55=regle!$K$11,regle!$K$23,0))))))))))))</f>
        <v>0</v>
      </c>
      <c r="AD55" s="17">
        <f>IF($A55,$J55*(IF(T55=regle!$B$11,regle!$B$23*IF(AM55=-2,1+regle!$B$35,1),
IF(T55=regle!$C$11,regle!$C$23,
IF(T55=regle!$D$11,regle!$D$23,
IF(T55=regle!$E$11,regle!$E$23,
IF(T55=regle!$F$11,regle!$F$23,
IF(T55=regle!$G$11,regle!$G$23,
IF(T55=regle!$H$11,regle!$H$23,
IF(T55=regle!$I$11,regle!$I$23,
IF(T55=regle!$J$11,regle!$J$23,
IF(T55=regle!$K$11,regle!$K$23,0))))))))))))</f>
        <v>0</v>
      </c>
      <c r="AE55" s="17">
        <f>IF($A55,$J55*(IF(U55=regle!$B$11,regle!$B$23*IF(AN55=-2,1+regle!$B$35,1),
IF(U55=regle!$C$11,regle!$C$23,
IF(U55=regle!$D$11,regle!$D$23,
IF(U55=regle!$E$11,regle!$E$23,
IF(U55=regle!$F$11,regle!$F$23,
IF(U55=regle!$G$11,regle!$G$23,
IF(U55=regle!$H$11,regle!$H$23,
IF(U55=regle!$I$11,regle!$I$23,
IF(U55=regle!$J$11,regle!$J$23,
IF(U55=regle!$K$11,regle!$K$23,0))))))))))))</f>
        <v>0</v>
      </c>
      <c r="AF55" s="17">
        <f>IF($A55,$J55*(IF(V55=regle!$B$11,regle!$B$23*IF(AO55=-2,1+regle!$B$35,1),
IF(V55=regle!$C$11,regle!$C$23,
IF(V55=regle!$D$11,regle!$D$23,
IF(V55=regle!$E$11,regle!$E$23,
IF(V55=regle!$F$11,regle!$F$23,
IF(V55=regle!$G$11,regle!$G$23,
IF(V55=regle!$H$11,regle!$H$23,
IF(V55=regle!$I$11,regle!$I$23,
IF(V55=regle!$J$11,regle!$J$23,
IF(V55=regle!$K$11,regle!$K$23,0))))))))))))</f>
        <v>0</v>
      </c>
      <c r="AG55" s="17">
        <f>IF($A55,$J55*(IF(W55=regle!$B$11,regle!$B$23*IF(AP55=-2,1+regle!$B$35,1),
IF(W55=regle!$C$11,regle!$C$23,
IF(W55=regle!$D$11,regle!$D$23,
IF(W55=regle!$E$11,regle!$E$23,
IF(W55=regle!$F$11,regle!$F$23,
IF(W55=regle!$G$11,regle!$G$23,
IF(W55=regle!$H$11,regle!$H$23,
IF(W55=regle!$I$11,regle!$I$23,
IF(W55=regle!$J$11,regle!$J$23,
IF(W55=regle!$K$11,regle!$K$23,0))))))))))))</f>
        <v>0</v>
      </c>
      <c r="AH55" s="17">
        <f>IF($A55,$J55*(IF(X55=regle!$B$11,regle!$B$23*IF(AQ55=-2,1+regle!$B$35,1),
IF(X55=regle!$C$11,regle!$C$23,
IF(X55=regle!$D$11,regle!$D$23,
IF(X55=regle!$E$11,regle!$E$23,
IF(X55=regle!$F$11,regle!$F$23,
IF(X55=regle!$G$11,regle!$G$23,
IF(X55=regle!$H$11,regle!$H$23,
IF(X55=regle!$I$11,regle!$I$23,
IF(X55=regle!$J$11,regle!$J$23,
IF(X55=regle!$K$11,regle!$K$23,0))))))))))))</f>
        <v>0</v>
      </c>
      <c r="AI55" s="17">
        <f>IF($A55,$J55*(IF(Y55=regle!$B$11,regle!$B$23*IF(AR55=-2,1+regle!$B$35,1),
IF(Y55=regle!$C$11,regle!$C$23,
IF(Y55=regle!$D$11,regle!$D$23,
IF(Y55=regle!$E$11,regle!$E$23,
IF(Y55=regle!$F$11,regle!$F$23,
IF(Y55=regle!$G$11,regle!$G$23,
IF(Y55=regle!$H$11,regle!$H$23,
IF(Y55=regle!$I$11,regle!$I$23,
IF(Y55=regle!$J$11,regle!$J$23,
IF(Y55=regle!$K$11,regle!$K$23,0))))))))))))</f>
        <v>0</v>
      </c>
      <c r="AJ55" s="17">
        <f>IF($A55,$J55*(IF(Z55=regle!$B$11,regle!$B$23*IF(AS55=-2,1+regle!$B$35,1),
IF(Z55=regle!$C$11,regle!$C$23,
IF(Z55=regle!$D$11,regle!$D$23,
IF(Z55=regle!$E$11,regle!$E$23,
IF(Z55=regle!$F$11,regle!$F$23,
IF(Z55=regle!$G$11,regle!$G$23,
IF(Z55=regle!$H$11,regle!$H$23,
IF(Z55=regle!$I$11,regle!$I$23,
IF(Z55=regle!$J$11,regle!$J$23,
IF(Z55=regle!$K$11,regle!$K$23,0))))))))))))</f>
        <v>0</v>
      </c>
      <c r="AK55" s="16">
        <f>IF(OR(Q55=regle!$J$11,Q55=regle!$K$11),-2,IF(Q55=regle!$B$11,0,IF(AK$1=$AK$1,IF($O55,-1,regle!$B$2-$M55),IF(AJ55=-1,-1,AJ55+1))))</f>
        <v>0</v>
      </c>
      <c r="AL55" s="16">
        <f>IF(OR(R55=regle!$J$11,R55=regle!$K$11),-2,IF(R55=regle!$B$11,0,IF(AL$1=$AK$1,IF($O55,-1,regle!$B$2-$M55),IF(AK55=-1,-1,AK55+1))))</f>
        <v>1</v>
      </c>
      <c r="AM55" s="16">
        <f>IF(OR(S55=regle!$J$11,S55=regle!$K$11),-2,IF(S55=regle!$B$11,0,IF(AM$1=$AK$1,IF($O55,-1,regle!$B$2-$M55),IF(AL55=-1,-1,AL55+1))))</f>
        <v>2</v>
      </c>
      <c r="AN55" s="16">
        <f>IF(OR(T55=regle!$J$11,T55=regle!$K$11),-2,IF(T55=regle!$B$11,0,IF(AN$1=$AK$1,IF($O55,-1,regle!$B$2-$M55),IF(AM55=-1,-1,AM55+1))))</f>
        <v>3</v>
      </c>
      <c r="AO55" s="16">
        <f>IF(OR(U55=regle!$J$11,U55=regle!$K$11),-2,IF(U55=regle!$B$11,0,IF(AO$1=$AK$1,IF($O55,-1,regle!$B$2-$M55),IF(AN55=-1,-1,AN55+1))))</f>
        <v>4</v>
      </c>
      <c r="AP55" s="16">
        <f>IF(OR(V55=regle!$J$11,V55=regle!$K$11),-2,IF(V55=regle!$B$11,0,IF(AP$1=$AK$1,IF($O55,-1,regle!$B$2-$M55),IF(AO55=-1,-1,AO55+1))))</f>
        <v>5</v>
      </c>
      <c r="AQ55" s="16">
        <f>IF(OR(W55=regle!$J$11,W55=regle!$K$11),-2,IF(W55=regle!$B$11,0,IF(AQ$1=$AK$1,IF($O55,-1,regle!$B$2-$M55),IF(AP55=-1,-1,AP55+1))))</f>
        <v>6</v>
      </c>
      <c r="AR55" s="16">
        <f>IF(OR(X55=regle!$J$11,X55=regle!$K$11),-2,IF(X55=regle!$B$11,0,IF(AR$1=$AK$1,IF($O55,-1,regle!$B$2-$M55),IF(AQ55=-1,-1,AQ55+1))))</f>
        <v>7</v>
      </c>
      <c r="AS55" s="16">
        <f>IF(OR(Y55=regle!$J$11,Y55=regle!$K$11),-2,IF(Y55=regle!$B$11,0,IF(AS$1=$AK$1,IF($O55,-1,regle!$B$2-$M55),IF(AR55=-1,-1,AR55+1))))</f>
        <v>8</v>
      </c>
      <c r="AT55" s="16">
        <f>IF(OR(Z55=regle!$J$11,Z55=regle!$K$11),-2,IF(Z55=regle!$B$11,0,IF(AT$1=$AK$1,IF($O55,-1,regle!$B$2-$M55),IF(AS55=-1,-1,AS55+1))))</f>
        <v>9</v>
      </c>
    </row>
    <row r="56" spans="1:46" x14ac:dyDescent="0.25">
      <c r="A56" t="b">
        <f>modif0!A296</f>
        <v>1</v>
      </c>
      <c r="B56">
        <f>ROW(modif0!B296)</f>
        <v>296</v>
      </c>
      <c r="C56" t="str">
        <f>modif0!D296</f>
        <v>171</v>
      </c>
      <c r="D56" t="str">
        <f>modif0!E296</f>
        <v>MANO</v>
      </c>
      <c r="E56">
        <f>modif0!F296</f>
        <v>6</v>
      </c>
      <c r="F56" t="str">
        <f>modif0!G296</f>
        <v>BARRAT</v>
      </c>
      <c r="G56" t="str">
        <f>modif0!I296</f>
        <v>0C</v>
      </c>
      <c r="H56">
        <f>modif0!J296</f>
        <v>155</v>
      </c>
      <c r="I56" t="str">
        <f>modif0!K296</f>
        <v/>
      </c>
      <c r="J56" s="11">
        <f>modif0!M296</f>
        <v>0.78480000000000005</v>
      </c>
      <c r="K56" s="11" t="str">
        <f>modif0!P296</f>
        <v>CR</v>
      </c>
      <c r="L56" t="str">
        <f>modif0!N296</f>
        <v>PM</v>
      </c>
      <c r="M56">
        <f>modif0!Q296</f>
        <v>2022</v>
      </c>
      <c r="N56" t="str">
        <f>modif0!R296</f>
        <v>CR-PM_2022</v>
      </c>
      <c r="O56" t="b">
        <f>modif0!S296</f>
        <v>1</v>
      </c>
      <c r="P56">
        <v>25</v>
      </c>
      <c r="Q56" t="s">
        <v>1868</v>
      </c>
      <c r="AA56" s="17">
        <f>IF($A56,$J56*(IF(Q56=regle!$B$11,regle!$B$23*IF(AJ56=-2,1+regle!$B$35,1),
IF(Q56=regle!$C$11,regle!$C$23,
IF(Q56=regle!$D$11,regle!$D$23,
IF(Q56=regle!$E$11,regle!$E$23,
IF(Q56=regle!$F$11,regle!$F$23,
IF(Q56=regle!$G$11,regle!$G$23,
IF(Q56=regle!$H$11,regle!$H$23,
IF(Q56=regle!$I$11,regle!$I$23,
IF(Q56=regle!$J$11,regle!$J$23,
IF(Q56=regle!$K$11,regle!$K$23,0))))))))))))</f>
        <v>-1334.16</v>
      </c>
      <c r="AB56" s="17">
        <f>IF($A56,$J56*(IF(R56=regle!$B$11,regle!$B$23*IF(AK56=-2,1+regle!$B$35,1),
IF(R56=regle!$C$11,regle!$C$23,
IF(R56=regle!$D$11,regle!$D$23,
IF(R56=regle!$E$11,regle!$E$23,
IF(R56=regle!$F$11,regle!$F$23,
IF(R56=regle!$G$11,regle!$G$23,
IF(R56=regle!$H$11,regle!$H$23,
IF(R56=regle!$I$11,regle!$I$23,
IF(R56=regle!$J$11,regle!$J$23,
IF(R56=regle!$K$11,regle!$K$23,0))))))))))))</f>
        <v>0</v>
      </c>
      <c r="AC56" s="17">
        <f>IF($A56,$J56*(IF(S56=regle!$B$11,regle!$B$23*IF(AL56=-2,1+regle!$B$35,1),
IF(S56=regle!$C$11,regle!$C$23,
IF(S56=regle!$D$11,regle!$D$23,
IF(S56=regle!$E$11,regle!$E$23,
IF(S56=regle!$F$11,regle!$F$23,
IF(S56=regle!$G$11,regle!$G$23,
IF(S56=regle!$H$11,regle!$H$23,
IF(S56=regle!$I$11,regle!$I$23,
IF(S56=regle!$J$11,regle!$J$23,
IF(S56=regle!$K$11,regle!$K$23,0))))))))))))</f>
        <v>0</v>
      </c>
      <c r="AD56" s="17">
        <f>IF($A56,$J56*(IF(T56=regle!$B$11,regle!$B$23*IF(AM56=-2,1+regle!$B$35,1),
IF(T56=regle!$C$11,regle!$C$23,
IF(T56=regle!$D$11,regle!$D$23,
IF(T56=regle!$E$11,regle!$E$23,
IF(T56=regle!$F$11,regle!$F$23,
IF(T56=regle!$G$11,regle!$G$23,
IF(T56=regle!$H$11,regle!$H$23,
IF(T56=regle!$I$11,regle!$I$23,
IF(T56=regle!$J$11,regle!$J$23,
IF(T56=regle!$K$11,regle!$K$23,0))))))))))))</f>
        <v>0</v>
      </c>
      <c r="AE56" s="17">
        <f>IF($A56,$J56*(IF(U56=regle!$B$11,regle!$B$23*IF(AN56=-2,1+regle!$B$35,1),
IF(U56=regle!$C$11,regle!$C$23,
IF(U56=regle!$D$11,regle!$D$23,
IF(U56=regle!$E$11,regle!$E$23,
IF(U56=regle!$F$11,regle!$F$23,
IF(U56=regle!$G$11,regle!$G$23,
IF(U56=regle!$H$11,regle!$H$23,
IF(U56=regle!$I$11,regle!$I$23,
IF(U56=regle!$J$11,regle!$J$23,
IF(U56=regle!$K$11,regle!$K$23,0))))))))))))</f>
        <v>0</v>
      </c>
      <c r="AF56" s="17">
        <f>IF($A56,$J56*(IF(V56=regle!$B$11,regle!$B$23*IF(AO56=-2,1+regle!$B$35,1),
IF(V56=regle!$C$11,regle!$C$23,
IF(V56=regle!$D$11,regle!$D$23,
IF(V56=regle!$E$11,regle!$E$23,
IF(V56=regle!$F$11,regle!$F$23,
IF(V56=regle!$G$11,regle!$G$23,
IF(V56=regle!$H$11,regle!$H$23,
IF(V56=regle!$I$11,regle!$I$23,
IF(V56=regle!$J$11,regle!$J$23,
IF(V56=regle!$K$11,regle!$K$23,0))))))))))))</f>
        <v>0</v>
      </c>
      <c r="AG56" s="17">
        <f>IF($A56,$J56*(IF(W56=regle!$B$11,regle!$B$23*IF(AP56=-2,1+regle!$B$35,1),
IF(W56=regle!$C$11,regle!$C$23,
IF(W56=regle!$D$11,regle!$D$23,
IF(W56=regle!$E$11,regle!$E$23,
IF(W56=regle!$F$11,regle!$F$23,
IF(W56=regle!$G$11,regle!$G$23,
IF(W56=regle!$H$11,regle!$H$23,
IF(W56=regle!$I$11,regle!$I$23,
IF(W56=regle!$J$11,regle!$J$23,
IF(W56=regle!$K$11,regle!$K$23,0))))))))))))</f>
        <v>0</v>
      </c>
      <c r="AH56" s="17">
        <f>IF($A56,$J56*(IF(X56=regle!$B$11,regle!$B$23*IF(AQ56=-2,1+regle!$B$35,1),
IF(X56=regle!$C$11,regle!$C$23,
IF(X56=regle!$D$11,regle!$D$23,
IF(X56=regle!$E$11,regle!$E$23,
IF(X56=regle!$F$11,regle!$F$23,
IF(X56=regle!$G$11,regle!$G$23,
IF(X56=regle!$H$11,regle!$H$23,
IF(X56=regle!$I$11,regle!$I$23,
IF(X56=regle!$J$11,regle!$J$23,
IF(X56=regle!$K$11,regle!$K$23,0))))))))))))</f>
        <v>0</v>
      </c>
      <c r="AI56" s="17">
        <f>IF($A56,$J56*(IF(Y56=regle!$B$11,regle!$B$23*IF(AR56=-2,1+regle!$B$35,1),
IF(Y56=regle!$C$11,regle!$C$23,
IF(Y56=regle!$D$11,regle!$D$23,
IF(Y56=regle!$E$11,regle!$E$23,
IF(Y56=regle!$F$11,regle!$F$23,
IF(Y56=regle!$G$11,regle!$G$23,
IF(Y56=regle!$H$11,regle!$H$23,
IF(Y56=regle!$I$11,regle!$I$23,
IF(Y56=regle!$J$11,regle!$J$23,
IF(Y56=regle!$K$11,regle!$K$23,0))))))))))))</f>
        <v>0</v>
      </c>
      <c r="AJ56" s="17">
        <f>IF($A56,$J56*(IF(Z56=regle!$B$11,regle!$B$23*IF(AS56=-2,1+regle!$B$35,1),
IF(Z56=regle!$C$11,regle!$C$23,
IF(Z56=regle!$D$11,regle!$D$23,
IF(Z56=regle!$E$11,regle!$E$23,
IF(Z56=regle!$F$11,regle!$F$23,
IF(Z56=regle!$G$11,regle!$G$23,
IF(Z56=regle!$H$11,regle!$H$23,
IF(Z56=regle!$I$11,regle!$I$23,
IF(Z56=regle!$J$11,regle!$J$23,
IF(Z56=regle!$K$11,regle!$K$23,0))))))))))))</f>
        <v>0</v>
      </c>
      <c r="AK56" s="16">
        <f>IF(OR(Q56=regle!$J$11,Q56=regle!$K$11),-2,IF(Q56=regle!$B$11,0,IF(AK$1=$AK$1,IF($O56,-1,regle!$B$2-$M56),IF(AJ56=-1,-1,AJ56+1))))</f>
        <v>0</v>
      </c>
      <c r="AL56" s="16">
        <f>IF(OR(R56=regle!$J$11,R56=regle!$K$11),-2,IF(R56=regle!$B$11,0,IF(AL$1=$AK$1,IF($O56,-1,regle!$B$2-$M56),IF(AK56=-1,-1,AK56+1))))</f>
        <v>1</v>
      </c>
      <c r="AM56" s="16">
        <f>IF(OR(S56=regle!$J$11,S56=regle!$K$11),-2,IF(S56=regle!$B$11,0,IF(AM$1=$AK$1,IF($O56,-1,regle!$B$2-$M56),IF(AL56=-1,-1,AL56+1))))</f>
        <v>2</v>
      </c>
      <c r="AN56" s="16">
        <f>IF(OR(T56=regle!$J$11,T56=regle!$K$11),-2,IF(T56=regle!$B$11,0,IF(AN$1=$AK$1,IF($O56,-1,regle!$B$2-$M56),IF(AM56=-1,-1,AM56+1))))</f>
        <v>3</v>
      </c>
      <c r="AO56" s="16">
        <f>IF(OR(U56=regle!$J$11,U56=regle!$K$11),-2,IF(U56=regle!$B$11,0,IF(AO$1=$AK$1,IF($O56,-1,regle!$B$2-$M56),IF(AN56=-1,-1,AN56+1))))</f>
        <v>4</v>
      </c>
      <c r="AP56" s="16">
        <f>IF(OR(V56=regle!$J$11,V56=regle!$K$11),-2,IF(V56=regle!$B$11,0,IF(AP$1=$AK$1,IF($O56,-1,regle!$B$2-$M56),IF(AO56=-1,-1,AO56+1))))</f>
        <v>5</v>
      </c>
      <c r="AQ56" s="16">
        <f>IF(OR(W56=regle!$J$11,W56=regle!$K$11),-2,IF(W56=regle!$B$11,0,IF(AQ$1=$AK$1,IF($O56,-1,regle!$B$2-$M56),IF(AP56=-1,-1,AP56+1))))</f>
        <v>6</v>
      </c>
      <c r="AR56" s="16">
        <f>IF(OR(X56=regle!$J$11,X56=regle!$K$11),-2,IF(X56=regle!$B$11,0,IF(AR$1=$AK$1,IF($O56,-1,regle!$B$2-$M56),IF(AQ56=-1,-1,AQ56+1))))</f>
        <v>7</v>
      </c>
      <c r="AS56" s="16">
        <f>IF(OR(Y56=regle!$J$11,Y56=regle!$K$11),-2,IF(Y56=regle!$B$11,0,IF(AS$1=$AK$1,IF($O56,-1,regle!$B$2-$M56),IF(AR56=-1,-1,AR56+1))))</f>
        <v>8</v>
      </c>
      <c r="AT56" s="16">
        <f>IF(OR(Z56=regle!$J$11,Z56=regle!$K$11),-2,IF(Z56=regle!$B$11,0,IF(AT$1=$AK$1,IF($O56,-1,regle!$B$2-$M56),IF(AS56=-1,-1,AS56+1))))</f>
        <v>9</v>
      </c>
    </row>
    <row r="57" spans="1:46" x14ac:dyDescent="0.25">
      <c r="A57" t="b">
        <f>modif0!A22</f>
        <v>1</v>
      </c>
      <c r="B57">
        <f>ROW(modif0!B22)</f>
        <v>22</v>
      </c>
      <c r="C57" t="str">
        <f>modif0!D22</f>
        <v>202</v>
      </c>
      <c r="D57" t="str">
        <f>modif0!E22</f>
        <v>HOSTENS</v>
      </c>
      <c r="E57">
        <f>modif0!F22</f>
        <v>7</v>
      </c>
      <c r="F57" t="str">
        <f>modif0!G22</f>
        <v>HAUDOUA</v>
      </c>
      <c r="G57" t="str">
        <f>modif0!I22</f>
        <v>0A</v>
      </c>
      <c r="H57">
        <f>modif0!J22</f>
        <v>407</v>
      </c>
      <c r="I57" t="str">
        <f>modif0!K22</f>
        <v/>
      </c>
      <c r="J57" s="11">
        <f>modif0!M22</f>
        <v>0.74950000000000006</v>
      </c>
      <c r="K57" s="11" t="str">
        <f>modif0!P22</f>
        <v>CR</v>
      </c>
      <c r="L57" t="str">
        <f>modif0!N22</f>
        <v>PM</v>
      </c>
      <c r="M57">
        <f>modif0!Q22</f>
        <v>2022</v>
      </c>
      <c r="N57" t="str">
        <f>modif0!R22</f>
        <v>CR-PM_2022</v>
      </c>
      <c r="O57" t="b">
        <f>modif0!S22</f>
        <v>1</v>
      </c>
      <c r="P57">
        <v>25</v>
      </c>
      <c r="Q57" t="s">
        <v>1868</v>
      </c>
      <c r="AA57" s="17">
        <f>IF($A57,$J57*(IF(Q57=regle!$B$11,regle!$B$23*IF(AJ57=-2,1+regle!$B$35,1),
IF(Q57=regle!$C$11,regle!$C$23,
IF(Q57=regle!$D$11,regle!$D$23,
IF(Q57=regle!$E$11,regle!$E$23,
IF(Q57=regle!$F$11,regle!$F$23,
IF(Q57=regle!$G$11,regle!$G$23,
IF(Q57=regle!$H$11,regle!$H$23,
IF(Q57=regle!$I$11,regle!$I$23,
IF(Q57=regle!$J$11,regle!$J$23,
IF(Q57=regle!$K$11,regle!$K$23,0))))))))))))</f>
        <v>-1274.1500000000001</v>
      </c>
      <c r="AB57" s="17">
        <f>IF($A57,$J57*(IF(R57=regle!$B$11,regle!$B$23*IF(AK57=-2,1+regle!$B$35,1),
IF(R57=regle!$C$11,regle!$C$23,
IF(R57=regle!$D$11,regle!$D$23,
IF(R57=regle!$E$11,regle!$E$23,
IF(R57=regle!$F$11,regle!$F$23,
IF(R57=regle!$G$11,regle!$G$23,
IF(R57=regle!$H$11,regle!$H$23,
IF(R57=regle!$I$11,regle!$I$23,
IF(R57=regle!$J$11,regle!$J$23,
IF(R57=regle!$K$11,regle!$K$23,0))))))))))))</f>
        <v>0</v>
      </c>
      <c r="AC57" s="17">
        <f>IF($A57,$J57*(IF(S57=regle!$B$11,regle!$B$23*IF(AL57=-2,1+regle!$B$35,1),
IF(S57=regle!$C$11,regle!$C$23,
IF(S57=regle!$D$11,regle!$D$23,
IF(S57=regle!$E$11,regle!$E$23,
IF(S57=regle!$F$11,regle!$F$23,
IF(S57=regle!$G$11,regle!$G$23,
IF(S57=regle!$H$11,regle!$H$23,
IF(S57=regle!$I$11,regle!$I$23,
IF(S57=regle!$J$11,regle!$J$23,
IF(S57=regle!$K$11,regle!$K$23,0))))))))))))</f>
        <v>0</v>
      </c>
      <c r="AD57" s="17">
        <f>IF($A57,$J57*(IF(T57=regle!$B$11,regle!$B$23*IF(AM57=-2,1+regle!$B$35,1),
IF(T57=regle!$C$11,regle!$C$23,
IF(T57=regle!$D$11,regle!$D$23,
IF(T57=regle!$E$11,regle!$E$23,
IF(T57=regle!$F$11,regle!$F$23,
IF(T57=regle!$G$11,regle!$G$23,
IF(T57=regle!$H$11,regle!$H$23,
IF(T57=regle!$I$11,regle!$I$23,
IF(T57=regle!$J$11,regle!$J$23,
IF(T57=regle!$K$11,regle!$K$23,0))))))))))))</f>
        <v>0</v>
      </c>
      <c r="AE57" s="17">
        <f>IF($A57,$J57*(IF(U57=regle!$B$11,regle!$B$23*IF(AN57=-2,1+regle!$B$35,1),
IF(U57=regle!$C$11,regle!$C$23,
IF(U57=regle!$D$11,regle!$D$23,
IF(U57=regle!$E$11,regle!$E$23,
IF(U57=regle!$F$11,regle!$F$23,
IF(U57=regle!$G$11,regle!$G$23,
IF(U57=regle!$H$11,regle!$H$23,
IF(U57=regle!$I$11,regle!$I$23,
IF(U57=regle!$J$11,regle!$J$23,
IF(U57=regle!$K$11,regle!$K$23,0))))))))))))</f>
        <v>0</v>
      </c>
      <c r="AF57" s="17">
        <f>IF($A57,$J57*(IF(V57=regle!$B$11,regle!$B$23*IF(AO57=-2,1+regle!$B$35,1),
IF(V57=regle!$C$11,regle!$C$23,
IF(V57=regle!$D$11,regle!$D$23,
IF(V57=regle!$E$11,regle!$E$23,
IF(V57=regle!$F$11,regle!$F$23,
IF(V57=regle!$G$11,regle!$G$23,
IF(V57=regle!$H$11,regle!$H$23,
IF(V57=regle!$I$11,regle!$I$23,
IF(V57=regle!$J$11,regle!$J$23,
IF(V57=regle!$K$11,regle!$K$23,0))))))))))))</f>
        <v>0</v>
      </c>
      <c r="AG57" s="17">
        <f>IF($A57,$J57*(IF(W57=regle!$B$11,regle!$B$23*IF(AP57=-2,1+regle!$B$35,1),
IF(W57=regle!$C$11,regle!$C$23,
IF(W57=regle!$D$11,regle!$D$23,
IF(W57=regle!$E$11,regle!$E$23,
IF(W57=regle!$F$11,regle!$F$23,
IF(W57=regle!$G$11,regle!$G$23,
IF(W57=regle!$H$11,regle!$H$23,
IF(W57=regle!$I$11,regle!$I$23,
IF(W57=regle!$J$11,regle!$J$23,
IF(W57=regle!$K$11,regle!$K$23,0))))))))))))</f>
        <v>0</v>
      </c>
      <c r="AH57" s="17">
        <f>IF($A57,$J57*(IF(X57=regle!$B$11,regle!$B$23*IF(AQ57=-2,1+regle!$B$35,1),
IF(X57=regle!$C$11,regle!$C$23,
IF(X57=regle!$D$11,regle!$D$23,
IF(X57=regle!$E$11,regle!$E$23,
IF(X57=regle!$F$11,regle!$F$23,
IF(X57=regle!$G$11,regle!$G$23,
IF(X57=regle!$H$11,regle!$H$23,
IF(X57=regle!$I$11,regle!$I$23,
IF(X57=regle!$J$11,regle!$J$23,
IF(X57=regle!$K$11,regle!$K$23,0))))))))))))</f>
        <v>0</v>
      </c>
      <c r="AI57" s="17">
        <f>IF($A57,$J57*(IF(Y57=regle!$B$11,regle!$B$23*IF(AR57=-2,1+regle!$B$35,1),
IF(Y57=regle!$C$11,regle!$C$23,
IF(Y57=regle!$D$11,regle!$D$23,
IF(Y57=regle!$E$11,regle!$E$23,
IF(Y57=regle!$F$11,regle!$F$23,
IF(Y57=regle!$G$11,regle!$G$23,
IF(Y57=regle!$H$11,regle!$H$23,
IF(Y57=regle!$I$11,regle!$I$23,
IF(Y57=regle!$J$11,regle!$J$23,
IF(Y57=regle!$K$11,regle!$K$23,0))))))))))))</f>
        <v>0</v>
      </c>
      <c r="AJ57" s="17">
        <f>IF($A57,$J57*(IF(Z57=regle!$B$11,regle!$B$23*IF(AS57=-2,1+regle!$B$35,1),
IF(Z57=regle!$C$11,regle!$C$23,
IF(Z57=regle!$D$11,regle!$D$23,
IF(Z57=regle!$E$11,regle!$E$23,
IF(Z57=regle!$F$11,regle!$F$23,
IF(Z57=regle!$G$11,regle!$G$23,
IF(Z57=regle!$H$11,regle!$H$23,
IF(Z57=regle!$I$11,regle!$I$23,
IF(Z57=regle!$J$11,regle!$J$23,
IF(Z57=regle!$K$11,regle!$K$23,0))))))))))))</f>
        <v>0</v>
      </c>
      <c r="AK57" s="16">
        <f>IF(OR(Q57=regle!$J$11,Q57=regle!$K$11),-2,IF(Q57=regle!$B$11,0,IF(AK$1=$AK$1,IF($O57,-1,regle!$B$2-$M57),IF(AJ57=-1,-1,AJ57+1))))</f>
        <v>0</v>
      </c>
      <c r="AL57" s="16">
        <f>IF(OR(R57=regle!$J$11,R57=regle!$K$11),-2,IF(R57=regle!$B$11,0,IF(AL$1=$AK$1,IF($O57,-1,regle!$B$2-$M57),IF(AK57=-1,-1,AK57+1))))</f>
        <v>1</v>
      </c>
      <c r="AM57" s="16">
        <f>IF(OR(S57=regle!$J$11,S57=regle!$K$11),-2,IF(S57=regle!$B$11,0,IF(AM$1=$AK$1,IF($O57,-1,regle!$B$2-$M57),IF(AL57=-1,-1,AL57+1))))</f>
        <v>2</v>
      </c>
      <c r="AN57" s="16">
        <f>IF(OR(T57=regle!$J$11,T57=regle!$K$11),-2,IF(T57=regle!$B$11,0,IF(AN$1=$AK$1,IF($O57,-1,regle!$B$2-$M57),IF(AM57=-1,-1,AM57+1))))</f>
        <v>3</v>
      </c>
      <c r="AO57" s="16">
        <f>IF(OR(U57=regle!$J$11,U57=regle!$K$11),-2,IF(U57=regle!$B$11,0,IF(AO$1=$AK$1,IF($O57,-1,regle!$B$2-$M57),IF(AN57=-1,-1,AN57+1))))</f>
        <v>4</v>
      </c>
      <c r="AP57" s="16">
        <f>IF(OR(V57=regle!$J$11,V57=regle!$K$11),-2,IF(V57=regle!$B$11,0,IF(AP$1=$AK$1,IF($O57,-1,regle!$B$2-$M57),IF(AO57=-1,-1,AO57+1))))</f>
        <v>5</v>
      </c>
      <c r="AQ57" s="16">
        <f>IF(OR(W57=regle!$J$11,W57=regle!$K$11),-2,IF(W57=regle!$B$11,0,IF(AQ$1=$AK$1,IF($O57,-1,regle!$B$2-$M57),IF(AP57=-1,-1,AP57+1))))</f>
        <v>6</v>
      </c>
      <c r="AR57" s="16">
        <f>IF(OR(X57=regle!$J$11,X57=regle!$K$11),-2,IF(X57=regle!$B$11,0,IF(AR$1=$AK$1,IF($O57,-1,regle!$B$2-$M57),IF(AQ57=-1,-1,AQ57+1))))</f>
        <v>7</v>
      </c>
      <c r="AS57" s="16">
        <f>IF(OR(Y57=regle!$J$11,Y57=regle!$K$11),-2,IF(Y57=regle!$B$11,0,IF(AS$1=$AK$1,IF($O57,-1,regle!$B$2-$M57),IF(AR57=-1,-1,AR57+1))))</f>
        <v>8</v>
      </c>
      <c r="AT57" s="16">
        <f>IF(OR(Z57=regle!$J$11,Z57=regle!$K$11),-2,IF(Z57=regle!$B$11,0,IF(AT$1=$AK$1,IF($O57,-1,regle!$B$2-$M57),IF(AS57=-1,-1,AS57+1))))</f>
        <v>9</v>
      </c>
    </row>
    <row r="58" spans="1:46" x14ac:dyDescent="0.25">
      <c r="A58" t="b">
        <f>modif0!A242</f>
        <v>1</v>
      </c>
      <c r="B58">
        <f>ROW(modif0!B242)</f>
        <v>242</v>
      </c>
      <c r="C58" t="str">
        <f>modif0!D242</f>
        <v>171</v>
      </c>
      <c r="D58" t="str">
        <f>modif0!E242</f>
        <v>MANO</v>
      </c>
      <c r="E58">
        <f>modif0!F242</f>
        <v>17</v>
      </c>
      <c r="F58" t="str">
        <f>modif0!G242</f>
        <v>LANDE DE TABARTON</v>
      </c>
      <c r="G58" t="str">
        <f>modif0!I242</f>
        <v>0B</v>
      </c>
      <c r="H58">
        <f>modif0!J242</f>
        <v>247</v>
      </c>
      <c r="I58" t="str">
        <f>modif0!K242</f>
        <v/>
      </c>
      <c r="J58" s="11">
        <f>modif0!M242</f>
        <v>0.6</v>
      </c>
      <c r="K58" s="11" t="str">
        <f>modif0!P242</f>
        <v>CR</v>
      </c>
      <c r="L58" t="str">
        <f>modif0!N242</f>
        <v>PM</v>
      </c>
      <c r="M58">
        <f>modif0!Q242</f>
        <v>2022</v>
      </c>
      <c r="N58" t="str">
        <f>modif0!R242</f>
        <v>CR-PM_2022</v>
      </c>
      <c r="O58" t="b">
        <f>modif0!S242</f>
        <v>1</v>
      </c>
      <c r="P58">
        <v>25</v>
      </c>
      <c r="Q58" t="s">
        <v>1868</v>
      </c>
      <c r="AA58" s="17">
        <f>IF($A58,$J58*(IF(Q58=regle!$B$11,regle!$B$23*IF(AJ58=-2,1+regle!$B$35,1),
IF(Q58=regle!$C$11,regle!$C$23,
IF(Q58=regle!$D$11,regle!$D$23,
IF(Q58=regle!$E$11,regle!$E$23,
IF(Q58=regle!$F$11,regle!$F$23,
IF(Q58=regle!$G$11,regle!$G$23,
IF(Q58=regle!$H$11,regle!$H$23,
IF(Q58=regle!$I$11,regle!$I$23,
IF(Q58=regle!$J$11,regle!$J$23,
IF(Q58=regle!$K$11,regle!$K$23,0))))))))))))</f>
        <v>-1020</v>
      </c>
      <c r="AB58" s="17">
        <f>IF($A58,$J58*(IF(R58=regle!$B$11,regle!$B$23*IF(AK58=-2,1+regle!$B$35,1),
IF(R58=regle!$C$11,regle!$C$23,
IF(R58=regle!$D$11,regle!$D$23,
IF(R58=regle!$E$11,regle!$E$23,
IF(R58=regle!$F$11,regle!$F$23,
IF(R58=regle!$G$11,regle!$G$23,
IF(R58=regle!$H$11,regle!$H$23,
IF(R58=regle!$I$11,regle!$I$23,
IF(R58=regle!$J$11,regle!$J$23,
IF(R58=regle!$K$11,regle!$K$23,0))))))))))))</f>
        <v>0</v>
      </c>
      <c r="AC58" s="17">
        <f>IF($A58,$J58*(IF(S58=regle!$B$11,regle!$B$23*IF(AL58=-2,1+regle!$B$35,1),
IF(S58=regle!$C$11,regle!$C$23,
IF(S58=regle!$D$11,regle!$D$23,
IF(S58=regle!$E$11,regle!$E$23,
IF(S58=regle!$F$11,regle!$F$23,
IF(S58=regle!$G$11,regle!$G$23,
IF(S58=regle!$H$11,regle!$H$23,
IF(S58=regle!$I$11,regle!$I$23,
IF(S58=regle!$J$11,regle!$J$23,
IF(S58=regle!$K$11,regle!$K$23,0))))))))))))</f>
        <v>0</v>
      </c>
      <c r="AD58" s="17">
        <f>IF($A58,$J58*(IF(T58=regle!$B$11,regle!$B$23*IF(AM58=-2,1+regle!$B$35,1),
IF(T58=regle!$C$11,regle!$C$23,
IF(T58=regle!$D$11,regle!$D$23,
IF(T58=regle!$E$11,regle!$E$23,
IF(T58=regle!$F$11,regle!$F$23,
IF(T58=regle!$G$11,regle!$G$23,
IF(T58=regle!$H$11,regle!$H$23,
IF(T58=regle!$I$11,regle!$I$23,
IF(T58=regle!$J$11,regle!$J$23,
IF(T58=regle!$K$11,regle!$K$23,0))))))))))))</f>
        <v>0</v>
      </c>
      <c r="AE58" s="17">
        <f>IF($A58,$J58*(IF(U58=regle!$B$11,regle!$B$23*IF(AN58=-2,1+regle!$B$35,1),
IF(U58=regle!$C$11,regle!$C$23,
IF(U58=regle!$D$11,regle!$D$23,
IF(U58=regle!$E$11,regle!$E$23,
IF(U58=regle!$F$11,regle!$F$23,
IF(U58=regle!$G$11,regle!$G$23,
IF(U58=regle!$H$11,regle!$H$23,
IF(U58=regle!$I$11,regle!$I$23,
IF(U58=regle!$J$11,regle!$J$23,
IF(U58=regle!$K$11,regle!$K$23,0))))))))))))</f>
        <v>0</v>
      </c>
      <c r="AF58" s="17">
        <f>IF($A58,$J58*(IF(V58=regle!$B$11,regle!$B$23*IF(AO58=-2,1+regle!$B$35,1),
IF(V58=regle!$C$11,regle!$C$23,
IF(V58=regle!$D$11,regle!$D$23,
IF(V58=regle!$E$11,regle!$E$23,
IF(V58=regle!$F$11,regle!$F$23,
IF(V58=regle!$G$11,regle!$G$23,
IF(V58=regle!$H$11,regle!$H$23,
IF(V58=regle!$I$11,regle!$I$23,
IF(V58=regle!$J$11,regle!$J$23,
IF(V58=regle!$K$11,regle!$K$23,0))))))))))))</f>
        <v>0</v>
      </c>
      <c r="AG58" s="17">
        <f>IF($A58,$J58*(IF(W58=regle!$B$11,regle!$B$23*IF(AP58=-2,1+regle!$B$35,1),
IF(W58=regle!$C$11,regle!$C$23,
IF(W58=regle!$D$11,regle!$D$23,
IF(W58=regle!$E$11,regle!$E$23,
IF(W58=regle!$F$11,regle!$F$23,
IF(W58=regle!$G$11,regle!$G$23,
IF(W58=regle!$H$11,regle!$H$23,
IF(W58=regle!$I$11,regle!$I$23,
IF(W58=regle!$J$11,regle!$J$23,
IF(W58=regle!$K$11,regle!$K$23,0))))))))))))</f>
        <v>0</v>
      </c>
      <c r="AH58" s="17">
        <f>IF($A58,$J58*(IF(X58=regle!$B$11,regle!$B$23*IF(AQ58=-2,1+regle!$B$35,1),
IF(X58=regle!$C$11,regle!$C$23,
IF(X58=regle!$D$11,regle!$D$23,
IF(X58=regle!$E$11,regle!$E$23,
IF(X58=regle!$F$11,regle!$F$23,
IF(X58=regle!$G$11,regle!$G$23,
IF(X58=regle!$H$11,regle!$H$23,
IF(X58=regle!$I$11,regle!$I$23,
IF(X58=regle!$J$11,regle!$J$23,
IF(X58=regle!$K$11,regle!$K$23,0))))))))))))</f>
        <v>0</v>
      </c>
      <c r="AI58" s="17">
        <f>IF($A58,$J58*(IF(Y58=regle!$B$11,regle!$B$23*IF(AR58=-2,1+regle!$B$35,1),
IF(Y58=regle!$C$11,regle!$C$23,
IF(Y58=regle!$D$11,regle!$D$23,
IF(Y58=regle!$E$11,regle!$E$23,
IF(Y58=regle!$F$11,regle!$F$23,
IF(Y58=regle!$G$11,regle!$G$23,
IF(Y58=regle!$H$11,regle!$H$23,
IF(Y58=regle!$I$11,regle!$I$23,
IF(Y58=regle!$J$11,regle!$J$23,
IF(Y58=regle!$K$11,regle!$K$23,0))))))))))))</f>
        <v>0</v>
      </c>
      <c r="AJ58" s="17">
        <f>IF($A58,$J58*(IF(Z58=regle!$B$11,regle!$B$23*IF(AS58=-2,1+regle!$B$35,1),
IF(Z58=regle!$C$11,regle!$C$23,
IF(Z58=regle!$D$11,regle!$D$23,
IF(Z58=regle!$E$11,regle!$E$23,
IF(Z58=regle!$F$11,regle!$F$23,
IF(Z58=regle!$G$11,regle!$G$23,
IF(Z58=regle!$H$11,regle!$H$23,
IF(Z58=regle!$I$11,regle!$I$23,
IF(Z58=regle!$J$11,regle!$J$23,
IF(Z58=regle!$K$11,regle!$K$23,0))))))))))))</f>
        <v>0</v>
      </c>
      <c r="AK58" s="16">
        <f>IF(OR(Q58=regle!$J$11,Q58=regle!$K$11),-2,IF(Q58=regle!$B$11,0,IF(AK$1=$AK$1,IF($O58,-1,regle!$B$2-$M58),IF(AJ58=-1,-1,AJ58+1))))</f>
        <v>0</v>
      </c>
      <c r="AL58" s="16">
        <f>IF(OR(R58=regle!$J$11,R58=regle!$K$11),-2,IF(R58=regle!$B$11,0,IF(AL$1=$AK$1,IF($O58,-1,regle!$B$2-$M58),IF(AK58=-1,-1,AK58+1))))</f>
        <v>1</v>
      </c>
      <c r="AM58" s="16">
        <f>IF(OR(S58=regle!$J$11,S58=regle!$K$11),-2,IF(S58=regle!$B$11,0,IF(AM$1=$AK$1,IF($O58,-1,regle!$B$2-$M58),IF(AL58=-1,-1,AL58+1))))</f>
        <v>2</v>
      </c>
      <c r="AN58" s="16">
        <f>IF(OR(T58=regle!$J$11,T58=regle!$K$11),-2,IF(T58=regle!$B$11,0,IF(AN$1=$AK$1,IF($O58,-1,regle!$B$2-$M58),IF(AM58=-1,-1,AM58+1))))</f>
        <v>3</v>
      </c>
      <c r="AO58" s="16">
        <f>IF(OR(U58=regle!$J$11,U58=regle!$K$11),-2,IF(U58=regle!$B$11,0,IF(AO$1=$AK$1,IF($O58,-1,regle!$B$2-$M58),IF(AN58=-1,-1,AN58+1))))</f>
        <v>4</v>
      </c>
      <c r="AP58" s="16">
        <f>IF(OR(V58=regle!$J$11,V58=regle!$K$11),-2,IF(V58=regle!$B$11,0,IF(AP$1=$AK$1,IF($O58,-1,regle!$B$2-$M58),IF(AO58=-1,-1,AO58+1))))</f>
        <v>5</v>
      </c>
      <c r="AQ58" s="16">
        <f>IF(OR(W58=regle!$J$11,W58=regle!$K$11),-2,IF(W58=regle!$B$11,0,IF(AQ$1=$AK$1,IF($O58,-1,regle!$B$2-$M58),IF(AP58=-1,-1,AP58+1))))</f>
        <v>6</v>
      </c>
      <c r="AR58" s="16">
        <f>IF(OR(X58=regle!$J$11,X58=regle!$K$11),-2,IF(X58=regle!$B$11,0,IF(AR$1=$AK$1,IF($O58,-1,regle!$B$2-$M58),IF(AQ58=-1,-1,AQ58+1))))</f>
        <v>7</v>
      </c>
      <c r="AS58" s="16">
        <f>IF(OR(Y58=regle!$J$11,Y58=regle!$K$11),-2,IF(Y58=regle!$B$11,0,IF(AS$1=$AK$1,IF($O58,-1,regle!$B$2-$M58),IF(AR58=-1,-1,AR58+1))))</f>
        <v>8</v>
      </c>
      <c r="AT58" s="16">
        <f>IF(OR(Z58=regle!$J$11,Z58=regle!$K$11),-2,IF(Z58=regle!$B$11,0,IF(AT$1=$AK$1,IF($O58,-1,regle!$B$2-$M58),IF(AS58=-1,-1,AS58+1))))</f>
        <v>9</v>
      </c>
    </row>
    <row r="59" spans="1:46" x14ac:dyDescent="0.25">
      <c r="A59" t="b">
        <f>modif0!A343</f>
        <v>1</v>
      </c>
      <c r="B59">
        <f>ROW(modif0!B343)</f>
        <v>343</v>
      </c>
      <c r="C59" t="str">
        <f>modif0!D343</f>
        <v>200</v>
      </c>
      <c r="D59" t="str">
        <f>modif0!E343</f>
        <v>MOUSTEY</v>
      </c>
      <c r="E59">
        <f>modif0!F343</f>
        <v>5</v>
      </c>
      <c r="F59" t="str">
        <f>modif0!G343</f>
        <v>Plata</v>
      </c>
      <c r="G59" t="str">
        <f>modif0!I343</f>
        <v>0M</v>
      </c>
      <c r="H59">
        <f>modif0!J343</f>
        <v>20</v>
      </c>
      <c r="I59" t="str">
        <f>modif0!K343</f>
        <v/>
      </c>
      <c r="J59" s="11">
        <f>modif0!M343</f>
        <v>0.59399999999999997</v>
      </c>
      <c r="K59" s="11" t="str">
        <f>modif0!P343</f>
        <v>CR</v>
      </c>
      <c r="L59" t="str">
        <f>modif0!N343</f>
        <v>PM</v>
      </c>
      <c r="M59">
        <f>modif0!Q343</f>
        <v>2022</v>
      </c>
      <c r="N59" t="str">
        <f>modif0!R343</f>
        <v>CR-PM_2022</v>
      </c>
      <c r="O59" t="b">
        <f>modif0!S343</f>
        <v>1</v>
      </c>
      <c r="P59">
        <v>25</v>
      </c>
      <c r="Q59" t="s">
        <v>1868</v>
      </c>
      <c r="AA59" s="17">
        <f>IF($A59,$J59*(IF(Q59=regle!$B$11,regle!$B$23*IF(AJ59=-2,1+regle!$B$35,1),
IF(Q59=regle!$C$11,regle!$C$23,
IF(Q59=regle!$D$11,regle!$D$23,
IF(Q59=regle!$E$11,regle!$E$23,
IF(Q59=regle!$F$11,regle!$F$23,
IF(Q59=regle!$G$11,regle!$G$23,
IF(Q59=regle!$H$11,regle!$H$23,
IF(Q59=regle!$I$11,regle!$I$23,
IF(Q59=regle!$J$11,regle!$J$23,
IF(Q59=regle!$K$11,regle!$K$23,0))))))))))))</f>
        <v>-1009.8</v>
      </c>
      <c r="AB59" s="17">
        <f>IF($A59,$J59*(IF(R59=regle!$B$11,regle!$B$23*IF(AK59=-2,1+regle!$B$35,1),
IF(R59=regle!$C$11,regle!$C$23,
IF(R59=regle!$D$11,regle!$D$23,
IF(R59=regle!$E$11,regle!$E$23,
IF(R59=regle!$F$11,regle!$F$23,
IF(R59=regle!$G$11,regle!$G$23,
IF(R59=regle!$H$11,regle!$H$23,
IF(R59=regle!$I$11,regle!$I$23,
IF(R59=regle!$J$11,regle!$J$23,
IF(R59=regle!$K$11,regle!$K$23,0))))))))))))</f>
        <v>0</v>
      </c>
      <c r="AC59" s="17">
        <f>IF($A59,$J59*(IF(S59=regle!$B$11,regle!$B$23*IF(AL59=-2,1+regle!$B$35,1),
IF(S59=regle!$C$11,regle!$C$23,
IF(S59=regle!$D$11,regle!$D$23,
IF(S59=regle!$E$11,regle!$E$23,
IF(S59=regle!$F$11,regle!$F$23,
IF(S59=regle!$G$11,regle!$G$23,
IF(S59=regle!$H$11,regle!$H$23,
IF(S59=regle!$I$11,regle!$I$23,
IF(S59=regle!$J$11,regle!$J$23,
IF(S59=regle!$K$11,regle!$K$23,0))))))))))))</f>
        <v>0</v>
      </c>
      <c r="AD59" s="17">
        <f>IF($A59,$J59*(IF(T59=regle!$B$11,regle!$B$23*IF(AM59=-2,1+regle!$B$35,1),
IF(T59=regle!$C$11,regle!$C$23,
IF(T59=regle!$D$11,regle!$D$23,
IF(T59=regle!$E$11,regle!$E$23,
IF(T59=regle!$F$11,regle!$F$23,
IF(T59=regle!$G$11,regle!$G$23,
IF(T59=regle!$H$11,regle!$H$23,
IF(T59=regle!$I$11,regle!$I$23,
IF(T59=regle!$J$11,regle!$J$23,
IF(T59=regle!$K$11,regle!$K$23,0))))))))))))</f>
        <v>0</v>
      </c>
      <c r="AE59" s="17">
        <f>IF($A59,$J59*(IF(U59=regle!$B$11,regle!$B$23*IF(AN59=-2,1+regle!$B$35,1),
IF(U59=regle!$C$11,regle!$C$23,
IF(U59=regle!$D$11,regle!$D$23,
IF(U59=regle!$E$11,regle!$E$23,
IF(U59=regle!$F$11,regle!$F$23,
IF(U59=regle!$G$11,regle!$G$23,
IF(U59=regle!$H$11,regle!$H$23,
IF(U59=regle!$I$11,regle!$I$23,
IF(U59=regle!$J$11,regle!$J$23,
IF(U59=regle!$K$11,regle!$K$23,0))))))))))))</f>
        <v>0</v>
      </c>
      <c r="AF59" s="17">
        <f>IF($A59,$J59*(IF(V59=regle!$B$11,regle!$B$23*IF(AO59=-2,1+regle!$B$35,1),
IF(V59=regle!$C$11,regle!$C$23,
IF(V59=regle!$D$11,regle!$D$23,
IF(V59=regle!$E$11,regle!$E$23,
IF(V59=regle!$F$11,regle!$F$23,
IF(V59=regle!$G$11,regle!$G$23,
IF(V59=regle!$H$11,regle!$H$23,
IF(V59=regle!$I$11,regle!$I$23,
IF(V59=regle!$J$11,regle!$J$23,
IF(V59=regle!$K$11,regle!$K$23,0))))))))))))</f>
        <v>0</v>
      </c>
      <c r="AG59" s="17">
        <f>IF($A59,$J59*(IF(W59=regle!$B$11,regle!$B$23*IF(AP59=-2,1+regle!$B$35,1),
IF(W59=regle!$C$11,regle!$C$23,
IF(W59=regle!$D$11,regle!$D$23,
IF(W59=regle!$E$11,regle!$E$23,
IF(W59=regle!$F$11,regle!$F$23,
IF(W59=regle!$G$11,regle!$G$23,
IF(W59=regle!$H$11,regle!$H$23,
IF(W59=regle!$I$11,regle!$I$23,
IF(W59=regle!$J$11,regle!$J$23,
IF(W59=regle!$K$11,regle!$K$23,0))))))))))))</f>
        <v>0</v>
      </c>
      <c r="AH59" s="17">
        <f>IF($A59,$J59*(IF(X59=regle!$B$11,regle!$B$23*IF(AQ59=-2,1+regle!$B$35,1),
IF(X59=regle!$C$11,regle!$C$23,
IF(X59=regle!$D$11,regle!$D$23,
IF(X59=regle!$E$11,regle!$E$23,
IF(X59=regle!$F$11,regle!$F$23,
IF(X59=regle!$G$11,regle!$G$23,
IF(X59=regle!$H$11,regle!$H$23,
IF(X59=regle!$I$11,regle!$I$23,
IF(X59=regle!$J$11,regle!$J$23,
IF(X59=regle!$K$11,regle!$K$23,0))))))))))))</f>
        <v>0</v>
      </c>
      <c r="AI59" s="17">
        <f>IF($A59,$J59*(IF(Y59=regle!$B$11,regle!$B$23*IF(AR59=-2,1+regle!$B$35,1),
IF(Y59=regle!$C$11,regle!$C$23,
IF(Y59=regle!$D$11,regle!$D$23,
IF(Y59=regle!$E$11,regle!$E$23,
IF(Y59=regle!$F$11,regle!$F$23,
IF(Y59=regle!$G$11,regle!$G$23,
IF(Y59=regle!$H$11,regle!$H$23,
IF(Y59=regle!$I$11,regle!$I$23,
IF(Y59=regle!$J$11,regle!$J$23,
IF(Y59=regle!$K$11,regle!$K$23,0))))))))))))</f>
        <v>0</v>
      </c>
      <c r="AJ59" s="17">
        <f>IF($A59,$J59*(IF(Z59=regle!$B$11,regle!$B$23*IF(AS59=-2,1+regle!$B$35,1),
IF(Z59=regle!$C$11,regle!$C$23,
IF(Z59=regle!$D$11,regle!$D$23,
IF(Z59=regle!$E$11,regle!$E$23,
IF(Z59=regle!$F$11,regle!$F$23,
IF(Z59=regle!$G$11,regle!$G$23,
IF(Z59=regle!$H$11,regle!$H$23,
IF(Z59=regle!$I$11,regle!$I$23,
IF(Z59=regle!$J$11,regle!$J$23,
IF(Z59=regle!$K$11,regle!$K$23,0))))))))))))</f>
        <v>0</v>
      </c>
      <c r="AK59" s="16">
        <f>IF(OR(Q59=regle!$J$11,Q59=regle!$K$11),-2,IF(Q59=regle!$B$11,0,IF(AK$1=$AK$1,IF($O59,-1,regle!$B$2-$M59),IF(AJ59=-1,-1,AJ59+1))))</f>
        <v>0</v>
      </c>
      <c r="AL59" s="16">
        <f>IF(OR(R59=regle!$J$11,R59=regle!$K$11),-2,IF(R59=regle!$B$11,0,IF(AL$1=$AK$1,IF($O59,-1,regle!$B$2-$M59),IF(AK59=-1,-1,AK59+1))))</f>
        <v>1</v>
      </c>
      <c r="AM59" s="16">
        <f>IF(OR(S59=regle!$J$11,S59=regle!$K$11),-2,IF(S59=regle!$B$11,0,IF(AM$1=$AK$1,IF($O59,-1,regle!$B$2-$M59),IF(AL59=-1,-1,AL59+1))))</f>
        <v>2</v>
      </c>
      <c r="AN59" s="16">
        <f>IF(OR(T59=regle!$J$11,T59=regle!$K$11),-2,IF(T59=regle!$B$11,0,IF(AN$1=$AK$1,IF($O59,-1,regle!$B$2-$M59),IF(AM59=-1,-1,AM59+1))))</f>
        <v>3</v>
      </c>
      <c r="AO59" s="16">
        <f>IF(OR(U59=regle!$J$11,U59=regle!$K$11),-2,IF(U59=regle!$B$11,0,IF(AO$1=$AK$1,IF($O59,-1,regle!$B$2-$M59),IF(AN59=-1,-1,AN59+1))))</f>
        <v>4</v>
      </c>
      <c r="AP59" s="16">
        <f>IF(OR(V59=regle!$J$11,V59=regle!$K$11),-2,IF(V59=regle!$B$11,0,IF(AP$1=$AK$1,IF($O59,-1,regle!$B$2-$M59),IF(AO59=-1,-1,AO59+1))))</f>
        <v>5</v>
      </c>
      <c r="AQ59" s="16">
        <f>IF(OR(W59=regle!$J$11,W59=regle!$K$11),-2,IF(W59=regle!$B$11,0,IF(AQ$1=$AK$1,IF($O59,-1,regle!$B$2-$M59),IF(AP59=-1,-1,AP59+1))))</f>
        <v>6</v>
      </c>
      <c r="AR59" s="16">
        <f>IF(OR(X59=regle!$J$11,X59=regle!$K$11),-2,IF(X59=regle!$B$11,0,IF(AR$1=$AK$1,IF($O59,-1,regle!$B$2-$M59),IF(AQ59=-1,-1,AQ59+1))))</f>
        <v>7</v>
      </c>
      <c r="AS59" s="16">
        <f>IF(OR(Y59=regle!$J$11,Y59=regle!$K$11),-2,IF(Y59=regle!$B$11,0,IF(AS$1=$AK$1,IF($O59,-1,regle!$B$2-$M59),IF(AR59=-1,-1,AR59+1))))</f>
        <v>8</v>
      </c>
      <c r="AT59" s="16">
        <f>IF(OR(Z59=regle!$J$11,Z59=regle!$K$11),-2,IF(Z59=regle!$B$11,0,IF(AT$1=$AK$1,IF($O59,-1,regle!$B$2-$M59),IF(AS59=-1,-1,AS59+1))))</f>
        <v>9</v>
      </c>
    </row>
    <row r="60" spans="1:46" x14ac:dyDescent="0.25">
      <c r="A60" t="b">
        <f>modif0!A281</f>
        <v>1</v>
      </c>
      <c r="B60">
        <f>ROW(modif0!B281)</f>
        <v>281</v>
      </c>
      <c r="C60" t="str">
        <f>modif0!D281</f>
        <v>171</v>
      </c>
      <c r="D60" t="str">
        <f>modif0!E281</f>
        <v>MANO</v>
      </c>
      <c r="E60">
        <f>modif0!F281</f>
        <v>17</v>
      </c>
      <c r="F60" t="str">
        <f>modif0!G281</f>
        <v>LANDE DE TABARTON</v>
      </c>
      <c r="G60" t="str">
        <f>modif0!I281</f>
        <v>0B</v>
      </c>
      <c r="H60">
        <f>modif0!J281</f>
        <v>313</v>
      </c>
      <c r="I60" t="str">
        <f>modif0!K281</f>
        <v/>
      </c>
      <c r="J60" s="11">
        <f>modif0!M281</f>
        <v>0.59219999999999995</v>
      </c>
      <c r="K60" s="11" t="str">
        <f>modif0!P281</f>
        <v>CR</v>
      </c>
      <c r="L60" t="str">
        <f>modif0!N281</f>
        <v>PM</v>
      </c>
      <c r="M60">
        <f>modif0!Q281</f>
        <v>2022</v>
      </c>
      <c r="N60" t="str">
        <f>modif0!R281</f>
        <v>CR-PM_2022</v>
      </c>
      <c r="O60" t="b">
        <f>modif0!S281</f>
        <v>1</v>
      </c>
      <c r="P60">
        <v>25</v>
      </c>
      <c r="Q60" t="s">
        <v>1868</v>
      </c>
      <c r="AA60" s="17">
        <f>IF($A60,$J60*(IF(Q60=regle!$B$11,regle!$B$23*IF(AJ60=-2,1+regle!$B$35,1),
IF(Q60=regle!$C$11,regle!$C$23,
IF(Q60=regle!$D$11,regle!$D$23,
IF(Q60=regle!$E$11,regle!$E$23,
IF(Q60=regle!$F$11,regle!$F$23,
IF(Q60=regle!$G$11,regle!$G$23,
IF(Q60=regle!$H$11,regle!$H$23,
IF(Q60=regle!$I$11,regle!$I$23,
IF(Q60=regle!$J$11,regle!$J$23,
IF(Q60=regle!$K$11,regle!$K$23,0))))))))))))</f>
        <v>-1006.7399999999999</v>
      </c>
      <c r="AB60" s="17">
        <f>IF($A60,$J60*(IF(R60=regle!$B$11,regle!$B$23*IF(AK60=-2,1+regle!$B$35,1),
IF(R60=regle!$C$11,regle!$C$23,
IF(R60=regle!$D$11,regle!$D$23,
IF(R60=regle!$E$11,regle!$E$23,
IF(R60=regle!$F$11,regle!$F$23,
IF(R60=regle!$G$11,regle!$G$23,
IF(R60=regle!$H$11,regle!$H$23,
IF(R60=regle!$I$11,regle!$I$23,
IF(R60=regle!$J$11,regle!$J$23,
IF(R60=regle!$K$11,regle!$K$23,0))))))))))))</f>
        <v>0</v>
      </c>
      <c r="AC60" s="17">
        <f>IF($A60,$J60*(IF(S60=regle!$B$11,regle!$B$23*IF(AL60=-2,1+regle!$B$35,1),
IF(S60=regle!$C$11,regle!$C$23,
IF(S60=regle!$D$11,regle!$D$23,
IF(S60=regle!$E$11,regle!$E$23,
IF(S60=regle!$F$11,regle!$F$23,
IF(S60=regle!$G$11,regle!$G$23,
IF(S60=regle!$H$11,regle!$H$23,
IF(S60=regle!$I$11,regle!$I$23,
IF(S60=regle!$J$11,regle!$J$23,
IF(S60=regle!$K$11,regle!$K$23,0))))))))))))</f>
        <v>0</v>
      </c>
      <c r="AD60" s="17">
        <f>IF($A60,$J60*(IF(T60=regle!$B$11,regle!$B$23*IF(AM60=-2,1+regle!$B$35,1),
IF(T60=regle!$C$11,regle!$C$23,
IF(T60=regle!$D$11,regle!$D$23,
IF(T60=regle!$E$11,regle!$E$23,
IF(T60=regle!$F$11,regle!$F$23,
IF(T60=regle!$G$11,regle!$G$23,
IF(T60=regle!$H$11,regle!$H$23,
IF(T60=regle!$I$11,regle!$I$23,
IF(T60=regle!$J$11,regle!$J$23,
IF(T60=regle!$K$11,regle!$K$23,0))))))))))))</f>
        <v>0</v>
      </c>
      <c r="AE60" s="17">
        <f>IF($A60,$J60*(IF(U60=regle!$B$11,regle!$B$23*IF(AN60=-2,1+regle!$B$35,1),
IF(U60=regle!$C$11,regle!$C$23,
IF(U60=regle!$D$11,regle!$D$23,
IF(U60=regle!$E$11,regle!$E$23,
IF(U60=regle!$F$11,regle!$F$23,
IF(U60=regle!$G$11,regle!$G$23,
IF(U60=regle!$H$11,regle!$H$23,
IF(U60=regle!$I$11,regle!$I$23,
IF(U60=regle!$J$11,regle!$J$23,
IF(U60=regle!$K$11,regle!$K$23,0))))))))))))</f>
        <v>0</v>
      </c>
      <c r="AF60" s="17">
        <f>IF($A60,$J60*(IF(V60=regle!$B$11,regle!$B$23*IF(AO60=-2,1+regle!$B$35,1),
IF(V60=regle!$C$11,regle!$C$23,
IF(V60=regle!$D$11,regle!$D$23,
IF(V60=regle!$E$11,regle!$E$23,
IF(V60=regle!$F$11,regle!$F$23,
IF(V60=regle!$G$11,regle!$G$23,
IF(V60=regle!$H$11,regle!$H$23,
IF(V60=regle!$I$11,regle!$I$23,
IF(V60=regle!$J$11,regle!$J$23,
IF(V60=regle!$K$11,regle!$K$23,0))))))))))))</f>
        <v>0</v>
      </c>
      <c r="AG60" s="17">
        <f>IF($A60,$J60*(IF(W60=regle!$B$11,regle!$B$23*IF(AP60=-2,1+regle!$B$35,1),
IF(W60=regle!$C$11,regle!$C$23,
IF(W60=regle!$D$11,regle!$D$23,
IF(W60=regle!$E$11,regle!$E$23,
IF(W60=regle!$F$11,regle!$F$23,
IF(W60=regle!$G$11,regle!$G$23,
IF(W60=regle!$H$11,regle!$H$23,
IF(W60=regle!$I$11,regle!$I$23,
IF(W60=regle!$J$11,regle!$J$23,
IF(W60=regle!$K$11,regle!$K$23,0))))))))))))</f>
        <v>0</v>
      </c>
      <c r="AH60" s="17">
        <f>IF($A60,$J60*(IF(X60=regle!$B$11,regle!$B$23*IF(AQ60=-2,1+regle!$B$35,1),
IF(X60=regle!$C$11,regle!$C$23,
IF(X60=regle!$D$11,regle!$D$23,
IF(X60=regle!$E$11,regle!$E$23,
IF(X60=regle!$F$11,regle!$F$23,
IF(X60=regle!$G$11,regle!$G$23,
IF(X60=regle!$H$11,regle!$H$23,
IF(X60=regle!$I$11,regle!$I$23,
IF(X60=regle!$J$11,regle!$J$23,
IF(X60=regle!$K$11,regle!$K$23,0))))))))))))</f>
        <v>0</v>
      </c>
      <c r="AI60" s="17">
        <f>IF($A60,$J60*(IF(Y60=regle!$B$11,regle!$B$23*IF(AR60=-2,1+regle!$B$35,1),
IF(Y60=regle!$C$11,regle!$C$23,
IF(Y60=regle!$D$11,regle!$D$23,
IF(Y60=regle!$E$11,regle!$E$23,
IF(Y60=regle!$F$11,regle!$F$23,
IF(Y60=regle!$G$11,regle!$G$23,
IF(Y60=regle!$H$11,regle!$H$23,
IF(Y60=regle!$I$11,regle!$I$23,
IF(Y60=regle!$J$11,regle!$J$23,
IF(Y60=regle!$K$11,regle!$K$23,0))))))))))))</f>
        <v>0</v>
      </c>
      <c r="AJ60" s="17">
        <f>IF($A60,$J60*(IF(Z60=regle!$B$11,regle!$B$23*IF(AS60=-2,1+regle!$B$35,1),
IF(Z60=regle!$C$11,regle!$C$23,
IF(Z60=regle!$D$11,regle!$D$23,
IF(Z60=regle!$E$11,regle!$E$23,
IF(Z60=regle!$F$11,regle!$F$23,
IF(Z60=regle!$G$11,regle!$G$23,
IF(Z60=regle!$H$11,regle!$H$23,
IF(Z60=regle!$I$11,regle!$I$23,
IF(Z60=regle!$J$11,regle!$J$23,
IF(Z60=regle!$K$11,regle!$K$23,0))))))))))))</f>
        <v>0</v>
      </c>
      <c r="AK60" s="16">
        <f>IF(OR(Q60=regle!$J$11,Q60=regle!$K$11),-2,IF(Q60=regle!$B$11,0,IF(AK$1=$AK$1,IF($O60,-1,regle!$B$2-$M60),IF(AJ60=-1,-1,AJ60+1))))</f>
        <v>0</v>
      </c>
      <c r="AL60" s="16">
        <f>IF(OR(R60=regle!$J$11,R60=regle!$K$11),-2,IF(R60=regle!$B$11,0,IF(AL$1=$AK$1,IF($O60,-1,regle!$B$2-$M60),IF(AK60=-1,-1,AK60+1))))</f>
        <v>1</v>
      </c>
      <c r="AM60" s="16">
        <f>IF(OR(S60=regle!$J$11,S60=regle!$K$11),-2,IF(S60=regle!$B$11,0,IF(AM$1=$AK$1,IF($O60,-1,regle!$B$2-$M60),IF(AL60=-1,-1,AL60+1))))</f>
        <v>2</v>
      </c>
      <c r="AN60" s="16">
        <f>IF(OR(T60=regle!$J$11,T60=regle!$K$11),-2,IF(T60=regle!$B$11,0,IF(AN$1=$AK$1,IF($O60,-1,regle!$B$2-$M60),IF(AM60=-1,-1,AM60+1))))</f>
        <v>3</v>
      </c>
      <c r="AO60" s="16">
        <f>IF(OR(U60=regle!$J$11,U60=regle!$K$11),-2,IF(U60=regle!$B$11,0,IF(AO$1=$AK$1,IF($O60,-1,regle!$B$2-$M60),IF(AN60=-1,-1,AN60+1))))</f>
        <v>4</v>
      </c>
      <c r="AP60" s="16">
        <f>IF(OR(V60=regle!$J$11,V60=regle!$K$11),-2,IF(V60=regle!$B$11,0,IF(AP$1=$AK$1,IF($O60,-1,regle!$B$2-$M60),IF(AO60=-1,-1,AO60+1))))</f>
        <v>5</v>
      </c>
      <c r="AQ60" s="16">
        <f>IF(OR(W60=regle!$J$11,W60=regle!$K$11),-2,IF(W60=regle!$B$11,0,IF(AQ$1=$AK$1,IF($O60,-1,regle!$B$2-$M60),IF(AP60=-1,-1,AP60+1))))</f>
        <v>6</v>
      </c>
      <c r="AR60" s="16">
        <f>IF(OR(X60=regle!$J$11,X60=regle!$K$11),-2,IF(X60=regle!$B$11,0,IF(AR$1=$AK$1,IF($O60,-1,regle!$B$2-$M60),IF(AQ60=-1,-1,AQ60+1))))</f>
        <v>7</v>
      </c>
      <c r="AS60" s="16">
        <f>IF(OR(Y60=regle!$J$11,Y60=regle!$K$11),-2,IF(Y60=regle!$B$11,0,IF(AS$1=$AK$1,IF($O60,-1,regle!$B$2-$M60),IF(AR60=-1,-1,AR60+1))))</f>
        <v>8</v>
      </c>
      <c r="AT60" s="16">
        <f>IF(OR(Z60=regle!$J$11,Z60=regle!$K$11),-2,IF(Z60=regle!$B$11,0,IF(AT$1=$AK$1,IF($O60,-1,regle!$B$2-$M60),IF(AS60=-1,-1,AS60+1))))</f>
        <v>9</v>
      </c>
    </row>
    <row r="61" spans="1:46" x14ac:dyDescent="0.25">
      <c r="A61" t="b">
        <f>modif0!A264</f>
        <v>1</v>
      </c>
      <c r="B61">
        <f>ROW(modif0!B264)</f>
        <v>264</v>
      </c>
      <c r="C61" t="str">
        <f>modif0!D264</f>
        <v>171</v>
      </c>
      <c r="D61" t="str">
        <f>modif0!E264</f>
        <v>MANO</v>
      </c>
      <c r="E61">
        <f>modif0!F264</f>
        <v>17</v>
      </c>
      <c r="F61" t="str">
        <f>modif0!G264</f>
        <v>LANDE DE TABARTON</v>
      </c>
      <c r="G61" t="str">
        <f>modif0!I264</f>
        <v>0B</v>
      </c>
      <c r="H61">
        <f>modif0!J264</f>
        <v>281</v>
      </c>
      <c r="I61" t="str">
        <f>modif0!K264</f>
        <v/>
      </c>
      <c r="J61" s="11">
        <f>modif0!M264</f>
        <v>0.56299999999999994</v>
      </c>
      <c r="K61" s="11" t="str">
        <f>modif0!P264</f>
        <v>CR</v>
      </c>
      <c r="L61" t="str">
        <f>modif0!N264</f>
        <v>PM</v>
      </c>
      <c r="M61">
        <f>modif0!Q264</f>
        <v>2022</v>
      </c>
      <c r="N61" t="str">
        <f>modif0!R264</f>
        <v>CR-PM_2022</v>
      </c>
      <c r="O61" t="b">
        <f>modif0!S264</f>
        <v>1</v>
      </c>
      <c r="P61">
        <v>25</v>
      </c>
      <c r="Q61" t="s">
        <v>1868</v>
      </c>
      <c r="AA61" s="17">
        <f>IF($A61,$J61*(IF(Q61=regle!$B$11,regle!$B$23*IF(AJ61=-2,1+regle!$B$35,1),
IF(Q61=regle!$C$11,regle!$C$23,
IF(Q61=regle!$D$11,regle!$D$23,
IF(Q61=regle!$E$11,regle!$E$23,
IF(Q61=regle!$F$11,regle!$F$23,
IF(Q61=regle!$G$11,regle!$G$23,
IF(Q61=regle!$H$11,regle!$H$23,
IF(Q61=regle!$I$11,regle!$I$23,
IF(Q61=regle!$J$11,regle!$J$23,
IF(Q61=regle!$K$11,regle!$K$23,0))))))))))))</f>
        <v>-957.09999999999991</v>
      </c>
      <c r="AB61" s="17">
        <f>IF($A61,$J61*(IF(R61=regle!$B$11,regle!$B$23*IF(AK61=-2,1+regle!$B$35,1),
IF(R61=regle!$C$11,regle!$C$23,
IF(R61=regle!$D$11,regle!$D$23,
IF(R61=regle!$E$11,regle!$E$23,
IF(R61=regle!$F$11,regle!$F$23,
IF(R61=regle!$G$11,regle!$G$23,
IF(R61=regle!$H$11,regle!$H$23,
IF(R61=regle!$I$11,regle!$I$23,
IF(R61=regle!$J$11,regle!$J$23,
IF(R61=regle!$K$11,regle!$K$23,0))))))))))))</f>
        <v>0</v>
      </c>
      <c r="AC61" s="17">
        <f>IF($A61,$J61*(IF(S61=regle!$B$11,regle!$B$23*IF(AL61=-2,1+regle!$B$35,1),
IF(S61=regle!$C$11,regle!$C$23,
IF(S61=regle!$D$11,regle!$D$23,
IF(S61=regle!$E$11,regle!$E$23,
IF(S61=regle!$F$11,regle!$F$23,
IF(S61=regle!$G$11,regle!$G$23,
IF(S61=regle!$H$11,regle!$H$23,
IF(S61=regle!$I$11,regle!$I$23,
IF(S61=regle!$J$11,regle!$J$23,
IF(S61=regle!$K$11,regle!$K$23,0))))))))))))</f>
        <v>0</v>
      </c>
      <c r="AD61" s="17">
        <f>IF($A61,$J61*(IF(T61=regle!$B$11,regle!$B$23*IF(AM61=-2,1+regle!$B$35,1),
IF(T61=regle!$C$11,regle!$C$23,
IF(T61=regle!$D$11,regle!$D$23,
IF(T61=regle!$E$11,regle!$E$23,
IF(T61=regle!$F$11,regle!$F$23,
IF(T61=regle!$G$11,regle!$G$23,
IF(T61=regle!$H$11,regle!$H$23,
IF(T61=regle!$I$11,regle!$I$23,
IF(T61=regle!$J$11,regle!$J$23,
IF(T61=regle!$K$11,regle!$K$23,0))))))))))))</f>
        <v>0</v>
      </c>
      <c r="AE61" s="17">
        <f>IF($A61,$J61*(IF(U61=regle!$B$11,regle!$B$23*IF(AN61=-2,1+regle!$B$35,1),
IF(U61=regle!$C$11,regle!$C$23,
IF(U61=regle!$D$11,regle!$D$23,
IF(U61=regle!$E$11,regle!$E$23,
IF(U61=regle!$F$11,regle!$F$23,
IF(U61=regle!$G$11,regle!$G$23,
IF(U61=regle!$H$11,regle!$H$23,
IF(U61=regle!$I$11,regle!$I$23,
IF(U61=regle!$J$11,regle!$J$23,
IF(U61=regle!$K$11,regle!$K$23,0))))))))))))</f>
        <v>0</v>
      </c>
      <c r="AF61" s="17">
        <f>IF($A61,$J61*(IF(V61=regle!$B$11,regle!$B$23*IF(AO61=-2,1+regle!$B$35,1),
IF(V61=regle!$C$11,regle!$C$23,
IF(V61=regle!$D$11,regle!$D$23,
IF(V61=regle!$E$11,regle!$E$23,
IF(V61=regle!$F$11,regle!$F$23,
IF(V61=regle!$G$11,regle!$G$23,
IF(V61=regle!$H$11,regle!$H$23,
IF(V61=regle!$I$11,regle!$I$23,
IF(V61=regle!$J$11,regle!$J$23,
IF(V61=regle!$K$11,regle!$K$23,0))))))))))))</f>
        <v>0</v>
      </c>
      <c r="AG61" s="17">
        <f>IF($A61,$J61*(IF(W61=regle!$B$11,regle!$B$23*IF(AP61=-2,1+regle!$B$35,1),
IF(W61=regle!$C$11,regle!$C$23,
IF(W61=regle!$D$11,regle!$D$23,
IF(W61=regle!$E$11,regle!$E$23,
IF(W61=regle!$F$11,regle!$F$23,
IF(W61=regle!$G$11,regle!$G$23,
IF(W61=regle!$H$11,regle!$H$23,
IF(W61=regle!$I$11,regle!$I$23,
IF(W61=regle!$J$11,regle!$J$23,
IF(W61=regle!$K$11,regle!$K$23,0))))))))))))</f>
        <v>0</v>
      </c>
      <c r="AH61" s="17">
        <f>IF($A61,$J61*(IF(X61=regle!$B$11,regle!$B$23*IF(AQ61=-2,1+regle!$B$35,1),
IF(X61=regle!$C$11,regle!$C$23,
IF(X61=regle!$D$11,regle!$D$23,
IF(X61=regle!$E$11,regle!$E$23,
IF(X61=regle!$F$11,regle!$F$23,
IF(X61=regle!$G$11,regle!$G$23,
IF(X61=regle!$H$11,regle!$H$23,
IF(X61=regle!$I$11,regle!$I$23,
IF(X61=regle!$J$11,regle!$J$23,
IF(X61=regle!$K$11,regle!$K$23,0))))))))))))</f>
        <v>0</v>
      </c>
      <c r="AI61" s="17">
        <f>IF($A61,$J61*(IF(Y61=regle!$B$11,regle!$B$23*IF(AR61=-2,1+regle!$B$35,1),
IF(Y61=regle!$C$11,regle!$C$23,
IF(Y61=regle!$D$11,regle!$D$23,
IF(Y61=regle!$E$11,regle!$E$23,
IF(Y61=regle!$F$11,regle!$F$23,
IF(Y61=regle!$G$11,regle!$G$23,
IF(Y61=regle!$H$11,regle!$H$23,
IF(Y61=regle!$I$11,regle!$I$23,
IF(Y61=regle!$J$11,regle!$J$23,
IF(Y61=regle!$K$11,regle!$K$23,0))))))))))))</f>
        <v>0</v>
      </c>
      <c r="AJ61" s="17">
        <f>IF($A61,$J61*(IF(Z61=regle!$B$11,regle!$B$23*IF(AS61=-2,1+regle!$B$35,1),
IF(Z61=regle!$C$11,regle!$C$23,
IF(Z61=regle!$D$11,regle!$D$23,
IF(Z61=regle!$E$11,regle!$E$23,
IF(Z61=regle!$F$11,regle!$F$23,
IF(Z61=regle!$G$11,regle!$G$23,
IF(Z61=regle!$H$11,regle!$H$23,
IF(Z61=regle!$I$11,regle!$I$23,
IF(Z61=regle!$J$11,regle!$J$23,
IF(Z61=regle!$K$11,regle!$K$23,0))))))))))))</f>
        <v>0</v>
      </c>
      <c r="AK61" s="16">
        <f>IF(OR(Q61=regle!$J$11,Q61=regle!$K$11),-2,IF(Q61=regle!$B$11,0,IF(AK$1=$AK$1,IF($O61,-1,regle!$B$2-$M61),IF(AJ61=-1,-1,AJ61+1))))</f>
        <v>0</v>
      </c>
      <c r="AL61" s="16">
        <f>IF(OR(R61=regle!$J$11,R61=regle!$K$11),-2,IF(R61=regle!$B$11,0,IF(AL$1=$AK$1,IF($O61,-1,regle!$B$2-$M61),IF(AK61=-1,-1,AK61+1))))</f>
        <v>1</v>
      </c>
      <c r="AM61" s="16">
        <f>IF(OR(S61=regle!$J$11,S61=regle!$K$11),-2,IF(S61=regle!$B$11,0,IF(AM$1=$AK$1,IF($O61,-1,regle!$B$2-$M61),IF(AL61=-1,-1,AL61+1))))</f>
        <v>2</v>
      </c>
      <c r="AN61" s="16">
        <f>IF(OR(T61=regle!$J$11,T61=regle!$K$11),-2,IF(T61=regle!$B$11,0,IF(AN$1=$AK$1,IF($O61,-1,regle!$B$2-$M61),IF(AM61=-1,-1,AM61+1))))</f>
        <v>3</v>
      </c>
      <c r="AO61" s="16">
        <f>IF(OR(U61=regle!$J$11,U61=regle!$K$11),-2,IF(U61=regle!$B$11,0,IF(AO$1=$AK$1,IF($O61,-1,regle!$B$2-$M61),IF(AN61=-1,-1,AN61+1))))</f>
        <v>4</v>
      </c>
      <c r="AP61" s="16">
        <f>IF(OR(V61=regle!$J$11,V61=regle!$K$11),-2,IF(V61=regle!$B$11,0,IF(AP$1=$AK$1,IF($O61,-1,regle!$B$2-$M61),IF(AO61=-1,-1,AO61+1))))</f>
        <v>5</v>
      </c>
      <c r="AQ61" s="16">
        <f>IF(OR(W61=regle!$J$11,W61=regle!$K$11),-2,IF(W61=regle!$B$11,0,IF(AQ$1=$AK$1,IF($O61,-1,regle!$B$2-$M61),IF(AP61=-1,-1,AP61+1))))</f>
        <v>6</v>
      </c>
      <c r="AR61" s="16">
        <f>IF(OR(X61=regle!$J$11,X61=regle!$K$11),-2,IF(X61=regle!$B$11,0,IF(AR$1=$AK$1,IF($O61,-1,regle!$B$2-$M61),IF(AQ61=-1,-1,AQ61+1))))</f>
        <v>7</v>
      </c>
      <c r="AS61" s="16">
        <f>IF(OR(Y61=regle!$J$11,Y61=regle!$K$11),-2,IF(Y61=regle!$B$11,0,IF(AS$1=$AK$1,IF($O61,-1,regle!$B$2-$M61),IF(AR61=-1,-1,AR61+1))))</f>
        <v>8</v>
      </c>
      <c r="AT61" s="16">
        <f>IF(OR(Z61=regle!$J$11,Z61=regle!$K$11),-2,IF(Z61=regle!$B$11,0,IF(AT$1=$AK$1,IF($O61,-1,regle!$B$2-$M61),IF(AS61=-1,-1,AS61+1))))</f>
        <v>9</v>
      </c>
    </row>
    <row r="62" spans="1:46" x14ac:dyDescent="0.25">
      <c r="A62" t="b">
        <f>modif0!A300</f>
        <v>1</v>
      </c>
      <c r="B62">
        <f>ROW(modif0!B300)</f>
        <v>300</v>
      </c>
      <c r="C62" t="str">
        <f>modif0!D300</f>
        <v>171</v>
      </c>
      <c r="D62" t="str">
        <f>modif0!E300</f>
        <v>MANO</v>
      </c>
      <c r="E62">
        <f>modif0!F300</f>
        <v>6</v>
      </c>
      <c r="F62" t="str">
        <f>modif0!G300</f>
        <v>BARRAT</v>
      </c>
      <c r="G62" t="str">
        <f>modif0!I300</f>
        <v>0C</v>
      </c>
      <c r="H62">
        <f>modif0!J300</f>
        <v>174</v>
      </c>
      <c r="I62" t="str">
        <f>modif0!K300</f>
        <v/>
      </c>
      <c r="J62" s="11">
        <f>modif0!M300</f>
        <v>0.55859999999999999</v>
      </c>
      <c r="K62" s="11" t="str">
        <f>modif0!P300</f>
        <v>CR</v>
      </c>
      <c r="L62" t="str">
        <f>modif0!N300</f>
        <v>PM</v>
      </c>
      <c r="M62">
        <f>modif0!Q300</f>
        <v>2022</v>
      </c>
      <c r="N62" t="str">
        <f>modif0!R300</f>
        <v>CR-PM_2022</v>
      </c>
      <c r="O62" t="b">
        <f>modif0!S300</f>
        <v>1</v>
      </c>
      <c r="P62">
        <v>25</v>
      </c>
      <c r="Q62" t="s">
        <v>1868</v>
      </c>
      <c r="AA62" s="17">
        <f>IF($A62,$J62*(IF(Q62=regle!$B$11,regle!$B$23*IF(AJ62=-2,1+regle!$B$35,1),
IF(Q62=regle!$C$11,regle!$C$23,
IF(Q62=regle!$D$11,regle!$D$23,
IF(Q62=regle!$E$11,regle!$E$23,
IF(Q62=regle!$F$11,regle!$F$23,
IF(Q62=regle!$G$11,regle!$G$23,
IF(Q62=regle!$H$11,regle!$H$23,
IF(Q62=regle!$I$11,regle!$I$23,
IF(Q62=regle!$J$11,regle!$J$23,
IF(Q62=regle!$K$11,regle!$K$23,0))))))))))))</f>
        <v>-949.62</v>
      </c>
      <c r="AB62" s="17">
        <f>IF($A62,$J62*(IF(R62=regle!$B$11,regle!$B$23*IF(AK62=-2,1+regle!$B$35,1),
IF(R62=regle!$C$11,regle!$C$23,
IF(R62=regle!$D$11,regle!$D$23,
IF(R62=regle!$E$11,regle!$E$23,
IF(R62=regle!$F$11,regle!$F$23,
IF(R62=regle!$G$11,regle!$G$23,
IF(R62=regle!$H$11,regle!$H$23,
IF(R62=regle!$I$11,regle!$I$23,
IF(R62=regle!$J$11,regle!$J$23,
IF(R62=regle!$K$11,regle!$K$23,0))))))))))))</f>
        <v>0</v>
      </c>
      <c r="AC62" s="17">
        <f>IF($A62,$J62*(IF(S62=regle!$B$11,regle!$B$23*IF(AL62=-2,1+regle!$B$35,1),
IF(S62=regle!$C$11,regle!$C$23,
IF(S62=regle!$D$11,regle!$D$23,
IF(S62=regle!$E$11,regle!$E$23,
IF(S62=regle!$F$11,regle!$F$23,
IF(S62=regle!$G$11,regle!$G$23,
IF(S62=regle!$H$11,regle!$H$23,
IF(S62=regle!$I$11,regle!$I$23,
IF(S62=regle!$J$11,regle!$J$23,
IF(S62=regle!$K$11,regle!$K$23,0))))))))))))</f>
        <v>0</v>
      </c>
      <c r="AD62" s="17">
        <f>IF($A62,$J62*(IF(T62=regle!$B$11,regle!$B$23*IF(AM62=-2,1+regle!$B$35,1),
IF(T62=regle!$C$11,regle!$C$23,
IF(T62=regle!$D$11,regle!$D$23,
IF(T62=regle!$E$11,regle!$E$23,
IF(T62=regle!$F$11,regle!$F$23,
IF(T62=regle!$G$11,regle!$G$23,
IF(T62=regle!$H$11,regle!$H$23,
IF(T62=regle!$I$11,regle!$I$23,
IF(T62=regle!$J$11,regle!$J$23,
IF(T62=regle!$K$11,regle!$K$23,0))))))))))))</f>
        <v>0</v>
      </c>
      <c r="AE62" s="17">
        <f>IF($A62,$J62*(IF(U62=regle!$B$11,regle!$B$23*IF(AN62=-2,1+regle!$B$35,1),
IF(U62=regle!$C$11,regle!$C$23,
IF(U62=regle!$D$11,regle!$D$23,
IF(U62=regle!$E$11,regle!$E$23,
IF(U62=regle!$F$11,regle!$F$23,
IF(U62=regle!$G$11,regle!$G$23,
IF(U62=regle!$H$11,regle!$H$23,
IF(U62=regle!$I$11,regle!$I$23,
IF(U62=regle!$J$11,regle!$J$23,
IF(U62=regle!$K$11,regle!$K$23,0))))))))))))</f>
        <v>0</v>
      </c>
      <c r="AF62" s="17">
        <f>IF($A62,$J62*(IF(V62=regle!$B$11,regle!$B$23*IF(AO62=-2,1+regle!$B$35,1),
IF(V62=regle!$C$11,regle!$C$23,
IF(V62=regle!$D$11,regle!$D$23,
IF(V62=regle!$E$11,regle!$E$23,
IF(V62=regle!$F$11,regle!$F$23,
IF(V62=regle!$G$11,regle!$G$23,
IF(V62=regle!$H$11,regle!$H$23,
IF(V62=regle!$I$11,regle!$I$23,
IF(V62=regle!$J$11,regle!$J$23,
IF(V62=regle!$K$11,regle!$K$23,0))))))))))))</f>
        <v>0</v>
      </c>
      <c r="AG62" s="17">
        <f>IF($A62,$J62*(IF(W62=regle!$B$11,regle!$B$23*IF(AP62=-2,1+regle!$B$35,1),
IF(W62=regle!$C$11,regle!$C$23,
IF(W62=regle!$D$11,regle!$D$23,
IF(W62=regle!$E$11,regle!$E$23,
IF(W62=regle!$F$11,regle!$F$23,
IF(W62=regle!$G$11,regle!$G$23,
IF(W62=regle!$H$11,regle!$H$23,
IF(W62=regle!$I$11,regle!$I$23,
IF(W62=regle!$J$11,regle!$J$23,
IF(W62=regle!$K$11,regle!$K$23,0))))))))))))</f>
        <v>0</v>
      </c>
      <c r="AH62" s="17">
        <f>IF($A62,$J62*(IF(X62=regle!$B$11,regle!$B$23*IF(AQ62=-2,1+regle!$B$35,1),
IF(X62=regle!$C$11,regle!$C$23,
IF(X62=regle!$D$11,regle!$D$23,
IF(X62=regle!$E$11,regle!$E$23,
IF(X62=regle!$F$11,regle!$F$23,
IF(X62=regle!$G$11,regle!$G$23,
IF(X62=regle!$H$11,regle!$H$23,
IF(X62=regle!$I$11,regle!$I$23,
IF(X62=regle!$J$11,regle!$J$23,
IF(X62=regle!$K$11,regle!$K$23,0))))))))))))</f>
        <v>0</v>
      </c>
      <c r="AI62" s="17">
        <f>IF($A62,$J62*(IF(Y62=regle!$B$11,regle!$B$23*IF(AR62=-2,1+regle!$B$35,1),
IF(Y62=regle!$C$11,regle!$C$23,
IF(Y62=regle!$D$11,regle!$D$23,
IF(Y62=regle!$E$11,regle!$E$23,
IF(Y62=regle!$F$11,regle!$F$23,
IF(Y62=regle!$G$11,regle!$G$23,
IF(Y62=regle!$H$11,regle!$H$23,
IF(Y62=regle!$I$11,regle!$I$23,
IF(Y62=regle!$J$11,regle!$J$23,
IF(Y62=regle!$K$11,regle!$K$23,0))))))))))))</f>
        <v>0</v>
      </c>
      <c r="AJ62" s="17">
        <f>IF($A62,$J62*(IF(Z62=regle!$B$11,regle!$B$23*IF(AS62=-2,1+regle!$B$35,1),
IF(Z62=regle!$C$11,regle!$C$23,
IF(Z62=regle!$D$11,regle!$D$23,
IF(Z62=regle!$E$11,regle!$E$23,
IF(Z62=regle!$F$11,regle!$F$23,
IF(Z62=regle!$G$11,regle!$G$23,
IF(Z62=regle!$H$11,regle!$H$23,
IF(Z62=regle!$I$11,regle!$I$23,
IF(Z62=regle!$J$11,regle!$J$23,
IF(Z62=regle!$K$11,regle!$K$23,0))))))))))))</f>
        <v>0</v>
      </c>
      <c r="AK62" s="16">
        <f>IF(OR(Q62=regle!$J$11,Q62=regle!$K$11),-2,IF(Q62=regle!$B$11,0,IF(AK$1=$AK$1,IF($O62,-1,regle!$B$2-$M62),IF(AJ62=-1,-1,AJ62+1))))</f>
        <v>0</v>
      </c>
      <c r="AL62" s="16">
        <f>IF(OR(R62=regle!$J$11,R62=regle!$K$11),-2,IF(R62=regle!$B$11,0,IF(AL$1=$AK$1,IF($O62,-1,regle!$B$2-$M62),IF(AK62=-1,-1,AK62+1))))</f>
        <v>1</v>
      </c>
      <c r="AM62" s="16">
        <f>IF(OR(S62=regle!$J$11,S62=regle!$K$11),-2,IF(S62=regle!$B$11,0,IF(AM$1=$AK$1,IF($O62,-1,regle!$B$2-$M62),IF(AL62=-1,-1,AL62+1))))</f>
        <v>2</v>
      </c>
      <c r="AN62" s="16">
        <f>IF(OR(T62=regle!$J$11,T62=regle!$K$11),-2,IF(T62=regle!$B$11,0,IF(AN$1=$AK$1,IF($O62,-1,regle!$B$2-$M62),IF(AM62=-1,-1,AM62+1))))</f>
        <v>3</v>
      </c>
      <c r="AO62" s="16">
        <f>IF(OR(U62=regle!$J$11,U62=regle!$K$11),-2,IF(U62=regle!$B$11,0,IF(AO$1=$AK$1,IF($O62,-1,regle!$B$2-$M62),IF(AN62=-1,-1,AN62+1))))</f>
        <v>4</v>
      </c>
      <c r="AP62" s="16">
        <f>IF(OR(V62=regle!$J$11,V62=regle!$K$11),-2,IF(V62=regle!$B$11,0,IF(AP$1=$AK$1,IF($O62,-1,regle!$B$2-$M62),IF(AO62=-1,-1,AO62+1))))</f>
        <v>5</v>
      </c>
      <c r="AQ62" s="16">
        <f>IF(OR(W62=regle!$J$11,W62=regle!$K$11),-2,IF(W62=regle!$B$11,0,IF(AQ$1=$AK$1,IF($O62,-1,regle!$B$2-$M62),IF(AP62=-1,-1,AP62+1))))</f>
        <v>6</v>
      </c>
      <c r="AR62" s="16">
        <f>IF(OR(X62=regle!$J$11,X62=regle!$K$11),-2,IF(X62=regle!$B$11,0,IF(AR$1=$AK$1,IF($O62,-1,regle!$B$2-$M62),IF(AQ62=-1,-1,AQ62+1))))</f>
        <v>7</v>
      </c>
      <c r="AS62" s="16">
        <f>IF(OR(Y62=regle!$J$11,Y62=regle!$K$11),-2,IF(Y62=regle!$B$11,0,IF(AS$1=$AK$1,IF($O62,-1,regle!$B$2-$M62),IF(AR62=-1,-1,AR62+1))))</f>
        <v>8</v>
      </c>
      <c r="AT62" s="16">
        <f>IF(OR(Z62=regle!$J$11,Z62=regle!$K$11),-2,IF(Z62=regle!$B$11,0,IF(AT$1=$AK$1,IF($O62,-1,regle!$B$2-$M62),IF(AS62=-1,-1,AS62+1))))</f>
        <v>9</v>
      </c>
    </row>
    <row r="63" spans="1:46" x14ac:dyDescent="0.25">
      <c r="A63" t="b">
        <f>modif0!A251</f>
        <v>1</v>
      </c>
      <c r="B63">
        <f>ROW(modif0!B251)</f>
        <v>251</v>
      </c>
      <c r="C63" t="str">
        <f>modif0!D251</f>
        <v>171</v>
      </c>
      <c r="D63" t="str">
        <f>modif0!E251</f>
        <v>MANO</v>
      </c>
      <c r="E63">
        <f>modif0!F251</f>
        <v>17</v>
      </c>
      <c r="F63" t="str">
        <f>modif0!G251</f>
        <v>LANDE DE TABARTON</v>
      </c>
      <c r="G63" t="str">
        <f>modif0!I251</f>
        <v>0B</v>
      </c>
      <c r="H63">
        <f>modif0!J251</f>
        <v>252</v>
      </c>
      <c r="I63" t="str">
        <f>modif0!K251</f>
        <v/>
      </c>
      <c r="J63" s="11">
        <f>modif0!M251</f>
        <v>0.55500000000000005</v>
      </c>
      <c r="K63" s="11" t="str">
        <f>modif0!P251</f>
        <v>CR</v>
      </c>
      <c r="L63" t="str">
        <f>modif0!N251</f>
        <v>PM</v>
      </c>
      <c r="M63">
        <f>modif0!Q251</f>
        <v>2022</v>
      </c>
      <c r="N63" t="str">
        <f>modif0!R251</f>
        <v>CR-PM_2022</v>
      </c>
      <c r="O63" t="b">
        <f>modif0!S251</f>
        <v>1</v>
      </c>
      <c r="P63">
        <v>40</v>
      </c>
      <c r="Q63" t="s">
        <v>1868</v>
      </c>
      <c r="S63" t="s">
        <v>1872</v>
      </c>
      <c r="U63" t="s">
        <v>1870</v>
      </c>
      <c r="X63" t="s">
        <v>1871</v>
      </c>
      <c r="AA63" s="17">
        <f>IF($A63,$J63*(IF(Q63=regle!$B$11,regle!$B$23*IF(AJ63=-2,1+regle!$B$35,1),
IF(Q63=regle!$C$11,regle!$C$23,
IF(Q63=regle!$D$11,regle!$D$23,
IF(Q63=regle!$E$11,regle!$E$23,
IF(Q63=regle!$F$11,regle!$F$23,
IF(Q63=regle!$G$11,regle!$G$23,
IF(Q63=regle!$H$11,regle!$H$23,
IF(Q63=regle!$I$11,regle!$I$23,
IF(Q63=regle!$J$11,regle!$J$23,
IF(Q63=regle!$K$11,regle!$K$23,0))))))))))))</f>
        <v>-943.50000000000011</v>
      </c>
      <c r="AB63" s="17">
        <f>IF($A63,$J63*(IF(R63=regle!$B$11,regle!$B$23*IF(AK63=-2,1+regle!$B$35,1),
IF(R63=regle!$C$11,regle!$C$23,
IF(R63=regle!$D$11,regle!$D$23,
IF(R63=regle!$E$11,regle!$E$23,
IF(R63=regle!$F$11,regle!$F$23,
IF(R63=regle!$G$11,regle!$G$23,
IF(R63=regle!$H$11,regle!$H$23,
IF(R63=regle!$I$11,regle!$I$23,
IF(R63=regle!$J$11,regle!$J$23,
IF(R63=regle!$K$11,regle!$K$23,0))))))))))))</f>
        <v>0</v>
      </c>
      <c r="AC63" s="17">
        <f>IF($A63,$J63*(IF(S63=regle!$B$11,regle!$B$23*IF(AL63=-2,1+regle!$B$35,1),
IF(S63=regle!$C$11,regle!$C$23,
IF(S63=regle!$D$11,regle!$D$23,
IF(S63=regle!$E$11,regle!$E$23,
IF(S63=regle!$F$11,regle!$F$23,
IF(S63=regle!$G$11,regle!$G$23,
IF(S63=regle!$H$11,regle!$H$23,
IF(S63=regle!$I$11,regle!$I$23,
IF(S63=regle!$J$11,regle!$J$23,
IF(S63=regle!$K$11,regle!$K$23,0))))))))))))</f>
        <v>-41.625000000000007</v>
      </c>
      <c r="AD63" s="17">
        <f>IF($A63,$J63*(IF(T63=regle!$B$11,regle!$B$23*IF(AM63=-2,1+regle!$B$35,1),
IF(T63=regle!$C$11,regle!$C$23,
IF(T63=regle!$D$11,regle!$D$23,
IF(T63=regle!$E$11,regle!$E$23,
IF(T63=regle!$F$11,regle!$F$23,
IF(T63=regle!$G$11,regle!$G$23,
IF(T63=regle!$H$11,regle!$H$23,
IF(T63=regle!$I$11,regle!$I$23,
IF(T63=regle!$J$11,regle!$J$23,
IF(T63=regle!$K$11,regle!$K$23,0))))))))))))</f>
        <v>0</v>
      </c>
      <c r="AE63" s="17">
        <f>IF($A63,$J63*(IF(U63=regle!$B$11,regle!$B$23*IF(AN63=-2,1+regle!$B$35,1),
IF(U63=regle!$C$11,regle!$C$23,
IF(U63=regle!$D$11,regle!$D$23,
IF(U63=regle!$E$11,regle!$E$23,
IF(U63=regle!$F$11,regle!$F$23,
IF(U63=regle!$G$11,regle!$G$23,
IF(U63=regle!$H$11,regle!$H$23,
IF(U63=regle!$I$11,regle!$I$23,
IF(U63=regle!$J$11,regle!$J$23,
IF(U63=regle!$K$11,regle!$K$23,0))))))))))))</f>
        <v>-49.95</v>
      </c>
      <c r="AF63" s="17">
        <f>IF($A63,$J63*(IF(V63=regle!$B$11,regle!$B$23*IF(AO63=-2,1+regle!$B$35,1),
IF(V63=regle!$C$11,regle!$C$23,
IF(V63=regle!$D$11,regle!$D$23,
IF(V63=regle!$E$11,regle!$E$23,
IF(V63=regle!$F$11,regle!$F$23,
IF(V63=regle!$G$11,regle!$G$23,
IF(V63=regle!$H$11,regle!$H$23,
IF(V63=regle!$I$11,regle!$I$23,
IF(V63=regle!$J$11,regle!$J$23,
IF(V63=regle!$K$11,regle!$K$23,0))))))))))))</f>
        <v>0</v>
      </c>
      <c r="AG63" s="17">
        <f>IF($A63,$J63*(IF(W63=regle!$B$11,regle!$B$23*IF(AP63=-2,1+regle!$B$35,1),
IF(W63=regle!$C$11,regle!$C$23,
IF(W63=regle!$D$11,regle!$D$23,
IF(W63=regle!$E$11,regle!$E$23,
IF(W63=regle!$F$11,regle!$F$23,
IF(W63=regle!$G$11,regle!$G$23,
IF(W63=regle!$H$11,regle!$H$23,
IF(W63=regle!$I$11,regle!$I$23,
IF(W63=regle!$J$11,regle!$J$23,
IF(W63=regle!$K$11,regle!$K$23,0))))))))))))</f>
        <v>0</v>
      </c>
      <c r="AH63" s="17">
        <f>IF($A63,$J63*(IF(X63=regle!$B$11,regle!$B$23*IF(AQ63=-2,1+regle!$B$35,1),
IF(X63=regle!$C$11,regle!$C$23,
IF(X63=regle!$D$11,regle!$D$23,
IF(X63=regle!$E$11,regle!$E$23,
IF(X63=regle!$F$11,regle!$F$23,
IF(X63=regle!$G$11,regle!$G$23,
IF(X63=regle!$H$11,regle!$H$23,
IF(X63=regle!$I$11,regle!$I$23,
IF(X63=regle!$J$11,regle!$J$23,
IF(X63=regle!$K$11,regle!$K$23,0))))))))))))</f>
        <v>-49.95</v>
      </c>
      <c r="AI63" s="17">
        <f>IF($A63,$J63*(IF(Y63=regle!$B$11,regle!$B$23*IF(AR63=-2,1+regle!$B$35,1),
IF(Y63=regle!$C$11,regle!$C$23,
IF(Y63=regle!$D$11,regle!$D$23,
IF(Y63=regle!$E$11,regle!$E$23,
IF(Y63=regle!$F$11,regle!$F$23,
IF(Y63=regle!$G$11,regle!$G$23,
IF(Y63=regle!$H$11,regle!$H$23,
IF(Y63=regle!$I$11,regle!$I$23,
IF(Y63=regle!$J$11,regle!$J$23,
IF(Y63=regle!$K$11,regle!$K$23,0))))))))))))</f>
        <v>0</v>
      </c>
      <c r="AJ63" s="17">
        <f>IF($A63,$J63*(IF(Z63=regle!$B$11,regle!$B$23*IF(AS63=-2,1+regle!$B$35,1),
IF(Z63=regle!$C$11,regle!$C$23,
IF(Z63=regle!$D$11,regle!$D$23,
IF(Z63=regle!$E$11,regle!$E$23,
IF(Z63=regle!$F$11,regle!$F$23,
IF(Z63=regle!$G$11,regle!$G$23,
IF(Z63=regle!$H$11,regle!$H$23,
IF(Z63=regle!$I$11,regle!$I$23,
IF(Z63=regle!$J$11,regle!$J$23,
IF(Z63=regle!$K$11,regle!$K$23,0))))))))))))</f>
        <v>0</v>
      </c>
      <c r="AK63" s="16">
        <f>IF(OR(Q63=regle!$J$11,Q63=regle!$K$11),-2,IF(Q63=regle!$B$11,0,IF(AK$1=$AK$1,IF($O63,-1,regle!$B$2-$M63),IF(AJ63=-1,-1,AJ63+1))))</f>
        <v>0</v>
      </c>
      <c r="AL63" s="16">
        <f>IF(OR(R63=regle!$J$11,R63=regle!$K$11),-2,IF(R63=regle!$B$11,0,IF(AL$1=$AK$1,IF($O63,-1,regle!$B$2-$M63),IF(AK63=-1,-1,AK63+1))))</f>
        <v>1</v>
      </c>
      <c r="AM63" s="16">
        <f>IF(OR(S63=regle!$J$11,S63=regle!$K$11),-2,IF(S63=regle!$B$11,0,IF(AM$1=$AK$1,IF($O63,-1,regle!$B$2-$M63),IF(AL63=-1,-1,AL63+1))))</f>
        <v>2</v>
      </c>
      <c r="AN63" s="16">
        <f>IF(OR(T63=regle!$J$11,T63=regle!$K$11),-2,IF(T63=regle!$B$11,0,IF(AN$1=$AK$1,IF($O63,-1,regle!$B$2-$M63),IF(AM63=-1,-1,AM63+1))))</f>
        <v>3</v>
      </c>
      <c r="AO63" s="16">
        <f>IF(OR(U63=regle!$J$11,U63=regle!$K$11),-2,IF(U63=regle!$B$11,0,IF(AO$1=$AK$1,IF($O63,-1,regle!$B$2-$M63),IF(AN63=-1,-1,AN63+1))))</f>
        <v>4</v>
      </c>
      <c r="AP63" s="16">
        <f>IF(OR(V63=regle!$J$11,V63=regle!$K$11),-2,IF(V63=regle!$B$11,0,IF(AP$1=$AK$1,IF($O63,-1,regle!$B$2-$M63),IF(AO63=-1,-1,AO63+1))))</f>
        <v>5</v>
      </c>
      <c r="AQ63" s="16">
        <f>IF(OR(W63=regle!$J$11,W63=regle!$K$11),-2,IF(W63=regle!$B$11,0,IF(AQ$1=$AK$1,IF($O63,-1,regle!$B$2-$M63),IF(AP63=-1,-1,AP63+1))))</f>
        <v>6</v>
      </c>
      <c r="AR63" s="16">
        <f>IF(OR(X63=regle!$J$11,X63=regle!$K$11),-2,IF(X63=regle!$B$11,0,IF(AR$1=$AK$1,IF($O63,-1,regle!$B$2-$M63),IF(AQ63=-1,-1,AQ63+1))))</f>
        <v>7</v>
      </c>
      <c r="AS63" s="16">
        <f>IF(OR(Y63=regle!$J$11,Y63=regle!$K$11),-2,IF(Y63=regle!$B$11,0,IF(AS$1=$AK$1,IF($O63,-1,regle!$B$2-$M63),IF(AR63=-1,-1,AR63+1))))</f>
        <v>8</v>
      </c>
      <c r="AT63" s="16">
        <f>IF(OR(Z63=regle!$J$11,Z63=regle!$K$11),-2,IF(Z63=regle!$B$11,0,IF(AT$1=$AK$1,IF($O63,-1,regle!$B$2-$M63),IF(AS63=-1,-1,AS63+1))))</f>
        <v>9</v>
      </c>
    </row>
    <row r="64" spans="1:46" x14ac:dyDescent="0.25">
      <c r="A64" t="b">
        <f>modif0!A289</f>
        <v>1</v>
      </c>
      <c r="B64">
        <f>ROW(modif0!B289)</f>
        <v>289</v>
      </c>
      <c r="C64" t="str">
        <f>modif0!D289</f>
        <v>171</v>
      </c>
      <c r="D64" t="str">
        <f>modif0!E289</f>
        <v>MANO</v>
      </c>
      <c r="E64">
        <f>modif0!F289</f>
        <v>17</v>
      </c>
      <c r="F64" t="str">
        <f>modif0!G289</f>
        <v>LANDE DE TABARTON</v>
      </c>
      <c r="G64" t="str">
        <f>modif0!I289</f>
        <v>0B</v>
      </c>
      <c r="H64">
        <f>modif0!J289</f>
        <v>489</v>
      </c>
      <c r="I64" t="str">
        <f>modif0!K289</f>
        <v>j</v>
      </c>
      <c r="J64" s="11">
        <f>modif0!M289</f>
        <v>0.54049999999999998</v>
      </c>
      <c r="K64" s="11" t="str">
        <f>modif0!P289</f>
        <v>CR</v>
      </c>
      <c r="L64" t="str">
        <f>modif0!N289</f>
        <v>PM</v>
      </c>
      <c r="M64">
        <f>modif0!Q289</f>
        <v>2022</v>
      </c>
      <c r="N64" t="str">
        <f>modif0!R289</f>
        <v>CR-PM_2022</v>
      </c>
      <c r="O64" t="b">
        <f>modif0!S289</f>
        <v>1</v>
      </c>
      <c r="P64">
        <v>40</v>
      </c>
      <c r="Q64" t="s">
        <v>1868</v>
      </c>
      <c r="S64" t="s">
        <v>1872</v>
      </c>
      <c r="U64" t="s">
        <v>1870</v>
      </c>
      <c r="X64" t="s">
        <v>1871</v>
      </c>
      <c r="AA64" s="17">
        <f>IF($A64,$J64*(IF(Q64=regle!$B$11,regle!$B$23*IF(AJ64=-2,1+regle!$B$35,1),
IF(Q64=regle!$C$11,regle!$C$23,
IF(Q64=regle!$D$11,regle!$D$23,
IF(Q64=regle!$E$11,regle!$E$23,
IF(Q64=regle!$F$11,regle!$F$23,
IF(Q64=regle!$G$11,regle!$G$23,
IF(Q64=regle!$H$11,regle!$H$23,
IF(Q64=regle!$I$11,regle!$I$23,
IF(Q64=regle!$J$11,regle!$J$23,
IF(Q64=regle!$K$11,regle!$K$23,0))))))))))))</f>
        <v>-918.85</v>
      </c>
      <c r="AB64" s="17">
        <f>IF($A64,$J64*(IF(R64=regle!$B$11,regle!$B$23*IF(AK64=-2,1+regle!$B$35,1),
IF(R64=regle!$C$11,regle!$C$23,
IF(R64=regle!$D$11,regle!$D$23,
IF(R64=regle!$E$11,regle!$E$23,
IF(R64=regle!$F$11,regle!$F$23,
IF(R64=regle!$G$11,regle!$G$23,
IF(R64=regle!$H$11,regle!$H$23,
IF(R64=regle!$I$11,regle!$I$23,
IF(R64=regle!$J$11,regle!$J$23,
IF(R64=regle!$K$11,regle!$K$23,0))))))))))))</f>
        <v>0</v>
      </c>
      <c r="AC64" s="17">
        <f>IF($A64,$J64*(IF(S64=regle!$B$11,regle!$B$23*IF(AL64=-2,1+regle!$B$35,1),
IF(S64=regle!$C$11,regle!$C$23,
IF(S64=regle!$D$11,regle!$D$23,
IF(S64=regle!$E$11,regle!$E$23,
IF(S64=regle!$F$11,regle!$F$23,
IF(S64=regle!$G$11,regle!$G$23,
IF(S64=regle!$H$11,regle!$H$23,
IF(S64=regle!$I$11,regle!$I$23,
IF(S64=regle!$J$11,regle!$J$23,
IF(S64=regle!$K$11,regle!$K$23,0))))))))))))</f>
        <v>-40.537500000000001</v>
      </c>
      <c r="AD64" s="17">
        <f>IF($A64,$J64*(IF(T64=regle!$B$11,regle!$B$23*IF(AM64=-2,1+regle!$B$35,1),
IF(T64=regle!$C$11,regle!$C$23,
IF(T64=regle!$D$11,regle!$D$23,
IF(T64=regle!$E$11,regle!$E$23,
IF(T64=regle!$F$11,regle!$F$23,
IF(T64=regle!$G$11,regle!$G$23,
IF(T64=regle!$H$11,regle!$H$23,
IF(T64=regle!$I$11,regle!$I$23,
IF(T64=regle!$J$11,regle!$J$23,
IF(T64=regle!$K$11,regle!$K$23,0))))))))))))</f>
        <v>0</v>
      </c>
      <c r="AE64" s="17">
        <f>IF($A64,$J64*(IF(U64=regle!$B$11,regle!$B$23*IF(AN64=-2,1+regle!$B$35,1),
IF(U64=regle!$C$11,regle!$C$23,
IF(U64=regle!$D$11,regle!$D$23,
IF(U64=regle!$E$11,regle!$E$23,
IF(U64=regle!$F$11,regle!$F$23,
IF(U64=regle!$G$11,regle!$G$23,
IF(U64=regle!$H$11,regle!$H$23,
IF(U64=regle!$I$11,regle!$I$23,
IF(U64=regle!$J$11,regle!$J$23,
IF(U64=regle!$K$11,regle!$K$23,0))))))))))))</f>
        <v>-48.644999999999996</v>
      </c>
      <c r="AF64" s="17">
        <f>IF($A64,$J64*(IF(V64=regle!$B$11,regle!$B$23*IF(AO64=-2,1+regle!$B$35,1),
IF(V64=regle!$C$11,regle!$C$23,
IF(V64=regle!$D$11,regle!$D$23,
IF(V64=regle!$E$11,regle!$E$23,
IF(V64=regle!$F$11,regle!$F$23,
IF(V64=regle!$G$11,regle!$G$23,
IF(V64=regle!$H$11,regle!$H$23,
IF(V64=regle!$I$11,regle!$I$23,
IF(V64=regle!$J$11,regle!$J$23,
IF(V64=regle!$K$11,regle!$K$23,0))))))))))))</f>
        <v>0</v>
      </c>
      <c r="AG64" s="17">
        <f>IF($A64,$J64*(IF(W64=regle!$B$11,regle!$B$23*IF(AP64=-2,1+regle!$B$35,1),
IF(W64=regle!$C$11,regle!$C$23,
IF(W64=regle!$D$11,regle!$D$23,
IF(W64=regle!$E$11,regle!$E$23,
IF(W64=regle!$F$11,regle!$F$23,
IF(W64=regle!$G$11,regle!$G$23,
IF(W64=regle!$H$11,regle!$H$23,
IF(W64=regle!$I$11,regle!$I$23,
IF(W64=regle!$J$11,regle!$J$23,
IF(W64=regle!$K$11,regle!$K$23,0))))))))))))</f>
        <v>0</v>
      </c>
      <c r="AH64" s="17">
        <f>IF($A64,$J64*(IF(X64=regle!$B$11,regle!$B$23*IF(AQ64=-2,1+regle!$B$35,1),
IF(X64=regle!$C$11,regle!$C$23,
IF(X64=regle!$D$11,regle!$D$23,
IF(X64=regle!$E$11,regle!$E$23,
IF(X64=regle!$F$11,regle!$F$23,
IF(X64=regle!$G$11,regle!$G$23,
IF(X64=regle!$H$11,regle!$H$23,
IF(X64=regle!$I$11,regle!$I$23,
IF(X64=regle!$J$11,regle!$J$23,
IF(X64=regle!$K$11,regle!$K$23,0))))))))))))</f>
        <v>-48.644999999999996</v>
      </c>
      <c r="AI64" s="17">
        <f>IF($A64,$J64*(IF(Y64=regle!$B$11,regle!$B$23*IF(AR64=-2,1+regle!$B$35,1),
IF(Y64=regle!$C$11,regle!$C$23,
IF(Y64=regle!$D$11,regle!$D$23,
IF(Y64=regle!$E$11,regle!$E$23,
IF(Y64=regle!$F$11,regle!$F$23,
IF(Y64=regle!$G$11,regle!$G$23,
IF(Y64=regle!$H$11,regle!$H$23,
IF(Y64=regle!$I$11,regle!$I$23,
IF(Y64=regle!$J$11,regle!$J$23,
IF(Y64=regle!$K$11,regle!$K$23,0))))))))))))</f>
        <v>0</v>
      </c>
      <c r="AJ64" s="17">
        <f>IF($A64,$J64*(IF(Z64=regle!$B$11,regle!$B$23*IF(AS64=-2,1+regle!$B$35,1),
IF(Z64=regle!$C$11,regle!$C$23,
IF(Z64=regle!$D$11,regle!$D$23,
IF(Z64=regle!$E$11,regle!$E$23,
IF(Z64=regle!$F$11,regle!$F$23,
IF(Z64=regle!$G$11,regle!$G$23,
IF(Z64=regle!$H$11,regle!$H$23,
IF(Z64=regle!$I$11,regle!$I$23,
IF(Z64=regle!$J$11,regle!$J$23,
IF(Z64=regle!$K$11,regle!$K$23,0))))))))))))</f>
        <v>0</v>
      </c>
      <c r="AK64" s="16">
        <f>IF(OR(Q64=regle!$J$11,Q64=regle!$K$11),-2,IF(Q64=regle!$B$11,0,IF(AK$1=$AK$1,IF($O64,-1,regle!$B$2-$M64),IF(AJ64=-1,-1,AJ64+1))))</f>
        <v>0</v>
      </c>
      <c r="AL64" s="16">
        <f>IF(OR(R64=regle!$J$11,R64=regle!$K$11),-2,IF(R64=regle!$B$11,0,IF(AL$1=$AK$1,IF($O64,-1,regle!$B$2-$M64),IF(AK64=-1,-1,AK64+1))))</f>
        <v>1</v>
      </c>
      <c r="AM64" s="16">
        <f>IF(OR(S64=regle!$J$11,S64=regle!$K$11),-2,IF(S64=regle!$B$11,0,IF(AM$1=$AK$1,IF($O64,-1,regle!$B$2-$M64),IF(AL64=-1,-1,AL64+1))))</f>
        <v>2</v>
      </c>
      <c r="AN64" s="16">
        <f>IF(OR(T64=regle!$J$11,T64=regle!$K$11),-2,IF(T64=regle!$B$11,0,IF(AN$1=$AK$1,IF($O64,-1,regle!$B$2-$M64),IF(AM64=-1,-1,AM64+1))))</f>
        <v>3</v>
      </c>
      <c r="AO64" s="16">
        <f>IF(OR(U64=regle!$J$11,U64=regle!$K$11),-2,IF(U64=regle!$B$11,0,IF(AO$1=$AK$1,IF($O64,-1,regle!$B$2-$M64),IF(AN64=-1,-1,AN64+1))))</f>
        <v>4</v>
      </c>
      <c r="AP64" s="16">
        <f>IF(OR(V64=regle!$J$11,V64=regle!$K$11),-2,IF(V64=regle!$B$11,0,IF(AP$1=$AK$1,IF($O64,-1,regle!$B$2-$M64),IF(AO64=-1,-1,AO64+1))))</f>
        <v>5</v>
      </c>
      <c r="AQ64" s="16">
        <f>IF(OR(W64=regle!$J$11,W64=regle!$K$11),-2,IF(W64=regle!$B$11,0,IF(AQ$1=$AK$1,IF($O64,-1,regle!$B$2-$M64),IF(AP64=-1,-1,AP64+1))))</f>
        <v>6</v>
      </c>
      <c r="AR64" s="16">
        <f>IF(OR(X64=regle!$J$11,X64=regle!$K$11),-2,IF(X64=regle!$B$11,0,IF(AR$1=$AK$1,IF($O64,-1,regle!$B$2-$M64),IF(AQ64=-1,-1,AQ64+1))))</f>
        <v>7</v>
      </c>
      <c r="AS64" s="16">
        <f>IF(OR(Y64=regle!$J$11,Y64=regle!$K$11),-2,IF(Y64=regle!$B$11,0,IF(AS$1=$AK$1,IF($O64,-1,regle!$B$2-$M64),IF(AR64=-1,-1,AR64+1))))</f>
        <v>8</v>
      </c>
      <c r="AT64" s="16">
        <f>IF(OR(Z64=regle!$J$11,Z64=regle!$K$11),-2,IF(Z64=regle!$B$11,0,IF(AT$1=$AK$1,IF($O64,-1,regle!$B$2-$M64),IF(AS64=-1,-1,AS64+1))))</f>
        <v>9</v>
      </c>
    </row>
    <row r="65" spans="1:46" x14ac:dyDescent="0.25">
      <c r="A65" t="b">
        <f>modif0!A279</f>
        <v>1</v>
      </c>
      <c r="B65">
        <f>ROW(modif0!B279)</f>
        <v>279</v>
      </c>
      <c r="C65" t="str">
        <f>modif0!D279</f>
        <v>171</v>
      </c>
      <c r="D65" t="str">
        <f>modif0!E279</f>
        <v>MANO</v>
      </c>
      <c r="E65">
        <f>modif0!F279</f>
        <v>17</v>
      </c>
      <c r="F65" t="str">
        <f>modif0!G279</f>
        <v>LANDE DE TABARTON</v>
      </c>
      <c r="G65" t="str">
        <f>modif0!I279</f>
        <v>0B</v>
      </c>
      <c r="H65">
        <f>modif0!J279</f>
        <v>311</v>
      </c>
      <c r="I65" t="str">
        <f>modif0!K279</f>
        <v/>
      </c>
      <c r="J65" s="11">
        <f>modif0!M279</f>
        <v>0.51400000000000001</v>
      </c>
      <c r="K65" s="11" t="str">
        <f>modif0!P279</f>
        <v>CR</v>
      </c>
      <c r="L65" t="str">
        <f>modif0!N279</f>
        <v>PM</v>
      </c>
      <c r="M65">
        <f>modif0!Q279</f>
        <v>2022</v>
      </c>
      <c r="N65" t="str">
        <f>modif0!R279</f>
        <v>CR-PM_2022</v>
      </c>
      <c r="O65" t="b">
        <f>modif0!S279</f>
        <v>1</v>
      </c>
      <c r="P65">
        <v>40</v>
      </c>
      <c r="Q65" t="s">
        <v>1868</v>
      </c>
      <c r="S65" t="s">
        <v>1872</v>
      </c>
      <c r="U65" t="s">
        <v>1870</v>
      </c>
      <c r="X65" t="s">
        <v>1871</v>
      </c>
      <c r="AA65" s="17">
        <f>IF($A65,$J65*(IF(Q65=regle!$B$11,regle!$B$23*IF(AJ65=-2,1+regle!$B$35,1),
IF(Q65=regle!$C$11,regle!$C$23,
IF(Q65=regle!$D$11,regle!$D$23,
IF(Q65=regle!$E$11,regle!$E$23,
IF(Q65=regle!$F$11,regle!$F$23,
IF(Q65=regle!$G$11,regle!$G$23,
IF(Q65=regle!$H$11,regle!$H$23,
IF(Q65=regle!$I$11,regle!$I$23,
IF(Q65=regle!$J$11,regle!$J$23,
IF(Q65=regle!$K$11,regle!$K$23,0))))))))))))</f>
        <v>-873.80000000000007</v>
      </c>
      <c r="AB65" s="17">
        <f>IF($A65,$J65*(IF(R65=regle!$B$11,regle!$B$23*IF(AK65=-2,1+regle!$B$35,1),
IF(R65=regle!$C$11,regle!$C$23,
IF(R65=regle!$D$11,regle!$D$23,
IF(R65=regle!$E$11,regle!$E$23,
IF(R65=regle!$F$11,regle!$F$23,
IF(R65=regle!$G$11,regle!$G$23,
IF(R65=regle!$H$11,regle!$H$23,
IF(R65=regle!$I$11,regle!$I$23,
IF(R65=regle!$J$11,regle!$J$23,
IF(R65=regle!$K$11,regle!$K$23,0))))))))))))</f>
        <v>0</v>
      </c>
      <c r="AC65" s="17">
        <f>IF($A65,$J65*(IF(S65=regle!$B$11,regle!$B$23*IF(AL65=-2,1+regle!$B$35,1),
IF(S65=regle!$C$11,regle!$C$23,
IF(S65=regle!$D$11,regle!$D$23,
IF(S65=regle!$E$11,regle!$E$23,
IF(S65=regle!$F$11,regle!$F$23,
IF(S65=regle!$G$11,regle!$G$23,
IF(S65=regle!$H$11,regle!$H$23,
IF(S65=regle!$I$11,regle!$I$23,
IF(S65=regle!$J$11,regle!$J$23,
IF(S65=regle!$K$11,regle!$K$23,0))))))))))))</f>
        <v>-38.550000000000004</v>
      </c>
      <c r="AD65" s="17">
        <f>IF($A65,$J65*(IF(T65=regle!$B$11,regle!$B$23*IF(AM65=-2,1+regle!$B$35,1),
IF(T65=regle!$C$11,regle!$C$23,
IF(T65=regle!$D$11,regle!$D$23,
IF(T65=regle!$E$11,regle!$E$23,
IF(T65=regle!$F$11,regle!$F$23,
IF(T65=regle!$G$11,regle!$G$23,
IF(T65=regle!$H$11,regle!$H$23,
IF(T65=regle!$I$11,regle!$I$23,
IF(T65=regle!$J$11,regle!$J$23,
IF(T65=regle!$K$11,regle!$K$23,0))))))))))))</f>
        <v>0</v>
      </c>
      <c r="AE65" s="17">
        <f>IF($A65,$J65*(IF(U65=regle!$B$11,regle!$B$23*IF(AN65=-2,1+regle!$B$35,1),
IF(U65=regle!$C$11,regle!$C$23,
IF(U65=regle!$D$11,regle!$D$23,
IF(U65=regle!$E$11,regle!$E$23,
IF(U65=regle!$F$11,regle!$F$23,
IF(U65=regle!$G$11,regle!$G$23,
IF(U65=regle!$H$11,regle!$H$23,
IF(U65=regle!$I$11,regle!$I$23,
IF(U65=regle!$J$11,regle!$J$23,
IF(U65=regle!$K$11,regle!$K$23,0))))))))))))</f>
        <v>-46.26</v>
      </c>
      <c r="AF65" s="17">
        <f>IF($A65,$J65*(IF(V65=regle!$B$11,regle!$B$23*IF(AO65=-2,1+regle!$B$35,1),
IF(V65=regle!$C$11,regle!$C$23,
IF(V65=regle!$D$11,regle!$D$23,
IF(V65=regle!$E$11,regle!$E$23,
IF(V65=regle!$F$11,regle!$F$23,
IF(V65=regle!$G$11,regle!$G$23,
IF(V65=regle!$H$11,regle!$H$23,
IF(V65=regle!$I$11,regle!$I$23,
IF(V65=regle!$J$11,regle!$J$23,
IF(V65=regle!$K$11,regle!$K$23,0))))))))))))</f>
        <v>0</v>
      </c>
      <c r="AG65" s="17">
        <f>IF($A65,$J65*(IF(W65=regle!$B$11,regle!$B$23*IF(AP65=-2,1+regle!$B$35,1),
IF(W65=regle!$C$11,regle!$C$23,
IF(W65=regle!$D$11,regle!$D$23,
IF(W65=regle!$E$11,regle!$E$23,
IF(W65=regle!$F$11,regle!$F$23,
IF(W65=regle!$G$11,regle!$G$23,
IF(W65=regle!$H$11,regle!$H$23,
IF(W65=regle!$I$11,regle!$I$23,
IF(W65=regle!$J$11,regle!$J$23,
IF(W65=regle!$K$11,regle!$K$23,0))))))))))))</f>
        <v>0</v>
      </c>
      <c r="AH65" s="17">
        <f>IF($A65,$J65*(IF(X65=regle!$B$11,regle!$B$23*IF(AQ65=-2,1+regle!$B$35,1),
IF(X65=regle!$C$11,regle!$C$23,
IF(X65=regle!$D$11,regle!$D$23,
IF(X65=regle!$E$11,regle!$E$23,
IF(X65=regle!$F$11,regle!$F$23,
IF(X65=regle!$G$11,regle!$G$23,
IF(X65=regle!$H$11,regle!$H$23,
IF(X65=regle!$I$11,regle!$I$23,
IF(X65=regle!$J$11,regle!$J$23,
IF(X65=regle!$K$11,regle!$K$23,0))))))))))))</f>
        <v>-46.26</v>
      </c>
      <c r="AI65" s="17">
        <f>IF($A65,$J65*(IF(Y65=regle!$B$11,regle!$B$23*IF(AR65=-2,1+regle!$B$35,1),
IF(Y65=regle!$C$11,regle!$C$23,
IF(Y65=regle!$D$11,regle!$D$23,
IF(Y65=regle!$E$11,regle!$E$23,
IF(Y65=regle!$F$11,regle!$F$23,
IF(Y65=regle!$G$11,regle!$G$23,
IF(Y65=regle!$H$11,regle!$H$23,
IF(Y65=regle!$I$11,regle!$I$23,
IF(Y65=regle!$J$11,regle!$J$23,
IF(Y65=regle!$K$11,regle!$K$23,0))))))))))))</f>
        <v>0</v>
      </c>
      <c r="AJ65" s="17">
        <f>IF($A65,$J65*(IF(Z65=regle!$B$11,regle!$B$23*IF(AS65=-2,1+regle!$B$35,1),
IF(Z65=regle!$C$11,regle!$C$23,
IF(Z65=regle!$D$11,regle!$D$23,
IF(Z65=regle!$E$11,regle!$E$23,
IF(Z65=regle!$F$11,regle!$F$23,
IF(Z65=regle!$G$11,regle!$G$23,
IF(Z65=regle!$H$11,regle!$H$23,
IF(Z65=regle!$I$11,regle!$I$23,
IF(Z65=regle!$J$11,regle!$J$23,
IF(Z65=regle!$K$11,regle!$K$23,0))))))))))))</f>
        <v>0</v>
      </c>
      <c r="AK65" s="16">
        <f>IF(OR(Q65=regle!$J$11,Q65=regle!$K$11),-2,IF(Q65=regle!$B$11,0,IF(AK$1=$AK$1,IF($O65,-1,regle!$B$2-$M65),IF(AJ65=-1,-1,AJ65+1))))</f>
        <v>0</v>
      </c>
      <c r="AL65" s="16">
        <f>IF(OR(R65=regle!$J$11,R65=regle!$K$11),-2,IF(R65=regle!$B$11,0,IF(AL$1=$AK$1,IF($O65,-1,regle!$B$2-$M65),IF(AK65=-1,-1,AK65+1))))</f>
        <v>1</v>
      </c>
      <c r="AM65" s="16">
        <f>IF(OR(S65=regle!$J$11,S65=regle!$K$11),-2,IF(S65=regle!$B$11,0,IF(AM$1=$AK$1,IF($O65,-1,regle!$B$2-$M65),IF(AL65=-1,-1,AL65+1))))</f>
        <v>2</v>
      </c>
      <c r="AN65" s="16">
        <f>IF(OR(T65=regle!$J$11,T65=regle!$K$11),-2,IF(T65=regle!$B$11,0,IF(AN$1=$AK$1,IF($O65,-1,regle!$B$2-$M65),IF(AM65=-1,-1,AM65+1))))</f>
        <v>3</v>
      </c>
      <c r="AO65" s="16">
        <f>IF(OR(U65=regle!$J$11,U65=regle!$K$11),-2,IF(U65=regle!$B$11,0,IF(AO$1=$AK$1,IF($O65,-1,regle!$B$2-$M65),IF(AN65=-1,-1,AN65+1))))</f>
        <v>4</v>
      </c>
      <c r="AP65" s="16">
        <f>IF(OR(V65=regle!$J$11,V65=regle!$K$11),-2,IF(V65=regle!$B$11,0,IF(AP$1=$AK$1,IF($O65,-1,regle!$B$2-$M65),IF(AO65=-1,-1,AO65+1))))</f>
        <v>5</v>
      </c>
      <c r="AQ65" s="16">
        <f>IF(OR(W65=regle!$J$11,W65=regle!$K$11),-2,IF(W65=regle!$B$11,0,IF(AQ$1=$AK$1,IF($O65,-1,regle!$B$2-$M65),IF(AP65=-1,-1,AP65+1))))</f>
        <v>6</v>
      </c>
      <c r="AR65" s="16">
        <f>IF(OR(X65=regle!$J$11,X65=regle!$K$11),-2,IF(X65=regle!$B$11,0,IF(AR$1=$AK$1,IF($O65,-1,regle!$B$2-$M65),IF(AQ65=-1,-1,AQ65+1))))</f>
        <v>7</v>
      </c>
      <c r="AS65" s="16">
        <f>IF(OR(Y65=regle!$J$11,Y65=regle!$K$11),-2,IF(Y65=regle!$B$11,0,IF(AS$1=$AK$1,IF($O65,-1,regle!$B$2-$M65),IF(AR65=-1,-1,AR65+1))))</f>
        <v>8</v>
      </c>
      <c r="AT65" s="16">
        <f>IF(OR(Z65=regle!$J$11,Z65=regle!$K$11),-2,IF(Z65=regle!$B$11,0,IF(AT$1=$AK$1,IF($O65,-1,regle!$B$2-$M65),IF(AS65=-1,-1,AS65+1))))</f>
        <v>9</v>
      </c>
    </row>
    <row r="66" spans="1:46" x14ac:dyDescent="0.25">
      <c r="A66" t="b">
        <f>modif0!A306</f>
        <v>1</v>
      </c>
      <c r="B66">
        <f>ROW(modif0!B306)</f>
        <v>306</v>
      </c>
      <c r="C66" t="str">
        <f>modif0!D306</f>
        <v>171</v>
      </c>
      <c r="D66" t="str">
        <f>modif0!E306</f>
        <v>MANO</v>
      </c>
      <c r="E66">
        <f>modif0!F306</f>
        <v>6</v>
      </c>
      <c r="F66" t="str">
        <f>modif0!G306</f>
        <v>BARRAT</v>
      </c>
      <c r="G66" t="str">
        <f>modif0!I306</f>
        <v>0C</v>
      </c>
      <c r="H66">
        <f>modif0!J306</f>
        <v>190</v>
      </c>
      <c r="I66" t="str">
        <f>modif0!K306</f>
        <v/>
      </c>
      <c r="J66" s="11">
        <f>modif0!M306</f>
        <v>0.48759999999999998</v>
      </c>
      <c r="K66" s="11" t="str">
        <f>modif0!P306</f>
        <v>CR</v>
      </c>
      <c r="L66" t="str">
        <f>modif0!N306</f>
        <v>PM</v>
      </c>
      <c r="M66">
        <f>modif0!Q306</f>
        <v>2022</v>
      </c>
      <c r="N66" t="str">
        <f>modif0!R306</f>
        <v>CR-PM_2022</v>
      </c>
      <c r="O66" t="b">
        <f>modif0!S306</f>
        <v>1</v>
      </c>
      <c r="P66">
        <v>40</v>
      </c>
      <c r="Q66" t="s">
        <v>1868</v>
      </c>
      <c r="S66" t="s">
        <v>1872</v>
      </c>
      <c r="U66" t="s">
        <v>1870</v>
      </c>
      <c r="X66" t="s">
        <v>1871</v>
      </c>
      <c r="AA66" s="17">
        <f>IF($A66,$J66*(IF(Q66=regle!$B$11,regle!$B$23*IF(AJ66=-2,1+regle!$B$35,1),
IF(Q66=regle!$C$11,regle!$C$23,
IF(Q66=regle!$D$11,regle!$D$23,
IF(Q66=regle!$E$11,regle!$E$23,
IF(Q66=regle!$F$11,regle!$F$23,
IF(Q66=regle!$G$11,regle!$G$23,
IF(Q66=regle!$H$11,regle!$H$23,
IF(Q66=regle!$I$11,regle!$I$23,
IF(Q66=regle!$J$11,regle!$J$23,
IF(Q66=regle!$K$11,regle!$K$23,0))))))))))))</f>
        <v>-828.92</v>
      </c>
      <c r="AB66" s="17">
        <f>IF($A66,$J66*(IF(R66=regle!$B$11,regle!$B$23*IF(AK66=-2,1+regle!$B$35,1),
IF(R66=regle!$C$11,regle!$C$23,
IF(R66=regle!$D$11,regle!$D$23,
IF(R66=regle!$E$11,regle!$E$23,
IF(R66=regle!$F$11,regle!$F$23,
IF(R66=regle!$G$11,regle!$G$23,
IF(R66=regle!$H$11,regle!$H$23,
IF(R66=regle!$I$11,regle!$I$23,
IF(R66=regle!$J$11,regle!$J$23,
IF(R66=regle!$K$11,regle!$K$23,0))))))))))))</f>
        <v>0</v>
      </c>
      <c r="AC66" s="17">
        <f>IF($A66,$J66*(IF(S66=regle!$B$11,regle!$B$23*IF(AL66=-2,1+regle!$B$35,1),
IF(S66=regle!$C$11,regle!$C$23,
IF(S66=regle!$D$11,regle!$D$23,
IF(S66=regle!$E$11,regle!$E$23,
IF(S66=regle!$F$11,regle!$F$23,
IF(S66=regle!$G$11,regle!$G$23,
IF(S66=regle!$H$11,regle!$H$23,
IF(S66=regle!$I$11,regle!$I$23,
IF(S66=regle!$J$11,regle!$J$23,
IF(S66=regle!$K$11,regle!$K$23,0))))))))))))</f>
        <v>-36.57</v>
      </c>
      <c r="AD66" s="17">
        <f>IF($A66,$J66*(IF(T66=regle!$B$11,regle!$B$23*IF(AM66=-2,1+regle!$B$35,1),
IF(T66=regle!$C$11,regle!$C$23,
IF(T66=regle!$D$11,regle!$D$23,
IF(T66=regle!$E$11,regle!$E$23,
IF(T66=regle!$F$11,regle!$F$23,
IF(T66=regle!$G$11,regle!$G$23,
IF(T66=regle!$H$11,regle!$H$23,
IF(T66=regle!$I$11,regle!$I$23,
IF(T66=regle!$J$11,regle!$J$23,
IF(T66=regle!$K$11,regle!$K$23,0))))))))))))</f>
        <v>0</v>
      </c>
      <c r="AE66" s="17">
        <f>IF($A66,$J66*(IF(U66=regle!$B$11,regle!$B$23*IF(AN66=-2,1+regle!$B$35,1),
IF(U66=regle!$C$11,regle!$C$23,
IF(U66=regle!$D$11,regle!$D$23,
IF(U66=regle!$E$11,regle!$E$23,
IF(U66=regle!$F$11,regle!$F$23,
IF(U66=regle!$G$11,regle!$G$23,
IF(U66=regle!$H$11,regle!$H$23,
IF(U66=regle!$I$11,regle!$I$23,
IF(U66=regle!$J$11,regle!$J$23,
IF(U66=regle!$K$11,regle!$K$23,0))))))))))))</f>
        <v>-43.884</v>
      </c>
      <c r="AF66" s="17">
        <f>IF($A66,$J66*(IF(V66=regle!$B$11,regle!$B$23*IF(AO66=-2,1+regle!$B$35,1),
IF(V66=regle!$C$11,regle!$C$23,
IF(V66=regle!$D$11,regle!$D$23,
IF(V66=regle!$E$11,regle!$E$23,
IF(V66=regle!$F$11,regle!$F$23,
IF(V66=regle!$G$11,regle!$G$23,
IF(V66=regle!$H$11,regle!$H$23,
IF(V66=regle!$I$11,regle!$I$23,
IF(V66=regle!$J$11,regle!$J$23,
IF(V66=regle!$K$11,regle!$K$23,0))))))))))))</f>
        <v>0</v>
      </c>
      <c r="AG66" s="17">
        <f>IF($A66,$J66*(IF(W66=regle!$B$11,regle!$B$23*IF(AP66=-2,1+regle!$B$35,1),
IF(W66=regle!$C$11,regle!$C$23,
IF(W66=regle!$D$11,regle!$D$23,
IF(W66=regle!$E$11,regle!$E$23,
IF(W66=regle!$F$11,regle!$F$23,
IF(W66=regle!$G$11,regle!$G$23,
IF(W66=regle!$H$11,regle!$H$23,
IF(W66=regle!$I$11,regle!$I$23,
IF(W66=regle!$J$11,regle!$J$23,
IF(W66=regle!$K$11,regle!$K$23,0))))))))))))</f>
        <v>0</v>
      </c>
      <c r="AH66" s="17">
        <f>IF($A66,$J66*(IF(X66=regle!$B$11,regle!$B$23*IF(AQ66=-2,1+regle!$B$35,1),
IF(X66=regle!$C$11,regle!$C$23,
IF(X66=regle!$D$11,regle!$D$23,
IF(X66=regle!$E$11,regle!$E$23,
IF(X66=regle!$F$11,regle!$F$23,
IF(X66=regle!$G$11,regle!$G$23,
IF(X66=regle!$H$11,regle!$H$23,
IF(X66=regle!$I$11,regle!$I$23,
IF(X66=regle!$J$11,regle!$J$23,
IF(X66=regle!$K$11,regle!$K$23,0))))))))))))</f>
        <v>-43.884</v>
      </c>
      <c r="AI66" s="17">
        <f>IF($A66,$J66*(IF(Y66=regle!$B$11,regle!$B$23*IF(AR66=-2,1+regle!$B$35,1),
IF(Y66=regle!$C$11,regle!$C$23,
IF(Y66=regle!$D$11,regle!$D$23,
IF(Y66=regle!$E$11,regle!$E$23,
IF(Y66=regle!$F$11,regle!$F$23,
IF(Y66=regle!$G$11,regle!$G$23,
IF(Y66=regle!$H$11,regle!$H$23,
IF(Y66=regle!$I$11,regle!$I$23,
IF(Y66=regle!$J$11,regle!$J$23,
IF(Y66=regle!$K$11,regle!$K$23,0))))))))))))</f>
        <v>0</v>
      </c>
      <c r="AJ66" s="17">
        <f>IF($A66,$J66*(IF(Z66=regle!$B$11,regle!$B$23*IF(AS66=-2,1+regle!$B$35,1),
IF(Z66=regle!$C$11,regle!$C$23,
IF(Z66=regle!$D$11,regle!$D$23,
IF(Z66=regle!$E$11,regle!$E$23,
IF(Z66=regle!$F$11,regle!$F$23,
IF(Z66=regle!$G$11,regle!$G$23,
IF(Z66=regle!$H$11,regle!$H$23,
IF(Z66=regle!$I$11,regle!$I$23,
IF(Z66=regle!$J$11,regle!$J$23,
IF(Z66=regle!$K$11,regle!$K$23,0))))))))))))</f>
        <v>0</v>
      </c>
      <c r="AK66" s="16">
        <f>IF(OR(Q66=regle!$J$11,Q66=regle!$K$11),-2,IF(Q66=regle!$B$11,0,IF(AK$1=$AK$1,IF($O66,-1,regle!$B$2-$M66),IF(AJ66=-1,-1,AJ66+1))))</f>
        <v>0</v>
      </c>
      <c r="AL66" s="16">
        <f>IF(OR(R66=regle!$J$11,R66=regle!$K$11),-2,IF(R66=regle!$B$11,0,IF(AL$1=$AK$1,IF($O66,-1,regle!$B$2-$M66),IF(AK66=-1,-1,AK66+1))))</f>
        <v>1</v>
      </c>
      <c r="AM66" s="16">
        <f>IF(OR(S66=regle!$J$11,S66=regle!$K$11),-2,IF(S66=regle!$B$11,0,IF(AM$1=$AK$1,IF($O66,-1,regle!$B$2-$M66),IF(AL66=-1,-1,AL66+1))))</f>
        <v>2</v>
      </c>
      <c r="AN66" s="16">
        <f>IF(OR(T66=regle!$J$11,T66=regle!$K$11),-2,IF(T66=regle!$B$11,0,IF(AN$1=$AK$1,IF($O66,-1,regle!$B$2-$M66),IF(AM66=-1,-1,AM66+1))))</f>
        <v>3</v>
      </c>
      <c r="AO66" s="16">
        <f>IF(OR(U66=regle!$J$11,U66=regle!$K$11),-2,IF(U66=regle!$B$11,0,IF(AO$1=$AK$1,IF($O66,-1,regle!$B$2-$M66),IF(AN66=-1,-1,AN66+1))))</f>
        <v>4</v>
      </c>
      <c r="AP66" s="16">
        <f>IF(OR(V66=regle!$J$11,V66=regle!$K$11),-2,IF(V66=regle!$B$11,0,IF(AP$1=$AK$1,IF($O66,-1,regle!$B$2-$M66),IF(AO66=-1,-1,AO66+1))))</f>
        <v>5</v>
      </c>
      <c r="AQ66" s="16">
        <f>IF(OR(W66=regle!$J$11,W66=regle!$K$11),-2,IF(W66=regle!$B$11,0,IF(AQ$1=$AK$1,IF($O66,-1,regle!$B$2-$M66),IF(AP66=-1,-1,AP66+1))))</f>
        <v>6</v>
      </c>
      <c r="AR66" s="16">
        <f>IF(OR(X66=regle!$J$11,X66=regle!$K$11),-2,IF(X66=regle!$B$11,0,IF(AR$1=$AK$1,IF($O66,-1,regle!$B$2-$M66),IF(AQ66=-1,-1,AQ66+1))))</f>
        <v>7</v>
      </c>
      <c r="AS66" s="16">
        <f>IF(OR(Y66=regle!$J$11,Y66=regle!$K$11),-2,IF(Y66=regle!$B$11,0,IF(AS$1=$AK$1,IF($O66,-1,regle!$B$2-$M66),IF(AR66=-1,-1,AR66+1))))</f>
        <v>8</v>
      </c>
      <c r="AT66" s="16">
        <f>IF(OR(Z66=regle!$J$11,Z66=regle!$K$11),-2,IF(Z66=regle!$B$11,0,IF(AT$1=$AK$1,IF($O66,-1,regle!$B$2-$M66),IF(AS66=-1,-1,AS66+1))))</f>
        <v>9</v>
      </c>
    </row>
    <row r="67" spans="1:46" x14ac:dyDescent="0.25">
      <c r="A67" t="b">
        <f>modif0!A272</f>
        <v>1</v>
      </c>
      <c r="B67">
        <f>ROW(modif0!B272)</f>
        <v>272</v>
      </c>
      <c r="C67" t="str">
        <f>modif0!D272</f>
        <v>171</v>
      </c>
      <c r="D67" t="str">
        <f>modif0!E272</f>
        <v>MANO</v>
      </c>
      <c r="E67">
        <f>modif0!F272</f>
        <v>17</v>
      </c>
      <c r="F67" t="str">
        <f>modif0!G272</f>
        <v>LANDE DE TABARTON</v>
      </c>
      <c r="G67" t="str">
        <f>modif0!I272</f>
        <v>0B</v>
      </c>
      <c r="H67">
        <f>modif0!J272</f>
        <v>304</v>
      </c>
      <c r="I67" t="str">
        <f>modif0!K272</f>
        <v>k</v>
      </c>
      <c r="J67" s="11">
        <f>modif0!M272</f>
        <v>0.45639999999999997</v>
      </c>
      <c r="K67" s="11" t="str">
        <f>modif0!P272</f>
        <v>CR</v>
      </c>
      <c r="L67" t="str">
        <f>modif0!N272</f>
        <v>PM</v>
      </c>
      <c r="M67">
        <f>modif0!Q272</f>
        <v>2022</v>
      </c>
      <c r="N67" t="str">
        <f>modif0!R272</f>
        <v>CR-PM_2022</v>
      </c>
      <c r="O67" t="b">
        <f>modif0!S272</f>
        <v>1</v>
      </c>
      <c r="P67">
        <v>40</v>
      </c>
      <c r="Q67" t="s">
        <v>1868</v>
      </c>
      <c r="S67" t="s">
        <v>1872</v>
      </c>
      <c r="U67" t="s">
        <v>1870</v>
      </c>
      <c r="X67" t="s">
        <v>1871</v>
      </c>
      <c r="AA67" s="17">
        <f>IF($A67,$J67*(IF(Q67=regle!$B$11,regle!$B$23*IF(AJ67=-2,1+regle!$B$35,1),
IF(Q67=regle!$C$11,regle!$C$23,
IF(Q67=regle!$D$11,regle!$D$23,
IF(Q67=regle!$E$11,regle!$E$23,
IF(Q67=regle!$F$11,regle!$F$23,
IF(Q67=regle!$G$11,regle!$G$23,
IF(Q67=regle!$H$11,regle!$H$23,
IF(Q67=regle!$I$11,regle!$I$23,
IF(Q67=regle!$J$11,regle!$J$23,
IF(Q67=regle!$K$11,regle!$K$23,0))))))))))))</f>
        <v>-775.88</v>
      </c>
      <c r="AB67" s="17">
        <f>IF($A67,$J67*(IF(R67=regle!$B$11,regle!$B$23*IF(AK67=-2,1+regle!$B$35,1),
IF(R67=regle!$C$11,regle!$C$23,
IF(R67=regle!$D$11,regle!$D$23,
IF(R67=regle!$E$11,regle!$E$23,
IF(R67=regle!$F$11,regle!$F$23,
IF(R67=regle!$G$11,regle!$G$23,
IF(R67=regle!$H$11,regle!$H$23,
IF(R67=regle!$I$11,regle!$I$23,
IF(R67=regle!$J$11,regle!$J$23,
IF(R67=regle!$K$11,regle!$K$23,0))))))))))))</f>
        <v>0</v>
      </c>
      <c r="AC67" s="17">
        <f>IF($A67,$J67*(IF(S67=regle!$B$11,regle!$B$23*IF(AL67=-2,1+regle!$B$35,1),
IF(S67=regle!$C$11,regle!$C$23,
IF(S67=regle!$D$11,regle!$D$23,
IF(S67=regle!$E$11,regle!$E$23,
IF(S67=regle!$F$11,regle!$F$23,
IF(S67=regle!$G$11,regle!$G$23,
IF(S67=regle!$H$11,regle!$H$23,
IF(S67=regle!$I$11,regle!$I$23,
IF(S67=regle!$J$11,regle!$J$23,
IF(S67=regle!$K$11,regle!$K$23,0))))))))))))</f>
        <v>-34.229999999999997</v>
      </c>
      <c r="AD67" s="17">
        <f>IF($A67,$J67*(IF(T67=regle!$B$11,regle!$B$23*IF(AM67=-2,1+regle!$B$35,1),
IF(T67=regle!$C$11,regle!$C$23,
IF(T67=regle!$D$11,regle!$D$23,
IF(T67=regle!$E$11,regle!$E$23,
IF(T67=regle!$F$11,regle!$F$23,
IF(T67=regle!$G$11,regle!$G$23,
IF(T67=regle!$H$11,regle!$H$23,
IF(T67=regle!$I$11,regle!$I$23,
IF(T67=regle!$J$11,regle!$J$23,
IF(T67=regle!$K$11,regle!$K$23,0))))))))))))</f>
        <v>0</v>
      </c>
      <c r="AE67" s="17">
        <f>IF($A67,$J67*(IF(U67=regle!$B$11,regle!$B$23*IF(AN67=-2,1+regle!$B$35,1),
IF(U67=regle!$C$11,regle!$C$23,
IF(U67=regle!$D$11,regle!$D$23,
IF(U67=regle!$E$11,regle!$E$23,
IF(U67=regle!$F$11,regle!$F$23,
IF(U67=regle!$G$11,regle!$G$23,
IF(U67=regle!$H$11,regle!$H$23,
IF(U67=regle!$I$11,regle!$I$23,
IF(U67=regle!$J$11,regle!$J$23,
IF(U67=regle!$K$11,regle!$K$23,0))))))))))))</f>
        <v>-41.076000000000001</v>
      </c>
      <c r="AF67" s="17">
        <f>IF($A67,$J67*(IF(V67=regle!$B$11,regle!$B$23*IF(AO67=-2,1+regle!$B$35,1),
IF(V67=regle!$C$11,regle!$C$23,
IF(V67=regle!$D$11,regle!$D$23,
IF(V67=regle!$E$11,regle!$E$23,
IF(V67=regle!$F$11,regle!$F$23,
IF(V67=regle!$G$11,regle!$G$23,
IF(V67=regle!$H$11,regle!$H$23,
IF(V67=regle!$I$11,regle!$I$23,
IF(V67=regle!$J$11,regle!$J$23,
IF(V67=regle!$K$11,regle!$K$23,0))))))))))))</f>
        <v>0</v>
      </c>
      <c r="AG67" s="17">
        <f>IF($A67,$J67*(IF(W67=regle!$B$11,regle!$B$23*IF(AP67=-2,1+regle!$B$35,1),
IF(W67=regle!$C$11,regle!$C$23,
IF(W67=regle!$D$11,regle!$D$23,
IF(W67=regle!$E$11,regle!$E$23,
IF(W67=regle!$F$11,regle!$F$23,
IF(W67=regle!$G$11,regle!$G$23,
IF(W67=regle!$H$11,regle!$H$23,
IF(W67=regle!$I$11,regle!$I$23,
IF(W67=regle!$J$11,regle!$J$23,
IF(W67=regle!$K$11,regle!$K$23,0))))))))))))</f>
        <v>0</v>
      </c>
      <c r="AH67" s="17">
        <f>IF($A67,$J67*(IF(X67=regle!$B$11,regle!$B$23*IF(AQ67=-2,1+regle!$B$35,1),
IF(X67=regle!$C$11,regle!$C$23,
IF(X67=regle!$D$11,regle!$D$23,
IF(X67=regle!$E$11,regle!$E$23,
IF(X67=regle!$F$11,regle!$F$23,
IF(X67=regle!$G$11,regle!$G$23,
IF(X67=regle!$H$11,regle!$H$23,
IF(X67=regle!$I$11,regle!$I$23,
IF(X67=regle!$J$11,regle!$J$23,
IF(X67=regle!$K$11,regle!$K$23,0))))))))))))</f>
        <v>-41.076000000000001</v>
      </c>
      <c r="AI67" s="17">
        <f>IF($A67,$J67*(IF(Y67=regle!$B$11,regle!$B$23*IF(AR67=-2,1+regle!$B$35,1),
IF(Y67=regle!$C$11,regle!$C$23,
IF(Y67=regle!$D$11,regle!$D$23,
IF(Y67=regle!$E$11,regle!$E$23,
IF(Y67=regle!$F$11,regle!$F$23,
IF(Y67=regle!$G$11,regle!$G$23,
IF(Y67=regle!$H$11,regle!$H$23,
IF(Y67=regle!$I$11,regle!$I$23,
IF(Y67=regle!$J$11,regle!$J$23,
IF(Y67=regle!$K$11,regle!$K$23,0))))))))))))</f>
        <v>0</v>
      </c>
      <c r="AJ67" s="17">
        <f>IF($A67,$J67*(IF(Z67=regle!$B$11,regle!$B$23*IF(AS67=-2,1+regle!$B$35,1),
IF(Z67=regle!$C$11,regle!$C$23,
IF(Z67=regle!$D$11,regle!$D$23,
IF(Z67=regle!$E$11,regle!$E$23,
IF(Z67=regle!$F$11,regle!$F$23,
IF(Z67=regle!$G$11,regle!$G$23,
IF(Z67=regle!$H$11,regle!$H$23,
IF(Z67=regle!$I$11,regle!$I$23,
IF(Z67=regle!$J$11,regle!$J$23,
IF(Z67=regle!$K$11,regle!$K$23,0))))))))))))</f>
        <v>0</v>
      </c>
      <c r="AK67" s="16">
        <f>IF(OR(Q67=regle!$J$11,Q67=regle!$K$11),-2,IF(Q67=regle!$B$11,0,IF(AK$1=$AK$1,IF($O67,-1,regle!$B$2-$M67),IF(AJ67=-1,-1,AJ67+1))))</f>
        <v>0</v>
      </c>
      <c r="AL67" s="16">
        <f>IF(OR(R67=regle!$J$11,R67=regle!$K$11),-2,IF(R67=regle!$B$11,0,IF(AL$1=$AK$1,IF($O67,-1,regle!$B$2-$M67),IF(AK67=-1,-1,AK67+1))))</f>
        <v>1</v>
      </c>
      <c r="AM67" s="16">
        <f>IF(OR(S67=regle!$J$11,S67=regle!$K$11),-2,IF(S67=regle!$B$11,0,IF(AM$1=$AK$1,IF($O67,-1,regle!$B$2-$M67),IF(AL67=-1,-1,AL67+1))))</f>
        <v>2</v>
      </c>
      <c r="AN67" s="16">
        <f>IF(OR(T67=regle!$J$11,T67=regle!$K$11),-2,IF(T67=regle!$B$11,0,IF(AN$1=$AK$1,IF($O67,-1,regle!$B$2-$M67),IF(AM67=-1,-1,AM67+1))))</f>
        <v>3</v>
      </c>
      <c r="AO67" s="16">
        <f>IF(OR(U67=regle!$J$11,U67=regle!$K$11),-2,IF(U67=regle!$B$11,0,IF(AO$1=$AK$1,IF($O67,-1,regle!$B$2-$M67),IF(AN67=-1,-1,AN67+1))))</f>
        <v>4</v>
      </c>
      <c r="AP67" s="16">
        <f>IF(OR(V67=regle!$J$11,V67=regle!$K$11),-2,IF(V67=regle!$B$11,0,IF(AP$1=$AK$1,IF($O67,-1,regle!$B$2-$M67),IF(AO67=-1,-1,AO67+1))))</f>
        <v>5</v>
      </c>
      <c r="AQ67" s="16">
        <f>IF(OR(W67=regle!$J$11,W67=regle!$K$11),-2,IF(W67=regle!$B$11,0,IF(AQ$1=$AK$1,IF($O67,-1,regle!$B$2-$M67),IF(AP67=-1,-1,AP67+1))))</f>
        <v>6</v>
      </c>
      <c r="AR67" s="16">
        <f>IF(OR(X67=regle!$J$11,X67=regle!$K$11),-2,IF(X67=regle!$B$11,0,IF(AR$1=$AK$1,IF($O67,-1,regle!$B$2-$M67),IF(AQ67=-1,-1,AQ67+1))))</f>
        <v>7</v>
      </c>
      <c r="AS67" s="16">
        <f>IF(OR(Y67=regle!$J$11,Y67=regle!$K$11),-2,IF(Y67=regle!$B$11,0,IF(AS$1=$AK$1,IF($O67,-1,regle!$B$2-$M67),IF(AR67=-1,-1,AR67+1))))</f>
        <v>8</v>
      </c>
      <c r="AT67" s="16">
        <f>IF(OR(Z67=regle!$J$11,Z67=regle!$K$11),-2,IF(Z67=regle!$B$11,0,IF(AT$1=$AK$1,IF($O67,-1,regle!$B$2-$M67),IF(AS67=-1,-1,AS67+1))))</f>
        <v>9</v>
      </c>
    </row>
    <row r="68" spans="1:46" x14ac:dyDescent="0.25">
      <c r="A68" t="b">
        <f>modif0!A268</f>
        <v>1</v>
      </c>
      <c r="B68">
        <f>ROW(modif0!B268)</f>
        <v>268</v>
      </c>
      <c r="C68" t="str">
        <f>modif0!D268</f>
        <v>171</v>
      </c>
      <c r="D68" t="str">
        <f>modif0!E268</f>
        <v>MANO</v>
      </c>
      <c r="E68">
        <f>modif0!F268</f>
        <v>17</v>
      </c>
      <c r="F68" t="str">
        <f>modif0!G268</f>
        <v>LANDE DE TABARTON</v>
      </c>
      <c r="G68" t="str">
        <f>modif0!I268</f>
        <v>0B</v>
      </c>
      <c r="H68">
        <f>modif0!J268</f>
        <v>302</v>
      </c>
      <c r="I68" t="str">
        <f>modif0!K268</f>
        <v/>
      </c>
      <c r="J68" s="11">
        <f>modif0!M268</f>
        <v>0.41699999999999998</v>
      </c>
      <c r="K68" s="11" t="str">
        <f>modif0!P268</f>
        <v>CR</v>
      </c>
      <c r="L68" t="str">
        <f>modif0!N268</f>
        <v>PM</v>
      </c>
      <c r="M68">
        <f>modif0!Q268</f>
        <v>2022</v>
      </c>
      <c r="N68" t="str">
        <f>modif0!R268</f>
        <v>CR-PM_2022</v>
      </c>
      <c r="O68" t="b">
        <f>modif0!S268</f>
        <v>1</v>
      </c>
      <c r="P68">
        <v>40</v>
      </c>
      <c r="Q68" t="s">
        <v>1868</v>
      </c>
      <c r="S68" t="s">
        <v>1872</v>
      </c>
      <c r="U68" t="s">
        <v>1870</v>
      </c>
      <c r="X68" t="s">
        <v>1871</v>
      </c>
      <c r="AA68" s="17">
        <f>IF($A68,$J68*(IF(Q68=regle!$B$11,regle!$B$23*IF(AJ68=-2,1+regle!$B$35,1),
IF(Q68=regle!$C$11,regle!$C$23,
IF(Q68=regle!$D$11,regle!$D$23,
IF(Q68=regle!$E$11,regle!$E$23,
IF(Q68=regle!$F$11,regle!$F$23,
IF(Q68=regle!$G$11,regle!$G$23,
IF(Q68=regle!$H$11,regle!$H$23,
IF(Q68=regle!$I$11,regle!$I$23,
IF(Q68=regle!$J$11,regle!$J$23,
IF(Q68=regle!$K$11,regle!$K$23,0))))))))))))</f>
        <v>-708.9</v>
      </c>
      <c r="AB68" s="17">
        <f>IF($A68,$J68*(IF(R68=regle!$B$11,regle!$B$23*IF(AK68=-2,1+regle!$B$35,1),
IF(R68=regle!$C$11,regle!$C$23,
IF(R68=regle!$D$11,regle!$D$23,
IF(R68=regle!$E$11,regle!$E$23,
IF(R68=regle!$F$11,regle!$F$23,
IF(R68=regle!$G$11,regle!$G$23,
IF(R68=regle!$H$11,regle!$H$23,
IF(R68=regle!$I$11,regle!$I$23,
IF(R68=regle!$J$11,regle!$J$23,
IF(R68=regle!$K$11,regle!$K$23,0))))))))))))</f>
        <v>0</v>
      </c>
      <c r="AC68" s="17">
        <f>IF($A68,$J68*(IF(S68=regle!$B$11,regle!$B$23*IF(AL68=-2,1+regle!$B$35,1),
IF(S68=regle!$C$11,regle!$C$23,
IF(S68=regle!$D$11,regle!$D$23,
IF(S68=regle!$E$11,regle!$E$23,
IF(S68=regle!$F$11,regle!$F$23,
IF(S68=regle!$G$11,regle!$G$23,
IF(S68=regle!$H$11,regle!$H$23,
IF(S68=regle!$I$11,regle!$I$23,
IF(S68=regle!$J$11,regle!$J$23,
IF(S68=regle!$K$11,regle!$K$23,0))))))))))))</f>
        <v>-31.274999999999999</v>
      </c>
      <c r="AD68" s="17">
        <f>IF($A68,$J68*(IF(T68=regle!$B$11,regle!$B$23*IF(AM68=-2,1+regle!$B$35,1),
IF(T68=regle!$C$11,regle!$C$23,
IF(T68=regle!$D$11,regle!$D$23,
IF(T68=regle!$E$11,regle!$E$23,
IF(T68=regle!$F$11,regle!$F$23,
IF(T68=regle!$G$11,regle!$G$23,
IF(T68=regle!$H$11,regle!$H$23,
IF(T68=regle!$I$11,regle!$I$23,
IF(T68=regle!$J$11,regle!$J$23,
IF(T68=regle!$K$11,regle!$K$23,0))))))))))))</f>
        <v>0</v>
      </c>
      <c r="AE68" s="17">
        <f>IF($A68,$J68*(IF(U68=regle!$B$11,regle!$B$23*IF(AN68=-2,1+regle!$B$35,1),
IF(U68=regle!$C$11,regle!$C$23,
IF(U68=regle!$D$11,regle!$D$23,
IF(U68=regle!$E$11,regle!$E$23,
IF(U68=regle!$F$11,regle!$F$23,
IF(U68=regle!$G$11,regle!$G$23,
IF(U68=regle!$H$11,regle!$H$23,
IF(U68=regle!$I$11,regle!$I$23,
IF(U68=regle!$J$11,regle!$J$23,
IF(U68=regle!$K$11,regle!$K$23,0))))))))))))</f>
        <v>-37.53</v>
      </c>
      <c r="AF68" s="17">
        <f>IF($A68,$J68*(IF(V68=regle!$B$11,regle!$B$23*IF(AO68=-2,1+regle!$B$35,1),
IF(V68=regle!$C$11,regle!$C$23,
IF(V68=regle!$D$11,regle!$D$23,
IF(V68=regle!$E$11,regle!$E$23,
IF(V68=regle!$F$11,regle!$F$23,
IF(V68=regle!$G$11,regle!$G$23,
IF(V68=regle!$H$11,regle!$H$23,
IF(V68=regle!$I$11,regle!$I$23,
IF(V68=regle!$J$11,regle!$J$23,
IF(V68=regle!$K$11,regle!$K$23,0))))))))))))</f>
        <v>0</v>
      </c>
      <c r="AG68" s="17">
        <f>IF($A68,$J68*(IF(W68=regle!$B$11,regle!$B$23*IF(AP68=-2,1+regle!$B$35,1),
IF(W68=regle!$C$11,regle!$C$23,
IF(W68=regle!$D$11,regle!$D$23,
IF(W68=regle!$E$11,regle!$E$23,
IF(W68=regle!$F$11,regle!$F$23,
IF(W68=regle!$G$11,regle!$G$23,
IF(W68=regle!$H$11,regle!$H$23,
IF(W68=regle!$I$11,regle!$I$23,
IF(W68=regle!$J$11,regle!$J$23,
IF(W68=regle!$K$11,regle!$K$23,0))))))))))))</f>
        <v>0</v>
      </c>
      <c r="AH68" s="17">
        <f>IF($A68,$J68*(IF(X68=regle!$B$11,regle!$B$23*IF(AQ68=-2,1+regle!$B$35,1),
IF(X68=regle!$C$11,regle!$C$23,
IF(X68=regle!$D$11,regle!$D$23,
IF(X68=regle!$E$11,regle!$E$23,
IF(X68=regle!$F$11,regle!$F$23,
IF(X68=regle!$G$11,regle!$G$23,
IF(X68=regle!$H$11,regle!$H$23,
IF(X68=regle!$I$11,regle!$I$23,
IF(X68=regle!$J$11,regle!$J$23,
IF(X68=regle!$K$11,regle!$K$23,0))))))))))))</f>
        <v>-37.53</v>
      </c>
      <c r="AI68" s="17">
        <f>IF($A68,$J68*(IF(Y68=regle!$B$11,regle!$B$23*IF(AR68=-2,1+regle!$B$35,1),
IF(Y68=regle!$C$11,regle!$C$23,
IF(Y68=regle!$D$11,regle!$D$23,
IF(Y68=regle!$E$11,regle!$E$23,
IF(Y68=regle!$F$11,regle!$F$23,
IF(Y68=regle!$G$11,regle!$G$23,
IF(Y68=regle!$H$11,regle!$H$23,
IF(Y68=regle!$I$11,regle!$I$23,
IF(Y68=regle!$J$11,regle!$J$23,
IF(Y68=regle!$K$11,regle!$K$23,0))))))))))))</f>
        <v>0</v>
      </c>
      <c r="AJ68" s="17">
        <f>IF($A68,$J68*(IF(Z68=regle!$B$11,regle!$B$23*IF(AS68=-2,1+regle!$B$35,1),
IF(Z68=regle!$C$11,regle!$C$23,
IF(Z68=regle!$D$11,regle!$D$23,
IF(Z68=regle!$E$11,regle!$E$23,
IF(Z68=regle!$F$11,regle!$F$23,
IF(Z68=regle!$G$11,regle!$G$23,
IF(Z68=regle!$H$11,regle!$H$23,
IF(Z68=regle!$I$11,regle!$I$23,
IF(Z68=regle!$J$11,regle!$J$23,
IF(Z68=regle!$K$11,regle!$K$23,0))))))))))))</f>
        <v>0</v>
      </c>
      <c r="AK68" s="16">
        <f>IF(OR(Q68=regle!$J$11,Q68=regle!$K$11),-2,IF(Q68=regle!$B$11,0,IF(AK$1=$AK$1,IF($O68,-1,regle!$B$2-$M68),IF(AJ68=-1,-1,AJ68+1))))</f>
        <v>0</v>
      </c>
      <c r="AL68" s="16">
        <f>IF(OR(R68=regle!$J$11,R68=regle!$K$11),-2,IF(R68=regle!$B$11,0,IF(AL$1=$AK$1,IF($O68,-1,regle!$B$2-$M68),IF(AK68=-1,-1,AK68+1))))</f>
        <v>1</v>
      </c>
      <c r="AM68" s="16">
        <f>IF(OR(S68=regle!$J$11,S68=regle!$K$11),-2,IF(S68=regle!$B$11,0,IF(AM$1=$AK$1,IF($O68,-1,regle!$B$2-$M68),IF(AL68=-1,-1,AL68+1))))</f>
        <v>2</v>
      </c>
      <c r="AN68" s="16">
        <f>IF(OR(T68=regle!$J$11,T68=regle!$K$11),-2,IF(T68=regle!$B$11,0,IF(AN$1=$AK$1,IF($O68,-1,regle!$B$2-$M68),IF(AM68=-1,-1,AM68+1))))</f>
        <v>3</v>
      </c>
      <c r="AO68" s="16">
        <f>IF(OR(U68=regle!$J$11,U68=regle!$K$11),-2,IF(U68=regle!$B$11,0,IF(AO$1=$AK$1,IF($O68,-1,regle!$B$2-$M68),IF(AN68=-1,-1,AN68+1))))</f>
        <v>4</v>
      </c>
      <c r="AP68" s="16">
        <f>IF(OR(V68=regle!$J$11,V68=regle!$K$11),-2,IF(V68=regle!$B$11,0,IF(AP$1=$AK$1,IF($O68,-1,regle!$B$2-$M68),IF(AO68=-1,-1,AO68+1))))</f>
        <v>5</v>
      </c>
      <c r="AQ68" s="16">
        <f>IF(OR(W68=regle!$J$11,W68=regle!$K$11),-2,IF(W68=regle!$B$11,0,IF(AQ$1=$AK$1,IF($O68,-1,regle!$B$2-$M68),IF(AP68=-1,-1,AP68+1))))</f>
        <v>6</v>
      </c>
      <c r="AR68" s="16">
        <f>IF(OR(X68=regle!$J$11,X68=regle!$K$11),-2,IF(X68=regle!$B$11,0,IF(AR$1=$AK$1,IF($O68,-1,regle!$B$2-$M68),IF(AQ68=-1,-1,AQ68+1))))</f>
        <v>7</v>
      </c>
      <c r="AS68" s="16">
        <f>IF(OR(Y68=regle!$J$11,Y68=regle!$K$11),-2,IF(Y68=regle!$B$11,0,IF(AS$1=$AK$1,IF($O68,-1,regle!$B$2-$M68),IF(AR68=-1,-1,AR68+1))))</f>
        <v>8</v>
      </c>
      <c r="AT68" s="16">
        <f>IF(OR(Z68=regle!$J$11,Z68=regle!$K$11),-2,IF(Z68=regle!$B$11,0,IF(AT$1=$AK$1,IF($O68,-1,regle!$B$2-$M68),IF(AS68=-1,-1,AS68+1))))</f>
        <v>9</v>
      </c>
    </row>
    <row r="69" spans="1:46" x14ac:dyDescent="0.25">
      <c r="A69" t="b">
        <f>modif0!A307</f>
        <v>1</v>
      </c>
      <c r="B69">
        <f>ROW(modif0!B307)</f>
        <v>307</v>
      </c>
      <c r="C69" t="str">
        <f>modif0!D307</f>
        <v>171</v>
      </c>
      <c r="D69" t="str">
        <f>modif0!E307</f>
        <v>MANO</v>
      </c>
      <c r="E69">
        <f>modif0!F307</f>
        <v>6</v>
      </c>
      <c r="F69" t="str">
        <f>modif0!G307</f>
        <v>BARRAT</v>
      </c>
      <c r="G69" t="str">
        <f>modif0!I307</f>
        <v>0C</v>
      </c>
      <c r="H69">
        <f>modif0!J307</f>
        <v>192</v>
      </c>
      <c r="I69" t="str">
        <f>modif0!K307</f>
        <v/>
      </c>
      <c r="J69" s="11">
        <f>modif0!M307</f>
        <v>0.39960000000000001</v>
      </c>
      <c r="K69" s="11" t="str">
        <f>modif0!P307</f>
        <v>CR</v>
      </c>
      <c r="L69" t="str">
        <f>modif0!N307</f>
        <v>PM</v>
      </c>
      <c r="M69">
        <f>modif0!Q307</f>
        <v>2022</v>
      </c>
      <c r="N69" t="str">
        <f>modif0!R307</f>
        <v>CR-PM_2022</v>
      </c>
      <c r="O69" t="b">
        <f>modif0!S307</f>
        <v>1</v>
      </c>
      <c r="P69">
        <v>40</v>
      </c>
      <c r="Q69" t="s">
        <v>1868</v>
      </c>
      <c r="S69" t="s">
        <v>1872</v>
      </c>
      <c r="U69" t="s">
        <v>1870</v>
      </c>
      <c r="X69" t="s">
        <v>1871</v>
      </c>
      <c r="AA69" s="17">
        <f>IF($A69,$J69*(IF(Q69=regle!$B$11,regle!$B$23*IF(AJ69=-2,1+regle!$B$35,1),
IF(Q69=regle!$C$11,regle!$C$23,
IF(Q69=regle!$D$11,regle!$D$23,
IF(Q69=regle!$E$11,regle!$E$23,
IF(Q69=regle!$F$11,regle!$F$23,
IF(Q69=regle!$G$11,regle!$G$23,
IF(Q69=regle!$H$11,regle!$H$23,
IF(Q69=regle!$I$11,regle!$I$23,
IF(Q69=regle!$J$11,regle!$J$23,
IF(Q69=regle!$K$11,regle!$K$23,0))))))))))))</f>
        <v>-679.32</v>
      </c>
      <c r="AB69" s="17">
        <f>IF($A69,$J69*(IF(R69=regle!$B$11,regle!$B$23*IF(AK69=-2,1+regle!$B$35,1),
IF(R69=regle!$C$11,regle!$C$23,
IF(R69=regle!$D$11,regle!$D$23,
IF(R69=regle!$E$11,regle!$E$23,
IF(R69=regle!$F$11,regle!$F$23,
IF(R69=regle!$G$11,regle!$G$23,
IF(R69=regle!$H$11,regle!$H$23,
IF(R69=regle!$I$11,regle!$I$23,
IF(R69=regle!$J$11,regle!$J$23,
IF(R69=regle!$K$11,regle!$K$23,0))))))))))))</f>
        <v>0</v>
      </c>
      <c r="AC69" s="17">
        <f>IF($A69,$J69*(IF(S69=regle!$B$11,regle!$B$23*IF(AL69=-2,1+regle!$B$35,1),
IF(S69=regle!$C$11,regle!$C$23,
IF(S69=regle!$D$11,regle!$D$23,
IF(S69=regle!$E$11,regle!$E$23,
IF(S69=regle!$F$11,regle!$F$23,
IF(S69=regle!$G$11,regle!$G$23,
IF(S69=regle!$H$11,regle!$H$23,
IF(S69=regle!$I$11,regle!$I$23,
IF(S69=regle!$J$11,regle!$J$23,
IF(S69=regle!$K$11,regle!$K$23,0))))))))))))</f>
        <v>-29.970000000000002</v>
      </c>
      <c r="AD69" s="17">
        <f>IF($A69,$J69*(IF(T69=regle!$B$11,regle!$B$23*IF(AM69=-2,1+regle!$B$35,1),
IF(T69=regle!$C$11,regle!$C$23,
IF(T69=regle!$D$11,regle!$D$23,
IF(T69=regle!$E$11,regle!$E$23,
IF(T69=regle!$F$11,regle!$F$23,
IF(T69=regle!$G$11,regle!$G$23,
IF(T69=regle!$H$11,regle!$H$23,
IF(T69=regle!$I$11,regle!$I$23,
IF(T69=regle!$J$11,regle!$J$23,
IF(T69=regle!$K$11,regle!$K$23,0))))))))))))</f>
        <v>0</v>
      </c>
      <c r="AE69" s="17">
        <f>IF($A69,$J69*(IF(U69=regle!$B$11,regle!$B$23*IF(AN69=-2,1+regle!$B$35,1),
IF(U69=regle!$C$11,regle!$C$23,
IF(U69=regle!$D$11,regle!$D$23,
IF(U69=regle!$E$11,regle!$E$23,
IF(U69=regle!$F$11,regle!$F$23,
IF(U69=regle!$G$11,regle!$G$23,
IF(U69=regle!$H$11,regle!$H$23,
IF(U69=regle!$I$11,regle!$I$23,
IF(U69=regle!$J$11,regle!$J$23,
IF(U69=regle!$K$11,regle!$K$23,0))))))))))))</f>
        <v>-35.963999999999999</v>
      </c>
      <c r="AF69" s="17">
        <f>IF($A69,$J69*(IF(V69=regle!$B$11,regle!$B$23*IF(AO69=-2,1+regle!$B$35,1),
IF(V69=regle!$C$11,regle!$C$23,
IF(V69=regle!$D$11,regle!$D$23,
IF(V69=regle!$E$11,regle!$E$23,
IF(V69=regle!$F$11,regle!$F$23,
IF(V69=regle!$G$11,regle!$G$23,
IF(V69=regle!$H$11,regle!$H$23,
IF(V69=regle!$I$11,regle!$I$23,
IF(V69=regle!$J$11,regle!$J$23,
IF(V69=regle!$K$11,regle!$K$23,0))))))))))))</f>
        <v>0</v>
      </c>
      <c r="AG69" s="17">
        <f>IF($A69,$J69*(IF(W69=regle!$B$11,regle!$B$23*IF(AP69=-2,1+regle!$B$35,1),
IF(W69=regle!$C$11,regle!$C$23,
IF(W69=regle!$D$11,regle!$D$23,
IF(W69=regle!$E$11,regle!$E$23,
IF(W69=regle!$F$11,regle!$F$23,
IF(W69=regle!$G$11,regle!$G$23,
IF(W69=regle!$H$11,regle!$H$23,
IF(W69=regle!$I$11,regle!$I$23,
IF(W69=regle!$J$11,regle!$J$23,
IF(W69=regle!$K$11,regle!$K$23,0))))))))))))</f>
        <v>0</v>
      </c>
      <c r="AH69" s="17">
        <f>IF($A69,$J69*(IF(X69=regle!$B$11,regle!$B$23*IF(AQ69=-2,1+regle!$B$35,1),
IF(X69=regle!$C$11,regle!$C$23,
IF(X69=regle!$D$11,regle!$D$23,
IF(X69=regle!$E$11,regle!$E$23,
IF(X69=regle!$F$11,regle!$F$23,
IF(X69=regle!$G$11,regle!$G$23,
IF(X69=regle!$H$11,regle!$H$23,
IF(X69=regle!$I$11,regle!$I$23,
IF(X69=regle!$J$11,regle!$J$23,
IF(X69=regle!$K$11,regle!$K$23,0))))))))))))</f>
        <v>-35.963999999999999</v>
      </c>
      <c r="AI69" s="17">
        <f>IF($A69,$J69*(IF(Y69=regle!$B$11,regle!$B$23*IF(AR69=-2,1+regle!$B$35,1),
IF(Y69=regle!$C$11,regle!$C$23,
IF(Y69=regle!$D$11,regle!$D$23,
IF(Y69=regle!$E$11,regle!$E$23,
IF(Y69=regle!$F$11,regle!$F$23,
IF(Y69=regle!$G$11,regle!$G$23,
IF(Y69=regle!$H$11,regle!$H$23,
IF(Y69=regle!$I$11,regle!$I$23,
IF(Y69=regle!$J$11,regle!$J$23,
IF(Y69=regle!$K$11,regle!$K$23,0))))))))))))</f>
        <v>0</v>
      </c>
      <c r="AJ69" s="17">
        <f>IF($A69,$J69*(IF(Z69=regle!$B$11,regle!$B$23*IF(AS69=-2,1+regle!$B$35,1),
IF(Z69=regle!$C$11,regle!$C$23,
IF(Z69=regle!$D$11,regle!$D$23,
IF(Z69=regle!$E$11,regle!$E$23,
IF(Z69=regle!$F$11,regle!$F$23,
IF(Z69=regle!$G$11,regle!$G$23,
IF(Z69=regle!$H$11,regle!$H$23,
IF(Z69=regle!$I$11,regle!$I$23,
IF(Z69=regle!$J$11,regle!$J$23,
IF(Z69=regle!$K$11,regle!$K$23,0))))))))))))</f>
        <v>0</v>
      </c>
      <c r="AK69" s="16">
        <f>IF(OR(Q69=regle!$J$11,Q69=regle!$K$11),-2,IF(Q69=regle!$B$11,0,IF(AK$1=$AK$1,IF($O69,-1,regle!$B$2-$M69),IF(AJ69=-1,-1,AJ69+1))))</f>
        <v>0</v>
      </c>
      <c r="AL69" s="16">
        <f>IF(OR(R69=regle!$J$11,R69=regle!$K$11),-2,IF(R69=regle!$B$11,0,IF(AL$1=$AK$1,IF($O69,-1,regle!$B$2-$M69),IF(AK69=-1,-1,AK69+1))))</f>
        <v>1</v>
      </c>
      <c r="AM69" s="16">
        <f>IF(OR(S69=regle!$J$11,S69=regle!$K$11),-2,IF(S69=regle!$B$11,0,IF(AM$1=$AK$1,IF($O69,-1,regle!$B$2-$M69),IF(AL69=-1,-1,AL69+1))))</f>
        <v>2</v>
      </c>
      <c r="AN69" s="16">
        <f>IF(OR(T69=regle!$J$11,T69=regle!$K$11),-2,IF(T69=regle!$B$11,0,IF(AN$1=$AK$1,IF($O69,-1,regle!$B$2-$M69),IF(AM69=-1,-1,AM69+1))))</f>
        <v>3</v>
      </c>
      <c r="AO69" s="16">
        <f>IF(OR(U69=regle!$J$11,U69=regle!$K$11),-2,IF(U69=regle!$B$11,0,IF(AO$1=$AK$1,IF($O69,-1,regle!$B$2-$M69),IF(AN69=-1,-1,AN69+1))))</f>
        <v>4</v>
      </c>
      <c r="AP69" s="16">
        <f>IF(OR(V69=regle!$J$11,V69=regle!$K$11),-2,IF(V69=regle!$B$11,0,IF(AP$1=$AK$1,IF($O69,-1,regle!$B$2-$M69),IF(AO69=-1,-1,AO69+1))))</f>
        <v>5</v>
      </c>
      <c r="AQ69" s="16">
        <f>IF(OR(W69=regle!$J$11,W69=regle!$K$11),-2,IF(W69=regle!$B$11,0,IF(AQ$1=$AK$1,IF($O69,-1,regle!$B$2-$M69),IF(AP69=-1,-1,AP69+1))))</f>
        <v>6</v>
      </c>
      <c r="AR69" s="16">
        <f>IF(OR(X69=regle!$J$11,X69=regle!$K$11),-2,IF(X69=regle!$B$11,0,IF(AR$1=$AK$1,IF($O69,-1,regle!$B$2-$M69),IF(AQ69=-1,-1,AQ69+1))))</f>
        <v>7</v>
      </c>
      <c r="AS69" s="16">
        <f>IF(OR(Y69=regle!$J$11,Y69=regle!$K$11),-2,IF(Y69=regle!$B$11,0,IF(AS$1=$AK$1,IF($O69,-1,regle!$B$2-$M69),IF(AR69=-1,-1,AR69+1))))</f>
        <v>8</v>
      </c>
      <c r="AT69" s="16">
        <f>IF(OR(Z69=regle!$J$11,Z69=regle!$K$11),-2,IF(Z69=regle!$B$11,0,IF(AT$1=$AK$1,IF($O69,-1,regle!$B$2-$M69),IF(AS69=-1,-1,AS69+1))))</f>
        <v>9</v>
      </c>
    </row>
    <row r="70" spans="1:46" x14ac:dyDescent="0.25">
      <c r="A70" t="b">
        <f>modif0!A234</f>
        <v>1</v>
      </c>
      <c r="B70">
        <f>ROW(modif0!B234)</f>
        <v>234</v>
      </c>
      <c r="C70" t="str">
        <f>modif0!D234</f>
        <v>171</v>
      </c>
      <c r="D70" t="str">
        <f>modif0!E234</f>
        <v>MANO</v>
      </c>
      <c r="E70">
        <f>modif0!F234</f>
        <v>16</v>
      </c>
      <c r="F70" t="str">
        <f>modif0!G234</f>
        <v>BAS DE TOURNICON</v>
      </c>
      <c r="G70" t="str">
        <f>modif0!I234</f>
        <v>0B</v>
      </c>
      <c r="H70">
        <f>modif0!J234</f>
        <v>217</v>
      </c>
      <c r="I70" t="str">
        <f>modif0!K234</f>
        <v/>
      </c>
      <c r="J70" s="11">
        <f>modif0!M234</f>
        <v>0.38500000000000001</v>
      </c>
      <c r="K70" s="11" t="str">
        <f>modif0!P234</f>
        <v>CR</v>
      </c>
      <c r="L70" t="str">
        <f>modif0!N234</f>
        <v>PM</v>
      </c>
      <c r="M70">
        <f>modif0!Q234</f>
        <v>2022</v>
      </c>
      <c r="N70" t="str">
        <f>modif0!R234</f>
        <v>CR-PM_2022</v>
      </c>
      <c r="O70" t="b">
        <f>modif0!S234</f>
        <v>1</v>
      </c>
      <c r="P70">
        <v>40</v>
      </c>
      <c r="Q70" t="s">
        <v>1868</v>
      </c>
      <c r="S70" t="s">
        <v>1872</v>
      </c>
      <c r="U70" t="s">
        <v>1870</v>
      </c>
      <c r="X70" t="s">
        <v>1871</v>
      </c>
      <c r="AA70" s="17">
        <f>IF($A70,$J70*(IF(Q70=regle!$B$11,regle!$B$23*IF(AJ70=-2,1+regle!$B$35,1),
IF(Q70=regle!$C$11,regle!$C$23,
IF(Q70=regle!$D$11,regle!$D$23,
IF(Q70=regle!$E$11,regle!$E$23,
IF(Q70=regle!$F$11,regle!$F$23,
IF(Q70=regle!$G$11,regle!$G$23,
IF(Q70=regle!$H$11,regle!$H$23,
IF(Q70=regle!$I$11,regle!$I$23,
IF(Q70=regle!$J$11,regle!$J$23,
IF(Q70=regle!$K$11,regle!$K$23,0))))))))))))</f>
        <v>-654.5</v>
      </c>
      <c r="AB70" s="17">
        <f>IF($A70,$J70*(IF(R70=regle!$B$11,regle!$B$23*IF(AK70=-2,1+regle!$B$35,1),
IF(R70=regle!$C$11,regle!$C$23,
IF(R70=regle!$D$11,regle!$D$23,
IF(R70=regle!$E$11,regle!$E$23,
IF(R70=regle!$F$11,regle!$F$23,
IF(R70=regle!$G$11,regle!$G$23,
IF(R70=regle!$H$11,regle!$H$23,
IF(R70=regle!$I$11,regle!$I$23,
IF(R70=regle!$J$11,regle!$J$23,
IF(R70=regle!$K$11,regle!$K$23,0))))))))))))</f>
        <v>0</v>
      </c>
      <c r="AC70" s="17">
        <f>IF($A70,$J70*(IF(S70=regle!$B$11,regle!$B$23*IF(AL70=-2,1+regle!$B$35,1),
IF(S70=regle!$C$11,regle!$C$23,
IF(S70=regle!$D$11,regle!$D$23,
IF(S70=regle!$E$11,regle!$E$23,
IF(S70=regle!$F$11,regle!$F$23,
IF(S70=regle!$G$11,regle!$G$23,
IF(S70=regle!$H$11,regle!$H$23,
IF(S70=regle!$I$11,regle!$I$23,
IF(S70=regle!$J$11,regle!$J$23,
IF(S70=regle!$K$11,regle!$K$23,0))))))))))))</f>
        <v>-28.875</v>
      </c>
      <c r="AD70" s="17">
        <f>IF($A70,$J70*(IF(T70=regle!$B$11,regle!$B$23*IF(AM70=-2,1+regle!$B$35,1),
IF(T70=regle!$C$11,regle!$C$23,
IF(T70=regle!$D$11,regle!$D$23,
IF(T70=regle!$E$11,regle!$E$23,
IF(T70=regle!$F$11,regle!$F$23,
IF(T70=regle!$G$11,regle!$G$23,
IF(T70=regle!$H$11,regle!$H$23,
IF(T70=regle!$I$11,regle!$I$23,
IF(T70=regle!$J$11,regle!$J$23,
IF(T70=regle!$K$11,regle!$K$23,0))))))))))))</f>
        <v>0</v>
      </c>
      <c r="AE70" s="17">
        <f>IF($A70,$J70*(IF(U70=regle!$B$11,regle!$B$23*IF(AN70=-2,1+regle!$B$35,1),
IF(U70=regle!$C$11,regle!$C$23,
IF(U70=regle!$D$11,regle!$D$23,
IF(U70=regle!$E$11,regle!$E$23,
IF(U70=regle!$F$11,regle!$F$23,
IF(U70=regle!$G$11,regle!$G$23,
IF(U70=regle!$H$11,regle!$H$23,
IF(U70=regle!$I$11,regle!$I$23,
IF(U70=regle!$J$11,regle!$J$23,
IF(U70=regle!$K$11,regle!$K$23,0))))))))))))</f>
        <v>-34.65</v>
      </c>
      <c r="AF70" s="17">
        <f>IF($A70,$J70*(IF(V70=regle!$B$11,regle!$B$23*IF(AO70=-2,1+regle!$B$35,1),
IF(V70=regle!$C$11,regle!$C$23,
IF(V70=regle!$D$11,regle!$D$23,
IF(V70=regle!$E$11,regle!$E$23,
IF(V70=regle!$F$11,regle!$F$23,
IF(V70=regle!$G$11,regle!$G$23,
IF(V70=regle!$H$11,regle!$H$23,
IF(V70=regle!$I$11,regle!$I$23,
IF(V70=regle!$J$11,regle!$J$23,
IF(V70=regle!$K$11,regle!$K$23,0))))))))))))</f>
        <v>0</v>
      </c>
      <c r="AG70" s="17">
        <f>IF($A70,$J70*(IF(W70=regle!$B$11,regle!$B$23*IF(AP70=-2,1+regle!$B$35,1),
IF(W70=regle!$C$11,regle!$C$23,
IF(W70=regle!$D$11,regle!$D$23,
IF(W70=regle!$E$11,regle!$E$23,
IF(W70=regle!$F$11,regle!$F$23,
IF(W70=regle!$G$11,regle!$G$23,
IF(W70=regle!$H$11,regle!$H$23,
IF(W70=regle!$I$11,regle!$I$23,
IF(W70=regle!$J$11,regle!$J$23,
IF(W70=regle!$K$11,regle!$K$23,0))))))))))))</f>
        <v>0</v>
      </c>
      <c r="AH70" s="17">
        <f>IF($A70,$J70*(IF(X70=regle!$B$11,regle!$B$23*IF(AQ70=-2,1+regle!$B$35,1),
IF(X70=regle!$C$11,regle!$C$23,
IF(X70=regle!$D$11,regle!$D$23,
IF(X70=regle!$E$11,regle!$E$23,
IF(X70=regle!$F$11,regle!$F$23,
IF(X70=regle!$G$11,regle!$G$23,
IF(X70=regle!$H$11,regle!$H$23,
IF(X70=regle!$I$11,regle!$I$23,
IF(X70=regle!$J$11,regle!$J$23,
IF(X70=regle!$K$11,regle!$K$23,0))))))))))))</f>
        <v>-34.65</v>
      </c>
      <c r="AI70" s="17">
        <f>IF($A70,$J70*(IF(Y70=regle!$B$11,regle!$B$23*IF(AR70=-2,1+regle!$B$35,1),
IF(Y70=regle!$C$11,regle!$C$23,
IF(Y70=regle!$D$11,regle!$D$23,
IF(Y70=regle!$E$11,regle!$E$23,
IF(Y70=regle!$F$11,regle!$F$23,
IF(Y70=regle!$G$11,regle!$G$23,
IF(Y70=regle!$H$11,regle!$H$23,
IF(Y70=regle!$I$11,regle!$I$23,
IF(Y70=regle!$J$11,regle!$J$23,
IF(Y70=regle!$K$11,regle!$K$23,0))))))))))))</f>
        <v>0</v>
      </c>
      <c r="AJ70" s="17">
        <f>IF($A70,$J70*(IF(Z70=regle!$B$11,regle!$B$23*IF(AS70=-2,1+regle!$B$35,1),
IF(Z70=regle!$C$11,regle!$C$23,
IF(Z70=regle!$D$11,regle!$D$23,
IF(Z70=regle!$E$11,regle!$E$23,
IF(Z70=regle!$F$11,regle!$F$23,
IF(Z70=regle!$G$11,regle!$G$23,
IF(Z70=regle!$H$11,regle!$H$23,
IF(Z70=regle!$I$11,regle!$I$23,
IF(Z70=regle!$J$11,regle!$J$23,
IF(Z70=regle!$K$11,regle!$K$23,0))))))))))))</f>
        <v>0</v>
      </c>
      <c r="AK70" s="16">
        <f>IF(OR(Q70=regle!$J$11,Q70=regle!$K$11),-2,IF(Q70=regle!$B$11,0,IF(AK$1=$AK$1,IF($O70,-1,regle!$B$2-$M70),IF(AJ70=-1,-1,AJ70+1))))</f>
        <v>0</v>
      </c>
      <c r="AL70" s="16">
        <f>IF(OR(R70=regle!$J$11,R70=regle!$K$11),-2,IF(R70=regle!$B$11,0,IF(AL$1=$AK$1,IF($O70,-1,regle!$B$2-$M70),IF(AK70=-1,-1,AK70+1))))</f>
        <v>1</v>
      </c>
      <c r="AM70" s="16">
        <f>IF(OR(S70=regle!$J$11,S70=regle!$K$11),-2,IF(S70=regle!$B$11,0,IF(AM$1=$AK$1,IF($O70,-1,regle!$B$2-$M70),IF(AL70=-1,-1,AL70+1))))</f>
        <v>2</v>
      </c>
      <c r="AN70" s="16">
        <f>IF(OR(T70=regle!$J$11,T70=regle!$K$11),-2,IF(T70=regle!$B$11,0,IF(AN$1=$AK$1,IF($O70,-1,regle!$B$2-$M70),IF(AM70=-1,-1,AM70+1))))</f>
        <v>3</v>
      </c>
      <c r="AO70" s="16">
        <f>IF(OR(U70=regle!$J$11,U70=regle!$K$11),-2,IF(U70=regle!$B$11,0,IF(AO$1=$AK$1,IF($O70,-1,regle!$B$2-$M70),IF(AN70=-1,-1,AN70+1))))</f>
        <v>4</v>
      </c>
      <c r="AP70" s="16">
        <f>IF(OR(V70=regle!$J$11,V70=regle!$K$11),-2,IF(V70=regle!$B$11,0,IF(AP$1=$AK$1,IF($O70,-1,regle!$B$2-$M70),IF(AO70=-1,-1,AO70+1))))</f>
        <v>5</v>
      </c>
      <c r="AQ70" s="16">
        <f>IF(OR(W70=regle!$J$11,W70=regle!$K$11),-2,IF(W70=regle!$B$11,0,IF(AQ$1=$AK$1,IF($O70,-1,regle!$B$2-$M70),IF(AP70=-1,-1,AP70+1))))</f>
        <v>6</v>
      </c>
      <c r="AR70" s="16">
        <f>IF(OR(X70=regle!$J$11,X70=regle!$K$11),-2,IF(X70=regle!$B$11,0,IF(AR$1=$AK$1,IF($O70,-1,regle!$B$2-$M70),IF(AQ70=-1,-1,AQ70+1))))</f>
        <v>7</v>
      </c>
      <c r="AS70" s="16">
        <f>IF(OR(Y70=regle!$J$11,Y70=regle!$K$11),-2,IF(Y70=regle!$B$11,0,IF(AS$1=$AK$1,IF($O70,-1,regle!$B$2-$M70),IF(AR70=-1,-1,AR70+1))))</f>
        <v>8</v>
      </c>
      <c r="AT70" s="16">
        <f>IF(OR(Z70=regle!$J$11,Z70=regle!$K$11),-2,IF(Z70=regle!$B$11,0,IF(AT$1=$AK$1,IF($O70,-1,regle!$B$2-$M70),IF(AS70=-1,-1,AS70+1))))</f>
        <v>9</v>
      </c>
    </row>
    <row r="71" spans="1:46" x14ac:dyDescent="0.25">
      <c r="A71" t="b">
        <f>modif0!A305</f>
        <v>1</v>
      </c>
      <c r="B71">
        <f>ROW(modif0!B305)</f>
        <v>305</v>
      </c>
      <c r="C71" t="str">
        <f>modif0!D305</f>
        <v>171</v>
      </c>
      <c r="D71" t="str">
        <f>modif0!E305</f>
        <v>MANO</v>
      </c>
      <c r="E71">
        <f>modif0!F305</f>
        <v>6</v>
      </c>
      <c r="F71" t="str">
        <f>modif0!G305</f>
        <v>BARRAT</v>
      </c>
      <c r="G71" t="str">
        <f>modif0!I305</f>
        <v>0C</v>
      </c>
      <c r="H71">
        <f>modif0!J305</f>
        <v>189</v>
      </c>
      <c r="I71" t="str">
        <f>modif0!K305</f>
        <v/>
      </c>
      <c r="J71" s="11">
        <f>modif0!M305</f>
        <v>0.36559999999999998</v>
      </c>
      <c r="K71" s="11" t="str">
        <f>modif0!P305</f>
        <v>CR</v>
      </c>
      <c r="L71" t="str">
        <f>modif0!N305</f>
        <v>PM</v>
      </c>
      <c r="M71">
        <f>modif0!Q305</f>
        <v>2022</v>
      </c>
      <c r="N71" t="str">
        <f>modif0!R305</f>
        <v>CR-PM_2022</v>
      </c>
      <c r="O71" t="b">
        <f>modif0!S305</f>
        <v>1</v>
      </c>
      <c r="P71">
        <v>40</v>
      </c>
      <c r="Q71" t="s">
        <v>1868</v>
      </c>
      <c r="S71" t="s">
        <v>1872</v>
      </c>
      <c r="U71" t="s">
        <v>1870</v>
      </c>
      <c r="X71" t="s">
        <v>1871</v>
      </c>
      <c r="AA71" s="17">
        <f>IF($A71,$J71*(IF(Q71=regle!$B$11,regle!$B$23*IF(AJ71=-2,1+regle!$B$35,1),
IF(Q71=regle!$C$11,regle!$C$23,
IF(Q71=regle!$D$11,regle!$D$23,
IF(Q71=regle!$E$11,regle!$E$23,
IF(Q71=regle!$F$11,regle!$F$23,
IF(Q71=regle!$G$11,regle!$G$23,
IF(Q71=regle!$H$11,regle!$H$23,
IF(Q71=regle!$I$11,regle!$I$23,
IF(Q71=regle!$J$11,regle!$J$23,
IF(Q71=regle!$K$11,regle!$K$23,0))))))))))))</f>
        <v>-621.52</v>
      </c>
      <c r="AB71" s="17">
        <f>IF($A71,$J71*(IF(R71=regle!$B$11,regle!$B$23*IF(AK71=-2,1+regle!$B$35,1),
IF(R71=regle!$C$11,regle!$C$23,
IF(R71=regle!$D$11,regle!$D$23,
IF(R71=regle!$E$11,regle!$E$23,
IF(R71=regle!$F$11,regle!$F$23,
IF(R71=regle!$G$11,regle!$G$23,
IF(R71=regle!$H$11,regle!$H$23,
IF(R71=regle!$I$11,regle!$I$23,
IF(R71=regle!$J$11,regle!$J$23,
IF(R71=regle!$K$11,regle!$K$23,0))))))))))))</f>
        <v>0</v>
      </c>
      <c r="AC71" s="17">
        <f>IF($A71,$J71*(IF(S71=regle!$B$11,regle!$B$23*IF(AL71=-2,1+regle!$B$35,1),
IF(S71=regle!$C$11,regle!$C$23,
IF(S71=regle!$D$11,regle!$D$23,
IF(S71=regle!$E$11,regle!$E$23,
IF(S71=regle!$F$11,regle!$F$23,
IF(S71=regle!$G$11,regle!$G$23,
IF(S71=regle!$H$11,regle!$H$23,
IF(S71=regle!$I$11,regle!$I$23,
IF(S71=regle!$J$11,regle!$J$23,
IF(S71=regle!$K$11,regle!$K$23,0))))))))))))</f>
        <v>-27.419999999999998</v>
      </c>
      <c r="AD71" s="17">
        <f>IF($A71,$J71*(IF(T71=regle!$B$11,regle!$B$23*IF(AM71=-2,1+regle!$B$35,1),
IF(T71=regle!$C$11,regle!$C$23,
IF(T71=regle!$D$11,regle!$D$23,
IF(T71=regle!$E$11,regle!$E$23,
IF(T71=regle!$F$11,regle!$F$23,
IF(T71=regle!$G$11,regle!$G$23,
IF(T71=regle!$H$11,regle!$H$23,
IF(T71=regle!$I$11,regle!$I$23,
IF(T71=regle!$J$11,regle!$J$23,
IF(T71=regle!$K$11,regle!$K$23,0))))))))))))</f>
        <v>0</v>
      </c>
      <c r="AE71" s="17">
        <f>IF($A71,$J71*(IF(U71=regle!$B$11,regle!$B$23*IF(AN71=-2,1+regle!$B$35,1),
IF(U71=regle!$C$11,regle!$C$23,
IF(U71=regle!$D$11,regle!$D$23,
IF(U71=regle!$E$11,regle!$E$23,
IF(U71=regle!$F$11,regle!$F$23,
IF(U71=regle!$G$11,regle!$G$23,
IF(U71=regle!$H$11,regle!$H$23,
IF(U71=regle!$I$11,regle!$I$23,
IF(U71=regle!$J$11,regle!$J$23,
IF(U71=regle!$K$11,regle!$K$23,0))))))))))))</f>
        <v>-32.903999999999996</v>
      </c>
      <c r="AF71" s="17">
        <f>IF($A71,$J71*(IF(V71=regle!$B$11,regle!$B$23*IF(AO71=-2,1+regle!$B$35,1),
IF(V71=regle!$C$11,regle!$C$23,
IF(V71=regle!$D$11,regle!$D$23,
IF(V71=regle!$E$11,regle!$E$23,
IF(V71=regle!$F$11,regle!$F$23,
IF(V71=regle!$G$11,regle!$G$23,
IF(V71=regle!$H$11,regle!$H$23,
IF(V71=regle!$I$11,regle!$I$23,
IF(V71=regle!$J$11,regle!$J$23,
IF(V71=regle!$K$11,regle!$K$23,0))))))))))))</f>
        <v>0</v>
      </c>
      <c r="AG71" s="17">
        <f>IF($A71,$J71*(IF(W71=regle!$B$11,regle!$B$23*IF(AP71=-2,1+regle!$B$35,1),
IF(W71=regle!$C$11,regle!$C$23,
IF(W71=regle!$D$11,regle!$D$23,
IF(W71=regle!$E$11,regle!$E$23,
IF(W71=regle!$F$11,regle!$F$23,
IF(W71=regle!$G$11,regle!$G$23,
IF(W71=regle!$H$11,regle!$H$23,
IF(W71=regle!$I$11,regle!$I$23,
IF(W71=regle!$J$11,regle!$J$23,
IF(W71=regle!$K$11,regle!$K$23,0))))))))))))</f>
        <v>0</v>
      </c>
      <c r="AH71" s="17">
        <f>IF($A71,$J71*(IF(X71=regle!$B$11,regle!$B$23*IF(AQ71=-2,1+regle!$B$35,1),
IF(X71=regle!$C$11,regle!$C$23,
IF(X71=regle!$D$11,regle!$D$23,
IF(X71=regle!$E$11,regle!$E$23,
IF(X71=regle!$F$11,regle!$F$23,
IF(X71=regle!$G$11,regle!$G$23,
IF(X71=regle!$H$11,regle!$H$23,
IF(X71=regle!$I$11,regle!$I$23,
IF(X71=regle!$J$11,regle!$J$23,
IF(X71=regle!$K$11,regle!$K$23,0))))))))))))</f>
        <v>-32.903999999999996</v>
      </c>
      <c r="AI71" s="17">
        <f>IF($A71,$J71*(IF(Y71=regle!$B$11,regle!$B$23*IF(AR71=-2,1+regle!$B$35,1),
IF(Y71=regle!$C$11,regle!$C$23,
IF(Y71=regle!$D$11,regle!$D$23,
IF(Y71=regle!$E$11,regle!$E$23,
IF(Y71=regle!$F$11,regle!$F$23,
IF(Y71=regle!$G$11,regle!$G$23,
IF(Y71=regle!$H$11,regle!$H$23,
IF(Y71=regle!$I$11,regle!$I$23,
IF(Y71=regle!$J$11,regle!$J$23,
IF(Y71=regle!$K$11,regle!$K$23,0))))))))))))</f>
        <v>0</v>
      </c>
      <c r="AJ71" s="17">
        <f>IF($A71,$J71*(IF(Z71=regle!$B$11,regle!$B$23*IF(AS71=-2,1+regle!$B$35,1),
IF(Z71=regle!$C$11,regle!$C$23,
IF(Z71=regle!$D$11,regle!$D$23,
IF(Z71=regle!$E$11,regle!$E$23,
IF(Z71=regle!$F$11,regle!$F$23,
IF(Z71=regle!$G$11,regle!$G$23,
IF(Z71=regle!$H$11,regle!$H$23,
IF(Z71=regle!$I$11,regle!$I$23,
IF(Z71=regle!$J$11,regle!$J$23,
IF(Z71=regle!$K$11,regle!$K$23,0))))))))))))</f>
        <v>0</v>
      </c>
      <c r="AK71" s="16">
        <f>IF(OR(Q71=regle!$J$11,Q71=regle!$K$11),-2,IF(Q71=regle!$B$11,0,IF(AK$1=$AK$1,IF($O71,-1,regle!$B$2-$M71),IF(AJ71=-1,-1,AJ71+1))))</f>
        <v>0</v>
      </c>
      <c r="AL71" s="16">
        <f>IF(OR(R71=regle!$J$11,R71=regle!$K$11),-2,IF(R71=regle!$B$11,0,IF(AL$1=$AK$1,IF($O71,-1,regle!$B$2-$M71),IF(AK71=-1,-1,AK71+1))))</f>
        <v>1</v>
      </c>
      <c r="AM71" s="16">
        <f>IF(OR(S71=regle!$J$11,S71=regle!$K$11),-2,IF(S71=regle!$B$11,0,IF(AM$1=$AK$1,IF($O71,-1,regle!$B$2-$M71),IF(AL71=-1,-1,AL71+1))))</f>
        <v>2</v>
      </c>
      <c r="AN71" s="16">
        <f>IF(OR(T71=regle!$J$11,T71=regle!$K$11),-2,IF(T71=regle!$B$11,0,IF(AN$1=$AK$1,IF($O71,-1,regle!$B$2-$M71),IF(AM71=-1,-1,AM71+1))))</f>
        <v>3</v>
      </c>
      <c r="AO71" s="16">
        <f>IF(OR(U71=regle!$J$11,U71=regle!$K$11),-2,IF(U71=regle!$B$11,0,IF(AO$1=$AK$1,IF($O71,-1,regle!$B$2-$M71),IF(AN71=-1,-1,AN71+1))))</f>
        <v>4</v>
      </c>
      <c r="AP71" s="16">
        <f>IF(OR(V71=regle!$J$11,V71=regle!$K$11),-2,IF(V71=regle!$B$11,0,IF(AP$1=$AK$1,IF($O71,-1,regle!$B$2-$M71),IF(AO71=-1,-1,AO71+1))))</f>
        <v>5</v>
      </c>
      <c r="AQ71" s="16">
        <f>IF(OR(W71=regle!$J$11,W71=regle!$K$11),-2,IF(W71=regle!$B$11,0,IF(AQ$1=$AK$1,IF($O71,-1,regle!$B$2-$M71),IF(AP71=-1,-1,AP71+1))))</f>
        <v>6</v>
      </c>
      <c r="AR71" s="16">
        <f>IF(OR(X71=regle!$J$11,X71=regle!$K$11),-2,IF(X71=regle!$B$11,0,IF(AR$1=$AK$1,IF($O71,-1,regle!$B$2-$M71),IF(AQ71=-1,-1,AQ71+1))))</f>
        <v>7</v>
      </c>
      <c r="AS71" s="16">
        <f>IF(OR(Y71=regle!$J$11,Y71=regle!$K$11),-2,IF(Y71=regle!$B$11,0,IF(AS$1=$AK$1,IF($O71,-1,regle!$B$2-$M71),IF(AR71=-1,-1,AR71+1))))</f>
        <v>8</v>
      </c>
      <c r="AT71" s="16">
        <f>IF(OR(Z71=regle!$J$11,Z71=regle!$K$11),-2,IF(Z71=regle!$B$11,0,IF(AT$1=$AK$1,IF($O71,-1,regle!$B$2-$M71),IF(AS71=-1,-1,AS71+1))))</f>
        <v>9</v>
      </c>
    </row>
    <row r="72" spans="1:46" x14ac:dyDescent="0.25">
      <c r="A72" t="b">
        <f>modif0!A287</f>
        <v>1</v>
      </c>
      <c r="B72">
        <f>ROW(modif0!B287)</f>
        <v>287</v>
      </c>
      <c r="C72" t="str">
        <f>modif0!D287</f>
        <v>171</v>
      </c>
      <c r="D72" t="str">
        <f>modif0!E287</f>
        <v>MANO</v>
      </c>
      <c r="E72">
        <f>modif0!F287</f>
        <v>16</v>
      </c>
      <c r="F72" t="str">
        <f>modif0!G287</f>
        <v>BAS DE TOURNICON</v>
      </c>
      <c r="G72" t="str">
        <f>modif0!I287</f>
        <v>0B</v>
      </c>
      <c r="H72">
        <f>modif0!J287</f>
        <v>420</v>
      </c>
      <c r="I72" t="str">
        <f>modif0!K287</f>
        <v/>
      </c>
      <c r="J72" s="11">
        <f>modif0!M287</f>
        <v>0.34899999999999998</v>
      </c>
      <c r="K72" s="11" t="str">
        <f>modif0!P287</f>
        <v>CR</v>
      </c>
      <c r="L72" t="str">
        <f>modif0!N287</f>
        <v>PM</v>
      </c>
      <c r="M72">
        <f>modif0!Q287</f>
        <v>2022</v>
      </c>
      <c r="N72" t="str">
        <f>modif0!R287</f>
        <v>CR-PM_2022</v>
      </c>
      <c r="O72" t="b">
        <f>modif0!S287</f>
        <v>1</v>
      </c>
      <c r="P72">
        <v>40</v>
      </c>
      <c r="Q72" t="s">
        <v>1868</v>
      </c>
      <c r="S72" t="s">
        <v>1872</v>
      </c>
      <c r="U72" t="s">
        <v>1870</v>
      </c>
      <c r="X72" t="s">
        <v>1871</v>
      </c>
      <c r="AA72" s="17">
        <f>IF($A72,$J72*(IF(Q72=regle!$B$11,regle!$B$23*IF(AJ72=-2,1+regle!$B$35,1),
IF(Q72=regle!$C$11,regle!$C$23,
IF(Q72=regle!$D$11,regle!$D$23,
IF(Q72=regle!$E$11,regle!$E$23,
IF(Q72=regle!$F$11,regle!$F$23,
IF(Q72=regle!$G$11,regle!$G$23,
IF(Q72=regle!$H$11,regle!$H$23,
IF(Q72=regle!$I$11,regle!$I$23,
IF(Q72=regle!$J$11,regle!$J$23,
IF(Q72=regle!$K$11,regle!$K$23,0))))))))))))</f>
        <v>-593.29999999999995</v>
      </c>
      <c r="AB72" s="17">
        <f>IF($A72,$J72*(IF(R72=regle!$B$11,regle!$B$23*IF(AK72=-2,1+regle!$B$35,1),
IF(R72=regle!$C$11,regle!$C$23,
IF(R72=regle!$D$11,regle!$D$23,
IF(R72=regle!$E$11,regle!$E$23,
IF(R72=regle!$F$11,regle!$F$23,
IF(R72=regle!$G$11,regle!$G$23,
IF(R72=regle!$H$11,regle!$H$23,
IF(R72=regle!$I$11,regle!$I$23,
IF(R72=regle!$J$11,regle!$J$23,
IF(R72=regle!$K$11,regle!$K$23,0))))))))))))</f>
        <v>0</v>
      </c>
      <c r="AC72" s="17">
        <f>IF($A72,$J72*(IF(S72=regle!$B$11,regle!$B$23*IF(AL72=-2,1+regle!$B$35,1),
IF(S72=regle!$C$11,regle!$C$23,
IF(S72=regle!$D$11,regle!$D$23,
IF(S72=regle!$E$11,regle!$E$23,
IF(S72=regle!$F$11,regle!$F$23,
IF(S72=regle!$G$11,regle!$G$23,
IF(S72=regle!$H$11,regle!$H$23,
IF(S72=regle!$I$11,regle!$I$23,
IF(S72=regle!$J$11,regle!$J$23,
IF(S72=regle!$K$11,regle!$K$23,0))))))))))))</f>
        <v>-26.174999999999997</v>
      </c>
      <c r="AD72" s="17">
        <f>IF($A72,$J72*(IF(T72=regle!$B$11,regle!$B$23*IF(AM72=-2,1+regle!$B$35,1),
IF(T72=regle!$C$11,regle!$C$23,
IF(T72=regle!$D$11,regle!$D$23,
IF(T72=regle!$E$11,regle!$E$23,
IF(T72=regle!$F$11,regle!$F$23,
IF(T72=regle!$G$11,regle!$G$23,
IF(T72=regle!$H$11,regle!$H$23,
IF(T72=regle!$I$11,regle!$I$23,
IF(T72=regle!$J$11,regle!$J$23,
IF(T72=regle!$K$11,regle!$K$23,0))))))))))))</f>
        <v>0</v>
      </c>
      <c r="AE72" s="17">
        <f>IF($A72,$J72*(IF(U72=regle!$B$11,regle!$B$23*IF(AN72=-2,1+regle!$B$35,1),
IF(U72=regle!$C$11,regle!$C$23,
IF(U72=regle!$D$11,regle!$D$23,
IF(U72=regle!$E$11,regle!$E$23,
IF(U72=regle!$F$11,regle!$F$23,
IF(U72=regle!$G$11,regle!$G$23,
IF(U72=regle!$H$11,regle!$H$23,
IF(U72=regle!$I$11,regle!$I$23,
IF(U72=regle!$J$11,regle!$J$23,
IF(U72=regle!$K$11,regle!$K$23,0))))))))))))</f>
        <v>-31.409999999999997</v>
      </c>
      <c r="AF72" s="17">
        <f>IF($A72,$J72*(IF(V72=regle!$B$11,regle!$B$23*IF(AO72=-2,1+regle!$B$35,1),
IF(V72=regle!$C$11,regle!$C$23,
IF(V72=regle!$D$11,regle!$D$23,
IF(V72=regle!$E$11,regle!$E$23,
IF(V72=regle!$F$11,regle!$F$23,
IF(V72=regle!$G$11,regle!$G$23,
IF(V72=regle!$H$11,regle!$H$23,
IF(V72=regle!$I$11,regle!$I$23,
IF(V72=regle!$J$11,regle!$J$23,
IF(V72=regle!$K$11,regle!$K$23,0))))))))))))</f>
        <v>0</v>
      </c>
      <c r="AG72" s="17">
        <f>IF($A72,$J72*(IF(W72=regle!$B$11,regle!$B$23*IF(AP72=-2,1+regle!$B$35,1),
IF(W72=regle!$C$11,regle!$C$23,
IF(W72=regle!$D$11,regle!$D$23,
IF(W72=regle!$E$11,regle!$E$23,
IF(W72=regle!$F$11,regle!$F$23,
IF(W72=regle!$G$11,regle!$G$23,
IF(W72=regle!$H$11,regle!$H$23,
IF(W72=regle!$I$11,regle!$I$23,
IF(W72=regle!$J$11,regle!$J$23,
IF(W72=regle!$K$11,regle!$K$23,0))))))))))))</f>
        <v>0</v>
      </c>
      <c r="AH72" s="17">
        <f>IF($A72,$J72*(IF(X72=regle!$B$11,regle!$B$23*IF(AQ72=-2,1+regle!$B$35,1),
IF(X72=regle!$C$11,regle!$C$23,
IF(X72=regle!$D$11,regle!$D$23,
IF(X72=regle!$E$11,regle!$E$23,
IF(X72=regle!$F$11,regle!$F$23,
IF(X72=regle!$G$11,regle!$G$23,
IF(X72=regle!$H$11,regle!$H$23,
IF(X72=regle!$I$11,regle!$I$23,
IF(X72=regle!$J$11,regle!$J$23,
IF(X72=regle!$K$11,regle!$K$23,0))))))))))))</f>
        <v>-31.409999999999997</v>
      </c>
      <c r="AI72" s="17">
        <f>IF($A72,$J72*(IF(Y72=regle!$B$11,regle!$B$23*IF(AR72=-2,1+regle!$B$35,1),
IF(Y72=regle!$C$11,regle!$C$23,
IF(Y72=regle!$D$11,regle!$D$23,
IF(Y72=regle!$E$11,regle!$E$23,
IF(Y72=regle!$F$11,regle!$F$23,
IF(Y72=regle!$G$11,regle!$G$23,
IF(Y72=regle!$H$11,regle!$H$23,
IF(Y72=regle!$I$11,regle!$I$23,
IF(Y72=regle!$J$11,regle!$J$23,
IF(Y72=regle!$K$11,regle!$K$23,0))))))))))))</f>
        <v>0</v>
      </c>
      <c r="AJ72" s="17">
        <f>IF($A72,$J72*(IF(Z72=regle!$B$11,regle!$B$23*IF(AS72=-2,1+regle!$B$35,1),
IF(Z72=regle!$C$11,regle!$C$23,
IF(Z72=regle!$D$11,regle!$D$23,
IF(Z72=regle!$E$11,regle!$E$23,
IF(Z72=regle!$F$11,regle!$F$23,
IF(Z72=regle!$G$11,regle!$G$23,
IF(Z72=regle!$H$11,regle!$H$23,
IF(Z72=regle!$I$11,regle!$I$23,
IF(Z72=regle!$J$11,regle!$J$23,
IF(Z72=regle!$K$11,regle!$K$23,0))))))))))))</f>
        <v>0</v>
      </c>
      <c r="AK72" s="16">
        <f>IF(OR(Q72=regle!$J$11,Q72=regle!$K$11),-2,IF(Q72=regle!$B$11,0,IF(AK$1=$AK$1,IF($O72,-1,regle!$B$2-$M72),IF(AJ72=-1,-1,AJ72+1))))</f>
        <v>0</v>
      </c>
      <c r="AL72" s="16">
        <f>IF(OR(R72=regle!$J$11,R72=regle!$K$11),-2,IF(R72=regle!$B$11,0,IF(AL$1=$AK$1,IF($O72,-1,regle!$B$2-$M72),IF(AK72=-1,-1,AK72+1))))</f>
        <v>1</v>
      </c>
      <c r="AM72" s="16">
        <f>IF(OR(S72=regle!$J$11,S72=regle!$K$11),-2,IF(S72=regle!$B$11,0,IF(AM$1=$AK$1,IF($O72,-1,regle!$B$2-$M72),IF(AL72=-1,-1,AL72+1))))</f>
        <v>2</v>
      </c>
      <c r="AN72" s="16">
        <f>IF(OR(T72=regle!$J$11,T72=regle!$K$11),-2,IF(T72=regle!$B$11,0,IF(AN$1=$AK$1,IF($O72,-1,regle!$B$2-$M72),IF(AM72=-1,-1,AM72+1))))</f>
        <v>3</v>
      </c>
      <c r="AO72" s="16">
        <f>IF(OR(U72=regle!$J$11,U72=regle!$K$11),-2,IF(U72=regle!$B$11,0,IF(AO$1=$AK$1,IF($O72,-1,regle!$B$2-$M72),IF(AN72=-1,-1,AN72+1))))</f>
        <v>4</v>
      </c>
      <c r="AP72" s="16">
        <f>IF(OR(V72=regle!$J$11,V72=regle!$K$11),-2,IF(V72=regle!$B$11,0,IF(AP$1=$AK$1,IF($O72,-1,regle!$B$2-$M72),IF(AO72=-1,-1,AO72+1))))</f>
        <v>5</v>
      </c>
      <c r="AQ72" s="16">
        <f>IF(OR(W72=regle!$J$11,W72=regle!$K$11),-2,IF(W72=regle!$B$11,0,IF(AQ$1=$AK$1,IF($O72,-1,regle!$B$2-$M72),IF(AP72=-1,-1,AP72+1))))</f>
        <v>6</v>
      </c>
      <c r="AR72" s="16">
        <f>IF(OR(X72=regle!$J$11,X72=regle!$K$11),-2,IF(X72=regle!$B$11,0,IF(AR$1=$AK$1,IF($O72,-1,regle!$B$2-$M72),IF(AQ72=-1,-1,AQ72+1))))</f>
        <v>7</v>
      </c>
      <c r="AS72" s="16">
        <f>IF(OR(Y72=regle!$J$11,Y72=regle!$K$11),-2,IF(Y72=regle!$B$11,0,IF(AS$1=$AK$1,IF($O72,-1,regle!$B$2-$M72),IF(AR72=-1,-1,AR72+1))))</f>
        <v>8</v>
      </c>
      <c r="AT72" s="16">
        <f>IF(OR(Z72=regle!$J$11,Z72=regle!$K$11),-2,IF(Z72=regle!$B$11,0,IF(AT$1=$AK$1,IF($O72,-1,regle!$B$2-$M72),IF(AS72=-1,-1,AS72+1))))</f>
        <v>9</v>
      </c>
    </row>
    <row r="73" spans="1:46" x14ac:dyDescent="0.25">
      <c r="A73" t="b">
        <f>modif0!A288</f>
        <v>1</v>
      </c>
      <c r="B73">
        <f>ROW(modif0!B288)</f>
        <v>288</v>
      </c>
      <c r="C73" t="str">
        <f>modif0!D288</f>
        <v>171</v>
      </c>
      <c r="D73" t="str">
        <f>modif0!E288</f>
        <v>MANO</v>
      </c>
      <c r="E73">
        <f>modif0!F288</f>
        <v>17</v>
      </c>
      <c r="F73" t="str">
        <f>modif0!G288</f>
        <v>LANDE DE TABARTON</v>
      </c>
      <c r="G73" t="str">
        <f>modif0!I288</f>
        <v>0B</v>
      </c>
      <c r="H73">
        <f>modif0!J288</f>
        <v>487</v>
      </c>
      <c r="I73" t="str">
        <f>modif0!K288</f>
        <v>j</v>
      </c>
      <c r="J73" s="11">
        <f>modif0!M288</f>
        <v>0.34010000000000001</v>
      </c>
      <c r="K73" s="11" t="str">
        <f>modif0!P288</f>
        <v>CR</v>
      </c>
      <c r="L73" t="str">
        <f>modif0!N288</f>
        <v>PM</v>
      </c>
      <c r="M73">
        <f>modif0!Q288</f>
        <v>2022</v>
      </c>
      <c r="N73" t="str">
        <f>modif0!R288</f>
        <v>CR-PM_2022</v>
      </c>
      <c r="O73" t="b">
        <f>modif0!S288</f>
        <v>1</v>
      </c>
      <c r="P73">
        <v>40</v>
      </c>
      <c r="Q73" t="s">
        <v>1868</v>
      </c>
      <c r="S73" t="s">
        <v>1872</v>
      </c>
      <c r="U73" t="s">
        <v>1870</v>
      </c>
      <c r="X73" t="s">
        <v>1871</v>
      </c>
      <c r="AA73" s="17">
        <f>IF($A73,$J73*(IF(Q73=regle!$B$11,regle!$B$23*IF(AJ73=-2,1+regle!$B$35,1),
IF(Q73=regle!$C$11,regle!$C$23,
IF(Q73=regle!$D$11,regle!$D$23,
IF(Q73=regle!$E$11,regle!$E$23,
IF(Q73=regle!$F$11,regle!$F$23,
IF(Q73=regle!$G$11,regle!$G$23,
IF(Q73=regle!$H$11,regle!$H$23,
IF(Q73=regle!$I$11,regle!$I$23,
IF(Q73=regle!$J$11,regle!$J$23,
IF(Q73=regle!$K$11,regle!$K$23,0))))))))))))</f>
        <v>-578.17000000000007</v>
      </c>
      <c r="AB73" s="17">
        <f>IF($A73,$J73*(IF(R73=regle!$B$11,regle!$B$23*IF(AK73=-2,1+regle!$B$35,1),
IF(R73=regle!$C$11,regle!$C$23,
IF(R73=regle!$D$11,regle!$D$23,
IF(R73=regle!$E$11,regle!$E$23,
IF(R73=regle!$F$11,regle!$F$23,
IF(R73=regle!$G$11,regle!$G$23,
IF(R73=regle!$H$11,regle!$H$23,
IF(R73=regle!$I$11,regle!$I$23,
IF(R73=regle!$J$11,regle!$J$23,
IF(R73=regle!$K$11,regle!$K$23,0))))))))))))</f>
        <v>0</v>
      </c>
      <c r="AC73" s="17">
        <f>IF($A73,$J73*(IF(S73=regle!$B$11,regle!$B$23*IF(AL73=-2,1+regle!$B$35,1),
IF(S73=regle!$C$11,regle!$C$23,
IF(S73=regle!$D$11,regle!$D$23,
IF(S73=regle!$E$11,regle!$E$23,
IF(S73=regle!$F$11,regle!$F$23,
IF(S73=regle!$G$11,regle!$G$23,
IF(S73=regle!$H$11,regle!$H$23,
IF(S73=regle!$I$11,regle!$I$23,
IF(S73=regle!$J$11,regle!$J$23,
IF(S73=regle!$K$11,regle!$K$23,0))))))))))))</f>
        <v>-25.5075</v>
      </c>
      <c r="AD73" s="17">
        <f>IF($A73,$J73*(IF(T73=regle!$B$11,regle!$B$23*IF(AM73=-2,1+regle!$B$35,1),
IF(T73=regle!$C$11,regle!$C$23,
IF(T73=regle!$D$11,regle!$D$23,
IF(T73=regle!$E$11,regle!$E$23,
IF(T73=regle!$F$11,regle!$F$23,
IF(T73=regle!$G$11,regle!$G$23,
IF(T73=regle!$H$11,regle!$H$23,
IF(T73=regle!$I$11,regle!$I$23,
IF(T73=regle!$J$11,regle!$J$23,
IF(T73=regle!$K$11,regle!$K$23,0))))))))))))</f>
        <v>0</v>
      </c>
      <c r="AE73" s="17">
        <f>IF($A73,$J73*(IF(U73=regle!$B$11,regle!$B$23*IF(AN73=-2,1+regle!$B$35,1),
IF(U73=regle!$C$11,regle!$C$23,
IF(U73=regle!$D$11,regle!$D$23,
IF(U73=regle!$E$11,regle!$E$23,
IF(U73=regle!$F$11,regle!$F$23,
IF(U73=regle!$G$11,regle!$G$23,
IF(U73=regle!$H$11,regle!$H$23,
IF(U73=regle!$I$11,regle!$I$23,
IF(U73=regle!$J$11,regle!$J$23,
IF(U73=regle!$K$11,regle!$K$23,0))))))))))))</f>
        <v>-30.609000000000002</v>
      </c>
      <c r="AF73" s="17">
        <f>IF($A73,$J73*(IF(V73=regle!$B$11,regle!$B$23*IF(AO73=-2,1+regle!$B$35,1),
IF(V73=regle!$C$11,regle!$C$23,
IF(V73=regle!$D$11,regle!$D$23,
IF(V73=regle!$E$11,regle!$E$23,
IF(V73=regle!$F$11,regle!$F$23,
IF(V73=regle!$G$11,regle!$G$23,
IF(V73=regle!$H$11,regle!$H$23,
IF(V73=regle!$I$11,regle!$I$23,
IF(V73=regle!$J$11,regle!$J$23,
IF(V73=regle!$K$11,regle!$K$23,0))))))))))))</f>
        <v>0</v>
      </c>
      <c r="AG73" s="17">
        <f>IF($A73,$J73*(IF(W73=regle!$B$11,regle!$B$23*IF(AP73=-2,1+regle!$B$35,1),
IF(W73=regle!$C$11,regle!$C$23,
IF(W73=regle!$D$11,regle!$D$23,
IF(W73=regle!$E$11,regle!$E$23,
IF(W73=regle!$F$11,regle!$F$23,
IF(W73=regle!$G$11,regle!$G$23,
IF(W73=regle!$H$11,regle!$H$23,
IF(W73=regle!$I$11,regle!$I$23,
IF(W73=regle!$J$11,regle!$J$23,
IF(W73=regle!$K$11,regle!$K$23,0))))))))))))</f>
        <v>0</v>
      </c>
      <c r="AH73" s="17">
        <f>IF($A73,$J73*(IF(X73=regle!$B$11,regle!$B$23*IF(AQ73=-2,1+regle!$B$35,1),
IF(X73=regle!$C$11,regle!$C$23,
IF(X73=regle!$D$11,regle!$D$23,
IF(X73=regle!$E$11,regle!$E$23,
IF(X73=regle!$F$11,regle!$F$23,
IF(X73=regle!$G$11,regle!$G$23,
IF(X73=regle!$H$11,regle!$H$23,
IF(X73=regle!$I$11,regle!$I$23,
IF(X73=regle!$J$11,regle!$J$23,
IF(X73=regle!$K$11,regle!$K$23,0))))))))))))</f>
        <v>-30.609000000000002</v>
      </c>
      <c r="AI73" s="17">
        <f>IF($A73,$J73*(IF(Y73=regle!$B$11,regle!$B$23*IF(AR73=-2,1+regle!$B$35,1),
IF(Y73=regle!$C$11,regle!$C$23,
IF(Y73=regle!$D$11,regle!$D$23,
IF(Y73=regle!$E$11,regle!$E$23,
IF(Y73=regle!$F$11,regle!$F$23,
IF(Y73=regle!$G$11,regle!$G$23,
IF(Y73=regle!$H$11,regle!$H$23,
IF(Y73=regle!$I$11,regle!$I$23,
IF(Y73=regle!$J$11,regle!$J$23,
IF(Y73=regle!$K$11,regle!$K$23,0))))))))))))</f>
        <v>0</v>
      </c>
      <c r="AJ73" s="17">
        <f>IF($A73,$J73*(IF(Z73=regle!$B$11,regle!$B$23*IF(AS73=-2,1+regle!$B$35,1),
IF(Z73=regle!$C$11,regle!$C$23,
IF(Z73=regle!$D$11,regle!$D$23,
IF(Z73=regle!$E$11,regle!$E$23,
IF(Z73=regle!$F$11,regle!$F$23,
IF(Z73=regle!$G$11,regle!$G$23,
IF(Z73=regle!$H$11,regle!$H$23,
IF(Z73=regle!$I$11,regle!$I$23,
IF(Z73=regle!$J$11,regle!$J$23,
IF(Z73=regle!$K$11,regle!$K$23,0))))))))))))</f>
        <v>0</v>
      </c>
      <c r="AK73" s="16">
        <f>IF(OR(Q73=regle!$J$11,Q73=regle!$K$11),-2,IF(Q73=regle!$B$11,0,IF(AK$1=$AK$1,IF($O73,-1,regle!$B$2-$M73),IF(AJ73=-1,-1,AJ73+1))))</f>
        <v>0</v>
      </c>
      <c r="AL73" s="16">
        <f>IF(OR(R73=regle!$J$11,R73=regle!$K$11),-2,IF(R73=regle!$B$11,0,IF(AL$1=$AK$1,IF($O73,-1,regle!$B$2-$M73),IF(AK73=-1,-1,AK73+1))))</f>
        <v>1</v>
      </c>
      <c r="AM73" s="16">
        <f>IF(OR(S73=regle!$J$11,S73=regle!$K$11),-2,IF(S73=regle!$B$11,0,IF(AM$1=$AK$1,IF($O73,-1,regle!$B$2-$M73),IF(AL73=-1,-1,AL73+1))))</f>
        <v>2</v>
      </c>
      <c r="AN73" s="16">
        <f>IF(OR(T73=regle!$J$11,T73=regle!$K$11),-2,IF(T73=regle!$B$11,0,IF(AN$1=$AK$1,IF($O73,-1,regle!$B$2-$M73),IF(AM73=-1,-1,AM73+1))))</f>
        <v>3</v>
      </c>
      <c r="AO73" s="16">
        <f>IF(OR(U73=regle!$J$11,U73=regle!$K$11),-2,IF(U73=regle!$B$11,0,IF(AO$1=$AK$1,IF($O73,-1,regle!$B$2-$M73),IF(AN73=-1,-1,AN73+1))))</f>
        <v>4</v>
      </c>
      <c r="AP73" s="16">
        <f>IF(OR(V73=regle!$J$11,V73=regle!$K$11),-2,IF(V73=regle!$B$11,0,IF(AP$1=$AK$1,IF($O73,-1,regle!$B$2-$M73),IF(AO73=-1,-1,AO73+1))))</f>
        <v>5</v>
      </c>
      <c r="AQ73" s="16">
        <f>IF(OR(W73=regle!$J$11,W73=regle!$K$11),-2,IF(W73=regle!$B$11,0,IF(AQ$1=$AK$1,IF($O73,-1,regle!$B$2-$M73),IF(AP73=-1,-1,AP73+1))))</f>
        <v>6</v>
      </c>
      <c r="AR73" s="16">
        <f>IF(OR(X73=regle!$J$11,X73=regle!$K$11),-2,IF(X73=regle!$B$11,0,IF(AR$1=$AK$1,IF($O73,-1,regle!$B$2-$M73),IF(AQ73=-1,-1,AQ73+1))))</f>
        <v>7</v>
      </c>
      <c r="AS73" s="16">
        <f>IF(OR(Y73=regle!$J$11,Y73=regle!$K$11),-2,IF(Y73=regle!$B$11,0,IF(AS$1=$AK$1,IF($O73,-1,regle!$B$2-$M73),IF(AR73=-1,-1,AR73+1))))</f>
        <v>8</v>
      </c>
      <c r="AT73" s="16">
        <f>IF(OR(Z73=regle!$J$11,Z73=regle!$K$11),-2,IF(Z73=regle!$B$11,0,IF(AT$1=$AK$1,IF($O73,-1,regle!$B$2-$M73),IF(AS73=-1,-1,AS73+1))))</f>
        <v>9</v>
      </c>
    </row>
    <row r="74" spans="1:46" x14ac:dyDescent="0.25">
      <c r="A74" t="b">
        <f>modif0!A286</f>
        <v>1</v>
      </c>
      <c r="B74">
        <f>ROW(modif0!B286)</f>
        <v>286</v>
      </c>
      <c r="C74" t="str">
        <f>modif0!D286</f>
        <v>171</v>
      </c>
      <c r="D74" t="str">
        <f>modif0!E286</f>
        <v>MANO</v>
      </c>
      <c r="E74">
        <f>modif0!F286</f>
        <v>17</v>
      </c>
      <c r="F74" t="str">
        <f>modif0!G286</f>
        <v>LANDE DE TABARTON</v>
      </c>
      <c r="G74" t="str">
        <f>modif0!I286</f>
        <v>0B</v>
      </c>
      <c r="H74">
        <f>modif0!J286</f>
        <v>418</v>
      </c>
      <c r="I74" t="str">
        <f>modif0!K286</f>
        <v/>
      </c>
      <c r="J74" s="11">
        <f>modif0!M286</f>
        <v>0.33960000000000001</v>
      </c>
      <c r="K74" s="11" t="str">
        <f>modif0!P286</f>
        <v>CR</v>
      </c>
      <c r="L74" t="str">
        <f>modif0!N286</f>
        <v>PM</v>
      </c>
      <c r="M74">
        <f>modif0!Q286</f>
        <v>2022</v>
      </c>
      <c r="N74" t="str">
        <f>modif0!R286</f>
        <v>CR-PM_2022</v>
      </c>
      <c r="O74" t="b">
        <f>modif0!S286</f>
        <v>1</v>
      </c>
      <c r="P74">
        <v>40</v>
      </c>
      <c r="Q74" t="s">
        <v>1868</v>
      </c>
      <c r="S74" t="s">
        <v>1872</v>
      </c>
      <c r="U74" t="s">
        <v>1870</v>
      </c>
      <c r="X74" t="s">
        <v>1871</v>
      </c>
      <c r="AA74" s="17">
        <f>IF($A74,$J74*(IF(Q74=regle!$B$11,regle!$B$23*IF(AJ74=-2,1+regle!$B$35,1),
IF(Q74=regle!$C$11,regle!$C$23,
IF(Q74=regle!$D$11,regle!$D$23,
IF(Q74=regle!$E$11,regle!$E$23,
IF(Q74=regle!$F$11,regle!$F$23,
IF(Q74=regle!$G$11,regle!$G$23,
IF(Q74=regle!$H$11,regle!$H$23,
IF(Q74=regle!$I$11,regle!$I$23,
IF(Q74=regle!$J$11,regle!$J$23,
IF(Q74=regle!$K$11,regle!$K$23,0))))))))))))</f>
        <v>-577.32000000000005</v>
      </c>
      <c r="AB74" s="17">
        <f>IF($A74,$J74*(IF(R74=regle!$B$11,regle!$B$23*IF(AK74=-2,1+regle!$B$35,1),
IF(R74=regle!$C$11,regle!$C$23,
IF(R74=regle!$D$11,regle!$D$23,
IF(R74=regle!$E$11,regle!$E$23,
IF(R74=regle!$F$11,regle!$F$23,
IF(R74=regle!$G$11,regle!$G$23,
IF(R74=regle!$H$11,regle!$H$23,
IF(R74=regle!$I$11,regle!$I$23,
IF(R74=regle!$J$11,regle!$J$23,
IF(R74=regle!$K$11,regle!$K$23,0))))))))))))</f>
        <v>0</v>
      </c>
      <c r="AC74" s="17">
        <f>IF($A74,$J74*(IF(S74=regle!$B$11,regle!$B$23*IF(AL74=-2,1+regle!$B$35,1),
IF(S74=regle!$C$11,regle!$C$23,
IF(S74=regle!$D$11,regle!$D$23,
IF(S74=regle!$E$11,regle!$E$23,
IF(S74=regle!$F$11,regle!$F$23,
IF(S74=regle!$G$11,regle!$G$23,
IF(S74=regle!$H$11,regle!$H$23,
IF(S74=regle!$I$11,regle!$I$23,
IF(S74=regle!$J$11,regle!$J$23,
IF(S74=regle!$K$11,regle!$K$23,0))))))))))))</f>
        <v>-25.470000000000002</v>
      </c>
      <c r="AD74" s="17">
        <f>IF($A74,$J74*(IF(T74=regle!$B$11,regle!$B$23*IF(AM74=-2,1+regle!$B$35,1),
IF(T74=regle!$C$11,regle!$C$23,
IF(T74=regle!$D$11,regle!$D$23,
IF(T74=regle!$E$11,regle!$E$23,
IF(T74=regle!$F$11,regle!$F$23,
IF(T74=regle!$G$11,regle!$G$23,
IF(T74=regle!$H$11,regle!$H$23,
IF(T74=regle!$I$11,regle!$I$23,
IF(T74=regle!$J$11,regle!$J$23,
IF(T74=regle!$K$11,regle!$K$23,0))))))))))))</f>
        <v>0</v>
      </c>
      <c r="AE74" s="17">
        <f>IF($A74,$J74*(IF(U74=regle!$B$11,regle!$B$23*IF(AN74=-2,1+regle!$B$35,1),
IF(U74=regle!$C$11,regle!$C$23,
IF(U74=regle!$D$11,regle!$D$23,
IF(U74=regle!$E$11,regle!$E$23,
IF(U74=regle!$F$11,regle!$F$23,
IF(U74=regle!$G$11,regle!$G$23,
IF(U74=regle!$H$11,regle!$H$23,
IF(U74=regle!$I$11,regle!$I$23,
IF(U74=regle!$J$11,regle!$J$23,
IF(U74=regle!$K$11,regle!$K$23,0))))))))))))</f>
        <v>-30.564</v>
      </c>
      <c r="AF74" s="17">
        <f>IF($A74,$J74*(IF(V74=regle!$B$11,regle!$B$23*IF(AO74=-2,1+regle!$B$35,1),
IF(V74=regle!$C$11,regle!$C$23,
IF(V74=regle!$D$11,regle!$D$23,
IF(V74=regle!$E$11,regle!$E$23,
IF(V74=regle!$F$11,regle!$F$23,
IF(V74=regle!$G$11,regle!$G$23,
IF(V74=regle!$H$11,regle!$H$23,
IF(V74=regle!$I$11,regle!$I$23,
IF(V74=regle!$J$11,regle!$J$23,
IF(V74=regle!$K$11,regle!$K$23,0))))))))))))</f>
        <v>0</v>
      </c>
      <c r="AG74" s="17">
        <f>IF($A74,$J74*(IF(W74=regle!$B$11,regle!$B$23*IF(AP74=-2,1+regle!$B$35,1),
IF(W74=regle!$C$11,regle!$C$23,
IF(W74=regle!$D$11,regle!$D$23,
IF(W74=regle!$E$11,regle!$E$23,
IF(W74=regle!$F$11,regle!$F$23,
IF(W74=regle!$G$11,regle!$G$23,
IF(W74=regle!$H$11,regle!$H$23,
IF(W74=regle!$I$11,regle!$I$23,
IF(W74=regle!$J$11,regle!$J$23,
IF(W74=regle!$K$11,regle!$K$23,0))))))))))))</f>
        <v>0</v>
      </c>
      <c r="AH74" s="17">
        <f>IF($A74,$J74*(IF(X74=regle!$B$11,regle!$B$23*IF(AQ74=-2,1+regle!$B$35,1),
IF(X74=regle!$C$11,regle!$C$23,
IF(X74=regle!$D$11,regle!$D$23,
IF(X74=regle!$E$11,regle!$E$23,
IF(X74=regle!$F$11,regle!$F$23,
IF(X74=regle!$G$11,regle!$G$23,
IF(X74=regle!$H$11,regle!$H$23,
IF(X74=regle!$I$11,regle!$I$23,
IF(X74=regle!$J$11,regle!$J$23,
IF(X74=regle!$K$11,regle!$K$23,0))))))))))))</f>
        <v>-30.564</v>
      </c>
      <c r="AI74" s="17">
        <f>IF($A74,$J74*(IF(Y74=regle!$B$11,regle!$B$23*IF(AR74=-2,1+regle!$B$35,1),
IF(Y74=regle!$C$11,regle!$C$23,
IF(Y74=regle!$D$11,regle!$D$23,
IF(Y74=regle!$E$11,regle!$E$23,
IF(Y74=regle!$F$11,regle!$F$23,
IF(Y74=regle!$G$11,regle!$G$23,
IF(Y74=regle!$H$11,regle!$H$23,
IF(Y74=regle!$I$11,regle!$I$23,
IF(Y74=regle!$J$11,regle!$J$23,
IF(Y74=regle!$K$11,regle!$K$23,0))))))))))))</f>
        <v>0</v>
      </c>
      <c r="AJ74" s="17">
        <f>IF($A74,$J74*(IF(Z74=regle!$B$11,regle!$B$23*IF(AS74=-2,1+regle!$B$35,1),
IF(Z74=regle!$C$11,regle!$C$23,
IF(Z74=regle!$D$11,regle!$D$23,
IF(Z74=regle!$E$11,regle!$E$23,
IF(Z74=regle!$F$11,regle!$F$23,
IF(Z74=regle!$G$11,regle!$G$23,
IF(Z74=regle!$H$11,regle!$H$23,
IF(Z74=regle!$I$11,regle!$I$23,
IF(Z74=regle!$J$11,regle!$J$23,
IF(Z74=regle!$K$11,regle!$K$23,0))))))))))))</f>
        <v>0</v>
      </c>
      <c r="AK74" s="16">
        <f>IF(OR(Q74=regle!$J$11,Q74=regle!$K$11),-2,IF(Q74=regle!$B$11,0,IF(AK$1=$AK$1,IF($O74,-1,regle!$B$2-$M74),IF(AJ74=-1,-1,AJ74+1))))</f>
        <v>0</v>
      </c>
      <c r="AL74" s="16">
        <f>IF(OR(R74=regle!$J$11,R74=regle!$K$11),-2,IF(R74=regle!$B$11,0,IF(AL$1=$AK$1,IF($O74,-1,regle!$B$2-$M74),IF(AK74=-1,-1,AK74+1))))</f>
        <v>1</v>
      </c>
      <c r="AM74" s="16">
        <f>IF(OR(S74=regle!$J$11,S74=regle!$K$11),-2,IF(S74=regle!$B$11,0,IF(AM$1=$AK$1,IF($O74,-1,regle!$B$2-$M74),IF(AL74=-1,-1,AL74+1))))</f>
        <v>2</v>
      </c>
      <c r="AN74" s="16">
        <f>IF(OR(T74=regle!$J$11,T74=regle!$K$11),-2,IF(T74=regle!$B$11,0,IF(AN$1=$AK$1,IF($O74,-1,regle!$B$2-$M74),IF(AM74=-1,-1,AM74+1))))</f>
        <v>3</v>
      </c>
      <c r="AO74" s="16">
        <f>IF(OR(U74=regle!$J$11,U74=regle!$K$11),-2,IF(U74=regle!$B$11,0,IF(AO$1=$AK$1,IF($O74,-1,regle!$B$2-$M74),IF(AN74=-1,-1,AN74+1))))</f>
        <v>4</v>
      </c>
      <c r="AP74" s="16">
        <f>IF(OR(V74=regle!$J$11,V74=regle!$K$11),-2,IF(V74=regle!$B$11,0,IF(AP$1=$AK$1,IF($O74,-1,regle!$B$2-$M74),IF(AO74=-1,-1,AO74+1))))</f>
        <v>5</v>
      </c>
      <c r="AQ74" s="16">
        <f>IF(OR(W74=regle!$J$11,W74=regle!$K$11),-2,IF(W74=regle!$B$11,0,IF(AQ$1=$AK$1,IF($O74,-1,regle!$B$2-$M74),IF(AP74=-1,-1,AP74+1))))</f>
        <v>6</v>
      </c>
      <c r="AR74" s="16">
        <f>IF(OR(X74=regle!$J$11,X74=regle!$K$11),-2,IF(X74=regle!$B$11,0,IF(AR$1=$AK$1,IF($O74,-1,regle!$B$2-$M74),IF(AQ74=-1,-1,AQ74+1))))</f>
        <v>7</v>
      </c>
      <c r="AS74" s="16">
        <f>IF(OR(Y74=regle!$J$11,Y74=regle!$K$11),-2,IF(Y74=regle!$B$11,0,IF(AS$1=$AK$1,IF($O74,-1,regle!$B$2-$M74),IF(AR74=-1,-1,AR74+1))))</f>
        <v>8</v>
      </c>
      <c r="AT74" s="16">
        <f>IF(OR(Z74=regle!$J$11,Z74=regle!$K$11),-2,IF(Z74=regle!$B$11,0,IF(AT$1=$AK$1,IF($O74,-1,regle!$B$2-$M74),IF(AS74=-1,-1,AS74+1))))</f>
        <v>9</v>
      </c>
    </row>
    <row r="75" spans="1:46" x14ac:dyDescent="0.25">
      <c r="A75" t="b">
        <f>modif0!A6</f>
        <v>1</v>
      </c>
      <c r="B75">
        <f>ROW(modif0!B6)</f>
        <v>6</v>
      </c>
      <c r="C75" t="str">
        <f>modif0!D6</f>
        <v>202</v>
      </c>
      <c r="D75" t="str">
        <f>modif0!E6</f>
        <v>HOSTENS</v>
      </c>
      <c r="E75">
        <f>modif0!F6</f>
        <v>11</v>
      </c>
      <c r="F75" t="str">
        <f>modif0!G6</f>
        <v>L'ARGILEYRE</v>
      </c>
      <c r="G75" t="str">
        <f>modif0!I6</f>
        <v>0A</v>
      </c>
      <c r="H75">
        <f>modif0!J6</f>
        <v>1294</v>
      </c>
      <c r="I75" t="str">
        <f>modif0!K6</f>
        <v>k</v>
      </c>
      <c r="J75" s="11">
        <f>modif0!M6</f>
        <v>0.33410000000000001</v>
      </c>
      <c r="K75" s="11" t="str">
        <f>modif0!P6</f>
        <v>CR</v>
      </c>
      <c r="L75" t="str">
        <f>modif0!N6</f>
        <v>PM</v>
      </c>
      <c r="M75">
        <f>modif0!Q6</f>
        <v>2022</v>
      </c>
      <c r="N75" t="str">
        <f>modif0!R6</f>
        <v>CR-PM_2022</v>
      </c>
      <c r="O75" t="b">
        <f>modif0!S6</f>
        <v>1</v>
      </c>
      <c r="P75">
        <v>40</v>
      </c>
      <c r="Q75" t="s">
        <v>1868</v>
      </c>
      <c r="S75" t="s">
        <v>1872</v>
      </c>
      <c r="U75" t="s">
        <v>1870</v>
      </c>
      <c r="X75" t="s">
        <v>1871</v>
      </c>
      <c r="AA75" s="17">
        <f>IF($A75,$J75*(IF(Q75=regle!$B$11,regle!$B$23*IF(AJ75=-2,1+regle!$B$35,1),
IF(Q75=regle!$C$11,regle!$C$23,
IF(Q75=regle!$D$11,regle!$D$23,
IF(Q75=regle!$E$11,regle!$E$23,
IF(Q75=regle!$F$11,regle!$F$23,
IF(Q75=regle!$G$11,regle!$G$23,
IF(Q75=regle!$H$11,regle!$H$23,
IF(Q75=regle!$I$11,regle!$I$23,
IF(Q75=regle!$J$11,regle!$J$23,
IF(Q75=regle!$K$11,regle!$K$23,0))))))))))))</f>
        <v>-567.97</v>
      </c>
      <c r="AB75" s="17">
        <f>IF($A75,$J75*(IF(R75=regle!$B$11,regle!$B$23*IF(AK75=-2,1+regle!$B$35,1),
IF(R75=regle!$C$11,regle!$C$23,
IF(R75=regle!$D$11,regle!$D$23,
IF(R75=regle!$E$11,regle!$E$23,
IF(R75=regle!$F$11,regle!$F$23,
IF(R75=regle!$G$11,regle!$G$23,
IF(R75=regle!$H$11,regle!$H$23,
IF(R75=regle!$I$11,regle!$I$23,
IF(R75=regle!$J$11,regle!$J$23,
IF(R75=regle!$K$11,regle!$K$23,0))))))))))))</f>
        <v>0</v>
      </c>
      <c r="AC75" s="17">
        <f>IF($A75,$J75*(IF(S75=regle!$B$11,regle!$B$23*IF(AL75=-2,1+regle!$B$35,1),
IF(S75=regle!$C$11,regle!$C$23,
IF(S75=regle!$D$11,regle!$D$23,
IF(S75=regle!$E$11,regle!$E$23,
IF(S75=regle!$F$11,regle!$F$23,
IF(S75=regle!$G$11,regle!$G$23,
IF(S75=regle!$H$11,regle!$H$23,
IF(S75=regle!$I$11,regle!$I$23,
IF(S75=regle!$J$11,regle!$J$23,
IF(S75=regle!$K$11,regle!$K$23,0))))))))))))</f>
        <v>-25.057500000000001</v>
      </c>
      <c r="AD75" s="17">
        <f>IF($A75,$J75*(IF(T75=regle!$B$11,regle!$B$23*IF(AM75=-2,1+regle!$B$35,1),
IF(T75=regle!$C$11,regle!$C$23,
IF(T75=regle!$D$11,regle!$D$23,
IF(T75=regle!$E$11,regle!$E$23,
IF(T75=regle!$F$11,regle!$F$23,
IF(T75=regle!$G$11,regle!$G$23,
IF(T75=regle!$H$11,regle!$H$23,
IF(T75=regle!$I$11,regle!$I$23,
IF(T75=regle!$J$11,regle!$J$23,
IF(T75=regle!$K$11,regle!$K$23,0))))))))))))</f>
        <v>0</v>
      </c>
      <c r="AE75" s="17">
        <f>IF($A75,$J75*(IF(U75=regle!$B$11,regle!$B$23*IF(AN75=-2,1+regle!$B$35,1),
IF(U75=regle!$C$11,regle!$C$23,
IF(U75=regle!$D$11,regle!$D$23,
IF(U75=regle!$E$11,regle!$E$23,
IF(U75=regle!$F$11,regle!$F$23,
IF(U75=regle!$G$11,regle!$G$23,
IF(U75=regle!$H$11,regle!$H$23,
IF(U75=regle!$I$11,regle!$I$23,
IF(U75=regle!$J$11,regle!$J$23,
IF(U75=regle!$K$11,regle!$K$23,0))))))))))))</f>
        <v>-30.068999999999999</v>
      </c>
      <c r="AF75" s="17">
        <f>IF($A75,$J75*(IF(V75=regle!$B$11,regle!$B$23*IF(AO75=-2,1+regle!$B$35,1),
IF(V75=regle!$C$11,regle!$C$23,
IF(V75=regle!$D$11,regle!$D$23,
IF(V75=regle!$E$11,regle!$E$23,
IF(V75=regle!$F$11,regle!$F$23,
IF(V75=regle!$G$11,regle!$G$23,
IF(V75=regle!$H$11,regle!$H$23,
IF(V75=regle!$I$11,regle!$I$23,
IF(V75=regle!$J$11,regle!$J$23,
IF(V75=regle!$K$11,regle!$K$23,0))))))))))))</f>
        <v>0</v>
      </c>
      <c r="AG75" s="17">
        <f>IF($A75,$J75*(IF(W75=regle!$B$11,regle!$B$23*IF(AP75=-2,1+regle!$B$35,1),
IF(W75=regle!$C$11,regle!$C$23,
IF(W75=regle!$D$11,regle!$D$23,
IF(W75=regle!$E$11,regle!$E$23,
IF(W75=regle!$F$11,regle!$F$23,
IF(W75=regle!$G$11,regle!$G$23,
IF(W75=regle!$H$11,regle!$H$23,
IF(W75=regle!$I$11,regle!$I$23,
IF(W75=regle!$J$11,regle!$J$23,
IF(W75=regle!$K$11,regle!$K$23,0))))))))))))</f>
        <v>0</v>
      </c>
      <c r="AH75" s="17">
        <f>IF($A75,$J75*(IF(X75=regle!$B$11,regle!$B$23*IF(AQ75=-2,1+regle!$B$35,1),
IF(X75=regle!$C$11,regle!$C$23,
IF(X75=regle!$D$11,regle!$D$23,
IF(X75=regle!$E$11,regle!$E$23,
IF(X75=regle!$F$11,regle!$F$23,
IF(X75=regle!$G$11,regle!$G$23,
IF(X75=regle!$H$11,regle!$H$23,
IF(X75=regle!$I$11,regle!$I$23,
IF(X75=regle!$J$11,regle!$J$23,
IF(X75=regle!$K$11,regle!$K$23,0))))))))))))</f>
        <v>-30.068999999999999</v>
      </c>
      <c r="AI75" s="17">
        <f>IF($A75,$J75*(IF(Y75=regle!$B$11,regle!$B$23*IF(AR75=-2,1+regle!$B$35,1),
IF(Y75=regle!$C$11,regle!$C$23,
IF(Y75=regle!$D$11,regle!$D$23,
IF(Y75=regle!$E$11,regle!$E$23,
IF(Y75=regle!$F$11,regle!$F$23,
IF(Y75=regle!$G$11,regle!$G$23,
IF(Y75=regle!$H$11,regle!$H$23,
IF(Y75=regle!$I$11,regle!$I$23,
IF(Y75=regle!$J$11,regle!$J$23,
IF(Y75=regle!$K$11,regle!$K$23,0))))))))))))</f>
        <v>0</v>
      </c>
      <c r="AJ75" s="17">
        <f>IF($A75,$J75*(IF(Z75=regle!$B$11,regle!$B$23*IF(AS75=-2,1+regle!$B$35,1),
IF(Z75=regle!$C$11,regle!$C$23,
IF(Z75=regle!$D$11,regle!$D$23,
IF(Z75=regle!$E$11,regle!$E$23,
IF(Z75=regle!$F$11,regle!$F$23,
IF(Z75=regle!$G$11,regle!$G$23,
IF(Z75=regle!$H$11,regle!$H$23,
IF(Z75=regle!$I$11,regle!$I$23,
IF(Z75=regle!$J$11,regle!$J$23,
IF(Z75=regle!$K$11,regle!$K$23,0))))))))))))</f>
        <v>0</v>
      </c>
      <c r="AK75" s="16">
        <f>IF(OR(Q75=regle!$J$11,Q75=regle!$K$11),-2,IF(Q75=regle!$B$11,0,IF(AK$1=$AK$1,IF($O75,-1,regle!$B$2-$M75),IF(AJ75=-1,-1,AJ75+1))))</f>
        <v>0</v>
      </c>
      <c r="AL75" s="16">
        <f>IF(OR(R75=regle!$J$11,R75=regle!$K$11),-2,IF(R75=regle!$B$11,0,IF(AL$1=$AK$1,IF($O75,-1,regle!$B$2-$M75),IF(AK75=-1,-1,AK75+1))))</f>
        <v>1</v>
      </c>
      <c r="AM75" s="16">
        <f>IF(OR(S75=regle!$J$11,S75=regle!$K$11),-2,IF(S75=regle!$B$11,0,IF(AM$1=$AK$1,IF($O75,-1,regle!$B$2-$M75),IF(AL75=-1,-1,AL75+1))))</f>
        <v>2</v>
      </c>
      <c r="AN75" s="16">
        <f>IF(OR(T75=regle!$J$11,T75=regle!$K$11),-2,IF(T75=regle!$B$11,0,IF(AN$1=$AK$1,IF($O75,-1,regle!$B$2-$M75),IF(AM75=-1,-1,AM75+1))))</f>
        <v>3</v>
      </c>
      <c r="AO75" s="16">
        <f>IF(OR(U75=regle!$J$11,U75=regle!$K$11),-2,IF(U75=regle!$B$11,0,IF(AO$1=$AK$1,IF($O75,-1,regle!$B$2-$M75),IF(AN75=-1,-1,AN75+1))))</f>
        <v>4</v>
      </c>
      <c r="AP75" s="16">
        <f>IF(OR(V75=regle!$J$11,V75=regle!$K$11),-2,IF(V75=regle!$B$11,0,IF(AP$1=$AK$1,IF($O75,-1,regle!$B$2-$M75),IF(AO75=-1,-1,AO75+1))))</f>
        <v>5</v>
      </c>
      <c r="AQ75" s="16">
        <f>IF(OR(W75=regle!$J$11,W75=regle!$K$11),-2,IF(W75=regle!$B$11,0,IF(AQ$1=$AK$1,IF($O75,-1,regle!$B$2-$M75),IF(AP75=-1,-1,AP75+1))))</f>
        <v>6</v>
      </c>
      <c r="AR75" s="16">
        <f>IF(OR(X75=regle!$J$11,X75=regle!$K$11),-2,IF(X75=regle!$B$11,0,IF(AR$1=$AK$1,IF($O75,-1,regle!$B$2-$M75),IF(AQ75=-1,-1,AQ75+1))))</f>
        <v>7</v>
      </c>
      <c r="AS75" s="16">
        <f>IF(OR(Y75=regle!$J$11,Y75=regle!$K$11),-2,IF(Y75=regle!$B$11,0,IF(AS$1=$AK$1,IF($O75,-1,regle!$B$2-$M75),IF(AR75=-1,-1,AR75+1))))</f>
        <v>8</v>
      </c>
      <c r="AT75" s="16">
        <f>IF(OR(Z75=regle!$J$11,Z75=regle!$K$11),-2,IF(Z75=regle!$B$11,0,IF(AT$1=$AK$1,IF($O75,-1,regle!$B$2-$M75),IF(AS75=-1,-1,AS75+1))))</f>
        <v>9</v>
      </c>
    </row>
    <row r="76" spans="1:46" x14ac:dyDescent="0.25">
      <c r="A76" t="b">
        <f>modif0!A7</f>
        <v>1</v>
      </c>
      <c r="B76">
        <f>ROW(modif0!B7)</f>
        <v>7</v>
      </c>
      <c r="C76" t="str">
        <f>modif0!D7</f>
        <v>202</v>
      </c>
      <c r="D76" t="str">
        <f>modif0!E7</f>
        <v>HOSTENS</v>
      </c>
      <c r="E76">
        <f>modif0!F7</f>
        <v>11</v>
      </c>
      <c r="F76" t="str">
        <f>modif0!G7</f>
        <v>L'ARGILEYRE</v>
      </c>
      <c r="G76" t="str">
        <f>modif0!I7</f>
        <v>0A</v>
      </c>
      <c r="H76">
        <f>modif0!J7</f>
        <v>1295</v>
      </c>
      <c r="I76" t="str">
        <f>modif0!K7</f>
        <v/>
      </c>
      <c r="J76" s="11">
        <f>modif0!M7</f>
        <v>0.32500000000000001</v>
      </c>
      <c r="K76" s="11" t="str">
        <f>modif0!P7</f>
        <v>CR</v>
      </c>
      <c r="L76" t="str">
        <f>modif0!N7</f>
        <v>PM</v>
      </c>
      <c r="M76">
        <f>modif0!Q7</f>
        <v>2022</v>
      </c>
      <c r="N76" t="str">
        <f>modif0!R7</f>
        <v>CR-PM_2022</v>
      </c>
      <c r="O76" t="b">
        <f>modif0!S7</f>
        <v>1</v>
      </c>
      <c r="P76">
        <v>40</v>
      </c>
      <c r="Q76" t="s">
        <v>1868</v>
      </c>
      <c r="S76" t="s">
        <v>1872</v>
      </c>
      <c r="U76" t="s">
        <v>1870</v>
      </c>
      <c r="X76" t="s">
        <v>1871</v>
      </c>
      <c r="AA76" s="17">
        <f>IF($A76,$J76*(IF(Q76=regle!$B$11,regle!$B$23*IF(AJ76=-2,1+regle!$B$35,1),
IF(Q76=regle!$C$11,regle!$C$23,
IF(Q76=regle!$D$11,regle!$D$23,
IF(Q76=regle!$E$11,regle!$E$23,
IF(Q76=regle!$F$11,regle!$F$23,
IF(Q76=regle!$G$11,regle!$G$23,
IF(Q76=regle!$H$11,regle!$H$23,
IF(Q76=regle!$I$11,regle!$I$23,
IF(Q76=regle!$J$11,regle!$J$23,
IF(Q76=regle!$K$11,regle!$K$23,0))))))))))))</f>
        <v>-552.5</v>
      </c>
      <c r="AB76" s="17">
        <f>IF($A76,$J76*(IF(R76=regle!$B$11,regle!$B$23*IF(AK76=-2,1+regle!$B$35,1),
IF(R76=regle!$C$11,regle!$C$23,
IF(R76=regle!$D$11,regle!$D$23,
IF(R76=regle!$E$11,regle!$E$23,
IF(R76=regle!$F$11,regle!$F$23,
IF(R76=regle!$G$11,regle!$G$23,
IF(R76=regle!$H$11,regle!$H$23,
IF(R76=regle!$I$11,regle!$I$23,
IF(R76=regle!$J$11,regle!$J$23,
IF(R76=regle!$K$11,regle!$K$23,0))))))))))))</f>
        <v>0</v>
      </c>
      <c r="AC76" s="17">
        <f>IF($A76,$J76*(IF(S76=regle!$B$11,regle!$B$23*IF(AL76=-2,1+regle!$B$35,1),
IF(S76=regle!$C$11,regle!$C$23,
IF(S76=regle!$D$11,regle!$D$23,
IF(S76=regle!$E$11,regle!$E$23,
IF(S76=regle!$F$11,regle!$F$23,
IF(S76=regle!$G$11,regle!$G$23,
IF(S76=regle!$H$11,regle!$H$23,
IF(S76=regle!$I$11,regle!$I$23,
IF(S76=regle!$J$11,regle!$J$23,
IF(S76=regle!$K$11,regle!$K$23,0))))))))))))</f>
        <v>-24.375</v>
      </c>
      <c r="AD76" s="17">
        <f>IF($A76,$J76*(IF(T76=regle!$B$11,regle!$B$23*IF(AM76=-2,1+regle!$B$35,1),
IF(T76=regle!$C$11,regle!$C$23,
IF(T76=regle!$D$11,regle!$D$23,
IF(T76=regle!$E$11,regle!$E$23,
IF(T76=regle!$F$11,regle!$F$23,
IF(T76=regle!$G$11,regle!$G$23,
IF(T76=regle!$H$11,regle!$H$23,
IF(T76=regle!$I$11,regle!$I$23,
IF(T76=regle!$J$11,regle!$J$23,
IF(T76=regle!$K$11,regle!$K$23,0))))))))))))</f>
        <v>0</v>
      </c>
      <c r="AE76" s="17">
        <f>IF($A76,$J76*(IF(U76=regle!$B$11,regle!$B$23*IF(AN76=-2,1+regle!$B$35,1),
IF(U76=regle!$C$11,regle!$C$23,
IF(U76=regle!$D$11,regle!$D$23,
IF(U76=regle!$E$11,regle!$E$23,
IF(U76=regle!$F$11,regle!$F$23,
IF(U76=regle!$G$11,regle!$G$23,
IF(U76=regle!$H$11,regle!$H$23,
IF(U76=regle!$I$11,regle!$I$23,
IF(U76=regle!$J$11,regle!$J$23,
IF(U76=regle!$K$11,regle!$K$23,0))))))))))))</f>
        <v>-29.25</v>
      </c>
      <c r="AF76" s="17">
        <f>IF($A76,$J76*(IF(V76=regle!$B$11,regle!$B$23*IF(AO76=-2,1+regle!$B$35,1),
IF(V76=regle!$C$11,regle!$C$23,
IF(V76=regle!$D$11,regle!$D$23,
IF(V76=regle!$E$11,regle!$E$23,
IF(V76=regle!$F$11,regle!$F$23,
IF(V76=regle!$G$11,regle!$G$23,
IF(V76=regle!$H$11,regle!$H$23,
IF(V76=regle!$I$11,regle!$I$23,
IF(V76=regle!$J$11,regle!$J$23,
IF(V76=regle!$K$11,regle!$K$23,0))))))))))))</f>
        <v>0</v>
      </c>
      <c r="AG76" s="17">
        <f>IF($A76,$J76*(IF(W76=regle!$B$11,regle!$B$23*IF(AP76=-2,1+regle!$B$35,1),
IF(W76=regle!$C$11,regle!$C$23,
IF(W76=regle!$D$11,regle!$D$23,
IF(W76=regle!$E$11,regle!$E$23,
IF(W76=regle!$F$11,regle!$F$23,
IF(W76=regle!$G$11,regle!$G$23,
IF(W76=regle!$H$11,regle!$H$23,
IF(W76=regle!$I$11,regle!$I$23,
IF(W76=regle!$J$11,regle!$J$23,
IF(W76=regle!$K$11,regle!$K$23,0))))))))))))</f>
        <v>0</v>
      </c>
      <c r="AH76" s="17">
        <f>IF($A76,$J76*(IF(X76=regle!$B$11,regle!$B$23*IF(AQ76=-2,1+regle!$B$35,1),
IF(X76=regle!$C$11,regle!$C$23,
IF(X76=regle!$D$11,regle!$D$23,
IF(X76=regle!$E$11,regle!$E$23,
IF(X76=regle!$F$11,regle!$F$23,
IF(X76=regle!$G$11,regle!$G$23,
IF(X76=regle!$H$11,regle!$H$23,
IF(X76=regle!$I$11,regle!$I$23,
IF(X76=regle!$J$11,regle!$J$23,
IF(X76=regle!$K$11,regle!$K$23,0))))))))))))</f>
        <v>-29.25</v>
      </c>
      <c r="AI76" s="17">
        <f>IF($A76,$J76*(IF(Y76=regle!$B$11,regle!$B$23*IF(AR76=-2,1+regle!$B$35,1),
IF(Y76=regle!$C$11,regle!$C$23,
IF(Y76=regle!$D$11,regle!$D$23,
IF(Y76=regle!$E$11,regle!$E$23,
IF(Y76=regle!$F$11,regle!$F$23,
IF(Y76=regle!$G$11,regle!$G$23,
IF(Y76=regle!$H$11,regle!$H$23,
IF(Y76=regle!$I$11,regle!$I$23,
IF(Y76=regle!$J$11,regle!$J$23,
IF(Y76=regle!$K$11,regle!$K$23,0))))))))))))</f>
        <v>0</v>
      </c>
      <c r="AJ76" s="17">
        <f>IF($A76,$J76*(IF(Z76=regle!$B$11,regle!$B$23*IF(AS76=-2,1+regle!$B$35,1),
IF(Z76=regle!$C$11,regle!$C$23,
IF(Z76=regle!$D$11,regle!$D$23,
IF(Z76=regle!$E$11,regle!$E$23,
IF(Z76=regle!$F$11,regle!$F$23,
IF(Z76=regle!$G$11,regle!$G$23,
IF(Z76=regle!$H$11,regle!$H$23,
IF(Z76=regle!$I$11,regle!$I$23,
IF(Z76=regle!$J$11,regle!$J$23,
IF(Z76=regle!$K$11,regle!$K$23,0))))))))))))</f>
        <v>0</v>
      </c>
      <c r="AK76" s="16">
        <f>IF(OR(Q76=regle!$J$11,Q76=regle!$K$11),-2,IF(Q76=regle!$B$11,0,IF(AK$1=$AK$1,IF($O76,-1,regle!$B$2-$M76),IF(AJ76=-1,-1,AJ76+1))))</f>
        <v>0</v>
      </c>
      <c r="AL76" s="16">
        <f>IF(OR(R76=regle!$J$11,R76=regle!$K$11),-2,IF(R76=regle!$B$11,0,IF(AL$1=$AK$1,IF($O76,-1,regle!$B$2-$M76),IF(AK76=-1,-1,AK76+1))))</f>
        <v>1</v>
      </c>
      <c r="AM76" s="16">
        <f>IF(OR(S76=regle!$J$11,S76=regle!$K$11),-2,IF(S76=regle!$B$11,0,IF(AM$1=$AK$1,IF($O76,-1,regle!$B$2-$M76),IF(AL76=-1,-1,AL76+1))))</f>
        <v>2</v>
      </c>
      <c r="AN76" s="16">
        <f>IF(OR(T76=regle!$J$11,T76=regle!$K$11),-2,IF(T76=regle!$B$11,0,IF(AN$1=$AK$1,IF($O76,-1,regle!$B$2-$M76),IF(AM76=-1,-1,AM76+1))))</f>
        <v>3</v>
      </c>
      <c r="AO76" s="16">
        <f>IF(OR(U76=regle!$J$11,U76=regle!$K$11),-2,IF(U76=regle!$B$11,0,IF(AO$1=$AK$1,IF($O76,-1,regle!$B$2-$M76),IF(AN76=-1,-1,AN76+1))))</f>
        <v>4</v>
      </c>
      <c r="AP76" s="16">
        <f>IF(OR(V76=regle!$J$11,V76=regle!$K$11),-2,IF(V76=regle!$B$11,0,IF(AP$1=$AK$1,IF($O76,-1,regle!$B$2-$M76),IF(AO76=-1,-1,AO76+1))))</f>
        <v>5</v>
      </c>
      <c r="AQ76" s="16">
        <f>IF(OR(W76=regle!$J$11,W76=regle!$K$11),-2,IF(W76=regle!$B$11,0,IF(AQ$1=$AK$1,IF($O76,-1,regle!$B$2-$M76),IF(AP76=-1,-1,AP76+1))))</f>
        <v>6</v>
      </c>
      <c r="AR76" s="16">
        <f>IF(OR(X76=regle!$J$11,X76=regle!$K$11),-2,IF(X76=regle!$B$11,0,IF(AR$1=$AK$1,IF($O76,-1,regle!$B$2-$M76),IF(AQ76=-1,-1,AQ76+1))))</f>
        <v>7</v>
      </c>
      <c r="AS76" s="16">
        <f>IF(OR(Y76=regle!$J$11,Y76=regle!$K$11),-2,IF(Y76=regle!$B$11,0,IF(AS$1=$AK$1,IF($O76,-1,regle!$B$2-$M76),IF(AR76=-1,-1,AR76+1))))</f>
        <v>8</v>
      </c>
      <c r="AT76" s="16">
        <f>IF(OR(Z76=regle!$J$11,Z76=regle!$K$11),-2,IF(Z76=regle!$B$11,0,IF(AT$1=$AK$1,IF($O76,-1,regle!$B$2-$M76),IF(AS76=-1,-1,AS76+1))))</f>
        <v>9</v>
      </c>
    </row>
    <row r="77" spans="1:46" x14ac:dyDescent="0.25">
      <c r="A77" t="b">
        <f>modif0!A304</f>
        <v>1</v>
      </c>
      <c r="B77">
        <f>ROW(modif0!B304)</f>
        <v>304</v>
      </c>
      <c r="C77" t="str">
        <f>modif0!D304</f>
        <v>171</v>
      </c>
      <c r="D77" t="str">
        <f>modif0!E304</f>
        <v>MANO</v>
      </c>
      <c r="E77">
        <f>modif0!F304</f>
        <v>6</v>
      </c>
      <c r="F77" t="str">
        <f>modif0!G304</f>
        <v>BARRAT</v>
      </c>
      <c r="G77" t="str">
        <f>modif0!I304</f>
        <v>0C</v>
      </c>
      <c r="H77">
        <f>modif0!J304</f>
        <v>188</v>
      </c>
      <c r="I77" t="str">
        <f>modif0!K304</f>
        <v/>
      </c>
      <c r="J77" s="11">
        <f>modif0!M304</f>
        <v>0.2979</v>
      </c>
      <c r="K77" s="11" t="str">
        <f>modif0!P304</f>
        <v>CR</v>
      </c>
      <c r="L77" t="str">
        <f>modif0!N304</f>
        <v>PM</v>
      </c>
      <c r="M77">
        <f>modif0!Q304</f>
        <v>2022</v>
      </c>
      <c r="N77" t="str">
        <f>modif0!R304</f>
        <v>CR-PM_2022</v>
      </c>
      <c r="O77" t="b">
        <f>modif0!S304</f>
        <v>1</v>
      </c>
      <c r="P77">
        <v>40</v>
      </c>
      <c r="Q77" t="s">
        <v>1868</v>
      </c>
      <c r="S77" t="s">
        <v>1872</v>
      </c>
      <c r="U77" t="s">
        <v>1870</v>
      </c>
      <c r="X77" t="s">
        <v>1871</v>
      </c>
      <c r="AA77" s="17">
        <f>IF($A77,$J77*(IF(Q77=regle!$B$11,regle!$B$23*IF(AJ77=-2,1+regle!$B$35,1),
IF(Q77=regle!$C$11,regle!$C$23,
IF(Q77=regle!$D$11,regle!$D$23,
IF(Q77=regle!$E$11,regle!$E$23,
IF(Q77=regle!$F$11,regle!$F$23,
IF(Q77=regle!$G$11,regle!$G$23,
IF(Q77=regle!$H$11,regle!$H$23,
IF(Q77=regle!$I$11,regle!$I$23,
IF(Q77=regle!$J$11,regle!$J$23,
IF(Q77=regle!$K$11,regle!$K$23,0))))))))))))</f>
        <v>-506.43</v>
      </c>
      <c r="AB77" s="17">
        <f>IF($A77,$J77*(IF(R77=regle!$B$11,regle!$B$23*IF(AK77=-2,1+regle!$B$35,1),
IF(R77=regle!$C$11,regle!$C$23,
IF(R77=regle!$D$11,regle!$D$23,
IF(R77=regle!$E$11,regle!$E$23,
IF(R77=regle!$F$11,regle!$F$23,
IF(R77=regle!$G$11,regle!$G$23,
IF(R77=regle!$H$11,regle!$H$23,
IF(R77=regle!$I$11,regle!$I$23,
IF(R77=regle!$J$11,regle!$J$23,
IF(R77=regle!$K$11,regle!$K$23,0))))))))))))</f>
        <v>0</v>
      </c>
      <c r="AC77" s="17">
        <f>IF($A77,$J77*(IF(S77=regle!$B$11,regle!$B$23*IF(AL77=-2,1+regle!$B$35,1),
IF(S77=regle!$C$11,regle!$C$23,
IF(S77=regle!$D$11,regle!$D$23,
IF(S77=regle!$E$11,regle!$E$23,
IF(S77=regle!$F$11,regle!$F$23,
IF(S77=regle!$G$11,regle!$G$23,
IF(S77=regle!$H$11,regle!$H$23,
IF(S77=regle!$I$11,regle!$I$23,
IF(S77=regle!$J$11,regle!$J$23,
IF(S77=regle!$K$11,regle!$K$23,0))))))))))))</f>
        <v>-22.342500000000001</v>
      </c>
      <c r="AD77" s="17">
        <f>IF($A77,$J77*(IF(T77=regle!$B$11,regle!$B$23*IF(AM77=-2,1+regle!$B$35,1),
IF(T77=regle!$C$11,regle!$C$23,
IF(T77=regle!$D$11,regle!$D$23,
IF(T77=regle!$E$11,regle!$E$23,
IF(T77=regle!$F$11,regle!$F$23,
IF(T77=regle!$G$11,regle!$G$23,
IF(T77=regle!$H$11,regle!$H$23,
IF(T77=regle!$I$11,regle!$I$23,
IF(T77=regle!$J$11,regle!$J$23,
IF(T77=regle!$K$11,regle!$K$23,0))))))))))))</f>
        <v>0</v>
      </c>
      <c r="AE77" s="17">
        <f>IF($A77,$J77*(IF(U77=regle!$B$11,regle!$B$23*IF(AN77=-2,1+regle!$B$35,1),
IF(U77=regle!$C$11,regle!$C$23,
IF(U77=regle!$D$11,regle!$D$23,
IF(U77=regle!$E$11,regle!$E$23,
IF(U77=regle!$F$11,regle!$F$23,
IF(U77=regle!$G$11,regle!$G$23,
IF(U77=regle!$H$11,regle!$H$23,
IF(U77=regle!$I$11,regle!$I$23,
IF(U77=regle!$J$11,regle!$J$23,
IF(U77=regle!$K$11,regle!$K$23,0))))))))))))</f>
        <v>-26.811</v>
      </c>
      <c r="AF77" s="17">
        <f>IF($A77,$J77*(IF(V77=regle!$B$11,regle!$B$23*IF(AO77=-2,1+regle!$B$35,1),
IF(V77=regle!$C$11,regle!$C$23,
IF(V77=regle!$D$11,regle!$D$23,
IF(V77=regle!$E$11,regle!$E$23,
IF(V77=regle!$F$11,regle!$F$23,
IF(V77=regle!$G$11,regle!$G$23,
IF(V77=regle!$H$11,regle!$H$23,
IF(V77=regle!$I$11,regle!$I$23,
IF(V77=regle!$J$11,regle!$J$23,
IF(V77=regle!$K$11,regle!$K$23,0))))))))))))</f>
        <v>0</v>
      </c>
      <c r="AG77" s="17">
        <f>IF($A77,$J77*(IF(W77=regle!$B$11,regle!$B$23*IF(AP77=-2,1+regle!$B$35,1),
IF(W77=regle!$C$11,regle!$C$23,
IF(W77=regle!$D$11,regle!$D$23,
IF(W77=regle!$E$11,regle!$E$23,
IF(W77=regle!$F$11,regle!$F$23,
IF(W77=regle!$G$11,regle!$G$23,
IF(W77=regle!$H$11,regle!$H$23,
IF(W77=regle!$I$11,regle!$I$23,
IF(W77=regle!$J$11,regle!$J$23,
IF(W77=regle!$K$11,regle!$K$23,0))))))))))))</f>
        <v>0</v>
      </c>
      <c r="AH77" s="17">
        <f>IF($A77,$J77*(IF(X77=regle!$B$11,regle!$B$23*IF(AQ77=-2,1+regle!$B$35,1),
IF(X77=regle!$C$11,regle!$C$23,
IF(X77=regle!$D$11,regle!$D$23,
IF(X77=regle!$E$11,regle!$E$23,
IF(X77=regle!$F$11,regle!$F$23,
IF(X77=regle!$G$11,regle!$G$23,
IF(X77=regle!$H$11,regle!$H$23,
IF(X77=regle!$I$11,regle!$I$23,
IF(X77=regle!$J$11,regle!$J$23,
IF(X77=regle!$K$11,regle!$K$23,0))))))))))))</f>
        <v>-26.811</v>
      </c>
      <c r="AI77" s="17">
        <f>IF($A77,$J77*(IF(Y77=regle!$B$11,regle!$B$23*IF(AR77=-2,1+regle!$B$35,1),
IF(Y77=regle!$C$11,regle!$C$23,
IF(Y77=regle!$D$11,regle!$D$23,
IF(Y77=regle!$E$11,regle!$E$23,
IF(Y77=regle!$F$11,regle!$F$23,
IF(Y77=regle!$G$11,regle!$G$23,
IF(Y77=regle!$H$11,regle!$H$23,
IF(Y77=regle!$I$11,regle!$I$23,
IF(Y77=regle!$J$11,regle!$J$23,
IF(Y77=regle!$K$11,regle!$K$23,0))))))))))))</f>
        <v>0</v>
      </c>
      <c r="AJ77" s="17">
        <f>IF($A77,$J77*(IF(Z77=regle!$B$11,regle!$B$23*IF(AS77=-2,1+regle!$B$35,1),
IF(Z77=regle!$C$11,regle!$C$23,
IF(Z77=regle!$D$11,regle!$D$23,
IF(Z77=regle!$E$11,regle!$E$23,
IF(Z77=regle!$F$11,regle!$F$23,
IF(Z77=regle!$G$11,regle!$G$23,
IF(Z77=regle!$H$11,regle!$H$23,
IF(Z77=regle!$I$11,regle!$I$23,
IF(Z77=regle!$J$11,regle!$J$23,
IF(Z77=regle!$K$11,regle!$K$23,0))))))))))))</f>
        <v>0</v>
      </c>
      <c r="AK77" s="16">
        <f>IF(OR(Q77=regle!$J$11,Q77=regle!$K$11),-2,IF(Q77=regle!$B$11,0,IF(AK$1=$AK$1,IF($O77,-1,regle!$B$2-$M77),IF(AJ77=-1,-1,AJ77+1))))</f>
        <v>0</v>
      </c>
      <c r="AL77" s="16">
        <f>IF(OR(R77=regle!$J$11,R77=regle!$K$11),-2,IF(R77=regle!$B$11,0,IF(AL$1=$AK$1,IF($O77,-1,regle!$B$2-$M77),IF(AK77=-1,-1,AK77+1))))</f>
        <v>1</v>
      </c>
      <c r="AM77" s="16">
        <f>IF(OR(S77=regle!$J$11,S77=regle!$K$11),-2,IF(S77=regle!$B$11,0,IF(AM$1=$AK$1,IF($O77,-1,regle!$B$2-$M77),IF(AL77=-1,-1,AL77+1))))</f>
        <v>2</v>
      </c>
      <c r="AN77" s="16">
        <f>IF(OR(T77=regle!$J$11,T77=regle!$K$11),-2,IF(T77=regle!$B$11,0,IF(AN$1=$AK$1,IF($O77,-1,regle!$B$2-$M77),IF(AM77=-1,-1,AM77+1))))</f>
        <v>3</v>
      </c>
      <c r="AO77" s="16">
        <f>IF(OR(U77=regle!$J$11,U77=regle!$K$11),-2,IF(U77=regle!$B$11,0,IF(AO$1=$AK$1,IF($O77,-1,regle!$B$2-$M77),IF(AN77=-1,-1,AN77+1))))</f>
        <v>4</v>
      </c>
      <c r="AP77" s="16">
        <f>IF(OR(V77=regle!$J$11,V77=regle!$K$11),-2,IF(V77=regle!$B$11,0,IF(AP$1=$AK$1,IF($O77,-1,regle!$B$2-$M77),IF(AO77=-1,-1,AO77+1))))</f>
        <v>5</v>
      </c>
      <c r="AQ77" s="16">
        <f>IF(OR(W77=regle!$J$11,W77=regle!$K$11),-2,IF(W77=regle!$B$11,0,IF(AQ$1=$AK$1,IF($O77,-1,regle!$B$2-$M77),IF(AP77=-1,-1,AP77+1))))</f>
        <v>6</v>
      </c>
      <c r="AR77" s="16">
        <f>IF(OR(X77=regle!$J$11,X77=regle!$K$11),-2,IF(X77=regle!$B$11,0,IF(AR$1=$AK$1,IF($O77,-1,regle!$B$2-$M77),IF(AQ77=-1,-1,AQ77+1))))</f>
        <v>7</v>
      </c>
      <c r="AS77" s="16">
        <f>IF(OR(Y77=regle!$J$11,Y77=regle!$K$11),-2,IF(Y77=regle!$B$11,0,IF(AS$1=$AK$1,IF($O77,-1,regle!$B$2-$M77),IF(AR77=-1,-1,AR77+1))))</f>
        <v>8</v>
      </c>
      <c r="AT77" s="16">
        <f>IF(OR(Z77=regle!$J$11,Z77=regle!$K$11),-2,IF(Z77=regle!$B$11,0,IF(AT$1=$AK$1,IF($O77,-1,regle!$B$2-$M77),IF(AS77=-1,-1,AS77+1))))</f>
        <v>9</v>
      </c>
    </row>
    <row r="78" spans="1:46" x14ac:dyDescent="0.25">
      <c r="A78" t="b">
        <f>modif0!A344</f>
        <v>1</v>
      </c>
      <c r="B78">
        <f>ROW(modif0!B344)</f>
        <v>344</v>
      </c>
      <c r="C78" t="str">
        <f>modif0!D344</f>
        <v>200</v>
      </c>
      <c r="D78" t="str">
        <f>modif0!E344</f>
        <v>MOUSTEY</v>
      </c>
      <c r="E78">
        <f>modif0!F344</f>
        <v>5</v>
      </c>
      <c r="F78" t="str">
        <f>modif0!G344</f>
        <v>Plata</v>
      </c>
      <c r="G78" t="str">
        <f>modif0!I344</f>
        <v>0M</v>
      </c>
      <c r="H78">
        <f>modif0!J344</f>
        <v>21</v>
      </c>
      <c r="I78" t="str">
        <f>modif0!K344</f>
        <v>a</v>
      </c>
      <c r="J78" s="11">
        <f>modif0!M344</f>
        <v>0.22989999999999999</v>
      </c>
      <c r="K78" s="11" t="str">
        <f>modif0!P344</f>
        <v>CR</v>
      </c>
      <c r="L78" t="str">
        <f>modif0!N344</f>
        <v>PM</v>
      </c>
      <c r="M78">
        <f>modif0!Q344</f>
        <v>2022</v>
      </c>
      <c r="N78" t="str">
        <f>modif0!R344</f>
        <v>CR-PM_2022</v>
      </c>
      <c r="O78" t="b">
        <f>modif0!S344</f>
        <v>1</v>
      </c>
      <c r="P78">
        <v>40</v>
      </c>
      <c r="Q78" t="s">
        <v>1868</v>
      </c>
      <c r="S78" t="s">
        <v>1872</v>
      </c>
      <c r="U78" t="s">
        <v>1870</v>
      </c>
      <c r="X78" t="s">
        <v>1871</v>
      </c>
      <c r="AA78" s="17">
        <f>IF($A78,$J78*(IF(Q78=regle!$B$11,regle!$B$23*IF(AJ78=-2,1+regle!$B$35,1),
IF(Q78=regle!$C$11,regle!$C$23,
IF(Q78=regle!$D$11,regle!$D$23,
IF(Q78=regle!$E$11,regle!$E$23,
IF(Q78=regle!$F$11,regle!$F$23,
IF(Q78=regle!$G$11,regle!$G$23,
IF(Q78=regle!$H$11,regle!$H$23,
IF(Q78=regle!$I$11,regle!$I$23,
IF(Q78=regle!$J$11,regle!$J$23,
IF(Q78=regle!$K$11,regle!$K$23,0))))))))))))</f>
        <v>-390.83</v>
      </c>
      <c r="AB78" s="17">
        <f>IF($A78,$J78*(IF(R78=regle!$B$11,regle!$B$23*IF(AK78=-2,1+regle!$B$35,1),
IF(R78=regle!$C$11,regle!$C$23,
IF(R78=regle!$D$11,regle!$D$23,
IF(R78=regle!$E$11,regle!$E$23,
IF(R78=regle!$F$11,regle!$F$23,
IF(R78=regle!$G$11,regle!$G$23,
IF(R78=regle!$H$11,regle!$H$23,
IF(R78=regle!$I$11,regle!$I$23,
IF(R78=regle!$J$11,regle!$J$23,
IF(R78=regle!$K$11,regle!$K$23,0))))))))))))</f>
        <v>0</v>
      </c>
      <c r="AC78" s="17">
        <f>IF($A78,$J78*(IF(S78=regle!$B$11,regle!$B$23*IF(AL78=-2,1+regle!$B$35,1),
IF(S78=regle!$C$11,regle!$C$23,
IF(S78=regle!$D$11,regle!$D$23,
IF(S78=regle!$E$11,regle!$E$23,
IF(S78=regle!$F$11,regle!$F$23,
IF(S78=regle!$G$11,regle!$G$23,
IF(S78=regle!$H$11,regle!$H$23,
IF(S78=regle!$I$11,regle!$I$23,
IF(S78=regle!$J$11,regle!$J$23,
IF(S78=regle!$K$11,regle!$K$23,0))))))))))))</f>
        <v>-17.2425</v>
      </c>
      <c r="AD78" s="17">
        <f>IF($A78,$J78*(IF(T78=regle!$B$11,regle!$B$23*IF(AM78=-2,1+regle!$B$35,1),
IF(T78=regle!$C$11,regle!$C$23,
IF(T78=regle!$D$11,regle!$D$23,
IF(T78=regle!$E$11,regle!$E$23,
IF(T78=regle!$F$11,regle!$F$23,
IF(T78=regle!$G$11,regle!$G$23,
IF(T78=regle!$H$11,regle!$H$23,
IF(T78=regle!$I$11,regle!$I$23,
IF(T78=regle!$J$11,regle!$J$23,
IF(T78=regle!$K$11,regle!$K$23,0))))))))))))</f>
        <v>0</v>
      </c>
      <c r="AE78" s="17">
        <f>IF($A78,$J78*(IF(U78=regle!$B$11,regle!$B$23*IF(AN78=-2,1+regle!$B$35,1),
IF(U78=regle!$C$11,regle!$C$23,
IF(U78=regle!$D$11,regle!$D$23,
IF(U78=regle!$E$11,regle!$E$23,
IF(U78=regle!$F$11,regle!$F$23,
IF(U78=regle!$G$11,regle!$G$23,
IF(U78=regle!$H$11,regle!$H$23,
IF(U78=regle!$I$11,regle!$I$23,
IF(U78=regle!$J$11,regle!$J$23,
IF(U78=regle!$K$11,regle!$K$23,0))))))))))))</f>
        <v>-20.690999999999999</v>
      </c>
      <c r="AF78" s="17">
        <f>IF($A78,$J78*(IF(V78=regle!$B$11,regle!$B$23*IF(AO78=-2,1+regle!$B$35,1),
IF(V78=regle!$C$11,regle!$C$23,
IF(V78=regle!$D$11,regle!$D$23,
IF(V78=regle!$E$11,regle!$E$23,
IF(V78=regle!$F$11,regle!$F$23,
IF(V78=regle!$G$11,regle!$G$23,
IF(V78=regle!$H$11,regle!$H$23,
IF(V78=regle!$I$11,regle!$I$23,
IF(V78=regle!$J$11,regle!$J$23,
IF(V78=regle!$K$11,regle!$K$23,0))))))))))))</f>
        <v>0</v>
      </c>
      <c r="AG78" s="17">
        <f>IF($A78,$J78*(IF(W78=regle!$B$11,regle!$B$23*IF(AP78=-2,1+regle!$B$35,1),
IF(W78=regle!$C$11,regle!$C$23,
IF(W78=regle!$D$11,regle!$D$23,
IF(W78=regle!$E$11,regle!$E$23,
IF(W78=regle!$F$11,regle!$F$23,
IF(W78=regle!$G$11,regle!$G$23,
IF(W78=regle!$H$11,regle!$H$23,
IF(W78=regle!$I$11,regle!$I$23,
IF(W78=regle!$J$11,regle!$J$23,
IF(W78=regle!$K$11,regle!$K$23,0))))))))))))</f>
        <v>0</v>
      </c>
      <c r="AH78" s="17">
        <f>IF($A78,$J78*(IF(X78=regle!$B$11,regle!$B$23*IF(AQ78=-2,1+regle!$B$35,1),
IF(X78=regle!$C$11,regle!$C$23,
IF(X78=regle!$D$11,regle!$D$23,
IF(X78=regle!$E$11,regle!$E$23,
IF(X78=regle!$F$11,regle!$F$23,
IF(X78=regle!$G$11,regle!$G$23,
IF(X78=regle!$H$11,regle!$H$23,
IF(X78=regle!$I$11,regle!$I$23,
IF(X78=regle!$J$11,regle!$J$23,
IF(X78=regle!$K$11,regle!$K$23,0))))))))))))</f>
        <v>-20.690999999999999</v>
      </c>
      <c r="AI78" s="17">
        <f>IF($A78,$J78*(IF(Y78=regle!$B$11,regle!$B$23*IF(AR78=-2,1+regle!$B$35,1),
IF(Y78=regle!$C$11,regle!$C$23,
IF(Y78=regle!$D$11,regle!$D$23,
IF(Y78=regle!$E$11,regle!$E$23,
IF(Y78=regle!$F$11,regle!$F$23,
IF(Y78=regle!$G$11,regle!$G$23,
IF(Y78=regle!$H$11,regle!$H$23,
IF(Y78=regle!$I$11,regle!$I$23,
IF(Y78=regle!$J$11,regle!$J$23,
IF(Y78=regle!$K$11,regle!$K$23,0))))))))))))</f>
        <v>0</v>
      </c>
      <c r="AJ78" s="17">
        <f>IF($A78,$J78*(IF(Z78=regle!$B$11,regle!$B$23*IF(AS78=-2,1+regle!$B$35,1),
IF(Z78=regle!$C$11,regle!$C$23,
IF(Z78=regle!$D$11,regle!$D$23,
IF(Z78=regle!$E$11,regle!$E$23,
IF(Z78=regle!$F$11,regle!$F$23,
IF(Z78=regle!$G$11,regle!$G$23,
IF(Z78=regle!$H$11,regle!$H$23,
IF(Z78=regle!$I$11,regle!$I$23,
IF(Z78=regle!$J$11,regle!$J$23,
IF(Z78=regle!$K$11,regle!$K$23,0))))))))))))</f>
        <v>0</v>
      </c>
      <c r="AK78" s="16">
        <f>IF(OR(Q78=regle!$J$11,Q78=regle!$K$11),-2,IF(Q78=regle!$B$11,0,IF(AK$1=$AK$1,IF($O78,-1,regle!$B$2-$M78),IF(AJ78=-1,-1,AJ78+1))))</f>
        <v>0</v>
      </c>
      <c r="AL78" s="16">
        <f>IF(OR(R78=regle!$J$11,R78=regle!$K$11),-2,IF(R78=regle!$B$11,0,IF(AL$1=$AK$1,IF($O78,-1,regle!$B$2-$M78),IF(AK78=-1,-1,AK78+1))))</f>
        <v>1</v>
      </c>
      <c r="AM78" s="16">
        <f>IF(OR(S78=regle!$J$11,S78=regle!$K$11),-2,IF(S78=regle!$B$11,0,IF(AM$1=$AK$1,IF($O78,-1,regle!$B$2-$M78),IF(AL78=-1,-1,AL78+1))))</f>
        <v>2</v>
      </c>
      <c r="AN78" s="16">
        <f>IF(OR(T78=regle!$J$11,T78=regle!$K$11),-2,IF(T78=regle!$B$11,0,IF(AN$1=$AK$1,IF($O78,-1,regle!$B$2-$M78),IF(AM78=-1,-1,AM78+1))))</f>
        <v>3</v>
      </c>
      <c r="AO78" s="16">
        <f>IF(OR(U78=regle!$J$11,U78=regle!$K$11),-2,IF(U78=regle!$B$11,0,IF(AO$1=$AK$1,IF($O78,-1,regle!$B$2-$M78),IF(AN78=-1,-1,AN78+1))))</f>
        <v>4</v>
      </c>
      <c r="AP78" s="16">
        <f>IF(OR(V78=regle!$J$11,V78=regle!$K$11),-2,IF(V78=regle!$B$11,0,IF(AP$1=$AK$1,IF($O78,-1,regle!$B$2-$M78),IF(AO78=-1,-1,AO78+1))))</f>
        <v>5</v>
      </c>
      <c r="AQ78" s="16">
        <f>IF(OR(W78=regle!$J$11,W78=regle!$K$11),-2,IF(W78=regle!$B$11,0,IF(AQ$1=$AK$1,IF($O78,-1,regle!$B$2-$M78),IF(AP78=-1,-1,AP78+1))))</f>
        <v>6</v>
      </c>
      <c r="AR78" s="16">
        <f>IF(OR(X78=regle!$J$11,X78=regle!$K$11),-2,IF(X78=regle!$B$11,0,IF(AR$1=$AK$1,IF($O78,-1,regle!$B$2-$M78),IF(AQ78=-1,-1,AQ78+1))))</f>
        <v>7</v>
      </c>
      <c r="AS78" s="16">
        <f>IF(OR(Y78=regle!$J$11,Y78=regle!$K$11),-2,IF(Y78=regle!$B$11,0,IF(AS$1=$AK$1,IF($O78,-1,regle!$B$2-$M78),IF(AR78=-1,-1,AR78+1))))</f>
        <v>8</v>
      </c>
      <c r="AT78" s="16">
        <f>IF(OR(Z78=regle!$J$11,Z78=regle!$K$11),-2,IF(Z78=regle!$B$11,0,IF(AT$1=$AK$1,IF($O78,-1,regle!$B$2-$M78),IF(AS78=-1,-1,AS78+1))))</f>
        <v>9</v>
      </c>
    </row>
    <row r="79" spans="1:46" x14ac:dyDescent="0.25">
      <c r="A79" t="b">
        <f>modif0!A53</f>
        <v>1</v>
      </c>
      <c r="B79">
        <f>ROW(modif0!B53)</f>
        <v>53</v>
      </c>
      <c r="C79" t="str">
        <f>modif0!D53</f>
        <v>536</v>
      </c>
      <c r="D79" t="str">
        <f>modif0!E53</f>
        <v>LE TUZAN</v>
      </c>
      <c r="E79">
        <f>modif0!F53</f>
        <v>21</v>
      </c>
      <c r="F79" t="str">
        <f>modif0!G53</f>
        <v>METAIRIES DE TABARTON</v>
      </c>
      <c r="G79" t="str">
        <f>modif0!I53</f>
        <v>0A</v>
      </c>
      <c r="H79">
        <f>modif0!J53</f>
        <v>462</v>
      </c>
      <c r="I79" t="str">
        <f>modif0!K53</f>
        <v>ak</v>
      </c>
      <c r="J79" s="11">
        <f>modif0!M53</f>
        <v>0.1542</v>
      </c>
      <c r="K79" s="11" t="str">
        <f>modif0!P53</f>
        <v>CR</v>
      </c>
      <c r="L79" t="str">
        <f>modif0!N53</f>
        <v>PM</v>
      </c>
      <c r="M79">
        <f>modif0!Q53</f>
        <v>2022</v>
      </c>
      <c r="N79" t="str">
        <f>modif0!R53</f>
        <v>CR-PM_2022</v>
      </c>
      <c r="O79" t="b">
        <f>modif0!S53</f>
        <v>1</v>
      </c>
      <c r="P79">
        <v>40</v>
      </c>
      <c r="Q79" t="s">
        <v>1868</v>
      </c>
      <c r="S79" t="s">
        <v>1872</v>
      </c>
      <c r="U79" t="s">
        <v>1870</v>
      </c>
      <c r="X79" t="s">
        <v>1871</v>
      </c>
      <c r="AA79" s="17">
        <f>IF($A79,$J79*(IF(Q79=regle!$B$11,regle!$B$23*IF(AJ79=-2,1+regle!$B$35,1),
IF(Q79=regle!$C$11,regle!$C$23,
IF(Q79=regle!$D$11,regle!$D$23,
IF(Q79=regle!$E$11,regle!$E$23,
IF(Q79=regle!$F$11,regle!$F$23,
IF(Q79=regle!$G$11,regle!$G$23,
IF(Q79=regle!$H$11,regle!$H$23,
IF(Q79=regle!$I$11,regle!$I$23,
IF(Q79=regle!$J$11,regle!$J$23,
IF(Q79=regle!$K$11,regle!$K$23,0))))))))))))</f>
        <v>-262.14</v>
      </c>
      <c r="AB79" s="17">
        <f>IF($A79,$J79*(IF(R79=regle!$B$11,regle!$B$23*IF(AK79=-2,1+regle!$B$35,1),
IF(R79=regle!$C$11,regle!$C$23,
IF(R79=regle!$D$11,regle!$D$23,
IF(R79=regle!$E$11,regle!$E$23,
IF(R79=regle!$F$11,regle!$F$23,
IF(R79=regle!$G$11,regle!$G$23,
IF(R79=regle!$H$11,regle!$H$23,
IF(R79=regle!$I$11,regle!$I$23,
IF(R79=regle!$J$11,regle!$J$23,
IF(R79=regle!$K$11,regle!$K$23,0))))))))))))</f>
        <v>0</v>
      </c>
      <c r="AC79" s="17">
        <f>IF($A79,$J79*(IF(S79=regle!$B$11,regle!$B$23*IF(AL79=-2,1+regle!$B$35,1),
IF(S79=regle!$C$11,regle!$C$23,
IF(S79=regle!$D$11,regle!$D$23,
IF(S79=regle!$E$11,regle!$E$23,
IF(S79=regle!$F$11,regle!$F$23,
IF(S79=regle!$G$11,regle!$G$23,
IF(S79=regle!$H$11,regle!$H$23,
IF(S79=regle!$I$11,regle!$I$23,
IF(S79=regle!$J$11,regle!$J$23,
IF(S79=regle!$K$11,regle!$K$23,0))))))))))))</f>
        <v>-11.565</v>
      </c>
      <c r="AD79" s="17">
        <f>IF($A79,$J79*(IF(T79=regle!$B$11,regle!$B$23*IF(AM79=-2,1+regle!$B$35,1),
IF(T79=regle!$C$11,regle!$C$23,
IF(T79=regle!$D$11,regle!$D$23,
IF(T79=regle!$E$11,regle!$E$23,
IF(T79=regle!$F$11,regle!$F$23,
IF(T79=regle!$G$11,regle!$G$23,
IF(T79=regle!$H$11,regle!$H$23,
IF(T79=regle!$I$11,regle!$I$23,
IF(T79=regle!$J$11,regle!$J$23,
IF(T79=regle!$K$11,regle!$K$23,0))))))))))))</f>
        <v>0</v>
      </c>
      <c r="AE79" s="17">
        <f>IF($A79,$J79*(IF(U79=regle!$B$11,regle!$B$23*IF(AN79=-2,1+regle!$B$35,1),
IF(U79=regle!$C$11,regle!$C$23,
IF(U79=regle!$D$11,regle!$D$23,
IF(U79=regle!$E$11,regle!$E$23,
IF(U79=regle!$F$11,regle!$F$23,
IF(U79=regle!$G$11,regle!$G$23,
IF(U79=regle!$H$11,regle!$H$23,
IF(U79=regle!$I$11,regle!$I$23,
IF(U79=regle!$J$11,regle!$J$23,
IF(U79=regle!$K$11,regle!$K$23,0))))))))))))</f>
        <v>-13.878</v>
      </c>
      <c r="AF79" s="17">
        <f>IF($A79,$J79*(IF(V79=regle!$B$11,regle!$B$23*IF(AO79=-2,1+regle!$B$35,1),
IF(V79=regle!$C$11,regle!$C$23,
IF(V79=regle!$D$11,regle!$D$23,
IF(V79=regle!$E$11,regle!$E$23,
IF(V79=regle!$F$11,regle!$F$23,
IF(V79=regle!$G$11,regle!$G$23,
IF(V79=regle!$H$11,regle!$H$23,
IF(V79=regle!$I$11,regle!$I$23,
IF(V79=regle!$J$11,regle!$J$23,
IF(V79=regle!$K$11,regle!$K$23,0))))))))))))</f>
        <v>0</v>
      </c>
      <c r="AG79" s="17">
        <f>IF($A79,$J79*(IF(W79=regle!$B$11,regle!$B$23*IF(AP79=-2,1+regle!$B$35,1),
IF(W79=regle!$C$11,regle!$C$23,
IF(W79=regle!$D$11,regle!$D$23,
IF(W79=regle!$E$11,regle!$E$23,
IF(W79=regle!$F$11,regle!$F$23,
IF(W79=regle!$G$11,regle!$G$23,
IF(W79=regle!$H$11,regle!$H$23,
IF(W79=regle!$I$11,regle!$I$23,
IF(W79=regle!$J$11,regle!$J$23,
IF(W79=regle!$K$11,regle!$K$23,0))))))))))))</f>
        <v>0</v>
      </c>
      <c r="AH79" s="17">
        <f>IF($A79,$J79*(IF(X79=regle!$B$11,regle!$B$23*IF(AQ79=-2,1+regle!$B$35,1),
IF(X79=regle!$C$11,regle!$C$23,
IF(X79=regle!$D$11,regle!$D$23,
IF(X79=regle!$E$11,regle!$E$23,
IF(X79=regle!$F$11,regle!$F$23,
IF(X79=regle!$G$11,regle!$G$23,
IF(X79=regle!$H$11,regle!$H$23,
IF(X79=regle!$I$11,regle!$I$23,
IF(X79=regle!$J$11,regle!$J$23,
IF(X79=regle!$K$11,regle!$K$23,0))))))))))))</f>
        <v>-13.878</v>
      </c>
      <c r="AI79" s="17">
        <f>IF($A79,$J79*(IF(Y79=regle!$B$11,regle!$B$23*IF(AR79=-2,1+regle!$B$35,1),
IF(Y79=regle!$C$11,regle!$C$23,
IF(Y79=regle!$D$11,regle!$D$23,
IF(Y79=regle!$E$11,regle!$E$23,
IF(Y79=regle!$F$11,regle!$F$23,
IF(Y79=regle!$G$11,regle!$G$23,
IF(Y79=regle!$H$11,regle!$H$23,
IF(Y79=regle!$I$11,regle!$I$23,
IF(Y79=regle!$J$11,regle!$J$23,
IF(Y79=regle!$K$11,regle!$K$23,0))))))))))))</f>
        <v>0</v>
      </c>
      <c r="AJ79" s="17">
        <f>IF($A79,$J79*(IF(Z79=regle!$B$11,regle!$B$23*IF(AS79=-2,1+regle!$B$35,1),
IF(Z79=regle!$C$11,regle!$C$23,
IF(Z79=regle!$D$11,regle!$D$23,
IF(Z79=regle!$E$11,regle!$E$23,
IF(Z79=regle!$F$11,regle!$F$23,
IF(Z79=regle!$G$11,regle!$G$23,
IF(Z79=regle!$H$11,regle!$H$23,
IF(Z79=regle!$I$11,regle!$I$23,
IF(Z79=regle!$J$11,regle!$J$23,
IF(Z79=regle!$K$11,regle!$K$23,0))))))))))))</f>
        <v>0</v>
      </c>
      <c r="AK79" s="16">
        <f>IF(OR(Q79=regle!$J$11,Q79=regle!$K$11),-2,IF(Q79=regle!$B$11,0,IF(AK$1=$AK$1,IF($O79,-1,regle!$B$2-$M79),IF(AJ79=-1,-1,AJ79+1))))</f>
        <v>0</v>
      </c>
      <c r="AL79" s="16">
        <f>IF(OR(R79=regle!$J$11,R79=regle!$K$11),-2,IF(R79=regle!$B$11,0,IF(AL$1=$AK$1,IF($O79,-1,regle!$B$2-$M79),IF(AK79=-1,-1,AK79+1))))</f>
        <v>1</v>
      </c>
      <c r="AM79" s="16">
        <f>IF(OR(S79=regle!$J$11,S79=regle!$K$11),-2,IF(S79=regle!$B$11,0,IF(AM$1=$AK$1,IF($O79,-1,regle!$B$2-$M79),IF(AL79=-1,-1,AL79+1))))</f>
        <v>2</v>
      </c>
      <c r="AN79" s="16">
        <f>IF(OR(T79=regle!$J$11,T79=regle!$K$11),-2,IF(T79=regle!$B$11,0,IF(AN$1=$AK$1,IF($O79,-1,regle!$B$2-$M79),IF(AM79=-1,-1,AM79+1))))</f>
        <v>3</v>
      </c>
      <c r="AO79" s="16">
        <f>IF(OR(U79=regle!$J$11,U79=regle!$K$11),-2,IF(U79=regle!$B$11,0,IF(AO$1=$AK$1,IF($O79,-1,regle!$B$2-$M79),IF(AN79=-1,-1,AN79+1))))</f>
        <v>4</v>
      </c>
      <c r="AP79" s="16">
        <f>IF(OR(V79=regle!$J$11,V79=regle!$K$11),-2,IF(V79=regle!$B$11,0,IF(AP$1=$AK$1,IF($O79,-1,regle!$B$2-$M79),IF(AO79=-1,-1,AO79+1))))</f>
        <v>5</v>
      </c>
      <c r="AQ79" s="16">
        <f>IF(OR(W79=regle!$J$11,W79=regle!$K$11),-2,IF(W79=regle!$B$11,0,IF(AQ$1=$AK$1,IF($O79,-1,regle!$B$2-$M79),IF(AP79=-1,-1,AP79+1))))</f>
        <v>6</v>
      </c>
      <c r="AR79" s="16">
        <f>IF(OR(X79=regle!$J$11,X79=regle!$K$11),-2,IF(X79=regle!$B$11,0,IF(AR$1=$AK$1,IF($O79,-1,regle!$B$2-$M79),IF(AQ79=-1,-1,AQ79+1))))</f>
        <v>7</v>
      </c>
      <c r="AS79" s="16">
        <f>IF(OR(Y79=regle!$J$11,Y79=regle!$K$11),-2,IF(Y79=regle!$B$11,0,IF(AS$1=$AK$1,IF($O79,-1,regle!$B$2-$M79),IF(AR79=-1,-1,AR79+1))))</f>
        <v>8</v>
      </c>
      <c r="AT79" s="16">
        <f>IF(OR(Z79=regle!$J$11,Z79=regle!$K$11),-2,IF(Z79=regle!$B$11,0,IF(AT$1=$AK$1,IF($O79,-1,regle!$B$2-$M79),IF(AS79=-1,-1,AS79+1))))</f>
        <v>9</v>
      </c>
    </row>
    <row r="80" spans="1:46" x14ac:dyDescent="0.25">
      <c r="A80" t="b">
        <f>modif0!A370</f>
        <v>1</v>
      </c>
      <c r="B80">
        <f>ROW(modif0!B370)</f>
        <v>370</v>
      </c>
      <c r="C80" t="str">
        <f>modif0!D370</f>
        <v>200</v>
      </c>
      <c r="D80" t="str">
        <f>modif0!E370</f>
        <v>MOUSTEY</v>
      </c>
      <c r="E80">
        <f>modif0!F370</f>
        <v>9</v>
      </c>
      <c r="F80" t="str">
        <f>modif0!G370</f>
        <v>Peyroulet</v>
      </c>
      <c r="G80" t="str">
        <f>modif0!I370</f>
        <v>0N</v>
      </c>
      <c r="H80">
        <f>modif0!J370</f>
        <v>180</v>
      </c>
      <c r="I80" t="str">
        <f>modif0!K370</f>
        <v/>
      </c>
      <c r="J80" s="11">
        <f>modif0!M370</f>
        <v>0.14399999999999999</v>
      </c>
      <c r="K80" s="11" t="str">
        <f>modif0!P370</f>
        <v>CR</v>
      </c>
      <c r="L80" t="str">
        <f>modif0!N370</f>
        <v>PM</v>
      </c>
      <c r="M80">
        <f>modif0!Q370</f>
        <v>2022</v>
      </c>
      <c r="N80" t="str">
        <f>modif0!R370</f>
        <v>CR-PM_2022</v>
      </c>
      <c r="O80" t="b">
        <f>modif0!S370</f>
        <v>1</v>
      </c>
      <c r="P80">
        <v>40</v>
      </c>
      <c r="Q80" t="s">
        <v>1868</v>
      </c>
      <c r="S80" t="s">
        <v>1872</v>
      </c>
      <c r="U80" t="s">
        <v>1870</v>
      </c>
      <c r="X80" t="s">
        <v>1871</v>
      </c>
      <c r="AA80" s="17">
        <f>IF($A80,$J80*(IF(Q80=regle!$B$11,regle!$B$23*IF(AJ80=-2,1+regle!$B$35,1),
IF(Q80=regle!$C$11,regle!$C$23,
IF(Q80=regle!$D$11,regle!$D$23,
IF(Q80=regle!$E$11,regle!$E$23,
IF(Q80=regle!$F$11,regle!$F$23,
IF(Q80=regle!$G$11,regle!$G$23,
IF(Q80=regle!$H$11,regle!$H$23,
IF(Q80=regle!$I$11,regle!$I$23,
IF(Q80=regle!$J$11,regle!$J$23,
IF(Q80=regle!$K$11,regle!$K$23,0))))))))))))</f>
        <v>-244.79999999999998</v>
      </c>
      <c r="AB80" s="17">
        <f>IF($A80,$J80*(IF(R80=regle!$B$11,regle!$B$23*IF(AK80=-2,1+regle!$B$35,1),
IF(R80=regle!$C$11,regle!$C$23,
IF(R80=regle!$D$11,regle!$D$23,
IF(R80=regle!$E$11,regle!$E$23,
IF(R80=regle!$F$11,regle!$F$23,
IF(R80=regle!$G$11,regle!$G$23,
IF(R80=regle!$H$11,regle!$H$23,
IF(R80=regle!$I$11,regle!$I$23,
IF(R80=regle!$J$11,regle!$J$23,
IF(R80=regle!$K$11,regle!$K$23,0))))))))))))</f>
        <v>0</v>
      </c>
      <c r="AC80" s="17">
        <f>IF($A80,$J80*(IF(S80=regle!$B$11,regle!$B$23*IF(AL80=-2,1+regle!$B$35,1),
IF(S80=regle!$C$11,regle!$C$23,
IF(S80=regle!$D$11,regle!$D$23,
IF(S80=regle!$E$11,regle!$E$23,
IF(S80=regle!$F$11,regle!$F$23,
IF(S80=regle!$G$11,regle!$G$23,
IF(S80=regle!$H$11,regle!$H$23,
IF(S80=regle!$I$11,regle!$I$23,
IF(S80=regle!$J$11,regle!$J$23,
IF(S80=regle!$K$11,regle!$K$23,0))))))))))))</f>
        <v>-10.799999999999999</v>
      </c>
      <c r="AD80" s="17">
        <f>IF($A80,$J80*(IF(T80=regle!$B$11,regle!$B$23*IF(AM80=-2,1+regle!$B$35,1),
IF(T80=regle!$C$11,regle!$C$23,
IF(T80=regle!$D$11,regle!$D$23,
IF(T80=regle!$E$11,regle!$E$23,
IF(T80=regle!$F$11,regle!$F$23,
IF(T80=regle!$G$11,regle!$G$23,
IF(T80=regle!$H$11,regle!$H$23,
IF(T80=regle!$I$11,regle!$I$23,
IF(T80=regle!$J$11,regle!$J$23,
IF(T80=regle!$K$11,regle!$K$23,0))))))))))))</f>
        <v>0</v>
      </c>
      <c r="AE80" s="17">
        <f>IF($A80,$J80*(IF(U80=regle!$B$11,regle!$B$23*IF(AN80=-2,1+regle!$B$35,1),
IF(U80=regle!$C$11,regle!$C$23,
IF(U80=regle!$D$11,regle!$D$23,
IF(U80=regle!$E$11,regle!$E$23,
IF(U80=regle!$F$11,regle!$F$23,
IF(U80=regle!$G$11,regle!$G$23,
IF(U80=regle!$H$11,regle!$H$23,
IF(U80=regle!$I$11,regle!$I$23,
IF(U80=regle!$J$11,regle!$J$23,
IF(U80=regle!$K$11,regle!$K$23,0))))))))))))</f>
        <v>-12.959999999999999</v>
      </c>
      <c r="AF80" s="17">
        <f>IF($A80,$J80*(IF(V80=regle!$B$11,regle!$B$23*IF(AO80=-2,1+regle!$B$35,1),
IF(V80=regle!$C$11,regle!$C$23,
IF(V80=regle!$D$11,regle!$D$23,
IF(V80=regle!$E$11,regle!$E$23,
IF(V80=regle!$F$11,regle!$F$23,
IF(V80=regle!$G$11,regle!$G$23,
IF(V80=regle!$H$11,regle!$H$23,
IF(V80=regle!$I$11,regle!$I$23,
IF(V80=regle!$J$11,regle!$J$23,
IF(V80=regle!$K$11,regle!$K$23,0))))))))))))</f>
        <v>0</v>
      </c>
      <c r="AG80" s="17">
        <f>IF($A80,$J80*(IF(W80=regle!$B$11,regle!$B$23*IF(AP80=-2,1+regle!$B$35,1),
IF(W80=regle!$C$11,regle!$C$23,
IF(W80=regle!$D$11,regle!$D$23,
IF(W80=regle!$E$11,regle!$E$23,
IF(W80=regle!$F$11,regle!$F$23,
IF(W80=regle!$G$11,regle!$G$23,
IF(W80=regle!$H$11,regle!$H$23,
IF(W80=regle!$I$11,regle!$I$23,
IF(W80=regle!$J$11,regle!$J$23,
IF(W80=regle!$K$11,regle!$K$23,0))))))))))))</f>
        <v>0</v>
      </c>
      <c r="AH80" s="17">
        <f>IF($A80,$J80*(IF(X80=regle!$B$11,regle!$B$23*IF(AQ80=-2,1+regle!$B$35,1),
IF(X80=regle!$C$11,regle!$C$23,
IF(X80=regle!$D$11,regle!$D$23,
IF(X80=regle!$E$11,regle!$E$23,
IF(X80=regle!$F$11,regle!$F$23,
IF(X80=regle!$G$11,regle!$G$23,
IF(X80=regle!$H$11,regle!$H$23,
IF(X80=regle!$I$11,regle!$I$23,
IF(X80=regle!$J$11,regle!$J$23,
IF(X80=regle!$K$11,regle!$K$23,0))))))))))))</f>
        <v>-12.959999999999999</v>
      </c>
      <c r="AI80" s="17">
        <f>IF($A80,$J80*(IF(Y80=regle!$B$11,regle!$B$23*IF(AR80=-2,1+regle!$B$35,1),
IF(Y80=regle!$C$11,regle!$C$23,
IF(Y80=regle!$D$11,regle!$D$23,
IF(Y80=regle!$E$11,regle!$E$23,
IF(Y80=regle!$F$11,regle!$F$23,
IF(Y80=regle!$G$11,regle!$G$23,
IF(Y80=regle!$H$11,regle!$H$23,
IF(Y80=regle!$I$11,regle!$I$23,
IF(Y80=regle!$J$11,regle!$J$23,
IF(Y80=regle!$K$11,regle!$K$23,0))))))))))))</f>
        <v>0</v>
      </c>
      <c r="AJ80" s="17">
        <f>IF($A80,$J80*(IF(Z80=regle!$B$11,regle!$B$23*IF(AS80=-2,1+regle!$B$35,1),
IF(Z80=regle!$C$11,regle!$C$23,
IF(Z80=regle!$D$11,regle!$D$23,
IF(Z80=regle!$E$11,regle!$E$23,
IF(Z80=regle!$F$11,regle!$F$23,
IF(Z80=regle!$G$11,regle!$G$23,
IF(Z80=regle!$H$11,regle!$H$23,
IF(Z80=regle!$I$11,regle!$I$23,
IF(Z80=regle!$J$11,regle!$J$23,
IF(Z80=regle!$K$11,regle!$K$23,0))))))))))))</f>
        <v>0</v>
      </c>
      <c r="AK80" s="16">
        <f>IF(OR(Q80=regle!$J$11,Q80=regle!$K$11),-2,IF(Q80=regle!$B$11,0,IF(AK$1=$AK$1,IF($O80,-1,regle!$B$2-$M80),IF(AJ80=-1,-1,AJ80+1))))</f>
        <v>0</v>
      </c>
      <c r="AL80" s="16">
        <f>IF(OR(R80=regle!$J$11,R80=regle!$K$11),-2,IF(R80=regle!$B$11,0,IF(AL$1=$AK$1,IF($O80,-1,regle!$B$2-$M80),IF(AK80=-1,-1,AK80+1))))</f>
        <v>1</v>
      </c>
      <c r="AM80" s="16">
        <f>IF(OR(S80=regle!$J$11,S80=regle!$K$11),-2,IF(S80=regle!$B$11,0,IF(AM$1=$AK$1,IF($O80,-1,regle!$B$2-$M80),IF(AL80=-1,-1,AL80+1))))</f>
        <v>2</v>
      </c>
      <c r="AN80" s="16">
        <f>IF(OR(T80=regle!$J$11,T80=regle!$K$11),-2,IF(T80=regle!$B$11,0,IF(AN$1=$AK$1,IF($O80,-1,regle!$B$2-$M80),IF(AM80=-1,-1,AM80+1))))</f>
        <v>3</v>
      </c>
      <c r="AO80" s="16">
        <f>IF(OR(U80=regle!$J$11,U80=regle!$K$11),-2,IF(U80=regle!$B$11,0,IF(AO$1=$AK$1,IF($O80,-1,regle!$B$2-$M80),IF(AN80=-1,-1,AN80+1))))</f>
        <v>4</v>
      </c>
      <c r="AP80" s="16">
        <f>IF(OR(V80=regle!$J$11,V80=regle!$K$11),-2,IF(V80=regle!$B$11,0,IF(AP$1=$AK$1,IF($O80,-1,regle!$B$2-$M80),IF(AO80=-1,-1,AO80+1))))</f>
        <v>5</v>
      </c>
      <c r="AQ80" s="16">
        <f>IF(OR(W80=regle!$J$11,W80=regle!$K$11),-2,IF(W80=regle!$B$11,0,IF(AQ$1=$AK$1,IF($O80,-1,regle!$B$2-$M80),IF(AP80=-1,-1,AP80+1))))</f>
        <v>6</v>
      </c>
      <c r="AR80" s="16">
        <f>IF(OR(X80=regle!$J$11,X80=regle!$K$11),-2,IF(X80=regle!$B$11,0,IF(AR$1=$AK$1,IF($O80,-1,regle!$B$2-$M80),IF(AQ80=-1,-1,AQ80+1))))</f>
        <v>7</v>
      </c>
      <c r="AS80" s="16">
        <f>IF(OR(Y80=regle!$J$11,Y80=regle!$K$11),-2,IF(Y80=regle!$B$11,0,IF(AS$1=$AK$1,IF($O80,-1,regle!$B$2-$M80),IF(AR80=-1,-1,AR80+1))))</f>
        <v>8</v>
      </c>
      <c r="AT80" s="16">
        <f>IF(OR(Z80=regle!$J$11,Z80=regle!$K$11),-2,IF(Z80=regle!$B$11,0,IF(AT$1=$AK$1,IF($O80,-1,regle!$B$2-$M80),IF(AS80=-1,-1,AS80+1))))</f>
        <v>9</v>
      </c>
    </row>
    <row r="81" spans="1:46" x14ac:dyDescent="0.25">
      <c r="A81" t="b">
        <f>modif0!A282</f>
        <v>1</v>
      </c>
      <c r="B81">
        <f>ROW(modif0!B282)</f>
        <v>282</v>
      </c>
      <c r="C81" t="str">
        <f>modif0!D282</f>
        <v>171</v>
      </c>
      <c r="D81" t="str">
        <f>modif0!E282</f>
        <v>MANO</v>
      </c>
      <c r="E81">
        <f>modif0!F282</f>
        <v>17</v>
      </c>
      <c r="F81" t="str">
        <f>modif0!G282</f>
        <v>LANDE DE TABARTON</v>
      </c>
      <c r="G81" t="str">
        <f>modif0!I282</f>
        <v>0B</v>
      </c>
      <c r="H81">
        <f>modif0!J282</f>
        <v>315</v>
      </c>
      <c r="I81" t="str">
        <f>modif0!K282</f>
        <v/>
      </c>
      <c r="J81" s="11">
        <f>modif0!M282</f>
        <v>0.125</v>
      </c>
      <c r="K81" s="11" t="str">
        <f>modif0!P282</f>
        <v>CR</v>
      </c>
      <c r="L81" t="str">
        <f>modif0!N282</f>
        <v>PM</v>
      </c>
      <c r="M81">
        <f>modif0!Q282</f>
        <v>2022</v>
      </c>
      <c r="N81" t="str">
        <f>modif0!R282</f>
        <v>CR-PM_2022</v>
      </c>
      <c r="O81" t="b">
        <f>modif0!S282</f>
        <v>1</v>
      </c>
      <c r="P81">
        <v>40</v>
      </c>
      <c r="Q81" t="s">
        <v>1868</v>
      </c>
      <c r="S81" t="s">
        <v>1872</v>
      </c>
      <c r="U81" t="s">
        <v>1870</v>
      </c>
      <c r="X81" t="s">
        <v>1871</v>
      </c>
      <c r="AA81" s="17">
        <f>IF($A81,$J81*(IF(Q81=regle!$B$11,regle!$B$23*IF(AJ81=-2,1+regle!$B$35,1),
IF(Q81=regle!$C$11,regle!$C$23,
IF(Q81=regle!$D$11,regle!$D$23,
IF(Q81=regle!$E$11,regle!$E$23,
IF(Q81=regle!$F$11,regle!$F$23,
IF(Q81=regle!$G$11,regle!$G$23,
IF(Q81=regle!$H$11,regle!$H$23,
IF(Q81=regle!$I$11,regle!$I$23,
IF(Q81=regle!$J$11,regle!$J$23,
IF(Q81=regle!$K$11,regle!$K$23,0))))))))))))</f>
        <v>-212.5</v>
      </c>
      <c r="AB81" s="17">
        <f>IF($A81,$J81*(IF(R81=regle!$B$11,regle!$B$23*IF(AK81=-2,1+regle!$B$35,1),
IF(R81=regle!$C$11,regle!$C$23,
IF(R81=regle!$D$11,regle!$D$23,
IF(R81=regle!$E$11,regle!$E$23,
IF(R81=regle!$F$11,regle!$F$23,
IF(R81=regle!$G$11,regle!$G$23,
IF(R81=regle!$H$11,regle!$H$23,
IF(R81=regle!$I$11,regle!$I$23,
IF(R81=regle!$J$11,regle!$J$23,
IF(R81=regle!$K$11,regle!$K$23,0))))))))))))</f>
        <v>0</v>
      </c>
      <c r="AC81" s="17">
        <f>IF($A81,$J81*(IF(S81=regle!$B$11,regle!$B$23*IF(AL81=-2,1+regle!$B$35,1),
IF(S81=regle!$C$11,regle!$C$23,
IF(S81=regle!$D$11,regle!$D$23,
IF(S81=regle!$E$11,regle!$E$23,
IF(S81=regle!$F$11,regle!$F$23,
IF(S81=regle!$G$11,regle!$G$23,
IF(S81=regle!$H$11,regle!$H$23,
IF(S81=regle!$I$11,regle!$I$23,
IF(S81=regle!$J$11,regle!$J$23,
IF(S81=regle!$K$11,regle!$K$23,0))))))))))))</f>
        <v>-9.375</v>
      </c>
      <c r="AD81" s="17">
        <f>IF($A81,$J81*(IF(T81=regle!$B$11,regle!$B$23*IF(AM81=-2,1+regle!$B$35,1),
IF(T81=regle!$C$11,regle!$C$23,
IF(T81=regle!$D$11,regle!$D$23,
IF(T81=regle!$E$11,regle!$E$23,
IF(T81=regle!$F$11,regle!$F$23,
IF(T81=regle!$G$11,regle!$G$23,
IF(T81=regle!$H$11,regle!$H$23,
IF(T81=regle!$I$11,regle!$I$23,
IF(T81=regle!$J$11,regle!$J$23,
IF(T81=regle!$K$11,regle!$K$23,0))))))))))))</f>
        <v>0</v>
      </c>
      <c r="AE81" s="17">
        <f>IF($A81,$J81*(IF(U81=regle!$B$11,regle!$B$23*IF(AN81=-2,1+regle!$B$35,1),
IF(U81=regle!$C$11,regle!$C$23,
IF(U81=regle!$D$11,regle!$D$23,
IF(U81=regle!$E$11,regle!$E$23,
IF(U81=regle!$F$11,regle!$F$23,
IF(U81=regle!$G$11,regle!$G$23,
IF(U81=regle!$H$11,regle!$H$23,
IF(U81=regle!$I$11,regle!$I$23,
IF(U81=regle!$J$11,regle!$J$23,
IF(U81=regle!$K$11,regle!$K$23,0))))))))))))</f>
        <v>-11.25</v>
      </c>
      <c r="AF81" s="17">
        <f>IF($A81,$J81*(IF(V81=regle!$B$11,regle!$B$23*IF(AO81=-2,1+regle!$B$35,1),
IF(V81=regle!$C$11,regle!$C$23,
IF(V81=regle!$D$11,regle!$D$23,
IF(V81=regle!$E$11,regle!$E$23,
IF(V81=regle!$F$11,regle!$F$23,
IF(V81=regle!$G$11,regle!$G$23,
IF(V81=regle!$H$11,regle!$H$23,
IF(V81=regle!$I$11,regle!$I$23,
IF(V81=regle!$J$11,regle!$J$23,
IF(V81=regle!$K$11,regle!$K$23,0))))))))))))</f>
        <v>0</v>
      </c>
      <c r="AG81" s="17">
        <f>IF($A81,$J81*(IF(W81=regle!$B$11,regle!$B$23*IF(AP81=-2,1+regle!$B$35,1),
IF(W81=regle!$C$11,regle!$C$23,
IF(W81=regle!$D$11,regle!$D$23,
IF(W81=regle!$E$11,regle!$E$23,
IF(W81=regle!$F$11,regle!$F$23,
IF(W81=regle!$G$11,regle!$G$23,
IF(W81=regle!$H$11,regle!$H$23,
IF(W81=regle!$I$11,regle!$I$23,
IF(W81=regle!$J$11,regle!$J$23,
IF(W81=regle!$K$11,regle!$K$23,0))))))))))))</f>
        <v>0</v>
      </c>
      <c r="AH81" s="17">
        <f>IF($A81,$J81*(IF(X81=regle!$B$11,regle!$B$23*IF(AQ81=-2,1+regle!$B$35,1),
IF(X81=regle!$C$11,regle!$C$23,
IF(X81=regle!$D$11,regle!$D$23,
IF(X81=regle!$E$11,regle!$E$23,
IF(X81=regle!$F$11,regle!$F$23,
IF(X81=regle!$G$11,regle!$G$23,
IF(X81=regle!$H$11,regle!$H$23,
IF(X81=regle!$I$11,regle!$I$23,
IF(X81=regle!$J$11,regle!$J$23,
IF(X81=regle!$K$11,regle!$K$23,0))))))))))))</f>
        <v>-11.25</v>
      </c>
      <c r="AI81" s="17">
        <f>IF($A81,$J81*(IF(Y81=regle!$B$11,regle!$B$23*IF(AR81=-2,1+regle!$B$35,1),
IF(Y81=regle!$C$11,regle!$C$23,
IF(Y81=regle!$D$11,regle!$D$23,
IF(Y81=regle!$E$11,regle!$E$23,
IF(Y81=regle!$F$11,regle!$F$23,
IF(Y81=regle!$G$11,regle!$G$23,
IF(Y81=regle!$H$11,regle!$H$23,
IF(Y81=regle!$I$11,regle!$I$23,
IF(Y81=regle!$J$11,regle!$J$23,
IF(Y81=regle!$K$11,regle!$K$23,0))))))))))))</f>
        <v>0</v>
      </c>
      <c r="AJ81" s="17">
        <f>IF($A81,$J81*(IF(Z81=regle!$B$11,regle!$B$23*IF(AS81=-2,1+regle!$B$35,1),
IF(Z81=regle!$C$11,regle!$C$23,
IF(Z81=regle!$D$11,regle!$D$23,
IF(Z81=regle!$E$11,regle!$E$23,
IF(Z81=regle!$F$11,regle!$F$23,
IF(Z81=regle!$G$11,regle!$G$23,
IF(Z81=regle!$H$11,regle!$H$23,
IF(Z81=regle!$I$11,regle!$I$23,
IF(Z81=regle!$J$11,regle!$J$23,
IF(Z81=regle!$K$11,regle!$K$23,0))))))))))))</f>
        <v>0</v>
      </c>
      <c r="AK81" s="16">
        <f>IF(OR(Q81=regle!$J$11,Q81=regle!$K$11),-2,IF(Q81=regle!$B$11,0,IF(AK$1=$AK$1,IF($O81,-1,regle!$B$2-$M81),IF(AJ81=-1,-1,AJ81+1))))</f>
        <v>0</v>
      </c>
      <c r="AL81" s="16">
        <f>IF(OR(R81=regle!$J$11,R81=regle!$K$11),-2,IF(R81=regle!$B$11,0,IF(AL$1=$AK$1,IF($O81,-1,regle!$B$2-$M81),IF(AK81=-1,-1,AK81+1))))</f>
        <v>1</v>
      </c>
      <c r="AM81" s="16">
        <f>IF(OR(S81=regle!$J$11,S81=regle!$K$11),-2,IF(S81=regle!$B$11,0,IF(AM$1=$AK$1,IF($O81,-1,regle!$B$2-$M81),IF(AL81=-1,-1,AL81+1))))</f>
        <v>2</v>
      </c>
      <c r="AN81" s="16">
        <f>IF(OR(T81=regle!$J$11,T81=regle!$K$11),-2,IF(T81=regle!$B$11,0,IF(AN$1=$AK$1,IF($O81,-1,regle!$B$2-$M81),IF(AM81=-1,-1,AM81+1))))</f>
        <v>3</v>
      </c>
      <c r="AO81" s="16">
        <f>IF(OR(U81=regle!$J$11,U81=regle!$K$11),-2,IF(U81=regle!$B$11,0,IF(AO$1=$AK$1,IF($O81,-1,regle!$B$2-$M81),IF(AN81=-1,-1,AN81+1))))</f>
        <v>4</v>
      </c>
      <c r="AP81" s="16">
        <f>IF(OR(V81=regle!$J$11,V81=regle!$K$11),-2,IF(V81=regle!$B$11,0,IF(AP$1=$AK$1,IF($O81,-1,regle!$B$2-$M81),IF(AO81=-1,-1,AO81+1))))</f>
        <v>5</v>
      </c>
      <c r="AQ81" s="16">
        <f>IF(OR(W81=regle!$J$11,W81=regle!$K$11),-2,IF(W81=regle!$B$11,0,IF(AQ$1=$AK$1,IF($O81,-1,regle!$B$2-$M81),IF(AP81=-1,-1,AP81+1))))</f>
        <v>6</v>
      </c>
      <c r="AR81" s="16">
        <f>IF(OR(X81=regle!$J$11,X81=regle!$K$11),-2,IF(X81=regle!$B$11,0,IF(AR$1=$AK$1,IF($O81,-1,regle!$B$2-$M81),IF(AQ81=-1,-1,AQ81+1))))</f>
        <v>7</v>
      </c>
      <c r="AS81" s="16">
        <f>IF(OR(Y81=regle!$J$11,Y81=regle!$K$11),-2,IF(Y81=regle!$B$11,0,IF(AS$1=$AK$1,IF($O81,-1,regle!$B$2-$M81),IF(AR81=-1,-1,AR81+1))))</f>
        <v>8</v>
      </c>
      <c r="AT81" s="16">
        <f>IF(OR(Z81=regle!$J$11,Z81=regle!$K$11),-2,IF(Z81=regle!$B$11,0,IF(AT$1=$AK$1,IF($O81,-1,regle!$B$2-$M81),IF(AS81=-1,-1,AS81+1))))</f>
        <v>9</v>
      </c>
    </row>
    <row r="82" spans="1:46" x14ac:dyDescent="0.25">
      <c r="A82" t="b">
        <f>modif0!A235</f>
        <v>1</v>
      </c>
      <c r="B82">
        <f>ROW(modif0!B235)</f>
        <v>235</v>
      </c>
      <c r="C82" t="str">
        <f>modif0!D235</f>
        <v>171</v>
      </c>
      <c r="D82" t="str">
        <f>modif0!E235</f>
        <v>MANO</v>
      </c>
      <c r="E82">
        <f>modif0!F235</f>
        <v>16</v>
      </c>
      <c r="F82" t="str">
        <f>modif0!G235</f>
        <v>BAS DE TOURNICON</v>
      </c>
      <c r="G82" t="str">
        <f>modif0!I235</f>
        <v>0B</v>
      </c>
      <c r="H82">
        <f>modif0!J235</f>
        <v>218</v>
      </c>
      <c r="I82" t="str">
        <f>modif0!K235</f>
        <v/>
      </c>
      <c r="J82" s="11">
        <f>modif0!M235</f>
        <v>0.107</v>
      </c>
      <c r="K82" s="11" t="str">
        <f>modif0!P235</f>
        <v>CR</v>
      </c>
      <c r="L82" t="str">
        <f>modif0!N235</f>
        <v>PM</v>
      </c>
      <c r="M82">
        <f>modif0!Q235</f>
        <v>2022</v>
      </c>
      <c r="N82" t="str">
        <f>modif0!R235</f>
        <v>CR-PM_2022</v>
      </c>
      <c r="O82" t="b">
        <f>modif0!S235</f>
        <v>1</v>
      </c>
      <c r="P82">
        <v>40</v>
      </c>
      <c r="Q82" t="s">
        <v>1868</v>
      </c>
      <c r="S82" t="s">
        <v>1872</v>
      </c>
      <c r="U82" t="s">
        <v>1870</v>
      </c>
      <c r="X82" t="s">
        <v>1871</v>
      </c>
      <c r="AA82" s="17">
        <f>IF($A82,$J82*(IF(Q82=regle!$B$11,regle!$B$23*IF(AJ82=-2,1+regle!$B$35,1),
IF(Q82=regle!$C$11,regle!$C$23,
IF(Q82=regle!$D$11,regle!$D$23,
IF(Q82=regle!$E$11,regle!$E$23,
IF(Q82=regle!$F$11,regle!$F$23,
IF(Q82=regle!$G$11,regle!$G$23,
IF(Q82=regle!$H$11,regle!$H$23,
IF(Q82=regle!$I$11,regle!$I$23,
IF(Q82=regle!$J$11,regle!$J$23,
IF(Q82=regle!$K$11,regle!$K$23,0))))))))))))</f>
        <v>-181.9</v>
      </c>
      <c r="AB82" s="17">
        <f>IF($A82,$J82*(IF(R82=regle!$B$11,regle!$B$23*IF(AK82=-2,1+regle!$B$35,1),
IF(R82=regle!$C$11,regle!$C$23,
IF(R82=regle!$D$11,regle!$D$23,
IF(R82=regle!$E$11,regle!$E$23,
IF(R82=regle!$F$11,regle!$F$23,
IF(R82=regle!$G$11,regle!$G$23,
IF(R82=regle!$H$11,regle!$H$23,
IF(R82=regle!$I$11,regle!$I$23,
IF(R82=regle!$J$11,regle!$J$23,
IF(R82=regle!$K$11,regle!$K$23,0))))))))))))</f>
        <v>0</v>
      </c>
      <c r="AC82" s="17">
        <f>IF($A82,$J82*(IF(S82=regle!$B$11,regle!$B$23*IF(AL82=-2,1+regle!$B$35,1),
IF(S82=regle!$C$11,regle!$C$23,
IF(S82=regle!$D$11,regle!$D$23,
IF(S82=regle!$E$11,regle!$E$23,
IF(S82=regle!$F$11,regle!$F$23,
IF(S82=regle!$G$11,regle!$G$23,
IF(S82=regle!$H$11,regle!$H$23,
IF(S82=regle!$I$11,regle!$I$23,
IF(S82=regle!$J$11,regle!$J$23,
IF(S82=regle!$K$11,regle!$K$23,0))))))))))))</f>
        <v>-8.0250000000000004</v>
      </c>
      <c r="AD82" s="17">
        <f>IF($A82,$J82*(IF(T82=regle!$B$11,regle!$B$23*IF(AM82=-2,1+regle!$B$35,1),
IF(T82=regle!$C$11,regle!$C$23,
IF(T82=regle!$D$11,regle!$D$23,
IF(T82=regle!$E$11,regle!$E$23,
IF(T82=regle!$F$11,regle!$F$23,
IF(T82=regle!$G$11,regle!$G$23,
IF(T82=regle!$H$11,regle!$H$23,
IF(T82=regle!$I$11,regle!$I$23,
IF(T82=regle!$J$11,regle!$J$23,
IF(T82=regle!$K$11,regle!$K$23,0))))))))))))</f>
        <v>0</v>
      </c>
      <c r="AE82" s="17">
        <f>IF($A82,$J82*(IF(U82=regle!$B$11,regle!$B$23*IF(AN82=-2,1+regle!$B$35,1),
IF(U82=regle!$C$11,regle!$C$23,
IF(U82=regle!$D$11,regle!$D$23,
IF(U82=regle!$E$11,regle!$E$23,
IF(U82=regle!$F$11,regle!$F$23,
IF(U82=regle!$G$11,regle!$G$23,
IF(U82=regle!$H$11,regle!$H$23,
IF(U82=regle!$I$11,regle!$I$23,
IF(U82=regle!$J$11,regle!$J$23,
IF(U82=regle!$K$11,regle!$K$23,0))))))))))))</f>
        <v>-9.629999999999999</v>
      </c>
      <c r="AF82" s="17">
        <f>IF($A82,$J82*(IF(V82=regle!$B$11,regle!$B$23*IF(AO82=-2,1+regle!$B$35,1),
IF(V82=regle!$C$11,regle!$C$23,
IF(V82=regle!$D$11,regle!$D$23,
IF(V82=regle!$E$11,regle!$E$23,
IF(V82=regle!$F$11,regle!$F$23,
IF(V82=regle!$G$11,regle!$G$23,
IF(V82=regle!$H$11,regle!$H$23,
IF(V82=regle!$I$11,regle!$I$23,
IF(V82=regle!$J$11,regle!$J$23,
IF(V82=regle!$K$11,regle!$K$23,0))))))))))))</f>
        <v>0</v>
      </c>
      <c r="AG82" s="17">
        <f>IF($A82,$J82*(IF(W82=regle!$B$11,regle!$B$23*IF(AP82=-2,1+regle!$B$35,1),
IF(W82=regle!$C$11,regle!$C$23,
IF(W82=regle!$D$11,regle!$D$23,
IF(W82=regle!$E$11,regle!$E$23,
IF(W82=regle!$F$11,regle!$F$23,
IF(W82=regle!$G$11,regle!$G$23,
IF(W82=regle!$H$11,regle!$H$23,
IF(W82=regle!$I$11,regle!$I$23,
IF(W82=regle!$J$11,regle!$J$23,
IF(W82=regle!$K$11,regle!$K$23,0))))))))))))</f>
        <v>0</v>
      </c>
      <c r="AH82" s="17">
        <f>IF($A82,$J82*(IF(X82=regle!$B$11,regle!$B$23*IF(AQ82=-2,1+regle!$B$35,1),
IF(X82=regle!$C$11,regle!$C$23,
IF(X82=regle!$D$11,regle!$D$23,
IF(X82=regle!$E$11,regle!$E$23,
IF(X82=regle!$F$11,regle!$F$23,
IF(X82=regle!$G$11,regle!$G$23,
IF(X82=regle!$H$11,regle!$H$23,
IF(X82=regle!$I$11,regle!$I$23,
IF(X82=regle!$J$11,regle!$J$23,
IF(X82=regle!$K$11,regle!$K$23,0))))))))))))</f>
        <v>-9.629999999999999</v>
      </c>
      <c r="AI82" s="17">
        <f>IF($A82,$J82*(IF(Y82=regle!$B$11,regle!$B$23*IF(AR82=-2,1+regle!$B$35,1),
IF(Y82=regle!$C$11,regle!$C$23,
IF(Y82=regle!$D$11,regle!$D$23,
IF(Y82=regle!$E$11,regle!$E$23,
IF(Y82=regle!$F$11,regle!$F$23,
IF(Y82=regle!$G$11,regle!$G$23,
IF(Y82=regle!$H$11,regle!$H$23,
IF(Y82=regle!$I$11,regle!$I$23,
IF(Y82=regle!$J$11,regle!$J$23,
IF(Y82=regle!$K$11,regle!$K$23,0))))))))))))</f>
        <v>0</v>
      </c>
      <c r="AJ82" s="17">
        <f>IF($A82,$J82*(IF(Z82=regle!$B$11,regle!$B$23*IF(AS82=-2,1+regle!$B$35,1),
IF(Z82=regle!$C$11,regle!$C$23,
IF(Z82=regle!$D$11,regle!$D$23,
IF(Z82=regle!$E$11,regle!$E$23,
IF(Z82=regle!$F$11,regle!$F$23,
IF(Z82=regle!$G$11,regle!$G$23,
IF(Z82=regle!$H$11,regle!$H$23,
IF(Z82=regle!$I$11,regle!$I$23,
IF(Z82=regle!$J$11,regle!$J$23,
IF(Z82=regle!$K$11,regle!$K$23,0))))))))))))</f>
        <v>0</v>
      </c>
      <c r="AK82" s="16">
        <f>IF(OR(Q82=regle!$J$11,Q82=regle!$K$11),-2,IF(Q82=regle!$B$11,0,IF(AK$1=$AK$1,IF($O82,-1,regle!$B$2-$M82),IF(AJ82=-1,-1,AJ82+1))))</f>
        <v>0</v>
      </c>
      <c r="AL82" s="16">
        <f>IF(OR(R82=regle!$J$11,R82=regle!$K$11),-2,IF(R82=regle!$B$11,0,IF(AL$1=$AK$1,IF($O82,-1,regle!$B$2-$M82),IF(AK82=-1,-1,AK82+1))))</f>
        <v>1</v>
      </c>
      <c r="AM82" s="16">
        <f>IF(OR(S82=regle!$J$11,S82=regle!$K$11),-2,IF(S82=regle!$B$11,0,IF(AM$1=$AK$1,IF($O82,-1,regle!$B$2-$M82),IF(AL82=-1,-1,AL82+1))))</f>
        <v>2</v>
      </c>
      <c r="AN82" s="16">
        <f>IF(OR(T82=regle!$J$11,T82=regle!$K$11),-2,IF(T82=regle!$B$11,0,IF(AN$1=$AK$1,IF($O82,-1,regle!$B$2-$M82),IF(AM82=-1,-1,AM82+1))))</f>
        <v>3</v>
      </c>
      <c r="AO82" s="16">
        <f>IF(OR(U82=regle!$J$11,U82=regle!$K$11),-2,IF(U82=regle!$B$11,0,IF(AO$1=$AK$1,IF($O82,-1,regle!$B$2-$M82),IF(AN82=-1,-1,AN82+1))))</f>
        <v>4</v>
      </c>
      <c r="AP82" s="16">
        <f>IF(OR(V82=regle!$J$11,V82=regle!$K$11),-2,IF(V82=regle!$B$11,0,IF(AP$1=$AK$1,IF($O82,-1,regle!$B$2-$M82),IF(AO82=-1,-1,AO82+1))))</f>
        <v>5</v>
      </c>
      <c r="AQ82" s="16">
        <f>IF(OR(W82=regle!$J$11,W82=regle!$K$11),-2,IF(W82=regle!$B$11,0,IF(AQ$1=$AK$1,IF($O82,-1,regle!$B$2-$M82),IF(AP82=-1,-1,AP82+1))))</f>
        <v>6</v>
      </c>
      <c r="AR82" s="16">
        <f>IF(OR(X82=regle!$J$11,X82=regle!$K$11),-2,IF(X82=regle!$B$11,0,IF(AR$1=$AK$1,IF($O82,-1,regle!$B$2-$M82),IF(AQ82=-1,-1,AQ82+1))))</f>
        <v>7</v>
      </c>
      <c r="AS82" s="16">
        <f>IF(OR(Y82=regle!$J$11,Y82=regle!$K$11),-2,IF(Y82=regle!$B$11,0,IF(AS$1=$AK$1,IF($O82,-1,regle!$B$2-$M82),IF(AR82=-1,-1,AR82+1))))</f>
        <v>8</v>
      </c>
      <c r="AT82" s="16">
        <f>IF(OR(Z82=regle!$J$11,Z82=regle!$K$11),-2,IF(Z82=regle!$B$11,0,IF(AT$1=$AK$1,IF($O82,-1,regle!$B$2-$M82),IF(AS82=-1,-1,AS82+1))))</f>
        <v>9</v>
      </c>
    </row>
    <row r="83" spans="1:46" x14ac:dyDescent="0.25">
      <c r="A83" t="b">
        <f>modif0!A239</f>
        <v>1</v>
      </c>
      <c r="B83">
        <f>ROW(modif0!B239)</f>
        <v>239</v>
      </c>
      <c r="C83" t="str">
        <f>modif0!D239</f>
        <v>171</v>
      </c>
      <c r="D83" t="str">
        <f>modif0!E239</f>
        <v>MANO</v>
      </c>
      <c r="E83">
        <f>modif0!F239</f>
        <v>16</v>
      </c>
      <c r="F83" t="str">
        <f>modif0!G239</f>
        <v>BAS DE TOURNICON</v>
      </c>
      <c r="G83" t="str">
        <f>modif0!I239</f>
        <v>0B</v>
      </c>
      <c r="H83">
        <f>modif0!J239</f>
        <v>244</v>
      </c>
      <c r="I83" t="str">
        <f>modif0!K239</f>
        <v/>
      </c>
      <c r="J83" s="11">
        <f>modif0!M239</f>
        <v>0.08</v>
      </c>
      <c r="K83" s="11" t="str">
        <f>modif0!P239</f>
        <v>CR</v>
      </c>
      <c r="L83" t="str">
        <f>modif0!N239</f>
        <v>PM</v>
      </c>
      <c r="M83">
        <f>modif0!Q239</f>
        <v>2022</v>
      </c>
      <c r="N83" t="str">
        <f>modif0!R239</f>
        <v>CR-PM_2022</v>
      </c>
      <c r="O83" t="b">
        <f>modif0!S239</f>
        <v>1</v>
      </c>
      <c r="P83">
        <v>40</v>
      </c>
      <c r="Q83" t="s">
        <v>1868</v>
      </c>
      <c r="S83" t="s">
        <v>1872</v>
      </c>
      <c r="U83" t="s">
        <v>1870</v>
      </c>
      <c r="X83" t="s">
        <v>1871</v>
      </c>
      <c r="AA83" s="17">
        <f>IF($A83,$J83*(IF(Q83=regle!$B$11,regle!$B$23*IF(AJ83=-2,1+regle!$B$35,1),
IF(Q83=regle!$C$11,regle!$C$23,
IF(Q83=regle!$D$11,regle!$D$23,
IF(Q83=regle!$E$11,regle!$E$23,
IF(Q83=regle!$F$11,regle!$F$23,
IF(Q83=regle!$G$11,regle!$G$23,
IF(Q83=regle!$H$11,regle!$H$23,
IF(Q83=regle!$I$11,regle!$I$23,
IF(Q83=regle!$J$11,regle!$J$23,
IF(Q83=regle!$K$11,regle!$K$23,0))))))))))))</f>
        <v>-136</v>
      </c>
      <c r="AB83" s="17">
        <f>IF($A83,$J83*(IF(R83=regle!$B$11,regle!$B$23*IF(AK83=-2,1+regle!$B$35,1),
IF(R83=regle!$C$11,regle!$C$23,
IF(R83=regle!$D$11,regle!$D$23,
IF(R83=regle!$E$11,regle!$E$23,
IF(R83=regle!$F$11,regle!$F$23,
IF(R83=regle!$G$11,regle!$G$23,
IF(R83=regle!$H$11,regle!$H$23,
IF(R83=regle!$I$11,regle!$I$23,
IF(R83=regle!$J$11,regle!$J$23,
IF(R83=regle!$K$11,regle!$K$23,0))))))))))))</f>
        <v>0</v>
      </c>
      <c r="AC83" s="17">
        <f>IF($A83,$J83*(IF(S83=regle!$B$11,regle!$B$23*IF(AL83=-2,1+regle!$B$35,1),
IF(S83=regle!$C$11,regle!$C$23,
IF(S83=regle!$D$11,regle!$D$23,
IF(S83=regle!$E$11,regle!$E$23,
IF(S83=regle!$F$11,regle!$F$23,
IF(S83=regle!$G$11,regle!$G$23,
IF(S83=regle!$H$11,regle!$H$23,
IF(S83=regle!$I$11,regle!$I$23,
IF(S83=regle!$J$11,regle!$J$23,
IF(S83=regle!$K$11,regle!$K$23,0))))))))))))</f>
        <v>-6</v>
      </c>
      <c r="AD83" s="17">
        <f>IF($A83,$J83*(IF(T83=regle!$B$11,regle!$B$23*IF(AM83=-2,1+regle!$B$35,1),
IF(T83=regle!$C$11,regle!$C$23,
IF(T83=regle!$D$11,regle!$D$23,
IF(T83=regle!$E$11,regle!$E$23,
IF(T83=regle!$F$11,regle!$F$23,
IF(T83=regle!$G$11,regle!$G$23,
IF(T83=regle!$H$11,regle!$H$23,
IF(T83=regle!$I$11,regle!$I$23,
IF(T83=regle!$J$11,regle!$J$23,
IF(T83=regle!$K$11,regle!$K$23,0))))))))))))</f>
        <v>0</v>
      </c>
      <c r="AE83" s="17">
        <f>IF($A83,$J83*(IF(U83=regle!$B$11,regle!$B$23*IF(AN83=-2,1+regle!$B$35,1),
IF(U83=regle!$C$11,regle!$C$23,
IF(U83=regle!$D$11,regle!$D$23,
IF(U83=regle!$E$11,regle!$E$23,
IF(U83=regle!$F$11,regle!$F$23,
IF(U83=regle!$G$11,regle!$G$23,
IF(U83=regle!$H$11,regle!$H$23,
IF(U83=regle!$I$11,regle!$I$23,
IF(U83=regle!$J$11,regle!$J$23,
IF(U83=regle!$K$11,regle!$K$23,0))))))))))))</f>
        <v>-7.2</v>
      </c>
      <c r="AF83" s="17">
        <f>IF($A83,$J83*(IF(V83=regle!$B$11,regle!$B$23*IF(AO83=-2,1+regle!$B$35,1),
IF(V83=regle!$C$11,regle!$C$23,
IF(V83=regle!$D$11,regle!$D$23,
IF(V83=regle!$E$11,regle!$E$23,
IF(V83=regle!$F$11,regle!$F$23,
IF(V83=regle!$G$11,regle!$G$23,
IF(V83=regle!$H$11,regle!$H$23,
IF(V83=regle!$I$11,regle!$I$23,
IF(V83=regle!$J$11,regle!$J$23,
IF(V83=regle!$K$11,regle!$K$23,0))))))))))))</f>
        <v>0</v>
      </c>
      <c r="AG83" s="17">
        <f>IF($A83,$J83*(IF(W83=regle!$B$11,regle!$B$23*IF(AP83=-2,1+regle!$B$35,1),
IF(W83=regle!$C$11,regle!$C$23,
IF(W83=regle!$D$11,regle!$D$23,
IF(W83=regle!$E$11,regle!$E$23,
IF(W83=regle!$F$11,regle!$F$23,
IF(W83=regle!$G$11,regle!$G$23,
IF(W83=regle!$H$11,regle!$H$23,
IF(W83=regle!$I$11,regle!$I$23,
IF(W83=regle!$J$11,regle!$J$23,
IF(W83=regle!$K$11,regle!$K$23,0))))))))))))</f>
        <v>0</v>
      </c>
      <c r="AH83" s="17">
        <f>IF($A83,$J83*(IF(X83=regle!$B$11,regle!$B$23*IF(AQ83=-2,1+regle!$B$35,1),
IF(X83=regle!$C$11,regle!$C$23,
IF(X83=regle!$D$11,regle!$D$23,
IF(X83=regle!$E$11,regle!$E$23,
IF(X83=regle!$F$11,regle!$F$23,
IF(X83=regle!$G$11,regle!$G$23,
IF(X83=regle!$H$11,regle!$H$23,
IF(X83=regle!$I$11,regle!$I$23,
IF(X83=regle!$J$11,regle!$J$23,
IF(X83=regle!$K$11,regle!$K$23,0))))))))))))</f>
        <v>-7.2</v>
      </c>
      <c r="AI83" s="17">
        <f>IF($A83,$J83*(IF(Y83=regle!$B$11,regle!$B$23*IF(AR83=-2,1+regle!$B$35,1),
IF(Y83=regle!$C$11,regle!$C$23,
IF(Y83=regle!$D$11,regle!$D$23,
IF(Y83=regle!$E$11,regle!$E$23,
IF(Y83=regle!$F$11,regle!$F$23,
IF(Y83=regle!$G$11,regle!$G$23,
IF(Y83=regle!$H$11,regle!$H$23,
IF(Y83=regle!$I$11,regle!$I$23,
IF(Y83=regle!$J$11,regle!$J$23,
IF(Y83=regle!$K$11,regle!$K$23,0))))))))))))</f>
        <v>0</v>
      </c>
      <c r="AJ83" s="17">
        <f>IF($A83,$J83*(IF(Z83=regle!$B$11,regle!$B$23*IF(AS83=-2,1+regle!$B$35,1),
IF(Z83=regle!$C$11,regle!$C$23,
IF(Z83=regle!$D$11,regle!$D$23,
IF(Z83=regle!$E$11,regle!$E$23,
IF(Z83=regle!$F$11,regle!$F$23,
IF(Z83=regle!$G$11,regle!$G$23,
IF(Z83=regle!$H$11,regle!$H$23,
IF(Z83=regle!$I$11,regle!$I$23,
IF(Z83=regle!$J$11,regle!$J$23,
IF(Z83=regle!$K$11,regle!$K$23,0))))))))))))</f>
        <v>0</v>
      </c>
      <c r="AK83" s="16">
        <f>IF(OR(Q83=regle!$J$11,Q83=regle!$K$11),-2,IF(Q83=regle!$B$11,0,IF(AK$1=$AK$1,IF($O83,-1,regle!$B$2-$M83),IF(AJ83=-1,-1,AJ83+1))))</f>
        <v>0</v>
      </c>
      <c r="AL83" s="16">
        <f>IF(OR(R83=regle!$J$11,R83=regle!$K$11),-2,IF(R83=regle!$B$11,0,IF(AL$1=$AK$1,IF($O83,-1,regle!$B$2-$M83),IF(AK83=-1,-1,AK83+1))))</f>
        <v>1</v>
      </c>
      <c r="AM83" s="16">
        <f>IF(OR(S83=regle!$J$11,S83=regle!$K$11),-2,IF(S83=regle!$B$11,0,IF(AM$1=$AK$1,IF($O83,-1,regle!$B$2-$M83),IF(AL83=-1,-1,AL83+1))))</f>
        <v>2</v>
      </c>
      <c r="AN83" s="16">
        <f>IF(OR(T83=regle!$J$11,T83=regle!$K$11),-2,IF(T83=regle!$B$11,0,IF(AN$1=$AK$1,IF($O83,-1,regle!$B$2-$M83),IF(AM83=-1,-1,AM83+1))))</f>
        <v>3</v>
      </c>
      <c r="AO83" s="16">
        <f>IF(OR(U83=regle!$J$11,U83=regle!$K$11),-2,IF(U83=regle!$B$11,0,IF(AO$1=$AK$1,IF($O83,-1,regle!$B$2-$M83),IF(AN83=-1,-1,AN83+1))))</f>
        <v>4</v>
      </c>
      <c r="AP83" s="16">
        <f>IF(OR(V83=regle!$J$11,V83=regle!$K$11),-2,IF(V83=regle!$B$11,0,IF(AP$1=$AK$1,IF($O83,-1,regle!$B$2-$M83),IF(AO83=-1,-1,AO83+1))))</f>
        <v>5</v>
      </c>
      <c r="AQ83" s="16">
        <f>IF(OR(W83=regle!$J$11,W83=regle!$K$11),-2,IF(W83=regle!$B$11,0,IF(AQ$1=$AK$1,IF($O83,-1,regle!$B$2-$M83),IF(AP83=-1,-1,AP83+1))))</f>
        <v>6</v>
      </c>
      <c r="AR83" s="16">
        <f>IF(OR(X83=regle!$J$11,X83=regle!$K$11),-2,IF(X83=regle!$B$11,0,IF(AR$1=$AK$1,IF($O83,-1,regle!$B$2-$M83),IF(AQ83=-1,-1,AQ83+1))))</f>
        <v>7</v>
      </c>
      <c r="AS83" s="16">
        <f>IF(OR(Y83=regle!$J$11,Y83=regle!$K$11),-2,IF(Y83=regle!$B$11,0,IF(AS$1=$AK$1,IF($O83,-1,regle!$B$2-$M83),IF(AR83=-1,-1,AR83+1))))</f>
        <v>8</v>
      </c>
      <c r="AT83" s="16">
        <f>IF(OR(Z83=regle!$J$11,Z83=regle!$K$11),-2,IF(Z83=regle!$B$11,0,IF(AT$1=$AK$1,IF($O83,-1,regle!$B$2-$M83),IF(AS83=-1,-1,AS83+1))))</f>
        <v>9</v>
      </c>
    </row>
    <row r="84" spans="1:46" x14ac:dyDescent="0.25">
      <c r="A84" t="b">
        <f>modif0!A290</f>
        <v>1</v>
      </c>
      <c r="B84">
        <f>ROW(modif0!B290)</f>
        <v>290</v>
      </c>
      <c r="C84" t="str">
        <f>modif0!D290</f>
        <v>171</v>
      </c>
      <c r="D84" t="str">
        <f>modif0!E290</f>
        <v>MANO</v>
      </c>
      <c r="E84">
        <f>modif0!F290</f>
        <v>17</v>
      </c>
      <c r="F84" t="str">
        <f>modif0!G290</f>
        <v>LANDE DE TABARTON</v>
      </c>
      <c r="G84" t="str">
        <f>modif0!I290</f>
        <v>0B</v>
      </c>
      <c r="H84">
        <f>modif0!J290</f>
        <v>491</v>
      </c>
      <c r="I84" t="str">
        <f>modif0!K290</f>
        <v>j</v>
      </c>
      <c r="J84" s="11">
        <f>modif0!M290</f>
        <v>7.0099999999999996E-2</v>
      </c>
      <c r="K84" s="11" t="str">
        <f>modif0!P290</f>
        <v>CR</v>
      </c>
      <c r="L84" t="str">
        <f>modif0!N290</f>
        <v>PM</v>
      </c>
      <c r="M84">
        <f>modif0!Q290</f>
        <v>2022</v>
      </c>
      <c r="N84" t="str">
        <f>modif0!R290</f>
        <v>CR-PM_2022</v>
      </c>
      <c r="O84" t="b">
        <f>modif0!S290</f>
        <v>1</v>
      </c>
      <c r="P84">
        <v>40</v>
      </c>
      <c r="Q84" t="s">
        <v>1868</v>
      </c>
      <c r="S84" t="s">
        <v>1872</v>
      </c>
      <c r="U84" t="s">
        <v>1870</v>
      </c>
      <c r="X84" t="s">
        <v>1871</v>
      </c>
      <c r="AA84" s="17">
        <f>IF($A84,$J84*(IF(Q84=regle!$B$11,regle!$B$23*IF(AJ84=-2,1+regle!$B$35,1),
IF(Q84=regle!$C$11,regle!$C$23,
IF(Q84=regle!$D$11,regle!$D$23,
IF(Q84=regle!$E$11,regle!$E$23,
IF(Q84=regle!$F$11,regle!$F$23,
IF(Q84=regle!$G$11,regle!$G$23,
IF(Q84=regle!$H$11,regle!$H$23,
IF(Q84=regle!$I$11,regle!$I$23,
IF(Q84=regle!$J$11,regle!$J$23,
IF(Q84=regle!$K$11,regle!$K$23,0))))))))))))</f>
        <v>-119.16999999999999</v>
      </c>
      <c r="AB84" s="17">
        <f>IF($A84,$J84*(IF(R84=regle!$B$11,regle!$B$23*IF(AK84=-2,1+regle!$B$35,1),
IF(R84=regle!$C$11,regle!$C$23,
IF(R84=regle!$D$11,regle!$D$23,
IF(R84=regle!$E$11,regle!$E$23,
IF(R84=regle!$F$11,regle!$F$23,
IF(R84=regle!$G$11,regle!$G$23,
IF(R84=regle!$H$11,regle!$H$23,
IF(R84=regle!$I$11,regle!$I$23,
IF(R84=regle!$J$11,regle!$J$23,
IF(R84=regle!$K$11,regle!$K$23,0))))))))))))</f>
        <v>0</v>
      </c>
      <c r="AC84" s="17">
        <f>IF($A84,$J84*(IF(S84=regle!$B$11,regle!$B$23*IF(AL84=-2,1+regle!$B$35,1),
IF(S84=regle!$C$11,regle!$C$23,
IF(S84=regle!$D$11,regle!$D$23,
IF(S84=regle!$E$11,regle!$E$23,
IF(S84=regle!$F$11,regle!$F$23,
IF(S84=regle!$G$11,regle!$G$23,
IF(S84=regle!$H$11,regle!$H$23,
IF(S84=regle!$I$11,regle!$I$23,
IF(S84=regle!$J$11,regle!$J$23,
IF(S84=regle!$K$11,regle!$K$23,0))))))))))))</f>
        <v>-5.2574999999999994</v>
      </c>
      <c r="AD84" s="17">
        <f>IF($A84,$J84*(IF(T84=regle!$B$11,regle!$B$23*IF(AM84=-2,1+regle!$B$35,1),
IF(T84=regle!$C$11,regle!$C$23,
IF(T84=regle!$D$11,regle!$D$23,
IF(T84=regle!$E$11,regle!$E$23,
IF(T84=regle!$F$11,regle!$F$23,
IF(T84=regle!$G$11,regle!$G$23,
IF(T84=regle!$H$11,regle!$H$23,
IF(T84=regle!$I$11,regle!$I$23,
IF(T84=regle!$J$11,regle!$J$23,
IF(T84=regle!$K$11,regle!$K$23,0))))))))))))</f>
        <v>0</v>
      </c>
      <c r="AE84" s="17">
        <f>IF($A84,$J84*(IF(U84=regle!$B$11,regle!$B$23*IF(AN84=-2,1+regle!$B$35,1),
IF(U84=regle!$C$11,regle!$C$23,
IF(U84=regle!$D$11,regle!$D$23,
IF(U84=regle!$E$11,regle!$E$23,
IF(U84=regle!$F$11,regle!$F$23,
IF(U84=regle!$G$11,regle!$G$23,
IF(U84=regle!$H$11,regle!$H$23,
IF(U84=regle!$I$11,regle!$I$23,
IF(U84=regle!$J$11,regle!$J$23,
IF(U84=regle!$K$11,regle!$K$23,0))))))))))))</f>
        <v>-6.3089999999999993</v>
      </c>
      <c r="AF84" s="17">
        <f>IF($A84,$J84*(IF(V84=regle!$B$11,regle!$B$23*IF(AO84=-2,1+regle!$B$35,1),
IF(V84=regle!$C$11,regle!$C$23,
IF(V84=regle!$D$11,regle!$D$23,
IF(V84=regle!$E$11,regle!$E$23,
IF(V84=regle!$F$11,regle!$F$23,
IF(V84=regle!$G$11,regle!$G$23,
IF(V84=regle!$H$11,regle!$H$23,
IF(V84=regle!$I$11,regle!$I$23,
IF(V84=regle!$J$11,regle!$J$23,
IF(V84=regle!$K$11,regle!$K$23,0))))))))))))</f>
        <v>0</v>
      </c>
      <c r="AG84" s="17">
        <f>IF($A84,$J84*(IF(W84=regle!$B$11,regle!$B$23*IF(AP84=-2,1+regle!$B$35,1),
IF(W84=regle!$C$11,regle!$C$23,
IF(W84=regle!$D$11,regle!$D$23,
IF(W84=regle!$E$11,regle!$E$23,
IF(W84=regle!$F$11,regle!$F$23,
IF(W84=regle!$G$11,regle!$G$23,
IF(W84=regle!$H$11,regle!$H$23,
IF(W84=regle!$I$11,regle!$I$23,
IF(W84=regle!$J$11,regle!$J$23,
IF(W84=regle!$K$11,regle!$K$23,0))))))))))))</f>
        <v>0</v>
      </c>
      <c r="AH84" s="17">
        <f>IF($A84,$J84*(IF(X84=regle!$B$11,regle!$B$23*IF(AQ84=-2,1+regle!$B$35,1),
IF(X84=regle!$C$11,regle!$C$23,
IF(X84=regle!$D$11,regle!$D$23,
IF(X84=regle!$E$11,regle!$E$23,
IF(X84=regle!$F$11,regle!$F$23,
IF(X84=regle!$G$11,regle!$G$23,
IF(X84=regle!$H$11,regle!$H$23,
IF(X84=regle!$I$11,regle!$I$23,
IF(X84=regle!$J$11,regle!$J$23,
IF(X84=regle!$K$11,regle!$K$23,0))))))))))))</f>
        <v>-6.3089999999999993</v>
      </c>
      <c r="AI84" s="17">
        <f>IF($A84,$J84*(IF(Y84=regle!$B$11,regle!$B$23*IF(AR84=-2,1+regle!$B$35,1),
IF(Y84=regle!$C$11,regle!$C$23,
IF(Y84=regle!$D$11,regle!$D$23,
IF(Y84=regle!$E$11,regle!$E$23,
IF(Y84=regle!$F$11,regle!$F$23,
IF(Y84=regle!$G$11,regle!$G$23,
IF(Y84=regle!$H$11,regle!$H$23,
IF(Y84=regle!$I$11,regle!$I$23,
IF(Y84=regle!$J$11,regle!$J$23,
IF(Y84=regle!$K$11,regle!$K$23,0))))))))))))</f>
        <v>0</v>
      </c>
      <c r="AJ84" s="17">
        <f>IF($A84,$J84*(IF(Z84=regle!$B$11,regle!$B$23*IF(AS84=-2,1+regle!$B$35,1),
IF(Z84=regle!$C$11,regle!$C$23,
IF(Z84=regle!$D$11,regle!$D$23,
IF(Z84=regle!$E$11,regle!$E$23,
IF(Z84=regle!$F$11,regle!$F$23,
IF(Z84=regle!$G$11,regle!$G$23,
IF(Z84=regle!$H$11,regle!$H$23,
IF(Z84=regle!$I$11,regle!$I$23,
IF(Z84=regle!$J$11,regle!$J$23,
IF(Z84=regle!$K$11,regle!$K$23,0))))))))))))</f>
        <v>0</v>
      </c>
      <c r="AK84" s="16">
        <f>IF(OR(Q84=regle!$J$11,Q84=regle!$K$11),-2,IF(Q84=regle!$B$11,0,IF(AK$1=$AK$1,IF($O84,-1,regle!$B$2-$M84),IF(AJ84=-1,-1,AJ84+1))))</f>
        <v>0</v>
      </c>
      <c r="AL84" s="16">
        <f>IF(OR(R84=regle!$J$11,R84=regle!$K$11),-2,IF(R84=regle!$B$11,0,IF(AL$1=$AK$1,IF($O84,-1,regle!$B$2-$M84),IF(AK84=-1,-1,AK84+1))))</f>
        <v>1</v>
      </c>
      <c r="AM84" s="16">
        <f>IF(OR(S84=regle!$J$11,S84=regle!$K$11),-2,IF(S84=regle!$B$11,0,IF(AM$1=$AK$1,IF($O84,-1,regle!$B$2-$M84),IF(AL84=-1,-1,AL84+1))))</f>
        <v>2</v>
      </c>
      <c r="AN84" s="16">
        <f>IF(OR(T84=regle!$J$11,T84=regle!$K$11),-2,IF(T84=regle!$B$11,0,IF(AN$1=$AK$1,IF($O84,-1,regle!$B$2-$M84),IF(AM84=-1,-1,AM84+1))))</f>
        <v>3</v>
      </c>
      <c r="AO84" s="16">
        <f>IF(OR(U84=regle!$J$11,U84=regle!$K$11),-2,IF(U84=regle!$B$11,0,IF(AO$1=$AK$1,IF($O84,-1,regle!$B$2-$M84),IF(AN84=-1,-1,AN84+1))))</f>
        <v>4</v>
      </c>
      <c r="AP84" s="16">
        <f>IF(OR(V84=regle!$J$11,V84=regle!$K$11),-2,IF(V84=regle!$B$11,0,IF(AP$1=$AK$1,IF($O84,-1,regle!$B$2-$M84),IF(AO84=-1,-1,AO84+1))))</f>
        <v>5</v>
      </c>
      <c r="AQ84" s="16">
        <f>IF(OR(W84=regle!$J$11,W84=regle!$K$11),-2,IF(W84=regle!$B$11,0,IF(AQ$1=$AK$1,IF($O84,-1,regle!$B$2-$M84),IF(AP84=-1,-1,AP84+1))))</f>
        <v>6</v>
      </c>
      <c r="AR84" s="16">
        <f>IF(OR(X84=regle!$J$11,X84=regle!$K$11),-2,IF(X84=regle!$B$11,0,IF(AR$1=$AK$1,IF($O84,-1,regle!$B$2-$M84),IF(AQ84=-1,-1,AQ84+1))))</f>
        <v>7</v>
      </c>
      <c r="AS84" s="16">
        <f>IF(OR(Y84=regle!$J$11,Y84=regle!$K$11),-2,IF(Y84=regle!$B$11,0,IF(AS$1=$AK$1,IF($O84,-1,regle!$B$2-$M84),IF(AR84=-1,-1,AR84+1))))</f>
        <v>8</v>
      </c>
      <c r="AT84" s="16">
        <f>IF(OR(Z84=regle!$J$11,Z84=regle!$K$11),-2,IF(Z84=regle!$B$11,0,IF(AT$1=$AK$1,IF($O84,-1,regle!$B$2-$M84),IF(AS84=-1,-1,AS84+1))))</f>
        <v>9</v>
      </c>
    </row>
    <row r="85" spans="1:46" x14ac:dyDescent="0.25">
      <c r="A85" t="b">
        <f>modif0!A367</f>
        <v>1</v>
      </c>
      <c r="B85">
        <f>ROW(modif0!B367)</f>
        <v>367</v>
      </c>
      <c r="C85" t="str">
        <f>modif0!D367</f>
        <v>200</v>
      </c>
      <c r="D85" t="str">
        <f>modif0!E367</f>
        <v>MOUSTEY</v>
      </c>
      <c r="E85">
        <f>modif0!F367</f>
        <v>18</v>
      </c>
      <c r="F85" t="str">
        <f>modif0!G367</f>
        <v>Quartier de Capsus</v>
      </c>
      <c r="G85" t="str">
        <f>modif0!I367</f>
        <v>0N</v>
      </c>
      <c r="H85">
        <f>modif0!J367</f>
        <v>146</v>
      </c>
      <c r="I85" t="str">
        <f>modif0!K367</f>
        <v/>
      </c>
      <c r="J85" s="11">
        <f>modif0!M367</f>
        <v>4.65E-2</v>
      </c>
      <c r="K85" s="11" t="str">
        <f>modif0!P367</f>
        <v>CR</v>
      </c>
      <c r="L85" t="str">
        <f>modif0!N367</f>
        <v>PM</v>
      </c>
      <c r="M85">
        <f>modif0!Q367</f>
        <v>2022</v>
      </c>
      <c r="N85" t="str">
        <f>modif0!R367</f>
        <v>CR-PM_2022</v>
      </c>
      <c r="O85" t="b">
        <f>modif0!S367</f>
        <v>1</v>
      </c>
      <c r="P85">
        <v>40</v>
      </c>
      <c r="Q85" t="s">
        <v>1868</v>
      </c>
      <c r="S85" t="s">
        <v>1872</v>
      </c>
      <c r="U85" t="s">
        <v>1870</v>
      </c>
      <c r="X85" t="s">
        <v>1871</v>
      </c>
      <c r="AA85" s="17">
        <f>IF($A85,$J85*(IF(Q85=regle!$B$11,regle!$B$23*IF(AJ85=-2,1+regle!$B$35,1),
IF(Q85=regle!$C$11,regle!$C$23,
IF(Q85=regle!$D$11,regle!$D$23,
IF(Q85=regle!$E$11,regle!$E$23,
IF(Q85=regle!$F$11,regle!$F$23,
IF(Q85=regle!$G$11,regle!$G$23,
IF(Q85=regle!$H$11,regle!$H$23,
IF(Q85=regle!$I$11,regle!$I$23,
IF(Q85=regle!$J$11,regle!$J$23,
IF(Q85=regle!$K$11,regle!$K$23,0))))))))))))</f>
        <v>-79.05</v>
      </c>
      <c r="AB85" s="17">
        <f>IF($A85,$J85*(IF(R85=regle!$B$11,regle!$B$23*IF(AK85=-2,1+regle!$B$35,1),
IF(R85=regle!$C$11,regle!$C$23,
IF(R85=regle!$D$11,regle!$D$23,
IF(R85=regle!$E$11,regle!$E$23,
IF(R85=regle!$F$11,regle!$F$23,
IF(R85=regle!$G$11,regle!$G$23,
IF(R85=regle!$H$11,regle!$H$23,
IF(R85=regle!$I$11,regle!$I$23,
IF(R85=regle!$J$11,regle!$J$23,
IF(R85=regle!$K$11,regle!$K$23,0))))))))))))</f>
        <v>0</v>
      </c>
      <c r="AC85" s="17">
        <f>IF($A85,$J85*(IF(S85=regle!$B$11,regle!$B$23*IF(AL85=-2,1+regle!$B$35,1),
IF(S85=regle!$C$11,regle!$C$23,
IF(S85=regle!$D$11,regle!$D$23,
IF(S85=regle!$E$11,regle!$E$23,
IF(S85=regle!$F$11,regle!$F$23,
IF(S85=regle!$G$11,regle!$G$23,
IF(S85=regle!$H$11,regle!$H$23,
IF(S85=regle!$I$11,regle!$I$23,
IF(S85=regle!$J$11,regle!$J$23,
IF(S85=regle!$K$11,regle!$K$23,0))))))))))))</f>
        <v>-3.4874999999999998</v>
      </c>
      <c r="AD85" s="17">
        <f>IF($A85,$J85*(IF(T85=regle!$B$11,regle!$B$23*IF(AM85=-2,1+regle!$B$35,1),
IF(T85=regle!$C$11,regle!$C$23,
IF(T85=regle!$D$11,regle!$D$23,
IF(T85=regle!$E$11,regle!$E$23,
IF(T85=regle!$F$11,regle!$F$23,
IF(T85=regle!$G$11,regle!$G$23,
IF(T85=regle!$H$11,regle!$H$23,
IF(T85=regle!$I$11,regle!$I$23,
IF(T85=regle!$J$11,regle!$J$23,
IF(T85=regle!$K$11,regle!$K$23,0))))))))))))</f>
        <v>0</v>
      </c>
      <c r="AE85" s="17">
        <f>IF($A85,$J85*(IF(U85=regle!$B$11,regle!$B$23*IF(AN85=-2,1+regle!$B$35,1),
IF(U85=regle!$C$11,regle!$C$23,
IF(U85=regle!$D$11,regle!$D$23,
IF(U85=regle!$E$11,regle!$E$23,
IF(U85=regle!$F$11,regle!$F$23,
IF(U85=regle!$G$11,regle!$G$23,
IF(U85=regle!$H$11,regle!$H$23,
IF(U85=regle!$I$11,regle!$I$23,
IF(U85=regle!$J$11,regle!$J$23,
IF(U85=regle!$K$11,regle!$K$23,0))))))))))))</f>
        <v>-4.1849999999999996</v>
      </c>
      <c r="AF85" s="17">
        <f>IF($A85,$J85*(IF(V85=regle!$B$11,regle!$B$23*IF(AO85=-2,1+regle!$B$35,1),
IF(V85=regle!$C$11,regle!$C$23,
IF(V85=regle!$D$11,regle!$D$23,
IF(V85=regle!$E$11,regle!$E$23,
IF(V85=regle!$F$11,regle!$F$23,
IF(V85=regle!$G$11,regle!$G$23,
IF(V85=regle!$H$11,regle!$H$23,
IF(V85=regle!$I$11,regle!$I$23,
IF(V85=regle!$J$11,regle!$J$23,
IF(V85=regle!$K$11,regle!$K$23,0))))))))))))</f>
        <v>0</v>
      </c>
      <c r="AG85" s="17">
        <f>IF($A85,$J85*(IF(W85=regle!$B$11,regle!$B$23*IF(AP85=-2,1+regle!$B$35,1),
IF(W85=regle!$C$11,regle!$C$23,
IF(W85=regle!$D$11,regle!$D$23,
IF(W85=regle!$E$11,regle!$E$23,
IF(W85=regle!$F$11,regle!$F$23,
IF(W85=regle!$G$11,regle!$G$23,
IF(W85=regle!$H$11,regle!$H$23,
IF(W85=regle!$I$11,regle!$I$23,
IF(W85=regle!$J$11,regle!$J$23,
IF(W85=regle!$K$11,regle!$K$23,0))))))))))))</f>
        <v>0</v>
      </c>
      <c r="AH85" s="17">
        <f>IF($A85,$J85*(IF(X85=regle!$B$11,regle!$B$23*IF(AQ85=-2,1+regle!$B$35,1),
IF(X85=regle!$C$11,regle!$C$23,
IF(X85=regle!$D$11,regle!$D$23,
IF(X85=regle!$E$11,regle!$E$23,
IF(X85=regle!$F$11,regle!$F$23,
IF(X85=regle!$G$11,regle!$G$23,
IF(X85=regle!$H$11,regle!$H$23,
IF(X85=regle!$I$11,regle!$I$23,
IF(X85=regle!$J$11,regle!$J$23,
IF(X85=regle!$K$11,regle!$K$23,0))))))))))))</f>
        <v>-4.1849999999999996</v>
      </c>
      <c r="AI85" s="17">
        <f>IF($A85,$J85*(IF(Y85=regle!$B$11,regle!$B$23*IF(AR85=-2,1+regle!$B$35,1),
IF(Y85=regle!$C$11,regle!$C$23,
IF(Y85=regle!$D$11,regle!$D$23,
IF(Y85=regle!$E$11,regle!$E$23,
IF(Y85=regle!$F$11,regle!$F$23,
IF(Y85=regle!$G$11,regle!$G$23,
IF(Y85=regle!$H$11,regle!$H$23,
IF(Y85=regle!$I$11,regle!$I$23,
IF(Y85=regle!$J$11,regle!$J$23,
IF(Y85=regle!$K$11,regle!$K$23,0))))))))))))</f>
        <v>0</v>
      </c>
      <c r="AJ85" s="17">
        <f>IF($A85,$J85*(IF(Z85=regle!$B$11,regle!$B$23*IF(AS85=-2,1+regle!$B$35,1),
IF(Z85=regle!$C$11,regle!$C$23,
IF(Z85=regle!$D$11,regle!$D$23,
IF(Z85=regle!$E$11,regle!$E$23,
IF(Z85=regle!$F$11,regle!$F$23,
IF(Z85=regle!$G$11,regle!$G$23,
IF(Z85=regle!$H$11,regle!$H$23,
IF(Z85=regle!$I$11,regle!$I$23,
IF(Z85=regle!$J$11,regle!$J$23,
IF(Z85=regle!$K$11,regle!$K$23,0))))))))))))</f>
        <v>0</v>
      </c>
      <c r="AK85" s="16">
        <f>IF(OR(Q85=regle!$J$11,Q85=regle!$K$11),-2,IF(Q85=regle!$B$11,0,IF(AK$1=$AK$1,IF($O85,-1,regle!$B$2-$M85),IF(AJ85=-1,-1,AJ85+1))))</f>
        <v>0</v>
      </c>
      <c r="AL85" s="16">
        <f>IF(OR(R85=regle!$J$11,R85=regle!$K$11),-2,IF(R85=regle!$B$11,0,IF(AL$1=$AK$1,IF($O85,-1,regle!$B$2-$M85),IF(AK85=-1,-1,AK85+1))))</f>
        <v>1</v>
      </c>
      <c r="AM85" s="16">
        <f>IF(OR(S85=regle!$J$11,S85=regle!$K$11),-2,IF(S85=regle!$B$11,0,IF(AM$1=$AK$1,IF($O85,-1,regle!$B$2-$M85),IF(AL85=-1,-1,AL85+1))))</f>
        <v>2</v>
      </c>
      <c r="AN85" s="16">
        <f>IF(OR(T85=regle!$J$11,T85=regle!$K$11),-2,IF(T85=regle!$B$11,0,IF(AN$1=$AK$1,IF($O85,-1,regle!$B$2-$M85),IF(AM85=-1,-1,AM85+1))))</f>
        <v>3</v>
      </c>
      <c r="AO85" s="16">
        <f>IF(OR(U85=regle!$J$11,U85=regle!$K$11),-2,IF(U85=regle!$B$11,0,IF(AO$1=$AK$1,IF($O85,-1,regle!$B$2-$M85),IF(AN85=-1,-1,AN85+1))))</f>
        <v>4</v>
      </c>
      <c r="AP85" s="16">
        <f>IF(OR(V85=regle!$J$11,V85=regle!$K$11),-2,IF(V85=regle!$B$11,0,IF(AP$1=$AK$1,IF($O85,-1,regle!$B$2-$M85),IF(AO85=-1,-1,AO85+1))))</f>
        <v>5</v>
      </c>
      <c r="AQ85" s="16">
        <f>IF(OR(W85=regle!$J$11,W85=regle!$K$11),-2,IF(W85=regle!$B$11,0,IF(AQ$1=$AK$1,IF($O85,-1,regle!$B$2-$M85),IF(AP85=-1,-1,AP85+1))))</f>
        <v>6</v>
      </c>
      <c r="AR85" s="16">
        <f>IF(OR(X85=regle!$J$11,X85=regle!$K$11),-2,IF(X85=regle!$B$11,0,IF(AR$1=$AK$1,IF($O85,-1,regle!$B$2-$M85),IF(AQ85=-1,-1,AQ85+1))))</f>
        <v>7</v>
      </c>
      <c r="AS85" s="16">
        <f>IF(OR(Y85=regle!$J$11,Y85=regle!$K$11),-2,IF(Y85=regle!$B$11,0,IF(AS$1=$AK$1,IF($O85,-1,regle!$B$2-$M85),IF(AR85=-1,-1,AR85+1))))</f>
        <v>8</v>
      </c>
      <c r="AT85" s="16">
        <f>IF(OR(Z85=regle!$J$11,Z85=regle!$K$11),-2,IF(Z85=regle!$B$11,0,IF(AT$1=$AK$1,IF($O85,-1,regle!$B$2-$M85),IF(AS85=-1,-1,AS85+1))))</f>
        <v>9</v>
      </c>
    </row>
    <row r="86" spans="1:46" x14ac:dyDescent="0.25">
      <c r="A86" t="b">
        <f>modif0!A303</f>
        <v>1</v>
      </c>
      <c r="B86">
        <f>ROW(modif0!B303)</f>
        <v>303</v>
      </c>
      <c r="C86" t="str">
        <f>modif0!D303</f>
        <v>171</v>
      </c>
      <c r="D86" t="str">
        <f>modif0!E303</f>
        <v>MANO</v>
      </c>
      <c r="E86">
        <f>modif0!F303</f>
        <v>10</v>
      </c>
      <c r="F86" t="str">
        <f>modif0!G303</f>
        <v>LA PEYRERE</v>
      </c>
      <c r="G86" t="str">
        <f>modif0!I303</f>
        <v>0C</v>
      </c>
      <c r="H86">
        <f>modif0!J303</f>
        <v>176</v>
      </c>
      <c r="I86" t="str">
        <f>modif0!K303</f>
        <v/>
      </c>
      <c r="J86" s="11">
        <f>modif0!M303</f>
        <v>1.61E-2</v>
      </c>
      <c r="K86" s="11" t="str">
        <f>modif0!P303</f>
        <v>CR</v>
      </c>
      <c r="L86" t="str">
        <f>modif0!N303</f>
        <v>PM</v>
      </c>
      <c r="M86">
        <f>modif0!Q303</f>
        <v>2022</v>
      </c>
      <c r="N86" t="str">
        <f>modif0!R303</f>
        <v>CR-PM_2022</v>
      </c>
      <c r="O86" t="b">
        <f>modif0!S303</f>
        <v>1</v>
      </c>
      <c r="P86">
        <v>40</v>
      </c>
      <c r="Q86" t="s">
        <v>1868</v>
      </c>
      <c r="S86" t="s">
        <v>1872</v>
      </c>
      <c r="U86" t="s">
        <v>1870</v>
      </c>
      <c r="X86" t="s">
        <v>1871</v>
      </c>
      <c r="AA86" s="17">
        <f>IF($A86,$J86*(IF(Q86=regle!$B$11,regle!$B$23*IF(AJ86=-2,1+regle!$B$35,1),
IF(Q86=regle!$C$11,regle!$C$23,
IF(Q86=regle!$D$11,regle!$D$23,
IF(Q86=regle!$E$11,regle!$E$23,
IF(Q86=regle!$F$11,regle!$F$23,
IF(Q86=regle!$G$11,regle!$G$23,
IF(Q86=regle!$H$11,regle!$H$23,
IF(Q86=regle!$I$11,regle!$I$23,
IF(Q86=regle!$J$11,regle!$J$23,
IF(Q86=regle!$K$11,regle!$K$23,0))))))))))))</f>
        <v>-27.37</v>
      </c>
      <c r="AB86" s="17">
        <f>IF($A86,$J86*(IF(R86=regle!$B$11,regle!$B$23*IF(AK86=-2,1+regle!$B$35,1),
IF(R86=regle!$C$11,regle!$C$23,
IF(R86=regle!$D$11,regle!$D$23,
IF(R86=regle!$E$11,regle!$E$23,
IF(R86=regle!$F$11,regle!$F$23,
IF(R86=regle!$G$11,regle!$G$23,
IF(R86=regle!$H$11,regle!$H$23,
IF(R86=regle!$I$11,regle!$I$23,
IF(R86=regle!$J$11,regle!$J$23,
IF(R86=regle!$K$11,regle!$K$23,0))))))))))))</f>
        <v>0</v>
      </c>
      <c r="AC86" s="17">
        <f>IF($A86,$J86*(IF(S86=regle!$B$11,regle!$B$23*IF(AL86=-2,1+regle!$B$35,1),
IF(S86=regle!$C$11,regle!$C$23,
IF(S86=regle!$D$11,regle!$D$23,
IF(S86=regle!$E$11,regle!$E$23,
IF(S86=regle!$F$11,regle!$F$23,
IF(S86=regle!$G$11,regle!$G$23,
IF(S86=regle!$H$11,regle!$H$23,
IF(S86=regle!$I$11,regle!$I$23,
IF(S86=regle!$J$11,regle!$J$23,
IF(S86=regle!$K$11,regle!$K$23,0))))))))))))</f>
        <v>-1.2075</v>
      </c>
      <c r="AD86" s="17">
        <f>IF($A86,$J86*(IF(T86=regle!$B$11,regle!$B$23*IF(AM86=-2,1+regle!$B$35,1),
IF(T86=regle!$C$11,regle!$C$23,
IF(T86=regle!$D$11,regle!$D$23,
IF(T86=regle!$E$11,regle!$E$23,
IF(T86=regle!$F$11,regle!$F$23,
IF(T86=regle!$G$11,regle!$G$23,
IF(T86=regle!$H$11,regle!$H$23,
IF(T86=regle!$I$11,regle!$I$23,
IF(T86=regle!$J$11,regle!$J$23,
IF(T86=regle!$K$11,regle!$K$23,0))))))))))))</f>
        <v>0</v>
      </c>
      <c r="AE86" s="17">
        <f>IF($A86,$J86*(IF(U86=regle!$B$11,regle!$B$23*IF(AN86=-2,1+regle!$B$35,1),
IF(U86=regle!$C$11,regle!$C$23,
IF(U86=regle!$D$11,regle!$D$23,
IF(U86=regle!$E$11,regle!$E$23,
IF(U86=regle!$F$11,regle!$F$23,
IF(U86=regle!$G$11,regle!$G$23,
IF(U86=regle!$H$11,regle!$H$23,
IF(U86=regle!$I$11,regle!$I$23,
IF(U86=regle!$J$11,regle!$J$23,
IF(U86=regle!$K$11,regle!$K$23,0))))))))))))</f>
        <v>-1.4490000000000001</v>
      </c>
      <c r="AF86" s="17">
        <f>IF($A86,$J86*(IF(V86=regle!$B$11,regle!$B$23*IF(AO86=-2,1+regle!$B$35,1),
IF(V86=regle!$C$11,regle!$C$23,
IF(V86=regle!$D$11,regle!$D$23,
IF(V86=regle!$E$11,regle!$E$23,
IF(V86=regle!$F$11,regle!$F$23,
IF(V86=regle!$G$11,regle!$G$23,
IF(V86=regle!$H$11,regle!$H$23,
IF(V86=regle!$I$11,regle!$I$23,
IF(V86=regle!$J$11,regle!$J$23,
IF(V86=regle!$K$11,regle!$K$23,0))))))))))))</f>
        <v>0</v>
      </c>
      <c r="AG86" s="17">
        <f>IF($A86,$J86*(IF(W86=regle!$B$11,regle!$B$23*IF(AP86=-2,1+regle!$B$35,1),
IF(W86=regle!$C$11,regle!$C$23,
IF(W86=regle!$D$11,regle!$D$23,
IF(W86=regle!$E$11,regle!$E$23,
IF(W86=regle!$F$11,regle!$F$23,
IF(W86=regle!$G$11,regle!$G$23,
IF(W86=regle!$H$11,regle!$H$23,
IF(W86=regle!$I$11,regle!$I$23,
IF(W86=regle!$J$11,regle!$J$23,
IF(W86=regle!$K$11,regle!$K$23,0))))))))))))</f>
        <v>0</v>
      </c>
      <c r="AH86" s="17">
        <f>IF($A86,$J86*(IF(X86=regle!$B$11,regle!$B$23*IF(AQ86=-2,1+regle!$B$35,1),
IF(X86=regle!$C$11,regle!$C$23,
IF(X86=regle!$D$11,regle!$D$23,
IF(X86=regle!$E$11,regle!$E$23,
IF(X86=regle!$F$11,regle!$F$23,
IF(X86=regle!$G$11,regle!$G$23,
IF(X86=regle!$H$11,regle!$H$23,
IF(X86=regle!$I$11,regle!$I$23,
IF(X86=regle!$J$11,regle!$J$23,
IF(X86=regle!$K$11,regle!$K$23,0))))))))))))</f>
        <v>-1.4490000000000001</v>
      </c>
      <c r="AI86" s="17">
        <f>IF($A86,$J86*(IF(Y86=regle!$B$11,regle!$B$23*IF(AR86=-2,1+regle!$B$35,1),
IF(Y86=regle!$C$11,regle!$C$23,
IF(Y86=regle!$D$11,regle!$D$23,
IF(Y86=regle!$E$11,regle!$E$23,
IF(Y86=regle!$F$11,regle!$F$23,
IF(Y86=regle!$G$11,regle!$G$23,
IF(Y86=regle!$H$11,regle!$H$23,
IF(Y86=regle!$I$11,regle!$I$23,
IF(Y86=regle!$J$11,regle!$J$23,
IF(Y86=regle!$K$11,regle!$K$23,0))))))))))))</f>
        <v>0</v>
      </c>
      <c r="AJ86" s="17">
        <f>IF($A86,$J86*(IF(Z86=regle!$B$11,regle!$B$23*IF(AS86=-2,1+regle!$B$35,1),
IF(Z86=regle!$C$11,regle!$C$23,
IF(Z86=regle!$D$11,regle!$D$23,
IF(Z86=regle!$E$11,regle!$E$23,
IF(Z86=regle!$F$11,regle!$F$23,
IF(Z86=regle!$G$11,regle!$G$23,
IF(Z86=regle!$H$11,regle!$H$23,
IF(Z86=regle!$I$11,regle!$I$23,
IF(Z86=regle!$J$11,regle!$J$23,
IF(Z86=regle!$K$11,regle!$K$23,0))))))))))))</f>
        <v>0</v>
      </c>
      <c r="AK86" s="16">
        <f>IF(OR(Q86=regle!$J$11,Q86=regle!$K$11),-2,IF(Q86=regle!$B$11,0,IF(AK$1=$AK$1,IF($O86,-1,regle!$B$2-$M86),IF(AJ86=-1,-1,AJ86+1))))</f>
        <v>0</v>
      </c>
      <c r="AL86" s="16">
        <f>IF(OR(R86=regle!$J$11,R86=regle!$K$11),-2,IF(R86=regle!$B$11,0,IF(AL$1=$AK$1,IF($O86,-1,regle!$B$2-$M86),IF(AK86=-1,-1,AK86+1))))</f>
        <v>1</v>
      </c>
      <c r="AM86" s="16">
        <f>IF(OR(S86=regle!$J$11,S86=regle!$K$11),-2,IF(S86=regle!$B$11,0,IF(AM$1=$AK$1,IF($O86,-1,regle!$B$2-$M86),IF(AL86=-1,-1,AL86+1))))</f>
        <v>2</v>
      </c>
      <c r="AN86" s="16">
        <f>IF(OR(T86=regle!$J$11,T86=regle!$K$11),-2,IF(T86=regle!$B$11,0,IF(AN$1=$AK$1,IF($O86,-1,regle!$B$2-$M86),IF(AM86=-1,-1,AM86+1))))</f>
        <v>3</v>
      </c>
      <c r="AO86" s="16">
        <f>IF(OR(U86=regle!$J$11,U86=regle!$K$11),-2,IF(U86=regle!$B$11,0,IF(AO$1=$AK$1,IF($O86,-1,regle!$B$2-$M86),IF(AN86=-1,-1,AN86+1))))</f>
        <v>4</v>
      </c>
      <c r="AP86" s="16">
        <f>IF(OR(V86=regle!$J$11,V86=regle!$K$11),-2,IF(V86=regle!$B$11,0,IF(AP$1=$AK$1,IF($O86,-1,regle!$B$2-$M86),IF(AO86=-1,-1,AO86+1))))</f>
        <v>5</v>
      </c>
      <c r="AQ86" s="16">
        <f>IF(OR(W86=regle!$J$11,W86=regle!$K$11),-2,IF(W86=regle!$B$11,0,IF(AQ$1=$AK$1,IF($O86,-1,regle!$B$2-$M86),IF(AP86=-1,-1,AP86+1))))</f>
        <v>6</v>
      </c>
      <c r="AR86" s="16">
        <f>IF(OR(X86=regle!$J$11,X86=regle!$K$11),-2,IF(X86=regle!$B$11,0,IF(AR$1=$AK$1,IF($O86,-1,regle!$B$2-$M86),IF(AQ86=-1,-1,AQ86+1))))</f>
        <v>7</v>
      </c>
      <c r="AS86" s="16">
        <f>IF(OR(Y86=regle!$J$11,Y86=regle!$K$11),-2,IF(Y86=regle!$B$11,0,IF(AS$1=$AK$1,IF($O86,-1,regle!$B$2-$M86),IF(AR86=-1,-1,AR86+1))))</f>
        <v>8</v>
      </c>
      <c r="AT86" s="16">
        <f>IF(OR(Z86=regle!$J$11,Z86=regle!$K$11),-2,IF(Z86=regle!$B$11,0,IF(AT$1=$AK$1,IF($O86,-1,regle!$B$2-$M86),IF(AS86=-1,-1,AS86+1))))</f>
        <v>9</v>
      </c>
    </row>
    <row r="87" spans="1:46" x14ac:dyDescent="0.25">
      <c r="A87" t="b">
        <f>modif0!A249</f>
        <v>1</v>
      </c>
      <c r="B87">
        <f>ROW(modif0!B249)</f>
        <v>249</v>
      </c>
      <c r="C87" t="str">
        <f>modif0!D249</f>
        <v>171</v>
      </c>
      <c r="D87" t="str">
        <f>modif0!E249</f>
        <v>MANO</v>
      </c>
      <c r="E87">
        <f>modif0!F249</f>
        <v>17</v>
      </c>
      <c r="F87" t="str">
        <f>modif0!G249</f>
        <v>LANDE DE TABARTON</v>
      </c>
      <c r="G87" t="str">
        <f>modif0!I249</f>
        <v>0B</v>
      </c>
      <c r="H87">
        <f>modif0!J249</f>
        <v>250</v>
      </c>
      <c r="I87" t="str">
        <f>modif0!K249</f>
        <v/>
      </c>
      <c r="J87" s="11">
        <f>modif0!M249</f>
        <v>1.4999999999999999E-2</v>
      </c>
      <c r="K87" s="11" t="str">
        <f>modif0!P249</f>
        <v>CR</v>
      </c>
      <c r="L87" t="str">
        <f>modif0!N249</f>
        <v>PM</v>
      </c>
      <c r="M87">
        <f>modif0!Q249</f>
        <v>2022</v>
      </c>
      <c r="N87" t="str">
        <f>modif0!R249</f>
        <v>CR-PM_2022</v>
      </c>
      <c r="O87" t="b">
        <f>modif0!S249</f>
        <v>1</v>
      </c>
      <c r="P87">
        <v>40</v>
      </c>
      <c r="Q87" t="s">
        <v>1868</v>
      </c>
      <c r="S87" t="s">
        <v>1872</v>
      </c>
      <c r="U87" t="s">
        <v>1870</v>
      </c>
      <c r="X87" t="s">
        <v>1871</v>
      </c>
      <c r="AA87" s="17">
        <f>IF($A87,$J87*(IF(Q87=regle!$B$11,regle!$B$23*IF(AJ87=-2,1+regle!$B$35,1),
IF(Q87=regle!$C$11,regle!$C$23,
IF(Q87=regle!$D$11,regle!$D$23,
IF(Q87=regle!$E$11,regle!$E$23,
IF(Q87=regle!$F$11,regle!$F$23,
IF(Q87=regle!$G$11,regle!$G$23,
IF(Q87=regle!$H$11,regle!$H$23,
IF(Q87=regle!$I$11,regle!$I$23,
IF(Q87=regle!$J$11,regle!$J$23,
IF(Q87=regle!$K$11,regle!$K$23,0))))))))))))</f>
        <v>-25.5</v>
      </c>
      <c r="AB87" s="17">
        <f>IF($A87,$J87*(IF(R87=regle!$B$11,regle!$B$23*IF(AK87=-2,1+regle!$B$35,1),
IF(R87=regle!$C$11,regle!$C$23,
IF(R87=regle!$D$11,regle!$D$23,
IF(R87=regle!$E$11,regle!$E$23,
IF(R87=regle!$F$11,regle!$F$23,
IF(R87=regle!$G$11,regle!$G$23,
IF(R87=regle!$H$11,regle!$H$23,
IF(R87=regle!$I$11,regle!$I$23,
IF(R87=regle!$J$11,regle!$J$23,
IF(R87=regle!$K$11,regle!$K$23,0))))))))))))</f>
        <v>0</v>
      </c>
      <c r="AC87" s="17">
        <f>IF($A87,$J87*(IF(S87=regle!$B$11,regle!$B$23*IF(AL87=-2,1+regle!$B$35,1),
IF(S87=regle!$C$11,regle!$C$23,
IF(S87=regle!$D$11,regle!$D$23,
IF(S87=regle!$E$11,regle!$E$23,
IF(S87=regle!$F$11,regle!$F$23,
IF(S87=regle!$G$11,regle!$G$23,
IF(S87=regle!$H$11,regle!$H$23,
IF(S87=regle!$I$11,regle!$I$23,
IF(S87=regle!$J$11,regle!$J$23,
IF(S87=regle!$K$11,regle!$K$23,0))))))))))))</f>
        <v>-1.125</v>
      </c>
      <c r="AD87" s="17">
        <f>IF($A87,$J87*(IF(T87=regle!$B$11,regle!$B$23*IF(AM87=-2,1+regle!$B$35,1),
IF(T87=regle!$C$11,regle!$C$23,
IF(T87=regle!$D$11,regle!$D$23,
IF(T87=regle!$E$11,regle!$E$23,
IF(T87=regle!$F$11,regle!$F$23,
IF(T87=regle!$G$11,regle!$G$23,
IF(T87=regle!$H$11,regle!$H$23,
IF(T87=regle!$I$11,regle!$I$23,
IF(T87=regle!$J$11,regle!$J$23,
IF(T87=regle!$K$11,regle!$K$23,0))))))))))))</f>
        <v>0</v>
      </c>
      <c r="AE87" s="17">
        <f>IF($A87,$J87*(IF(U87=regle!$B$11,regle!$B$23*IF(AN87=-2,1+regle!$B$35,1),
IF(U87=regle!$C$11,regle!$C$23,
IF(U87=regle!$D$11,regle!$D$23,
IF(U87=regle!$E$11,regle!$E$23,
IF(U87=regle!$F$11,regle!$F$23,
IF(U87=regle!$G$11,regle!$G$23,
IF(U87=regle!$H$11,regle!$H$23,
IF(U87=regle!$I$11,regle!$I$23,
IF(U87=regle!$J$11,regle!$J$23,
IF(U87=regle!$K$11,regle!$K$23,0))))))))))))</f>
        <v>-1.3499999999999999</v>
      </c>
      <c r="AF87" s="17">
        <f>IF($A87,$J87*(IF(V87=regle!$B$11,regle!$B$23*IF(AO87=-2,1+regle!$B$35,1),
IF(V87=regle!$C$11,regle!$C$23,
IF(V87=regle!$D$11,regle!$D$23,
IF(V87=regle!$E$11,regle!$E$23,
IF(V87=regle!$F$11,regle!$F$23,
IF(V87=regle!$G$11,regle!$G$23,
IF(V87=regle!$H$11,regle!$H$23,
IF(V87=regle!$I$11,regle!$I$23,
IF(V87=regle!$J$11,regle!$J$23,
IF(V87=regle!$K$11,regle!$K$23,0))))))))))))</f>
        <v>0</v>
      </c>
      <c r="AG87" s="17">
        <f>IF($A87,$J87*(IF(W87=regle!$B$11,regle!$B$23*IF(AP87=-2,1+regle!$B$35,1),
IF(W87=regle!$C$11,regle!$C$23,
IF(W87=regle!$D$11,regle!$D$23,
IF(W87=regle!$E$11,regle!$E$23,
IF(W87=regle!$F$11,regle!$F$23,
IF(W87=regle!$G$11,regle!$G$23,
IF(W87=regle!$H$11,regle!$H$23,
IF(W87=regle!$I$11,regle!$I$23,
IF(W87=regle!$J$11,regle!$J$23,
IF(W87=regle!$K$11,regle!$K$23,0))))))))))))</f>
        <v>0</v>
      </c>
      <c r="AH87" s="17">
        <f>IF($A87,$J87*(IF(X87=regle!$B$11,regle!$B$23*IF(AQ87=-2,1+regle!$B$35,1),
IF(X87=regle!$C$11,regle!$C$23,
IF(X87=regle!$D$11,regle!$D$23,
IF(X87=regle!$E$11,regle!$E$23,
IF(X87=regle!$F$11,regle!$F$23,
IF(X87=regle!$G$11,regle!$G$23,
IF(X87=regle!$H$11,regle!$H$23,
IF(X87=regle!$I$11,regle!$I$23,
IF(X87=regle!$J$11,regle!$J$23,
IF(X87=regle!$K$11,regle!$K$23,0))))))))))))</f>
        <v>-1.3499999999999999</v>
      </c>
      <c r="AI87" s="17">
        <f>IF($A87,$J87*(IF(Y87=regle!$B$11,regle!$B$23*IF(AR87=-2,1+regle!$B$35,1),
IF(Y87=regle!$C$11,regle!$C$23,
IF(Y87=regle!$D$11,regle!$D$23,
IF(Y87=regle!$E$11,regle!$E$23,
IF(Y87=regle!$F$11,regle!$F$23,
IF(Y87=regle!$G$11,regle!$G$23,
IF(Y87=regle!$H$11,regle!$H$23,
IF(Y87=regle!$I$11,regle!$I$23,
IF(Y87=regle!$J$11,regle!$J$23,
IF(Y87=regle!$K$11,regle!$K$23,0))))))))))))</f>
        <v>0</v>
      </c>
      <c r="AJ87" s="17">
        <f>IF($A87,$J87*(IF(Z87=regle!$B$11,regle!$B$23*IF(AS87=-2,1+regle!$B$35,1),
IF(Z87=regle!$C$11,regle!$C$23,
IF(Z87=regle!$D$11,regle!$D$23,
IF(Z87=regle!$E$11,regle!$E$23,
IF(Z87=regle!$F$11,regle!$F$23,
IF(Z87=regle!$G$11,regle!$G$23,
IF(Z87=regle!$H$11,regle!$H$23,
IF(Z87=regle!$I$11,regle!$I$23,
IF(Z87=regle!$J$11,regle!$J$23,
IF(Z87=regle!$K$11,regle!$K$23,0))))))))))))</f>
        <v>0</v>
      </c>
      <c r="AK87" s="16">
        <f>IF(OR(Q87=regle!$J$11,Q87=regle!$K$11),-2,IF(Q87=regle!$B$11,0,IF(AK$1=$AK$1,IF($O87,-1,regle!$B$2-$M87),IF(AJ87=-1,-1,AJ87+1))))</f>
        <v>0</v>
      </c>
      <c r="AL87" s="16">
        <f>IF(OR(R87=regle!$J$11,R87=regle!$K$11),-2,IF(R87=regle!$B$11,0,IF(AL$1=$AK$1,IF($O87,-1,regle!$B$2-$M87),IF(AK87=-1,-1,AK87+1))))</f>
        <v>1</v>
      </c>
      <c r="AM87" s="16">
        <f>IF(OR(S87=regle!$J$11,S87=regle!$K$11),-2,IF(S87=regle!$B$11,0,IF(AM$1=$AK$1,IF($O87,-1,regle!$B$2-$M87),IF(AL87=-1,-1,AL87+1))))</f>
        <v>2</v>
      </c>
      <c r="AN87" s="16">
        <f>IF(OR(T87=regle!$J$11,T87=regle!$K$11),-2,IF(T87=regle!$B$11,0,IF(AN$1=$AK$1,IF($O87,-1,regle!$B$2-$M87),IF(AM87=-1,-1,AM87+1))))</f>
        <v>3</v>
      </c>
      <c r="AO87" s="16">
        <f>IF(OR(U87=regle!$J$11,U87=regle!$K$11),-2,IF(U87=regle!$B$11,0,IF(AO$1=$AK$1,IF($O87,-1,regle!$B$2-$M87),IF(AN87=-1,-1,AN87+1))))</f>
        <v>4</v>
      </c>
      <c r="AP87" s="16">
        <f>IF(OR(V87=regle!$J$11,V87=regle!$K$11),-2,IF(V87=regle!$B$11,0,IF(AP$1=$AK$1,IF($O87,-1,regle!$B$2-$M87),IF(AO87=-1,-1,AO87+1))))</f>
        <v>5</v>
      </c>
      <c r="AQ87" s="16">
        <f>IF(OR(W87=regle!$J$11,W87=regle!$K$11),-2,IF(W87=regle!$B$11,0,IF(AQ$1=$AK$1,IF($O87,-1,regle!$B$2-$M87),IF(AP87=-1,-1,AP87+1))))</f>
        <v>6</v>
      </c>
      <c r="AR87" s="16">
        <f>IF(OR(X87=regle!$J$11,X87=regle!$K$11),-2,IF(X87=regle!$B$11,0,IF(AR$1=$AK$1,IF($O87,-1,regle!$B$2-$M87),IF(AQ87=-1,-1,AQ87+1))))</f>
        <v>7</v>
      </c>
      <c r="AS87" s="16">
        <f>IF(OR(Y87=regle!$J$11,Y87=regle!$K$11),-2,IF(Y87=regle!$B$11,0,IF(AS$1=$AK$1,IF($O87,-1,regle!$B$2-$M87),IF(AR87=-1,-1,AR87+1))))</f>
        <v>8</v>
      </c>
      <c r="AT87" s="16">
        <f>IF(OR(Z87=regle!$J$11,Z87=regle!$K$11),-2,IF(Z87=regle!$B$11,0,IF(AT$1=$AK$1,IF($O87,-1,regle!$B$2-$M87),IF(AS87=-1,-1,AS87+1))))</f>
        <v>9</v>
      </c>
    </row>
    <row r="88" spans="1:46" x14ac:dyDescent="0.25">
      <c r="A88" t="b">
        <f>modif0!A360</f>
        <v>1</v>
      </c>
      <c r="B88">
        <f>ROW(modif0!B360)</f>
        <v>360</v>
      </c>
      <c r="C88" t="str">
        <f>modif0!D360</f>
        <v>200</v>
      </c>
      <c r="D88" t="str">
        <f>modif0!E360</f>
        <v>MOUSTEY</v>
      </c>
      <c r="E88">
        <f>modif0!F360</f>
        <v>4</v>
      </c>
      <c r="F88" t="str">
        <f>modif0!G360</f>
        <v>Kycs</v>
      </c>
      <c r="G88" t="str">
        <f>modif0!I360</f>
        <v>0M</v>
      </c>
      <c r="H88">
        <f>modif0!J360</f>
        <v>80</v>
      </c>
      <c r="I88" t="str">
        <f>modif0!K360</f>
        <v>k</v>
      </c>
      <c r="J88" s="11">
        <f>modif0!M360</f>
        <v>3.8868</v>
      </c>
      <c r="K88" s="11" t="str">
        <f>modif0!P360</f>
        <v>CR</v>
      </c>
      <c r="L88" t="str">
        <f>modif0!N360</f>
        <v>PM</v>
      </c>
      <c r="M88">
        <f>modif0!Q360</f>
        <v>2021</v>
      </c>
      <c r="N88" t="str">
        <f>modif0!R360</f>
        <v>CR-PM_2021</v>
      </c>
      <c r="O88" t="b">
        <f>modif0!S360</f>
        <v>1</v>
      </c>
      <c r="P88">
        <v>40</v>
      </c>
      <c r="Q88" t="s">
        <v>1868</v>
      </c>
      <c r="S88" t="s">
        <v>1872</v>
      </c>
      <c r="U88" t="s">
        <v>1870</v>
      </c>
      <c r="X88" t="s">
        <v>1871</v>
      </c>
      <c r="AA88" s="17">
        <f>IF($A88,$J88*(IF(Q88=regle!$B$11,regle!$B$23*IF(AJ88=-2,1+regle!$B$35,1),
IF(Q88=regle!$C$11,regle!$C$23,
IF(Q88=regle!$D$11,regle!$D$23,
IF(Q88=regle!$E$11,regle!$E$23,
IF(Q88=regle!$F$11,regle!$F$23,
IF(Q88=regle!$G$11,regle!$G$23,
IF(Q88=regle!$H$11,regle!$H$23,
IF(Q88=regle!$I$11,regle!$I$23,
IF(Q88=regle!$J$11,regle!$J$23,
IF(Q88=regle!$K$11,regle!$K$23,0))))))))))))</f>
        <v>-6607.56</v>
      </c>
      <c r="AB88" s="17">
        <f>IF($A88,$J88*(IF(R88=regle!$B$11,regle!$B$23*IF(AK88=-2,1+regle!$B$35,1),
IF(R88=regle!$C$11,regle!$C$23,
IF(R88=regle!$D$11,regle!$D$23,
IF(R88=regle!$E$11,regle!$E$23,
IF(R88=regle!$F$11,regle!$F$23,
IF(R88=regle!$G$11,regle!$G$23,
IF(R88=regle!$H$11,regle!$H$23,
IF(R88=regle!$I$11,regle!$I$23,
IF(R88=regle!$J$11,regle!$J$23,
IF(R88=regle!$K$11,regle!$K$23,0))))))))))))</f>
        <v>0</v>
      </c>
      <c r="AC88" s="17">
        <f>IF($A88,$J88*(IF(S88=regle!$B$11,regle!$B$23*IF(AL88=-2,1+regle!$B$35,1),
IF(S88=regle!$C$11,regle!$C$23,
IF(S88=regle!$D$11,regle!$D$23,
IF(S88=regle!$E$11,regle!$E$23,
IF(S88=regle!$F$11,regle!$F$23,
IF(S88=regle!$G$11,regle!$G$23,
IF(S88=regle!$H$11,regle!$H$23,
IF(S88=regle!$I$11,regle!$I$23,
IF(S88=regle!$J$11,regle!$J$23,
IF(S88=regle!$K$11,regle!$K$23,0))))))))))))</f>
        <v>-291.51</v>
      </c>
      <c r="AD88" s="17">
        <f>IF($A88,$J88*(IF(T88=regle!$B$11,regle!$B$23*IF(AM88=-2,1+regle!$B$35,1),
IF(T88=regle!$C$11,regle!$C$23,
IF(T88=regle!$D$11,regle!$D$23,
IF(T88=regle!$E$11,regle!$E$23,
IF(T88=regle!$F$11,regle!$F$23,
IF(T88=regle!$G$11,regle!$G$23,
IF(T88=regle!$H$11,regle!$H$23,
IF(T88=regle!$I$11,regle!$I$23,
IF(T88=regle!$J$11,regle!$J$23,
IF(T88=regle!$K$11,regle!$K$23,0))))))))))))</f>
        <v>0</v>
      </c>
      <c r="AE88" s="17">
        <f>IF($A88,$J88*(IF(U88=regle!$B$11,regle!$B$23*IF(AN88=-2,1+regle!$B$35,1),
IF(U88=regle!$C$11,regle!$C$23,
IF(U88=regle!$D$11,regle!$D$23,
IF(U88=regle!$E$11,regle!$E$23,
IF(U88=regle!$F$11,regle!$F$23,
IF(U88=regle!$G$11,regle!$G$23,
IF(U88=regle!$H$11,regle!$H$23,
IF(U88=regle!$I$11,regle!$I$23,
IF(U88=regle!$J$11,regle!$J$23,
IF(U88=regle!$K$11,regle!$K$23,0))))))))))))</f>
        <v>-349.81200000000001</v>
      </c>
      <c r="AF88" s="17">
        <f>IF($A88,$J88*(IF(V88=regle!$B$11,regle!$B$23*IF(AO88=-2,1+regle!$B$35,1),
IF(V88=regle!$C$11,regle!$C$23,
IF(V88=regle!$D$11,regle!$D$23,
IF(V88=regle!$E$11,regle!$E$23,
IF(V88=regle!$F$11,regle!$F$23,
IF(V88=regle!$G$11,regle!$G$23,
IF(V88=regle!$H$11,regle!$H$23,
IF(V88=regle!$I$11,regle!$I$23,
IF(V88=regle!$J$11,regle!$J$23,
IF(V88=regle!$K$11,regle!$K$23,0))))))))))))</f>
        <v>0</v>
      </c>
      <c r="AG88" s="17">
        <f>IF($A88,$J88*(IF(W88=regle!$B$11,regle!$B$23*IF(AP88=-2,1+regle!$B$35,1),
IF(W88=regle!$C$11,regle!$C$23,
IF(W88=regle!$D$11,regle!$D$23,
IF(W88=regle!$E$11,regle!$E$23,
IF(W88=regle!$F$11,regle!$F$23,
IF(W88=regle!$G$11,regle!$G$23,
IF(W88=regle!$H$11,regle!$H$23,
IF(W88=regle!$I$11,regle!$I$23,
IF(W88=regle!$J$11,regle!$J$23,
IF(W88=regle!$K$11,regle!$K$23,0))))))))))))</f>
        <v>0</v>
      </c>
      <c r="AH88" s="17">
        <f>IF($A88,$J88*(IF(X88=regle!$B$11,regle!$B$23*IF(AQ88=-2,1+regle!$B$35,1),
IF(X88=regle!$C$11,regle!$C$23,
IF(X88=regle!$D$11,regle!$D$23,
IF(X88=regle!$E$11,regle!$E$23,
IF(X88=regle!$F$11,regle!$F$23,
IF(X88=regle!$G$11,regle!$G$23,
IF(X88=regle!$H$11,regle!$H$23,
IF(X88=regle!$I$11,regle!$I$23,
IF(X88=regle!$J$11,regle!$J$23,
IF(X88=regle!$K$11,regle!$K$23,0))))))))))))</f>
        <v>-349.81200000000001</v>
      </c>
      <c r="AI88" s="17">
        <f>IF($A88,$J88*(IF(Y88=regle!$B$11,regle!$B$23*IF(AR88=-2,1+regle!$B$35,1),
IF(Y88=regle!$C$11,regle!$C$23,
IF(Y88=regle!$D$11,regle!$D$23,
IF(Y88=regle!$E$11,regle!$E$23,
IF(Y88=regle!$F$11,regle!$F$23,
IF(Y88=regle!$G$11,regle!$G$23,
IF(Y88=regle!$H$11,regle!$H$23,
IF(Y88=regle!$I$11,regle!$I$23,
IF(Y88=regle!$J$11,regle!$J$23,
IF(Y88=regle!$K$11,regle!$K$23,0))))))))))))</f>
        <v>0</v>
      </c>
      <c r="AJ88" s="17">
        <f>IF($A88,$J88*(IF(Z88=regle!$B$11,regle!$B$23*IF(AS88=-2,1+regle!$B$35,1),
IF(Z88=regle!$C$11,regle!$C$23,
IF(Z88=regle!$D$11,regle!$D$23,
IF(Z88=regle!$E$11,regle!$E$23,
IF(Z88=regle!$F$11,regle!$F$23,
IF(Z88=regle!$G$11,regle!$G$23,
IF(Z88=regle!$H$11,regle!$H$23,
IF(Z88=regle!$I$11,regle!$I$23,
IF(Z88=regle!$J$11,regle!$J$23,
IF(Z88=regle!$K$11,regle!$K$23,0))))))))))))</f>
        <v>0</v>
      </c>
      <c r="AK88" s="16">
        <f>IF(OR(Q88=regle!$J$11,Q88=regle!$K$11),-2,IF(Q88=regle!$B$11,0,IF(AK$1=$AK$1,IF($O88,-1,regle!$B$2-$M88),IF(AJ88=-1,-1,AJ88+1))))</f>
        <v>0</v>
      </c>
      <c r="AL88" s="16">
        <f>IF(OR(R88=regle!$J$11,R88=regle!$K$11),-2,IF(R88=regle!$B$11,0,IF(AL$1=$AK$1,IF($O88,-1,regle!$B$2-$M88),IF(AK88=-1,-1,AK88+1))))</f>
        <v>1</v>
      </c>
      <c r="AM88" s="16">
        <f>IF(OR(S88=regle!$J$11,S88=regle!$K$11),-2,IF(S88=regle!$B$11,0,IF(AM$1=$AK$1,IF($O88,-1,regle!$B$2-$M88),IF(AL88=-1,-1,AL88+1))))</f>
        <v>2</v>
      </c>
      <c r="AN88" s="16">
        <f>IF(OR(T88=regle!$J$11,T88=regle!$K$11),-2,IF(T88=regle!$B$11,0,IF(AN$1=$AK$1,IF($O88,-1,regle!$B$2-$M88),IF(AM88=-1,-1,AM88+1))))</f>
        <v>3</v>
      </c>
      <c r="AO88" s="16">
        <f>IF(OR(U88=regle!$J$11,U88=regle!$K$11),-2,IF(U88=regle!$B$11,0,IF(AO$1=$AK$1,IF($O88,-1,regle!$B$2-$M88),IF(AN88=-1,-1,AN88+1))))</f>
        <v>4</v>
      </c>
      <c r="AP88" s="16">
        <f>IF(OR(V88=regle!$J$11,V88=regle!$K$11),-2,IF(V88=regle!$B$11,0,IF(AP$1=$AK$1,IF($O88,-1,regle!$B$2-$M88),IF(AO88=-1,-1,AO88+1))))</f>
        <v>5</v>
      </c>
      <c r="AQ88" s="16">
        <f>IF(OR(W88=regle!$J$11,W88=regle!$K$11),-2,IF(W88=regle!$B$11,0,IF(AQ$1=$AK$1,IF($O88,-1,regle!$B$2-$M88),IF(AP88=-1,-1,AP88+1))))</f>
        <v>6</v>
      </c>
      <c r="AR88" s="16">
        <f>IF(OR(X88=regle!$J$11,X88=regle!$K$11),-2,IF(X88=regle!$B$11,0,IF(AR$1=$AK$1,IF($O88,-1,regle!$B$2-$M88),IF(AQ88=-1,-1,AQ88+1))))</f>
        <v>7</v>
      </c>
      <c r="AS88" s="16">
        <f>IF(OR(Y88=regle!$J$11,Y88=regle!$K$11),-2,IF(Y88=regle!$B$11,0,IF(AS$1=$AK$1,IF($O88,-1,regle!$B$2-$M88),IF(AR88=-1,-1,AR88+1))))</f>
        <v>8</v>
      </c>
      <c r="AT88" s="16">
        <f>IF(OR(Z88=regle!$J$11,Z88=regle!$K$11),-2,IF(Z88=regle!$B$11,0,IF(AT$1=$AK$1,IF($O88,-1,regle!$B$2-$M88),IF(AS88=-1,-1,AS88+1))))</f>
        <v>9</v>
      </c>
    </row>
    <row r="89" spans="1:46" x14ac:dyDescent="0.25">
      <c r="A89" t="b">
        <f>modif0!A362</f>
        <v>1</v>
      </c>
      <c r="B89">
        <f>ROW(modif0!B362)</f>
        <v>362</v>
      </c>
      <c r="C89" t="str">
        <f>modif0!D362</f>
        <v>200</v>
      </c>
      <c r="D89" t="str">
        <f>modif0!E362</f>
        <v>MOUSTEY</v>
      </c>
      <c r="E89">
        <f>modif0!F362</f>
        <v>4</v>
      </c>
      <c r="F89" t="str">
        <f>modif0!G362</f>
        <v>Kycs</v>
      </c>
      <c r="G89" t="str">
        <f>modif0!I362</f>
        <v>0M</v>
      </c>
      <c r="H89">
        <f>modif0!J362</f>
        <v>80</v>
      </c>
      <c r="I89" t="str">
        <f>modif0!K362</f>
        <v>m</v>
      </c>
      <c r="J89" s="11">
        <f>modif0!M362</f>
        <v>1.1144000000000001</v>
      </c>
      <c r="K89" s="11" t="str">
        <f>modif0!P362</f>
        <v>CR</v>
      </c>
      <c r="L89" t="str">
        <f>modif0!N362</f>
        <v>PM</v>
      </c>
      <c r="M89">
        <f>modif0!Q362</f>
        <v>2021</v>
      </c>
      <c r="N89" t="str">
        <f>modif0!R362</f>
        <v>CR-PM_2021</v>
      </c>
      <c r="O89" t="b">
        <f>modif0!S362</f>
        <v>1</v>
      </c>
      <c r="P89">
        <v>40</v>
      </c>
      <c r="Q89" t="s">
        <v>1868</v>
      </c>
      <c r="S89" t="s">
        <v>1872</v>
      </c>
      <c r="U89" t="s">
        <v>1870</v>
      </c>
      <c r="X89" t="s">
        <v>1871</v>
      </c>
      <c r="AA89" s="17">
        <f>IF($A89,$J89*(IF(Q89=regle!$B$11,regle!$B$23*IF(AJ89=-2,1+regle!$B$35,1),
IF(Q89=regle!$C$11,regle!$C$23,
IF(Q89=regle!$D$11,regle!$D$23,
IF(Q89=regle!$E$11,regle!$E$23,
IF(Q89=regle!$F$11,regle!$F$23,
IF(Q89=regle!$G$11,regle!$G$23,
IF(Q89=regle!$H$11,regle!$H$23,
IF(Q89=regle!$I$11,regle!$I$23,
IF(Q89=regle!$J$11,regle!$J$23,
IF(Q89=regle!$K$11,regle!$K$23,0))))))))))))</f>
        <v>-1894.48</v>
      </c>
      <c r="AB89" s="17">
        <f>IF($A89,$J89*(IF(R89=regle!$B$11,regle!$B$23*IF(AK89=-2,1+regle!$B$35,1),
IF(R89=regle!$C$11,regle!$C$23,
IF(R89=regle!$D$11,regle!$D$23,
IF(R89=regle!$E$11,regle!$E$23,
IF(R89=regle!$F$11,regle!$F$23,
IF(R89=regle!$G$11,regle!$G$23,
IF(R89=regle!$H$11,regle!$H$23,
IF(R89=regle!$I$11,regle!$I$23,
IF(R89=regle!$J$11,regle!$J$23,
IF(R89=regle!$K$11,regle!$K$23,0))))))))))))</f>
        <v>0</v>
      </c>
      <c r="AC89" s="17">
        <f>IF($A89,$J89*(IF(S89=regle!$B$11,regle!$B$23*IF(AL89=-2,1+regle!$B$35,1),
IF(S89=regle!$C$11,regle!$C$23,
IF(S89=regle!$D$11,regle!$D$23,
IF(S89=regle!$E$11,regle!$E$23,
IF(S89=regle!$F$11,regle!$F$23,
IF(S89=regle!$G$11,regle!$G$23,
IF(S89=regle!$H$11,regle!$H$23,
IF(S89=regle!$I$11,regle!$I$23,
IF(S89=regle!$J$11,regle!$J$23,
IF(S89=regle!$K$11,regle!$K$23,0))))))))))))</f>
        <v>-83.58</v>
      </c>
      <c r="AD89" s="17">
        <f>IF($A89,$J89*(IF(T89=regle!$B$11,regle!$B$23*IF(AM89=-2,1+regle!$B$35,1),
IF(T89=regle!$C$11,regle!$C$23,
IF(T89=regle!$D$11,regle!$D$23,
IF(T89=regle!$E$11,regle!$E$23,
IF(T89=regle!$F$11,regle!$F$23,
IF(T89=regle!$G$11,regle!$G$23,
IF(T89=regle!$H$11,regle!$H$23,
IF(T89=regle!$I$11,regle!$I$23,
IF(T89=regle!$J$11,regle!$J$23,
IF(T89=regle!$K$11,regle!$K$23,0))))))))))))</f>
        <v>0</v>
      </c>
      <c r="AE89" s="17">
        <f>IF($A89,$J89*(IF(U89=regle!$B$11,regle!$B$23*IF(AN89=-2,1+regle!$B$35,1),
IF(U89=regle!$C$11,regle!$C$23,
IF(U89=regle!$D$11,regle!$D$23,
IF(U89=regle!$E$11,regle!$E$23,
IF(U89=regle!$F$11,regle!$F$23,
IF(U89=regle!$G$11,regle!$G$23,
IF(U89=regle!$H$11,regle!$H$23,
IF(U89=regle!$I$11,regle!$I$23,
IF(U89=regle!$J$11,regle!$J$23,
IF(U89=regle!$K$11,regle!$K$23,0))))))))))))</f>
        <v>-100.29600000000001</v>
      </c>
      <c r="AF89" s="17">
        <f>IF($A89,$J89*(IF(V89=regle!$B$11,regle!$B$23*IF(AO89=-2,1+regle!$B$35,1),
IF(V89=regle!$C$11,regle!$C$23,
IF(V89=regle!$D$11,regle!$D$23,
IF(V89=regle!$E$11,regle!$E$23,
IF(V89=regle!$F$11,regle!$F$23,
IF(V89=regle!$G$11,regle!$G$23,
IF(V89=regle!$H$11,regle!$H$23,
IF(V89=regle!$I$11,regle!$I$23,
IF(V89=regle!$J$11,regle!$J$23,
IF(V89=regle!$K$11,regle!$K$23,0))))))))))))</f>
        <v>0</v>
      </c>
      <c r="AG89" s="17">
        <f>IF($A89,$J89*(IF(W89=regle!$B$11,regle!$B$23*IF(AP89=-2,1+regle!$B$35,1),
IF(W89=regle!$C$11,regle!$C$23,
IF(W89=regle!$D$11,regle!$D$23,
IF(W89=regle!$E$11,regle!$E$23,
IF(W89=regle!$F$11,regle!$F$23,
IF(W89=regle!$G$11,regle!$G$23,
IF(W89=regle!$H$11,regle!$H$23,
IF(W89=regle!$I$11,regle!$I$23,
IF(W89=regle!$J$11,regle!$J$23,
IF(W89=regle!$K$11,regle!$K$23,0))))))))))))</f>
        <v>0</v>
      </c>
      <c r="AH89" s="17">
        <f>IF($A89,$J89*(IF(X89=regle!$B$11,regle!$B$23*IF(AQ89=-2,1+regle!$B$35,1),
IF(X89=regle!$C$11,regle!$C$23,
IF(X89=regle!$D$11,regle!$D$23,
IF(X89=regle!$E$11,regle!$E$23,
IF(X89=regle!$F$11,regle!$F$23,
IF(X89=regle!$G$11,regle!$G$23,
IF(X89=regle!$H$11,regle!$H$23,
IF(X89=regle!$I$11,regle!$I$23,
IF(X89=regle!$J$11,regle!$J$23,
IF(X89=regle!$K$11,regle!$K$23,0))))))))))))</f>
        <v>-100.29600000000001</v>
      </c>
      <c r="AI89" s="17">
        <f>IF($A89,$J89*(IF(Y89=regle!$B$11,regle!$B$23*IF(AR89=-2,1+regle!$B$35,1),
IF(Y89=regle!$C$11,regle!$C$23,
IF(Y89=regle!$D$11,regle!$D$23,
IF(Y89=regle!$E$11,regle!$E$23,
IF(Y89=regle!$F$11,regle!$F$23,
IF(Y89=regle!$G$11,regle!$G$23,
IF(Y89=regle!$H$11,regle!$H$23,
IF(Y89=regle!$I$11,regle!$I$23,
IF(Y89=regle!$J$11,regle!$J$23,
IF(Y89=regle!$K$11,regle!$K$23,0))))))))))))</f>
        <v>0</v>
      </c>
      <c r="AJ89" s="17">
        <f>IF($A89,$J89*(IF(Z89=regle!$B$11,regle!$B$23*IF(AS89=-2,1+regle!$B$35,1),
IF(Z89=regle!$C$11,regle!$C$23,
IF(Z89=regle!$D$11,regle!$D$23,
IF(Z89=regle!$E$11,regle!$E$23,
IF(Z89=regle!$F$11,regle!$F$23,
IF(Z89=regle!$G$11,regle!$G$23,
IF(Z89=regle!$H$11,regle!$H$23,
IF(Z89=regle!$I$11,regle!$I$23,
IF(Z89=regle!$J$11,regle!$J$23,
IF(Z89=regle!$K$11,regle!$K$23,0))))))))))))</f>
        <v>0</v>
      </c>
      <c r="AK89" s="16">
        <f>IF(OR(Q89=regle!$J$11,Q89=regle!$K$11),-2,IF(Q89=regle!$B$11,0,IF(AK$1=$AK$1,IF($O89,-1,regle!$B$2-$M89),IF(AJ89=-1,-1,AJ89+1))))</f>
        <v>0</v>
      </c>
      <c r="AL89" s="16">
        <f>IF(OR(R89=regle!$J$11,R89=regle!$K$11),-2,IF(R89=regle!$B$11,0,IF(AL$1=$AK$1,IF($O89,-1,regle!$B$2-$M89),IF(AK89=-1,-1,AK89+1))))</f>
        <v>1</v>
      </c>
      <c r="AM89" s="16">
        <f>IF(OR(S89=regle!$J$11,S89=regle!$K$11),-2,IF(S89=regle!$B$11,0,IF(AM$1=$AK$1,IF($O89,-1,regle!$B$2-$M89),IF(AL89=-1,-1,AL89+1))))</f>
        <v>2</v>
      </c>
      <c r="AN89" s="16">
        <f>IF(OR(T89=regle!$J$11,T89=regle!$K$11),-2,IF(T89=regle!$B$11,0,IF(AN$1=$AK$1,IF($O89,-1,regle!$B$2-$M89),IF(AM89=-1,-1,AM89+1))))</f>
        <v>3</v>
      </c>
      <c r="AO89" s="16">
        <f>IF(OR(U89=regle!$J$11,U89=regle!$K$11),-2,IF(U89=regle!$B$11,0,IF(AO$1=$AK$1,IF($O89,-1,regle!$B$2-$M89),IF(AN89=-1,-1,AN89+1))))</f>
        <v>4</v>
      </c>
      <c r="AP89" s="16">
        <f>IF(OR(V89=regle!$J$11,V89=regle!$K$11),-2,IF(V89=regle!$B$11,0,IF(AP$1=$AK$1,IF($O89,-1,regle!$B$2-$M89),IF(AO89=-1,-1,AO89+1))))</f>
        <v>5</v>
      </c>
      <c r="AQ89" s="16">
        <f>IF(OR(W89=regle!$J$11,W89=regle!$K$11),-2,IF(W89=regle!$B$11,0,IF(AQ$1=$AK$1,IF($O89,-1,regle!$B$2-$M89),IF(AP89=-1,-1,AP89+1))))</f>
        <v>6</v>
      </c>
      <c r="AR89" s="16">
        <f>IF(OR(X89=regle!$J$11,X89=regle!$K$11),-2,IF(X89=regle!$B$11,0,IF(AR$1=$AK$1,IF($O89,-1,regle!$B$2-$M89),IF(AQ89=-1,-1,AQ89+1))))</f>
        <v>7</v>
      </c>
      <c r="AS89" s="16">
        <f>IF(OR(Y89=regle!$J$11,Y89=regle!$K$11),-2,IF(Y89=regle!$B$11,0,IF(AS$1=$AK$1,IF($O89,-1,regle!$B$2-$M89),IF(AR89=-1,-1,AR89+1))))</f>
        <v>8</v>
      </c>
      <c r="AT89" s="16">
        <f>IF(OR(Z89=regle!$J$11,Z89=regle!$K$11),-2,IF(Z89=regle!$B$11,0,IF(AT$1=$AK$1,IF($O89,-1,regle!$B$2-$M89),IF(AS89=-1,-1,AS89+1))))</f>
        <v>9</v>
      </c>
    </row>
    <row r="90" spans="1:46" x14ac:dyDescent="0.25">
      <c r="A90" t="b">
        <f>modif0!A368</f>
        <v>1</v>
      </c>
      <c r="B90">
        <f>ROW(modif0!B368)</f>
        <v>368</v>
      </c>
      <c r="C90" t="str">
        <f>modif0!D368</f>
        <v>200</v>
      </c>
      <c r="D90" t="str">
        <f>modif0!E368</f>
        <v>MOUSTEY</v>
      </c>
      <c r="E90">
        <f>modif0!F368</f>
        <v>9</v>
      </c>
      <c r="F90" t="str">
        <f>modif0!G368</f>
        <v>Peyroulet</v>
      </c>
      <c r="G90" t="str">
        <f>modif0!I368</f>
        <v>0N</v>
      </c>
      <c r="H90">
        <f>modif0!J368</f>
        <v>161</v>
      </c>
      <c r="I90" t="str">
        <f>modif0!K368</f>
        <v>a</v>
      </c>
      <c r="J90" s="11">
        <f>modif0!M368</f>
        <v>2.1</v>
      </c>
      <c r="K90" s="11" t="str">
        <f>modif0!P368</f>
        <v>CR</v>
      </c>
      <c r="L90" t="str">
        <f>modif0!N368</f>
        <v>PM</v>
      </c>
      <c r="M90">
        <f>modif0!Q368</f>
        <v>2019</v>
      </c>
      <c r="N90" t="str">
        <f>modif0!R368</f>
        <v>CR-PM_2019</v>
      </c>
      <c r="O90" t="b">
        <f>modif0!S368</f>
        <v>1</v>
      </c>
      <c r="P90">
        <v>40</v>
      </c>
      <c r="Q90" t="s">
        <v>1868</v>
      </c>
      <c r="S90" t="s">
        <v>1872</v>
      </c>
      <c r="U90" t="s">
        <v>1870</v>
      </c>
      <c r="X90" t="s">
        <v>1871</v>
      </c>
      <c r="AA90" s="17">
        <f>IF($A90,$J90*(IF(Q90=regle!$B$11,regle!$B$23*IF(AJ90=-2,1+regle!$B$35,1),
IF(Q90=regle!$C$11,regle!$C$23,
IF(Q90=regle!$D$11,regle!$D$23,
IF(Q90=regle!$E$11,regle!$E$23,
IF(Q90=regle!$F$11,regle!$F$23,
IF(Q90=regle!$G$11,regle!$G$23,
IF(Q90=regle!$H$11,regle!$H$23,
IF(Q90=regle!$I$11,regle!$I$23,
IF(Q90=regle!$J$11,regle!$J$23,
IF(Q90=regle!$K$11,regle!$K$23,0))))))))))))</f>
        <v>-3570</v>
      </c>
      <c r="AB90" s="17">
        <f>IF($A90,$J90*(IF(R90=regle!$B$11,regle!$B$23*IF(AK90=-2,1+regle!$B$35,1),
IF(R90=regle!$C$11,regle!$C$23,
IF(R90=regle!$D$11,regle!$D$23,
IF(R90=regle!$E$11,regle!$E$23,
IF(R90=regle!$F$11,regle!$F$23,
IF(R90=regle!$G$11,regle!$G$23,
IF(R90=regle!$H$11,regle!$H$23,
IF(R90=regle!$I$11,regle!$I$23,
IF(R90=regle!$J$11,regle!$J$23,
IF(R90=regle!$K$11,regle!$K$23,0))))))))))))</f>
        <v>0</v>
      </c>
      <c r="AC90" s="17">
        <f>IF($A90,$J90*(IF(S90=regle!$B$11,regle!$B$23*IF(AL90=-2,1+regle!$B$35,1),
IF(S90=regle!$C$11,regle!$C$23,
IF(S90=regle!$D$11,regle!$D$23,
IF(S90=regle!$E$11,regle!$E$23,
IF(S90=regle!$F$11,regle!$F$23,
IF(S90=regle!$G$11,regle!$G$23,
IF(S90=regle!$H$11,regle!$H$23,
IF(S90=regle!$I$11,regle!$I$23,
IF(S90=regle!$J$11,regle!$J$23,
IF(S90=regle!$K$11,regle!$K$23,0))))))))))))</f>
        <v>-157.5</v>
      </c>
      <c r="AD90" s="17">
        <f>IF($A90,$J90*(IF(T90=regle!$B$11,regle!$B$23*IF(AM90=-2,1+regle!$B$35,1),
IF(T90=regle!$C$11,regle!$C$23,
IF(T90=regle!$D$11,regle!$D$23,
IF(T90=regle!$E$11,regle!$E$23,
IF(T90=regle!$F$11,regle!$F$23,
IF(T90=regle!$G$11,regle!$G$23,
IF(T90=regle!$H$11,regle!$H$23,
IF(T90=regle!$I$11,regle!$I$23,
IF(T90=regle!$J$11,regle!$J$23,
IF(T90=regle!$K$11,regle!$K$23,0))))))))))))</f>
        <v>0</v>
      </c>
      <c r="AE90" s="17">
        <f>IF($A90,$J90*(IF(U90=regle!$B$11,regle!$B$23*IF(AN90=-2,1+regle!$B$35,1),
IF(U90=regle!$C$11,regle!$C$23,
IF(U90=regle!$D$11,regle!$D$23,
IF(U90=regle!$E$11,regle!$E$23,
IF(U90=regle!$F$11,regle!$F$23,
IF(U90=regle!$G$11,regle!$G$23,
IF(U90=regle!$H$11,regle!$H$23,
IF(U90=regle!$I$11,regle!$I$23,
IF(U90=regle!$J$11,regle!$J$23,
IF(U90=regle!$K$11,regle!$K$23,0))))))))))))</f>
        <v>-189</v>
      </c>
      <c r="AF90" s="17">
        <f>IF($A90,$J90*(IF(V90=regle!$B$11,regle!$B$23*IF(AO90=-2,1+regle!$B$35,1),
IF(V90=regle!$C$11,regle!$C$23,
IF(V90=regle!$D$11,regle!$D$23,
IF(V90=regle!$E$11,regle!$E$23,
IF(V90=regle!$F$11,regle!$F$23,
IF(V90=regle!$G$11,regle!$G$23,
IF(V90=regle!$H$11,regle!$H$23,
IF(V90=regle!$I$11,regle!$I$23,
IF(V90=regle!$J$11,regle!$J$23,
IF(V90=regle!$K$11,regle!$K$23,0))))))))))))</f>
        <v>0</v>
      </c>
      <c r="AG90" s="17">
        <f>IF($A90,$J90*(IF(W90=regle!$B$11,regle!$B$23*IF(AP90=-2,1+regle!$B$35,1),
IF(W90=regle!$C$11,regle!$C$23,
IF(W90=regle!$D$11,regle!$D$23,
IF(W90=regle!$E$11,regle!$E$23,
IF(W90=regle!$F$11,regle!$F$23,
IF(W90=regle!$G$11,regle!$G$23,
IF(W90=regle!$H$11,regle!$H$23,
IF(W90=regle!$I$11,regle!$I$23,
IF(W90=regle!$J$11,regle!$J$23,
IF(W90=regle!$K$11,regle!$K$23,0))))))))))))</f>
        <v>0</v>
      </c>
      <c r="AH90" s="17">
        <f>IF($A90,$J90*(IF(X90=regle!$B$11,regle!$B$23*IF(AQ90=-2,1+regle!$B$35,1),
IF(X90=regle!$C$11,regle!$C$23,
IF(X90=regle!$D$11,regle!$D$23,
IF(X90=regle!$E$11,regle!$E$23,
IF(X90=regle!$F$11,regle!$F$23,
IF(X90=regle!$G$11,regle!$G$23,
IF(X90=regle!$H$11,regle!$H$23,
IF(X90=regle!$I$11,regle!$I$23,
IF(X90=regle!$J$11,regle!$J$23,
IF(X90=regle!$K$11,regle!$K$23,0))))))))))))</f>
        <v>-189</v>
      </c>
      <c r="AI90" s="17">
        <f>IF($A90,$J90*(IF(Y90=regle!$B$11,regle!$B$23*IF(AR90=-2,1+regle!$B$35,1),
IF(Y90=regle!$C$11,regle!$C$23,
IF(Y90=regle!$D$11,regle!$D$23,
IF(Y90=regle!$E$11,regle!$E$23,
IF(Y90=regle!$F$11,regle!$F$23,
IF(Y90=regle!$G$11,regle!$G$23,
IF(Y90=regle!$H$11,regle!$H$23,
IF(Y90=regle!$I$11,regle!$I$23,
IF(Y90=regle!$J$11,regle!$J$23,
IF(Y90=regle!$K$11,regle!$K$23,0))))))))))))</f>
        <v>0</v>
      </c>
      <c r="AJ90" s="17">
        <f>IF($A90,$J90*(IF(Z90=regle!$B$11,regle!$B$23*IF(AS90=-2,1+regle!$B$35,1),
IF(Z90=regle!$C$11,regle!$C$23,
IF(Z90=regle!$D$11,regle!$D$23,
IF(Z90=regle!$E$11,regle!$E$23,
IF(Z90=regle!$F$11,regle!$F$23,
IF(Z90=regle!$G$11,regle!$G$23,
IF(Z90=regle!$H$11,regle!$H$23,
IF(Z90=regle!$I$11,regle!$I$23,
IF(Z90=regle!$J$11,regle!$J$23,
IF(Z90=regle!$K$11,regle!$K$23,0))))))))))))</f>
        <v>0</v>
      </c>
      <c r="AK90" s="16">
        <f>IF(OR(Q90=regle!$J$11,Q90=regle!$K$11),-2,IF(Q90=regle!$B$11,0,IF(AK$1=$AK$1,IF($O90,-1,regle!$B$2-$M90),IF(AJ90=-1,-1,AJ90+1))))</f>
        <v>0</v>
      </c>
      <c r="AL90" s="16">
        <f>IF(OR(R90=regle!$J$11,R90=regle!$K$11),-2,IF(R90=regle!$B$11,0,IF(AL$1=$AK$1,IF($O90,-1,regle!$B$2-$M90),IF(AK90=-1,-1,AK90+1))))</f>
        <v>1</v>
      </c>
      <c r="AM90" s="16">
        <f>IF(OR(S90=regle!$J$11,S90=regle!$K$11),-2,IF(S90=regle!$B$11,0,IF(AM$1=$AK$1,IF($O90,-1,regle!$B$2-$M90),IF(AL90=-1,-1,AL90+1))))</f>
        <v>2</v>
      </c>
      <c r="AN90" s="16">
        <f>IF(OR(T90=regle!$J$11,T90=regle!$K$11),-2,IF(T90=regle!$B$11,0,IF(AN$1=$AK$1,IF($O90,-1,regle!$B$2-$M90),IF(AM90=-1,-1,AM90+1))))</f>
        <v>3</v>
      </c>
      <c r="AO90" s="16">
        <f>IF(OR(U90=regle!$J$11,U90=regle!$K$11),-2,IF(U90=regle!$B$11,0,IF(AO$1=$AK$1,IF($O90,-1,regle!$B$2-$M90),IF(AN90=-1,-1,AN90+1))))</f>
        <v>4</v>
      </c>
      <c r="AP90" s="16">
        <f>IF(OR(V90=regle!$J$11,V90=regle!$K$11),-2,IF(V90=regle!$B$11,0,IF(AP$1=$AK$1,IF($O90,-1,regle!$B$2-$M90),IF(AO90=-1,-1,AO90+1))))</f>
        <v>5</v>
      </c>
      <c r="AQ90" s="16">
        <f>IF(OR(W90=regle!$J$11,W90=regle!$K$11),-2,IF(W90=regle!$B$11,0,IF(AQ$1=$AK$1,IF($O90,-1,regle!$B$2-$M90),IF(AP90=-1,-1,AP90+1))))</f>
        <v>6</v>
      </c>
      <c r="AR90" s="16">
        <f>IF(OR(X90=regle!$J$11,X90=regle!$K$11),-2,IF(X90=regle!$B$11,0,IF(AR$1=$AK$1,IF($O90,-1,regle!$B$2-$M90),IF(AQ90=-1,-1,AQ90+1))))</f>
        <v>7</v>
      </c>
      <c r="AS90" s="16">
        <f>IF(OR(Y90=regle!$J$11,Y90=regle!$K$11),-2,IF(Y90=regle!$B$11,0,IF(AS$1=$AK$1,IF($O90,-1,regle!$B$2-$M90),IF(AR90=-1,-1,AR90+1))))</f>
        <v>8</v>
      </c>
      <c r="AT90" s="16">
        <f>IF(OR(Z90=regle!$J$11,Z90=regle!$K$11),-2,IF(Z90=regle!$B$11,0,IF(AT$1=$AK$1,IF($O90,-1,regle!$B$2-$M90),IF(AS90=-1,-1,AS90+1))))</f>
        <v>9</v>
      </c>
    </row>
    <row r="91" spans="1:46" x14ac:dyDescent="0.25">
      <c r="A91" t="b">
        <f>modif0!A376</f>
        <v>1</v>
      </c>
      <c r="B91">
        <f>ROW(modif0!B376)</f>
        <v>376</v>
      </c>
      <c r="C91" t="str">
        <f>modif0!D376</f>
        <v>200</v>
      </c>
      <c r="D91" t="str">
        <f>modif0!E376</f>
        <v>MOUSTEY</v>
      </c>
      <c r="E91">
        <f>modif0!F376</f>
        <v>18</v>
      </c>
      <c r="F91" t="str">
        <f>modif0!G376</f>
        <v>Quartier de Capsus</v>
      </c>
      <c r="G91" t="str">
        <f>modif0!I376</f>
        <v>0N</v>
      </c>
      <c r="H91">
        <f>modif0!J376</f>
        <v>787</v>
      </c>
      <c r="I91" t="str">
        <f>modif0!K376</f>
        <v/>
      </c>
      <c r="J91" s="11">
        <f>modif0!M376</f>
        <v>1.0985</v>
      </c>
      <c r="K91" s="11" t="str">
        <f>modif0!P376</f>
        <v>CR</v>
      </c>
      <c r="L91" t="str">
        <f>modif0!N376</f>
        <v>PM</v>
      </c>
      <c r="M91">
        <f>modif0!Q376</f>
        <v>2019</v>
      </c>
      <c r="N91" t="str">
        <f>modif0!R376</f>
        <v>CR-PM_2019</v>
      </c>
      <c r="O91" t="b">
        <f>modif0!S376</f>
        <v>1</v>
      </c>
      <c r="P91">
        <v>40</v>
      </c>
      <c r="Q91" t="s">
        <v>1868</v>
      </c>
      <c r="S91" t="s">
        <v>1872</v>
      </c>
      <c r="U91" t="s">
        <v>1870</v>
      </c>
      <c r="X91" t="s">
        <v>1871</v>
      </c>
      <c r="AA91" s="17">
        <f>IF($A91,$J91*(IF(Q91=regle!$B$11,regle!$B$23*IF(AJ91=-2,1+regle!$B$35,1),
IF(Q91=regle!$C$11,regle!$C$23,
IF(Q91=regle!$D$11,regle!$D$23,
IF(Q91=regle!$E$11,regle!$E$23,
IF(Q91=regle!$F$11,regle!$F$23,
IF(Q91=regle!$G$11,regle!$G$23,
IF(Q91=regle!$H$11,regle!$H$23,
IF(Q91=regle!$I$11,regle!$I$23,
IF(Q91=regle!$J$11,regle!$J$23,
IF(Q91=regle!$K$11,regle!$K$23,0))))))))))))</f>
        <v>-1867.45</v>
      </c>
      <c r="AB91" s="17">
        <f>IF($A91,$J91*(IF(R91=regle!$B$11,regle!$B$23*IF(AK91=-2,1+regle!$B$35,1),
IF(R91=regle!$C$11,regle!$C$23,
IF(R91=regle!$D$11,regle!$D$23,
IF(R91=regle!$E$11,regle!$E$23,
IF(R91=regle!$F$11,regle!$F$23,
IF(R91=regle!$G$11,regle!$G$23,
IF(R91=regle!$H$11,regle!$H$23,
IF(R91=regle!$I$11,regle!$I$23,
IF(R91=regle!$J$11,regle!$J$23,
IF(R91=regle!$K$11,regle!$K$23,0))))))))))))</f>
        <v>0</v>
      </c>
      <c r="AC91" s="17">
        <f>IF($A91,$J91*(IF(S91=regle!$B$11,regle!$B$23*IF(AL91=-2,1+regle!$B$35,1),
IF(S91=regle!$C$11,regle!$C$23,
IF(S91=regle!$D$11,regle!$D$23,
IF(S91=regle!$E$11,regle!$E$23,
IF(S91=regle!$F$11,regle!$F$23,
IF(S91=regle!$G$11,regle!$G$23,
IF(S91=regle!$H$11,regle!$H$23,
IF(S91=regle!$I$11,regle!$I$23,
IF(S91=regle!$J$11,regle!$J$23,
IF(S91=regle!$K$11,regle!$K$23,0))))))))))))</f>
        <v>-82.387500000000003</v>
      </c>
      <c r="AD91" s="17">
        <f>IF($A91,$J91*(IF(T91=regle!$B$11,regle!$B$23*IF(AM91=-2,1+regle!$B$35,1),
IF(T91=regle!$C$11,regle!$C$23,
IF(T91=regle!$D$11,regle!$D$23,
IF(T91=regle!$E$11,regle!$E$23,
IF(T91=regle!$F$11,regle!$F$23,
IF(T91=regle!$G$11,regle!$G$23,
IF(T91=regle!$H$11,regle!$H$23,
IF(T91=regle!$I$11,regle!$I$23,
IF(T91=regle!$J$11,regle!$J$23,
IF(T91=regle!$K$11,regle!$K$23,0))))))))))))</f>
        <v>0</v>
      </c>
      <c r="AE91" s="17">
        <f>IF($A91,$J91*(IF(U91=regle!$B$11,regle!$B$23*IF(AN91=-2,1+regle!$B$35,1),
IF(U91=regle!$C$11,regle!$C$23,
IF(U91=regle!$D$11,regle!$D$23,
IF(U91=regle!$E$11,regle!$E$23,
IF(U91=regle!$F$11,regle!$F$23,
IF(U91=regle!$G$11,regle!$G$23,
IF(U91=regle!$H$11,regle!$H$23,
IF(U91=regle!$I$11,regle!$I$23,
IF(U91=regle!$J$11,regle!$J$23,
IF(U91=regle!$K$11,regle!$K$23,0))))))))))))</f>
        <v>-98.865000000000009</v>
      </c>
      <c r="AF91" s="17">
        <f>IF($A91,$J91*(IF(V91=regle!$B$11,regle!$B$23*IF(AO91=-2,1+regle!$B$35,1),
IF(V91=regle!$C$11,regle!$C$23,
IF(V91=regle!$D$11,regle!$D$23,
IF(V91=regle!$E$11,regle!$E$23,
IF(V91=regle!$F$11,regle!$F$23,
IF(V91=regle!$G$11,regle!$G$23,
IF(V91=regle!$H$11,regle!$H$23,
IF(V91=regle!$I$11,regle!$I$23,
IF(V91=regle!$J$11,regle!$J$23,
IF(V91=regle!$K$11,regle!$K$23,0))))))))))))</f>
        <v>0</v>
      </c>
      <c r="AG91" s="17">
        <f>IF($A91,$J91*(IF(W91=regle!$B$11,regle!$B$23*IF(AP91=-2,1+regle!$B$35,1),
IF(W91=regle!$C$11,regle!$C$23,
IF(W91=regle!$D$11,regle!$D$23,
IF(W91=regle!$E$11,regle!$E$23,
IF(W91=regle!$F$11,regle!$F$23,
IF(W91=regle!$G$11,regle!$G$23,
IF(W91=regle!$H$11,regle!$H$23,
IF(W91=regle!$I$11,regle!$I$23,
IF(W91=regle!$J$11,regle!$J$23,
IF(W91=regle!$K$11,regle!$K$23,0))))))))))))</f>
        <v>0</v>
      </c>
      <c r="AH91" s="17">
        <f>IF($A91,$J91*(IF(X91=regle!$B$11,regle!$B$23*IF(AQ91=-2,1+regle!$B$35,1),
IF(X91=regle!$C$11,regle!$C$23,
IF(X91=regle!$D$11,regle!$D$23,
IF(X91=regle!$E$11,regle!$E$23,
IF(X91=regle!$F$11,regle!$F$23,
IF(X91=regle!$G$11,regle!$G$23,
IF(X91=regle!$H$11,regle!$H$23,
IF(X91=regle!$I$11,regle!$I$23,
IF(X91=regle!$J$11,regle!$J$23,
IF(X91=regle!$K$11,regle!$K$23,0))))))))))))</f>
        <v>-98.865000000000009</v>
      </c>
      <c r="AI91" s="17">
        <f>IF($A91,$J91*(IF(Y91=regle!$B$11,regle!$B$23*IF(AR91=-2,1+regle!$B$35,1),
IF(Y91=regle!$C$11,regle!$C$23,
IF(Y91=regle!$D$11,regle!$D$23,
IF(Y91=regle!$E$11,regle!$E$23,
IF(Y91=regle!$F$11,regle!$F$23,
IF(Y91=regle!$G$11,regle!$G$23,
IF(Y91=regle!$H$11,regle!$H$23,
IF(Y91=regle!$I$11,regle!$I$23,
IF(Y91=regle!$J$11,regle!$J$23,
IF(Y91=regle!$K$11,regle!$K$23,0))))))))))))</f>
        <v>0</v>
      </c>
      <c r="AJ91" s="17">
        <f>IF($A91,$J91*(IF(Z91=regle!$B$11,regle!$B$23*IF(AS91=-2,1+regle!$B$35,1),
IF(Z91=regle!$C$11,regle!$C$23,
IF(Z91=regle!$D$11,regle!$D$23,
IF(Z91=regle!$E$11,regle!$E$23,
IF(Z91=regle!$F$11,regle!$F$23,
IF(Z91=regle!$G$11,regle!$G$23,
IF(Z91=regle!$H$11,regle!$H$23,
IF(Z91=regle!$I$11,regle!$I$23,
IF(Z91=regle!$J$11,regle!$J$23,
IF(Z91=regle!$K$11,regle!$K$23,0))))))))))))</f>
        <v>0</v>
      </c>
      <c r="AK91" s="16">
        <f>IF(OR(Q91=regle!$J$11,Q91=regle!$K$11),-2,IF(Q91=regle!$B$11,0,IF(AK$1=$AK$1,IF($O91,-1,regle!$B$2-$M91),IF(AJ91=-1,-1,AJ91+1))))</f>
        <v>0</v>
      </c>
      <c r="AL91" s="16">
        <f>IF(OR(R91=regle!$J$11,R91=regle!$K$11),-2,IF(R91=regle!$B$11,0,IF(AL$1=$AK$1,IF($O91,-1,regle!$B$2-$M91),IF(AK91=-1,-1,AK91+1))))</f>
        <v>1</v>
      </c>
      <c r="AM91" s="16">
        <f>IF(OR(S91=regle!$J$11,S91=regle!$K$11),-2,IF(S91=regle!$B$11,0,IF(AM$1=$AK$1,IF($O91,-1,regle!$B$2-$M91),IF(AL91=-1,-1,AL91+1))))</f>
        <v>2</v>
      </c>
      <c r="AN91" s="16">
        <f>IF(OR(T91=regle!$J$11,T91=regle!$K$11),-2,IF(T91=regle!$B$11,0,IF(AN$1=$AK$1,IF($O91,-1,regle!$B$2-$M91),IF(AM91=-1,-1,AM91+1))))</f>
        <v>3</v>
      </c>
      <c r="AO91" s="16">
        <f>IF(OR(U91=regle!$J$11,U91=regle!$K$11),-2,IF(U91=regle!$B$11,0,IF(AO$1=$AK$1,IF($O91,-1,regle!$B$2-$M91),IF(AN91=-1,-1,AN91+1))))</f>
        <v>4</v>
      </c>
      <c r="AP91" s="16">
        <f>IF(OR(V91=regle!$J$11,V91=regle!$K$11),-2,IF(V91=regle!$B$11,0,IF(AP$1=$AK$1,IF($O91,-1,regle!$B$2-$M91),IF(AO91=-1,-1,AO91+1))))</f>
        <v>5</v>
      </c>
      <c r="AQ91" s="16">
        <f>IF(OR(W91=regle!$J$11,W91=regle!$K$11),-2,IF(W91=regle!$B$11,0,IF(AQ$1=$AK$1,IF($O91,-1,regle!$B$2-$M91),IF(AP91=-1,-1,AP91+1))))</f>
        <v>6</v>
      </c>
      <c r="AR91" s="16">
        <f>IF(OR(X91=regle!$J$11,X91=regle!$K$11),-2,IF(X91=regle!$B$11,0,IF(AR$1=$AK$1,IF($O91,-1,regle!$B$2-$M91),IF(AQ91=-1,-1,AQ91+1))))</f>
        <v>7</v>
      </c>
      <c r="AS91" s="16">
        <f>IF(OR(Y91=regle!$J$11,Y91=regle!$K$11),-2,IF(Y91=regle!$B$11,0,IF(AS$1=$AK$1,IF($O91,-1,regle!$B$2-$M91),IF(AR91=-1,-1,AR91+1))))</f>
        <v>8</v>
      </c>
      <c r="AT91" s="16">
        <f>IF(OR(Z91=regle!$J$11,Z91=regle!$K$11),-2,IF(Z91=regle!$B$11,0,IF(AT$1=$AK$1,IF($O91,-1,regle!$B$2-$M91),IF(AS91=-1,-1,AS91+1))))</f>
        <v>9</v>
      </c>
    </row>
    <row r="92" spans="1:46" x14ac:dyDescent="0.25">
      <c r="A92" t="b">
        <f>modif0!A374</f>
        <v>1</v>
      </c>
      <c r="B92">
        <f>ROW(modif0!B374)</f>
        <v>374</v>
      </c>
      <c r="C92" t="str">
        <f>modif0!D374</f>
        <v>200</v>
      </c>
      <c r="D92" t="str">
        <f>modif0!E374</f>
        <v>MOUSTEY</v>
      </c>
      <c r="E92">
        <f>modif0!F374</f>
        <v>18</v>
      </c>
      <c r="F92" t="str">
        <f>modif0!G374</f>
        <v>Quartier de Capsus</v>
      </c>
      <c r="G92" t="str">
        <f>modif0!I374</f>
        <v>0N</v>
      </c>
      <c r="H92">
        <f>modif0!J374</f>
        <v>717</v>
      </c>
      <c r="I92" t="str">
        <f>modif0!K374</f>
        <v/>
      </c>
      <c r="J92" s="11">
        <f>modif0!M374</f>
        <v>0.85880000000000001</v>
      </c>
      <c r="K92" s="11" t="str">
        <f>modif0!P374</f>
        <v>CR</v>
      </c>
      <c r="L92" t="str">
        <f>modif0!N374</f>
        <v>PM</v>
      </c>
      <c r="M92">
        <f>modif0!Q374</f>
        <v>2019</v>
      </c>
      <c r="N92" t="str">
        <f>modif0!R374</f>
        <v>CR-PM_2019</v>
      </c>
      <c r="O92" t="b">
        <f>modif0!S374</f>
        <v>1</v>
      </c>
      <c r="P92">
        <v>40</v>
      </c>
      <c r="Q92" t="s">
        <v>1868</v>
      </c>
      <c r="S92" t="s">
        <v>1872</v>
      </c>
      <c r="U92" t="s">
        <v>1870</v>
      </c>
      <c r="X92" t="s">
        <v>1871</v>
      </c>
      <c r="AA92" s="17">
        <f>IF($A92,$J92*(IF(Q92=regle!$B$11,regle!$B$23*IF(AJ92=-2,1+regle!$B$35,1),
IF(Q92=regle!$C$11,regle!$C$23,
IF(Q92=regle!$D$11,regle!$D$23,
IF(Q92=regle!$E$11,regle!$E$23,
IF(Q92=regle!$F$11,regle!$F$23,
IF(Q92=regle!$G$11,regle!$G$23,
IF(Q92=regle!$H$11,regle!$H$23,
IF(Q92=regle!$I$11,regle!$I$23,
IF(Q92=regle!$J$11,regle!$J$23,
IF(Q92=regle!$K$11,regle!$K$23,0))))))))))))</f>
        <v>-1459.96</v>
      </c>
      <c r="AB92" s="17">
        <f>IF($A92,$J92*(IF(R92=regle!$B$11,regle!$B$23*IF(AK92=-2,1+regle!$B$35,1),
IF(R92=regle!$C$11,regle!$C$23,
IF(R92=regle!$D$11,regle!$D$23,
IF(R92=regle!$E$11,regle!$E$23,
IF(R92=regle!$F$11,regle!$F$23,
IF(R92=regle!$G$11,regle!$G$23,
IF(R92=regle!$H$11,regle!$H$23,
IF(R92=regle!$I$11,regle!$I$23,
IF(R92=regle!$J$11,regle!$J$23,
IF(R92=regle!$K$11,regle!$K$23,0))))))))))))</f>
        <v>0</v>
      </c>
      <c r="AC92" s="17">
        <f>IF($A92,$J92*(IF(S92=regle!$B$11,regle!$B$23*IF(AL92=-2,1+regle!$B$35,1),
IF(S92=regle!$C$11,regle!$C$23,
IF(S92=regle!$D$11,regle!$D$23,
IF(S92=regle!$E$11,regle!$E$23,
IF(S92=regle!$F$11,regle!$F$23,
IF(S92=regle!$G$11,regle!$G$23,
IF(S92=regle!$H$11,regle!$H$23,
IF(S92=regle!$I$11,regle!$I$23,
IF(S92=regle!$J$11,regle!$J$23,
IF(S92=regle!$K$11,regle!$K$23,0))))))))))))</f>
        <v>-64.41</v>
      </c>
      <c r="AD92" s="17">
        <f>IF($A92,$J92*(IF(T92=regle!$B$11,regle!$B$23*IF(AM92=-2,1+regle!$B$35,1),
IF(T92=regle!$C$11,regle!$C$23,
IF(T92=regle!$D$11,regle!$D$23,
IF(T92=regle!$E$11,regle!$E$23,
IF(T92=regle!$F$11,regle!$F$23,
IF(T92=regle!$G$11,regle!$G$23,
IF(T92=regle!$H$11,regle!$H$23,
IF(T92=regle!$I$11,regle!$I$23,
IF(T92=regle!$J$11,regle!$J$23,
IF(T92=regle!$K$11,regle!$K$23,0))))))))))))</f>
        <v>0</v>
      </c>
      <c r="AE92" s="17">
        <f>IF($A92,$J92*(IF(U92=regle!$B$11,regle!$B$23*IF(AN92=-2,1+regle!$B$35,1),
IF(U92=regle!$C$11,regle!$C$23,
IF(U92=regle!$D$11,regle!$D$23,
IF(U92=regle!$E$11,regle!$E$23,
IF(U92=regle!$F$11,regle!$F$23,
IF(U92=regle!$G$11,regle!$G$23,
IF(U92=regle!$H$11,regle!$H$23,
IF(U92=regle!$I$11,regle!$I$23,
IF(U92=regle!$J$11,regle!$J$23,
IF(U92=regle!$K$11,regle!$K$23,0))))))))))))</f>
        <v>-77.292000000000002</v>
      </c>
      <c r="AF92" s="17">
        <f>IF($A92,$J92*(IF(V92=regle!$B$11,regle!$B$23*IF(AO92=-2,1+regle!$B$35,1),
IF(V92=regle!$C$11,regle!$C$23,
IF(V92=regle!$D$11,regle!$D$23,
IF(V92=regle!$E$11,regle!$E$23,
IF(V92=regle!$F$11,regle!$F$23,
IF(V92=regle!$G$11,regle!$G$23,
IF(V92=regle!$H$11,regle!$H$23,
IF(V92=regle!$I$11,regle!$I$23,
IF(V92=regle!$J$11,regle!$J$23,
IF(V92=regle!$K$11,regle!$K$23,0))))))))))))</f>
        <v>0</v>
      </c>
      <c r="AG92" s="17">
        <f>IF($A92,$J92*(IF(W92=regle!$B$11,regle!$B$23*IF(AP92=-2,1+regle!$B$35,1),
IF(W92=regle!$C$11,regle!$C$23,
IF(W92=regle!$D$11,regle!$D$23,
IF(W92=regle!$E$11,regle!$E$23,
IF(W92=regle!$F$11,regle!$F$23,
IF(W92=regle!$G$11,regle!$G$23,
IF(W92=regle!$H$11,regle!$H$23,
IF(W92=regle!$I$11,regle!$I$23,
IF(W92=regle!$J$11,regle!$J$23,
IF(W92=regle!$K$11,regle!$K$23,0))))))))))))</f>
        <v>0</v>
      </c>
      <c r="AH92" s="17">
        <f>IF($A92,$J92*(IF(X92=regle!$B$11,regle!$B$23*IF(AQ92=-2,1+regle!$B$35,1),
IF(X92=regle!$C$11,regle!$C$23,
IF(X92=regle!$D$11,regle!$D$23,
IF(X92=regle!$E$11,regle!$E$23,
IF(X92=regle!$F$11,regle!$F$23,
IF(X92=regle!$G$11,regle!$G$23,
IF(X92=regle!$H$11,regle!$H$23,
IF(X92=regle!$I$11,regle!$I$23,
IF(X92=regle!$J$11,regle!$J$23,
IF(X92=regle!$K$11,regle!$K$23,0))))))))))))</f>
        <v>-77.292000000000002</v>
      </c>
      <c r="AI92" s="17">
        <f>IF($A92,$J92*(IF(Y92=regle!$B$11,regle!$B$23*IF(AR92=-2,1+regle!$B$35,1),
IF(Y92=regle!$C$11,regle!$C$23,
IF(Y92=regle!$D$11,regle!$D$23,
IF(Y92=regle!$E$11,regle!$E$23,
IF(Y92=regle!$F$11,regle!$F$23,
IF(Y92=regle!$G$11,regle!$G$23,
IF(Y92=regle!$H$11,regle!$H$23,
IF(Y92=regle!$I$11,regle!$I$23,
IF(Y92=regle!$J$11,regle!$J$23,
IF(Y92=regle!$K$11,regle!$K$23,0))))))))))))</f>
        <v>0</v>
      </c>
      <c r="AJ92" s="17">
        <f>IF($A92,$J92*(IF(Z92=regle!$B$11,regle!$B$23*IF(AS92=-2,1+regle!$B$35,1),
IF(Z92=regle!$C$11,regle!$C$23,
IF(Z92=regle!$D$11,regle!$D$23,
IF(Z92=regle!$E$11,regle!$E$23,
IF(Z92=regle!$F$11,regle!$F$23,
IF(Z92=regle!$G$11,regle!$G$23,
IF(Z92=regle!$H$11,regle!$H$23,
IF(Z92=regle!$I$11,regle!$I$23,
IF(Z92=regle!$J$11,regle!$J$23,
IF(Z92=regle!$K$11,regle!$K$23,0))))))))))))</f>
        <v>0</v>
      </c>
      <c r="AK92" s="16">
        <f>IF(OR(Q92=regle!$J$11,Q92=regle!$K$11),-2,IF(Q92=regle!$B$11,0,IF(AK$1=$AK$1,IF($O92,-1,regle!$B$2-$M92),IF(AJ92=-1,-1,AJ92+1))))</f>
        <v>0</v>
      </c>
      <c r="AL92" s="16">
        <f>IF(OR(R92=regle!$J$11,R92=regle!$K$11),-2,IF(R92=regle!$B$11,0,IF(AL$1=$AK$1,IF($O92,-1,regle!$B$2-$M92),IF(AK92=-1,-1,AK92+1))))</f>
        <v>1</v>
      </c>
      <c r="AM92" s="16">
        <f>IF(OR(S92=regle!$J$11,S92=regle!$K$11),-2,IF(S92=regle!$B$11,0,IF(AM$1=$AK$1,IF($O92,-1,regle!$B$2-$M92),IF(AL92=-1,-1,AL92+1))))</f>
        <v>2</v>
      </c>
      <c r="AN92" s="16">
        <f>IF(OR(T92=regle!$J$11,T92=regle!$K$11),-2,IF(T92=regle!$B$11,0,IF(AN$1=$AK$1,IF($O92,-1,regle!$B$2-$M92),IF(AM92=-1,-1,AM92+1))))</f>
        <v>3</v>
      </c>
      <c r="AO92" s="16">
        <f>IF(OR(U92=regle!$J$11,U92=regle!$K$11),-2,IF(U92=regle!$B$11,0,IF(AO$1=$AK$1,IF($O92,-1,regle!$B$2-$M92),IF(AN92=-1,-1,AN92+1))))</f>
        <v>4</v>
      </c>
      <c r="AP92" s="16">
        <f>IF(OR(V92=regle!$J$11,V92=regle!$K$11),-2,IF(V92=regle!$B$11,0,IF(AP$1=$AK$1,IF($O92,-1,regle!$B$2-$M92),IF(AO92=-1,-1,AO92+1))))</f>
        <v>5</v>
      </c>
      <c r="AQ92" s="16">
        <f>IF(OR(W92=regle!$J$11,W92=regle!$K$11),-2,IF(W92=regle!$B$11,0,IF(AQ$1=$AK$1,IF($O92,-1,regle!$B$2-$M92),IF(AP92=-1,-1,AP92+1))))</f>
        <v>6</v>
      </c>
      <c r="AR92" s="16">
        <f>IF(OR(X92=regle!$J$11,X92=regle!$K$11),-2,IF(X92=regle!$B$11,0,IF(AR$1=$AK$1,IF($O92,-1,regle!$B$2-$M92),IF(AQ92=-1,-1,AQ92+1))))</f>
        <v>7</v>
      </c>
      <c r="AS92" s="16">
        <f>IF(OR(Y92=regle!$J$11,Y92=regle!$K$11),-2,IF(Y92=regle!$B$11,0,IF(AS$1=$AK$1,IF($O92,-1,regle!$B$2-$M92),IF(AR92=-1,-1,AR92+1))))</f>
        <v>8</v>
      </c>
      <c r="AT92" s="16">
        <f>IF(OR(Z92=regle!$J$11,Z92=regle!$K$11),-2,IF(Z92=regle!$B$11,0,IF(AT$1=$AK$1,IF($O92,-1,regle!$B$2-$M92),IF(AS92=-1,-1,AS92+1))))</f>
        <v>9</v>
      </c>
    </row>
    <row r="93" spans="1:46" x14ac:dyDescent="0.25">
      <c r="A93" t="b">
        <f>modif0!A188</f>
        <v>1</v>
      </c>
      <c r="B93">
        <f>ROW(modif0!B188)</f>
        <v>188</v>
      </c>
      <c r="C93" t="str">
        <f>modif0!D188</f>
        <v>202</v>
      </c>
      <c r="D93" t="str">
        <f>modif0!E188</f>
        <v>HOSTENS</v>
      </c>
      <c r="E93">
        <f>modif0!F188</f>
        <v>8</v>
      </c>
      <c r="F93" t="str">
        <f>modif0!G188</f>
        <v>LES BECS</v>
      </c>
      <c r="G93" t="str">
        <f>modif0!I188</f>
        <v>0B</v>
      </c>
      <c r="H93">
        <f>modif0!J188</f>
        <v>1215</v>
      </c>
      <c r="I93" t="str">
        <f>modif0!K188</f>
        <v/>
      </c>
      <c r="J93" s="11">
        <f>modif0!M188</f>
        <v>0.78949999999999998</v>
      </c>
      <c r="K93" s="11" t="str">
        <f>modif0!P188</f>
        <v>CR</v>
      </c>
      <c r="L93" t="str">
        <f>modif0!N188</f>
        <v>PM</v>
      </c>
      <c r="M93">
        <f>modif0!Q188</f>
        <v>2016</v>
      </c>
      <c r="N93" t="str">
        <f>modif0!R188</f>
        <v>CR-PM_2016</v>
      </c>
      <c r="O93" t="b">
        <f>modif0!S188</f>
        <v>1</v>
      </c>
      <c r="P93">
        <v>40</v>
      </c>
      <c r="Q93" t="s">
        <v>1868</v>
      </c>
      <c r="S93" t="s">
        <v>1872</v>
      </c>
      <c r="U93" t="s">
        <v>1870</v>
      </c>
      <c r="X93" t="s">
        <v>1871</v>
      </c>
      <c r="AA93" s="17">
        <f>IF($A93,$J93*(IF(Q93=regle!$B$11,regle!$B$23*IF(AJ93=-2,1+regle!$B$35,1),
IF(Q93=regle!$C$11,regle!$C$23,
IF(Q93=regle!$D$11,regle!$D$23,
IF(Q93=regle!$E$11,regle!$E$23,
IF(Q93=regle!$F$11,regle!$F$23,
IF(Q93=regle!$G$11,regle!$G$23,
IF(Q93=regle!$H$11,regle!$H$23,
IF(Q93=regle!$I$11,regle!$I$23,
IF(Q93=regle!$J$11,regle!$J$23,
IF(Q93=regle!$K$11,regle!$K$23,0))))))))))))</f>
        <v>-1342.1499999999999</v>
      </c>
      <c r="AB93" s="17">
        <f>IF($A93,$J93*(IF(R93=regle!$B$11,regle!$B$23*IF(AK93=-2,1+regle!$B$35,1),
IF(R93=regle!$C$11,regle!$C$23,
IF(R93=regle!$D$11,regle!$D$23,
IF(R93=regle!$E$11,regle!$E$23,
IF(R93=regle!$F$11,regle!$F$23,
IF(R93=regle!$G$11,regle!$G$23,
IF(R93=regle!$H$11,regle!$H$23,
IF(R93=regle!$I$11,regle!$I$23,
IF(R93=regle!$J$11,regle!$J$23,
IF(R93=regle!$K$11,regle!$K$23,0))))))))))))</f>
        <v>0</v>
      </c>
      <c r="AC93" s="17">
        <f>IF($A93,$J93*(IF(S93=regle!$B$11,regle!$B$23*IF(AL93=-2,1+regle!$B$35,1),
IF(S93=regle!$C$11,regle!$C$23,
IF(S93=regle!$D$11,regle!$D$23,
IF(S93=regle!$E$11,regle!$E$23,
IF(S93=regle!$F$11,regle!$F$23,
IF(S93=regle!$G$11,regle!$G$23,
IF(S93=regle!$H$11,regle!$H$23,
IF(S93=regle!$I$11,regle!$I$23,
IF(S93=regle!$J$11,regle!$J$23,
IF(S93=regle!$K$11,regle!$K$23,0))))))))))))</f>
        <v>-59.212499999999999</v>
      </c>
      <c r="AD93" s="17">
        <f>IF($A93,$J93*(IF(T93=regle!$B$11,regle!$B$23*IF(AM93=-2,1+regle!$B$35,1),
IF(T93=regle!$C$11,regle!$C$23,
IF(T93=regle!$D$11,regle!$D$23,
IF(T93=regle!$E$11,regle!$E$23,
IF(T93=regle!$F$11,regle!$F$23,
IF(T93=regle!$G$11,regle!$G$23,
IF(T93=regle!$H$11,regle!$H$23,
IF(T93=regle!$I$11,regle!$I$23,
IF(T93=regle!$J$11,regle!$J$23,
IF(T93=regle!$K$11,regle!$K$23,0))))))))))))</f>
        <v>0</v>
      </c>
      <c r="AE93" s="17">
        <f>IF($A93,$J93*(IF(U93=regle!$B$11,regle!$B$23*IF(AN93=-2,1+regle!$B$35,1),
IF(U93=regle!$C$11,regle!$C$23,
IF(U93=regle!$D$11,regle!$D$23,
IF(U93=regle!$E$11,regle!$E$23,
IF(U93=regle!$F$11,regle!$F$23,
IF(U93=regle!$G$11,regle!$G$23,
IF(U93=regle!$H$11,regle!$H$23,
IF(U93=regle!$I$11,regle!$I$23,
IF(U93=regle!$J$11,regle!$J$23,
IF(U93=regle!$K$11,regle!$K$23,0))))))))))))</f>
        <v>-71.054999999999993</v>
      </c>
      <c r="AF93" s="17">
        <f>IF($A93,$J93*(IF(V93=regle!$B$11,regle!$B$23*IF(AO93=-2,1+regle!$B$35,1),
IF(V93=regle!$C$11,regle!$C$23,
IF(V93=regle!$D$11,regle!$D$23,
IF(V93=regle!$E$11,regle!$E$23,
IF(V93=regle!$F$11,regle!$F$23,
IF(V93=regle!$G$11,regle!$G$23,
IF(V93=regle!$H$11,regle!$H$23,
IF(V93=regle!$I$11,regle!$I$23,
IF(V93=regle!$J$11,regle!$J$23,
IF(V93=regle!$K$11,regle!$K$23,0))))))))))))</f>
        <v>0</v>
      </c>
      <c r="AG93" s="17">
        <f>IF($A93,$J93*(IF(W93=regle!$B$11,regle!$B$23*IF(AP93=-2,1+regle!$B$35,1),
IF(W93=regle!$C$11,regle!$C$23,
IF(W93=regle!$D$11,regle!$D$23,
IF(W93=regle!$E$11,regle!$E$23,
IF(W93=regle!$F$11,regle!$F$23,
IF(W93=regle!$G$11,regle!$G$23,
IF(W93=regle!$H$11,regle!$H$23,
IF(W93=regle!$I$11,regle!$I$23,
IF(W93=regle!$J$11,regle!$J$23,
IF(W93=regle!$K$11,regle!$K$23,0))))))))))))</f>
        <v>0</v>
      </c>
      <c r="AH93" s="17">
        <f>IF($A93,$J93*(IF(X93=regle!$B$11,regle!$B$23*IF(AQ93=-2,1+regle!$B$35,1),
IF(X93=regle!$C$11,regle!$C$23,
IF(X93=regle!$D$11,regle!$D$23,
IF(X93=regle!$E$11,regle!$E$23,
IF(X93=regle!$F$11,regle!$F$23,
IF(X93=regle!$G$11,regle!$G$23,
IF(X93=regle!$H$11,regle!$H$23,
IF(X93=regle!$I$11,regle!$I$23,
IF(X93=regle!$J$11,regle!$J$23,
IF(X93=regle!$K$11,regle!$K$23,0))))))))))))</f>
        <v>-71.054999999999993</v>
      </c>
      <c r="AI93" s="17">
        <f>IF($A93,$J93*(IF(Y93=regle!$B$11,regle!$B$23*IF(AR93=-2,1+regle!$B$35,1),
IF(Y93=regle!$C$11,regle!$C$23,
IF(Y93=regle!$D$11,regle!$D$23,
IF(Y93=regle!$E$11,regle!$E$23,
IF(Y93=regle!$F$11,regle!$F$23,
IF(Y93=regle!$G$11,regle!$G$23,
IF(Y93=regle!$H$11,regle!$H$23,
IF(Y93=regle!$I$11,regle!$I$23,
IF(Y93=regle!$J$11,regle!$J$23,
IF(Y93=regle!$K$11,regle!$K$23,0))))))))))))</f>
        <v>0</v>
      </c>
      <c r="AJ93" s="17">
        <f>IF($A93,$J93*(IF(Z93=regle!$B$11,regle!$B$23*IF(AS93=-2,1+regle!$B$35,1),
IF(Z93=regle!$C$11,regle!$C$23,
IF(Z93=regle!$D$11,regle!$D$23,
IF(Z93=regle!$E$11,regle!$E$23,
IF(Z93=regle!$F$11,regle!$F$23,
IF(Z93=regle!$G$11,regle!$G$23,
IF(Z93=regle!$H$11,regle!$H$23,
IF(Z93=regle!$I$11,regle!$I$23,
IF(Z93=regle!$J$11,regle!$J$23,
IF(Z93=regle!$K$11,regle!$K$23,0))))))))))))</f>
        <v>0</v>
      </c>
      <c r="AK93" s="16">
        <f>IF(OR(Q93=regle!$J$11,Q93=regle!$K$11),-2,IF(Q93=regle!$B$11,0,IF(AK$1=$AK$1,IF($O93,-1,regle!$B$2-$M93),IF(AJ93=-1,-1,AJ93+1))))</f>
        <v>0</v>
      </c>
      <c r="AL93" s="16">
        <f>IF(OR(R93=regle!$J$11,R93=regle!$K$11),-2,IF(R93=regle!$B$11,0,IF(AL$1=$AK$1,IF($O93,-1,regle!$B$2-$M93),IF(AK93=-1,-1,AK93+1))))</f>
        <v>1</v>
      </c>
      <c r="AM93" s="16">
        <f>IF(OR(S93=regle!$J$11,S93=regle!$K$11),-2,IF(S93=regle!$B$11,0,IF(AM$1=$AK$1,IF($O93,-1,regle!$B$2-$M93),IF(AL93=-1,-1,AL93+1))))</f>
        <v>2</v>
      </c>
      <c r="AN93" s="16">
        <f>IF(OR(T93=regle!$J$11,T93=regle!$K$11),-2,IF(T93=regle!$B$11,0,IF(AN$1=$AK$1,IF($O93,-1,regle!$B$2-$M93),IF(AM93=-1,-1,AM93+1))))</f>
        <v>3</v>
      </c>
      <c r="AO93" s="16">
        <f>IF(OR(U93=regle!$J$11,U93=regle!$K$11),-2,IF(U93=regle!$B$11,0,IF(AO$1=$AK$1,IF($O93,-1,regle!$B$2-$M93),IF(AN93=-1,-1,AN93+1))))</f>
        <v>4</v>
      </c>
      <c r="AP93" s="16">
        <f>IF(OR(V93=regle!$J$11,V93=regle!$K$11),-2,IF(V93=regle!$B$11,0,IF(AP$1=$AK$1,IF($O93,-1,regle!$B$2-$M93),IF(AO93=-1,-1,AO93+1))))</f>
        <v>5</v>
      </c>
      <c r="AQ93" s="16">
        <f>IF(OR(W93=regle!$J$11,W93=regle!$K$11),-2,IF(W93=regle!$B$11,0,IF(AQ$1=$AK$1,IF($O93,-1,regle!$B$2-$M93),IF(AP93=-1,-1,AP93+1))))</f>
        <v>6</v>
      </c>
      <c r="AR93" s="16">
        <f>IF(OR(X93=regle!$J$11,X93=regle!$K$11),-2,IF(X93=regle!$B$11,0,IF(AR$1=$AK$1,IF($O93,-1,regle!$B$2-$M93),IF(AQ93=-1,-1,AQ93+1))))</f>
        <v>7</v>
      </c>
      <c r="AS93" s="16">
        <f>IF(OR(Y93=regle!$J$11,Y93=regle!$K$11),-2,IF(Y93=regle!$B$11,0,IF(AS$1=$AK$1,IF($O93,-1,regle!$B$2-$M93),IF(AR93=-1,-1,AR93+1))))</f>
        <v>8</v>
      </c>
      <c r="AT93" s="16">
        <f>IF(OR(Z93=regle!$J$11,Z93=regle!$K$11),-2,IF(Z93=regle!$B$11,0,IF(AT$1=$AK$1,IF($O93,-1,regle!$B$2-$M93),IF(AS93=-1,-1,AS93+1))))</f>
        <v>9</v>
      </c>
    </row>
    <row r="94" spans="1:46" x14ac:dyDescent="0.25">
      <c r="A94" t="b">
        <f>modif0!A284</f>
        <v>1</v>
      </c>
      <c r="B94">
        <f>ROW(modif0!B284)</f>
        <v>284</v>
      </c>
      <c r="C94" t="str">
        <f>modif0!D284</f>
        <v>171</v>
      </c>
      <c r="D94" t="str">
        <f>modif0!E284</f>
        <v>MANO</v>
      </c>
      <c r="E94">
        <f>modif0!F284</f>
        <v>17</v>
      </c>
      <c r="F94" t="str">
        <f>modif0!G284</f>
        <v>LANDE DE TABARTON</v>
      </c>
      <c r="G94" t="str">
        <f>modif0!I284</f>
        <v>0B</v>
      </c>
      <c r="H94">
        <f>modif0!J284</f>
        <v>409</v>
      </c>
      <c r="I94" t="str">
        <f>modif0!K284</f>
        <v/>
      </c>
      <c r="J94" s="11">
        <f>modif0!M284</f>
        <v>0.68589999999999995</v>
      </c>
      <c r="K94" s="11" t="str">
        <f>modif0!P284</f>
        <v>CR</v>
      </c>
      <c r="L94" t="str">
        <f>modif0!N284</f>
        <v>PM</v>
      </c>
      <c r="M94">
        <f>modif0!Q284</f>
        <v>2016</v>
      </c>
      <c r="N94" t="str">
        <f>modif0!R284</f>
        <v>CR-PM_2016</v>
      </c>
      <c r="O94" t="b">
        <f>modif0!S284</f>
        <v>1</v>
      </c>
      <c r="P94">
        <v>40</v>
      </c>
      <c r="Q94" t="s">
        <v>1868</v>
      </c>
      <c r="S94" t="s">
        <v>1872</v>
      </c>
      <c r="U94" t="s">
        <v>1870</v>
      </c>
      <c r="X94" t="s">
        <v>1871</v>
      </c>
      <c r="AA94" s="17">
        <f>IF($A94,$J94*(IF(Q94=regle!$B$11,regle!$B$23*IF(AJ94=-2,1+regle!$B$35,1),
IF(Q94=regle!$C$11,regle!$C$23,
IF(Q94=regle!$D$11,regle!$D$23,
IF(Q94=regle!$E$11,regle!$E$23,
IF(Q94=regle!$F$11,regle!$F$23,
IF(Q94=regle!$G$11,regle!$G$23,
IF(Q94=regle!$H$11,regle!$H$23,
IF(Q94=regle!$I$11,regle!$I$23,
IF(Q94=regle!$J$11,regle!$J$23,
IF(Q94=regle!$K$11,regle!$K$23,0))))))))))))</f>
        <v>-1166.03</v>
      </c>
      <c r="AB94" s="17">
        <f>IF($A94,$J94*(IF(R94=regle!$B$11,regle!$B$23*IF(AK94=-2,1+regle!$B$35,1),
IF(R94=regle!$C$11,regle!$C$23,
IF(R94=regle!$D$11,regle!$D$23,
IF(R94=regle!$E$11,regle!$E$23,
IF(R94=regle!$F$11,regle!$F$23,
IF(R94=regle!$G$11,regle!$G$23,
IF(R94=regle!$H$11,regle!$H$23,
IF(R94=regle!$I$11,regle!$I$23,
IF(R94=regle!$J$11,regle!$J$23,
IF(R94=regle!$K$11,regle!$K$23,0))))))))))))</f>
        <v>0</v>
      </c>
      <c r="AC94" s="17">
        <f>IF($A94,$J94*(IF(S94=regle!$B$11,regle!$B$23*IF(AL94=-2,1+regle!$B$35,1),
IF(S94=regle!$C$11,regle!$C$23,
IF(S94=regle!$D$11,regle!$D$23,
IF(S94=regle!$E$11,regle!$E$23,
IF(S94=regle!$F$11,regle!$F$23,
IF(S94=regle!$G$11,regle!$G$23,
IF(S94=regle!$H$11,regle!$H$23,
IF(S94=regle!$I$11,regle!$I$23,
IF(S94=regle!$J$11,regle!$J$23,
IF(S94=regle!$K$11,regle!$K$23,0))))))))))))</f>
        <v>-51.442499999999995</v>
      </c>
      <c r="AD94" s="17">
        <f>IF($A94,$J94*(IF(T94=regle!$B$11,regle!$B$23*IF(AM94=-2,1+regle!$B$35,1),
IF(T94=regle!$C$11,regle!$C$23,
IF(T94=regle!$D$11,regle!$D$23,
IF(T94=regle!$E$11,regle!$E$23,
IF(T94=regle!$F$11,regle!$F$23,
IF(T94=regle!$G$11,regle!$G$23,
IF(T94=regle!$H$11,regle!$H$23,
IF(T94=regle!$I$11,regle!$I$23,
IF(T94=regle!$J$11,regle!$J$23,
IF(T94=regle!$K$11,regle!$K$23,0))))))))))))</f>
        <v>0</v>
      </c>
      <c r="AE94" s="17">
        <f>IF($A94,$J94*(IF(U94=regle!$B$11,regle!$B$23*IF(AN94=-2,1+regle!$B$35,1),
IF(U94=regle!$C$11,regle!$C$23,
IF(U94=regle!$D$11,regle!$D$23,
IF(U94=regle!$E$11,regle!$E$23,
IF(U94=regle!$F$11,regle!$F$23,
IF(U94=regle!$G$11,regle!$G$23,
IF(U94=regle!$H$11,regle!$H$23,
IF(U94=regle!$I$11,regle!$I$23,
IF(U94=regle!$J$11,regle!$J$23,
IF(U94=regle!$K$11,regle!$K$23,0))))))))))))</f>
        <v>-61.730999999999995</v>
      </c>
      <c r="AF94" s="17">
        <f>IF($A94,$J94*(IF(V94=regle!$B$11,regle!$B$23*IF(AO94=-2,1+regle!$B$35,1),
IF(V94=regle!$C$11,regle!$C$23,
IF(V94=regle!$D$11,regle!$D$23,
IF(V94=regle!$E$11,regle!$E$23,
IF(V94=regle!$F$11,regle!$F$23,
IF(V94=regle!$G$11,regle!$G$23,
IF(V94=regle!$H$11,regle!$H$23,
IF(V94=regle!$I$11,regle!$I$23,
IF(V94=regle!$J$11,regle!$J$23,
IF(V94=regle!$K$11,regle!$K$23,0))))))))))))</f>
        <v>0</v>
      </c>
      <c r="AG94" s="17">
        <f>IF($A94,$J94*(IF(W94=regle!$B$11,regle!$B$23*IF(AP94=-2,1+regle!$B$35,1),
IF(W94=regle!$C$11,regle!$C$23,
IF(W94=regle!$D$11,regle!$D$23,
IF(W94=regle!$E$11,regle!$E$23,
IF(W94=regle!$F$11,regle!$F$23,
IF(W94=regle!$G$11,regle!$G$23,
IF(W94=regle!$H$11,regle!$H$23,
IF(W94=regle!$I$11,regle!$I$23,
IF(W94=regle!$J$11,regle!$J$23,
IF(W94=regle!$K$11,regle!$K$23,0))))))))))))</f>
        <v>0</v>
      </c>
      <c r="AH94" s="17">
        <f>IF($A94,$J94*(IF(X94=regle!$B$11,regle!$B$23*IF(AQ94=-2,1+regle!$B$35,1),
IF(X94=regle!$C$11,regle!$C$23,
IF(X94=regle!$D$11,regle!$D$23,
IF(X94=regle!$E$11,regle!$E$23,
IF(X94=regle!$F$11,regle!$F$23,
IF(X94=regle!$G$11,regle!$G$23,
IF(X94=regle!$H$11,regle!$H$23,
IF(X94=regle!$I$11,regle!$I$23,
IF(X94=regle!$J$11,regle!$J$23,
IF(X94=regle!$K$11,regle!$K$23,0))))))))))))</f>
        <v>-61.730999999999995</v>
      </c>
      <c r="AI94" s="17">
        <f>IF($A94,$J94*(IF(Y94=regle!$B$11,regle!$B$23*IF(AR94=-2,1+regle!$B$35,1),
IF(Y94=regle!$C$11,regle!$C$23,
IF(Y94=regle!$D$11,regle!$D$23,
IF(Y94=regle!$E$11,regle!$E$23,
IF(Y94=regle!$F$11,regle!$F$23,
IF(Y94=regle!$G$11,regle!$G$23,
IF(Y94=regle!$H$11,regle!$H$23,
IF(Y94=regle!$I$11,regle!$I$23,
IF(Y94=regle!$J$11,regle!$J$23,
IF(Y94=regle!$K$11,regle!$K$23,0))))))))))))</f>
        <v>0</v>
      </c>
      <c r="AJ94" s="17">
        <f>IF($A94,$J94*(IF(Z94=regle!$B$11,regle!$B$23*IF(AS94=-2,1+regle!$B$35,1),
IF(Z94=regle!$C$11,regle!$C$23,
IF(Z94=regle!$D$11,regle!$D$23,
IF(Z94=regle!$E$11,regle!$E$23,
IF(Z94=regle!$F$11,regle!$F$23,
IF(Z94=regle!$G$11,regle!$G$23,
IF(Z94=regle!$H$11,regle!$H$23,
IF(Z94=regle!$I$11,regle!$I$23,
IF(Z94=regle!$J$11,regle!$J$23,
IF(Z94=regle!$K$11,regle!$K$23,0))))))))))))</f>
        <v>0</v>
      </c>
      <c r="AK94" s="16">
        <f>IF(OR(Q94=regle!$J$11,Q94=regle!$K$11),-2,IF(Q94=regle!$B$11,0,IF(AK$1=$AK$1,IF($O94,-1,regle!$B$2-$M94),IF(AJ94=-1,-1,AJ94+1))))</f>
        <v>0</v>
      </c>
      <c r="AL94" s="16">
        <f>IF(OR(R94=regle!$J$11,R94=regle!$K$11),-2,IF(R94=regle!$B$11,0,IF(AL$1=$AK$1,IF($O94,-1,regle!$B$2-$M94),IF(AK94=-1,-1,AK94+1))))</f>
        <v>1</v>
      </c>
      <c r="AM94" s="16">
        <f>IF(OR(S94=regle!$J$11,S94=regle!$K$11),-2,IF(S94=regle!$B$11,0,IF(AM$1=$AK$1,IF($O94,-1,regle!$B$2-$M94),IF(AL94=-1,-1,AL94+1))))</f>
        <v>2</v>
      </c>
      <c r="AN94" s="16">
        <f>IF(OR(T94=regle!$J$11,T94=regle!$K$11),-2,IF(T94=regle!$B$11,0,IF(AN$1=$AK$1,IF($O94,-1,regle!$B$2-$M94),IF(AM94=-1,-1,AM94+1))))</f>
        <v>3</v>
      </c>
      <c r="AO94" s="16">
        <f>IF(OR(U94=regle!$J$11,U94=regle!$K$11),-2,IF(U94=regle!$B$11,0,IF(AO$1=$AK$1,IF($O94,-1,regle!$B$2-$M94),IF(AN94=-1,-1,AN94+1))))</f>
        <v>4</v>
      </c>
      <c r="AP94" s="16">
        <f>IF(OR(V94=regle!$J$11,V94=regle!$K$11),-2,IF(V94=regle!$B$11,0,IF(AP$1=$AK$1,IF($O94,-1,regle!$B$2-$M94),IF(AO94=-1,-1,AO94+1))))</f>
        <v>5</v>
      </c>
      <c r="AQ94" s="16">
        <f>IF(OR(W94=regle!$J$11,W94=regle!$K$11),-2,IF(W94=regle!$B$11,0,IF(AQ$1=$AK$1,IF($O94,-1,regle!$B$2-$M94),IF(AP94=-1,-1,AP94+1))))</f>
        <v>6</v>
      </c>
      <c r="AR94" s="16">
        <f>IF(OR(X94=regle!$J$11,X94=regle!$K$11),-2,IF(X94=regle!$B$11,0,IF(AR$1=$AK$1,IF($O94,-1,regle!$B$2-$M94),IF(AQ94=-1,-1,AQ94+1))))</f>
        <v>7</v>
      </c>
      <c r="AS94" s="16">
        <f>IF(OR(Y94=regle!$J$11,Y94=regle!$K$11),-2,IF(Y94=regle!$B$11,0,IF(AS$1=$AK$1,IF($O94,-1,regle!$B$2-$M94),IF(AR94=-1,-1,AR94+1))))</f>
        <v>8</v>
      </c>
      <c r="AT94" s="16">
        <f>IF(OR(Z94=regle!$J$11,Z94=regle!$K$11),-2,IF(Z94=regle!$B$11,0,IF(AT$1=$AK$1,IF($O94,-1,regle!$B$2-$M94),IF(AS94=-1,-1,AS94+1))))</f>
        <v>9</v>
      </c>
    </row>
    <row r="95" spans="1:46" x14ac:dyDescent="0.25">
      <c r="A95" t="b">
        <f>modif0!A285</f>
        <v>1</v>
      </c>
      <c r="B95">
        <f>ROW(modif0!B285)</f>
        <v>285</v>
      </c>
      <c r="C95" t="str">
        <f>modif0!D285</f>
        <v>171</v>
      </c>
      <c r="D95" t="str">
        <f>modif0!E285</f>
        <v>MANO</v>
      </c>
      <c r="E95">
        <f>modif0!F285</f>
        <v>17</v>
      </c>
      <c r="F95" t="str">
        <f>modif0!G285</f>
        <v>LANDE DE TABARTON</v>
      </c>
      <c r="G95" t="str">
        <f>modif0!I285</f>
        <v>0B</v>
      </c>
      <c r="H95">
        <f>modif0!J285</f>
        <v>410</v>
      </c>
      <c r="I95" t="str">
        <f>modif0!K285</f>
        <v/>
      </c>
      <c r="J95" s="11">
        <f>modif0!M285</f>
        <v>0.161</v>
      </c>
      <c r="K95" s="11" t="str">
        <f>modif0!P285</f>
        <v>CR</v>
      </c>
      <c r="L95" t="str">
        <f>modif0!N285</f>
        <v>PM</v>
      </c>
      <c r="M95">
        <f>modif0!Q285</f>
        <v>2016</v>
      </c>
      <c r="N95" t="str">
        <f>modif0!R285</f>
        <v>CR-PM_2016</v>
      </c>
      <c r="O95" t="b">
        <f>modif0!S285</f>
        <v>1</v>
      </c>
      <c r="P95">
        <v>40</v>
      </c>
      <c r="Q95" t="s">
        <v>1868</v>
      </c>
      <c r="S95" t="s">
        <v>1872</v>
      </c>
      <c r="U95" t="s">
        <v>1870</v>
      </c>
      <c r="X95" t="s">
        <v>1871</v>
      </c>
      <c r="AA95" s="17">
        <f>IF($A95,$J95*(IF(Q95=regle!$B$11,regle!$B$23*IF(AJ95=-2,1+regle!$B$35,1),
IF(Q95=regle!$C$11,regle!$C$23,
IF(Q95=regle!$D$11,regle!$D$23,
IF(Q95=regle!$E$11,regle!$E$23,
IF(Q95=regle!$F$11,regle!$F$23,
IF(Q95=regle!$G$11,regle!$G$23,
IF(Q95=regle!$H$11,regle!$H$23,
IF(Q95=regle!$I$11,regle!$I$23,
IF(Q95=regle!$J$11,regle!$J$23,
IF(Q95=regle!$K$11,regle!$K$23,0))))))))))))</f>
        <v>-273.7</v>
      </c>
      <c r="AB95" s="17">
        <f>IF($A95,$J95*(IF(R95=regle!$B$11,regle!$B$23*IF(AK95=-2,1+regle!$B$35,1),
IF(R95=regle!$C$11,regle!$C$23,
IF(R95=regle!$D$11,regle!$D$23,
IF(R95=regle!$E$11,regle!$E$23,
IF(R95=regle!$F$11,regle!$F$23,
IF(R95=regle!$G$11,regle!$G$23,
IF(R95=regle!$H$11,regle!$H$23,
IF(R95=regle!$I$11,regle!$I$23,
IF(R95=regle!$J$11,regle!$J$23,
IF(R95=regle!$K$11,regle!$K$23,0))))))))))))</f>
        <v>0</v>
      </c>
      <c r="AC95" s="17">
        <f>IF($A95,$J95*(IF(S95=regle!$B$11,regle!$B$23*IF(AL95=-2,1+regle!$B$35,1),
IF(S95=regle!$C$11,regle!$C$23,
IF(S95=regle!$D$11,regle!$D$23,
IF(S95=regle!$E$11,regle!$E$23,
IF(S95=regle!$F$11,regle!$F$23,
IF(S95=regle!$G$11,regle!$G$23,
IF(S95=regle!$H$11,regle!$H$23,
IF(S95=regle!$I$11,regle!$I$23,
IF(S95=regle!$J$11,regle!$J$23,
IF(S95=regle!$K$11,regle!$K$23,0))))))))))))</f>
        <v>-12.075000000000001</v>
      </c>
      <c r="AD95" s="17">
        <f>IF($A95,$J95*(IF(T95=regle!$B$11,regle!$B$23*IF(AM95=-2,1+regle!$B$35,1),
IF(T95=regle!$C$11,regle!$C$23,
IF(T95=regle!$D$11,regle!$D$23,
IF(T95=regle!$E$11,regle!$E$23,
IF(T95=regle!$F$11,regle!$F$23,
IF(T95=regle!$G$11,regle!$G$23,
IF(T95=regle!$H$11,regle!$H$23,
IF(T95=regle!$I$11,regle!$I$23,
IF(T95=regle!$J$11,regle!$J$23,
IF(T95=regle!$K$11,regle!$K$23,0))))))))))))</f>
        <v>0</v>
      </c>
      <c r="AE95" s="17">
        <f>IF($A95,$J95*(IF(U95=regle!$B$11,regle!$B$23*IF(AN95=-2,1+regle!$B$35,1),
IF(U95=regle!$C$11,regle!$C$23,
IF(U95=regle!$D$11,regle!$D$23,
IF(U95=regle!$E$11,regle!$E$23,
IF(U95=regle!$F$11,regle!$F$23,
IF(U95=regle!$G$11,regle!$G$23,
IF(U95=regle!$H$11,regle!$H$23,
IF(U95=regle!$I$11,regle!$I$23,
IF(U95=regle!$J$11,regle!$J$23,
IF(U95=regle!$K$11,regle!$K$23,0))))))))))))</f>
        <v>-14.49</v>
      </c>
      <c r="AF95" s="17">
        <f>IF($A95,$J95*(IF(V95=regle!$B$11,regle!$B$23*IF(AO95=-2,1+regle!$B$35,1),
IF(V95=regle!$C$11,regle!$C$23,
IF(V95=regle!$D$11,regle!$D$23,
IF(V95=regle!$E$11,regle!$E$23,
IF(V95=regle!$F$11,regle!$F$23,
IF(V95=regle!$G$11,regle!$G$23,
IF(V95=regle!$H$11,regle!$H$23,
IF(V95=regle!$I$11,regle!$I$23,
IF(V95=regle!$J$11,regle!$J$23,
IF(V95=regle!$K$11,regle!$K$23,0))))))))))))</f>
        <v>0</v>
      </c>
      <c r="AG95" s="17">
        <f>IF($A95,$J95*(IF(W95=regle!$B$11,regle!$B$23*IF(AP95=-2,1+regle!$B$35,1),
IF(W95=regle!$C$11,regle!$C$23,
IF(W95=regle!$D$11,regle!$D$23,
IF(W95=regle!$E$11,regle!$E$23,
IF(W95=regle!$F$11,regle!$F$23,
IF(W95=regle!$G$11,regle!$G$23,
IF(W95=regle!$H$11,regle!$H$23,
IF(W95=regle!$I$11,regle!$I$23,
IF(W95=regle!$J$11,regle!$J$23,
IF(W95=regle!$K$11,regle!$K$23,0))))))))))))</f>
        <v>0</v>
      </c>
      <c r="AH95" s="17">
        <f>IF($A95,$J95*(IF(X95=regle!$B$11,regle!$B$23*IF(AQ95=-2,1+regle!$B$35,1),
IF(X95=regle!$C$11,regle!$C$23,
IF(X95=regle!$D$11,regle!$D$23,
IF(X95=regle!$E$11,regle!$E$23,
IF(X95=regle!$F$11,regle!$F$23,
IF(X95=regle!$G$11,regle!$G$23,
IF(X95=regle!$H$11,regle!$H$23,
IF(X95=regle!$I$11,regle!$I$23,
IF(X95=regle!$J$11,regle!$J$23,
IF(X95=regle!$K$11,regle!$K$23,0))))))))))))</f>
        <v>-14.49</v>
      </c>
      <c r="AI95" s="17">
        <f>IF($A95,$J95*(IF(Y95=regle!$B$11,regle!$B$23*IF(AR95=-2,1+regle!$B$35,1),
IF(Y95=regle!$C$11,regle!$C$23,
IF(Y95=regle!$D$11,regle!$D$23,
IF(Y95=regle!$E$11,regle!$E$23,
IF(Y95=regle!$F$11,regle!$F$23,
IF(Y95=regle!$G$11,regle!$G$23,
IF(Y95=regle!$H$11,regle!$H$23,
IF(Y95=regle!$I$11,regle!$I$23,
IF(Y95=regle!$J$11,regle!$J$23,
IF(Y95=regle!$K$11,regle!$K$23,0))))))))))))</f>
        <v>0</v>
      </c>
      <c r="AJ95" s="17">
        <f>IF($A95,$J95*(IF(Z95=regle!$B$11,regle!$B$23*IF(AS95=-2,1+regle!$B$35,1),
IF(Z95=regle!$C$11,regle!$C$23,
IF(Z95=regle!$D$11,regle!$D$23,
IF(Z95=regle!$E$11,regle!$E$23,
IF(Z95=regle!$F$11,regle!$F$23,
IF(Z95=regle!$G$11,regle!$G$23,
IF(Z95=regle!$H$11,regle!$H$23,
IF(Z95=regle!$I$11,regle!$I$23,
IF(Z95=regle!$J$11,regle!$J$23,
IF(Z95=regle!$K$11,regle!$K$23,0))))))))))))</f>
        <v>0</v>
      </c>
      <c r="AK95" s="16">
        <f>IF(OR(Q95=regle!$J$11,Q95=regle!$K$11),-2,IF(Q95=regle!$B$11,0,IF(AK$1=$AK$1,IF($O95,-1,regle!$B$2-$M95),IF(AJ95=-1,-1,AJ95+1))))</f>
        <v>0</v>
      </c>
      <c r="AL95" s="16">
        <f>IF(OR(R95=regle!$J$11,R95=regle!$K$11),-2,IF(R95=regle!$B$11,0,IF(AL$1=$AK$1,IF($O95,-1,regle!$B$2-$M95),IF(AK95=-1,-1,AK95+1))))</f>
        <v>1</v>
      </c>
      <c r="AM95" s="16">
        <f>IF(OR(S95=regle!$J$11,S95=regle!$K$11),-2,IF(S95=regle!$B$11,0,IF(AM$1=$AK$1,IF($O95,-1,regle!$B$2-$M95),IF(AL95=-1,-1,AL95+1))))</f>
        <v>2</v>
      </c>
      <c r="AN95" s="16">
        <f>IF(OR(T95=regle!$J$11,T95=regle!$K$11),-2,IF(T95=regle!$B$11,0,IF(AN$1=$AK$1,IF($O95,-1,regle!$B$2-$M95),IF(AM95=-1,-1,AM95+1))))</f>
        <v>3</v>
      </c>
      <c r="AO95" s="16">
        <f>IF(OR(U95=regle!$J$11,U95=regle!$K$11),-2,IF(U95=regle!$B$11,0,IF(AO$1=$AK$1,IF($O95,-1,regle!$B$2-$M95),IF(AN95=-1,-1,AN95+1))))</f>
        <v>4</v>
      </c>
      <c r="AP95" s="16">
        <f>IF(OR(V95=regle!$J$11,V95=regle!$K$11),-2,IF(V95=regle!$B$11,0,IF(AP$1=$AK$1,IF($O95,-1,regle!$B$2-$M95),IF(AO95=-1,-1,AO95+1))))</f>
        <v>5</v>
      </c>
      <c r="AQ95" s="16">
        <f>IF(OR(W95=regle!$J$11,W95=regle!$K$11),-2,IF(W95=regle!$B$11,0,IF(AQ$1=$AK$1,IF($O95,-1,regle!$B$2-$M95),IF(AP95=-1,-1,AP95+1))))</f>
        <v>6</v>
      </c>
      <c r="AR95" s="16">
        <f>IF(OR(X95=regle!$J$11,X95=regle!$K$11),-2,IF(X95=regle!$B$11,0,IF(AR$1=$AK$1,IF($O95,-1,regle!$B$2-$M95),IF(AQ95=-1,-1,AQ95+1))))</f>
        <v>7</v>
      </c>
      <c r="AS95" s="16">
        <f>IF(OR(Y95=regle!$J$11,Y95=regle!$K$11),-2,IF(Y95=regle!$B$11,0,IF(AS$1=$AK$1,IF($O95,-1,regle!$B$2-$M95),IF(AR95=-1,-1,AR95+1))))</f>
        <v>8</v>
      </c>
      <c r="AT95" s="16">
        <f>IF(OR(Z95=regle!$J$11,Z95=regle!$K$11),-2,IF(Z95=regle!$B$11,0,IF(AT$1=$AK$1,IF($O95,-1,regle!$B$2-$M95),IF(AS95=-1,-1,AS95+1))))</f>
        <v>9</v>
      </c>
    </row>
    <row r="96" spans="1:46" x14ac:dyDescent="0.25">
      <c r="A96" t="b">
        <f>modif0!A267</f>
        <v>1</v>
      </c>
      <c r="B96">
        <f>ROW(modif0!B267)</f>
        <v>267</v>
      </c>
      <c r="C96" t="str">
        <f>modif0!D267</f>
        <v>171</v>
      </c>
      <c r="D96" t="str">
        <f>modif0!E267</f>
        <v>MANO</v>
      </c>
      <c r="E96">
        <f>modif0!F267</f>
        <v>17</v>
      </c>
      <c r="F96" t="str">
        <f>modif0!G267</f>
        <v>LANDE DE TABARTON</v>
      </c>
      <c r="G96" t="str">
        <f>modif0!I267</f>
        <v>0B</v>
      </c>
      <c r="H96">
        <f>modif0!J267</f>
        <v>299</v>
      </c>
      <c r="I96" t="str">
        <f>modif0!K267</f>
        <v/>
      </c>
      <c r="J96" s="11">
        <f>modif0!M267</f>
        <v>0.83499999999999996</v>
      </c>
      <c r="K96" s="11" t="str">
        <f>modif0!P267</f>
        <v>PLA</v>
      </c>
      <c r="L96" t="str">
        <f>modif0!N267</f>
        <v>PM</v>
      </c>
      <c r="M96">
        <f>modif0!Q267</f>
        <v>2023</v>
      </c>
      <c r="N96" t="str">
        <f>modif0!R267</f>
        <v>PLA-PM_2023</v>
      </c>
      <c r="O96" t="b">
        <f>modif0!S267</f>
        <v>0</v>
      </c>
      <c r="P96">
        <v>40</v>
      </c>
      <c r="R96" t="s">
        <v>1872</v>
      </c>
      <c r="T96" t="s">
        <v>1870</v>
      </c>
      <c r="W96" t="s">
        <v>1871</v>
      </c>
      <c r="AA96" s="17">
        <f>IF($A96,$J96*(IF(Q96=regle!$B$11,regle!$B$23*IF(AJ96=-2,1+regle!$B$35,1),
IF(Q96=regle!$C$11,regle!$C$23,
IF(Q96=regle!$D$11,regle!$D$23,
IF(Q96=regle!$E$11,regle!$E$23,
IF(Q96=regle!$F$11,regle!$F$23,
IF(Q96=regle!$G$11,regle!$G$23,
IF(Q96=regle!$H$11,regle!$H$23,
IF(Q96=regle!$I$11,regle!$I$23,
IF(Q96=regle!$J$11,regle!$J$23,
IF(Q96=regle!$K$11,regle!$K$23,0))))))))))))</f>
        <v>0</v>
      </c>
      <c r="AB96" s="17">
        <f>IF($A96,$J96*(IF(R96=regle!$B$11,regle!$B$23*IF(AK96=-2,1+regle!$B$35,1),
IF(R96=regle!$C$11,regle!$C$23,
IF(R96=regle!$D$11,regle!$D$23,
IF(R96=regle!$E$11,regle!$E$23,
IF(R96=regle!$F$11,regle!$F$23,
IF(R96=regle!$G$11,regle!$G$23,
IF(R96=regle!$H$11,regle!$H$23,
IF(R96=regle!$I$11,regle!$I$23,
IF(R96=regle!$J$11,regle!$J$23,
IF(R96=regle!$K$11,regle!$K$23,0))))))))))))</f>
        <v>-62.625</v>
      </c>
      <c r="AC96" s="17">
        <f>IF($A96,$J96*(IF(S96=regle!$B$11,regle!$B$23*IF(AL96=-2,1+regle!$B$35,1),
IF(S96=regle!$C$11,regle!$C$23,
IF(S96=regle!$D$11,regle!$D$23,
IF(S96=regle!$E$11,regle!$E$23,
IF(S96=regle!$F$11,regle!$F$23,
IF(S96=regle!$G$11,regle!$G$23,
IF(S96=regle!$H$11,regle!$H$23,
IF(S96=regle!$I$11,regle!$I$23,
IF(S96=regle!$J$11,regle!$J$23,
IF(S96=regle!$K$11,regle!$K$23,0))))))))))))</f>
        <v>0</v>
      </c>
      <c r="AD96" s="17">
        <f>IF($A96,$J96*(IF(T96=regle!$B$11,regle!$B$23*IF(AM96=-2,1+regle!$B$35,1),
IF(T96=regle!$C$11,regle!$C$23,
IF(T96=regle!$D$11,regle!$D$23,
IF(T96=regle!$E$11,regle!$E$23,
IF(T96=regle!$F$11,regle!$F$23,
IF(T96=regle!$G$11,regle!$G$23,
IF(T96=regle!$H$11,regle!$H$23,
IF(T96=regle!$I$11,regle!$I$23,
IF(T96=regle!$J$11,regle!$J$23,
IF(T96=regle!$K$11,regle!$K$23,0))))))))))))</f>
        <v>-75.149999999999991</v>
      </c>
      <c r="AE96" s="17">
        <f>IF($A96,$J96*(IF(U96=regle!$B$11,regle!$B$23*IF(AN96=-2,1+regle!$B$35,1),
IF(U96=regle!$C$11,regle!$C$23,
IF(U96=regle!$D$11,regle!$D$23,
IF(U96=regle!$E$11,regle!$E$23,
IF(U96=regle!$F$11,regle!$F$23,
IF(U96=regle!$G$11,regle!$G$23,
IF(U96=regle!$H$11,regle!$H$23,
IF(U96=regle!$I$11,regle!$I$23,
IF(U96=regle!$J$11,regle!$J$23,
IF(U96=regle!$K$11,regle!$K$23,0))))))))))))</f>
        <v>0</v>
      </c>
      <c r="AF96" s="17">
        <f>IF($A96,$J96*(IF(V96=regle!$B$11,regle!$B$23*IF(AO96=-2,1+regle!$B$35,1),
IF(V96=regle!$C$11,regle!$C$23,
IF(V96=regle!$D$11,regle!$D$23,
IF(V96=regle!$E$11,regle!$E$23,
IF(V96=regle!$F$11,regle!$F$23,
IF(V96=regle!$G$11,regle!$G$23,
IF(V96=regle!$H$11,regle!$H$23,
IF(V96=regle!$I$11,regle!$I$23,
IF(V96=regle!$J$11,regle!$J$23,
IF(V96=regle!$K$11,regle!$K$23,0))))))))))))</f>
        <v>0</v>
      </c>
      <c r="AG96" s="17">
        <f>IF($A96,$J96*(IF(W96=regle!$B$11,regle!$B$23*IF(AP96=-2,1+regle!$B$35,1),
IF(W96=regle!$C$11,regle!$C$23,
IF(W96=regle!$D$11,regle!$D$23,
IF(W96=regle!$E$11,regle!$E$23,
IF(W96=regle!$F$11,regle!$F$23,
IF(W96=regle!$G$11,regle!$G$23,
IF(W96=regle!$H$11,regle!$H$23,
IF(W96=regle!$I$11,regle!$I$23,
IF(W96=regle!$J$11,regle!$J$23,
IF(W96=regle!$K$11,regle!$K$23,0))))))))))))</f>
        <v>-75.149999999999991</v>
      </c>
      <c r="AH96" s="17">
        <f>IF($A96,$J96*(IF(X96=regle!$B$11,regle!$B$23*IF(AQ96=-2,1+regle!$B$35,1),
IF(X96=regle!$C$11,regle!$C$23,
IF(X96=regle!$D$11,regle!$D$23,
IF(X96=regle!$E$11,regle!$E$23,
IF(X96=regle!$F$11,regle!$F$23,
IF(X96=regle!$G$11,regle!$G$23,
IF(X96=regle!$H$11,regle!$H$23,
IF(X96=regle!$I$11,regle!$I$23,
IF(X96=regle!$J$11,regle!$J$23,
IF(X96=regle!$K$11,regle!$K$23,0))))))))))))</f>
        <v>0</v>
      </c>
      <c r="AI96" s="17">
        <f>IF($A96,$J96*(IF(Y96=regle!$B$11,regle!$B$23*IF(AR96=-2,1+regle!$B$35,1),
IF(Y96=regle!$C$11,regle!$C$23,
IF(Y96=regle!$D$11,regle!$D$23,
IF(Y96=regle!$E$11,regle!$E$23,
IF(Y96=regle!$F$11,regle!$F$23,
IF(Y96=regle!$G$11,regle!$G$23,
IF(Y96=regle!$H$11,regle!$H$23,
IF(Y96=regle!$I$11,regle!$I$23,
IF(Y96=regle!$J$11,regle!$J$23,
IF(Y96=regle!$K$11,regle!$K$23,0))))))))))))</f>
        <v>0</v>
      </c>
      <c r="AJ96" s="17">
        <f>IF($A96,$J96*(IF(Z96=regle!$B$11,regle!$B$23*IF(AS96=-2,1+regle!$B$35,1),
IF(Z96=regle!$C$11,regle!$C$23,
IF(Z96=regle!$D$11,regle!$D$23,
IF(Z96=regle!$E$11,regle!$E$23,
IF(Z96=regle!$F$11,regle!$F$23,
IF(Z96=regle!$G$11,regle!$G$23,
IF(Z96=regle!$H$11,regle!$H$23,
IF(Z96=regle!$I$11,regle!$I$23,
IF(Z96=regle!$J$11,regle!$J$23,
IF(Z96=regle!$K$11,regle!$K$23,0))))))))))))</f>
        <v>0</v>
      </c>
      <c r="AK96" s="16">
        <f>IF(OR(Q96=regle!$J$11,Q96=regle!$K$11),-2,IF(Q96=regle!$B$11,0,IF(AK$1=$AK$1,IF($O96,-1,regle!$B$2-$M96),IF(AJ96=-1,-1,AJ96+1))))</f>
        <v>1</v>
      </c>
      <c r="AL96" s="16">
        <f>IF(OR(R96=regle!$J$11,R96=regle!$K$11),-2,IF(R96=regle!$B$11,0,IF(AL$1=$AK$1,IF($O96,-1,regle!$B$2-$M96),IF(AK96=-1,-1,AK96+1))))</f>
        <v>2</v>
      </c>
      <c r="AM96" s="16">
        <f>IF(OR(S96=regle!$J$11,S96=regle!$K$11),-2,IF(S96=regle!$B$11,0,IF(AM$1=$AK$1,IF($O96,-1,regle!$B$2-$M96),IF(AL96=-1,-1,AL96+1))))</f>
        <v>3</v>
      </c>
      <c r="AN96" s="16">
        <f>IF(OR(T96=regle!$J$11,T96=regle!$K$11),-2,IF(T96=regle!$B$11,0,IF(AN$1=$AK$1,IF($O96,-1,regle!$B$2-$M96),IF(AM96=-1,-1,AM96+1))))</f>
        <v>4</v>
      </c>
      <c r="AO96" s="16">
        <f>IF(OR(U96=regle!$J$11,U96=regle!$K$11),-2,IF(U96=regle!$B$11,0,IF(AO$1=$AK$1,IF($O96,-1,regle!$B$2-$M96),IF(AN96=-1,-1,AN96+1))))</f>
        <v>5</v>
      </c>
      <c r="AP96" s="16">
        <f>IF(OR(V96=regle!$J$11,V96=regle!$K$11),-2,IF(V96=regle!$B$11,0,IF(AP$1=$AK$1,IF($O96,-1,regle!$B$2-$M96),IF(AO96=-1,-1,AO96+1))))</f>
        <v>6</v>
      </c>
      <c r="AQ96" s="16">
        <f>IF(OR(W96=regle!$J$11,W96=regle!$K$11),-2,IF(W96=regle!$B$11,0,IF(AQ$1=$AK$1,IF($O96,-1,regle!$B$2-$M96),IF(AP96=-1,-1,AP96+1))))</f>
        <v>7</v>
      </c>
      <c r="AR96" s="16">
        <f>IF(OR(X96=regle!$J$11,X96=regle!$K$11),-2,IF(X96=regle!$B$11,0,IF(AR$1=$AK$1,IF($O96,-1,regle!$B$2-$M96),IF(AQ96=-1,-1,AQ96+1))))</f>
        <v>8</v>
      </c>
      <c r="AS96" s="16">
        <f>IF(OR(Y96=regle!$J$11,Y96=regle!$K$11),-2,IF(Y96=regle!$B$11,0,IF(AS$1=$AK$1,IF($O96,-1,regle!$B$2-$M96),IF(AR96=-1,-1,AR96+1))))</f>
        <v>9</v>
      </c>
      <c r="AT96" s="16">
        <f>IF(OR(Z96=regle!$J$11,Z96=regle!$K$11),-2,IF(Z96=regle!$B$11,0,IF(AT$1=$AK$1,IF($O96,-1,regle!$B$2-$M96),IF(AS96=-1,-1,AS96+1))))</f>
        <v>10</v>
      </c>
    </row>
    <row r="97" spans="1:46" x14ac:dyDescent="0.25">
      <c r="A97" t="b">
        <f>modif0!A179</f>
        <v>1</v>
      </c>
      <c r="B97">
        <f>ROW(modif0!B179)</f>
        <v>179</v>
      </c>
      <c r="C97" t="str">
        <f>modif0!D179</f>
        <v>202</v>
      </c>
      <c r="D97" t="str">
        <f>modif0!E179</f>
        <v>HOSTENS</v>
      </c>
      <c r="E97">
        <f>modif0!F179</f>
        <v>8</v>
      </c>
      <c r="F97" t="str">
        <f>modif0!G179</f>
        <v>LES BECS</v>
      </c>
      <c r="G97" t="str">
        <f>modif0!I179</f>
        <v>0B</v>
      </c>
      <c r="H97">
        <f>modif0!J179</f>
        <v>1204</v>
      </c>
      <c r="I97" t="str">
        <f>modif0!K179</f>
        <v/>
      </c>
      <c r="J97" s="11">
        <f>modif0!M179</f>
        <v>1.2835000000000001</v>
      </c>
      <c r="K97" s="11" t="str">
        <f>modif0!P179</f>
        <v>PLA</v>
      </c>
      <c r="L97" t="str">
        <f>modif0!N179</f>
        <v>PM</v>
      </c>
      <c r="M97">
        <f>modif0!Q179</f>
        <v>2020</v>
      </c>
      <c r="N97" t="str">
        <f>modif0!R179</f>
        <v>PLA-PM_2020</v>
      </c>
      <c r="O97" t="b">
        <f>modif0!S179</f>
        <v>0</v>
      </c>
      <c r="P97">
        <v>40</v>
      </c>
      <c r="Q97" t="s">
        <v>1870</v>
      </c>
      <c r="T97" t="s">
        <v>1871</v>
      </c>
      <c r="Y97" t="s">
        <v>1803</v>
      </c>
      <c r="AA97" s="17">
        <f>IF($A97,$J97*(IF(Q97=regle!$B$11,regle!$B$23*IF(AJ97=-2,1+regle!$B$35,1),
IF(Q97=regle!$C$11,regle!$C$23,
IF(Q97=regle!$D$11,regle!$D$23,
IF(Q97=regle!$E$11,regle!$E$23,
IF(Q97=regle!$F$11,regle!$F$23,
IF(Q97=regle!$G$11,regle!$G$23,
IF(Q97=regle!$H$11,regle!$H$23,
IF(Q97=regle!$I$11,regle!$I$23,
IF(Q97=regle!$J$11,regle!$J$23,
IF(Q97=regle!$K$11,regle!$K$23,0))))))))))))</f>
        <v>-115.51500000000001</v>
      </c>
      <c r="AB97" s="17">
        <f>IF($A97,$J97*(IF(R97=regle!$B$11,regle!$B$23*IF(AK97=-2,1+regle!$B$35,1),
IF(R97=regle!$C$11,regle!$C$23,
IF(R97=regle!$D$11,regle!$D$23,
IF(R97=regle!$E$11,regle!$E$23,
IF(R97=regle!$F$11,regle!$F$23,
IF(R97=regle!$G$11,regle!$G$23,
IF(R97=regle!$H$11,regle!$H$23,
IF(R97=regle!$I$11,regle!$I$23,
IF(R97=regle!$J$11,regle!$J$23,
IF(R97=regle!$K$11,regle!$K$23,0))))))))))))</f>
        <v>0</v>
      </c>
      <c r="AC97" s="17">
        <f>IF($A97,$J97*(IF(S97=regle!$B$11,regle!$B$23*IF(AL97=-2,1+regle!$B$35,1),
IF(S97=regle!$C$11,regle!$C$23,
IF(S97=regle!$D$11,regle!$D$23,
IF(S97=regle!$E$11,regle!$E$23,
IF(S97=regle!$F$11,regle!$F$23,
IF(S97=regle!$G$11,regle!$G$23,
IF(S97=regle!$H$11,regle!$H$23,
IF(S97=regle!$I$11,regle!$I$23,
IF(S97=regle!$J$11,regle!$J$23,
IF(S97=regle!$K$11,regle!$K$23,0))))))))))))</f>
        <v>0</v>
      </c>
      <c r="AD97" s="17">
        <f>IF($A97,$J97*(IF(T97=regle!$B$11,regle!$B$23*IF(AM97=-2,1+regle!$B$35,1),
IF(T97=regle!$C$11,regle!$C$23,
IF(T97=regle!$D$11,regle!$D$23,
IF(T97=regle!$E$11,regle!$E$23,
IF(T97=regle!$F$11,regle!$F$23,
IF(T97=regle!$G$11,regle!$G$23,
IF(T97=regle!$H$11,regle!$H$23,
IF(T97=regle!$I$11,regle!$I$23,
IF(T97=regle!$J$11,regle!$J$23,
IF(T97=regle!$K$11,regle!$K$23,0))))))))))))</f>
        <v>-115.51500000000001</v>
      </c>
      <c r="AE97" s="17">
        <f>IF($A97,$J97*(IF(U97=regle!$B$11,regle!$B$23*IF(AN97=-2,1+regle!$B$35,1),
IF(U97=regle!$C$11,regle!$C$23,
IF(U97=regle!$D$11,regle!$D$23,
IF(U97=regle!$E$11,regle!$E$23,
IF(U97=regle!$F$11,regle!$F$23,
IF(U97=regle!$G$11,regle!$G$23,
IF(U97=regle!$H$11,regle!$H$23,
IF(U97=regle!$I$11,regle!$I$23,
IF(U97=regle!$J$11,regle!$J$23,
IF(U97=regle!$K$11,regle!$K$23,0))))))))))))</f>
        <v>0</v>
      </c>
      <c r="AF97" s="17">
        <f>IF($A97,$J97*(IF(V97=regle!$B$11,regle!$B$23*IF(AO97=-2,1+regle!$B$35,1),
IF(V97=regle!$C$11,regle!$C$23,
IF(V97=regle!$D$11,regle!$D$23,
IF(V97=regle!$E$11,regle!$E$23,
IF(V97=regle!$F$11,regle!$F$23,
IF(V97=regle!$G$11,regle!$G$23,
IF(V97=regle!$H$11,regle!$H$23,
IF(V97=regle!$I$11,regle!$I$23,
IF(V97=regle!$J$11,regle!$J$23,
IF(V97=regle!$K$11,regle!$K$23,0))))))))))))</f>
        <v>0</v>
      </c>
      <c r="AG97" s="17">
        <f>IF($A97,$J97*(IF(W97=regle!$B$11,regle!$B$23*IF(AP97=-2,1+regle!$B$35,1),
IF(W97=regle!$C$11,regle!$C$23,
IF(W97=regle!$D$11,regle!$D$23,
IF(W97=regle!$E$11,regle!$E$23,
IF(W97=regle!$F$11,regle!$F$23,
IF(W97=regle!$G$11,regle!$G$23,
IF(W97=regle!$H$11,regle!$H$23,
IF(W97=regle!$I$11,regle!$I$23,
IF(W97=regle!$J$11,regle!$J$23,
IF(W97=regle!$K$11,regle!$K$23,0))))))))))))</f>
        <v>0</v>
      </c>
      <c r="AH97" s="17">
        <f>IF($A97,$J97*(IF(X97=regle!$B$11,regle!$B$23*IF(AQ97=-2,1+regle!$B$35,1),
IF(X97=regle!$C$11,regle!$C$23,
IF(X97=regle!$D$11,regle!$D$23,
IF(X97=regle!$E$11,regle!$E$23,
IF(X97=regle!$F$11,regle!$F$23,
IF(X97=regle!$G$11,regle!$G$23,
IF(X97=regle!$H$11,regle!$H$23,
IF(X97=regle!$I$11,regle!$I$23,
IF(X97=regle!$J$11,regle!$J$23,
IF(X97=regle!$K$11,regle!$K$23,0))))))))))))</f>
        <v>0</v>
      </c>
      <c r="AI97" s="17">
        <f>IF($A97,$J97*(IF(Y97=regle!$B$11,regle!$B$23*IF(AR97=-2,1+regle!$B$35,1),
IF(Y97=regle!$C$11,regle!$C$23,
IF(Y97=regle!$D$11,regle!$D$23,
IF(Y97=regle!$E$11,regle!$E$23,
IF(Y97=regle!$F$11,regle!$F$23,
IF(Y97=regle!$G$11,regle!$G$23,
IF(Y97=regle!$H$11,regle!$H$23,
IF(Y97=regle!$I$11,regle!$I$23,
IF(Y97=regle!$J$11,regle!$J$23,
IF(Y97=regle!$K$11,regle!$K$23,0))))))))))))</f>
        <v>739.29600000000005</v>
      </c>
      <c r="AJ97" s="17">
        <f>IF($A97,$J97*(IF(Z97=regle!$B$11,regle!$B$23*IF(AS97=-2,1+regle!$B$35,1),
IF(Z97=regle!$C$11,regle!$C$23,
IF(Z97=regle!$D$11,regle!$D$23,
IF(Z97=regle!$E$11,regle!$E$23,
IF(Z97=regle!$F$11,regle!$F$23,
IF(Z97=regle!$G$11,regle!$G$23,
IF(Z97=regle!$H$11,regle!$H$23,
IF(Z97=regle!$I$11,regle!$I$23,
IF(Z97=regle!$J$11,regle!$J$23,
IF(Z97=regle!$K$11,regle!$K$23,0))))))))))))</f>
        <v>0</v>
      </c>
      <c r="AK97" s="16">
        <f>IF(OR(Q97=regle!$J$11,Q97=regle!$K$11),-2,IF(Q97=regle!$B$11,0,IF(AK$1=$AK$1,IF($O97,-1,regle!$B$2-$M97),IF(AJ97=-1,-1,AJ97+1))))</f>
        <v>4</v>
      </c>
      <c r="AL97" s="16">
        <f>IF(OR(R97=regle!$J$11,R97=regle!$K$11),-2,IF(R97=regle!$B$11,0,IF(AL$1=$AK$1,IF($O97,-1,regle!$B$2-$M97),IF(AK97=-1,-1,AK97+1))))</f>
        <v>5</v>
      </c>
      <c r="AM97" s="16">
        <f>IF(OR(S97=regle!$J$11,S97=regle!$K$11),-2,IF(S97=regle!$B$11,0,IF(AM$1=$AK$1,IF($O97,-1,regle!$B$2-$M97),IF(AL97=-1,-1,AL97+1))))</f>
        <v>6</v>
      </c>
      <c r="AN97" s="16">
        <f>IF(OR(T97=regle!$J$11,T97=regle!$K$11),-2,IF(T97=regle!$B$11,0,IF(AN$1=$AK$1,IF($O97,-1,regle!$B$2-$M97),IF(AM97=-1,-1,AM97+1))))</f>
        <v>7</v>
      </c>
      <c r="AO97" s="16">
        <f>IF(OR(U97=regle!$J$11,U97=regle!$K$11),-2,IF(U97=regle!$B$11,0,IF(AO$1=$AK$1,IF($O97,-1,regle!$B$2-$M97),IF(AN97=-1,-1,AN97+1))))</f>
        <v>8</v>
      </c>
      <c r="AP97" s="16">
        <f>IF(OR(V97=regle!$J$11,V97=regle!$K$11),-2,IF(V97=regle!$B$11,0,IF(AP$1=$AK$1,IF($O97,-1,regle!$B$2-$M97),IF(AO97=-1,-1,AO97+1))))</f>
        <v>9</v>
      </c>
      <c r="AQ97" s="16">
        <f>IF(OR(W97=regle!$J$11,W97=regle!$K$11),-2,IF(W97=regle!$B$11,0,IF(AQ$1=$AK$1,IF($O97,-1,regle!$B$2-$M97),IF(AP97=-1,-1,AP97+1))))</f>
        <v>10</v>
      </c>
      <c r="AR97" s="16">
        <f>IF(OR(X97=regle!$J$11,X97=regle!$K$11),-2,IF(X97=regle!$B$11,0,IF(AR$1=$AK$1,IF($O97,-1,regle!$B$2-$M97),IF(AQ97=-1,-1,AQ97+1))))</f>
        <v>11</v>
      </c>
      <c r="AS97" s="16">
        <f>IF(OR(Y97=regle!$J$11,Y97=regle!$K$11),-2,IF(Y97=regle!$B$11,0,IF(AS$1=$AK$1,IF($O97,-1,regle!$B$2-$M97),IF(AR97=-1,-1,AR97+1))))</f>
        <v>12</v>
      </c>
      <c r="AT97" s="16">
        <f>IF(OR(Z97=regle!$J$11,Z97=regle!$K$11),-2,IF(Z97=regle!$B$11,0,IF(AT$1=$AK$1,IF($O97,-1,regle!$B$2-$M97),IF(AS97=-1,-1,AS97+1))))</f>
        <v>13</v>
      </c>
    </row>
    <row r="98" spans="1:46" x14ac:dyDescent="0.25">
      <c r="A98" t="b">
        <f>modif0!A190</f>
        <v>1</v>
      </c>
      <c r="B98">
        <f>ROW(modif0!B190)</f>
        <v>190</v>
      </c>
      <c r="C98" t="str">
        <f>modif0!D190</f>
        <v>202</v>
      </c>
      <c r="D98" t="str">
        <f>modif0!E190</f>
        <v>HOSTENS</v>
      </c>
      <c r="E98">
        <f>modif0!F190</f>
        <v>8</v>
      </c>
      <c r="F98" t="str">
        <f>modif0!G190</f>
        <v>LES BECS</v>
      </c>
      <c r="G98" t="str">
        <f>modif0!I190</f>
        <v>0B</v>
      </c>
      <c r="H98">
        <f>modif0!J190</f>
        <v>1219</v>
      </c>
      <c r="I98" t="str">
        <f>modif0!K190</f>
        <v/>
      </c>
      <c r="J98" s="11">
        <f>modif0!M190</f>
        <v>0.7</v>
      </c>
      <c r="K98" s="11" t="str">
        <f>modif0!P190</f>
        <v>PLA</v>
      </c>
      <c r="L98" t="str">
        <f>modif0!N190</f>
        <v>PM</v>
      </c>
      <c r="M98">
        <f>modif0!Q190</f>
        <v>2020</v>
      </c>
      <c r="N98" t="str">
        <f>modif0!R190</f>
        <v>PLA-PM_2020</v>
      </c>
      <c r="O98" t="b">
        <f>modif0!S190</f>
        <v>0</v>
      </c>
      <c r="P98">
        <v>40</v>
      </c>
      <c r="Q98" t="s">
        <v>1870</v>
      </c>
      <c r="T98" t="s">
        <v>1871</v>
      </c>
      <c r="Y98" t="s">
        <v>1803</v>
      </c>
      <c r="AA98" s="17">
        <f>IF($A98,$J98*(IF(Q98=regle!$B$11,regle!$B$23*IF(AJ98=-2,1+regle!$B$35,1),
IF(Q98=regle!$C$11,regle!$C$23,
IF(Q98=regle!$D$11,regle!$D$23,
IF(Q98=regle!$E$11,regle!$E$23,
IF(Q98=regle!$F$11,regle!$F$23,
IF(Q98=regle!$G$11,regle!$G$23,
IF(Q98=regle!$H$11,regle!$H$23,
IF(Q98=regle!$I$11,regle!$I$23,
IF(Q98=regle!$J$11,regle!$J$23,
IF(Q98=regle!$K$11,regle!$K$23,0))))))))))))</f>
        <v>-62.999999999999993</v>
      </c>
      <c r="AB98" s="17">
        <f>IF($A98,$J98*(IF(R98=regle!$B$11,regle!$B$23*IF(AK98=-2,1+regle!$B$35,1),
IF(R98=regle!$C$11,regle!$C$23,
IF(R98=regle!$D$11,regle!$D$23,
IF(R98=regle!$E$11,regle!$E$23,
IF(R98=regle!$F$11,regle!$F$23,
IF(R98=regle!$G$11,regle!$G$23,
IF(R98=regle!$H$11,regle!$H$23,
IF(R98=regle!$I$11,regle!$I$23,
IF(R98=regle!$J$11,regle!$J$23,
IF(R98=regle!$K$11,regle!$K$23,0))))))))))))</f>
        <v>0</v>
      </c>
      <c r="AC98" s="17">
        <f>IF($A98,$J98*(IF(S98=regle!$B$11,regle!$B$23*IF(AL98=-2,1+regle!$B$35,1),
IF(S98=regle!$C$11,regle!$C$23,
IF(S98=regle!$D$11,regle!$D$23,
IF(S98=regle!$E$11,regle!$E$23,
IF(S98=regle!$F$11,regle!$F$23,
IF(S98=regle!$G$11,regle!$G$23,
IF(S98=regle!$H$11,regle!$H$23,
IF(S98=regle!$I$11,regle!$I$23,
IF(S98=regle!$J$11,regle!$J$23,
IF(S98=regle!$K$11,regle!$K$23,0))))))))))))</f>
        <v>0</v>
      </c>
      <c r="AD98" s="17">
        <f>IF($A98,$J98*(IF(T98=regle!$B$11,regle!$B$23*IF(AM98=-2,1+regle!$B$35,1),
IF(T98=regle!$C$11,regle!$C$23,
IF(T98=regle!$D$11,regle!$D$23,
IF(T98=regle!$E$11,regle!$E$23,
IF(T98=regle!$F$11,regle!$F$23,
IF(T98=regle!$G$11,regle!$G$23,
IF(T98=regle!$H$11,regle!$H$23,
IF(T98=regle!$I$11,regle!$I$23,
IF(T98=regle!$J$11,regle!$J$23,
IF(T98=regle!$K$11,regle!$K$23,0))))))))))))</f>
        <v>-62.999999999999993</v>
      </c>
      <c r="AE98" s="17">
        <f>IF($A98,$J98*(IF(U98=regle!$B$11,regle!$B$23*IF(AN98=-2,1+regle!$B$35,1),
IF(U98=regle!$C$11,regle!$C$23,
IF(U98=regle!$D$11,regle!$D$23,
IF(U98=regle!$E$11,regle!$E$23,
IF(U98=regle!$F$11,regle!$F$23,
IF(U98=regle!$G$11,regle!$G$23,
IF(U98=regle!$H$11,regle!$H$23,
IF(U98=regle!$I$11,regle!$I$23,
IF(U98=regle!$J$11,regle!$J$23,
IF(U98=regle!$K$11,regle!$K$23,0))))))))))))</f>
        <v>0</v>
      </c>
      <c r="AF98" s="17">
        <f>IF($A98,$J98*(IF(V98=regle!$B$11,regle!$B$23*IF(AO98=-2,1+regle!$B$35,1),
IF(V98=regle!$C$11,regle!$C$23,
IF(V98=regle!$D$11,regle!$D$23,
IF(V98=regle!$E$11,regle!$E$23,
IF(V98=regle!$F$11,regle!$F$23,
IF(V98=regle!$G$11,regle!$G$23,
IF(V98=regle!$H$11,regle!$H$23,
IF(V98=regle!$I$11,regle!$I$23,
IF(V98=regle!$J$11,regle!$J$23,
IF(V98=regle!$K$11,regle!$K$23,0))))))))))))</f>
        <v>0</v>
      </c>
      <c r="AG98" s="17">
        <f>IF($A98,$J98*(IF(W98=regle!$B$11,regle!$B$23*IF(AP98=-2,1+regle!$B$35,1),
IF(W98=regle!$C$11,regle!$C$23,
IF(W98=regle!$D$11,regle!$D$23,
IF(W98=regle!$E$11,regle!$E$23,
IF(W98=regle!$F$11,regle!$F$23,
IF(W98=regle!$G$11,regle!$G$23,
IF(W98=regle!$H$11,regle!$H$23,
IF(W98=regle!$I$11,regle!$I$23,
IF(W98=regle!$J$11,regle!$J$23,
IF(W98=regle!$K$11,regle!$K$23,0))))))))))))</f>
        <v>0</v>
      </c>
      <c r="AH98" s="17">
        <f>IF($A98,$J98*(IF(X98=regle!$B$11,regle!$B$23*IF(AQ98=-2,1+regle!$B$35,1),
IF(X98=regle!$C$11,regle!$C$23,
IF(X98=regle!$D$11,regle!$D$23,
IF(X98=regle!$E$11,regle!$E$23,
IF(X98=regle!$F$11,regle!$F$23,
IF(X98=regle!$G$11,regle!$G$23,
IF(X98=regle!$H$11,regle!$H$23,
IF(X98=regle!$I$11,regle!$I$23,
IF(X98=regle!$J$11,regle!$J$23,
IF(X98=regle!$K$11,regle!$K$23,0))))))))))))</f>
        <v>0</v>
      </c>
      <c r="AI98" s="17">
        <f>IF($A98,$J98*(IF(Y98=regle!$B$11,regle!$B$23*IF(AR98=-2,1+regle!$B$35,1),
IF(Y98=regle!$C$11,regle!$C$23,
IF(Y98=regle!$D$11,regle!$D$23,
IF(Y98=regle!$E$11,regle!$E$23,
IF(Y98=regle!$F$11,regle!$F$23,
IF(Y98=regle!$G$11,regle!$G$23,
IF(Y98=regle!$H$11,regle!$H$23,
IF(Y98=regle!$I$11,regle!$I$23,
IF(Y98=regle!$J$11,regle!$J$23,
IF(Y98=regle!$K$11,regle!$K$23,0))))))))))))</f>
        <v>403.2</v>
      </c>
      <c r="AJ98" s="17">
        <f>IF($A98,$J98*(IF(Z98=regle!$B$11,regle!$B$23*IF(AS98=-2,1+regle!$B$35,1),
IF(Z98=regle!$C$11,regle!$C$23,
IF(Z98=regle!$D$11,regle!$D$23,
IF(Z98=regle!$E$11,regle!$E$23,
IF(Z98=regle!$F$11,regle!$F$23,
IF(Z98=regle!$G$11,regle!$G$23,
IF(Z98=regle!$H$11,regle!$H$23,
IF(Z98=regle!$I$11,regle!$I$23,
IF(Z98=regle!$J$11,regle!$J$23,
IF(Z98=regle!$K$11,regle!$K$23,0))))))))))))</f>
        <v>0</v>
      </c>
      <c r="AK98" s="16">
        <f>IF(OR(Q98=regle!$J$11,Q98=regle!$K$11),-2,IF(Q98=regle!$B$11,0,IF(AK$1=$AK$1,IF($O98,-1,regle!$B$2-$M98),IF(AJ98=-1,-1,AJ98+1))))</f>
        <v>4</v>
      </c>
      <c r="AL98" s="16">
        <f>IF(OR(R98=regle!$J$11,R98=regle!$K$11),-2,IF(R98=regle!$B$11,0,IF(AL$1=$AK$1,IF($O98,-1,regle!$B$2-$M98),IF(AK98=-1,-1,AK98+1))))</f>
        <v>5</v>
      </c>
      <c r="AM98" s="16">
        <f>IF(OR(S98=regle!$J$11,S98=regle!$K$11),-2,IF(S98=regle!$B$11,0,IF(AM$1=$AK$1,IF($O98,-1,regle!$B$2-$M98),IF(AL98=-1,-1,AL98+1))))</f>
        <v>6</v>
      </c>
      <c r="AN98" s="16">
        <f>IF(OR(T98=regle!$J$11,T98=regle!$K$11),-2,IF(T98=regle!$B$11,0,IF(AN$1=$AK$1,IF($O98,-1,regle!$B$2-$M98),IF(AM98=-1,-1,AM98+1))))</f>
        <v>7</v>
      </c>
      <c r="AO98" s="16">
        <f>IF(OR(U98=regle!$J$11,U98=regle!$K$11),-2,IF(U98=regle!$B$11,0,IF(AO$1=$AK$1,IF($O98,-1,regle!$B$2-$M98),IF(AN98=-1,-1,AN98+1))))</f>
        <v>8</v>
      </c>
      <c r="AP98" s="16">
        <f>IF(OR(V98=regle!$J$11,V98=regle!$K$11),-2,IF(V98=regle!$B$11,0,IF(AP$1=$AK$1,IF($O98,-1,regle!$B$2-$M98),IF(AO98=-1,-1,AO98+1))))</f>
        <v>9</v>
      </c>
      <c r="AQ98" s="16">
        <f>IF(OR(W98=regle!$J$11,W98=regle!$K$11),-2,IF(W98=regle!$B$11,0,IF(AQ$1=$AK$1,IF($O98,-1,regle!$B$2-$M98),IF(AP98=-1,-1,AP98+1))))</f>
        <v>10</v>
      </c>
      <c r="AR98" s="16">
        <f>IF(OR(X98=regle!$J$11,X98=regle!$K$11),-2,IF(X98=regle!$B$11,0,IF(AR$1=$AK$1,IF($O98,-1,regle!$B$2-$M98),IF(AQ98=-1,-1,AQ98+1))))</f>
        <v>11</v>
      </c>
      <c r="AS98" s="16">
        <f>IF(OR(Y98=regle!$J$11,Y98=regle!$K$11),-2,IF(Y98=regle!$B$11,0,IF(AS$1=$AK$1,IF($O98,-1,regle!$B$2-$M98),IF(AR98=-1,-1,AR98+1))))</f>
        <v>12</v>
      </c>
      <c r="AT98" s="16">
        <f>IF(OR(Z98=regle!$J$11,Z98=regle!$K$11),-2,IF(Z98=regle!$B$11,0,IF(AT$1=$AK$1,IF($O98,-1,regle!$B$2-$M98),IF(AS98=-1,-1,AS98+1))))</f>
        <v>13</v>
      </c>
    </row>
    <row r="99" spans="1:46" x14ac:dyDescent="0.25">
      <c r="A99" t="b">
        <f>modif0!A189</f>
        <v>1</v>
      </c>
      <c r="B99">
        <f>ROW(modif0!B189)</f>
        <v>189</v>
      </c>
      <c r="C99" t="str">
        <f>modif0!D189</f>
        <v>202</v>
      </c>
      <c r="D99" t="str">
        <f>modif0!E189</f>
        <v>HOSTENS</v>
      </c>
      <c r="E99">
        <f>modif0!F189</f>
        <v>8</v>
      </c>
      <c r="F99" t="str">
        <f>modif0!G189</f>
        <v>LES BECS</v>
      </c>
      <c r="G99" t="str">
        <f>modif0!I189</f>
        <v>0B</v>
      </c>
      <c r="H99">
        <f>modif0!J189</f>
        <v>1218</v>
      </c>
      <c r="I99" t="str">
        <f>modif0!K189</f>
        <v/>
      </c>
      <c r="J99" s="11">
        <f>modif0!M189</f>
        <v>0.53449999999999998</v>
      </c>
      <c r="K99" s="11" t="str">
        <f>modif0!P189</f>
        <v>PLA</v>
      </c>
      <c r="L99" t="str">
        <f>modif0!N189</f>
        <v>PM</v>
      </c>
      <c r="M99">
        <f>modif0!Q189</f>
        <v>2020</v>
      </c>
      <c r="N99" t="str">
        <f>modif0!R189</f>
        <v>PLA-PM_2020</v>
      </c>
      <c r="O99" t="b">
        <f>modif0!S189</f>
        <v>0</v>
      </c>
      <c r="P99">
        <v>40</v>
      </c>
      <c r="Q99" t="s">
        <v>1870</v>
      </c>
      <c r="T99" t="s">
        <v>1871</v>
      </c>
      <c r="Y99" t="s">
        <v>1803</v>
      </c>
      <c r="AA99" s="17">
        <f>IF($A99,$J99*(IF(Q99=regle!$B$11,regle!$B$23*IF(AJ99=-2,1+regle!$B$35,1),
IF(Q99=regle!$C$11,regle!$C$23,
IF(Q99=regle!$D$11,regle!$D$23,
IF(Q99=regle!$E$11,regle!$E$23,
IF(Q99=regle!$F$11,regle!$F$23,
IF(Q99=regle!$G$11,regle!$G$23,
IF(Q99=regle!$H$11,regle!$H$23,
IF(Q99=regle!$I$11,regle!$I$23,
IF(Q99=regle!$J$11,regle!$J$23,
IF(Q99=regle!$K$11,regle!$K$23,0))))))))))))</f>
        <v>-48.104999999999997</v>
      </c>
      <c r="AB99" s="17">
        <f>IF($A99,$J99*(IF(R99=regle!$B$11,regle!$B$23*IF(AK99=-2,1+regle!$B$35,1),
IF(R99=regle!$C$11,regle!$C$23,
IF(R99=regle!$D$11,regle!$D$23,
IF(R99=regle!$E$11,regle!$E$23,
IF(R99=regle!$F$11,regle!$F$23,
IF(R99=regle!$G$11,regle!$G$23,
IF(R99=regle!$H$11,regle!$H$23,
IF(R99=regle!$I$11,regle!$I$23,
IF(R99=regle!$J$11,regle!$J$23,
IF(R99=regle!$K$11,regle!$K$23,0))))))))))))</f>
        <v>0</v>
      </c>
      <c r="AC99" s="17">
        <f>IF($A99,$J99*(IF(S99=regle!$B$11,regle!$B$23*IF(AL99=-2,1+regle!$B$35,1),
IF(S99=regle!$C$11,regle!$C$23,
IF(S99=regle!$D$11,regle!$D$23,
IF(S99=regle!$E$11,regle!$E$23,
IF(S99=regle!$F$11,regle!$F$23,
IF(S99=regle!$G$11,regle!$G$23,
IF(S99=regle!$H$11,regle!$H$23,
IF(S99=regle!$I$11,regle!$I$23,
IF(S99=regle!$J$11,regle!$J$23,
IF(S99=regle!$K$11,regle!$K$23,0))))))))))))</f>
        <v>0</v>
      </c>
      <c r="AD99" s="17">
        <f>IF($A99,$J99*(IF(T99=regle!$B$11,regle!$B$23*IF(AM99=-2,1+regle!$B$35,1),
IF(T99=regle!$C$11,regle!$C$23,
IF(T99=regle!$D$11,regle!$D$23,
IF(T99=regle!$E$11,regle!$E$23,
IF(T99=regle!$F$11,regle!$F$23,
IF(T99=regle!$G$11,regle!$G$23,
IF(T99=regle!$H$11,regle!$H$23,
IF(T99=regle!$I$11,regle!$I$23,
IF(T99=regle!$J$11,regle!$J$23,
IF(T99=regle!$K$11,regle!$K$23,0))))))))))))</f>
        <v>-48.104999999999997</v>
      </c>
      <c r="AE99" s="17">
        <f>IF($A99,$J99*(IF(U99=regle!$B$11,regle!$B$23*IF(AN99=-2,1+regle!$B$35,1),
IF(U99=regle!$C$11,regle!$C$23,
IF(U99=regle!$D$11,regle!$D$23,
IF(U99=regle!$E$11,regle!$E$23,
IF(U99=regle!$F$11,regle!$F$23,
IF(U99=regle!$G$11,regle!$G$23,
IF(U99=regle!$H$11,regle!$H$23,
IF(U99=regle!$I$11,regle!$I$23,
IF(U99=regle!$J$11,regle!$J$23,
IF(U99=regle!$K$11,regle!$K$23,0))))))))))))</f>
        <v>0</v>
      </c>
      <c r="AF99" s="17">
        <f>IF($A99,$J99*(IF(V99=regle!$B$11,regle!$B$23*IF(AO99=-2,1+regle!$B$35,1),
IF(V99=regle!$C$11,regle!$C$23,
IF(V99=regle!$D$11,regle!$D$23,
IF(V99=regle!$E$11,regle!$E$23,
IF(V99=regle!$F$11,regle!$F$23,
IF(V99=regle!$G$11,regle!$G$23,
IF(V99=regle!$H$11,regle!$H$23,
IF(V99=regle!$I$11,regle!$I$23,
IF(V99=regle!$J$11,regle!$J$23,
IF(V99=regle!$K$11,regle!$K$23,0))))))))))))</f>
        <v>0</v>
      </c>
      <c r="AG99" s="17">
        <f>IF($A99,$J99*(IF(W99=regle!$B$11,regle!$B$23*IF(AP99=-2,1+regle!$B$35,1),
IF(W99=regle!$C$11,regle!$C$23,
IF(W99=regle!$D$11,regle!$D$23,
IF(W99=regle!$E$11,regle!$E$23,
IF(W99=regle!$F$11,regle!$F$23,
IF(W99=regle!$G$11,regle!$G$23,
IF(W99=regle!$H$11,regle!$H$23,
IF(W99=regle!$I$11,regle!$I$23,
IF(W99=regle!$J$11,regle!$J$23,
IF(W99=regle!$K$11,regle!$K$23,0))))))))))))</f>
        <v>0</v>
      </c>
      <c r="AH99" s="17">
        <f>IF($A99,$J99*(IF(X99=regle!$B$11,regle!$B$23*IF(AQ99=-2,1+regle!$B$35,1),
IF(X99=regle!$C$11,regle!$C$23,
IF(X99=regle!$D$11,regle!$D$23,
IF(X99=regle!$E$11,regle!$E$23,
IF(X99=regle!$F$11,regle!$F$23,
IF(X99=regle!$G$11,regle!$G$23,
IF(X99=regle!$H$11,regle!$H$23,
IF(X99=regle!$I$11,regle!$I$23,
IF(X99=regle!$J$11,regle!$J$23,
IF(X99=regle!$K$11,regle!$K$23,0))))))))))))</f>
        <v>0</v>
      </c>
      <c r="AI99" s="17">
        <f>IF($A99,$J99*(IF(Y99=regle!$B$11,regle!$B$23*IF(AR99=-2,1+regle!$B$35,1),
IF(Y99=regle!$C$11,regle!$C$23,
IF(Y99=regle!$D$11,regle!$D$23,
IF(Y99=regle!$E$11,regle!$E$23,
IF(Y99=regle!$F$11,regle!$F$23,
IF(Y99=regle!$G$11,regle!$G$23,
IF(Y99=regle!$H$11,regle!$H$23,
IF(Y99=regle!$I$11,regle!$I$23,
IF(Y99=regle!$J$11,regle!$J$23,
IF(Y99=regle!$K$11,regle!$K$23,0))))))))))))</f>
        <v>307.87199999999996</v>
      </c>
      <c r="AJ99" s="17">
        <f>IF($A99,$J99*(IF(Z99=regle!$B$11,regle!$B$23*IF(AS99=-2,1+regle!$B$35,1),
IF(Z99=regle!$C$11,regle!$C$23,
IF(Z99=regle!$D$11,regle!$D$23,
IF(Z99=regle!$E$11,regle!$E$23,
IF(Z99=regle!$F$11,regle!$F$23,
IF(Z99=regle!$G$11,regle!$G$23,
IF(Z99=regle!$H$11,regle!$H$23,
IF(Z99=regle!$I$11,regle!$I$23,
IF(Z99=regle!$J$11,regle!$J$23,
IF(Z99=regle!$K$11,regle!$K$23,0))))))))))))</f>
        <v>0</v>
      </c>
      <c r="AK99" s="16">
        <f>IF(OR(Q99=regle!$J$11,Q99=regle!$K$11),-2,IF(Q99=regle!$B$11,0,IF(AK$1=$AK$1,IF($O99,-1,regle!$B$2-$M99),IF(AJ99=-1,-1,AJ99+1))))</f>
        <v>4</v>
      </c>
      <c r="AL99" s="16">
        <f>IF(OR(R99=regle!$J$11,R99=regle!$K$11),-2,IF(R99=regle!$B$11,0,IF(AL$1=$AK$1,IF($O99,-1,regle!$B$2-$M99),IF(AK99=-1,-1,AK99+1))))</f>
        <v>5</v>
      </c>
      <c r="AM99" s="16">
        <f>IF(OR(S99=regle!$J$11,S99=regle!$K$11),-2,IF(S99=regle!$B$11,0,IF(AM$1=$AK$1,IF($O99,-1,regle!$B$2-$M99),IF(AL99=-1,-1,AL99+1))))</f>
        <v>6</v>
      </c>
      <c r="AN99" s="16">
        <f>IF(OR(T99=regle!$J$11,T99=regle!$K$11),-2,IF(T99=regle!$B$11,0,IF(AN$1=$AK$1,IF($O99,-1,regle!$B$2-$M99),IF(AM99=-1,-1,AM99+1))))</f>
        <v>7</v>
      </c>
      <c r="AO99" s="16">
        <f>IF(OR(U99=regle!$J$11,U99=regle!$K$11),-2,IF(U99=regle!$B$11,0,IF(AO$1=$AK$1,IF($O99,-1,regle!$B$2-$M99),IF(AN99=-1,-1,AN99+1))))</f>
        <v>8</v>
      </c>
      <c r="AP99" s="16">
        <f>IF(OR(V99=regle!$J$11,V99=regle!$K$11),-2,IF(V99=regle!$B$11,0,IF(AP$1=$AK$1,IF($O99,-1,regle!$B$2-$M99),IF(AO99=-1,-1,AO99+1))))</f>
        <v>9</v>
      </c>
      <c r="AQ99" s="16">
        <f>IF(OR(W99=regle!$J$11,W99=regle!$K$11),-2,IF(W99=regle!$B$11,0,IF(AQ$1=$AK$1,IF($O99,-1,regle!$B$2-$M99),IF(AP99=-1,-1,AP99+1))))</f>
        <v>10</v>
      </c>
      <c r="AR99" s="16">
        <f>IF(OR(X99=regle!$J$11,X99=regle!$K$11),-2,IF(X99=regle!$B$11,0,IF(AR$1=$AK$1,IF($O99,-1,regle!$B$2-$M99),IF(AQ99=-1,-1,AQ99+1))))</f>
        <v>11</v>
      </c>
      <c r="AS99" s="16">
        <f>IF(OR(Y99=regle!$J$11,Y99=regle!$K$11),-2,IF(Y99=regle!$B$11,0,IF(AS$1=$AK$1,IF($O99,-1,regle!$B$2-$M99),IF(AR99=-1,-1,AR99+1))))</f>
        <v>12</v>
      </c>
      <c r="AT99" s="16">
        <f>IF(OR(Z99=regle!$J$11,Z99=regle!$K$11),-2,IF(Z99=regle!$B$11,0,IF(AT$1=$AK$1,IF($O99,-1,regle!$B$2-$M99),IF(AS99=-1,-1,AS99+1))))</f>
        <v>13</v>
      </c>
    </row>
    <row r="100" spans="1:46" x14ac:dyDescent="0.25">
      <c r="A100" t="b">
        <f>modif0!A177</f>
        <v>1</v>
      </c>
      <c r="B100">
        <f>ROW(modif0!B177)</f>
        <v>177</v>
      </c>
      <c r="C100" t="str">
        <f>modif0!D177</f>
        <v>202</v>
      </c>
      <c r="D100" t="str">
        <f>modif0!E177</f>
        <v>HOSTENS</v>
      </c>
      <c r="E100">
        <f>modif0!F177</f>
        <v>8</v>
      </c>
      <c r="F100" t="str">
        <f>modif0!G177</f>
        <v>LES BECS</v>
      </c>
      <c r="G100" t="str">
        <f>modif0!I177</f>
        <v>0B</v>
      </c>
      <c r="H100">
        <f>modif0!J177</f>
        <v>1202</v>
      </c>
      <c r="I100" t="str">
        <f>modif0!K177</f>
        <v>j</v>
      </c>
      <c r="J100" s="11">
        <f>modif0!M177</f>
        <v>0.38740000000000002</v>
      </c>
      <c r="K100" s="11" t="str">
        <f>modif0!P177</f>
        <v>PLA</v>
      </c>
      <c r="L100" t="str">
        <f>modif0!N177</f>
        <v>PM</v>
      </c>
      <c r="M100">
        <f>modif0!Q177</f>
        <v>2020</v>
      </c>
      <c r="N100" t="str">
        <f>modif0!R177</f>
        <v>PLA-PM_2020</v>
      </c>
      <c r="O100" t="b">
        <f>modif0!S177</f>
        <v>0</v>
      </c>
      <c r="P100">
        <v>40</v>
      </c>
      <c r="Q100" t="s">
        <v>1870</v>
      </c>
      <c r="T100" t="s">
        <v>1871</v>
      </c>
      <c r="Y100" t="s">
        <v>1803</v>
      </c>
      <c r="AA100" s="17">
        <f>IF($A100,$J100*(IF(Q100=regle!$B$11,regle!$B$23*IF(AJ100=-2,1+regle!$B$35,1),
IF(Q100=regle!$C$11,regle!$C$23,
IF(Q100=regle!$D$11,regle!$D$23,
IF(Q100=regle!$E$11,regle!$E$23,
IF(Q100=regle!$F$11,regle!$F$23,
IF(Q100=regle!$G$11,regle!$G$23,
IF(Q100=regle!$H$11,regle!$H$23,
IF(Q100=regle!$I$11,regle!$I$23,
IF(Q100=regle!$J$11,regle!$J$23,
IF(Q100=regle!$K$11,regle!$K$23,0))))))))))))</f>
        <v>-34.866</v>
      </c>
      <c r="AB100" s="17">
        <f>IF($A100,$J100*(IF(R100=regle!$B$11,regle!$B$23*IF(AK100=-2,1+regle!$B$35,1),
IF(R100=regle!$C$11,regle!$C$23,
IF(R100=regle!$D$11,regle!$D$23,
IF(R100=regle!$E$11,regle!$E$23,
IF(R100=regle!$F$11,regle!$F$23,
IF(R100=regle!$G$11,regle!$G$23,
IF(R100=regle!$H$11,regle!$H$23,
IF(R100=regle!$I$11,regle!$I$23,
IF(R100=regle!$J$11,regle!$J$23,
IF(R100=regle!$K$11,regle!$K$23,0))))))))))))</f>
        <v>0</v>
      </c>
      <c r="AC100" s="17">
        <f>IF($A100,$J100*(IF(S100=regle!$B$11,regle!$B$23*IF(AL100=-2,1+regle!$B$35,1),
IF(S100=regle!$C$11,regle!$C$23,
IF(S100=regle!$D$11,regle!$D$23,
IF(S100=regle!$E$11,regle!$E$23,
IF(S100=regle!$F$11,regle!$F$23,
IF(S100=regle!$G$11,regle!$G$23,
IF(S100=regle!$H$11,regle!$H$23,
IF(S100=regle!$I$11,regle!$I$23,
IF(S100=regle!$J$11,regle!$J$23,
IF(S100=regle!$K$11,regle!$K$23,0))))))))))))</f>
        <v>0</v>
      </c>
      <c r="AD100" s="17">
        <f>IF($A100,$J100*(IF(T100=regle!$B$11,regle!$B$23*IF(AM100=-2,1+regle!$B$35,1),
IF(T100=regle!$C$11,regle!$C$23,
IF(T100=regle!$D$11,regle!$D$23,
IF(T100=regle!$E$11,regle!$E$23,
IF(T100=regle!$F$11,regle!$F$23,
IF(T100=regle!$G$11,regle!$G$23,
IF(T100=regle!$H$11,regle!$H$23,
IF(T100=regle!$I$11,regle!$I$23,
IF(T100=regle!$J$11,regle!$J$23,
IF(T100=regle!$K$11,regle!$K$23,0))))))))))))</f>
        <v>-34.866</v>
      </c>
      <c r="AE100" s="17">
        <f>IF($A100,$J100*(IF(U100=regle!$B$11,regle!$B$23*IF(AN100=-2,1+regle!$B$35,1),
IF(U100=regle!$C$11,regle!$C$23,
IF(U100=regle!$D$11,regle!$D$23,
IF(U100=regle!$E$11,regle!$E$23,
IF(U100=regle!$F$11,regle!$F$23,
IF(U100=regle!$G$11,regle!$G$23,
IF(U100=regle!$H$11,regle!$H$23,
IF(U100=regle!$I$11,regle!$I$23,
IF(U100=regle!$J$11,regle!$J$23,
IF(U100=regle!$K$11,regle!$K$23,0))))))))))))</f>
        <v>0</v>
      </c>
      <c r="AF100" s="17">
        <f>IF($A100,$J100*(IF(V100=regle!$B$11,regle!$B$23*IF(AO100=-2,1+regle!$B$35,1),
IF(V100=regle!$C$11,regle!$C$23,
IF(V100=regle!$D$11,regle!$D$23,
IF(V100=regle!$E$11,regle!$E$23,
IF(V100=regle!$F$11,regle!$F$23,
IF(V100=regle!$G$11,regle!$G$23,
IF(V100=regle!$H$11,regle!$H$23,
IF(V100=regle!$I$11,regle!$I$23,
IF(V100=regle!$J$11,regle!$J$23,
IF(V100=regle!$K$11,regle!$K$23,0))))))))))))</f>
        <v>0</v>
      </c>
      <c r="AG100" s="17">
        <f>IF($A100,$J100*(IF(W100=regle!$B$11,regle!$B$23*IF(AP100=-2,1+regle!$B$35,1),
IF(W100=regle!$C$11,regle!$C$23,
IF(W100=regle!$D$11,regle!$D$23,
IF(W100=regle!$E$11,regle!$E$23,
IF(W100=regle!$F$11,regle!$F$23,
IF(W100=regle!$G$11,regle!$G$23,
IF(W100=regle!$H$11,regle!$H$23,
IF(W100=regle!$I$11,regle!$I$23,
IF(W100=regle!$J$11,regle!$J$23,
IF(W100=regle!$K$11,regle!$K$23,0))))))))))))</f>
        <v>0</v>
      </c>
      <c r="AH100" s="17">
        <f>IF($A100,$J100*(IF(X100=regle!$B$11,regle!$B$23*IF(AQ100=-2,1+regle!$B$35,1),
IF(X100=regle!$C$11,regle!$C$23,
IF(X100=regle!$D$11,regle!$D$23,
IF(X100=regle!$E$11,regle!$E$23,
IF(X100=regle!$F$11,regle!$F$23,
IF(X100=regle!$G$11,regle!$G$23,
IF(X100=regle!$H$11,regle!$H$23,
IF(X100=regle!$I$11,regle!$I$23,
IF(X100=regle!$J$11,regle!$J$23,
IF(X100=regle!$K$11,regle!$K$23,0))))))))))))</f>
        <v>0</v>
      </c>
      <c r="AI100" s="17">
        <f>IF($A100,$J100*(IF(Y100=regle!$B$11,regle!$B$23*IF(AR100=-2,1+regle!$B$35,1),
IF(Y100=regle!$C$11,regle!$C$23,
IF(Y100=regle!$D$11,regle!$D$23,
IF(Y100=regle!$E$11,regle!$E$23,
IF(Y100=regle!$F$11,regle!$F$23,
IF(Y100=regle!$G$11,regle!$G$23,
IF(Y100=regle!$H$11,regle!$H$23,
IF(Y100=regle!$I$11,regle!$I$23,
IF(Y100=regle!$J$11,regle!$J$23,
IF(Y100=regle!$K$11,regle!$K$23,0))))))))))))</f>
        <v>223.14240000000001</v>
      </c>
      <c r="AJ100" s="17">
        <f>IF($A100,$J100*(IF(Z100=regle!$B$11,regle!$B$23*IF(AS100=-2,1+regle!$B$35,1),
IF(Z100=regle!$C$11,regle!$C$23,
IF(Z100=regle!$D$11,regle!$D$23,
IF(Z100=regle!$E$11,regle!$E$23,
IF(Z100=regle!$F$11,regle!$F$23,
IF(Z100=regle!$G$11,regle!$G$23,
IF(Z100=regle!$H$11,regle!$H$23,
IF(Z100=regle!$I$11,regle!$I$23,
IF(Z100=regle!$J$11,regle!$J$23,
IF(Z100=regle!$K$11,regle!$K$23,0))))))))))))</f>
        <v>0</v>
      </c>
      <c r="AK100" s="16">
        <f>IF(OR(Q100=regle!$J$11,Q100=regle!$K$11),-2,IF(Q100=regle!$B$11,0,IF(AK$1=$AK$1,IF($O100,-1,regle!$B$2-$M100),IF(AJ100=-1,-1,AJ100+1))))</f>
        <v>4</v>
      </c>
      <c r="AL100" s="16">
        <f>IF(OR(R100=regle!$J$11,R100=regle!$K$11),-2,IF(R100=regle!$B$11,0,IF(AL$1=$AK$1,IF($O100,-1,regle!$B$2-$M100),IF(AK100=-1,-1,AK100+1))))</f>
        <v>5</v>
      </c>
      <c r="AM100" s="16">
        <f>IF(OR(S100=regle!$J$11,S100=regle!$K$11),-2,IF(S100=regle!$B$11,0,IF(AM$1=$AK$1,IF($O100,-1,regle!$B$2-$M100),IF(AL100=-1,-1,AL100+1))))</f>
        <v>6</v>
      </c>
      <c r="AN100" s="16">
        <f>IF(OR(T100=regle!$J$11,T100=regle!$K$11),-2,IF(T100=regle!$B$11,0,IF(AN$1=$AK$1,IF($O100,-1,regle!$B$2-$M100),IF(AM100=-1,-1,AM100+1))))</f>
        <v>7</v>
      </c>
      <c r="AO100" s="16">
        <f>IF(OR(U100=regle!$J$11,U100=regle!$K$11),-2,IF(U100=regle!$B$11,0,IF(AO$1=$AK$1,IF($O100,-1,regle!$B$2-$M100),IF(AN100=-1,-1,AN100+1))))</f>
        <v>8</v>
      </c>
      <c r="AP100" s="16">
        <f>IF(OR(V100=regle!$J$11,V100=regle!$K$11),-2,IF(V100=regle!$B$11,0,IF(AP$1=$AK$1,IF($O100,-1,regle!$B$2-$M100),IF(AO100=-1,-1,AO100+1))))</f>
        <v>9</v>
      </c>
      <c r="AQ100" s="16">
        <f>IF(OR(W100=regle!$J$11,W100=regle!$K$11),-2,IF(W100=regle!$B$11,0,IF(AQ$1=$AK$1,IF($O100,-1,regle!$B$2-$M100),IF(AP100=-1,-1,AP100+1))))</f>
        <v>10</v>
      </c>
      <c r="AR100" s="16">
        <f>IF(OR(X100=regle!$J$11,X100=regle!$K$11),-2,IF(X100=regle!$B$11,0,IF(AR$1=$AK$1,IF($O100,-1,regle!$B$2-$M100),IF(AQ100=-1,-1,AQ100+1))))</f>
        <v>11</v>
      </c>
      <c r="AS100" s="16">
        <f>IF(OR(Y100=regle!$J$11,Y100=regle!$K$11),-2,IF(Y100=regle!$B$11,0,IF(AS$1=$AK$1,IF($O100,-1,regle!$B$2-$M100),IF(AR100=-1,-1,AR100+1))))</f>
        <v>12</v>
      </c>
      <c r="AT100" s="16">
        <f>IF(OR(Z100=regle!$J$11,Z100=regle!$K$11),-2,IF(Z100=regle!$B$11,0,IF(AT$1=$AK$1,IF($O100,-1,regle!$B$2-$M100),IF(AS100=-1,-1,AS100+1))))</f>
        <v>13</v>
      </c>
    </row>
    <row r="101" spans="1:46" x14ac:dyDescent="0.25">
      <c r="A101" t="b">
        <f>modif0!A178</f>
        <v>1</v>
      </c>
      <c r="B101">
        <f>ROW(modif0!B178)</f>
        <v>178</v>
      </c>
      <c r="C101" t="str">
        <f>modif0!D178</f>
        <v>202</v>
      </c>
      <c r="D101" t="str">
        <f>modif0!E178</f>
        <v>HOSTENS</v>
      </c>
      <c r="E101">
        <f>modif0!F178</f>
        <v>8</v>
      </c>
      <c r="F101" t="str">
        <f>modif0!G178</f>
        <v>LES BECS</v>
      </c>
      <c r="G101" t="str">
        <f>modif0!I178</f>
        <v>0B</v>
      </c>
      <c r="H101">
        <f>modif0!J178</f>
        <v>1203</v>
      </c>
      <c r="I101" t="str">
        <f>modif0!K178</f>
        <v/>
      </c>
      <c r="J101" s="11">
        <f>modif0!M178</f>
        <v>0.1055</v>
      </c>
      <c r="K101" s="11" t="str">
        <f>modif0!P178</f>
        <v>PLA</v>
      </c>
      <c r="L101" t="str">
        <f>modif0!N178</f>
        <v>PM</v>
      </c>
      <c r="M101">
        <f>modif0!Q178</f>
        <v>2020</v>
      </c>
      <c r="N101" t="str">
        <f>modif0!R178</f>
        <v>PLA-PM_2020</v>
      </c>
      <c r="O101" t="b">
        <f>modif0!S178</f>
        <v>0</v>
      </c>
      <c r="P101">
        <v>40</v>
      </c>
      <c r="Q101" t="s">
        <v>1870</v>
      </c>
      <c r="T101" t="s">
        <v>1871</v>
      </c>
      <c r="Y101" t="s">
        <v>1803</v>
      </c>
      <c r="AA101" s="17">
        <f>IF($A101,$J101*(IF(Q101=regle!$B$11,regle!$B$23*IF(AJ101=-2,1+regle!$B$35,1),
IF(Q101=regle!$C$11,regle!$C$23,
IF(Q101=regle!$D$11,regle!$D$23,
IF(Q101=regle!$E$11,regle!$E$23,
IF(Q101=regle!$F$11,regle!$F$23,
IF(Q101=regle!$G$11,regle!$G$23,
IF(Q101=regle!$H$11,regle!$H$23,
IF(Q101=regle!$I$11,regle!$I$23,
IF(Q101=regle!$J$11,regle!$J$23,
IF(Q101=regle!$K$11,regle!$K$23,0))))))))))))</f>
        <v>-9.4949999999999992</v>
      </c>
      <c r="AB101" s="17">
        <f>IF($A101,$J101*(IF(R101=regle!$B$11,regle!$B$23*IF(AK101=-2,1+regle!$B$35,1),
IF(R101=regle!$C$11,regle!$C$23,
IF(R101=regle!$D$11,regle!$D$23,
IF(R101=regle!$E$11,regle!$E$23,
IF(R101=regle!$F$11,regle!$F$23,
IF(R101=regle!$G$11,regle!$G$23,
IF(R101=regle!$H$11,regle!$H$23,
IF(R101=regle!$I$11,regle!$I$23,
IF(R101=regle!$J$11,regle!$J$23,
IF(R101=regle!$K$11,regle!$K$23,0))))))))))))</f>
        <v>0</v>
      </c>
      <c r="AC101" s="17">
        <f>IF($A101,$J101*(IF(S101=regle!$B$11,regle!$B$23*IF(AL101=-2,1+regle!$B$35,1),
IF(S101=regle!$C$11,regle!$C$23,
IF(S101=regle!$D$11,regle!$D$23,
IF(S101=regle!$E$11,regle!$E$23,
IF(S101=regle!$F$11,regle!$F$23,
IF(S101=regle!$G$11,regle!$G$23,
IF(S101=regle!$H$11,regle!$H$23,
IF(S101=regle!$I$11,regle!$I$23,
IF(S101=regle!$J$11,regle!$J$23,
IF(S101=regle!$K$11,regle!$K$23,0))))))))))))</f>
        <v>0</v>
      </c>
      <c r="AD101" s="17">
        <f>IF($A101,$J101*(IF(T101=regle!$B$11,regle!$B$23*IF(AM101=-2,1+regle!$B$35,1),
IF(T101=regle!$C$11,regle!$C$23,
IF(T101=regle!$D$11,regle!$D$23,
IF(T101=regle!$E$11,regle!$E$23,
IF(T101=regle!$F$11,regle!$F$23,
IF(T101=regle!$G$11,regle!$G$23,
IF(T101=regle!$H$11,regle!$H$23,
IF(T101=regle!$I$11,regle!$I$23,
IF(T101=regle!$J$11,regle!$J$23,
IF(T101=regle!$K$11,regle!$K$23,0))))))))))))</f>
        <v>-9.4949999999999992</v>
      </c>
      <c r="AE101" s="17">
        <f>IF($A101,$J101*(IF(U101=regle!$B$11,regle!$B$23*IF(AN101=-2,1+regle!$B$35,1),
IF(U101=regle!$C$11,regle!$C$23,
IF(U101=regle!$D$11,regle!$D$23,
IF(U101=regle!$E$11,regle!$E$23,
IF(U101=regle!$F$11,regle!$F$23,
IF(U101=regle!$G$11,regle!$G$23,
IF(U101=regle!$H$11,regle!$H$23,
IF(U101=regle!$I$11,regle!$I$23,
IF(U101=regle!$J$11,regle!$J$23,
IF(U101=regle!$K$11,regle!$K$23,0))))))))))))</f>
        <v>0</v>
      </c>
      <c r="AF101" s="17">
        <f>IF($A101,$J101*(IF(V101=regle!$B$11,regle!$B$23*IF(AO101=-2,1+regle!$B$35,1),
IF(V101=regle!$C$11,regle!$C$23,
IF(V101=regle!$D$11,regle!$D$23,
IF(V101=regle!$E$11,regle!$E$23,
IF(V101=regle!$F$11,regle!$F$23,
IF(V101=regle!$G$11,regle!$G$23,
IF(V101=regle!$H$11,regle!$H$23,
IF(V101=regle!$I$11,regle!$I$23,
IF(V101=regle!$J$11,regle!$J$23,
IF(V101=regle!$K$11,regle!$K$23,0))))))))))))</f>
        <v>0</v>
      </c>
      <c r="AG101" s="17">
        <f>IF($A101,$J101*(IF(W101=regle!$B$11,regle!$B$23*IF(AP101=-2,1+regle!$B$35,1),
IF(W101=regle!$C$11,regle!$C$23,
IF(W101=regle!$D$11,regle!$D$23,
IF(W101=regle!$E$11,regle!$E$23,
IF(W101=regle!$F$11,regle!$F$23,
IF(W101=regle!$G$11,regle!$G$23,
IF(W101=regle!$H$11,regle!$H$23,
IF(W101=regle!$I$11,regle!$I$23,
IF(W101=regle!$J$11,regle!$J$23,
IF(W101=regle!$K$11,regle!$K$23,0))))))))))))</f>
        <v>0</v>
      </c>
      <c r="AH101" s="17">
        <f>IF($A101,$J101*(IF(X101=regle!$B$11,regle!$B$23*IF(AQ101=-2,1+regle!$B$35,1),
IF(X101=regle!$C$11,regle!$C$23,
IF(X101=regle!$D$11,regle!$D$23,
IF(X101=regle!$E$11,regle!$E$23,
IF(X101=regle!$F$11,regle!$F$23,
IF(X101=regle!$G$11,regle!$G$23,
IF(X101=regle!$H$11,regle!$H$23,
IF(X101=regle!$I$11,regle!$I$23,
IF(X101=regle!$J$11,regle!$J$23,
IF(X101=regle!$K$11,regle!$K$23,0))))))))))))</f>
        <v>0</v>
      </c>
      <c r="AI101" s="17">
        <f>IF($A101,$J101*(IF(Y101=regle!$B$11,regle!$B$23*IF(AR101=-2,1+regle!$B$35,1),
IF(Y101=regle!$C$11,regle!$C$23,
IF(Y101=regle!$D$11,regle!$D$23,
IF(Y101=regle!$E$11,regle!$E$23,
IF(Y101=regle!$F$11,regle!$F$23,
IF(Y101=regle!$G$11,regle!$G$23,
IF(Y101=regle!$H$11,regle!$H$23,
IF(Y101=regle!$I$11,regle!$I$23,
IF(Y101=regle!$J$11,regle!$J$23,
IF(Y101=regle!$K$11,regle!$K$23,0))))))))))))</f>
        <v>60.768000000000001</v>
      </c>
      <c r="AJ101" s="17">
        <f>IF($A101,$J101*(IF(Z101=regle!$B$11,regle!$B$23*IF(AS101=-2,1+regle!$B$35,1),
IF(Z101=regle!$C$11,regle!$C$23,
IF(Z101=regle!$D$11,regle!$D$23,
IF(Z101=regle!$E$11,regle!$E$23,
IF(Z101=regle!$F$11,regle!$F$23,
IF(Z101=regle!$G$11,regle!$G$23,
IF(Z101=regle!$H$11,regle!$H$23,
IF(Z101=regle!$I$11,regle!$I$23,
IF(Z101=regle!$J$11,regle!$J$23,
IF(Z101=regle!$K$11,regle!$K$23,0))))))))))))</f>
        <v>0</v>
      </c>
      <c r="AK101" s="16">
        <f>IF(OR(Q101=regle!$J$11,Q101=regle!$K$11),-2,IF(Q101=regle!$B$11,0,IF(AK$1=$AK$1,IF($O101,-1,regle!$B$2-$M101),IF(AJ101=-1,-1,AJ101+1))))</f>
        <v>4</v>
      </c>
      <c r="AL101" s="16">
        <f>IF(OR(R101=regle!$J$11,R101=regle!$K$11),-2,IF(R101=regle!$B$11,0,IF(AL$1=$AK$1,IF($O101,-1,regle!$B$2-$M101),IF(AK101=-1,-1,AK101+1))))</f>
        <v>5</v>
      </c>
      <c r="AM101" s="16">
        <f>IF(OR(S101=regle!$J$11,S101=regle!$K$11),-2,IF(S101=regle!$B$11,0,IF(AM$1=$AK$1,IF($O101,-1,regle!$B$2-$M101),IF(AL101=-1,-1,AL101+1))))</f>
        <v>6</v>
      </c>
      <c r="AN101" s="16">
        <f>IF(OR(T101=regle!$J$11,T101=regle!$K$11),-2,IF(T101=regle!$B$11,0,IF(AN$1=$AK$1,IF($O101,-1,regle!$B$2-$M101),IF(AM101=-1,-1,AM101+1))))</f>
        <v>7</v>
      </c>
      <c r="AO101" s="16">
        <f>IF(OR(U101=regle!$J$11,U101=regle!$K$11),-2,IF(U101=regle!$B$11,0,IF(AO$1=$AK$1,IF($O101,-1,regle!$B$2-$M101),IF(AN101=-1,-1,AN101+1))))</f>
        <v>8</v>
      </c>
      <c r="AP101" s="16">
        <f>IF(OR(V101=regle!$J$11,V101=regle!$K$11),-2,IF(V101=regle!$B$11,0,IF(AP$1=$AK$1,IF($O101,-1,regle!$B$2-$M101),IF(AO101=-1,-1,AO101+1))))</f>
        <v>9</v>
      </c>
      <c r="AQ101" s="16">
        <f>IF(OR(W101=regle!$J$11,W101=regle!$K$11),-2,IF(W101=regle!$B$11,0,IF(AQ$1=$AK$1,IF($O101,-1,regle!$B$2-$M101),IF(AP101=-1,-1,AP101+1))))</f>
        <v>10</v>
      </c>
      <c r="AR101" s="16">
        <f>IF(OR(X101=regle!$J$11,X101=regle!$K$11),-2,IF(X101=regle!$B$11,0,IF(AR$1=$AK$1,IF($O101,-1,regle!$B$2-$M101),IF(AQ101=-1,-1,AQ101+1))))</f>
        <v>11</v>
      </c>
      <c r="AS101" s="16">
        <f>IF(OR(Y101=regle!$J$11,Y101=regle!$K$11),-2,IF(Y101=regle!$B$11,0,IF(AS$1=$AK$1,IF($O101,-1,regle!$B$2-$M101),IF(AR101=-1,-1,AR101+1))))</f>
        <v>12</v>
      </c>
      <c r="AT101" s="16">
        <f>IF(OR(Z101=regle!$J$11,Z101=regle!$K$11),-2,IF(Z101=regle!$B$11,0,IF(AT$1=$AK$1,IF($O101,-1,regle!$B$2-$M101),IF(AS101=-1,-1,AS101+1))))</f>
        <v>13</v>
      </c>
    </row>
    <row r="102" spans="1:46" x14ac:dyDescent="0.25">
      <c r="A102" t="b">
        <f>modif0!A314</f>
        <v>1</v>
      </c>
      <c r="B102">
        <f>ROW(modif0!B314)</f>
        <v>314</v>
      </c>
      <c r="C102" t="str">
        <f>modif0!D314</f>
        <v>077</v>
      </c>
      <c r="D102" t="str">
        <f>modif0!E314</f>
        <v>CABANAC-ET-VILLAGRAINS</v>
      </c>
      <c r="E102">
        <f>modif0!F314</f>
        <v>13</v>
      </c>
      <c r="F102" t="str">
        <f>modif0!G314</f>
        <v>LAGUNE LONGUE</v>
      </c>
      <c r="G102" t="str">
        <f>modif0!I314</f>
        <v>0D</v>
      </c>
      <c r="H102">
        <f>modif0!J314</f>
        <v>1389</v>
      </c>
      <c r="I102" t="str">
        <f>modif0!K314</f>
        <v>j</v>
      </c>
      <c r="J102" s="11">
        <f>modif0!M314</f>
        <v>6.1001000000000003</v>
      </c>
      <c r="K102" s="11" t="str">
        <f>modif0!P314</f>
        <v>PLA</v>
      </c>
      <c r="L102" t="str">
        <f>modif0!N314</f>
        <v>PM</v>
      </c>
      <c r="M102">
        <f>modif0!Q314</f>
        <v>2019</v>
      </c>
      <c r="N102" t="str">
        <f>modif0!R314</f>
        <v>PLA-PM_2019</v>
      </c>
      <c r="O102" t="b">
        <f>modif0!S314</f>
        <v>0</v>
      </c>
      <c r="P102">
        <v>40</v>
      </c>
      <c r="Q102" t="s">
        <v>1870</v>
      </c>
      <c r="S102" t="s">
        <v>1871</v>
      </c>
      <c r="X102" t="s">
        <v>1803</v>
      </c>
      <c r="AA102" s="17">
        <f>IF($A102,$J102*(IF(Q102=regle!$B$11,regle!$B$23*IF(AJ102=-2,1+regle!$B$35,1),
IF(Q102=regle!$C$11,regle!$C$23,
IF(Q102=regle!$D$11,regle!$D$23,
IF(Q102=regle!$E$11,regle!$E$23,
IF(Q102=regle!$F$11,regle!$F$23,
IF(Q102=regle!$G$11,regle!$G$23,
IF(Q102=regle!$H$11,regle!$H$23,
IF(Q102=regle!$I$11,regle!$I$23,
IF(Q102=regle!$J$11,regle!$J$23,
IF(Q102=regle!$K$11,regle!$K$23,0))))))))))))</f>
        <v>-549.00900000000001</v>
      </c>
      <c r="AB102" s="17">
        <f>IF($A102,$J102*(IF(R102=regle!$B$11,regle!$B$23*IF(AK102=-2,1+regle!$B$35,1),
IF(R102=regle!$C$11,regle!$C$23,
IF(R102=regle!$D$11,regle!$D$23,
IF(R102=regle!$E$11,regle!$E$23,
IF(R102=regle!$F$11,regle!$F$23,
IF(R102=regle!$G$11,regle!$G$23,
IF(R102=regle!$H$11,regle!$H$23,
IF(R102=regle!$I$11,regle!$I$23,
IF(R102=regle!$J$11,regle!$J$23,
IF(R102=regle!$K$11,regle!$K$23,0))))))))))))</f>
        <v>0</v>
      </c>
      <c r="AC102" s="17">
        <f>IF($A102,$J102*(IF(S102=regle!$B$11,regle!$B$23*IF(AL102=-2,1+regle!$B$35,1),
IF(S102=regle!$C$11,regle!$C$23,
IF(S102=regle!$D$11,regle!$D$23,
IF(S102=regle!$E$11,regle!$E$23,
IF(S102=regle!$F$11,regle!$F$23,
IF(S102=regle!$G$11,regle!$G$23,
IF(S102=regle!$H$11,regle!$H$23,
IF(S102=regle!$I$11,regle!$I$23,
IF(S102=regle!$J$11,regle!$J$23,
IF(S102=regle!$K$11,regle!$K$23,0))))))))))))</f>
        <v>-549.00900000000001</v>
      </c>
      <c r="AD102" s="17">
        <f>IF($A102,$J102*(IF(T102=regle!$B$11,regle!$B$23*IF(AM102=-2,1+regle!$B$35,1),
IF(T102=regle!$C$11,regle!$C$23,
IF(T102=regle!$D$11,regle!$D$23,
IF(T102=regle!$E$11,regle!$E$23,
IF(T102=regle!$F$11,regle!$F$23,
IF(T102=regle!$G$11,regle!$G$23,
IF(T102=regle!$H$11,regle!$H$23,
IF(T102=regle!$I$11,regle!$I$23,
IF(T102=regle!$J$11,regle!$J$23,
IF(T102=regle!$K$11,regle!$K$23,0))))))))))))</f>
        <v>0</v>
      </c>
      <c r="AE102" s="17">
        <f>IF($A102,$J102*(IF(U102=regle!$B$11,regle!$B$23*IF(AN102=-2,1+regle!$B$35,1),
IF(U102=regle!$C$11,regle!$C$23,
IF(U102=regle!$D$11,regle!$D$23,
IF(U102=regle!$E$11,regle!$E$23,
IF(U102=regle!$F$11,regle!$F$23,
IF(U102=regle!$G$11,regle!$G$23,
IF(U102=regle!$H$11,regle!$H$23,
IF(U102=regle!$I$11,regle!$I$23,
IF(U102=regle!$J$11,regle!$J$23,
IF(U102=regle!$K$11,regle!$K$23,0))))))))))))</f>
        <v>0</v>
      </c>
      <c r="AF102" s="17">
        <f>IF($A102,$J102*(IF(V102=regle!$B$11,regle!$B$23*IF(AO102=-2,1+regle!$B$35,1),
IF(V102=regle!$C$11,regle!$C$23,
IF(V102=regle!$D$11,regle!$D$23,
IF(V102=regle!$E$11,regle!$E$23,
IF(V102=regle!$F$11,regle!$F$23,
IF(V102=regle!$G$11,regle!$G$23,
IF(V102=regle!$H$11,regle!$H$23,
IF(V102=regle!$I$11,regle!$I$23,
IF(V102=regle!$J$11,regle!$J$23,
IF(V102=regle!$K$11,regle!$K$23,0))))))))))))</f>
        <v>0</v>
      </c>
      <c r="AG102" s="17">
        <f>IF($A102,$J102*(IF(W102=regle!$B$11,regle!$B$23*IF(AP102=-2,1+regle!$B$35,1),
IF(W102=regle!$C$11,regle!$C$23,
IF(W102=regle!$D$11,regle!$D$23,
IF(W102=regle!$E$11,regle!$E$23,
IF(W102=regle!$F$11,regle!$F$23,
IF(W102=regle!$G$11,regle!$G$23,
IF(W102=regle!$H$11,regle!$H$23,
IF(W102=regle!$I$11,regle!$I$23,
IF(W102=regle!$J$11,regle!$J$23,
IF(W102=regle!$K$11,regle!$K$23,0))))))))))))</f>
        <v>0</v>
      </c>
      <c r="AH102" s="17">
        <f>IF($A102,$J102*(IF(X102=regle!$B$11,regle!$B$23*IF(AQ102=-2,1+regle!$B$35,1),
IF(X102=regle!$C$11,regle!$C$23,
IF(X102=regle!$D$11,regle!$D$23,
IF(X102=regle!$E$11,regle!$E$23,
IF(X102=regle!$F$11,regle!$F$23,
IF(X102=regle!$G$11,regle!$G$23,
IF(X102=regle!$H$11,regle!$H$23,
IF(X102=regle!$I$11,regle!$I$23,
IF(X102=regle!$J$11,regle!$J$23,
IF(X102=regle!$K$11,regle!$K$23,0))))))))))))</f>
        <v>3513.6576</v>
      </c>
      <c r="AI102" s="17">
        <f>IF($A102,$J102*(IF(Y102=regle!$B$11,regle!$B$23*IF(AR102=-2,1+regle!$B$35,1),
IF(Y102=regle!$C$11,regle!$C$23,
IF(Y102=regle!$D$11,regle!$D$23,
IF(Y102=regle!$E$11,regle!$E$23,
IF(Y102=regle!$F$11,regle!$F$23,
IF(Y102=regle!$G$11,regle!$G$23,
IF(Y102=regle!$H$11,regle!$H$23,
IF(Y102=regle!$I$11,regle!$I$23,
IF(Y102=regle!$J$11,regle!$J$23,
IF(Y102=regle!$K$11,regle!$K$23,0))))))))))))</f>
        <v>0</v>
      </c>
      <c r="AJ102" s="17">
        <f>IF($A102,$J102*(IF(Z102=regle!$B$11,regle!$B$23*IF(AS102=-2,1+regle!$B$35,1),
IF(Z102=regle!$C$11,regle!$C$23,
IF(Z102=regle!$D$11,regle!$D$23,
IF(Z102=regle!$E$11,regle!$E$23,
IF(Z102=regle!$F$11,regle!$F$23,
IF(Z102=regle!$G$11,regle!$G$23,
IF(Z102=regle!$H$11,regle!$H$23,
IF(Z102=regle!$I$11,regle!$I$23,
IF(Z102=regle!$J$11,regle!$J$23,
IF(Z102=regle!$K$11,regle!$K$23,0))))))))))))</f>
        <v>0</v>
      </c>
      <c r="AK102" s="16">
        <f>IF(OR(Q102=regle!$J$11,Q102=regle!$K$11),-2,IF(Q102=regle!$B$11,0,IF(AK$1=$AK$1,IF($O102,-1,regle!$B$2-$M102),IF(AJ102=-1,-1,AJ102+1))))</f>
        <v>5</v>
      </c>
      <c r="AL102" s="16">
        <f>IF(OR(R102=regle!$J$11,R102=regle!$K$11),-2,IF(R102=regle!$B$11,0,IF(AL$1=$AK$1,IF($O102,-1,regle!$B$2-$M102),IF(AK102=-1,-1,AK102+1))))</f>
        <v>6</v>
      </c>
      <c r="AM102" s="16">
        <f>IF(OR(S102=regle!$J$11,S102=regle!$K$11),-2,IF(S102=regle!$B$11,0,IF(AM$1=$AK$1,IF($O102,-1,regle!$B$2-$M102),IF(AL102=-1,-1,AL102+1))))</f>
        <v>7</v>
      </c>
      <c r="AN102" s="16">
        <f>IF(OR(T102=regle!$J$11,T102=regle!$K$11),-2,IF(T102=regle!$B$11,0,IF(AN$1=$AK$1,IF($O102,-1,regle!$B$2-$M102),IF(AM102=-1,-1,AM102+1))))</f>
        <v>8</v>
      </c>
      <c r="AO102" s="16">
        <f>IF(OR(U102=regle!$J$11,U102=regle!$K$11),-2,IF(U102=regle!$B$11,0,IF(AO$1=$AK$1,IF($O102,-1,regle!$B$2-$M102),IF(AN102=-1,-1,AN102+1))))</f>
        <v>9</v>
      </c>
      <c r="AP102" s="16">
        <f>IF(OR(V102=regle!$J$11,V102=regle!$K$11),-2,IF(V102=regle!$B$11,0,IF(AP$1=$AK$1,IF($O102,-1,regle!$B$2-$M102),IF(AO102=-1,-1,AO102+1))))</f>
        <v>10</v>
      </c>
      <c r="AQ102" s="16">
        <f>IF(OR(W102=regle!$J$11,W102=regle!$K$11),-2,IF(W102=regle!$B$11,0,IF(AQ$1=$AK$1,IF($O102,-1,regle!$B$2-$M102),IF(AP102=-1,-1,AP102+1))))</f>
        <v>11</v>
      </c>
      <c r="AR102" s="16">
        <f>IF(OR(X102=regle!$J$11,X102=regle!$K$11),-2,IF(X102=regle!$B$11,0,IF(AR$1=$AK$1,IF($O102,-1,regle!$B$2-$M102),IF(AQ102=-1,-1,AQ102+1))))</f>
        <v>12</v>
      </c>
      <c r="AS102" s="16">
        <f>IF(OR(Y102=regle!$J$11,Y102=regle!$K$11),-2,IF(Y102=regle!$B$11,0,IF(AS$1=$AK$1,IF($O102,-1,regle!$B$2-$M102),IF(AR102=-1,-1,AR102+1))))</f>
        <v>13</v>
      </c>
      <c r="AT102" s="16">
        <f>IF(OR(Z102=regle!$J$11,Z102=regle!$K$11),-2,IF(Z102=regle!$B$11,0,IF(AT$1=$AK$1,IF($O102,-1,regle!$B$2-$M102),IF(AS102=-1,-1,AS102+1))))</f>
        <v>14</v>
      </c>
    </row>
    <row r="103" spans="1:46" x14ac:dyDescent="0.25">
      <c r="A103" t="b">
        <f>modif0!A102</f>
        <v>1</v>
      </c>
      <c r="B103">
        <f>ROW(modif0!B102)</f>
        <v>102</v>
      </c>
      <c r="C103" t="str">
        <f>modif0!D102</f>
        <v>202</v>
      </c>
      <c r="D103" t="str">
        <f>modif0!E102</f>
        <v>HOSTENS</v>
      </c>
      <c r="E103">
        <f>modif0!F102</f>
        <v>11</v>
      </c>
      <c r="F103" t="str">
        <f>modif0!G102</f>
        <v>LES CAZALAS</v>
      </c>
      <c r="G103" t="str">
        <f>modif0!I102</f>
        <v>0B</v>
      </c>
      <c r="H103">
        <f>modif0!J102</f>
        <v>1138</v>
      </c>
      <c r="I103" t="str">
        <f>modif0!K102</f>
        <v>k</v>
      </c>
      <c r="J103" s="11">
        <f>modif0!M102</f>
        <v>4.72</v>
      </c>
      <c r="K103" s="11" t="str">
        <f>modif0!P102</f>
        <v>PLA</v>
      </c>
      <c r="L103" t="str">
        <f>modif0!N102</f>
        <v>PM</v>
      </c>
      <c r="M103">
        <f>modif0!Q102</f>
        <v>2019</v>
      </c>
      <c r="N103" t="str">
        <f>modif0!R102</f>
        <v>PLA-PM_2019</v>
      </c>
      <c r="O103" t="b">
        <f>modif0!S102</f>
        <v>0</v>
      </c>
      <c r="P103">
        <v>40</v>
      </c>
      <c r="Q103" t="s">
        <v>1870</v>
      </c>
      <c r="S103" t="s">
        <v>1871</v>
      </c>
      <c r="X103" t="s">
        <v>1803</v>
      </c>
      <c r="AA103" s="17">
        <f>IF($A103,$J103*(IF(Q103=regle!$B$11,regle!$B$23*IF(AJ103=-2,1+regle!$B$35,1),
IF(Q103=regle!$C$11,regle!$C$23,
IF(Q103=regle!$D$11,regle!$D$23,
IF(Q103=regle!$E$11,regle!$E$23,
IF(Q103=regle!$F$11,regle!$F$23,
IF(Q103=regle!$G$11,regle!$G$23,
IF(Q103=regle!$H$11,regle!$H$23,
IF(Q103=regle!$I$11,regle!$I$23,
IF(Q103=regle!$J$11,regle!$J$23,
IF(Q103=regle!$K$11,regle!$K$23,0))))))))))))</f>
        <v>-424.79999999999995</v>
      </c>
      <c r="AB103" s="17">
        <f>IF($A103,$J103*(IF(R103=regle!$B$11,regle!$B$23*IF(AK103=-2,1+regle!$B$35,1),
IF(R103=regle!$C$11,regle!$C$23,
IF(R103=regle!$D$11,regle!$D$23,
IF(R103=regle!$E$11,regle!$E$23,
IF(R103=regle!$F$11,regle!$F$23,
IF(R103=regle!$G$11,regle!$G$23,
IF(R103=regle!$H$11,regle!$H$23,
IF(R103=regle!$I$11,regle!$I$23,
IF(R103=regle!$J$11,regle!$J$23,
IF(R103=regle!$K$11,regle!$K$23,0))))))))))))</f>
        <v>0</v>
      </c>
      <c r="AC103" s="17">
        <f>IF($A103,$J103*(IF(S103=regle!$B$11,regle!$B$23*IF(AL103=-2,1+regle!$B$35,1),
IF(S103=regle!$C$11,regle!$C$23,
IF(S103=regle!$D$11,regle!$D$23,
IF(S103=regle!$E$11,regle!$E$23,
IF(S103=regle!$F$11,regle!$F$23,
IF(S103=regle!$G$11,regle!$G$23,
IF(S103=regle!$H$11,regle!$H$23,
IF(S103=regle!$I$11,regle!$I$23,
IF(S103=regle!$J$11,regle!$J$23,
IF(S103=regle!$K$11,regle!$K$23,0))))))))))))</f>
        <v>-424.79999999999995</v>
      </c>
      <c r="AD103" s="17">
        <f>IF($A103,$J103*(IF(T103=regle!$B$11,regle!$B$23*IF(AM103=-2,1+regle!$B$35,1),
IF(T103=regle!$C$11,regle!$C$23,
IF(T103=regle!$D$11,regle!$D$23,
IF(T103=regle!$E$11,regle!$E$23,
IF(T103=regle!$F$11,regle!$F$23,
IF(T103=regle!$G$11,regle!$G$23,
IF(T103=regle!$H$11,regle!$H$23,
IF(T103=regle!$I$11,regle!$I$23,
IF(T103=regle!$J$11,regle!$J$23,
IF(T103=regle!$K$11,regle!$K$23,0))))))))))))</f>
        <v>0</v>
      </c>
      <c r="AE103" s="17">
        <f>IF($A103,$J103*(IF(U103=regle!$B$11,regle!$B$23*IF(AN103=-2,1+regle!$B$35,1),
IF(U103=regle!$C$11,regle!$C$23,
IF(U103=regle!$D$11,regle!$D$23,
IF(U103=regle!$E$11,regle!$E$23,
IF(U103=regle!$F$11,regle!$F$23,
IF(U103=regle!$G$11,regle!$G$23,
IF(U103=regle!$H$11,regle!$H$23,
IF(U103=regle!$I$11,regle!$I$23,
IF(U103=regle!$J$11,regle!$J$23,
IF(U103=regle!$K$11,regle!$K$23,0))))))))))))</f>
        <v>0</v>
      </c>
      <c r="AF103" s="17">
        <f>IF($A103,$J103*(IF(V103=regle!$B$11,regle!$B$23*IF(AO103=-2,1+regle!$B$35,1),
IF(V103=regle!$C$11,regle!$C$23,
IF(V103=regle!$D$11,regle!$D$23,
IF(V103=regle!$E$11,regle!$E$23,
IF(V103=regle!$F$11,regle!$F$23,
IF(V103=regle!$G$11,regle!$G$23,
IF(V103=regle!$H$11,regle!$H$23,
IF(V103=regle!$I$11,regle!$I$23,
IF(V103=regle!$J$11,regle!$J$23,
IF(V103=regle!$K$11,regle!$K$23,0))))))))))))</f>
        <v>0</v>
      </c>
      <c r="AG103" s="17">
        <f>IF($A103,$J103*(IF(W103=regle!$B$11,regle!$B$23*IF(AP103=-2,1+regle!$B$35,1),
IF(W103=regle!$C$11,regle!$C$23,
IF(W103=regle!$D$11,regle!$D$23,
IF(W103=regle!$E$11,regle!$E$23,
IF(W103=regle!$F$11,regle!$F$23,
IF(W103=regle!$G$11,regle!$G$23,
IF(W103=regle!$H$11,regle!$H$23,
IF(W103=regle!$I$11,regle!$I$23,
IF(W103=regle!$J$11,regle!$J$23,
IF(W103=regle!$K$11,regle!$K$23,0))))))))))))</f>
        <v>0</v>
      </c>
      <c r="AH103" s="17">
        <f>IF($A103,$J103*(IF(X103=regle!$B$11,regle!$B$23*IF(AQ103=-2,1+regle!$B$35,1),
IF(X103=regle!$C$11,regle!$C$23,
IF(X103=regle!$D$11,regle!$D$23,
IF(X103=regle!$E$11,regle!$E$23,
IF(X103=regle!$F$11,regle!$F$23,
IF(X103=regle!$G$11,regle!$G$23,
IF(X103=regle!$H$11,regle!$H$23,
IF(X103=regle!$I$11,regle!$I$23,
IF(X103=regle!$J$11,regle!$J$23,
IF(X103=regle!$K$11,regle!$K$23,0))))))))))))</f>
        <v>2718.72</v>
      </c>
      <c r="AI103" s="17">
        <f>IF($A103,$J103*(IF(Y103=regle!$B$11,regle!$B$23*IF(AR103=-2,1+regle!$B$35,1),
IF(Y103=regle!$C$11,regle!$C$23,
IF(Y103=regle!$D$11,regle!$D$23,
IF(Y103=regle!$E$11,regle!$E$23,
IF(Y103=regle!$F$11,regle!$F$23,
IF(Y103=regle!$G$11,regle!$G$23,
IF(Y103=regle!$H$11,regle!$H$23,
IF(Y103=regle!$I$11,regle!$I$23,
IF(Y103=regle!$J$11,regle!$J$23,
IF(Y103=regle!$K$11,regle!$K$23,0))))))))))))</f>
        <v>0</v>
      </c>
      <c r="AJ103" s="17">
        <f>IF($A103,$J103*(IF(Z103=regle!$B$11,regle!$B$23*IF(AS103=-2,1+regle!$B$35,1),
IF(Z103=regle!$C$11,regle!$C$23,
IF(Z103=regle!$D$11,regle!$D$23,
IF(Z103=regle!$E$11,regle!$E$23,
IF(Z103=regle!$F$11,regle!$F$23,
IF(Z103=regle!$G$11,regle!$G$23,
IF(Z103=regle!$H$11,regle!$H$23,
IF(Z103=regle!$I$11,regle!$I$23,
IF(Z103=regle!$J$11,regle!$J$23,
IF(Z103=regle!$K$11,regle!$K$23,0))))))))))))</f>
        <v>0</v>
      </c>
      <c r="AK103" s="16">
        <f>IF(OR(Q103=regle!$J$11,Q103=regle!$K$11),-2,IF(Q103=regle!$B$11,0,IF(AK$1=$AK$1,IF($O103,-1,regle!$B$2-$M103),IF(AJ103=-1,-1,AJ103+1))))</f>
        <v>5</v>
      </c>
      <c r="AL103" s="16">
        <f>IF(OR(R103=regle!$J$11,R103=regle!$K$11),-2,IF(R103=regle!$B$11,0,IF(AL$1=$AK$1,IF($O103,-1,regle!$B$2-$M103),IF(AK103=-1,-1,AK103+1))))</f>
        <v>6</v>
      </c>
      <c r="AM103" s="16">
        <f>IF(OR(S103=regle!$J$11,S103=regle!$K$11),-2,IF(S103=regle!$B$11,0,IF(AM$1=$AK$1,IF($O103,-1,regle!$B$2-$M103),IF(AL103=-1,-1,AL103+1))))</f>
        <v>7</v>
      </c>
      <c r="AN103" s="16">
        <f>IF(OR(T103=regle!$J$11,T103=regle!$K$11),-2,IF(T103=regle!$B$11,0,IF(AN$1=$AK$1,IF($O103,-1,regle!$B$2-$M103),IF(AM103=-1,-1,AM103+1))))</f>
        <v>8</v>
      </c>
      <c r="AO103" s="16">
        <f>IF(OR(U103=regle!$J$11,U103=regle!$K$11),-2,IF(U103=regle!$B$11,0,IF(AO$1=$AK$1,IF($O103,-1,regle!$B$2-$M103),IF(AN103=-1,-1,AN103+1))))</f>
        <v>9</v>
      </c>
      <c r="AP103" s="16">
        <f>IF(OR(V103=regle!$J$11,V103=regle!$K$11),-2,IF(V103=regle!$B$11,0,IF(AP$1=$AK$1,IF($O103,-1,regle!$B$2-$M103),IF(AO103=-1,-1,AO103+1))))</f>
        <v>10</v>
      </c>
      <c r="AQ103" s="16">
        <f>IF(OR(W103=regle!$J$11,W103=regle!$K$11),-2,IF(W103=regle!$B$11,0,IF(AQ$1=$AK$1,IF($O103,-1,regle!$B$2-$M103),IF(AP103=-1,-1,AP103+1))))</f>
        <v>11</v>
      </c>
      <c r="AR103" s="16">
        <f>IF(OR(X103=regle!$J$11,X103=regle!$K$11),-2,IF(X103=regle!$B$11,0,IF(AR$1=$AK$1,IF($O103,-1,regle!$B$2-$M103),IF(AQ103=-1,-1,AQ103+1))))</f>
        <v>12</v>
      </c>
      <c r="AS103" s="16">
        <f>IF(OR(Y103=regle!$J$11,Y103=regle!$K$11),-2,IF(Y103=regle!$B$11,0,IF(AS$1=$AK$1,IF($O103,-1,regle!$B$2-$M103),IF(AR103=-1,-1,AR103+1))))</f>
        <v>13</v>
      </c>
      <c r="AT103" s="16">
        <f>IF(OR(Z103=regle!$J$11,Z103=regle!$K$11),-2,IF(Z103=regle!$B$11,0,IF(AT$1=$AK$1,IF($O103,-1,regle!$B$2-$M103),IF(AS103=-1,-1,AS103+1))))</f>
        <v>14</v>
      </c>
    </row>
    <row r="104" spans="1:46" x14ac:dyDescent="0.25">
      <c r="A104" t="b">
        <f>modif0!A330</f>
        <v>1</v>
      </c>
      <c r="B104">
        <f>ROW(modif0!B330)</f>
        <v>330</v>
      </c>
      <c r="C104" t="str">
        <f>modif0!D330</f>
        <v>077</v>
      </c>
      <c r="D104" t="str">
        <f>modif0!E330</f>
        <v>CABANAC-ET-VILLAGRAINS</v>
      </c>
      <c r="E104">
        <f>modif0!F330</f>
        <v>12</v>
      </c>
      <c r="F104" t="str">
        <f>modif0!G330</f>
        <v>LES JEANNOTS</v>
      </c>
      <c r="G104" t="str">
        <f>modif0!I330</f>
        <v>0D</v>
      </c>
      <c r="H104">
        <f>modif0!J330</f>
        <v>2295</v>
      </c>
      <c r="I104" t="str">
        <f>modif0!K330</f>
        <v>k</v>
      </c>
      <c r="J104" s="11">
        <f>modif0!M330</f>
        <v>3.7189000000000001</v>
      </c>
      <c r="K104" s="11" t="str">
        <f>modif0!P330</f>
        <v>PLA</v>
      </c>
      <c r="L104" t="str">
        <f>modif0!N330</f>
        <v>PM</v>
      </c>
      <c r="M104">
        <f>modif0!Q330</f>
        <v>2019</v>
      </c>
      <c r="N104" t="str">
        <f>modif0!R330</f>
        <v>PLA-PM_2019</v>
      </c>
      <c r="O104" t="b">
        <f>modif0!S330</f>
        <v>0</v>
      </c>
      <c r="P104">
        <v>40</v>
      </c>
      <c r="Q104" t="s">
        <v>1870</v>
      </c>
      <c r="S104" t="s">
        <v>1871</v>
      </c>
      <c r="X104" t="s">
        <v>1803</v>
      </c>
      <c r="AA104" s="17">
        <f>IF($A104,$J104*(IF(Q104=regle!$B$11,regle!$B$23*IF(AJ104=-2,1+regle!$B$35,1),
IF(Q104=regle!$C$11,regle!$C$23,
IF(Q104=regle!$D$11,regle!$D$23,
IF(Q104=regle!$E$11,regle!$E$23,
IF(Q104=regle!$F$11,regle!$F$23,
IF(Q104=regle!$G$11,regle!$G$23,
IF(Q104=regle!$H$11,regle!$H$23,
IF(Q104=regle!$I$11,regle!$I$23,
IF(Q104=regle!$J$11,regle!$J$23,
IF(Q104=regle!$K$11,regle!$K$23,0))))))))))))</f>
        <v>-334.70100000000002</v>
      </c>
      <c r="AB104" s="17">
        <f>IF($A104,$J104*(IF(R104=regle!$B$11,regle!$B$23*IF(AK104=-2,1+regle!$B$35,1),
IF(R104=regle!$C$11,regle!$C$23,
IF(R104=regle!$D$11,regle!$D$23,
IF(R104=regle!$E$11,regle!$E$23,
IF(R104=regle!$F$11,regle!$F$23,
IF(R104=regle!$G$11,regle!$G$23,
IF(R104=regle!$H$11,regle!$H$23,
IF(R104=regle!$I$11,regle!$I$23,
IF(R104=regle!$J$11,regle!$J$23,
IF(R104=regle!$K$11,regle!$K$23,0))))))))))))</f>
        <v>0</v>
      </c>
      <c r="AC104" s="17">
        <f>IF($A104,$J104*(IF(S104=regle!$B$11,regle!$B$23*IF(AL104=-2,1+regle!$B$35,1),
IF(S104=regle!$C$11,regle!$C$23,
IF(S104=regle!$D$11,regle!$D$23,
IF(S104=regle!$E$11,regle!$E$23,
IF(S104=regle!$F$11,regle!$F$23,
IF(S104=regle!$G$11,regle!$G$23,
IF(S104=regle!$H$11,regle!$H$23,
IF(S104=regle!$I$11,regle!$I$23,
IF(S104=regle!$J$11,regle!$J$23,
IF(S104=regle!$K$11,regle!$K$23,0))))))))))))</f>
        <v>-334.70100000000002</v>
      </c>
      <c r="AD104" s="17">
        <f>IF($A104,$J104*(IF(T104=regle!$B$11,regle!$B$23*IF(AM104=-2,1+regle!$B$35,1),
IF(T104=regle!$C$11,regle!$C$23,
IF(T104=regle!$D$11,regle!$D$23,
IF(T104=regle!$E$11,regle!$E$23,
IF(T104=regle!$F$11,regle!$F$23,
IF(T104=regle!$G$11,regle!$G$23,
IF(T104=regle!$H$11,regle!$H$23,
IF(T104=regle!$I$11,regle!$I$23,
IF(T104=regle!$J$11,regle!$J$23,
IF(T104=regle!$K$11,regle!$K$23,0))))))))))))</f>
        <v>0</v>
      </c>
      <c r="AE104" s="17">
        <f>IF($A104,$J104*(IF(U104=regle!$B$11,regle!$B$23*IF(AN104=-2,1+regle!$B$35,1),
IF(U104=regle!$C$11,regle!$C$23,
IF(U104=regle!$D$11,regle!$D$23,
IF(U104=regle!$E$11,regle!$E$23,
IF(U104=regle!$F$11,regle!$F$23,
IF(U104=regle!$G$11,regle!$G$23,
IF(U104=regle!$H$11,regle!$H$23,
IF(U104=regle!$I$11,regle!$I$23,
IF(U104=regle!$J$11,regle!$J$23,
IF(U104=regle!$K$11,regle!$K$23,0))))))))))))</f>
        <v>0</v>
      </c>
      <c r="AF104" s="17">
        <f>IF($A104,$J104*(IF(V104=regle!$B$11,regle!$B$23*IF(AO104=-2,1+regle!$B$35,1),
IF(V104=regle!$C$11,regle!$C$23,
IF(V104=regle!$D$11,regle!$D$23,
IF(V104=regle!$E$11,regle!$E$23,
IF(V104=regle!$F$11,regle!$F$23,
IF(V104=regle!$G$11,regle!$G$23,
IF(V104=regle!$H$11,regle!$H$23,
IF(V104=regle!$I$11,regle!$I$23,
IF(V104=regle!$J$11,regle!$J$23,
IF(V104=regle!$K$11,regle!$K$23,0))))))))))))</f>
        <v>0</v>
      </c>
      <c r="AG104" s="17">
        <f>IF($A104,$J104*(IF(W104=regle!$B$11,regle!$B$23*IF(AP104=-2,1+regle!$B$35,1),
IF(W104=regle!$C$11,regle!$C$23,
IF(W104=regle!$D$11,regle!$D$23,
IF(W104=regle!$E$11,regle!$E$23,
IF(W104=regle!$F$11,regle!$F$23,
IF(W104=regle!$G$11,regle!$G$23,
IF(W104=regle!$H$11,regle!$H$23,
IF(W104=regle!$I$11,regle!$I$23,
IF(W104=regle!$J$11,regle!$J$23,
IF(W104=regle!$K$11,regle!$K$23,0))))))))))))</f>
        <v>0</v>
      </c>
      <c r="AH104" s="17">
        <f>IF($A104,$J104*(IF(X104=regle!$B$11,regle!$B$23*IF(AQ104=-2,1+regle!$B$35,1),
IF(X104=regle!$C$11,regle!$C$23,
IF(X104=regle!$D$11,regle!$D$23,
IF(X104=regle!$E$11,regle!$E$23,
IF(X104=regle!$F$11,regle!$F$23,
IF(X104=regle!$G$11,regle!$G$23,
IF(X104=regle!$H$11,regle!$H$23,
IF(X104=regle!$I$11,regle!$I$23,
IF(X104=regle!$J$11,regle!$J$23,
IF(X104=regle!$K$11,regle!$K$23,0))))))))))))</f>
        <v>2142.0864000000001</v>
      </c>
      <c r="AI104" s="17">
        <f>IF($A104,$J104*(IF(Y104=regle!$B$11,regle!$B$23*IF(AR104=-2,1+regle!$B$35,1),
IF(Y104=regle!$C$11,regle!$C$23,
IF(Y104=regle!$D$11,regle!$D$23,
IF(Y104=regle!$E$11,regle!$E$23,
IF(Y104=regle!$F$11,regle!$F$23,
IF(Y104=regle!$G$11,regle!$G$23,
IF(Y104=regle!$H$11,regle!$H$23,
IF(Y104=regle!$I$11,regle!$I$23,
IF(Y104=regle!$J$11,regle!$J$23,
IF(Y104=regle!$K$11,regle!$K$23,0))))))))))))</f>
        <v>0</v>
      </c>
      <c r="AJ104" s="17">
        <f>IF($A104,$J104*(IF(Z104=regle!$B$11,regle!$B$23*IF(AS104=-2,1+regle!$B$35,1),
IF(Z104=regle!$C$11,regle!$C$23,
IF(Z104=regle!$D$11,regle!$D$23,
IF(Z104=regle!$E$11,regle!$E$23,
IF(Z104=regle!$F$11,regle!$F$23,
IF(Z104=regle!$G$11,regle!$G$23,
IF(Z104=regle!$H$11,regle!$H$23,
IF(Z104=regle!$I$11,regle!$I$23,
IF(Z104=regle!$J$11,regle!$J$23,
IF(Z104=regle!$K$11,regle!$K$23,0))))))))))))</f>
        <v>0</v>
      </c>
      <c r="AK104" s="16">
        <f>IF(OR(Q104=regle!$J$11,Q104=regle!$K$11),-2,IF(Q104=regle!$B$11,0,IF(AK$1=$AK$1,IF($O104,-1,regle!$B$2-$M104),IF(AJ104=-1,-1,AJ104+1))))</f>
        <v>5</v>
      </c>
      <c r="AL104" s="16">
        <f>IF(OR(R104=regle!$J$11,R104=regle!$K$11),-2,IF(R104=regle!$B$11,0,IF(AL$1=$AK$1,IF($O104,-1,regle!$B$2-$M104),IF(AK104=-1,-1,AK104+1))))</f>
        <v>6</v>
      </c>
      <c r="AM104" s="16">
        <f>IF(OR(S104=regle!$J$11,S104=regle!$K$11),-2,IF(S104=regle!$B$11,0,IF(AM$1=$AK$1,IF($O104,-1,regle!$B$2-$M104),IF(AL104=-1,-1,AL104+1))))</f>
        <v>7</v>
      </c>
      <c r="AN104" s="16">
        <f>IF(OR(T104=regle!$J$11,T104=regle!$K$11),-2,IF(T104=regle!$B$11,0,IF(AN$1=$AK$1,IF($O104,-1,regle!$B$2-$M104),IF(AM104=-1,-1,AM104+1))))</f>
        <v>8</v>
      </c>
      <c r="AO104" s="16">
        <f>IF(OR(U104=regle!$J$11,U104=regle!$K$11),-2,IF(U104=regle!$B$11,0,IF(AO$1=$AK$1,IF($O104,-1,regle!$B$2-$M104),IF(AN104=-1,-1,AN104+1))))</f>
        <v>9</v>
      </c>
      <c r="AP104" s="16">
        <f>IF(OR(V104=regle!$J$11,V104=regle!$K$11),-2,IF(V104=regle!$B$11,0,IF(AP$1=$AK$1,IF($O104,-1,regle!$B$2-$M104),IF(AO104=-1,-1,AO104+1))))</f>
        <v>10</v>
      </c>
      <c r="AQ104" s="16">
        <f>IF(OR(W104=regle!$J$11,W104=regle!$K$11),-2,IF(W104=regle!$B$11,0,IF(AQ$1=$AK$1,IF($O104,-1,regle!$B$2-$M104),IF(AP104=-1,-1,AP104+1))))</f>
        <v>11</v>
      </c>
      <c r="AR104" s="16">
        <f>IF(OR(X104=regle!$J$11,X104=regle!$K$11),-2,IF(X104=regle!$B$11,0,IF(AR$1=$AK$1,IF($O104,-1,regle!$B$2-$M104),IF(AQ104=-1,-1,AQ104+1))))</f>
        <v>12</v>
      </c>
      <c r="AS104" s="16">
        <f>IF(OR(Y104=regle!$J$11,Y104=regle!$K$11),-2,IF(Y104=regle!$B$11,0,IF(AS$1=$AK$1,IF($O104,-1,regle!$B$2-$M104),IF(AR104=-1,-1,AR104+1))))</f>
        <v>13</v>
      </c>
      <c r="AT104" s="16">
        <f>IF(OR(Z104=regle!$J$11,Z104=regle!$K$11),-2,IF(Z104=regle!$B$11,0,IF(AT$1=$AK$1,IF($O104,-1,regle!$B$2-$M104),IF(AS104=-1,-1,AS104+1))))</f>
        <v>14</v>
      </c>
    </row>
    <row r="105" spans="1:46" x14ac:dyDescent="0.25">
      <c r="A105" t="b">
        <f>modif0!A122</f>
        <v>1</v>
      </c>
      <c r="B105">
        <f>ROW(modif0!B122)</f>
        <v>122</v>
      </c>
      <c r="C105" t="str">
        <f>modif0!D122</f>
        <v>202</v>
      </c>
      <c r="D105" t="str">
        <f>modif0!E122</f>
        <v>HOSTENS</v>
      </c>
      <c r="E105">
        <f>modif0!F122</f>
        <v>11</v>
      </c>
      <c r="F105" t="str">
        <f>modif0!G122</f>
        <v>LES CAZALAS</v>
      </c>
      <c r="G105" t="str">
        <f>modif0!I122</f>
        <v>0B</v>
      </c>
      <c r="H105">
        <f>modif0!J122</f>
        <v>1151</v>
      </c>
      <c r="I105" t="str">
        <f>modif0!K122</f>
        <v/>
      </c>
      <c r="J105" s="11">
        <f>modif0!M122</f>
        <v>3.2465000000000002</v>
      </c>
      <c r="K105" s="11" t="str">
        <f>modif0!P122</f>
        <v>PLA</v>
      </c>
      <c r="L105" t="str">
        <f>modif0!N122</f>
        <v>PM</v>
      </c>
      <c r="M105">
        <f>modif0!Q122</f>
        <v>2019</v>
      </c>
      <c r="N105" t="str">
        <f>modif0!R122</f>
        <v>PLA-PM_2019</v>
      </c>
      <c r="O105" t="b">
        <f>modif0!S122</f>
        <v>0</v>
      </c>
      <c r="P105">
        <v>40</v>
      </c>
      <c r="Q105" t="s">
        <v>1870</v>
      </c>
      <c r="S105" t="s">
        <v>1871</v>
      </c>
      <c r="X105" t="s">
        <v>1803</v>
      </c>
      <c r="AA105" s="17">
        <f>IF($A105,$J105*(IF(Q105=regle!$B$11,regle!$B$23*IF(AJ105=-2,1+regle!$B$35,1),
IF(Q105=regle!$C$11,regle!$C$23,
IF(Q105=regle!$D$11,regle!$D$23,
IF(Q105=regle!$E$11,regle!$E$23,
IF(Q105=regle!$F$11,regle!$F$23,
IF(Q105=regle!$G$11,regle!$G$23,
IF(Q105=regle!$H$11,regle!$H$23,
IF(Q105=regle!$I$11,regle!$I$23,
IF(Q105=regle!$J$11,regle!$J$23,
IF(Q105=regle!$K$11,regle!$K$23,0))))))))))))</f>
        <v>-292.185</v>
      </c>
      <c r="AB105" s="17">
        <f>IF($A105,$J105*(IF(R105=regle!$B$11,regle!$B$23*IF(AK105=-2,1+regle!$B$35,1),
IF(R105=regle!$C$11,regle!$C$23,
IF(R105=regle!$D$11,regle!$D$23,
IF(R105=regle!$E$11,regle!$E$23,
IF(R105=regle!$F$11,regle!$F$23,
IF(R105=regle!$G$11,regle!$G$23,
IF(R105=regle!$H$11,regle!$H$23,
IF(R105=regle!$I$11,regle!$I$23,
IF(R105=regle!$J$11,regle!$J$23,
IF(R105=regle!$K$11,regle!$K$23,0))))))))))))</f>
        <v>0</v>
      </c>
      <c r="AC105" s="17">
        <f>IF($A105,$J105*(IF(S105=regle!$B$11,regle!$B$23*IF(AL105=-2,1+regle!$B$35,1),
IF(S105=regle!$C$11,regle!$C$23,
IF(S105=regle!$D$11,regle!$D$23,
IF(S105=regle!$E$11,regle!$E$23,
IF(S105=regle!$F$11,regle!$F$23,
IF(S105=regle!$G$11,regle!$G$23,
IF(S105=regle!$H$11,regle!$H$23,
IF(S105=regle!$I$11,regle!$I$23,
IF(S105=regle!$J$11,regle!$J$23,
IF(S105=regle!$K$11,regle!$K$23,0))))))))))))</f>
        <v>-292.185</v>
      </c>
      <c r="AD105" s="17">
        <f>IF($A105,$J105*(IF(T105=regle!$B$11,regle!$B$23*IF(AM105=-2,1+regle!$B$35,1),
IF(T105=regle!$C$11,regle!$C$23,
IF(T105=regle!$D$11,regle!$D$23,
IF(T105=regle!$E$11,regle!$E$23,
IF(T105=regle!$F$11,regle!$F$23,
IF(T105=regle!$G$11,regle!$G$23,
IF(T105=regle!$H$11,regle!$H$23,
IF(T105=regle!$I$11,regle!$I$23,
IF(T105=regle!$J$11,regle!$J$23,
IF(T105=regle!$K$11,regle!$K$23,0))))))))))))</f>
        <v>0</v>
      </c>
      <c r="AE105" s="17">
        <f>IF($A105,$J105*(IF(U105=regle!$B$11,regle!$B$23*IF(AN105=-2,1+regle!$B$35,1),
IF(U105=regle!$C$11,regle!$C$23,
IF(U105=regle!$D$11,regle!$D$23,
IF(U105=regle!$E$11,regle!$E$23,
IF(U105=regle!$F$11,regle!$F$23,
IF(U105=regle!$G$11,regle!$G$23,
IF(U105=regle!$H$11,regle!$H$23,
IF(U105=regle!$I$11,regle!$I$23,
IF(U105=regle!$J$11,regle!$J$23,
IF(U105=regle!$K$11,regle!$K$23,0))))))))))))</f>
        <v>0</v>
      </c>
      <c r="AF105" s="17">
        <f>IF($A105,$J105*(IF(V105=regle!$B$11,regle!$B$23*IF(AO105=-2,1+regle!$B$35,1),
IF(V105=regle!$C$11,regle!$C$23,
IF(V105=regle!$D$11,regle!$D$23,
IF(V105=regle!$E$11,regle!$E$23,
IF(V105=regle!$F$11,regle!$F$23,
IF(V105=regle!$G$11,regle!$G$23,
IF(V105=regle!$H$11,regle!$H$23,
IF(V105=regle!$I$11,regle!$I$23,
IF(V105=regle!$J$11,regle!$J$23,
IF(V105=regle!$K$11,regle!$K$23,0))))))))))))</f>
        <v>0</v>
      </c>
      <c r="AG105" s="17">
        <f>IF($A105,$J105*(IF(W105=regle!$B$11,regle!$B$23*IF(AP105=-2,1+regle!$B$35,1),
IF(W105=regle!$C$11,regle!$C$23,
IF(W105=regle!$D$11,regle!$D$23,
IF(W105=regle!$E$11,regle!$E$23,
IF(W105=regle!$F$11,regle!$F$23,
IF(W105=regle!$G$11,regle!$G$23,
IF(W105=regle!$H$11,regle!$H$23,
IF(W105=regle!$I$11,regle!$I$23,
IF(W105=regle!$J$11,regle!$J$23,
IF(W105=regle!$K$11,regle!$K$23,0))))))))))))</f>
        <v>0</v>
      </c>
      <c r="AH105" s="17">
        <f>IF($A105,$J105*(IF(X105=regle!$B$11,regle!$B$23*IF(AQ105=-2,1+regle!$B$35,1),
IF(X105=regle!$C$11,regle!$C$23,
IF(X105=regle!$D$11,regle!$D$23,
IF(X105=regle!$E$11,regle!$E$23,
IF(X105=regle!$F$11,regle!$F$23,
IF(X105=regle!$G$11,regle!$G$23,
IF(X105=regle!$H$11,regle!$H$23,
IF(X105=regle!$I$11,regle!$I$23,
IF(X105=regle!$J$11,regle!$J$23,
IF(X105=regle!$K$11,regle!$K$23,0))))))))))))</f>
        <v>1869.9840000000002</v>
      </c>
      <c r="AI105" s="17">
        <f>IF($A105,$J105*(IF(Y105=regle!$B$11,regle!$B$23*IF(AR105=-2,1+regle!$B$35,1),
IF(Y105=regle!$C$11,regle!$C$23,
IF(Y105=regle!$D$11,regle!$D$23,
IF(Y105=regle!$E$11,regle!$E$23,
IF(Y105=regle!$F$11,regle!$F$23,
IF(Y105=regle!$G$11,regle!$G$23,
IF(Y105=regle!$H$11,regle!$H$23,
IF(Y105=regle!$I$11,regle!$I$23,
IF(Y105=regle!$J$11,regle!$J$23,
IF(Y105=regle!$K$11,regle!$K$23,0))))))))))))</f>
        <v>0</v>
      </c>
      <c r="AJ105" s="17">
        <f>IF($A105,$J105*(IF(Z105=regle!$B$11,regle!$B$23*IF(AS105=-2,1+regle!$B$35,1),
IF(Z105=regle!$C$11,regle!$C$23,
IF(Z105=regle!$D$11,regle!$D$23,
IF(Z105=regle!$E$11,regle!$E$23,
IF(Z105=regle!$F$11,regle!$F$23,
IF(Z105=regle!$G$11,regle!$G$23,
IF(Z105=regle!$H$11,regle!$H$23,
IF(Z105=regle!$I$11,regle!$I$23,
IF(Z105=regle!$J$11,regle!$J$23,
IF(Z105=regle!$K$11,regle!$K$23,0))))))))))))</f>
        <v>0</v>
      </c>
      <c r="AK105" s="16">
        <f>IF(OR(Q105=regle!$J$11,Q105=regle!$K$11),-2,IF(Q105=regle!$B$11,0,IF(AK$1=$AK$1,IF($O105,-1,regle!$B$2-$M105),IF(AJ105=-1,-1,AJ105+1))))</f>
        <v>5</v>
      </c>
      <c r="AL105" s="16">
        <f>IF(OR(R105=regle!$J$11,R105=regle!$K$11),-2,IF(R105=regle!$B$11,0,IF(AL$1=$AK$1,IF($O105,-1,regle!$B$2-$M105),IF(AK105=-1,-1,AK105+1))))</f>
        <v>6</v>
      </c>
      <c r="AM105" s="16">
        <f>IF(OR(S105=regle!$J$11,S105=regle!$K$11),-2,IF(S105=regle!$B$11,0,IF(AM$1=$AK$1,IF($O105,-1,regle!$B$2-$M105),IF(AL105=-1,-1,AL105+1))))</f>
        <v>7</v>
      </c>
      <c r="AN105" s="16">
        <f>IF(OR(T105=regle!$J$11,T105=regle!$K$11),-2,IF(T105=regle!$B$11,0,IF(AN$1=$AK$1,IF($O105,-1,regle!$B$2-$M105),IF(AM105=-1,-1,AM105+1))))</f>
        <v>8</v>
      </c>
      <c r="AO105" s="16">
        <f>IF(OR(U105=regle!$J$11,U105=regle!$K$11),-2,IF(U105=regle!$B$11,0,IF(AO$1=$AK$1,IF($O105,-1,regle!$B$2-$M105),IF(AN105=-1,-1,AN105+1))))</f>
        <v>9</v>
      </c>
      <c r="AP105" s="16">
        <f>IF(OR(V105=regle!$J$11,V105=regle!$K$11),-2,IF(V105=regle!$B$11,0,IF(AP$1=$AK$1,IF($O105,-1,regle!$B$2-$M105),IF(AO105=-1,-1,AO105+1))))</f>
        <v>10</v>
      </c>
      <c r="AQ105" s="16">
        <f>IF(OR(W105=regle!$J$11,W105=regle!$K$11),-2,IF(W105=regle!$B$11,0,IF(AQ$1=$AK$1,IF($O105,-1,regle!$B$2-$M105),IF(AP105=-1,-1,AP105+1))))</f>
        <v>11</v>
      </c>
      <c r="AR105" s="16">
        <f>IF(OR(X105=regle!$J$11,X105=regle!$K$11),-2,IF(X105=regle!$B$11,0,IF(AR$1=$AK$1,IF($O105,-1,regle!$B$2-$M105),IF(AQ105=-1,-1,AQ105+1))))</f>
        <v>12</v>
      </c>
      <c r="AS105" s="16">
        <f>IF(OR(Y105=regle!$J$11,Y105=regle!$K$11),-2,IF(Y105=regle!$B$11,0,IF(AS$1=$AK$1,IF($O105,-1,regle!$B$2-$M105),IF(AR105=-1,-1,AR105+1))))</f>
        <v>13</v>
      </c>
      <c r="AT105" s="16">
        <f>IF(OR(Z105=regle!$J$11,Z105=regle!$K$11),-2,IF(Z105=regle!$B$11,0,IF(AT$1=$AK$1,IF($O105,-1,regle!$B$2-$M105),IF(AS105=-1,-1,AS105+1))))</f>
        <v>14</v>
      </c>
    </row>
    <row r="106" spans="1:46" x14ac:dyDescent="0.25">
      <c r="A106" t="b">
        <f>modif0!A329</f>
        <v>1</v>
      </c>
      <c r="B106">
        <f>ROW(modif0!B329)</f>
        <v>329</v>
      </c>
      <c r="C106" t="str">
        <f>modif0!D329</f>
        <v>077</v>
      </c>
      <c r="D106" t="str">
        <f>modif0!E329</f>
        <v>CABANAC-ET-VILLAGRAINS</v>
      </c>
      <c r="E106">
        <f>modif0!F329</f>
        <v>12</v>
      </c>
      <c r="F106" t="str">
        <f>modif0!G329</f>
        <v>LES JEANNOTS</v>
      </c>
      <c r="G106" t="str">
        <f>modif0!I329</f>
        <v>0D</v>
      </c>
      <c r="H106">
        <f>modif0!J329</f>
        <v>2295</v>
      </c>
      <c r="I106" t="str">
        <f>modif0!K329</f>
        <v>j</v>
      </c>
      <c r="J106" s="11">
        <f>modif0!M329</f>
        <v>3.1981000000000002</v>
      </c>
      <c r="K106" s="11" t="str">
        <f>modif0!P329</f>
        <v>PLA</v>
      </c>
      <c r="L106" t="str">
        <f>modif0!N329</f>
        <v>PM</v>
      </c>
      <c r="M106">
        <f>modif0!Q329</f>
        <v>2019</v>
      </c>
      <c r="N106" t="str">
        <f>modif0!R329</f>
        <v>PLA-PM_2019</v>
      </c>
      <c r="O106" t="b">
        <f>modif0!S329</f>
        <v>0</v>
      </c>
      <c r="P106">
        <v>40</v>
      </c>
      <c r="Q106" t="s">
        <v>1870</v>
      </c>
      <c r="S106" t="s">
        <v>1871</v>
      </c>
      <c r="X106" t="s">
        <v>1803</v>
      </c>
      <c r="AA106" s="17">
        <f>IF($A106,$J106*(IF(Q106=regle!$B$11,regle!$B$23*IF(AJ106=-2,1+regle!$B$35,1),
IF(Q106=regle!$C$11,regle!$C$23,
IF(Q106=regle!$D$11,regle!$D$23,
IF(Q106=regle!$E$11,regle!$E$23,
IF(Q106=regle!$F$11,regle!$F$23,
IF(Q106=regle!$G$11,regle!$G$23,
IF(Q106=regle!$H$11,regle!$H$23,
IF(Q106=regle!$I$11,regle!$I$23,
IF(Q106=regle!$J$11,regle!$J$23,
IF(Q106=regle!$K$11,regle!$K$23,0))))))))))))</f>
        <v>-287.82900000000001</v>
      </c>
      <c r="AB106" s="17">
        <f>IF($A106,$J106*(IF(R106=regle!$B$11,regle!$B$23*IF(AK106=-2,1+regle!$B$35,1),
IF(R106=regle!$C$11,regle!$C$23,
IF(R106=regle!$D$11,regle!$D$23,
IF(R106=regle!$E$11,regle!$E$23,
IF(R106=regle!$F$11,regle!$F$23,
IF(R106=regle!$G$11,regle!$G$23,
IF(R106=regle!$H$11,regle!$H$23,
IF(R106=regle!$I$11,regle!$I$23,
IF(R106=regle!$J$11,regle!$J$23,
IF(R106=regle!$K$11,regle!$K$23,0))))))))))))</f>
        <v>0</v>
      </c>
      <c r="AC106" s="17">
        <f>IF($A106,$J106*(IF(S106=regle!$B$11,regle!$B$23*IF(AL106=-2,1+regle!$B$35,1),
IF(S106=regle!$C$11,regle!$C$23,
IF(S106=regle!$D$11,regle!$D$23,
IF(S106=regle!$E$11,regle!$E$23,
IF(S106=regle!$F$11,regle!$F$23,
IF(S106=regle!$G$11,regle!$G$23,
IF(S106=regle!$H$11,regle!$H$23,
IF(S106=regle!$I$11,regle!$I$23,
IF(S106=regle!$J$11,regle!$J$23,
IF(S106=regle!$K$11,regle!$K$23,0))))))))))))</f>
        <v>-287.82900000000001</v>
      </c>
      <c r="AD106" s="17">
        <f>IF($A106,$J106*(IF(T106=regle!$B$11,regle!$B$23*IF(AM106=-2,1+regle!$B$35,1),
IF(T106=regle!$C$11,regle!$C$23,
IF(T106=regle!$D$11,regle!$D$23,
IF(T106=regle!$E$11,regle!$E$23,
IF(T106=regle!$F$11,regle!$F$23,
IF(T106=regle!$G$11,regle!$G$23,
IF(T106=regle!$H$11,regle!$H$23,
IF(T106=regle!$I$11,regle!$I$23,
IF(T106=regle!$J$11,regle!$J$23,
IF(T106=regle!$K$11,regle!$K$23,0))))))))))))</f>
        <v>0</v>
      </c>
      <c r="AE106" s="17">
        <f>IF($A106,$J106*(IF(U106=regle!$B$11,regle!$B$23*IF(AN106=-2,1+regle!$B$35,1),
IF(U106=regle!$C$11,regle!$C$23,
IF(U106=regle!$D$11,regle!$D$23,
IF(U106=regle!$E$11,regle!$E$23,
IF(U106=regle!$F$11,regle!$F$23,
IF(U106=regle!$G$11,regle!$G$23,
IF(U106=regle!$H$11,regle!$H$23,
IF(U106=regle!$I$11,regle!$I$23,
IF(U106=regle!$J$11,regle!$J$23,
IF(U106=regle!$K$11,regle!$K$23,0))))))))))))</f>
        <v>0</v>
      </c>
      <c r="AF106" s="17">
        <f>IF($A106,$J106*(IF(V106=regle!$B$11,regle!$B$23*IF(AO106=-2,1+regle!$B$35,1),
IF(V106=regle!$C$11,regle!$C$23,
IF(V106=regle!$D$11,regle!$D$23,
IF(V106=regle!$E$11,regle!$E$23,
IF(V106=regle!$F$11,regle!$F$23,
IF(V106=regle!$G$11,regle!$G$23,
IF(V106=regle!$H$11,regle!$H$23,
IF(V106=regle!$I$11,regle!$I$23,
IF(V106=regle!$J$11,regle!$J$23,
IF(V106=regle!$K$11,regle!$K$23,0))))))))))))</f>
        <v>0</v>
      </c>
      <c r="AG106" s="17">
        <f>IF($A106,$J106*(IF(W106=regle!$B$11,regle!$B$23*IF(AP106=-2,1+regle!$B$35,1),
IF(W106=regle!$C$11,regle!$C$23,
IF(W106=regle!$D$11,regle!$D$23,
IF(W106=regle!$E$11,regle!$E$23,
IF(W106=regle!$F$11,regle!$F$23,
IF(W106=regle!$G$11,regle!$G$23,
IF(W106=regle!$H$11,regle!$H$23,
IF(W106=regle!$I$11,regle!$I$23,
IF(W106=regle!$J$11,regle!$J$23,
IF(W106=regle!$K$11,regle!$K$23,0))))))))))))</f>
        <v>0</v>
      </c>
      <c r="AH106" s="17">
        <f>IF($A106,$J106*(IF(X106=regle!$B$11,regle!$B$23*IF(AQ106=-2,1+regle!$B$35,1),
IF(X106=regle!$C$11,regle!$C$23,
IF(X106=regle!$D$11,regle!$D$23,
IF(X106=regle!$E$11,regle!$E$23,
IF(X106=regle!$F$11,regle!$F$23,
IF(X106=regle!$G$11,regle!$G$23,
IF(X106=regle!$H$11,regle!$H$23,
IF(X106=regle!$I$11,regle!$I$23,
IF(X106=regle!$J$11,regle!$J$23,
IF(X106=regle!$K$11,regle!$K$23,0))))))))))))</f>
        <v>1842.1056000000001</v>
      </c>
      <c r="AI106" s="17">
        <f>IF($A106,$J106*(IF(Y106=regle!$B$11,regle!$B$23*IF(AR106=-2,1+regle!$B$35,1),
IF(Y106=regle!$C$11,regle!$C$23,
IF(Y106=regle!$D$11,regle!$D$23,
IF(Y106=regle!$E$11,regle!$E$23,
IF(Y106=regle!$F$11,regle!$F$23,
IF(Y106=regle!$G$11,regle!$G$23,
IF(Y106=regle!$H$11,regle!$H$23,
IF(Y106=regle!$I$11,regle!$I$23,
IF(Y106=regle!$J$11,regle!$J$23,
IF(Y106=regle!$K$11,regle!$K$23,0))))))))))))</f>
        <v>0</v>
      </c>
      <c r="AJ106" s="17">
        <f>IF($A106,$J106*(IF(Z106=regle!$B$11,regle!$B$23*IF(AS106=-2,1+regle!$B$35,1),
IF(Z106=regle!$C$11,regle!$C$23,
IF(Z106=regle!$D$11,regle!$D$23,
IF(Z106=regle!$E$11,regle!$E$23,
IF(Z106=regle!$F$11,regle!$F$23,
IF(Z106=regle!$G$11,regle!$G$23,
IF(Z106=regle!$H$11,regle!$H$23,
IF(Z106=regle!$I$11,regle!$I$23,
IF(Z106=regle!$J$11,regle!$J$23,
IF(Z106=regle!$K$11,regle!$K$23,0))))))))))))</f>
        <v>0</v>
      </c>
      <c r="AK106" s="16">
        <f>IF(OR(Q106=regle!$J$11,Q106=regle!$K$11),-2,IF(Q106=regle!$B$11,0,IF(AK$1=$AK$1,IF($O106,-1,regle!$B$2-$M106),IF(AJ106=-1,-1,AJ106+1))))</f>
        <v>5</v>
      </c>
      <c r="AL106" s="16">
        <f>IF(OR(R106=regle!$J$11,R106=regle!$K$11),-2,IF(R106=regle!$B$11,0,IF(AL$1=$AK$1,IF($O106,-1,regle!$B$2-$M106),IF(AK106=-1,-1,AK106+1))))</f>
        <v>6</v>
      </c>
      <c r="AM106" s="16">
        <f>IF(OR(S106=regle!$J$11,S106=regle!$K$11),-2,IF(S106=regle!$B$11,0,IF(AM$1=$AK$1,IF($O106,-1,regle!$B$2-$M106),IF(AL106=-1,-1,AL106+1))))</f>
        <v>7</v>
      </c>
      <c r="AN106" s="16">
        <f>IF(OR(T106=regle!$J$11,T106=regle!$K$11),-2,IF(T106=regle!$B$11,0,IF(AN$1=$AK$1,IF($O106,-1,regle!$B$2-$M106),IF(AM106=-1,-1,AM106+1))))</f>
        <v>8</v>
      </c>
      <c r="AO106" s="16">
        <f>IF(OR(U106=regle!$J$11,U106=regle!$K$11),-2,IF(U106=regle!$B$11,0,IF(AO$1=$AK$1,IF($O106,-1,regle!$B$2-$M106),IF(AN106=-1,-1,AN106+1))))</f>
        <v>9</v>
      </c>
      <c r="AP106" s="16">
        <f>IF(OR(V106=regle!$J$11,V106=regle!$K$11),-2,IF(V106=regle!$B$11,0,IF(AP$1=$AK$1,IF($O106,-1,regle!$B$2-$M106),IF(AO106=-1,-1,AO106+1))))</f>
        <v>10</v>
      </c>
      <c r="AQ106" s="16">
        <f>IF(OR(W106=regle!$J$11,W106=regle!$K$11),-2,IF(W106=regle!$B$11,0,IF(AQ$1=$AK$1,IF($O106,-1,regle!$B$2-$M106),IF(AP106=-1,-1,AP106+1))))</f>
        <v>11</v>
      </c>
      <c r="AR106" s="16">
        <f>IF(OR(X106=regle!$J$11,X106=regle!$K$11),-2,IF(X106=regle!$B$11,0,IF(AR$1=$AK$1,IF($O106,-1,regle!$B$2-$M106),IF(AQ106=-1,-1,AQ106+1))))</f>
        <v>12</v>
      </c>
      <c r="AS106" s="16">
        <f>IF(OR(Y106=regle!$J$11,Y106=regle!$K$11),-2,IF(Y106=regle!$B$11,0,IF(AS$1=$AK$1,IF($O106,-1,regle!$B$2-$M106),IF(AR106=-1,-1,AR106+1))))</f>
        <v>13</v>
      </c>
      <c r="AT106" s="16">
        <f>IF(OR(Z106=regle!$J$11,Z106=regle!$K$11),-2,IF(Z106=regle!$B$11,0,IF(AT$1=$AK$1,IF($O106,-1,regle!$B$2-$M106),IF(AS106=-1,-1,AS106+1))))</f>
        <v>14</v>
      </c>
    </row>
    <row r="107" spans="1:46" x14ac:dyDescent="0.25">
      <c r="A107" t="b">
        <f>modif0!A100</f>
        <v>1</v>
      </c>
      <c r="B107">
        <f>ROW(modif0!B100)</f>
        <v>100</v>
      </c>
      <c r="C107" t="str">
        <f>modif0!D100</f>
        <v>202</v>
      </c>
      <c r="D107" t="str">
        <f>modif0!E100</f>
        <v>HOSTENS</v>
      </c>
      <c r="E107">
        <f>modif0!F100</f>
        <v>11</v>
      </c>
      <c r="F107" t="str">
        <f>modif0!G100</f>
        <v>LES CAZALAS</v>
      </c>
      <c r="G107" t="str">
        <f>modif0!I100</f>
        <v>0B</v>
      </c>
      <c r="H107">
        <f>modif0!J100</f>
        <v>1137</v>
      </c>
      <c r="I107" t="str">
        <f>modif0!K100</f>
        <v/>
      </c>
      <c r="J107" s="11">
        <f>modif0!M100</f>
        <v>1.95</v>
      </c>
      <c r="K107" s="11" t="str">
        <f>modif0!P100</f>
        <v>PLA</v>
      </c>
      <c r="L107" t="str">
        <f>modif0!N100</f>
        <v>PM</v>
      </c>
      <c r="M107">
        <f>modif0!Q100</f>
        <v>2019</v>
      </c>
      <c r="N107" t="str">
        <f>modif0!R100</f>
        <v>PLA-PM_2019</v>
      </c>
      <c r="O107" t="b">
        <f>modif0!S100</f>
        <v>0</v>
      </c>
      <c r="P107">
        <v>40</v>
      </c>
      <c r="Q107" t="s">
        <v>1870</v>
      </c>
      <c r="S107" t="s">
        <v>1871</v>
      </c>
      <c r="X107" t="s">
        <v>1803</v>
      </c>
      <c r="AA107" s="17">
        <f>IF($A107,$J107*(IF(Q107=regle!$B$11,regle!$B$23*IF(AJ107=-2,1+regle!$B$35,1),
IF(Q107=regle!$C$11,regle!$C$23,
IF(Q107=regle!$D$11,regle!$D$23,
IF(Q107=regle!$E$11,regle!$E$23,
IF(Q107=regle!$F$11,regle!$F$23,
IF(Q107=regle!$G$11,regle!$G$23,
IF(Q107=regle!$H$11,regle!$H$23,
IF(Q107=regle!$I$11,regle!$I$23,
IF(Q107=regle!$J$11,regle!$J$23,
IF(Q107=regle!$K$11,regle!$K$23,0))))))))))))</f>
        <v>-175.5</v>
      </c>
      <c r="AB107" s="17">
        <f>IF($A107,$J107*(IF(R107=regle!$B$11,regle!$B$23*IF(AK107=-2,1+regle!$B$35,1),
IF(R107=regle!$C$11,regle!$C$23,
IF(R107=regle!$D$11,regle!$D$23,
IF(R107=regle!$E$11,regle!$E$23,
IF(R107=regle!$F$11,regle!$F$23,
IF(R107=regle!$G$11,regle!$G$23,
IF(R107=regle!$H$11,regle!$H$23,
IF(R107=regle!$I$11,regle!$I$23,
IF(R107=regle!$J$11,regle!$J$23,
IF(R107=regle!$K$11,regle!$K$23,0))))))))))))</f>
        <v>0</v>
      </c>
      <c r="AC107" s="17">
        <f>IF($A107,$J107*(IF(S107=regle!$B$11,regle!$B$23*IF(AL107=-2,1+regle!$B$35,1),
IF(S107=regle!$C$11,regle!$C$23,
IF(S107=regle!$D$11,regle!$D$23,
IF(S107=regle!$E$11,regle!$E$23,
IF(S107=regle!$F$11,regle!$F$23,
IF(S107=regle!$G$11,regle!$G$23,
IF(S107=regle!$H$11,regle!$H$23,
IF(S107=regle!$I$11,regle!$I$23,
IF(S107=regle!$J$11,regle!$J$23,
IF(S107=regle!$K$11,regle!$K$23,0))))))))))))</f>
        <v>-175.5</v>
      </c>
      <c r="AD107" s="17">
        <f>IF($A107,$J107*(IF(T107=regle!$B$11,regle!$B$23*IF(AM107=-2,1+regle!$B$35,1),
IF(T107=regle!$C$11,regle!$C$23,
IF(T107=regle!$D$11,regle!$D$23,
IF(T107=regle!$E$11,regle!$E$23,
IF(T107=regle!$F$11,regle!$F$23,
IF(T107=regle!$G$11,regle!$G$23,
IF(T107=regle!$H$11,regle!$H$23,
IF(T107=regle!$I$11,regle!$I$23,
IF(T107=regle!$J$11,regle!$J$23,
IF(T107=regle!$K$11,regle!$K$23,0))))))))))))</f>
        <v>0</v>
      </c>
      <c r="AE107" s="17">
        <f>IF($A107,$J107*(IF(U107=regle!$B$11,regle!$B$23*IF(AN107=-2,1+regle!$B$35,1),
IF(U107=regle!$C$11,regle!$C$23,
IF(U107=regle!$D$11,regle!$D$23,
IF(U107=regle!$E$11,regle!$E$23,
IF(U107=regle!$F$11,regle!$F$23,
IF(U107=regle!$G$11,regle!$G$23,
IF(U107=regle!$H$11,regle!$H$23,
IF(U107=regle!$I$11,regle!$I$23,
IF(U107=regle!$J$11,regle!$J$23,
IF(U107=regle!$K$11,regle!$K$23,0))))))))))))</f>
        <v>0</v>
      </c>
      <c r="AF107" s="17">
        <f>IF($A107,$J107*(IF(V107=regle!$B$11,regle!$B$23*IF(AO107=-2,1+regle!$B$35,1),
IF(V107=regle!$C$11,regle!$C$23,
IF(V107=regle!$D$11,regle!$D$23,
IF(V107=regle!$E$11,regle!$E$23,
IF(V107=regle!$F$11,regle!$F$23,
IF(V107=regle!$G$11,regle!$G$23,
IF(V107=regle!$H$11,regle!$H$23,
IF(V107=regle!$I$11,regle!$I$23,
IF(V107=regle!$J$11,regle!$J$23,
IF(V107=regle!$K$11,regle!$K$23,0))))))))))))</f>
        <v>0</v>
      </c>
      <c r="AG107" s="17">
        <f>IF($A107,$J107*(IF(W107=regle!$B$11,regle!$B$23*IF(AP107=-2,1+regle!$B$35,1),
IF(W107=regle!$C$11,regle!$C$23,
IF(W107=regle!$D$11,regle!$D$23,
IF(W107=regle!$E$11,regle!$E$23,
IF(W107=regle!$F$11,regle!$F$23,
IF(W107=regle!$G$11,regle!$G$23,
IF(W107=regle!$H$11,regle!$H$23,
IF(W107=regle!$I$11,regle!$I$23,
IF(W107=regle!$J$11,regle!$J$23,
IF(W107=regle!$K$11,regle!$K$23,0))))))))))))</f>
        <v>0</v>
      </c>
      <c r="AH107" s="17">
        <f>IF($A107,$J107*(IF(X107=regle!$B$11,regle!$B$23*IF(AQ107=-2,1+regle!$B$35,1),
IF(X107=regle!$C$11,regle!$C$23,
IF(X107=regle!$D$11,regle!$D$23,
IF(X107=regle!$E$11,regle!$E$23,
IF(X107=regle!$F$11,regle!$F$23,
IF(X107=regle!$G$11,regle!$G$23,
IF(X107=regle!$H$11,regle!$H$23,
IF(X107=regle!$I$11,regle!$I$23,
IF(X107=regle!$J$11,regle!$J$23,
IF(X107=regle!$K$11,regle!$K$23,0))))))))))))</f>
        <v>1123.2</v>
      </c>
      <c r="AI107" s="17">
        <f>IF($A107,$J107*(IF(Y107=regle!$B$11,regle!$B$23*IF(AR107=-2,1+regle!$B$35,1),
IF(Y107=regle!$C$11,regle!$C$23,
IF(Y107=regle!$D$11,regle!$D$23,
IF(Y107=regle!$E$11,regle!$E$23,
IF(Y107=regle!$F$11,regle!$F$23,
IF(Y107=regle!$G$11,regle!$G$23,
IF(Y107=regle!$H$11,regle!$H$23,
IF(Y107=regle!$I$11,regle!$I$23,
IF(Y107=regle!$J$11,regle!$J$23,
IF(Y107=regle!$K$11,regle!$K$23,0))))))))))))</f>
        <v>0</v>
      </c>
      <c r="AJ107" s="17">
        <f>IF($A107,$J107*(IF(Z107=regle!$B$11,regle!$B$23*IF(AS107=-2,1+regle!$B$35,1),
IF(Z107=regle!$C$11,regle!$C$23,
IF(Z107=regle!$D$11,regle!$D$23,
IF(Z107=regle!$E$11,regle!$E$23,
IF(Z107=regle!$F$11,regle!$F$23,
IF(Z107=regle!$G$11,regle!$G$23,
IF(Z107=regle!$H$11,regle!$H$23,
IF(Z107=regle!$I$11,regle!$I$23,
IF(Z107=regle!$J$11,regle!$J$23,
IF(Z107=regle!$K$11,regle!$K$23,0))))))))))))</f>
        <v>0</v>
      </c>
      <c r="AK107" s="16">
        <f>IF(OR(Q107=regle!$J$11,Q107=regle!$K$11),-2,IF(Q107=regle!$B$11,0,IF(AK$1=$AK$1,IF($O107,-1,regle!$B$2-$M107),IF(AJ107=-1,-1,AJ107+1))))</f>
        <v>5</v>
      </c>
      <c r="AL107" s="16">
        <f>IF(OR(R107=regle!$J$11,R107=regle!$K$11),-2,IF(R107=regle!$B$11,0,IF(AL$1=$AK$1,IF($O107,-1,regle!$B$2-$M107),IF(AK107=-1,-1,AK107+1))))</f>
        <v>6</v>
      </c>
      <c r="AM107" s="16">
        <f>IF(OR(S107=regle!$J$11,S107=regle!$K$11),-2,IF(S107=regle!$B$11,0,IF(AM$1=$AK$1,IF($O107,-1,regle!$B$2-$M107),IF(AL107=-1,-1,AL107+1))))</f>
        <v>7</v>
      </c>
      <c r="AN107" s="16">
        <f>IF(OR(T107=regle!$J$11,T107=regle!$K$11),-2,IF(T107=regle!$B$11,0,IF(AN$1=$AK$1,IF($O107,-1,regle!$B$2-$M107),IF(AM107=-1,-1,AM107+1))))</f>
        <v>8</v>
      </c>
      <c r="AO107" s="16">
        <f>IF(OR(U107=regle!$J$11,U107=regle!$K$11),-2,IF(U107=regle!$B$11,0,IF(AO$1=$AK$1,IF($O107,-1,regle!$B$2-$M107),IF(AN107=-1,-1,AN107+1))))</f>
        <v>9</v>
      </c>
      <c r="AP107" s="16">
        <f>IF(OR(V107=regle!$J$11,V107=regle!$K$11),-2,IF(V107=regle!$B$11,0,IF(AP$1=$AK$1,IF($O107,-1,regle!$B$2-$M107),IF(AO107=-1,-1,AO107+1))))</f>
        <v>10</v>
      </c>
      <c r="AQ107" s="16">
        <f>IF(OR(W107=regle!$J$11,W107=regle!$K$11),-2,IF(W107=regle!$B$11,0,IF(AQ$1=$AK$1,IF($O107,-1,regle!$B$2-$M107),IF(AP107=-1,-1,AP107+1))))</f>
        <v>11</v>
      </c>
      <c r="AR107" s="16">
        <f>IF(OR(X107=regle!$J$11,X107=regle!$K$11),-2,IF(X107=regle!$B$11,0,IF(AR$1=$AK$1,IF($O107,-1,regle!$B$2-$M107),IF(AQ107=-1,-1,AQ107+1))))</f>
        <v>12</v>
      </c>
      <c r="AS107" s="16">
        <f>IF(OR(Y107=regle!$J$11,Y107=regle!$K$11),-2,IF(Y107=regle!$B$11,0,IF(AS$1=$AK$1,IF($O107,-1,regle!$B$2-$M107),IF(AR107=-1,-1,AR107+1))))</f>
        <v>13</v>
      </c>
      <c r="AT107" s="16">
        <f>IF(OR(Z107=regle!$J$11,Z107=regle!$K$11),-2,IF(Z107=regle!$B$11,0,IF(AT$1=$AK$1,IF($O107,-1,regle!$B$2-$M107),IF(AS107=-1,-1,AS107+1))))</f>
        <v>14</v>
      </c>
    </row>
    <row r="108" spans="1:46" x14ac:dyDescent="0.25">
      <c r="A108" t="b">
        <f>modif0!A124</f>
        <v>1</v>
      </c>
      <c r="B108">
        <f>ROW(modif0!B124)</f>
        <v>124</v>
      </c>
      <c r="C108" t="str">
        <f>modif0!D124</f>
        <v>202</v>
      </c>
      <c r="D108" t="str">
        <f>modif0!E124</f>
        <v>HOSTENS</v>
      </c>
      <c r="E108">
        <f>modif0!F124</f>
        <v>11</v>
      </c>
      <c r="F108" t="str">
        <f>modif0!G124</f>
        <v>LES CAZALAS</v>
      </c>
      <c r="G108" t="str">
        <f>modif0!I124</f>
        <v>0B</v>
      </c>
      <c r="H108">
        <f>modif0!J124</f>
        <v>1152</v>
      </c>
      <c r="I108" t="str">
        <f>modif0!K124</f>
        <v>k</v>
      </c>
      <c r="J108" s="11">
        <f>modif0!M124</f>
        <v>1.2943</v>
      </c>
      <c r="K108" s="11" t="str">
        <f>modif0!P124</f>
        <v>PLA</v>
      </c>
      <c r="L108" t="str">
        <f>modif0!N124</f>
        <v>PM</v>
      </c>
      <c r="M108">
        <f>modif0!Q124</f>
        <v>2019</v>
      </c>
      <c r="N108" t="str">
        <f>modif0!R124</f>
        <v>PLA-PM_2019</v>
      </c>
      <c r="O108" t="b">
        <f>modif0!S124</f>
        <v>0</v>
      </c>
      <c r="P108">
        <v>40</v>
      </c>
      <c r="Q108" t="s">
        <v>1870</v>
      </c>
      <c r="S108" t="s">
        <v>1871</v>
      </c>
      <c r="X108" t="s">
        <v>1803</v>
      </c>
      <c r="AA108" s="17">
        <f>IF($A108,$J108*(IF(Q108=regle!$B$11,regle!$B$23*IF(AJ108=-2,1+regle!$B$35,1),
IF(Q108=regle!$C$11,regle!$C$23,
IF(Q108=regle!$D$11,regle!$D$23,
IF(Q108=regle!$E$11,regle!$E$23,
IF(Q108=regle!$F$11,regle!$F$23,
IF(Q108=regle!$G$11,regle!$G$23,
IF(Q108=regle!$H$11,regle!$H$23,
IF(Q108=regle!$I$11,regle!$I$23,
IF(Q108=regle!$J$11,regle!$J$23,
IF(Q108=regle!$K$11,regle!$K$23,0))))))))))))</f>
        <v>-116.48699999999999</v>
      </c>
      <c r="AB108" s="17">
        <f>IF($A108,$J108*(IF(R108=regle!$B$11,regle!$B$23*IF(AK108=-2,1+regle!$B$35,1),
IF(R108=regle!$C$11,regle!$C$23,
IF(R108=regle!$D$11,regle!$D$23,
IF(R108=regle!$E$11,regle!$E$23,
IF(R108=regle!$F$11,regle!$F$23,
IF(R108=regle!$G$11,regle!$G$23,
IF(R108=regle!$H$11,regle!$H$23,
IF(R108=regle!$I$11,regle!$I$23,
IF(R108=regle!$J$11,regle!$J$23,
IF(R108=regle!$K$11,regle!$K$23,0))))))))))))</f>
        <v>0</v>
      </c>
      <c r="AC108" s="17">
        <f>IF($A108,$J108*(IF(S108=regle!$B$11,regle!$B$23*IF(AL108=-2,1+regle!$B$35,1),
IF(S108=regle!$C$11,regle!$C$23,
IF(S108=regle!$D$11,regle!$D$23,
IF(S108=regle!$E$11,regle!$E$23,
IF(S108=regle!$F$11,regle!$F$23,
IF(S108=regle!$G$11,regle!$G$23,
IF(S108=regle!$H$11,regle!$H$23,
IF(S108=regle!$I$11,regle!$I$23,
IF(S108=regle!$J$11,regle!$J$23,
IF(S108=regle!$K$11,regle!$K$23,0))))))))))))</f>
        <v>-116.48699999999999</v>
      </c>
      <c r="AD108" s="17">
        <f>IF($A108,$J108*(IF(T108=regle!$B$11,regle!$B$23*IF(AM108=-2,1+regle!$B$35,1),
IF(T108=regle!$C$11,regle!$C$23,
IF(T108=regle!$D$11,regle!$D$23,
IF(T108=regle!$E$11,regle!$E$23,
IF(T108=regle!$F$11,regle!$F$23,
IF(T108=regle!$G$11,regle!$G$23,
IF(T108=regle!$H$11,regle!$H$23,
IF(T108=regle!$I$11,regle!$I$23,
IF(T108=regle!$J$11,regle!$J$23,
IF(T108=regle!$K$11,regle!$K$23,0))))))))))))</f>
        <v>0</v>
      </c>
      <c r="AE108" s="17">
        <f>IF($A108,$J108*(IF(U108=regle!$B$11,regle!$B$23*IF(AN108=-2,1+regle!$B$35,1),
IF(U108=regle!$C$11,regle!$C$23,
IF(U108=regle!$D$11,regle!$D$23,
IF(U108=regle!$E$11,regle!$E$23,
IF(U108=regle!$F$11,regle!$F$23,
IF(U108=regle!$G$11,regle!$G$23,
IF(U108=regle!$H$11,regle!$H$23,
IF(U108=regle!$I$11,regle!$I$23,
IF(U108=regle!$J$11,regle!$J$23,
IF(U108=regle!$K$11,regle!$K$23,0))))))))))))</f>
        <v>0</v>
      </c>
      <c r="AF108" s="17">
        <f>IF($A108,$J108*(IF(V108=regle!$B$11,regle!$B$23*IF(AO108=-2,1+regle!$B$35,1),
IF(V108=regle!$C$11,regle!$C$23,
IF(V108=regle!$D$11,regle!$D$23,
IF(V108=regle!$E$11,regle!$E$23,
IF(V108=regle!$F$11,regle!$F$23,
IF(V108=regle!$G$11,regle!$G$23,
IF(V108=regle!$H$11,regle!$H$23,
IF(V108=regle!$I$11,regle!$I$23,
IF(V108=regle!$J$11,regle!$J$23,
IF(V108=regle!$K$11,regle!$K$23,0))))))))))))</f>
        <v>0</v>
      </c>
      <c r="AG108" s="17">
        <f>IF($A108,$J108*(IF(W108=regle!$B$11,regle!$B$23*IF(AP108=-2,1+regle!$B$35,1),
IF(W108=regle!$C$11,regle!$C$23,
IF(W108=regle!$D$11,regle!$D$23,
IF(W108=regle!$E$11,regle!$E$23,
IF(W108=regle!$F$11,regle!$F$23,
IF(W108=regle!$G$11,regle!$G$23,
IF(W108=regle!$H$11,regle!$H$23,
IF(W108=regle!$I$11,regle!$I$23,
IF(W108=regle!$J$11,regle!$J$23,
IF(W108=regle!$K$11,regle!$K$23,0))))))))))))</f>
        <v>0</v>
      </c>
      <c r="AH108" s="17">
        <f>IF($A108,$J108*(IF(X108=regle!$B$11,regle!$B$23*IF(AQ108=-2,1+regle!$B$35,1),
IF(X108=regle!$C$11,regle!$C$23,
IF(X108=regle!$D$11,regle!$D$23,
IF(X108=regle!$E$11,regle!$E$23,
IF(X108=regle!$F$11,regle!$F$23,
IF(X108=regle!$G$11,regle!$G$23,
IF(X108=regle!$H$11,regle!$H$23,
IF(X108=regle!$I$11,regle!$I$23,
IF(X108=regle!$J$11,regle!$J$23,
IF(X108=regle!$K$11,regle!$K$23,0))))))))))))</f>
        <v>745.51679999999999</v>
      </c>
      <c r="AI108" s="17">
        <f>IF($A108,$J108*(IF(Y108=regle!$B$11,regle!$B$23*IF(AR108=-2,1+regle!$B$35,1),
IF(Y108=regle!$C$11,regle!$C$23,
IF(Y108=regle!$D$11,regle!$D$23,
IF(Y108=regle!$E$11,regle!$E$23,
IF(Y108=regle!$F$11,regle!$F$23,
IF(Y108=regle!$G$11,regle!$G$23,
IF(Y108=regle!$H$11,regle!$H$23,
IF(Y108=regle!$I$11,regle!$I$23,
IF(Y108=regle!$J$11,regle!$J$23,
IF(Y108=regle!$K$11,regle!$K$23,0))))))))))))</f>
        <v>0</v>
      </c>
      <c r="AJ108" s="17">
        <f>IF($A108,$J108*(IF(Z108=regle!$B$11,regle!$B$23*IF(AS108=-2,1+regle!$B$35,1),
IF(Z108=regle!$C$11,regle!$C$23,
IF(Z108=regle!$D$11,regle!$D$23,
IF(Z108=regle!$E$11,regle!$E$23,
IF(Z108=regle!$F$11,regle!$F$23,
IF(Z108=regle!$G$11,regle!$G$23,
IF(Z108=regle!$H$11,regle!$H$23,
IF(Z108=regle!$I$11,regle!$I$23,
IF(Z108=regle!$J$11,regle!$J$23,
IF(Z108=regle!$K$11,regle!$K$23,0))))))))))))</f>
        <v>0</v>
      </c>
      <c r="AK108" s="16">
        <f>IF(OR(Q108=regle!$J$11,Q108=regle!$K$11),-2,IF(Q108=regle!$B$11,0,IF(AK$1=$AK$1,IF($O108,-1,regle!$B$2-$M108),IF(AJ108=-1,-1,AJ108+1))))</f>
        <v>5</v>
      </c>
      <c r="AL108" s="16">
        <f>IF(OR(R108=regle!$J$11,R108=regle!$K$11),-2,IF(R108=regle!$B$11,0,IF(AL$1=$AK$1,IF($O108,-1,regle!$B$2-$M108),IF(AK108=-1,-1,AK108+1))))</f>
        <v>6</v>
      </c>
      <c r="AM108" s="16">
        <f>IF(OR(S108=regle!$J$11,S108=regle!$K$11),-2,IF(S108=regle!$B$11,0,IF(AM$1=$AK$1,IF($O108,-1,regle!$B$2-$M108),IF(AL108=-1,-1,AL108+1))))</f>
        <v>7</v>
      </c>
      <c r="AN108" s="16">
        <f>IF(OR(T108=regle!$J$11,T108=regle!$K$11),-2,IF(T108=regle!$B$11,0,IF(AN$1=$AK$1,IF($O108,-1,regle!$B$2-$M108),IF(AM108=-1,-1,AM108+1))))</f>
        <v>8</v>
      </c>
      <c r="AO108" s="16">
        <f>IF(OR(U108=regle!$J$11,U108=regle!$K$11),-2,IF(U108=regle!$B$11,0,IF(AO$1=$AK$1,IF($O108,-1,regle!$B$2-$M108),IF(AN108=-1,-1,AN108+1))))</f>
        <v>9</v>
      </c>
      <c r="AP108" s="16">
        <f>IF(OR(V108=regle!$J$11,V108=regle!$K$11),-2,IF(V108=regle!$B$11,0,IF(AP$1=$AK$1,IF($O108,-1,regle!$B$2-$M108),IF(AO108=-1,-1,AO108+1))))</f>
        <v>10</v>
      </c>
      <c r="AQ108" s="16">
        <f>IF(OR(W108=regle!$J$11,W108=regle!$K$11),-2,IF(W108=regle!$B$11,0,IF(AQ$1=$AK$1,IF($O108,-1,regle!$B$2-$M108),IF(AP108=-1,-1,AP108+1))))</f>
        <v>11</v>
      </c>
      <c r="AR108" s="16">
        <f>IF(OR(X108=regle!$J$11,X108=regle!$K$11),-2,IF(X108=regle!$B$11,0,IF(AR$1=$AK$1,IF($O108,-1,regle!$B$2-$M108),IF(AQ108=-1,-1,AQ108+1))))</f>
        <v>12</v>
      </c>
      <c r="AS108" s="16">
        <f>IF(OR(Y108=regle!$J$11,Y108=regle!$K$11),-2,IF(Y108=regle!$B$11,0,IF(AS$1=$AK$1,IF($O108,-1,regle!$B$2-$M108),IF(AR108=-1,-1,AR108+1))))</f>
        <v>13</v>
      </c>
      <c r="AT108" s="16">
        <f>IF(OR(Z108=regle!$J$11,Z108=regle!$K$11),-2,IF(Z108=regle!$B$11,0,IF(AT$1=$AK$1,IF($O108,-1,regle!$B$2-$M108),IF(AS108=-1,-1,AS108+1))))</f>
        <v>14</v>
      </c>
    </row>
    <row r="109" spans="1:46" x14ac:dyDescent="0.25">
      <c r="A109" t="b">
        <f>modif0!A335</f>
        <v>1</v>
      </c>
      <c r="B109">
        <f>ROW(modif0!B335)</f>
        <v>335</v>
      </c>
      <c r="C109" t="str">
        <f>modif0!D335</f>
        <v>077</v>
      </c>
      <c r="D109" t="str">
        <f>modif0!E335</f>
        <v>CABANAC-ET-VILLAGRAINS</v>
      </c>
      <c r="E109">
        <f>modif0!F335</f>
        <v>12</v>
      </c>
      <c r="F109" t="str">
        <f>modif0!G335</f>
        <v>LES JEANNOTS</v>
      </c>
      <c r="G109" t="str">
        <f>modif0!I335</f>
        <v>0D</v>
      </c>
      <c r="H109">
        <f>modif0!J335</f>
        <v>2305</v>
      </c>
      <c r="I109" t="str">
        <f>modif0!K335</f>
        <v>j</v>
      </c>
      <c r="J109" s="11">
        <f>modif0!M335</f>
        <v>1.2117</v>
      </c>
      <c r="K109" s="11" t="str">
        <f>modif0!P335</f>
        <v>PLA</v>
      </c>
      <c r="L109" t="str">
        <f>modif0!N335</f>
        <v>PM</v>
      </c>
      <c r="M109">
        <f>modif0!Q335</f>
        <v>2019</v>
      </c>
      <c r="N109" t="str">
        <f>modif0!R335</f>
        <v>PLA-PM_2019</v>
      </c>
      <c r="O109" t="b">
        <f>modif0!S335</f>
        <v>0</v>
      </c>
      <c r="P109">
        <v>40</v>
      </c>
      <c r="Q109" t="s">
        <v>1870</v>
      </c>
      <c r="S109" t="s">
        <v>1871</v>
      </c>
      <c r="X109" t="s">
        <v>1803</v>
      </c>
      <c r="AA109" s="17">
        <f>IF($A109,$J109*(IF(Q109=regle!$B$11,regle!$B$23*IF(AJ109=-2,1+regle!$B$35,1),
IF(Q109=regle!$C$11,regle!$C$23,
IF(Q109=regle!$D$11,regle!$D$23,
IF(Q109=regle!$E$11,regle!$E$23,
IF(Q109=regle!$F$11,regle!$F$23,
IF(Q109=regle!$G$11,regle!$G$23,
IF(Q109=regle!$H$11,regle!$H$23,
IF(Q109=regle!$I$11,regle!$I$23,
IF(Q109=regle!$J$11,regle!$J$23,
IF(Q109=regle!$K$11,regle!$K$23,0))))))))))))</f>
        <v>-109.053</v>
      </c>
      <c r="AB109" s="17">
        <f>IF($A109,$J109*(IF(R109=regle!$B$11,regle!$B$23*IF(AK109=-2,1+regle!$B$35,1),
IF(R109=regle!$C$11,regle!$C$23,
IF(R109=regle!$D$11,regle!$D$23,
IF(R109=regle!$E$11,regle!$E$23,
IF(R109=regle!$F$11,regle!$F$23,
IF(R109=regle!$G$11,regle!$G$23,
IF(R109=regle!$H$11,regle!$H$23,
IF(R109=regle!$I$11,regle!$I$23,
IF(R109=regle!$J$11,regle!$J$23,
IF(R109=regle!$K$11,regle!$K$23,0))))))))))))</f>
        <v>0</v>
      </c>
      <c r="AC109" s="17">
        <f>IF($A109,$J109*(IF(S109=regle!$B$11,regle!$B$23*IF(AL109=-2,1+regle!$B$35,1),
IF(S109=regle!$C$11,regle!$C$23,
IF(S109=regle!$D$11,regle!$D$23,
IF(S109=regle!$E$11,regle!$E$23,
IF(S109=regle!$F$11,regle!$F$23,
IF(S109=regle!$G$11,regle!$G$23,
IF(S109=regle!$H$11,regle!$H$23,
IF(S109=regle!$I$11,regle!$I$23,
IF(S109=regle!$J$11,regle!$J$23,
IF(S109=regle!$K$11,regle!$K$23,0))))))))))))</f>
        <v>-109.053</v>
      </c>
      <c r="AD109" s="17">
        <f>IF($A109,$J109*(IF(T109=regle!$B$11,regle!$B$23*IF(AM109=-2,1+regle!$B$35,1),
IF(T109=regle!$C$11,regle!$C$23,
IF(T109=regle!$D$11,regle!$D$23,
IF(T109=regle!$E$11,regle!$E$23,
IF(T109=regle!$F$11,regle!$F$23,
IF(T109=regle!$G$11,regle!$G$23,
IF(T109=regle!$H$11,regle!$H$23,
IF(T109=regle!$I$11,regle!$I$23,
IF(T109=regle!$J$11,regle!$J$23,
IF(T109=regle!$K$11,regle!$K$23,0))))))))))))</f>
        <v>0</v>
      </c>
      <c r="AE109" s="17">
        <f>IF($A109,$J109*(IF(U109=regle!$B$11,regle!$B$23*IF(AN109=-2,1+regle!$B$35,1),
IF(U109=regle!$C$11,regle!$C$23,
IF(U109=regle!$D$11,regle!$D$23,
IF(U109=regle!$E$11,regle!$E$23,
IF(U109=regle!$F$11,regle!$F$23,
IF(U109=regle!$G$11,regle!$G$23,
IF(U109=regle!$H$11,regle!$H$23,
IF(U109=regle!$I$11,regle!$I$23,
IF(U109=regle!$J$11,regle!$J$23,
IF(U109=regle!$K$11,regle!$K$23,0))))))))))))</f>
        <v>0</v>
      </c>
      <c r="AF109" s="17">
        <f>IF($A109,$J109*(IF(V109=regle!$B$11,regle!$B$23*IF(AO109=-2,1+regle!$B$35,1),
IF(V109=regle!$C$11,regle!$C$23,
IF(V109=regle!$D$11,regle!$D$23,
IF(V109=regle!$E$11,regle!$E$23,
IF(V109=regle!$F$11,regle!$F$23,
IF(V109=regle!$G$11,regle!$G$23,
IF(V109=regle!$H$11,regle!$H$23,
IF(V109=regle!$I$11,regle!$I$23,
IF(V109=regle!$J$11,regle!$J$23,
IF(V109=regle!$K$11,regle!$K$23,0))))))))))))</f>
        <v>0</v>
      </c>
      <c r="AG109" s="17">
        <f>IF($A109,$J109*(IF(W109=regle!$B$11,regle!$B$23*IF(AP109=-2,1+regle!$B$35,1),
IF(W109=regle!$C$11,regle!$C$23,
IF(W109=regle!$D$11,regle!$D$23,
IF(W109=regle!$E$11,regle!$E$23,
IF(W109=regle!$F$11,regle!$F$23,
IF(W109=regle!$G$11,regle!$G$23,
IF(W109=regle!$H$11,regle!$H$23,
IF(W109=regle!$I$11,regle!$I$23,
IF(W109=regle!$J$11,regle!$J$23,
IF(W109=regle!$K$11,regle!$K$23,0))))))))))))</f>
        <v>0</v>
      </c>
      <c r="AH109" s="17">
        <f>IF($A109,$J109*(IF(X109=regle!$B$11,regle!$B$23*IF(AQ109=-2,1+regle!$B$35,1),
IF(X109=regle!$C$11,regle!$C$23,
IF(X109=regle!$D$11,regle!$D$23,
IF(X109=regle!$E$11,regle!$E$23,
IF(X109=regle!$F$11,regle!$F$23,
IF(X109=regle!$G$11,regle!$G$23,
IF(X109=regle!$H$11,regle!$H$23,
IF(X109=regle!$I$11,regle!$I$23,
IF(X109=regle!$J$11,regle!$J$23,
IF(X109=regle!$K$11,regle!$K$23,0))))))))))))</f>
        <v>697.93920000000003</v>
      </c>
      <c r="AI109" s="17">
        <f>IF($A109,$J109*(IF(Y109=regle!$B$11,regle!$B$23*IF(AR109=-2,1+regle!$B$35,1),
IF(Y109=regle!$C$11,regle!$C$23,
IF(Y109=regle!$D$11,regle!$D$23,
IF(Y109=regle!$E$11,regle!$E$23,
IF(Y109=regle!$F$11,regle!$F$23,
IF(Y109=regle!$G$11,regle!$G$23,
IF(Y109=regle!$H$11,regle!$H$23,
IF(Y109=regle!$I$11,regle!$I$23,
IF(Y109=regle!$J$11,regle!$J$23,
IF(Y109=regle!$K$11,regle!$K$23,0))))))))))))</f>
        <v>0</v>
      </c>
      <c r="AJ109" s="17">
        <f>IF($A109,$J109*(IF(Z109=regle!$B$11,regle!$B$23*IF(AS109=-2,1+regle!$B$35,1),
IF(Z109=regle!$C$11,regle!$C$23,
IF(Z109=regle!$D$11,regle!$D$23,
IF(Z109=regle!$E$11,regle!$E$23,
IF(Z109=regle!$F$11,regle!$F$23,
IF(Z109=regle!$G$11,regle!$G$23,
IF(Z109=regle!$H$11,regle!$H$23,
IF(Z109=regle!$I$11,regle!$I$23,
IF(Z109=regle!$J$11,regle!$J$23,
IF(Z109=regle!$K$11,regle!$K$23,0))))))))))))</f>
        <v>0</v>
      </c>
      <c r="AK109" s="16">
        <f>IF(OR(Q109=regle!$J$11,Q109=regle!$K$11),-2,IF(Q109=regle!$B$11,0,IF(AK$1=$AK$1,IF($O109,-1,regle!$B$2-$M109),IF(AJ109=-1,-1,AJ109+1))))</f>
        <v>5</v>
      </c>
      <c r="AL109" s="16">
        <f>IF(OR(R109=regle!$J$11,R109=regle!$K$11),-2,IF(R109=regle!$B$11,0,IF(AL$1=$AK$1,IF($O109,-1,regle!$B$2-$M109),IF(AK109=-1,-1,AK109+1))))</f>
        <v>6</v>
      </c>
      <c r="AM109" s="16">
        <f>IF(OR(S109=regle!$J$11,S109=regle!$K$11),-2,IF(S109=regle!$B$11,0,IF(AM$1=$AK$1,IF($O109,-1,regle!$B$2-$M109),IF(AL109=-1,-1,AL109+1))))</f>
        <v>7</v>
      </c>
      <c r="AN109" s="16">
        <f>IF(OR(T109=regle!$J$11,T109=regle!$K$11),-2,IF(T109=regle!$B$11,0,IF(AN$1=$AK$1,IF($O109,-1,regle!$B$2-$M109),IF(AM109=-1,-1,AM109+1))))</f>
        <v>8</v>
      </c>
      <c r="AO109" s="16">
        <f>IF(OR(U109=regle!$J$11,U109=regle!$K$11),-2,IF(U109=regle!$B$11,0,IF(AO$1=$AK$1,IF($O109,-1,regle!$B$2-$M109),IF(AN109=-1,-1,AN109+1))))</f>
        <v>9</v>
      </c>
      <c r="AP109" s="16">
        <f>IF(OR(V109=regle!$J$11,V109=regle!$K$11),-2,IF(V109=regle!$B$11,0,IF(AP$1=$AK$1,IF($O109,-1,regle!$B$2-$M109),IF(AO109=-1,-1,AO109+1))))</f>
        <v>10</v>
      </c>
      <c r="AQ109" s="16">
        <f>IF(OR(W109=regle!$J$11,W109=regle!$K$11),-2,IF(W109=regle!$B$11,0,IF(AQ$1=$AK$1,IF($O109,-1,regle!$B$2-$M109),IF(AP109=-1,-1,AP109+1))))</f>
        <v>11</v>
      </c>
      <c r="AR109" s="16">
        <f>IF(OR(X109=regle!$J$11,X109=regle!$K$11),-2,IF(X109=regle!$B$11,0,IF(AR$1=$AK$1,IF($O109,-1,regle!$B$2-$M109),IF(AQ109=-1,-1,AQ109+1))))</f>
        <v>12</v>
      </c>
      <c r="AS109" s="16">
        <f>IF(OR(Y109=regle!$J$11,Y109=regle!$K$11),-2,IF(Y109=regle!$B$11,0,IF(AS$1=$AK$1,IF($O109,-1,regle!$B$2-$M109),IF(AR109=-1,-1,AR109+1))))</f>
        <v>13</v>
      </c>
      <c r="AT109" s="16">
        <f>IF(OR(Z109=regle!$J$11,Z109=regle!$K$11),-2,IF(Z109=regle!$B$11,0,IF(AT$1=$AK$1,IF($O109,-1,regle!$B$2-$M109),IF(AS109=-1,-1,AS109+1))))</f>
        <v>14</v>
      </c>
    </row>
    <row r="110" spans="1:46" x14ac:dyDescent="0.25">
      <c r="A110" t="b">
        <f>modif0!A107</f>
        <v>1</v>
      </c>
      <c r="B110">
        <f>ROW(modif0!B107)</f>
        <v>107</v>
      </c>
      <c r="C110" t="str">
        <f>modif0!D107</f>
        <v>202</v>
      </c>
      <c r="D110" t="str">
        <f>modif0!E107</f>
        <v>HOSTENS</v>
      </c>
      <c r="E110">
        <f>modif0!F107</f>
        <v>11</v>
      </c>
      <c r="F110" t="str">
        <f>modif0!G107</f>
        <v>LES CAZALAS</v>
      </c>
      <c r="G110" t="str">
        <f>modif0!I107</f>
        <v>0B</v>
      </c>
      <c r="H110">
        <f>modif0!J107</f>
        <v>1141</v>
      </c>
      <c r="I110" t="str">
        <f>modif0!K107</f>
        <v>l</v>
      </c>
      <c r="J110" s="11">
        <f>modif0!M107</f>
        <v>0.81710000000000005</v>
      </c>
      <c r="K110" s="11" t="str">
        <f>modif0!P107</f>
        <v>PLA</v>
      </c>
      <c r="L110" t="str">
        <f>modif0!N107</f>
        <v>PM</v>
      </c>
      <c r="M110">
        <f>modif0!Q107</f>
        <v>2019</v>
      </c>
      <c r="N110" t="str">
        <f>modif0!R107</f>
        <v>PLA-PM_2019</v>
      </c>
      <c r="O110" t="b">
        <f>modif0!S107</f>
        <v>0</v>
      </c>
      <c r="P110">
        <v>40</v>
      </c>
      <c r="Q110" t="s">
        <v>1870</v>
      </c>
      <c r="S110" t="s">
        <v>1871</v>
      </c>
      <c r="X110" t="s">
        <v>1803</v>
      </c>
      <c r="AA110" s="17">
        <f>IF($A110,$J110*(IF(Q110=regle!$B$11,regle!$B$23*IF(AJ110=-2,1+regle!$B$35,1),
IF(Q110=regle!$C$11,regle!$C$23,
IF(Q110=regle!$D$11,regle!$D$23,
IF(Q110=regle!$E$11,regle!$E$23,
IF(Q110=regle!$F$11,regle!$F$23,
IF(Q110=regle!$G$11,regle!$G$23,
IF(Q110=regle!$H$11,regle!$H$23,
IF(Q110=regle!$I$11,regle!$I$23,
IF(Q110=regle!$J$11,regle!$J$23,
IF(Q110=regle!$K$11,regle!$K$23,0))))))))))))</f>
        <v>-73.539000000000001</v>
      </c>
      <c r="AB110" s="17">
        <f>IF($A110,$J110*(IF(R110=regle!$B$11,regle!$B$23*IF(AK110=-2,1+regle!$B$35,1),
IF(R110=regle!$C$11,regle!$C$23,
IF(R110=regle!$D$11,regle!$D$23,
IF(R110=regle!$E$11,regle!$E$23,
IF(R110=regle!$F$11,regle!$F$23,
IF(R110=regle!$G$11,regle!$G$23,
IF(R110=regle!$H$11,regle!$H$23,
IF(R110=regle!$I$11,regle!$I$23,
IF(R110=regle!$J$11,regle!$J$23,
IF(R110=regle!$K$11,regle!$K$23,0))))))))))))</f>
        <v>0</v>
      </c>
      <c r="AC110" s="17">
        <f>IF($A110,$J110*(IF(S110=regle!$B$11,regle!$B$23*IF(AL110=-2,1+regle!$B$35,1),
IF(S110=regle!$C$11,regle!$C$23,
IF(S110=regle!$D$11,regle!$D$23,
IF(S110=regle!$E$11,regle!$E$23,
IF(S110=regle!$F$11,regle!$F$23,
IF(S110=regle!$G$11,regle!$G$23,
IF(S110=regle!$H$11,regle!$H$23,
IF(S110=regle!$I$11,regle!$I$23,
IF(S110=regle!$J$11,regle!$J$23,
IF(S110=regle!$K$11,regle!$K$23,0))))))))))))</f>
        <v>-73.539000000000001</v>
      </c>
      <c r="AD110" s="17">
        <f>IF($A110,$J110*(IF(T110=regle!$B$11,regle!$B$23*IF(AM110=-2,1+regle!$B$35,1),
IF(T110=regle!$C$11,regle!$C$23,
IF(T110=regle!$D$11,regle!$D$23,
IF(T110=regle!$E$11,regle!$E$23,
IF(T110=regle!$F$11,regle!$F$23,
IF(T110=regle!$G$11,regle!$G$23,
IF(T110=regle!$H$11,regle!$H$23,
IF(T110=regle!$I$11,regle!$I$23,
IF(T110=regle!$J$11,regle!$J$23,
IF(T110=regle!$K$11,regle!$K$23,0))))))))))))</f>
        <v>0</v>
      </c>
      <c r="AE110" s="17">
        <f>IF($A110,$J110*(IF(U110=regle!$B$11,regle!$B$23*IF(AN110=-2,1+regle!$B$35,1),
IF(U110=regle!$C$11,regle!$C$23,
IF(U110=regle!$D$11,regle!$D$23,
IF(U110=regle!$E$11,regle!$E$23,
IF(U110=regle!$F$11,regle!$F$23,
IF(U110=regle!$G$11,regle!$G$23,
IF(U110=regle!$H$11,regle!$H$23,
IF(U110=regle!$I$11,regle!$I$23,
IF(U110=regle!$J$11,regle!$J$23,
IF(U110=regle!$K$11,regle!$K$23,0))))))))))))</f>
        <v>0</v>
      </c>
      <c r="AF110" s="17">
        <f>IF($A110,$J110*(IF(V110=regle!$B$11,regle!$B$23*IF(AO110=-2,1+regle!$B$35,1),
IF(V110=regle!$C$11,regle!$C$23,
IF(V110=regle!$D$11,regle!$D$23,
IF(V110=regle!$E$11,regle!$E$23,
IF(V110=regle!$F$11,regle!$F$23,
IF(V110=regle!$G$11,regle!$G$23,
IF(V110=regle!$H$11,regle!$H$23,
IF(V110=regle!$I$11,regle!$I$23,
IF(V110=regle!$J$11,regle!$J$23,
IF(V110=regle!$K$11,regle!$K$23,0))))))))))))</f>
        <v>0</v>
      </c>
      <c r="AG110" s="17">
        <f>IF($A110,$J110*(IF(W110=regle!$B$11,regle!$B$23*IF(AP110=-2,1+regle!$B$35,1),
IF(W110=regle!$C$11,regle!$C$23,
IF(W110=regle!$D$11,regle!$D$23,
IF(W110=regle!$E$11,regle!$E$23,
IF(W110=regle!$F$11,regle!$F$23,
IF(W110=regle!$G$11,regle!$G$23,
IF(W110=regle!$H$11,regle!$H$23,
IF(W110=regle!$I$11,regle!$I$23,
IF(W110=regle!$J$11,regle!$J$23,
IF(W110=regle!$K$11,regle!$K$23,0))))))))))))</f>
        <v>0</v>
      </c>
      <c r="AH110" s="17">
        <f>IF($A110,$J110*(IF(X110=regle!$B$11,regle!$B$23*IF(AQ110=-2,1+regle!$B$35,1),
IF(X110=regle!$C$11,regle!$C$23,
IF(X110=regle!$D$11,regle!$D$23,
IF(X110=regle!$E$11,regle!$E$23,
IF(X110=regle!$F$11,regle!$F$23,
IF(X110=regle!$G$11,regle!$G$23,
IF(X110=regle!$H$11,regle!$H$23,
IF(X110=regle!$I$11,regle!$I$23,
IF(X110=regle!$J$11,regle!$J$23,
IF(X110=regle!$K$11,regle!$K$23,0))))))))))))</f>
        <v>470.64960000000002</v>
      </c>
      <c r="AI110" s="17">
        <f>IF($A110,$J110*(IF(Y110=regle!$B$11,regle!$B$23*IF(AR110=-2,1+regle!$B$35,1),
IF(Y110=regle!$C$11,regle!$C$23,
IF(Y110=regle!$D$11,regle!$D$23,
IF(Y110=regle!$E$11,regle!$E$23,
IF(Y110=regle!$F$11,regle!$F$23,
IF(Y110=regle!$G$11,regle!$G$23,
IF(Y110=regle!$H$11,regle!$H$23,
IF(Y110=regle!$I$11,regle!$I$23,
IF(Y110=regle!$J$11,regle!$J$23,
IF(Y110=regle!$K$11,regle!$K$23,0))))))))))))</f>
        <v>0</v>
      </c>
      <c r="AJ110" s="17">
        <f>IF($A110,$J110*(IF(Z110=regle!$B$11,regle!$B$23*IF(AS110=-2,1+regle!$B$35,1),
IF(Z110=regle!$C$11,regle!$C$23,
IF(Z110=regle!$D$11,regle!$D$23,
IF(Z110=regle!$E$11,regle!$E$23,
IF(Z110=regle!$F$11,regle!$F$23,
IF(Z110=regle!$G$11,regle!$G$23,
IF(Z110=regle!$H$11,regle!$H$23,
IF(Z110=regle!$I$11,regle!$I$23,
IF(Z110=regle!$J$11,regle!$J$23,
IF(Z110=regle!$K$11,regle!$K$23,0))))))))))))</f>
        <v>0</v>
      </c>
      <c r="AK110" s="16">
        <f>IF(OR(Q110=regle!$J$11,Q110=regle!$K$11),-2,IF(Q110=regle!$B$11,0,IF(AK$1=$AK$1,IF($O110,-1,regle!$B$2-$M110),IF(AJ110=-1,-1,AJ110+1))))</f>
        <v>5</v>
      </c>
      <c r="AL110" s="16">
        <f>IF(OR(R110=regle!$J$11,R110=regle!$K$11),-2,IF(R110=regle!$B$11,0,IF(AL$1=$AK$1,IF($O110,-1,regle!$B$2-$M110),IF(AK110=-1,-1,AK110+1))))</f>
        <v>6</v>
      </c>
      <c r="AM110" s="16">
        <f>IF(OR(S110=regle!$J$11,S110=regle!$K$11),-2,IF(S110=regle!$B$11,0,IF(AM$1=$AK$1,IF($O110,-1,regle!$B$2-$M110),IF(AL110=-1,-1,AL110+1))))</f>
        <v>7</v>
      </c>
      <c r="AN110" s="16">
        <f>IF(OR(T110=regle!$J$11,T110=regle!$K$11),-2,IF(T110=regle!$B$11,0,IF(AN$1=$AK$1,IF($O110,-1,regle!$B$2-$M110),IF(AM110=-1,-1,AM110+1))))</f>
        <v>8</v>
      </c>
      <c r="AO110" s="16">
        <f>IF(OR(U110=regle!$J$11,U110=regle!$K$11),-2,IF(U110=regle!$B$11,0,IF(AO$1=$AK$1,IF($O110,-1,regle!$B$2-$M110),IF(AN110=-1,-1,AN110+1))))</f>
        <v>9</v>
      </c>
      <c r="AP110" s="16">
        <f>IF(OR(V110=regle!$J$11,V110=regle!$K$11),-2,IF(V110=regle!$B$11,0,IF(AP$1=$AK$1,IF($O110,-1,regle!$B$2-$M110),IF(AO110=-1,-1,AO110+1))))</f>
        <v>10</v>
      </c>
      <c r="AQ110" s="16">
        <f>IF(OR(W110=regle!$J$11,W110=regle!$K$11),-2,IF(W110=regle!$B$11,0,IF(AQ$1=$AK$1,IF($O110,-1,regle!$B$2-$M110),IF(AP110=-1,-1,AP110+1))))</f>
        <v>11</v>
      </c>
      <c r="AR110" s="16">
        <f>IF(OR(X110=regle!$J$11,X110=regle!$K$11),-2,IF(X110=regle!$B$11,0,IF(AR$1=$AK$1,IF($O110,-1,regle!$B$2-$M110),IF(AQ110=-1,-1,AQ110+1))))</f>
        <v>12</v>
      </c>
      <c r="AS110" s="16">
        <f>IF(OR(Y110=regle!$J$11,Y110=regle!$K$11),-2,IF(Y110=regle!$B$11,0,IF(AS$1=$AK$1,IF($O110,-1,regle!$B$2-$M110),IF(AR110=-1,-1,AR110+1))))</f>
        <v>13</v>
      </c>
      <c r="AT110" s="16">
        <f>IF(OR(Z110=regle!$J$11,Z110=regle!$K$11),-2,IF(Z110=regle!$B$11,0,IF(AT$1=$AK$1,IF($O110,-1,regle!$B$2-$M110),IF(AS110=-1,-1,AS110+1))))</f>
        <v>14</v>
      </c>
    </row>
    <row r="111" spans="1:46" x14ac:dyDescent="0.25">
      <c r="A111" t="b">
        <f>modif0!A338</f>
        <v>1</v>
      </c>
      <c r="B111">
        <f>ROW(modif0!B338)</f>
        <v>338</v>
      </c>
      <c r="C111" t="str">
        <f>modif0!D338</f>
        <v>077</v>
      </c>
      <c r="D111" t="str">
        <f>modif0!E338</f>
        <v>CABANAC-ET-VILLAGRAINS</v>
      </c>
      <c r="E111">
        <f>modif0!F338</f>
        <v>12</v>
      </c>
      <c r="F111" t="str">
        <f>modif0!G338</f>
        <v>LES JEANNOTS</v>
      </c>
      <c r="G111" t="str">
        <f>modif0!I338</f>
        <v>0D</v>
      </c>
      <c r="H111">
        <f>modif0!J338</f>
        <v>2311</v>
      </c>
      <c r="I111" t="str">
        <f>modif0!K338</f>
        <v/>
      </c>
      <c r="J111" s="11">
        <f>modif0!M338</f>
        <v>0.63229999999999997</v>
      </c>
      <c r="K111" s="11" t="str">
        <f>modif0!P338</f>
        <v>PLA</v>
      </c>
      <c r="L111" t="str">
        <f>modif0!N338</f>
        <v>PM</v>
      </c>
      <c r="M111">
        <f>modif0!Q338</f>
        <v>2019</v>
      </c>
      <c r="N111" t="str">
        <f>modif0!R338</f>
        <v>PLA-PM_2019</v>
      </c>
      <c r="O111" t="b">
        <f>modif0!S338</f>
        <v>0</v>
      </c>
      <c r="P111">
        <v>40</v>
      </c>
      <c r="Q111" t="s">
        <v>1870</v>
      </c>
      <c r="S111" t="s">
        <v>1871</v>
      </c>
      <c r="X111" t="s">
        <v>1803</v>
      </c>
      <c r="AA111" s="17">
        <f>IF($A111,$J111*(IF(Q111=regle!$B$11,regle!$B$23*IF(AJ111=-2,1+regle!$B$35,1),
IF(Q111=regle!$C$11,regle!$C$23,
IF(Q111=regle!$D$11,regle!$D$23,
IF(Q111=regle!$E$11,regle!$E$23,
IF(Q111=regle!$F$11,regle!$F$23,
IF(Q111=regle!$G$11,regle!$G$23,
IF(Q111=regle!$H$11,regle!$H$23,
IF(Q111=regle!$I$11,regle!$I$23,
IF(Q111=regle!$J$11,regle!$J$23,
IF(Q111=regle!$K$11,regle!$K$23,0))))))))))))</f>
        <v>-56.906999999999996</v>
      </c>
      <c r="AB111" s="17">
        <f>IF($A111,$J111*(IF(R111=regle!$B$11,regle!$B$23*IF(AK111=-2,1+regle!$B$35,1),
IF(R111=regle!$C$11,regle!$C$23,
IF(R111=regle!$D$11,regle!$D$23,
IF(R111=regle!$E$11,regle!$E$23,
IF(R111=regle!$F$11,regle!$F$23,
IF(R111=regle!$G$11,regle!$G$23,
IF(R111=regle!$H$11,regle!$H$23,
IF(R111=regle!$I$11,regle!$I$23,
IF(R111=regle!$J$11,regle!$J$23,
IF(R111=regle!$K$11,regle!$K$23,0))))))))))))</f>
        <v>0</v>
      </c>
      <c r="AC111" s="17">
        <f>IF($A111,$J111*(IF(S111=regle!$B$11,regle!$B$23*IF(AL111=-2,1+regle!$B$35,1),
IF(S111=regle!$C$11,regle!$C$23,
IF(S111=regle!$D$11,regle!$D$23,
IF(S111=regle!$E$11,regle!$E$23,
IF(S111=regle!$F$11,regle!$F$23,
IF(S111=regle!$G$11,regle!$G$23,
IF(S111=regle!$H$11,regle!$H$23,
IF(S111=regle!$I$11,regle!$I$23,
IF(S111=regle!$J$11,regle!$J$23,
IF(S111=regle!$K$11,regle!$K$23,0))))))))))))</f>
        <v>-56.906999999999996</v>
      </c>
      <c r="AD111" s="17">
        <f>IF($A111,$J111*(IF(T111=regle!$B$11,regle!$B$23*IF(AM111=-2,1+regle!$B$35,1),
IF(T111=regle!$C$11,regle!$C$23,
IF(T111=regle!$D$11,regle!$D$23,
IF(T111=regle!$E$11,regle!$E$23,
IF(T111=regle!$F$11,regle!$F$23,
IF(T111=regle!$G$11,regle!$G$23,
IF(T111=regle!$H$11,regle!$H$23,
IF(T111=regle!$I$11,regle!$I$23,
IF(T111=regle!$J$11,regle!$J$23,
IF(T111=regle!$K$11,regle!$K$23,0))))))))))))</f>
        <v>0</v>
      </c>
      <c r="AE111" s="17">
        <f>IF($A111,$J111*(IF(U111=regle!$B$11,regle!$B$23*IF(AN111=-2,1+regle!$B$35,1),
IF(U111=regle!$C$11,regle!$C$23,
IF(U111=regle!$D$11,regle!$D$23,
IF(U111=regle!$E$11,regle!$E$23,
IF(U111=regle!$F$11,regle!$F$23,
IF(U111=regle!$G$11,regle!$G$23,
IF(U111=regle!$H$11,regle!$H$23,
IF(U111=regle!$I$11,regle!$I$23,
IF(U111=regle!$J$11,regle!$J$23,
IF(U111=regle!$K$11,regle!$K$23,0))))))))))))</f>
        <v>0</v>
      </c>
      <c r="AF111" s="17">
        <f>IF($A111,$J111*(IF(V111=regle!$B$11,regle!$B$23*IF(AO111=-2,1+regle!$B$35,1),
IF(V111=regle!$C$11,regle!$C$23,
IF(V111=regle!$D$11,regle!$D$23,
IF(V111=regle!$E$11,regle!$E$23,
IF(V111=regle!$F$11,regle!$F$23,
IF(V111=regle!$G$11,regle!$G$23,
IF(V111=regle!$H$11,regle!$H$23,
IF(V111=regle!$I$11,regle!$I$23,
IF(V111=regle!$J$11,regle!$J$23,
IF(V111=regle!$K$11,regle!$K$23,0))))))))))))</f>
        <v>0</v>
      </c>
      <c r="AG111" s="17">
        <f>IF($A111,$J111*(IF(W111=regle!$B$11,regle!$B$23*IF(AP111=-2,1+regle!$B$35,1),
IF(W111=regle!$C$11,regle!$C$23,
IF(W111=regle!$D$11,regle!$D$23,
IF(W111=regle!$E$11,regle!$E$23,
IF(W111=regle!$F$11,regle!$F$23,
IF(W111=regle!$G$11,regle!$G$23,
IF(W111=regle!$H$11,regle!$H$23,
IF(W111=regle!$I$11,regle!$I$23,
IF(W111=regle!$J$11,regle!$J$23,
IF(W111=regle!$K$11,regle!$K$23,0))))))))))))</f>
        <v>0</v>
      </c>
      <c r="AH111" s="17">
        <f>IF($A111,$J111*(IF(X111=regle!$B$11,regle!$B$23*IF(AQ111=-2,1+regle!$B$35,1),
IF(X111=regle!$C$11,regle!$C$23,
IF(X111=regle!$D$11,regle!$D$23,
IF(X111=regle!$E$11,regle!$E$23,
IF(X111=regle!$F$11,regle!$F$23,
IF(X111=regle!$G$11,regle!$G$23,
IF(X111=regle!$H$11,regle!$H$23,
IF(X111=regle!$I$11,regle!$I$23,
IF(X111=regle!$J$11,regle!$J$23,
IF(X111=regle!$K$11,regle!$K$23,0))))))))))))</f>
        <v>364.20479999999998</v>
      </c>
      <c r="AI111" s="17">
        <f>IF($A111,$J111*(IF(Y111=regle!$B$11,regle!$B$23*IF(AR111=-2,1+regle!$B$35,1),
IF(Y111=regle!$C$11,regle!$C$23,
IF(Y111=regle!$D$11,regle!$D$23,
IF(Y111=regle!$E$11,regle!$E$23,
IF(Y111=regle!$F$11,regle!$F$23,
IF(Y111=regle!$G$11,regle!$G$23,
IF(Y111=regle!$H$11,regle!$H$23,
IF(Y111=regle!$I$11,regle!$I$23,
IF(Y111=regle!$J$11,regle!$J$23,
IF(Y111=regle!$K$11,regle!$K$23,0))))))))))))</f>
        <v>0</v>
      </c>
      <c r="AJ111" s="17">
        <f>IF($A111,$J111*(IF(Z111=regle!$B$11,regle!$B$23*IF(AS111=-2,1+regle!$B$35,1),
IF(Z111=regle!$C$11,regle!$C$23,
IF(Z111=regle!$D$11,regle!$D$23,
IF(Z111=regle!$E$11,regle!$E$23,
IF(Z111=regle!$F$11,regle!$F$23,
IF(Z111=regle!$G$11,regle!$G$23,
IF(Z111=regle!$H$11,regle!$H$23,
IF(Z111=regle!$I$11,regle!$I$23,
IF(Z111=regle!$J$11,regle!$J$23,
IF(Z111=regle!$K$11,regle!$K$23,0))))))))))))</f>
        <v>0</v>
      </c>
      <c r="AK111" s="16">
        <f>IF(OR(Q111=regle!$J$11,Q111=regle!$K$11),-2,IF(Q111=regle!$B$11,0,IF(AK$1=$AK$1,IF($O111,-1,regle!$B$2-$M111),IF(AJ111=-1,-1,AJ111+1))))</f>
        <v>5</v>
      </c>
      <c r="AL111" s="16">
        <f>IF(OR(R111=regle!$J$11,R111=regle!$K$11),-2,IF(R111=regle!$B$11,0,IF(AL$1=$AK$1,IF($O111,-1,regle!$B$2-$M111),IF(AK111=-1,-1,AK111+1))))</f>
        <v>6</v>
      </c>
      <c r="AM111" s="16">
        <f>IF(OR(S111=regle!$J$11,S111=regle!$K$11),-2,IF(S111=regle!$B$11,0,IF(AM$1=$AK$1,IF($O111,-1,regle!$B$2-$M111),IF(AL111=-1,-1,AL111+1))))</f>
        <v>7</v>
      </c>
      <c r="AN111" s="16">
        <f>IF(OR(T111=regle!$J$11,T111=regle!$K$11),-2,IF(T111=regle!$B$11,0,IF(AN$1=$AK$1,IF($O111,-1,regle!$B$2-$M111),IF(AM111=-1,-1,AM111+1))))</f>
        <v>8</v>
      </c>
      <c r="AO111" s="16">
        <f>IF(OR(U111=regle!$J$11,U111=regle!$K$11),-2,IF(U111=regle!$B$11,0,IF(AO$1=$AK$1,IF($O111,-1,regle!$B$2-$M111),IF(AN111=-1,-1,AN111+1))))</f>
        <v>9</v>
      </c>
      <c r="AP111" s="16">
        <f>IF(OR(V111=regle!$J$11,V111=regle!$K$11),-2,IF(V111=regle!$B$11,0,IF(AP$1=$AK$1,IF($O111,-1,regle!$B$2-$M111),IF(AO111=-1,-1,AO111+1))))</f>
        <v>10</v>
      </c>
      <c r="AQ111" s="16">
        <f>IF(OR(W111=regle!$J$11,W111=regle!$K$11),-2,IF(W111=regle!$B$11,0,IF(AQ$1=$AK$1,IF($O111,-1,regle!$B$2-$M111),IF(AP111=-1,-1,AP111+1))))</f>
        <v>11</v>
      </c>
      <c r="AR111" s="16">
        <f>IF(OR(X111=regle!$J$11,X111=regle!$K$11),-2,IF(X111=regle!$B$11,0,IF(AR$1=$AK$1,IF($O111,-1,regle!$B$2-$M111),IF(AQ111=-1,-1,AQ111+1))))</f>
        <v>12</v>
      </c>
      <c r="AS111" s="16">
        <f>IF(OR(Y111=regle!$J$11,Y111=regle!$K$11),-2,IF(Y111=regle!$B$11,0,IF(AS$1=$AK$1,IF($O111,-1,regle!$B$2-$M111),IF(AR111=-1,-1,AR111+1))))</f>
        <v>13</v>
      </c>
      <c r="AT111" s="16">
        <f>IF(OR(Z111=regle!$J$11,Z111=regle!$K$11),-2,IF(Z111=regle!$B$11,0,IF(AT$1=$AK$1,IF($O111,-1,regle!$B$2-$M111),IF(AS111=-1,-1,AS111+1))))</f>
        <v>14</v>
      </c>
    </row>
    <row r="112" spans="1:46" x14ac:dyDescent="0.25">
      <c r="A112" t="b">
        <f>modif0!A318</f>
        <v>1</v>
      </c>
      <c r="B112">
        <f>ROW(modif0!B318)</f>
        <v>318</v>
      </c>
      <c r="C112" t="str">
        <f>modif0!D318</f>
        <v>077</v>
      </c>
      <c r="D112" t="str">
        <f>modif0!E318</f>
        <v>CABANAC-ET-VILLAGRAINS</v>
      </c>
      <c r="E112">
        <f>modif0!F318</f>
        <v>12</v>
      </c>
      <c r="F112" t="str">
        <f>modif0!G318</f>
        <v>LES JEANNOTS</v>
      </c>
      <c r="G112" t="str">
        <f>modif0!I318</f>
        <v>0D</v>
      </c>
      <c r="H112">
        <f>modif0!J318</f>
        <v>1437</v>
      </c>
      <c r="I112" t="str">
        <f>modif0!K318</f>
        <v>j</v>
      </c>
      <c r="J112" s="11">
        <f>modif0!M318</f>
        <v>0.26919999999999999</v>
      </c>
      <c r="K112" s="11" t="str">
        <f>modif0!P318</f>
        <v>PLA</v>
      </c>
      <c r="L112" t="str">
        <f>modif0!N318</f>
        <v>PM</v>
      </c>
      <c r="M112">
        <f>modif0!Q318</f>
        <v>2019</v>
      </c>
      <c r="N112" t="str">
        <f>modif0!R318</f>
        <v>PLA-PM_2019</v>
      </c>
      <c r="O112" t="b">
        <f>modif0!S318</f>
        <v>0</v>
      </c>
      <c r="P112">
        <v>40</v>
      </c>
      <c r="Q112" t="s">
        <v>1870</v>
      </c>
      <c r="S112" t="s">
        <v>1871</v>
      </c>
      <c r="X112" t="s">
        <v>1803</v>
      </c>
      <c r="AA112" s="17">
        <f>IF($A112,$J112*(IF(Q112=regle!$B$11,regle!$B$23*IF(AJ112=-2,1+regle!$B$35,1),
IF(Q112=regle!$C$11,regle!$C$23,
IF(Q112=regle!$D$11,regle!$D$23,
IF(Q112=regle!$E$11,regle!$E$23,
IF(Q112=regle!$F$11,regle!$F$23,
IF(Q112=regle!$G$11,regle!$G$23,
IF(Q112=regle!$H$11,regle!$H$23,
IF(Q112=regle!$I$11,regle!$I$23,
IF(Q112=regle!$J$11,regle!$J$23,
IF(Q112=regle!$K$11,regle!$K$23,0))))))))))))</f>
        <v>-24.227999999999998</v>
      </c>
      <c r="AB112" s="17">
        <f>IF($A112,$J112*(IF(R112=regle!$B$11,regle!$B$23*IF(AK112=-2,1+regle!$B$35,1),
IF(R112=regle!$C$11,regle!$C$23,
IF(R112=regle!$D$11,regle!$D$23,
IF(R112=regle!$E$11,regle!$E$23,
IF(R112=regle!$F$11,regle!$F$23,
IF(R112=regle!$G$11,regle!$G$23,
IF(R112=regle!$H$11,regle!$H$23,
IF(R112=regle!$I$11,regle!$I$23,
IF(R112=regle!$J$11,regle!$J$23,
IF(R112=regle!$K$11,regle!$K$23,0))))))))))))</f>
        <v>0</v>
      </c>
      <c r="AC112" s="17">
        <f>IF($A112,$J112*(IF(S112=regle!$B$11,regle!$B$23*IF(AL112=-2,1+regle!$B$35,1),
IF(S112=regle!$C$11,regle!$C$23,
IF(S112=regle!$D$11,regle!$D$23,
IF(S112=regle!$E$11,regle!$E$23,
IF(S112=regle!$F$11,regle!$F$23,
IF(S112=regle!$G$11,regle!$G$23,
IF(S112=regle!$H$11,regle!$H$23,
IF(S112=regle!$I$11,regle!$I$23,
IF(S112=regle!$J$11,regle!$J$23,
IF(S112=regle!$K$11,regle!$K$23,0))))))))))))</f>
        <v>-24.227999999999998</v>
      </c>
      <c r="AD112" s="17">
        <f>IF($A112,$J112*(IF(T112=regle!$B$11,regle!$B$23*IF(AM112=-2,1+regle!$B$35,1),
IF(T112=regle!$C$11,regle!$C$23,
IF(T112=regle!$D$11,regle!$D$23,
IF(T112=regle!$E$11,regle!$E$23,
IF(T112=regle!$F$11,regle!$F$23,
IF(T112=regle!$G$11,regle!$G$23,
IF(T112=regle!$H$11,regle!$H$23,
IF(T112=regle!$I$11,regle!$I$23,
IF(T112=regle!$J$11,regle!$J$23,
IF(T112=regle!$K$11,regle!$K$23,0))))))))))))</f>
        <v>0</v>
      </c>
      <c r="AE112" s="17">
        <f>IF($A112,$J112*(IF(U112=regle!$B$11,regle!$B$23*IF(AN112=-2,1+regle!$B$35,1),
IF(U112=regle!$C$11,regle!$C$23,
IF(U112=regle!$D$11,regle!$D$23,
IF(U112=regle!$E$11,regle!$E$23,
IF(U112=regle!$F$11,regle!$F$23,
IF(U112=regle!$G$11,regle!$G$23,
IF(U112=regle!$H$11,regle!$H$23,
IF(U112=regle!$I$11,regle!$I$23,
IF(U112=regle!$J$11,regle!$J$23,
IF(U112=regle!$K$11,regle!$K$23,0))))))))))))</f>
        <v>0</v>
      </c>
      <c r="AF112" s="17">
        <f>IF($A112,$J112*(IF(V112=regle!$B$11,regle!$B$23*IF(AO112=-2,1+regle!$B$35,1),
IF(V112=regle!$C$11,regle!$C$23,
IF(V112=regle!$D$11,regle!$D$23,
IF(V112=regle!$E$11,regle!$E$23,
IF(V112=regle!$F$11,regle!$F$23,
IF(V112=regle!$G$11,regle!$G$23,
IF(V112=regle!$H$11,regle!$H$23,
IF(V112=regle!$I$11,regle!$I$23,
IF(V112=regle!$J$11,regle!$J$23,
IF(V112=regle!$K$11,regle!$K$23,0))))))))))))</f>
        <v>0</v>
      </c>
      <c r="AG112" s="17">
        <f>IF($A112,$J112*(IF(W112=regle!$B$11,regle!$B$23*IF(AP112=-2,1+regle!$B$35,1),
IF(W112=regle!$C$11,regle!$C$23,
IF(W112=regle!$D$11,regle!$D$23,
IF(W112=regle!$E$11,regle!$E$23,
IF(W112=regle!$F$11,regle!$F$23,
IF(W112=regle!$G$11,regle!$G$23,
IF(W112=regle!$H$11,regle!$H$23,
IF(W112=regle!$I$11,regle!$I$23,
IF(W112=regle!$J$11,regle!$J$23,
IF(W112=regle!$K$11,regle!$K$23,0))))))))))))</f>
        <v>0</v>
      </c>
      <c r="AH112" s="17">
        <f>IF($A112,$J112*(IF(X112=regle!$B$11,regle!$B$23*IF(AQ112=-2,1+regle!$B$35,1),
IF(X112=regle!$C$11,regle!$C$23,
IF(X112=regle!$D$11,regle!$D$23,
IF(X112=regle!$E$11,regle!$E$23,
IF(X112=regle!$F$11,regle!$F$23,
IF(X112=regle!$G$11,regle!$G$23,
IF(X112=regle!$H$11,regle!$H$23,
IF(X112=regle!$I$11,regle!$I$23,
IF(X112=regle!$J$11,regle!$J$23,
IF(X112=regle!$K$11,regle!$K$23,0))))))))))))</f>
        <v>155.0592</v>
      </c>
      <c r="AI112" s="17">
        <f>IF($A112,$J112*(IF(Y112=regle!$B$11,regle!$B$23*IF(AR112=-2,1+regle!$B$35,1),
IF(Y112=regle!$C$11,regle!$C$23,
IF(Y112=regle!$D$11,regle!$D$23,
IF(Y112=regle!$E$11,regle!$E$23,
IF(Y112=regle!$F$11,regle!$F$23,
IF(Y112=regle!$G$11,regle!$G$23,
IF(Y112=regle!$H$11,regle!$H$23,
IF(Y112=regle!$I$11,regle!$I$23,
IF(Y112=regle!$J$11,regle!$J$23,
IF(Y112=regle!$K$11,regle!$K$23,0))))))))))))</f>
        <v>0</v>
      </c>
      <c r="AJ112" s="17">
        <f>IF($A112,$J112*(IF(Z112=regle!$B$11,regle!$B$23*IF(AS112=-2,1+regle!$B$35,1),
IF(Z112=regle!$C$11,regle!$C$23,
IF(Z112=regle!$D$11,regle!$D$23,
IF(Z112=regle!$E$11,regle!$E$23,
IF(Z112=regle!$F$11,regle!$F$23,
IF(Z112=regle!$G$11,regle!$G$23,
IF(Z112=regle!$H$11,regle!$H$23,
IF(Z112=regle!$I$11,regle!$I$23,
IF(Z112=regle!$J$11,regle!$J$23,
IF(Z112=regle!$K$11,regle!$K$23,0))))))))))))</f>
        <v>0</v>
      </c>
      <c r="AK112" s="16">
        <f>IF(OR(Q112=regle!$J$11,Q112=regle!$K$11),-2,IF(Q112=regle!$B$11,0,IF(AK$1=$AK$1,IF($O112,-1,regle!$B$2-$M112),IF(AJ112=-1,-1,AJ112+1))))</f>
        <v>5</v>
      </c>
      <c r="AL112" s="16">
        <f>IF(OR(R112=regle!$J$11,R112=regle!$K$11),-2,IF(R112=regle!$B$11,0,IF(AL$1=$AK$1,IF($O112,-1,regle!$B$2-$M112),IF(AK112=-1,-1,AK112+1))))</f>
        <v>6</v>
      </c>
      <c r="AM112" s="16">
        <f>IF(OR(S112=regle!$J$11,S112=regle!$K$11),-2,IF(S112=regle!$B$11,0,IF(AM$1=$AK$1,IF($O112,-1,regle!$B$2-$M112),IF(AL112=-1,-1,AL112+1))))</f>
        <v>7</v>
      </c>
      <c r="AN112" s="16">
        <f>IF(OR(T112=regle!$J$11,T112=regle!$K$11),-2,IF(T112=regle!$B$11,0,IF(AN$1=$AK$1,IF($O112,-1,regle!$B$2-$M112),IF(AM112=-1,-1,AM112+1))))</f>
        <v>8</v>
      </c>
      <c r="AO112" s="16">
        <f>IF(OR(U112=regle!$J$11,U112=regle!$K$11),-2,IF(U112=regle!$B$11,0,IF(AO$1=$AK$1,IF($O112,-1,regle!$B$2-$M112),IF(AN112=-1,-1,AN112+1))))</f>
        <v>9</v>
      </c>
      <c r="AP112" s="16">
        <f>IF(OR(V112=regle!$J$11,V112=regle!$K$11),-2,IF(V112=regle!$B$11,0,IF(AP$1=$AK$1,IF($O112,-1,regle!$B$2-$M112),IF(AO112=-1,-1,AO112+1))))</f>
        <v>10</v>
      </c>
      <c r="AQ112" s="16">
        <f>IF(OR(W112=regle!$J$11,W112=regle!$K$11),-2,IF(W112=regle!$B$11,0,IF(AQ$1=$AK$1,IF($O112,-1,regle!$B$2-$M112),IF(AP112=-1,-1,AP112+1))))</f>
        <v>11</v>
      </c>
      <c r="AR112" s="16">
        <f>IF(OR(X112=regle!$J$11,X112=regle!$K$11),-2,IF(X112=regle!$B$11,0,IF(AR$1=$AK$1,IF($O112,-1,regle!$B$2-$M112),IF(AQ112=-1,-1,AQ112+1))))</f>
        <v>12</v>
      </c>
      <c r="AS112" s="16">
        <f>IF(OR(Y112=regle!$J$11,Y112=regle!$K$11),-2,IF(Y112=regle!$B$11,0,IF(AS$1=$AK$1,IF($O112,-1,regle!$B$2-$M112),IF(AR112=-1,-1,AR112+1))))</f>
        <v>13</v>
      </c>
      <c r="AT112" s="16">
        <f>IF(OR(Z112=regle!$J$11,Z112=regle!$K$11),-2,IF(Z112=regle!$B$11,0,IF(AT$1=$AK$1,IF($O112,-1,regle!$B$2-$M112),IF(AS112=-1,-1,AS112+1))))</f>
        <v>14</v>
      </c>
    </row>
    <row r="113" spans="1:46" x14ac:dyDescent="0.25">
      <c r="A113" t="b">
        <f>modif0!A155</f>
        <v>1</v>
      </c>
      <c r="B113">
        <f>ROW(modif0!B155)</f>
        <v>155</v>
      </c>
      <c r="C113" t="str">
        <f>modif0!D155</f>
        <v>202</v>
      </c>
      <c r="D113" t="str">
        <f>modif0!E155</f>
        <v>HOSTENS</v>
      </c>
      <c r="E113">
        <f>modif0!F155</f>
        <v>11</v>
      </c>
      <c r="F113" t="str">
        <f>modif0!G155</f>
        <v>LES CAZALAS</v>
      </c>
      <c r="G113" t="str">
        <f>modif0!I155</f>
        <v>0B</v>
      </c>
      <c r="H113">
        <f>modif0!J155</f>
        <v>1179</v>
      </c>
      <c r="I113" t="str">
        <f>modif0!K155</f>
        <v>j</v>
      </c>
      <c r="J113" s="11">
        <f>modif0!M155</f>
        <v>0.2452</v>
      </c>
      <c r="K113" s="11" t="str">
        <f>modif0!P155</f>
        <v>PLA</v>
      </c>
      <c r="L113" t="str">
        <f>modif0!N155</f>
        <v>PM</v>
      </c>
      <c r="M113">
        <f>modif0!Q155</f>
        <v>2019</v>
      </c>
      <c r="N113" t="str">
        <f>modif0!R155</f>
        <v>PLA-PM_2019</v>
      </c>
      <c r="O113" t="b">
        <f>modif0!S155</f>
        <v>0</v>
      </c>
      <c r="P113">
        <v>40</v>
      </c>
      <c r="Q113" t="s">
        <v>1870</v>
      </c>
      <c r="S113" t="s">
        <v>1871</v>
      </c>
      <c r="X113" t="s">
        <v>1803</v>
      </c>
      <c r="AA113" s="17">
        <f>IF($A113,$J113*(IF(Q113=regle!$B$11,regle!$B$23*IF(AJ113=-2,1+regle!$B$35,1),
IF(Q113=regle!$C$11,regle!$C$23,
IF(Q113=regle!$D$11,regle!$D$23,
IF(Q113=regle!$E$11,regle!$E$23,
IF(Q113=regle!$F$11,regle!$F$23,
IF(Q113=regle!$G$11,regle!$G$23,
IF(Q113=regle!$H$11,regle!$H$23,
IF(Q113=regle!$I$11,regle!$I$23,
IF(Q113=regle!$J$11,regle!$J$23,
IF(Q113=regle!$K$11,regle!$K$23,0))))))))))))</f>
        <v>-22.068000000000001</v>
      </c>
      <c r="AB113" s="17">
        <f>IF($A113,$J113*(IF(R113=regle!$B$11,regle!$B$23*IF(AK113=-2,1+regle!$B$35,1),
IF(R113=regle!$C$11,regle!$C$23,
IF(R113=regle!$D$11,regle!$D$23,
IF(R113=regle!$E$11,regle!$E$23,
IF(R113=regle!$F$11,regle!$F$23,
IF(R113=regle!$G$11,regle!$G$23,
IF(R113=regle!$H$11,regle!$H$23,
IF(R113=regle!$I$11,regle!$I$23,
IF(R113=regle!$J$11,regle!$J$23,
IF(R113=regle!$K$11,regle!$K$23,0))))))))))))</f>
        <v>0</v>
      </c>
      <c r="AC113" s="17">
        <f>IF($A113,$J113*(IF(S113=regle!$B$11,regle!$B$23*IF(AL113=-2,1+regle!$B$35,1),
IF(S113=regle!$C$11,regle!$C$23,
IF(S113=regle!$D$11,regle!$D$23,
IF(S113=regle!$E$11,regle!$E$23,
IF(S113=regle!$F$11,regle!$F$23,
IF(S113=regle!$G$11,regle!$G$23,
IF(S113=regle!$H$11,regle!$H$23,
IF(S113=regle!$I$11,regle!$I$23,
IF(S113=regle!$J$11,regle!$J$23,
IF(S113=regle!$K$11,regle!$K$23,0))))))))))))</f>
        <v>-22.068000000000001</v>
      </c>
      <c r="AD113" s="17">
        <f>IF($A113,$J113*(IF(T113=regle!$B$11,regle!$B$23*IF(AM113=-2,1+regle!$B$35,1),
IF(T113=regle!$C$11,regle!$C$23,
IF(T113=regle!$D$11,regle!$D$23,
IF(T113=regle!$E$11,regle!$E$23,
IF(T113=regle!$F$11,regle!$F$23,
IF(T113=regle!$G$11,regle!$G$23,
IF(T113=regle!$H$11,regle!$H$23,
IF(T113=regle!$I$11,regle!$I$23,
IF(T113=regle!$J$11,regle!$J$23,
IF(T113=regle!$K$11,regle!$K$23,0))))))))))))</f>
        <v>0</v>
      </c>
      <c r="AE113" s="17">
        <f>IF($A113,$J113*(IF(U113=regle!$B$11,regle!$B$23*IF(AN113=-2,1+regle!$B$35,1),
IF(U113=regle!$C$11,regle!$C$23,
IF(U113=regle!$D$11,regle!$D$23,
IF(U113=regle!$E$11,regle!$E$23,
IF(U113=regle!$F$11,regle!$F$23,
IF(U113=regle!$G$11,regle!$G$23,
IF(U113=regle!$H$11,regle!$H$23,
IF(U113=regle!$I$11,regle!$I$23,
IF(U113=regle!$J$11,regle!$J$23,
IF(U113=regle!$K$11,regle!$K$23,0))))))))))))</f>
        <v>0</v>
      </c>
      <c r="AF113" s="17">
        <f>IF($A113,$J113*(IF(V113=regle!$B$11,regle!$B$23*IF(AO113=-2,1+regle!$B$35,1),
IF(V113=regle!$C$11,regle!$C$23,
IF(V113=regle!$D$11,regle!$D$23,
IF(V113=regle!$E$11,regle!$E$23,
IF(V113=regle!$F$11,regle!$F$23,
IF(V113=regle!$G$11,regle!$G$23,
IF(V113=regle!$H$11,regle!$H$23,
IF(V113=regle!$I$11,regle!$I$23,
IF(V113=regle!$J$11,regle!$J$23,
IF(V113=regle!$K$11,regle!$K$23,0))))))))))))</f>
        <v>0</v>
      </c>
      <c r="AG113" s="17">
        <f>IF($A113,$J113*(IF(W113=regle!$B$11,regle!$B$23*IF(AP113=-2,1+regle!$B$35,1),
IF(W113=regle!$C$11,regle!$C$23,
IF(W113=regle!$D$11,regle!$D$23,
IF(W113=regle!$E$11,regle!$E$23,
IF(W113=regle!$F$11,regle!$F$23,
IF(W113=regle!$G$11,regle!$G$23,
IF(W113=regle!$H$11,regle!$H$23,
IF(W113=regle!$I$11,regle!$I$23,
IF(W113=regle!$J$11,regle!$J$23,
IF(W113=regle!$K$11,regle!$K$23,0))))))))))))</f>
        <v>0</v>
      </c>
      <c r="AH113" s="17">
        <f>IF($A113,$J113*(IF(X113=regle!$B$11,regle!$B$23*IF(AQ113=-2,1+regle!$B$35,1),
IF(X113=regle!$C$11,regle!$C$23,
IF(X113=regle!$D$11,regle!$D$23,
IF(X113=regle!$E$11,regle!$E$23,
IF(X113=regle!$F$11,regle!$F$23,
IF(X113=regle!$G$11,regle!$G$23,
IF(X113=regle!$H$11,regle!$H$23,
IF(X113=regle!$I$11,regle!$I$23,
IF(X113=regle!$J$11,regle!$J$23,
IF(X113=regle!$K$11,regle!$K$23,0))))))))))))</f>
        <v>141.23519999999999</v>
      </c>
      <c r="AI113" s="17">
        <f>IF($A113,$J113*(IF(Y113=regle!$B$11,regle!$B$23*IF(AR113=-2,1+regle!$B$35,1),
IF(Y113=regle!$C$11,regle!$C$23,
IF(Y113=regle!$D$11,regle!$D$23,
IF(Y113=regle!$E$11,regle!$E$23,
IF(Y113=regle!$F$11,regle!$F$23,
IF(Y113=regle!$G$11,regle!$G$23,
IF(Y113=regle!$H$11,regle!$H$23,
IF(Y113=regle!$I$11,regle!$I$23,
IF(Y113=regle!$J$11,regle!$J$23,
IF(Y113=regle!$K$11,regle!$K$23,0))))))))))))</f>
        <v>0</v>
      </c>
      <c r="AJ113" s="17">
        <f>IF($A113,$J113*(IF(Z113=regle!$B$11,regle!$B$23*IF(AS113=-2,1+regle!$B$35,1),
IF(Z113=regle!$C$11,regle!$C$23,
IF(Z113=regle!$D$11,regle!$D$23,
IF(Z113=regle!$E$11,regle!$E$23,
IF(Z113=regle!$F$11,regle!$F$23,
IF(Z113=regle!$G$11,regle!$G$23,
IF(Z113=regle!$H$11,regle!$H$23,
IF(Z113=regle!$I$11,regle!$I$23,
IF(Z113=regle!$J$11,regle!$J$23,
IF(Z113=regle!$K$11,regle!$K$23,0))))))))))))</f>
        <v>0</v>
      </c>
      <c r="AK113" s="16">
        <f>IF(OR(Q113=regle!$J$11,Q113=regle!$K$11),-2,IF(Q113=regle!$B$11,0,IF(AK$1=$AK$1,IF($O113,-1,regle!$B$2-$M113),IF(AJ113=-1,-1,AJ113+1))))</f>
        <v>5</v>
      </c>
      <c r="AL113" s="16">
        <f>IF(OR(R113=regle!$J$11,R113=regle!$K$11),-2,IF(R113=regle!$B$11,0,IF(AL$1=$AK$1,IF($O113,-1,regle!$B$2-$M113),IF(AK113=-1,-1,AK113+1))))</f>
        <v>6</v>
      </c>
      <c r="AM113" s="16">
        <f>IF(OR(S113=regle!$J$11,S113=regle!$K$11),-2,IF(S113=regle!$B$11,0,IF(AM$1=$AK$1,IF($O113,-1,regle!$B$2-$M113),IF(AL113=-1,-1,AL113+1))))</f>
        <v>7</v>
      </c>
      <c r="AN113" s="16">
        <f>IF(OR(T113=regle!$J$11,T113=regle!$K$11),-2,IF(T113=regle!$B$11,0,IF(AN$1=$AK$1,IF($O113,-1,regle!$B$2-$M113),IF(AM113=-1,-1,AM113+1))))</f>
        <v>8</v>
      </c>
      <c r="AO113" s="16">
        <f>IF(OR(U113=regle!$J$11,U113=regle!$K$11),-2,IF(U113=regle!$B$11,0,IF(AO$1=$AK$1,IF($O113,-1,regle!$B$2-$M113),IF(AN113=-1,-1,AN113+1))))</f>
        <v>9</v>
      </c>
      <c r="AP113" s="16">
        <f>IF(OR(V113=regle!$J$11,V113=regle!$K$11),-2,IF(V113=regle!$B$11,0,IF(AP$1=$AK$1,IF($O113,-1,regle!$B$2-$M113),IF(AO113=-1,-1,AO113+1))))</f>
        <v>10</v>
      </c>
      <c r="AQ113" s="16">
        <f>IF(OR(W113=regle!$J$11,W113=regle!$K$11),-2,IF(W113=regle!$B$11,0,IF(AQ$1=$AK$1,IF($O113,-1,regle!$B$2-$M113),IF(AP113=-1,-1,AP113+1))))</f>
        <v>11</v>
      </c>
      <c r="AR113" s="16">
        <f>IF(OR(X113=regle!$J$11,X113=regle!$K$11),-2,IF(X113=regle!$B$11,0,IF(AR$1=$AK$1,IF($O113,-1,regle!$B$2-$M113),IF(AQ113=-1,-1,AQ113+1))))</f>
        <v>12</v>
      </c>
      <c r="AS113" s="16">
        <f>IF(OR(Y113=regle!$J$11,Y113=regle!$K$11),-2,IF(Y113=regle!$B$11,0,IF(AS$1=$AK$1,IF($O113,-1,regle!$B$2-$M113),IF(AR113=-1,-1,AR113+1))))</f>
        <v>13</v>
      </c>
      <c r="AT113" s="16">
        <f>IF(OR(Z113=regle!$J$11,Z113=regle!$K$11),-2,IF(Z113=regle!$B$11,0,IF(AT$1=$AK$1,IF($O113,-1,regle!$B$2-$M113),IF(AS113=-1,-1,AS113+1))))</f>
        <v>14</v>
      </c>
    </row>
    <row r="114" spans="1:46" x14ac:dyDescent="0.25">
      <c r="A114" t="b">
        <f>modif0!A126</f>
        <v>1</v>
      </c>
      <c r="B114">
        <f>ROW(modif0!B126)</f>
        <v>126</v>
      </c>
      <c r="C114" t="str">
        <f>modif0!D126</f>
        <v>202</v>
      </c>
      <c r="D114" t="str">
        <f>modif0!E126</f>
        <v>HOSTENS</v>
      </c>
      <c r="E114">
        <f>modif0!F126</f>
        <v>11</v>
      </c>
      <c r="F114" t="str">
        <f>modif0!G126</f>
        <v>LES CAZALAS</v>
      </c>
      <c r="G114" t="str">
        <f>modif0!I126</f>
        <v>0B</v>
      </c>
      <c r="H114">
        <f>modif0!J126</f>
        <v>1153</v>
      </c>
      <c r="I114" t="str">
        <f>modif0!K126</f>
        <v/>
      </c>
      <c r="J114" s="11">
        <f>modif0!M126</f>
        <v>0.21199999999999999</v>
      </c>
      <c r="K114" s="11" t="str">
        <f>modif0!P126</f>
        <v>PLA</v>
      </c>
      <c r="L114" t="str">
        <f>modif0!N126</f>
        <v>PM</v>
      </c>
      <c r="M114">
        <f>modif0!Q126</f>
        <v>2019</v>
      </c>
      <c r="N114" t="str">
        <f>modif0!R126</f>
        <v>PLA-PM_2019</v>
      </c>
      <c r="O114" t="b">
        <f>modif0!S126</f>
        <v>0</v>
      </c>
      <c r="P114">
        <v>40</v>
      </c>
      <c r="Q114" t="s">
        <v>1870</v>
      </c>
      <c r="S114" t="s">
        <v>1871</v>
      </c>
      <c r="X114" t="s">
        <v>1803</v>
      </c>
      <c r="AA114" s="17">
        <f>IF($A114,$J114*(IF(Q114=regle!$B$11,regle!$B$23*IF(AJ114=-2,1+regle!$B$35,1),
IF(Q114=regle!$C$11,regle!$C$23,
IF(Q114=regle!$D$11,regle!$D$23,
IF(Q114=regle!$E$11,regle!$E$23,
IF(Q114=regle!$F$11,regle!$F$23,
IF(Q114=regle!$G$11,regle!$G$23,
IF(Q114=regle!$H$11,regle!$H$23,
IF(Q114=regle!$I$11,regle!$I$23,
IF(Q114=regle!$J$11,regle!$J$23,
IF(Q114=regle!$K$11,regle!$K$23,0))))))))))))</f>
        <v>-19.079999999999998</v>
      </c>
      <c r="AB114" s="17">
        <f>IF($A114,$J114*(IF(R114=regle!$B$11,regle!$B$23*IF(AK114=-2,1+regle!$B$35,1),
IF(R114=regle!$C$11,regle!$C$23,
IF(R114=regle!$D$11,regle!$D$23,
IF(R114=regle!$E$11,regle!$E$23,
IF(R114=regle!$F$11,regle!$F$23,
IF(R114=regle!$G$11,regle!$G$23,
IF(R114=regle!$H$11,regle!$H$23,
IF(R114=regle!$I$11,regle!$I$23,
IF(R114=regle!$J$11,regle!$J$23,
IF(R114=regle!$K$11,regle!$K$23,0))))))))))))</f>
        <v>0</v>
      </c>
      <c r="AC114" s="17">
        <f>IF($A114,$J114*(IF(S114=regle!$B$11,regle!$B$23*IF(AL114=-2,1+regle!$B$35,1),
IF(S114=regle!$C$11,regle!$C$23,
IF(S114=regle!$D$11,regle!$D$23,
IF(S114=regle!$E$11,regle!$E$23,
IF(S114=regle!$F$11,regle!$F$23,
IF(S114=regle!$G$11,regle!$G$23,
IF(S114=regle!$H$11,regle!$H$23,
IF(S114=regle!$I$11,regle!$I$23,
IF(S114=regle!$J$11,regle!$J$23,
IF(S114=regle!$K$11,regle!$K$23,0))))))))))))</f>
        <v>-19.079999999999998</v>
      </c>
      <c r="AD114" s="17">
        <f>IF($A114,$J114*(IF(T114=regle!$B$11,regle!$B$23*IF(AM114=-2,1+regle!$B$35,1),
IF(T114=regle!$C$11,regle!$C$23,
IF(T114=regle!$D$11,regle!$D$23,
IF(T114=regle!$E$11,regle!$E$23,
IF(T114=regle!$F$11,regle!$F$23,
IF(T114=regle!$G$11,regle!$G$23,
IF(T114=regle!$H$11,regle!$H$23,
IF(T114=regle!$I$11,regle!$I$23,
IF(T114=regle!$J$11,regle!$J$23,
IF(T114=regle!$K$11,regle!$K$23,0))))))))))))</f>
        <v>0</v>
      </c>
      <c r="AE114" s="17">
        <f>IF($A114,$J114*(IF(U114=regle!$B$11,regle!$B$23*IF(AN114=-2,1+regle!$B$35,1),
IF(U114=regle!$C$11,regle!$C$23,
IF(U114=regle!$D$11,regle!$D$23,
IF(U114=regle!$E$11,regle!$E$23,
IF(U114=regle!$F$11,regle!$F$23,
IF(U114=regle!$G$11,regle!$G$23,
IF(U114=regle!$H$11,regle!$H$23,
IF(U114=regle!$I$11,regle!$I$23,
IF(U114=regle!$J$11,regle!$J$23,
IF(U114=regle!$K$11,regle!$K$23,0))))))))))))</f>
        <v>0</v>
      </c>
      <c r="AF114" s="17">
        <f>IF($A114,$J114*(IF(V114=regle!$B$11,regle!$B$23*IF(AO114=-2,1+regle!$B$35,1),
IF(V114=regle!$C$11,regle!$C$23,
IF(V114=regle!$D$11,regle!$D$23,
IF(V114=regle!$E$11,regle!$E$23,
IF(V114=regle!$F$11,regle!$F$23,
IF(V114=regle!$G$11,regle!$G$23,
IF(V114=regle!$H$11,regle!$H$23,
IF(V114=regle!$I$11,regle!$I$23,
IF(V114=regle!$J$11,regle!$J$23,
IF(V114=regle!$K$11,regle!$K$23,0))))))))))))</f>
        <v>0</v>
      </c>
      <c r="AG114" s="17">
        <f>IF($A114,$J114*(IF(W114=regle!$B$11,regle!$B$23*IF(AP114=-2,1+regle!$B$35,1),
IF(W114=regle!$C$11,regle!$C$23,
IF(W114=regle!$D$11,regle!$D$23,
IF(W114=regle!$E$11,regle!$E$23,
IF(W114=regle!$F$11,regle!$F$23,
IF(W114=regle!$G$11,regle!$G$23,
IF(W114=regle!$H$11,regle!$H$23,
IF(W114=regle!$I$11,regle!$I$23,
IF(W114=regle!$J$11,regle!$J$23,
IF(W114=regle!$K$11,regle!$K$23,0))))))))))))</f>
        <v>0</v>
      </c>
      <c r="AH114" s="17">
        <f>IF($A114,$J114*(IF(X114=regle!$B$11,regle!$B$23*IF(AQ114=-2,1+regle!$B$35,1),
IF(X114=regle!$C$11,regle!$C$23,
IF(X114=regle!$D$11,regle!$D$23,
IF(X114=regle!$E$11,regle!$E$23,
IF(X114=regle!$F$11,regle!$F$23,
IF(X114=regle!$G$11,regle!$G$23,
IF(X114=regle!$H$11,regle!$H$23,
IF(X114=regle!$I$11,regle!$I$23,
IF(X114=regle!$J$11,regle!$J$23,
IF(X114=regle!$K$11,regle!$K$23,0))))))))))))</f>
        <v>122.11199999999999</v>
      </c>
      <c r="AI114" s="17">
        <f>IF($A114,$J114*(IF(Y114=regle!$B$11,regle!$B$23*IF(AR114=-2,1+regle!$B$35,1),
IF(Y114=regle!$C$11,regle!$C$23,
IF(Y114=regle!$D$11,regle!$D$23,
IF(Y114=regle!$E$11,regle!$E$23,
IF(Y114=regle!$F$11,regle!$F$23,
IF(Y114=regle!$G$11,regle!$G$23,
IF(Y114=regle!$H$11,regle!$H$23,
IF(Y114=regle!$I$11,regle!$I$23,
IF(Y114=regle!$J$11,regle!$J$23,
IF(Y114=regle!$K$11,regle!$K$23,0))))))))))))</f>
        <v>0</v>
      </c>
      <c r="AJ114" s="17">
        <f>IF($A114,$J114*(IF(Z114=regle!$B$11,regle!$B$23*IF(AS114=-2,1+regle!$B$35,1),
IF(Z114=regle!$C$11,regle!$C$23,
IF(Z114=regle!$D$11,regle!$D$23,
IF(Z114=regle!$E$11,regle!$E$23,
IF(Z114=regle!$F$11,regle!$F$23,
IF(Z114=regle!$G$11,regle!$G$23,
IF(Z114=regle!$H$11,regle!$H$23,
IF(Z114=regle!$I$11,regle!$I$23,
IF(Z114=regle!$J$11,regle!$J$23,
IF(Z114=regle!$K$11,regle!$K$23,0))))))))))))</f>
        <v>0</v>
      </c>
      <c r="AK114" s="16">
        <f>IF(OR(Q114=regle!$J$11,Q114=regle!$K$11),-2,IF(Q114=regle!$B$11,0,IF(AK$1=$AK$1,IF($O114,-1,regle!$B$2-$M114),IF(AJ114=-1,-1,AJ114+1))))</f>
        <v>5</v>
      </c>
      <c r="AL114" s="16">
        <f>IF(OR(R114=regle!$J$11,R114=regle!$K$11),-2,IF(R114=regle!$B$11,0,IF(AL$1=$AK$1,IF($O114,-1,regle!$B$2-$M114),IF(AK114=-1,-1,AK114+1))))</f>
        <v>6</v>
      </c>
      <c r="AM114" s="16">
        <f>IF(OR(S114=regle!$J$11,S114=regle!$K$11),-2,IF(S114=regle!$B$11,0,IF(AM$1=$AK$1,IF($O114,-1,regle!$B$2-$M114),IF(AL114=-1,-1,AL114+1))))</f>
        <v>7</v>
      </c>
      <c r="AN114" s="16">
        <f>IF(OR(T114=regle!$J$11,T114=regle!$K$11),-2,IF(T114=regle!$B$11,0,IF(AN$1=$AK$1,IF($O114,-1,regle!$B$2-$M114),IF(AM114=-1,-1,AM114+1))))</f>
        <v>8</v>
      </c>
      <c r="AO114" s="16">
        <f>IF(OR(U114=regle!$J$11,U114=regle!$K$11),-2,IF(U114=regle!$B$11,0,IF(AO$1=$AK$1,IF($O114,-1,regle!$B$2-$M114),IF(AN114=-1,-1,AN114+1))))</f>
        <v>9</v>
      </c>
      <c r="AP114" s="16">
        <f>IF(OR(V114=regle!$J$11,V114=regle!$K$11),-2,IF(V114=regle!$B$11,0,IF(AP$1=$AK$1,IF($O114,-1,regle!$B$2-$M114),IF(AO114=-1,-1,AO114+1))))</f>
        <v>10</v>
      </c>
      <c r="AQ114" s="16">
        <f>IF(OR(W114=regle!$J$11,W114=regle!$K$11),-2,IF(W114=regle!$B$11,0,IF(AQ$1=$AK$1,IF($O114,-1,regle!$B$2-$M114),IF(AP114=-1,-1,AP114+1))))</f>
        <v>11</v>
      </c>
      <c r="AR114" s="16">
        <f>IF(OR(X114=regle!$J$11,X114=regle!$K$11),-2,IF(X114=regle!$B$11,0,IF(AR$1=$AK$1,IF($O114,-1,regle!$B$2-$M114),IF(AQ114=-1,-1,AQ114+1))))</f>
        <v>12</v>
      </c>
      <c r="AS114" s="16">
        <f>IF(OR(Y114=regle!$J$11,Y114=regle!$K$11),-2,IF(Y114=regle!$B$11,0,IF(AS$1=$AK$1,IF($O114,-1,regle!$B$2-$M114),IF(AR114=-1,-1,AR114+1))))</f>
        <v>13</v>
      </c>
      <c r="AT114" s="16">
        <f>IF(OR(Z114=regle!$J$11,Z114=regle!$K$11),-2,IF(Z114=regle!$B$11,0,IF(AT$1=$AK$1,IF($O114,-1,regle!$B$2-$M114),IF(AS114=-1,-1,AS114+1))))</f>
        <v>14</v>
      </c>
    </row>
    <row r="115" spans="1:46" x14ac:dyDescent="0.25">
      <c r="A115" t="b">
        <f>modif0!A120</f>
        <v>1</v>
      </c>
      <c r="B115">
        <f>ROW(modif0!B120)</f>
        <v>120</v>
      </c>
      <c r="C115" t="str">
        <f>modif0!D120</f>
        <v>202</v>
      </c>
      <c r="D115" t="str">
        <f>modif0!E120</f>
        <v>HOSTENS</v>
      </c>
      <c r="E115">
        <f>modif0!F120</f>
        <v>11</v>
      </c>
      <c r="F115" t="str">
        <f>modif0!G120</f>
        <v>LES CAZALAS</v>
      </c>
      <c r="G115" t="str">
        <f>modif0!I120</f>
        <v>0B</v>
      </c>
      <c r="H115">
        <f>modif0!J120</f>
        <v>1150</v>
      </c>
      <c r="I115" t="str">
        <f>modif0!K120</f>
        <v>k</v>
      </c>
      <c r="J115" s="11">
        <f>modif0!M120</f>
        <v>0.2041</v>
      </c>
      <c r="K115" s="11" t="str">
        <f>modif0!P120</f>
        <v>PLA</v>
      </c>
      <c r="L115" t="str">
        <f>modif0!N120</f>
        <v>PM</v>
      </c>
      <c r="M115">
        <f>modif0!Q120</f>
        <v>2019</v>
      </c>
      <c r="N115" t="str">
        <f>modif0!R120</f>
        <v>PLA-PM_2019</v>
      </c>
      <c r="O115" t="b">
        <f>modif0!S120</f>
        <v>0</v>
      </c>
      <c r="P115">
        <v>40</v>
      </c>
      <c r="Q115" t="s">
        <v>1870</v>
      </c>
      <c r="S115" t="s">
        <v>1871</v>
      </c>
      <c r="X115" t="s">
        <v>1803</v>
      </c>
      <c r="AA115" s="17">
        <f>IF($A115,$J115*(IF(Q115=regle!$B$11,regle!$B$23*IF(AJ115=-2,1+regle!$B$35,1),
IF(Q115=regle!$C$11,regle!$C$23,
IF(Q115=regle!$D$11,regle!$D$23,
IF(Q115=regle!$E$11,regle!$E$23,
IF(Q115=regle!$F$11,regle!$F$23,
IF(Q115=regle!$G$11,regle!$G$23,
IF(Q115=regle!$H$11,regle!$H$23,
IF(Q115=regle!$I$11,regle!$I$23,
IF(Q115=regle!$J$11,regle!$J$23,
IF(Q115=regle!$K$11,regle!$K$23,0))))))))))))</f>
        <v>-18.369</v>
      </c>
      <c r="AB115" s="17">
        <f>IF($A115,$J115*(IF(R115=regle!$B$11,regle!$B$23*IF(AK115=-2,1+regle!$B$35,1),
IF(R115=regle!$C$11,regle!$C$23,
IF(R115=regle!$D$11,regle!$D$23,
IF(R115=regle!$E$11,regle!$E$23,
IF(R115=regle!$F$11,regle!$F$23,
IF(R115=regle!$G$11,regle!$G$23,
IF(R115=regle!$H$11,regle!$H$23,
IF(R115=regle!$I$11,regle!$I$23,
IF(R115=regle!$J$11,regle!$J$23,
IF(R115=regle!$K$11,regle!$K$23,0))))))))))))</f>
        <v>0</v>
      </c>
      <c r="AC115" s="17">
        <f>IF($A115,$J115*(IF(S115=regle!$B$11,regle!$B$23*IF(AL115=-2,1+regle!$B$35,1),
IF(S115=regle!$C$11,regle!$C$23,
IF(S115=regle!$D$11,regle!$D$23,
IF(S115=regle!$E$11,regle!$E$23,
IF(S115=regle!$F$11,regle!$F$23,
IF(S115=regle!$G$11,regle!$G$23,
IF(S115=regle!$H$11,regle!$H$23,
IF(S115=regle!$I$11,regle!$I$23,
IF(S115=regle!$J$11,regle!$J$23,
IF(S115=regle!$K$11,regle!$K$23,0))))))))))))</f>
        <v>-18.369</v>
      </c>
      <c r="AD115" s="17">
        <f>IF($A115,$J115*(IF(T115=regle!$B$11,regle!$B$23*IF(AM115=-2,1+regle!$B$35,1),
IF(T115=regle!$C$11,regle!$C$23,
IF(T115=regle!$D$11,regle!$D$23,
IF(T115=regle!$E$11,regle!$E$23,
IF(T115=regle!$F$11,regle!$F$23,
IF(T115=regle!$G$11,regle!$G$23,
IF(T115=regle!$H$11,regle!$H$23,
IF(T115=regle!$I$11,regle!$I$23,
IF(T115=regle!$J$11,regle!$J$23,
IF(T115=regle!$K$11,regle!$K$23,0))))))))))))</f>
        <v>0</v>
      </c>
      <c r="AE115" s="17">
        <f>IF($A115,$J115*(IF(U115=regle!$B$11,regle!$B$23*IF(AN115=-2,1+regle!$B$35,1),
IF(U115=regle!$C$11,regle!$C$23,
IF(U115=regle!$D$11,regle!$D$23,
IF(U115=regle!$E$11,regle!$E$23,
IF(U115=regle!$F$11,regle!$F$23,
IF(U115=regle!$G$11,regle!$G$23,
IF(U115=regle!$H$11,regle!$H$23,
IF(U115=regle!$I$11,regle!$I$23,
IF(U115=regle!$J$11,regle!$J$23,
IF(U115=regle!$K$11,regle!$K$23,0))))))))))))</f>
        <v>0</v>
      </c>
      <c r="AF115" s="17">
        <f>IF($A115,$J115*(IF(V115=regle!$B$11,regle!$B$23*IF(AO115=-2,1+regle!$B$35,1),
IF(V115=regle!$C$11,regle!$C$23,
IF(V115=regle!$D$11,regle!$D$23,
IF(V115=regle!$E$11,regle!$E$23,
IF(V115=regle!$F$11,regle!$F$23,
IF(V115=regle!$G$11,regle!$G$23,
IF(V115=regle!$H$11,regle!$H$23,
IF(V115=regle!$I$11,regle!$I$23,
IF(V115=regle!$J$11,regle!$J$23,
IF(V115=regle!$K$11,regle!$K$23,0))))))))))))</f>
        <v>0</v>
      </c>
      <c r="AG115" s="17">
        <f>IF($A115,$J115*(IF(W115=regle!$B$11,regle!$B$23*IF(AP115=-2,1+regle!$B$35,1),
IF(W115=regle!$C$11,regle!$C$23,
IF(W115=regle!$D$11,regle!$D$23,
IF(W115=regle!$E$11,regle!$E$23,
IF(W115=regle!$F$11,regle!$F$23,
IF(W115=regle!$G$11,regle!$G$23,
IF(W115=regle!$H$11,regle!$H$23,
IF(W115=regle!$I$11,regle!$I$23,
IF(W115=regle!$J$11,regle!$J$23,
IF(W115=regle!$K$11,regle!$K$23,0))))))))))))</f>
        <v>0</v>
      </c>
      <c r="AH115" s="17">
        <f>IF($A115,$J115*(IF(X115=regle!$B$11,regle!$B$23*IF(AQ115=-2,1+regle!$B$35,1),
IF(X115=regle!$C$11,regle!$C$23,
IF(X115=regle!$D$11,regle!$D$23,
IF(X115=regle!$E$11,regle!$E$23,
IF(X115=regle!$F$11,regle!$F$23,
IF(X115=regle!$G$11,regle!$G$23,
IF(X115=regle!$H$11,regle!$H$23,
IF(X115=regle!$I$11,regle!$I$23,
IF(X115=regle!$J$11,regle!$J$23,
IF(X115=regle!$K$11,regle!$K$23,0))))))))))))</f>
        <v>117.5616</v>
      </c>
      <c r="AI115" s="17">
        <f>IF($A115,$J115*(IF(Y115=regle!$B$11,regle!$B$23*IF(AR115=-2,1+regle!$B$35,1),
IF(Y115=regle!$C$11,regle!$C$23,
IF(Y115=regle!$D$11,regle!$D$23,
IF(Y115=regle!$E$11,regle!$E$23,
IF(Y115=regle!$F$11,regle!$F$23,
IF(Y115=regle!$G$11,regle!$G$23,
IF(Y115=regle!$H$11,regle!$H$23,
IF(Y115=regle!$I$11,regle!$I$23,
IF(Y115=regle!$J$11,regle!$J$23,
IF(Y115=regle!$K$11,regle!$K$23,0))))))))))))</f>
        <v>0</v>
      </c>
      <c r="AJ115" s="17">
        <f>IF($A115,$J115*(IF(Z115=regle!$B$11,regle!$B$23*IF(AS115=-2,1+regle!$B$35,1),
IF(Z115=regle!$C$11,regle!$C$23,
IF(Z115=regle!$D$11,regle!$D$23,
IF(Z115=regle!$E$11,regle!$E$23,
IF(Z115=regle!$F$11,regle!$F$23,
IF(Z115=regle!$G$11,regle!$G$23,
IF(Z115=regle!$H$11,regle!$H$23,
IF(Z115=regle!$I$11,regle!$I$23,
IF(Z115=regle!$J$11,regle!$J$23,
IF(Z115=regle!$K$11,regle!$K$23,0))))))))))))</f>
        <v>0</v>
      </c>
      <c r="AK115" s="16">
        <f>IF(OR(Q115=regle!$J$11,Q115=regle!$K$11),-2,IF(Q115=regle!$B$11,0,IF(AK$1=$AK$1,IF($O115,-1,regle!$B$2-$M115),IF(AJ115=-1,-1,AJ115+1))))</f>
        <v>5</v>
      </c>
      <c r="AL115" s="16">
        <f>IF(OR(R115=regle!$J$11,R115=regle!$K$11),-2,IF(R115=regle!$B$11,0,IF(AL$1=$AK$1,IF($O115,-1,regle!$B$2-$M115),IF(AK115=-1,-1,AK115+1))))</f>
        <v>6</v>
      </c>
      <c r="AM115" s="16">
        <f>IF(OR(S115=regle!$J$11,S115=regle!$K$11),-2,IF(S115=regle!$B$11,0,IF(AM$1=$AK$1,IF($O115,-1,regle!$B$2-$M115),IF(AL115=-1,-1,AL115+1))))</f>
        <v>7</v>
      </c>
      <c r="AN115" s="16">
        <f>IF(OR(T115=regle!$J$11,T115=regle!$K$11),-2,IF(T115=regle!$B$11,0,IF(AN$1=$AK$1,IF($O115,-1,regle!$B$2-$M115),IF(AM115=-1,-1,AM115+1))))</f>
        <v>8</v>
      </c>
      <c r="AO115" s="16">
        <f>IF(OR(U115=regle!$J$11,U115=regle!$K$11),-2,IF(U115=regle!$B$11,0,IF(AO$1=$AK$1,IF($O115,-1,regle!$B$2-$M115),IF(AN115=-1,-1,AN115+1))))</f>
        <v>9</v>
      </c>
      <c r="AP115" s="16">
        <f>IF(OR(V115=regle!$J$11,V115=regle!$K$11),-2,IF(V115=regle!$B$11,0,IF(AP$1=$AK$1,IF($O115,-1,regle!$B$2-$M115),IF(AO115=-1,-1,AO115+1))))</f>
        <v>10</v>
      </c>
      <c r="AQ115" s="16">
        <f>IF(OR(W115=regle!$J$11,W115=regle!$K$11),-2,IF(W115=regle!$B$11,0,IF(AQ$1=$AK$1,IF($O115,-1,regle!$B$2-$M115),IF(AP115=-1,-1,AP115+1))))</f>
        <v>11</v>
      </c>
      <c r="AR115" s="16">
        <f>IF(OR(X115=regle!$J$11,X115=regle!$K$11),-2,IF(X115=regle!$B$11,0,IF(AR$1=$AK$1,IF($O115,-1,regle!$B$2-$M115),IF(AQ115=-1,-1,AQ115+1))))</f>
        <v>12</v>
      </c>
      <c r="AS115" s="16">
        <f>IF(OR(Y115=regle!$J$11,Y115=regle!$K$11),-2,IF(Y115=regle!$B$11,0,IF(AS$1=$AK$1,IF($O115,-1,regle!$B$2-$M115),IF(AR115=-1,-1,AR115+1))))</f>
        <v>13</v>
      </c>
      <c r="AT115" s="16">
        <f>IF(OR(Z115=regle!$J$11,Z115=regle!$K$11),-2,IF(Z115=regle!$B$11,0,IF(AT$1=$AK$1,IF($O115,-1,regle!$B$2-$M115),IF(AS115=-1,-1,AS115+1))))</f>
        <v>14</v>
      </c>
    </row>
    <row r="116" spans="1:46" x14ac:dyDescent="0.25">
      <c r="A116" t="b">
        <f>modif0!A231</f>
        <v>1</v>
      </c>
      <c r="B116">
        <f>ROW(modif0!B231)</f>
        <v>231</v>
      </c>
      <c r="C116" t="str">
        <f>modif0!D231</f>
        <v>202</v>
      </c>
      <c r="D116" t="str">
        <f>modif0!E231</f>
        <v>HOSTENS</v>
      </c>
      <c r="E116">
        <f>modif0!F231</f>
        <v>11</v>
      </c>
      <c r="F116" t="str">
        <f>modif0!G231</f>
        <v>LES CAZALAS</v>
      </c>
      <c r="G116" t="str">
        <f>modif0!I231</f>
        <v>0B</v>
      </c>
      <c r="H116">
        <f>modif0!J231</f>
        <v>1578</v>
      </c>
      <c r="I116" t="str">
        <f>modif0!K231</f>
        <v>j</v>
      </c>
      <c r="J116" s="11">
        <f>modif0!M231</f>
        <v>0.1762</v>
      </c>
      <c r="K116" s="11" t="str">
        <f>modif0!P231</f>
        <v>PLA</v>
      </c>
      <c r="L116" t="str">
        <f>modif0!N231</f>
        <v>PM</v>
      </c>
      <c r="M116">
        <f>modif0!Q231</f>
        <v>2019</v>
      </c>
      <c r="N116" t="str">
        <f>modif0!R231</f>
        <v>PLA-PM_2019</v>
      </c>
      <c r="O116" t="b">
        <f>modif0!S231</f>
        <v>0</v>
      </c>
      <c r="P116">
        <v>40</v>
      </c>
      <c r="Q116" t="s">
        <v>1870</v>
      </c>
      <c r="S116" t="s">
        <v>1871</v>
      </c>
      <c r="X116" t="s">
        <v>1803</v>
      </c>
      <c r="AA116" s="17">
        <f>IF($A116,$J116*(IF(Q116=regle!$B$11,regle!$B$23*IF(AJ116=-2,1+regle!$B$35,1),
IF(Q116=regle!$C$11,regle!$C$23,
IF(Q116=regle!$D$11,regle!$D$23,
IF(Q116=regle!$E$11,regle!$E$23,
IF(Q116=regle!$F$11,regle!$F$23,
IF(Q116=regle!$G$11,regle!$G$23,
IF(Q116=regle!$H$11,regle!$H$23,
IF(Q116=regle!$I$11,regle!$I$23,
IF(Q116=regle!$J$11,regle!$J$23,
IF(Q116=regle!$K$11,regle!$K$23,0))))))))))))</f>
        <v>-15.857999999999999</v>
      </c>
      <c r="AB116" s="17">
        <f>IF($A116,$J116*(IF(R116=regle!$B$11,regle!$B$23*IF(AK116=-2,1+regle!$B$35,1),
IF(R116=regle!$C$11,regle!$C$23,
IF(R116=regle!$D$11,regle!$D$23,
IF(R116=regle!$E$11,regle!$E$23,
IF(R116=regle!$F$11,regle!$F$23,
IF(R116=regle!$G$11,regle!$G$23,
IF(R116=regle!$H$11,regle!$H$23,
IF(R116=regle!$I$11,regle!$I$23,
IF(R116=regle!$J$11,regle!$J$23,
IF(R116=regle!$K$11,regle!$K$23,0))))))))))))</f>
        <v>0</v>
      </c>
      <c r="AC116" s="17">
        <f>IF($A116,$J116*(IF(S116=regle!$B$11,regle!$B$23*IF(AL116=-2,1+regle!$B$35,1),
IF(S116=regle!$C$11,regle!$C$23,
IF(S116=regle!$D$11,regle!$D$23,
IF(S116=regle!$E$11,regle!$E$23,
IF(S116=regle!$F$11,regle!$F$23,
IF(S116=regle!$G$11,regle!$G$23,
IF(S116=regle!$H$11,regle!$H$23,
IF(S116=regle!$I$11,regle!$I$23,
IF(S116=regle!$J$11,regle!$J$23,
IF(S116=regle!$K$11,regle!$K$23,0))))))))))))</f>
        <v>-15.857999999999999</v>
      </c>
      <c r="AD116" s="17">
        <f>IF($A116,$J116*(IF(T116=regle!$B$11,regle!$B$23*IF(AM116=-2,1+regle!$B$35,1),
IF(T116=regle!$C$11,regle!$C$23,
IF(T116=regle!$D$11,regle!$D$23,
IF(T116=regle!$E$11,regle!$E$23,
IF(T116=regle!$F$11,regle!$F$23,
IF(T116=regle!$G$11,regle!$G$23,
IF(T116=regle!$H$11,regle!$H$23,
IF(T116=regle!$I$11,regle!$I$23,
IF(T116=regle!$J$11,regle!$J$23,
IF(T116=regle!$K$11,regle!$K$23,0))))))))))))</f>
        <v>0</v>
      </c>
      <c r="AE116" s="17">
        <f>IF($A116,$J116*(IF(U116=regle!$B$11,regle!$B$23*IF(AN116=-2,1+regle!$B$35,1),
IF(U116=regle!$C$11,regle!$C$23,
IF(U116=regle!$D$11,regle!$D$23,
IF(U116=regle!$E$11,regle!$E$23,
IF(U116=regle!$F$11,regle!$F$23,
IF(U116=regle!$G$11,regle!$G$23,
IF(U116=regle!$H$11,regle!$H$23,
IF(U116=regle!$I$11,regle!$I$23,
IF(U116=regle!$J$11,regle!$J$23,
IF(U116=regle!$K$11,regle!$K$23,0))))))))))))</f>
        <v>0</v>
      </c>
      <c r="AF116" s="17">
        <f>IF($A116,$J116*(IF(V116=regle!$B$11,regle!$B$23*IF(AO116=-2,1+regle!$B$35,1),
IF(V116=regle!$C$11,regle!$C$23,
IF(V116=regle!$D$11,regle!$D$23,
IF(V116=regle!$E$11,regle!$E$23,
IF(V116=regle!$F$11,regle!$F$23,
IF(V116=regle!$G$11,regle!$G$23,
IF(V116=regle!$H$11,regle!$H$23,
IF(V116=regle!$I$11,regle!$I$23,
IF(V116=regle!$J$11,regle!$J$23,
IF(V116=regle!$K$11,regle!$K$23,0))))))))))))</f>
        <v>0</v>
      </c>
      <c r="AG116" s="17">
        <f>IF($A116,$J116*(IF(W116=regle!$B$11,regle!$B$23*IF(AP116=-2,1+regle!$B$35,1),
IF(W116=regle!$C$11,regle!$C$23,
IF(W116=regle!$D$11,regle!$D$23,
IF(W116=regle!$E$11,regle!$E$23,
IF(W116=regle!$F$11,regle!$F$23,
IF(W116=regle!$G$11,regle!$G$23,
IF(W116=regle!$H$11,regle!$H$23,
IF(W116=regle!$I$11,regle!$I$23,
IF(W116=regle!$J$11,regle!$J$23,
IF(W116=regle!$K$11,regle!$K$23,0))))))))))))</f>
        <v>0</v>
      </c>
      <c r="AH116" s="17">
        <f>IF($A116,$J116*(IF(X116=regle!$B$11,regle!$B$23*IF(AQ116=-2,1+regle!$B$35,1),
IF(X116=regle!$C$11,regle!$C$23,
IF(X116=regle!$D$11,regle!$D$23,
IF(X116=regle!$E$11,regle!$E$23,
IF(X116=regle!$F$11,regle!$F$23,
IF(X116=regle!$G$11,regle!$G$23,
IF(X116=regle!$H$11,regle!$H$23,
IF(X116=regle!$I$11,regle!$I$23,
IF(X116=regle!$J$11,regle!$J$23,
IF(X116=regle!$K$11,regle!$K$23,0))))))))))))</f>
        <v>101.49119999999999</v>
      </c>
      <c r="AI116" s="17">
        <f>IF($A116,$J116*(IF(Y116=regle!$B$11,regle!$B$23*IF(AR116=-2,1+regle!$B$35,1),
IF(Y116=regle!$C$11,regle!$C$23,
IF(Y116=regle!$D$11,regle!$D$23,
IF(Y116=regle!$E$11,regle!$E$23,
IF(Y116=regle!$F$11,regle!$F$23,
IF(Y116=regle!$G$11,regle!$G$23,
IF(Y116=regle!$H$11,regle!$H$23,
IF(Y116=regle!$I$11,regle!$I$23,
IF(Y116=regle!$J$11,regle!$J$23,
IF(Y116=regle!$K$11,regle!$K$23,0))))))))))))</f>
        <v>0</v>
      </c>
      <c r="AJ116" s="17">
        <f>IF($A116,$J116*(IF(Z116=regle!$B$11,regle!$B$23*IF(AS116=-2,1+regle!$B$35,1),
IF(Z116=regle!$C$11,regle!$C$23,
IF(Z116=regle!$D$11,regle!$D$23,
IF(Z116=regle!$E$11,regle!$E$23,
IF(Z116=regle!$F$11,regle!$F$23,
IF(Z116=regle!$G$11,regle!$G$23,
IF(Z116=regle!$H$11,regle!$H$23,
IF(Z116=regle!$I$11,regle!$I$23,
IF(Z116=regle!$J$11,regle!$J$23,
IF(Z116=regle!$K$11,regle!$K$23,0))))))))))))</f>
        <v>0</v>
      </c>
      <c r="AK116" s="16">
        <f>IF(OR(Q116=regle!$J$11,Q116=regle!$K$11),-2,IF(Q116=regle!$B$11,0,IF(AK$1=$AK$1,IF($O116,-1,regle!$B$2-$M116),IF(AJ116=-1,-1,AJ116+1))))</f>
        <v>5</v>
      </c>
      <c r="AL116" s="16">
        <f>IF(OR(R116=regle!$J$11,R116=regle!$K$11),-2,IF(R116=regle!$B$11,0,IF(AL$1=$AK$1,IF($O116,-1,regle!$B$2-$M116),IF(AK116=-1,-1,AK116+1))))</f>
        <v>6</v>
      </c>
      <c r="AM116" s="16">
        <f>IF(OR(S116=regle!$J$11,S116=regle!$K$11),-2,IF(S116=regle!$B$11,0,IF(AM$1=$AK$1,IF($O116,-1,regle!$B$2-$M116),IF(AL116=-1,-1,AL116+1))))</f>
        <v>7</v>
      </c>
      <c r="AN116" s="16">
        <f>IF(OR(T116=regle!$J$11,T116=regle!$K$11),-2,IF(T116=regle!$B$11,0,IF(AN$1=$AK$1,IF($O116,-1,regle!$B$2-$M116),IF(AM116=-1,-1,AM116+1))))</f>
        <v>8</v>
      </c>
      <c r="AO116" s="16">
        <f>IF(OR(U116=regle!$J$11,U116=regle!$K$11),-2,IF(U116=regle!$B$11,0,IF(AO$1=$AK$1,IF($O116,-1,regle!$B$2-$M116),IF(AN116=-1,-1,AN116+1))))</f>
        <v>9</v>
      </c>
      <c r="AP116" s="16">
        <f>IF(OR(V116=regle!$J$11,V116=regle!$K$11),-2,IF(V116=regle!$B$11,0,IF(AP$1=$AK$1,IF($O116,-1,regle!$B$2-$M116),IF(AO116=-1,-1,AO116+1))))</f>
        <v>10</v>
      </c>
      <c r="AQ116" s="16">
        <f>IF(OR(W116=regle!$J$11,W116=regle!$K$11),-2,IF(W116=regle!$B$11,0,IF(AQ$1=$AK$1,IF($O116,-1,regle!$B$2-$M116),IF(AP116=-1,-1,AP116+1))))</f>
        <v>11</v>
      </c>
      <c r="AR116" s="16">
        <f>IF(OR(X116=regle!$J$11,X116=regle!$K$11),-2,IF(X116=regle!$B$11,0,IF(AR$1=$AK$1,IF($O116,-1,regle!$B$2-$M116),IF(AQ116=-1,-1,AQ116+1))))</f>
        <v>12</v>
      </c>
      <c r="AS116" s="16">
        <f>IF(OR(Y116=regle!$J$11,Y116=regle!$K$11),-2,IF(Y116=regle!$B$11,0,IF(AS$1=$AK$1,IF($O116,-1,regle!$B$2-$M116),IF(AR116=-1,-1,AR116+1))))</f>
        <v>13</v>
      </c>
      <c r="AT116" s="16">
        <f>IF(OR(Z116=regle!$J$11,Z116=regle!$K$11),-2,IF(Z116=regle!$B$11,0,IF(AT$1=$AK$1,IF($O116,-1,regle!$B$2-$M116),IF(AS116=-1,-1,AS116+1))))</f>
        <v>14</v>
      </c>
    </row>
    <row r="117" spans="1:46" x14ac:dyDescent="0.25">
      <c r="A117" t="b">
        <f>modif0!A127</f>
        <v>1</v>
      </c>
      <c r="B117">
        <f>ROW(modif0!B127)</f>
        <v>127</v>
      </c>
      <c r="C117" t="str">
        <f>modif0!D127</f>
        <v>202</v>
      </c>
      <c r="D117" t="str">
        <f>modif0!E127</f>
        <v>HOSTENS</v>
      </c>
      <c r="E117">
        <f>modif0!F127</f>
        <v>11</v>
      </c>
      <c r="F117" t="str">
        <f>modif0!G127</f>
        <v>LES CAZALAS</v>
      </c>
      <c r="G117" t="str">
        <f>modif0!I127</f>
        <v>0B</v>
      </c>
      <c r="H117">
        <f>modif0!J127</f>
        <v>1154</v>
      </c>
      <c r="I117" t="str">
        <f>modif0!K127</f>
        <v/>
      </c>
      <c r="J117" s="11">
        <f>modif0!M127</f>
        <v>0.1542</v>
      </c>
      <c r="K117" s="11" t="str">
        <f>modif0!P127</f>
        <v>PLA</v>
      </c>
      <c r="L117" t="str">
        <f>modif0!N127</f>
        <v>PM</v>
      </c>
      <c r="M117">
        <f>modif0!Q127</f>
        <v>2019</v>
      </c>
      <c r="N117" t="str">
        <f>modif0!R127</f>
        <v>PLA-PM_2019</v>
      </c>
      <c r="O117" t="b">
        <f>modif0!S127</f>
        <v>0</v>
      </c>
      <c r="P117">
        <v>40</v>
      </c>
      <c r="Q117" t="s">
        <v>1870</v>
      </c>
      <c r="S117" t="s">
        <v>1871</v>
      </c>
      <c r="X117" t="s">
        <v>1803</v>
      </c>
      <c r="AA117" s="17">
        <f>IF($A117,$J117*(IF(Q117=regle!$B$11,regle!$B$23*IF(AJ117=-2,1+regle!$B$35,1),
IF(Q117=regle!$C$11,regle!$C$23,
IF(Q117=regle!$D$11,regle!$D$23,
IF(Q117=regle!$E$11,regle!$E$23,
IF(Q117=regle!$F$11,regle!$F$23,
IF(Q117=regle!$G$11,regle!$G$23,
IF(Q117=regle!$H$11,regle!$H$23,
IF(Q117=regle!$I$11,regle!$I$23,
IF(Q117=regle!$J$11,regle!$J$23,
IF(Q117=regle!$K$11,regle!$K$23,0))))))))))))</f>
        <v>-13.878</v>
      </c>
      <c r="AB117" s="17">
        <f>IF($A117,$J117*(IF(R117=regle!$B$11,regle!$B$23*IF(AK117=-2,1+regle!$B$35,1),
IF(R117=regle!$C$11,regle!$C$23,
IF(R117=regle!$D$11,regle!$D$23,
IF(R117=regle!$E$11,regle!$E$23,
IF(R117=regle!$F$11,regle!$F$23,
IF(R117=regle!$G$11,regle!$G$23,
IF(R117=regle!$H$11,regle!$H$23,
IF(R117=regle!$I$11,regle!$I$23,
IF(R117=regle!$J$11,regle!$J$23,
IF(R117=regle!$K$11,regle!$K$23,0))))))))))))</f>
        <v>0</v>
      </c>
      <c r="AC117" s="17">
        <f>IF($A117,$J117*(IF(S117=regle!$B$11,regle!$B$23*IF(AL117=-2,1+regle!$B$35,1),
IF(S117=regle!$C$11,regle!$C$23,
IF(S117=regle!$D$11,regle!$D$23,
IF(S117=regle!$E$11,regle!$E$23,
IF(S117=regle!$F$11,regle!$F$23,
IF(S117=regle!$G$11,regle!$G$23,
IF(S117=regle!$H$11,regle!$H$23,
IF(S117=regle!$I$11,regle!$I$23,
IF(S117=regle!$J$11,regle!$J$23,
IF(S117=regle!$K$11,regle!$K$23,0))))))))))))</f>
        <v>-13.878</v>
      </c>
      <c r="AD117" s="17">
        <f>IF($A117,$J117*(IF(T117=regle!$B$11,regle!$B$23*IF(AM117=-2,1+regle!$B$35,1),
IF(T117=regle!$C$11,regle!$C$23,
IF(T117=regle!$D$11,regle!$D$23,
IF(T117=regle!$E$11,regle!$E$23,
IF(T117=regle!$F$11,regle!$F$23,
IF(T117=regle!$G$11,regle!$G$23,
IF(T117=regle!$H$11,regle!$H$23,
IF(T117=regle!$I$11,regle!$I$23,
IF(T117=regle!$J$11,regle!$J$23,
IF(T117=regle!$K$11,regle!$K$23,0))))))))))))</f>
        <v>0</v>
      </c>
      <c r="AE117" s="17">
        <f>IF($A117,$J117*(IF(U117=regle!$B$11,regle!$B$23*IF(AN117=-2,1+regle!$B$35,1),
IF(U117=regle!$C$11,regle!$C$23,
IF(U117=regle!$D$11,regle!$D$23,
IF(U117=regle!$E$11,regle!$E$23,
IF(U117=regle!$F$11,regle!$F$23,
IF(U117=regle!$G$11,regle!$G$23,
IF(U117=regle!$H$11,regle!$H$23,
IF(U117=regle!$I$11,regle!$I$23,
IF(U117=regle!$J$11,regle!$J$23,
IF(U117=regle!$K$11,regle!$K$23,0))))))))))))</f>
        <v>0</v>
      </c>
      <c r="AF117" s="17">
        <f>IF($A117,$J117*(IF(V117=regle!$B$11,regle!$B$23*IF(AO117=-2,1+regle!$B$35,1),
IF(V117=regle!$C$11,regle!$C$23,
IF(V117=regle!$D$11,regle!$D$23,
IF(V117=regle!$E$11,regle!$E$23,
IF(V117=regle!$F$11,regle!$F$23,
IF(V117=regle!$G$11,regle!$G$23,
IF(V117=regle!$H$11,regle!$H$23,
IF(V117=regle!$I$11,regle!$I$23,
IF(V117=regle!$J$11,regle!$J$23,
IF(V117=regle!$K$11,regle!$K$23,0))))))))))))</f>
        <v>0</v>
      </c>
      <c r="AG117" s="17">
        <f>IF($A117,$J117*(IF(W117=regle!$B$11,regle!$B$23*IF(AP117=-2,1+regle!$B$35,1),
IF(W117=regle!$C$11,regle!$C$23,
IF(W117=regle!$D$11,regle!$D$23,
IF(W117=regle!$E$11,regle!$E$23,
IF(W117=regle!$F$11,regle!$F$23,
IF(W117=regle!$G$11,regle!$G$23,
IF(W117=regle!$H$11,regle!$H$23,
IF(W117=regle!$I$11,regle!$I$23,
IF(W117=regle!$J$11,regle!$J$23,
IF(W117=regle!$K$11,regle!$K$23,0))))))))))))</f>
        <v>0</v>
      </c>
      <c r="AH117" s="17">
        <f>IF($A117,$J117*(IF(X117=regle!$B$11,regle!$B$23*IF(AQ117=-2,1+regle!$B$35,1),
IF(X117=regle!$C$11,regle!$C$23,
IF(X117=regle!$D$11,regle!$D$23,
IF(X117=regle!$E$11,regle!$E$23,
IF(X117=regle!$F$11,regle!$F$23,
IF(X117=regle!$G$11,regle!$G$23,
IF(X117=regle!$H$11,regle!$H$23,
IF(X117=regle!$I$11,regle!$I$23,
IF(X117=regle!$J$11,regle!$J$23,
IF(X117=regle!$K$11,regle!$K$23,0))))))))))))</f>
        <v>88.819199999999995</v>
      </c>
      <c r="AI117" s="17">
        <f>IF($A117,$J117*(IF(Y117=regle!$B$11,regle!$B$23*IF(AR117=-2,1+regle!$B$35,1),
IF(Y117=regle!$C$11,regle!$C$23,
IF(Y117=regle!$D$11,regle!$D$23,
IF(Y117=regle!$E$11,regle!$E$23,
IF(Y117=regle!$F$11,regle!$F$23,
IF(Y117=regle!$G$11,regle!$G$23,
IF(Y117=regle!$H$11,regle!$H$23,
IF(Y117=regle!$I$11,regle!$I$23,
IF(Y117=regle!$J$11,regle!$J$23,
IF(Y117=regle!$K$11,regle!$K$23,0))))))))))))</f>
        <v>0</v>
      </c>
      <c r="AJ117" s="17">
        <f>IF($A117,$J117*(IF(Z117=regle!$B$11,regle!$B$23*IF(AS117=-2,1+regle!$B$35,1),
IF(Z117=regle!$C$11,regle!$C$23,
IF(Z117=regle!$D$11,regle!$D$23,
IF(Z117=regle!$E$11,regle!$E$23,
IF(Z117=regle!$F$11,regle!$F$23,
IF(Z117=regle!$G$11,regle!$G$23,
IF(Z117=regle!$H$11,regle!$H$23,
IF(Z117=regle!$I$11,regle!$I$23,
IF(Z117=regle!$J$11,regle!$J$23,
IF(Z117=regle!$K$11,regle!$K$23,0))))))))))))</f>
        <v>0</v>
      </c>
      <c r="AK117" s="16">
        <f>IF(OR(Q117=regle!$J$11,Q117=regle!$K$11),-2,IF(Q117=regle!$B$11,0,IF(AK$1=$AK$1,IF($O117,-1,regle!$B$2-$M117),IF(AJ117=-1,-1,AJ117+1))))</f>
        <v>5</v>
      </c>
      <c r="AL117" s="16">
        <f>IF(OR(R117=regle!$J$11,R117=regle!$K$11),-2,IF(R117=regle!$B$11,0,IF(AL$1=$AK$1,IF($O117,-1,regle!$B$2-$M117),IF(AK117=-1,-1,AK117+1))))</f>
        <v>6</v>
      </c>
      <c r="AM117" s="16">
        <f>IF(OR(S117=regle!$J$11,S117=regle!$K$11),-2,IF(S117=regle!$B$11,0,IF(AM$1=$AK$1,IF($O117,-1,regle!$B$2-$M117),IF(AL117=-1,-1,AL117+1))))</f>
        <v>7</v>
      </c>
      <c r="AN117" s="16">
        <f>IF(OR(T117=regle!$J$11,T117=regle!$K$11),-2,IF(T117=regle!$B$11,0,IF(AN$1=$AK$1,IF($O117,-1,regle!$B$2-$M117),IF(AM117=-1,-1,AM117+1))))</f>
        <v>8</v>
      </c>
      <c r="AO117" s="16">
        <f>IF(OR(U117=regle!$J$11,U117=regle!$K$11),-2,IF(U117=regle!$B$11,0,IF(AO$1=$AK$1,IF($O117,-1,regle!$B$2-$M117),IF(AN117=-1,-1,AN117+1))))</f>
        <v>9</v>
      </c>
      <c r="AP117" s="16">
        <f>IF(OR(V117=regle!$J$11,V117=regle!$K$11),-2,IF(V117=regle!$B$11,0,IF(AP$1=$AK$1,IF($O117,-1,regle!$B$2-$M117),IF(AO117=-1,-1,AO117+1))))</f>
        <v>10</v>
      </c>
      <c r="AQ117" s="16">
        <f>IF(OR(W117=regle!$J$11,W117=regle!$K$11),-2,IF(W117=regle!$B$11,0,IF(AQ$1=$AK$1,IF($O117,-1,regle!$B$2-$M117),IF(AP117=-1,-1,AP117+1))))</f>
        <v>11</v>
      </c>
      <c r="AR117" s="16">
        <f>IF(OR(X117=regle!$J$11,X117=regle!$K$11),-2,IF(X117=regle!$B$11,0,IF(AR$1=$AK$1,IF($O117,-1,regle!$B$2-$M117),IF(AQ117=-1,-1,AQ117+1))))</f>
        <v>12</v>
      </c>
      <c r="AS117" s="16">
        <f>IF(OR(Y117=regle!$J$11,Y117=regle!$K$11),-2,IF(Y117=regle!$B$11,0,IF(AS$1=$AK$1,IF($O117,-1,regle!$B$2-$M117),IF(AR117=-1,-1,AR117+1))))</f>
        <v>13</v>
      </c>
      <c r="AT117" s="16">
        <f>IF(OR(Z117=regle!$J$11,Z117=regle!$K$11),-2,IF(Z117=regle!$B$11,0,IF(AT$1=$AK$1,IF($O117,-1,regle!$B$2-$M117),IF(AS117=-1,-1,AS117+1))))</f>
        <v>14</v>
      </c>
    </row>
    <row r="118" spans="1:46" x14ac:dyDescent="0.25">
      <c r="A118" t="b">
        <f>modif0!A337</f>
        <v>1</v>
      </c>
      <c r="B118">
        <f>ROW(modif0!B337)</f>
        <v>337</v>
      </c>
      <c r="C118" t="str">
        <f>modif0!D337</f>
        <v>077</v>
      </c>
      <c r="D118" t="str">
        <f>modif0!E337</f>
        <v>CABANAC-ET-VILLAGRAINS</v>
      </c>
      <c r="E118">
        <f>modif0!F337</f>
        <v>12</v>
      </c>
      <c r="F118" t="str">
        <f>modif0!G337</f>
        <v>LES JEANNOTS</v>
      </c>
      <c r="G118" t="str">
        <f>modif0!I337</f>
        <v>0D</v>
      </c>
      <c r="H118">
        <f>modif0!J337</f>
        <v>2307</v>
      </c>
      <c r="I118" t="str">
        <f>modif0!K337</f>
        <v/>
      </c>
      <c r="J118" s="11">
        <f>modif0!M337</f>
        <v>0.1449</v>
      </c>
      <c r="K118" s="11" t="str">
        <f>modif0!P337</f>
        <v>PLA</v>
      </c>
      <c r="L118" t="str">
        <f>modif0!N337</f>
        <v>PM</v>
      </c>
      <c r="M118">
        <f>modif0!Q337</f>
        <v>2019</v>
      </c>
      <c r="N118" t="str">
        <f>modif0!R337</f>
        <v>PLA-PM_2019</v>
      </c>
      <c r="O118" t="b">
        <f>modif0!S337</f>
        <v>0</v>
      </c>
      <c r="P118">
        <v>40</v>
      </c>
      <c r="Q118" t="s">
        <v>1870</v>
      </c>
      <c r="S118" t="s">
        <v>1871</v>
      </c>
      <c r="X118" t="s">
        <v>1803</v>
      </c>
      <c r="AA118" s="17">
        <f>IF($A118,$J118*(IF(Q118=regle!$B$11,regle!$B$23*IF(AJ118=-2,1+regle!$B$35,1),
IF(Q118=regle!$C$11,regle!$C$23,
IF(Q118=regle!$D$11,regle!$D$23,
IF(Q118=regle!$E$11,regle!$E$23,
IF(Q118=regle!$F$11,regle!$F$23,
IF(Q118=regle!$G$11,regle!$G$23,
IF(Q118=regle!$H$11,regle!$H$23,
IF(Q118=regle!$I$11,regle!$I$23,
IF(Q118=regle!$J$11,regle!$J$23,
IF(Q118=regle!$K$11,regle!$K$23,0))))))))))))</f>
        <v>-13.041</v>
      </c>
      <c r="AB118" s="17">
        <f>IF($A118,$J118*(IF(R118=regle!$B$11,regle!$B$23*IF(AK118=-2,1+regle!$B$35,1),
IF(R118=regle!$C$11,regle!$C$23,
IF(R118=regle!$D$11,regle!$D$23,
IF(R118=regle!$E$11,regle!$E$23,
IF(R118=regle!$F$11,regle!$F$23,
IF(R118=regle!$G$11,regle!$G$23,
IF(R118=regle!$H$11,regle!$H$23,
IF(R118=regle!$I$11,regle!$I$23,
IF(R118=regle!$J$11,regle!$J$23,
IF(R118=regle!$K$11,regle!$K$23,0))))))))))))</f>
        <v>0</v>
      </c>
      <c r="AC118" s="17">
        <f>IF($A118,$J118*(IF(S118=regle!$B$11,regle!$B$23*IF(AL118=-2,1+regle!$B$35,1),
IF(S118=regle!$C$11,regle!$C$23,
IF(S118=regle!$D$11,regle!$D$23,
IF(S118=regle!$E$11,regle!$E$23,
IF(S118=regle!$F$11,regle!$F$23,
IF(S118=regle!$G$11,regle!$G$23,
IF(S118=regle!$H$11,regle!$H$23,
IF(S118=regle!$I$11,regle!$I$23,
IF(S118=regle!$J$11,regle!$J$23,
IF(S118=regle!$K$11,regle!$K$23,0))))))))))))</f>
        <v>-13.041</v>
      </c>
      <c r="AD118" s="17">
        <f>IF($A118,$J118*(IF(T118=regle!$B$11,regle!$B$23*IF(AM118=-2,1+regle!$B$35,1),
IF(T118=regle!$C$11,regle!$C$23,
IF(T118=regle!$D$11,regle!$D$23,
IF(T118=regle!$E$11,regle!$E$23,
IF(T118=regle!$F$11,regle!$F$23,
IF(T118=regle!$G$11,regle!$G$23,
IF(T118=regle!$H$11,regle!$H$23,
IF(T118=regle!$I$11,regle!$I$23,
IF(T118=regle!$J$11,regle!$J$23,
IF(T118=regle!$K$11,regle!$K$23,0))))))))))))</f>
        <v>0</v>
      </c>
      <c r="AE118" s="17">
        <f>IF($A118,$J118*(IF(U118=regle!$B$11,regle!$B$23*IF(AN118=-2,1+regle!$B$35,1),
IF(U118=regle!$C$11,regle!$C$23,
IF(U118=regle!$D$11,regle!$D$23,
IF(U118=regle!$E$11,regle!$E$23,
IF(U118=regle!$F$11,regle!$F$23,
IF(U118=regle!$G$11,regle!$G$23,
IF(U118=regle!$H$11,regle!$H$23,
IF(U118=regle!$I$11,regle!$I$23,
IF(U118=regle!$J$11,regle!$J$23,
IF(U118=regle!$K$11,regle!$K$23,0))))))))))))</f>
        <v>0</v>
      </c>
      <c r="AF118" s="17">
        <f>IF($A118,$J118*(IF(V118=regle!$B$11,regle!$B$23*IF(AO118=-2,1+regle!$B$35,1),
IF(V118=regle!$C$11,regle!$C$23,
IF(V118=regle!$D$11,regle!$D$23,
IF(V118=regle!$E$11,regle!$E$23,
IF(V118=regle!$F$11,regle!$F$23,
IF(V118=regle!$G$11,regle!$G$23,
IF(V118=regle!$H$11,regle!$H$23,
IF(V118=regle!$I$11,regle!$I$23,
IF(V118=regle!$J$11,regle!$J$23,
IF(V118=regle!$K$11,regle!$K$23,0))))))))))))</f>
        <v>0</v>
      </c>
      <c r="AG118" s="17">
        <f>IF($A118,$J118*(IF(W118=regle!$B$11,regle!$B$23*IF(AP118=-2,1+regle!$B$35,1),
IF(W118=regle!$C$11,regle!$C$23,
IF(W118=regle!$D$11,regle!$D$23,
IF(W118=regle!$E$11,regle!$E$23,
IF(W118=regle!$F$11,regle!$F$23,
IF(W118=regle!$G$11,regle!$G$23,
IF(W118=regle!$H$11,regle!$H$23,
IF(W118=regle!$I$11,regle!$I$23,
IF(W118=regle!$J$11,regle!$J$23,
IF(W118=regle!$K$11,regle!$K$23,0))))))))))))</f>
        <v>0</v>
      </c>
      <c r="AH118" s="17">
        <f>IF($A118,$J118*(IF(X118=regle!$B$11,regle!$B$23*IF(AQ118=-2,1+regle!$B$35,1),
IF(X118=regle!$C$11,regle!$C$23,
IF(X118=regle!$D$11,regle!$D$23,
IF(X118=regle!$E$11,regle!$E$23,
IF(X118=regle!$F$11,regle!$F$23,
IF(X118=regle!$G$11,regle!$G$23,
IF(X118=regle!$H$11,regle!$H$23,
IF(X118=regle!$I$11,regle!$I$23,
IF(X118=regle!$J$11,regle!$J$23,
IF(X118=regle!$K$11,regle!$K$23,0))))))))))))</f>
        <v>83.462400000000002</v>
      </c>
      <c r="AI118" s="17">
        <f>IF($A118,$J118*(IF(Y118=regle!$B$11,regle!$B$23*IF(AR118=-2,1+regle!$B$35,1),
IF(Y118=regle!$C$11,regle!$C$23,
IF(Y118=regle!$D$11,regle!$D$23,
IF(Y118=regle!$E$11,regle!$E$23,
IF(Y118=regle!$F$11,regle!$F$23,
IF(Y118=regle!$G$11,regle!$G$23,
IF(Y118=regle!$H$11,regle!$H$23,
IF(Y118=regle!$I$11,regle!$I$23,
IF(Y118=regle!$J$11,regle!$J$23,
IF(Y118=regle!$K$11,regle!$K$23,0))))))))))))</f>
        <v>0</v>
      </c>
      <c r="AJ118" s="17">
        <f>IF($A118,$J118*(IF(Z118=regle!$B$11,regle!$B$23*IF(AS118=-2,1+regle!$B$35,1),
IF(Z118=regle!$C$11,regle!$C$23,
IF(Z118=regle!$D$11,regle!$D$23,
IF(Z118=regle!$E$11,regle!$E$23,
IF(Z118=regle!$F$11,regle!$F$23,
IF(Z118=regle!$G$11,regle!$G$23,
IF(Z118=regle!$H$11,regle!$H$23,
IF(Z118=regle!$I$11,regle!$I$23,
IF(Z118=regle!$J$11,regle!$J$23,
IF(Z118=regle!$K$11,regle!$K$23,0))))))))))))</f>
        <v>0</v>
      </c>
      <c r="AK118" s="16">
        <f>IF(OR(Q118=regle!$J$11,Q118=regle!$K$11),-2,IF(Q118=regle!$B$11,0,IF(AK$1=$AK$1,IF($O118,-1,regle!$B$2-$M118),IF(AJ118=-1,-1,AJ118+1))))</f>
        <v>5</v>
      </c>
      <c r="AL118" s="16">
        <f>IF(OR(R118=regle!$J$11,R118=regle!$K$11),-2,IF(R118=regle!$B$11,0,IF(AL$1=$AK$1,IF($O118,-1,regle!$B$2-$M118),IF(AK118=-1,-1,AK118+1))))</f>
        <v>6</v>
      </c>
      <c r="AM118" s="16">
        <f>IF(OR(S118=regle!$J$11,S118=regle!$K$11),-2,IF(S118=regle!$B$11,0,IF(AM$1=$AK$1,IF($O118,-1,regle!$B$2-$M118),IF(AL118=-1,-1,AL118+1))))</f>
        <v>7</v>
      </c>
      <c r="AN118" s="16">
        <f>IF(OR(T118=regle!$J$11,T118=regle!$K$11),-2,IF(T118=regle!$B$11,0,IF(AN$1=$AK$1,IF($O118,-1,regle!$B$2-$M118),IF(AM118=-1,-1,AM118+1))))</f>
        <v>8</v>
      </c>
      <c r="AO118" s="16">
        <f>IF(OR(U118=regle!$J$11,U118=regle!$K$11),-2,IF(U118=regle!$B$11,0,IF(AO$1=$AK$1,IF($O118,-1,regle!$B$2-$M118),IF(AN118=-1,-1,AN118+1))))</f>
        <v>9</v>
      </c>
      <c r="AP118" s="16">
        <f>IF(OR(V118=regle!$J$11,V118=regle!$K$11),-2,IF(V118=regle!$B$11,0,IF(AP$1=$AK$1,IF($O118,-1,regle!$B$2-$M118),IF(AO118=-1,-1,AO118+1))))</f>
        <v>10</v>
      </c>
      <c r="AQ118" s="16">
        <f>IF(OR(W118=regle!$J$11,W118=regle!$K$11),-2,IF(W118=regle!$B$11,0,IF(AQ$1=$AK$1,IF($O118,-1,regle!$B$2-$M118),IF(AP118=-1,-1,AP118+1))))</f>
        <v>11</v>
      </c>
      <c r="AR118" s="16">
        <f>IF(OR(X118=regle!$J$11,X118=regle!$K$11),-2,IF(X118=regle!$B$11,0,IF(AR$1=$AK$1,IF($O118,-1,regle!$B$2-$M118),IF(AQ118=-1,-1,AQ118+1))))</f>
        <v>12</v>
      </c>
      <c r="AS118" s="16">
        <f>IF(OR(Y118=regle!$J$11,Y118=regle!$K$11),-2,IF(Y118=regle!$B$11,0,IF(AS$1=$AK$1,IF($O118,-1,regle!$B$2-$M118),IF(AR118=-1,-1,AR118+1))))</f>
        <v>13</v>
      </c>
      <c r="AT118" s="16">
        <f>IF(OR(Z118=regle!$J$11,Z118=regle!$K$11),-2,IF(Z118=regle!$B$11,0,IF(AT$1=$AK$1,IF($O118,-1,regle!$B$2-$M118),IF(AS118=-1,-1,AS118+1))))</f>
        <v>14</v>
      </c>
    </row>
    <row r="119" spans="1:46" x14ac:dyDescent="0.25">
      <c r="A119" t="b">
        <f>modif0!A156</f>
        <v>1</v>
      </c>
      <c r="B119">
        <f>ROW(modif0!B156)</f>
        <v>156</v>
      </c>
      <c r="C119" t="str">
        <f>modif0!D156</f>
        <v>202</v>
      </c>
      <c r="D119" t="str">
        <f>modif0!E156</f>
        <v>HOSTENS</v>
      </c>
      <c r="E119">
        <f>modif0!F156</f>
        <v>11</v>
      </c>
      <c r="F119" t="str">
        <f>modif0!G156</f>
        <v>LES CAZALAS</v>
      </c>
      <c r="G119" t="str">
        <f>modif0!I156</f>
        <v>0B</v>
      </c>
      <c r="H119">
        <f>modif0!J156</f>
        <v>1179</v>
      </c>
      <c r="I119" t="str">
        <f>modif0!K156</f>
        <v>k</v>
      </c>
      <c r="J119" s="11">
        <f>modif0!M156</f>
        <v>0.14330000000000001</v>
      </c>
      <c r="K119" s="11" t="str">
        <f>modif0!P156</f>
        <v>PLA</v>
      </c>
      <c r="L119" t="str">
        <f>modif0!N156</f>
        <v>PM</v>
      </c>
      <c r="M119">
        <f>modif0!Q156</f>
        <v>2019</v>
      </c>
      <c r="N119" t="str">
        <f>modif0!R156</f>
        <v>PLA-PM_2019</v>
      </c>
      <c r="O119" t="b">
        <f>modif0!S156</f>
        <v>0</v>
      </c>
      <c r="P119">
        <v>40</v>
      </c>
      <c r="Q119" t="s">
        <v>1870</v>
      </c>
      <c r="S119" t="s">
        <v>1871</v>
      </c>
      <c r="X119" t="s">
        <v>1803</v>
      </c>
      <c r="AA119" s="17">
        <f>IF($A119,$J119*(IF(Q119=regle!$B$11,regle!$B$23*IF(AJ119=-2,1+regle!$B$35,1),
IF(Q119=regle!$C$11,regle!$C$23,
IF(Q119=regle!$D$11,regle!$D$23,
IF(Q119=regle!$E$11,regle!$E$23,
IF(Q119=regle!$F$11,regle!$F$23,
IF(Q119=regle!$G$11,regle!$G$23,
IF(Q119=regle!$H$11,regle!$H$23,
IF(Q119=regle!$I$11,regle!$I$23,
IF(Q119=regle!$J$11,regle!$J$23,
IF(Q119=regle!$K$11,regle!$K$23,0))))))))))))</f>
        <v>-12.897</v>
      </c>
      <c r="AB119" s="17">
        <f>IF($A119,$J119*(IF(R119=regle!$B$11,regle!$B$23*IF(AK119=-2,1+regle!$B$35,1),
IF(R119=regle!$C$11,regle!$C$23,
IF(R119=regle!$D$11,regle!$D$23,
IF(R119=regle!$E$11,regle!$E$23,
IF(R119=regle!$F$11,regle!$F$23,
IF(R119=regle!$G$11,regle!$G$23,
IF(R119=regle!$H$11,regle!$H$23,
IF(R119=regle!$I$11,regle!$I$23,
IF(R119=regle!$J$11,regle!$J$23,
IF(R119=regle!$K$11,regle!$K$23,0))))))))))))</f>
        <v>0</v>
      </c>
      <c r="AC119" s="17">
        <f>IF($A119,$J119*(IF(S119=regle!$B$11,regle!$B$23*IF(AL119=-2,1+regle!$B$35,1),
IF(S119=regle!$C$11,regle!$C$23,
IF(S119=regle!$D$11,regle!$D$23,
IF(S119=regle!$E$11,regle!$E$23,
IF(S119=regle!$F$11,regle!$F$23,
IF(S119=regle!$G$11,regle!$G$23,
IF(S119=regle!$H$11,regle!$H$23,
IF(S119=regle!$I$11,regle!$I$23,
IF(S119=regle!$J$11,regle!$J$23,
IF(S119=regle!$K$11,regle!$K$23,0))))))))))))</f>
        <v>-12.897</v>
      </c>
      <c r="AD119" s="17">
        <f>IF($A119,$J119*(IF(T119=regle!$B$11,regle!$B$23*IF(AM119=-2,1+regle!$B$35,1),
IF(T119=regle!$C$11,regle!$C$23,
IF(T119=regle!$D$11,regle!$D$23,
IF(T119=regle!$E$11,regle!$E$23,
IF(T119=regle!$F$11,regle!$F$23,
IF(T119=regle!$G$11,regle!$G$23,
IF(T119=regle!$H$11,regle!$H$23,
IF(T119=regle!$I$11,regle!$I$23,
IF(T119=regle!$J$11,regle!$J$23,
IF(T119=regle!$K$11,regle!$K$23,0))))))))))))</f>
        <v>0</v>
      </c>
      <c r="AE119" s="17">
        <f>IF($A119,$J119*(IF(U119=regle!$B$11,regle!$B$23*IF(AN119=-2,1+regle!$B$35,1),
IF(U119=regle!$C$11,regle!$C$23,
IF(U119=regle!$D$11,regle!$D$23,
IF(U119=regle!$E$11,regle!$E$23,
IF(U119=regle!$F$11,regle!$F$23,
IF(U119=regle!$G$11,regle!$G$23,
IF(U119=regle!$H$11,regle!$H$23,
IF(U119=regle!$I$11,regle!$I$23,
IF(U119=regle!$J$11,regle!$J$23,
IF(U119=regle!$K$11,regle!$K$23,0))))))))))))</f>
        <v>0</v>
      </c>
      <c r="AF119" s="17">
        <f>IF($A119,$J119*(IF(V119=regle!$B$11,regle!$B$23*IF(AO119=-2,1+regle!$B$35,1),
IF(V119=regle!$C$11,regle!$C$23,
IF(V119=regle!$D$11,regle!$D$23,
IF(V119=regle!$E$11,regle!$E$23,
IF(V119=regle!$F$11,regle!$F$23,
IF(V119=regle!$G$11,regle!$G$23,
IF(V119=regle!$H$11,regle!$H$23,
IF(V119=regle!$I$11,regle!$I$23,
IF(V119=regle!$J$11,regle!$J$23,
IF(V119=regle!$K$11,regle!$K$23,0))))))))))))</f>
        <v>0</v>
      </c>
      <c r="AG119" s="17">
        <f>IF($A119,$J119*(IF(W119=regle!$B$11,regle!$B$23*IF(AP119=-2,1+regle!$B$35,1),
IF(W119=regle!$C$11,regle!$C$23,
IF(W119=regle!$D$11,regle!$D$23,
IF(W119=regle!$E$11,regle!$E$23,
IF(W119=regle!$F$11,regle!$F$23,
IF(W119=regle!$G$11,regle!$G$23,
IF(W119=regle!$H$11,regle!$H$23,
IF(W119=regle!$I$11,regle!$I$23,
IF(W119=regle!$J$11,regle!$J$23,
IF(W119=regle!$K$11,regle!$K$23,0))))))))))))</f>
        <v>0</v>
      </c>
      <c r="AH119" s="17">
        <f>IF($A119,$J119*(IF(X119=regle!$B$11,regle!$B$23*IF(AQ119=-2,1+regle!$B$35,1),
IF(X119=regle!$C$11,regle!$C$23,
IF(X119=regle!$D$11,regle!$D$23,
IF(X119=regle!$E$11,regle!$E$23,
IF(X119=regle!$F$11,regle!$F$23,
IF(X119=regle!$G$11,regle!$G$23,
IF(X119=regle!$H$11,regle!$H$23,
IF(X119=regle!$I$11,regle!$I$23,
IF(X119=regle!$J$11,regle!$J$23,
IF(X119=regle!$K$11,regle!$K$23,0))))))))))))</f>
        <v>82.540800000000004</v>
      </c>
      <c r="AI119" s="17">
        <f>IF($A119,$J119*(IF(Y119=regle!$B$11,regle!$B$23*IF(AR119=-2,1+regle!$B$35,1),
IF(Y119=regle!$C$11,regle!$C$23,
IF(Y119=regle!$D$11,regle!$D$23,
IF(Y119=regle!$E$11,regle!$E$23,
IF(Y119=regle!$F$11,regle!$F$23,
IF(Y119=regle!$G$11,regle!$G$23,
IF(Y119=regle!$H$11,regle!$H$23,
IF(Y119=regle!$I$11,regle!$I$23,
IF(Y119=regle!$J$11,regle!$J$23,
IF(Y119=regle!$K$11,regle!$K$23,0))))))))))))</f>
        <v>0</v>
      </c>
      <c r="AJ119" s="17">
        <f>IF($A119,$J119*(IF(Z119=regle!$B$11,regle!$B$23*IF(AS119=-2,1+regle!$B$35,1),
IF(Z119=regle!$C$11,regle!$C$23,
IF(Z119=regle!$D$11,regle!$D$23,
IF(Z119=regle!$E$11,regle!$E$23,
IF(Z119=regle!$F$11,regle!$F$23,
IF(Z119=regle!$G$11,regle!$G$23,
IF(Z119=regle!$H$11,regle!$H$23,
IF(Z119=regle!$I$11,regle!$I$23,
IF(Z119=regle!$J$11,regle!$J$23,
IF(Z119=regle!$K$11,regle!$K$23,0))))))))))))</f>
        <v>0</v>
      </c>
      <c r="AK119" s="16">
        <f>IF(OR(Q119=regle!$J$11,Q119=regle!$K$11),-2,IF(Q119=regle!$B$11,0,IF(AK$1=$AK$1,IF($O119,-1,regle!$B$2-$M119),IF(AJ119=-1,-1,AJ119+1))))</f>
        <v>5</v>
      </c>
      <c r="AL119" s="16">
        <f>IF(OR(R119=regle!$J$11,R119=regle!$K$11),-2,IF(R119=regle!$B$11,0,IF(AL$1=$AK$1,IF($O119,-1,regle!$B$2-$M119),IF(AK119=-1,-1,AK119+1))))</f>
        <v>6</v>
      </c>
      <c r="AM119" s="16">
        <f>IF(OR(S119=regle!$J$11,S119=regle!$K$11),-2,IF(S119=regle!$B$11,0,IF(AM$1=$AK$1,IF($O119,-1,regle!$B$2-$M119),IF(AL119=-1,-1,AL119+1))))</f>
        <v>7</v>
      </c>
      <c r="AN119" s="16">
        <f>IF(OR(T119=regle!$J$11,T119=regle!$K$11),-2,IF(T119=regle!$B$11,0,IF(AN$1=$AK$1,IF($O119,-1,regle!$B$2-$M119),IF(AM119=-1,-1,AM119+1))))</f>
        <v>8</v>
      </c>
      <c r="AO119" s="16">
        <f>IF(OR(U119=regle!$J$11,U119=regle!$K$11),-2,IF(U119=regle!$B$11,0,IF(AO$1=$AK$1,IF($O119,-1,regle!$B$2-$M119),IF(AN119=-1,-1,AN119+1))))</f>
        <v>9</v>
      </c>
      <c r="AP119" s="16">
        <f>IF(OR(V119=regle!$J$11,V119=regle!$K$11),-2,IF(V119=regle!$B$11,0,IF(AP$1=$AK$1,IF($O119,-1,regle!$B$2-$M119),IF(AO119=-1,-1,AO119+1))))</f>
        <v>10</v>
      </c>
      <c r="AQ119" s="16">
        <f>IF(OR(W119=regle!$J$11,W119=regle!$K$11),-2,IF(W119=regle!$B$11,0,IF(AQ$1=$AK$1,IF($O119,-1,regle!$B$2-$M119),IF(AP119=-1,-1,AP119+1))))</f>
        <v>11</v>
      </c>
      <c r="AR119" s="16">
        <f>IF(OR(X119=regle!$J$11,X119=regle!$K$11),-2,IF(X119=regle!$B$11,0,IF(AR$1=$AK$1,IF($O119,-1,regle!$B$2-$M119),IF(AQ119=-1,-1,AQ119+1))))</f>
        <v>12</v>
      </c>
      <c r="AS119" s="16">
        <f>IF(OR(Y119=regle!$J$11,Y119=regle!$K$11),-2,IF(Y119=regle!$B$11,0,IF(AS$1=$AK$1,IF($O119,-1,regle!$B$2-$M119),IF(AR119=-1,-1,AR119+1))))</f>
        <v>13</v>
      </c>
      <c r="AT119" s="16">
        <f>IF(OR(Z119=regle!$J$11,Z119=regle!$K$11),-2,IF(Z119=regle!$B$11,0,IF(AT$1=$AK$1,IF($O119,-1,regle!$B$2-$M119),IF(AS119=-1,-1,AS119+1))))</f>
        <v>14</v>
      </c>
    </row>
    <row r="120" spans="1:46" x14ac:dyDescent="0.25">
      <c r="A120" t="b">
        <f>modif0!A317</f>
        <v>1</v>
      </c>
      <c r="B120">
        <f>ROW(modif0!B317)</f>
        <v>317</v>
      </c>
      <c r="C120" t="str">
        <f>modif0!D317</f>
        <v>077</v>
      </c>
      <c r="D120" t="str">
        <f>modif0!E317</f>
        <v>CABANAC-ET-VILLAGRAINS</v>
      </c>
      <c r="E120">
        <f>modif0!F317</f>
        <v>12</v>
      </c>
      <c r="F120" t="str">
        <f>modif0!G317</f>
        <v>LES JEANNOTS</v>
      </c>
      <c r="G120" t="str">
        <f>modif0!I317</f>
        <v>0D</v>
      </c>
      <c r="H120">
        <f>modif0!J317</f>
        <v>1436</v>
      </c>
      <c r="I120" t="str">
        <f>modif0!K317</f>
        <v/>
      </c>
      <c r="J120" s="11">
        <f>modif0!M317</f>
        <v>0.1336</v>
      </c>
      <c r="K120" s="11" t="str">
        <f>modif0!P317</f>
        <v>PLA</v>
      </c>
      <c r="L120" t="str">
        <f>modif0!N317</f>
        <v>PM</v>
      </c>
      <c r="M120">
        <f>modif0!Q317</f>
        <v>2019</v>
      </c>
      <c r="N120" t="str">
        <f>modif0!R317</f>
        <v>PLA-PM_2019</v>
      </c>
      <c r="O120" t="b">
        <f>modif0!S317</f>
        <v>0</v>
      </c>
      <c r="P120">
        <v>40</v>
      </c>
      <c r="Q120" t="s">
        <v>1870</v>
      </c>
      <c r="S120" t="s">
        <v>1871</v>
      </c>
      <c r="X120" t="s">
        <v>1803</v>
      </c>
      <c r="AA120" s="17">
        <f>IF($A120,$J120*(IF(Q120=regle!$B$11,regle!$B$23*IF(AJ120=-2,1+regle!$B$35,1),
IF(Q120=regle!$C$11,regle!$C$23,
IF(Q120=regle!$D$11,regle!$D$23,
IF(Q120=regle!$E$11,regle!$E$23,
IF(Q120=regle!$F$11,regle!$F$23,
IF(Q120=regle!$G$11,regle!$G$23,
IF(Q120=regle!$H$11,regle!$H$23,
IF(Q120=regle!$I$11,regle!$I$23,
IF(Q120=regle!$J$11,regle!$J$23,
IF(Q120=regle!$K$11,regle!$K$23,0))))))))))))</f>
        <v>-12.023999999999999</v>
      </c>
      <c r="AB120" s="17">
        <f>IF($A120,$J120*(IF(R120=regle!$B$11,regle!$B$23*IF(AK120=-2,1+regle!$B$35,1),
IF(R120=regle!$C$11,regle!$C$23,
IF(R120=regle!$D$11,regle!$D$23,
IF(R120=regle!$E$11,regle!$E$23,
IF(R120=regle!$F$11,regle!$F$23,
IF(R120=regle!$G$11,regle!$G$23,
IF(R120=regle!$H$11,regle!$H$23,
IF(R120=regle!$I$11,regle!$I$23,
IF(R120=regle!$J$11,regle!$J$23,
IF(R120=regle!$K$11,regle!$K$23,0))))))))))))</f>
        <v>0</v>
      </c>
      <c r="AC120" s="17">
        <f>IF($A120,$J120*(IF(S120=regle!$B$11,regle!$B$23*IF(AL120=-2,1+regle!$B$35,1),
IF(S120=regle!$C$11,regle!$C$23,
IF(S120=regle!$D$11,regle!$D$23,
IF(S120=regle!$E$11,regle!$E$23,
IF(S120=regle!$F$11,regle!$F$23,
IF(S120=regle!$G$11,regle!$G$23,
IF(S120=regle!$H$11,regle!$H$23,
IF(S120=regle!$I$11,regle!$I$23,
IF(S120=regle!$J$11,regle!$J$23,
IF(S120=regle!$K$11,regle!$K$23,0))))))))))))</f>
        <v>-12.023999999999999</v>
      </c>
      <c r="AD120" s="17">
        <f>IF($A120,$J120*(IF(T120=regle!$B$11,regle!$B$23*IF(AM120=-2,1+regle!$B$35,1),
IF(T120=regle!$C$11,regle!$C$23,
IF(T120=regle!$D$11,regle!$D$23,
IF(T120=regle!$E$11,regle!$E$23,
IF(T120=regle!$F$11,regle!$F$23,
IF(T120=regle!$G$11,regle!$G$23,
IF(T120=regle!$H$11,regle!$H$23,
IF(T120=regle!$I$11,regle!$I$23,
IF(T120=regle!$J$11,regle!$J$23,
IF(T120=regle!$K$11,regle!$K$23,0))))))))))))</f>
        <v>0</v>
      </c>
      <c r="AE120" s="17">
        <f>IF($A120,$J120*(IF(U120=regle!$B$11,regle!$B$23*IF(AN120=-2,1+regle!$B$35,1),
IF(U120=regle!$C$11,regle!$C$23,
IF(U120=regle!$D$11,regle!$D$23,
IF(U120=regle!$E$11,regle!$E$23,
IF(U120=regle!$F$11,regle!$F$23,
IF(U120=regle!$G$11,regle!$G$23,
IF(U120=regle!$H$11,regle!$H$23,
IF(U120=regle!$I$11,regle!$I$23,
IF(U120=regle!$J$11,regle!$J$23,
IF(U120=regle!$K$11,regle!$K$23,0))))))))))))</f>
        <v>0</v>
      </c>
      <c r="AF120" s="17">
        <f>IF($A120,$J120*(IF(V120=regle!$B$11,regle!$B$23*IF(AO120=-2,1+regle!$B$35,1),
IF(V120=regle!$C$11,regle!$C$23,
IF(V120=regle!$D$11,regle!$D$23,
IF(V120=regle!$E$11,regle!$E$23,
IF(V120=regle!$F$11,regle!$F$23,
IF(V120=regle!$G$11,regle!$G$23,
IF(V120=regle!$H$11,regle!$H$23,
IF(V120=regle!$I$11,regle!$I$23,
IF(V120=regle!$J$11,regle!$J$23,
IF(V120=regle!$K$11,regle!$K$23,0))))))))))))</f>
        <v>0</v>
      </c>
      <c r="AG120" s="17">
        <f>IF($A120,$J120*(IF(W120=regle!$B$11,regle!$B$23*IF(AP120=-2,1+regle!$B$35,1),
IF(W120=regle!$C$11,regle!$C$23,
IF(W120=regle!$D$11,regle!$D$23,
IF(W120=regle!$E$11,regle!$E$23,
IF(W120=regle!$F$11,regle!$F$23,
IF(W120=regle!$G$11,regle!$G$23,
IF(W120=regle!$H$11,regle!$H$23,
IF(W120=regle!$I$11,regle!$I$23,
IF(W120=regle!$J$11,regle!$J$23,
IF(W120=regle!$K$11,regle!$K$23,0))))))))))))</f>
        <v>0</v>
      </c>
      <c r="AH120" s="17">
        <f>IF($A120,$J120*(IF(X120=regle!$B$11,regle!$B$23*IF(AQ120=-2,1+regle!$B$35,1),
IF(X120=regle!$C$11,regle!$C$23,
IF(X120=regle!$D$11,regle!$D$23,
IF(X120=regle!$E$11,regle!$E$23,
IF(X120=regle!$F$11,regle!$F$23,
IF(X120=regle!$G$11,regle!$G$23,
IF(X120=regle!$H$11,regle!$H$23,
IF(X120=regle!$I$11,regle!$I$23,
IF(X120=regle!$J$11,regle!$J$23,
IF(X120=regle!$K$11,regle!$K$23,0))))))))))))</f>
        <v>76.953599999999994</v>
      </c>
      <c r="AI120" s="17">
        <f>IF($A120,$J120*(IF(Y120=regle!$B$11,regle!$B$23*IF(AR120=-2,1+regle!$B$35,1),
IF(Y120=regle!$C$11,regle!$C$23,
IF(Y120=regle!$D$11,regle!$D$23,
IF(Y120=regle!$E$11,regle!$E$23,
IF(Y120=regle!$F$11,regle!$F$23,
IF(Y120=regle!$G$11,regle!$G$23,
IF(Y120=regle!$H$11,regle!$H$23,
IF(Y120=regle!$I$11,regle!$I$23,
IF(Y120=regle!$J$11,regle!$J$23,
IF(Y120=regle!$K$11,regle!$K$23,0))))))))))))</f>
        <v>0</v>
      </c>
      <c r="AJ120" s="17">
        <f>IF($A120,$J120*(IF(Z120=regle!$B$11,regle!$B$23*IF(AS120=-2,1+regle!$B$35,1),
IF(Z120=regle!$C$11,regle!$C$23,
IF(Z120=regle!$D$11,regle!$D$23,
IF(Z120=regle!$E$11,regle!$E$23,
IF(Z120=regle!$F$11,regle!$F$23,
IF(Z120=regle!$G$11,regle!$G$23,
IF(Z120=regle!$H$11,regle!$H$23,
IF(Z120=regle!$I$11,regle!$I$23,
IF(Z120=regle!$J$11,regle!$J$23,
IF(Z120=regle!$K$11,regle!$K$23,0))))))))))))</f>
        <v>0</v>
      </c>
      <c r="AK120" s="16">
        <f>IF(OR(Q120=regle!$J$11,Q120=regle!$K$11),-2,IF(Q120=regle!$B$11,0,IF(AK$1=$AK$1,IF($O120,-1,regle!$B$2-$M120),IF(AJ120=-1,-1,AJ120+1))))</f>
        <v>5</v>
      </c>
      <c r="AL120" s="16">
        <f>IF(OR(R120=regle!$J$11,R120=regle!$K$11),-2,IF(R120=regle!$B$11,0,IF(AL$1=$AK$1,IF($O120,-1,regle!$B$2-$M120),IF(AK120=-1,-1,AK120+1))))</f>
        <v>6</v>
      </c>
      <c r="AM120" s="16">
        <f>IF(OR(S120=regle!$J$11,S120=regle!$K$11),-2,IF(S120=regle!$B$11,0,IF(AM$1=$AK$1,IF($O120,-1,regle!$B$2-$M120),IF(AL120=-1,-1,AL120+1))))</f>
        <v>7</v>
      </c>
      <c r="AN120" s="16">
        <f>IF(OR(T120=regle!$J$11,T120=regle!$K$11),-2,IF(T120=regle!$B$11,0,IF(AN$1=$AK$1,IF($O120,-1,regle!$B$2-$M120),IF(AM120=-1,-1,AM120+1))))</f>
        <v>8</v>
      </c>
      <c r="AO120" s="16">
        <f>IF(OR(U120=regle!$J$11,U120=regle!$K$11),-2,IF(U120=regle!$B$11,0,IF(AO$1=$AK$1,IF($O120,-1,regle!$B$2-$M120),IF(AN120=-1,-1,AN120+1))))</f>
        <v>9</v>
      </c>
      <c r="AP120" s="16">
        <f>IF(OR(V120=regle!$J$11,V120=regle!$K$11),-2,IF(V120=regle!$B$11,0,IF(AP$1=$AK$1,IF($O120,-1,regle!$B$2-$M120),IF(AO120=-1,-1,AO120+1))))</f>
        <v>10</v>
      </c>
      <c r="AQ120" s="16">
        <f>IF(OR(W120=regle!$J$11,W120=regle!$K$11),-2,IF(W120=regle!$B$11,0,IF(AQ$1=$AK$1,IF($O120,-1,regle!$B$2-$M120),IF(AP120=-1,-1,AP120+1))))</f>
        <v>11</v>
      </c>
      <c r="AR120" s="16">
        <f>IF(OR(X120=regle!$J$11,X120=regle!$K$11),-2,IF(X120=regle!$B$11,0,IF(AR$1=$AK$1,IF($O120,-1,regle!$B$2-$M120),IF(AQ120=-1,-1,AQ120+1))))</f>
        <v>12</v>
      </c>
      <c r="AS120" s="16">
        <f>IF(OR(Y120=regle!$J$11,Y120=regle!$K$11),-2,IF(Y120=regle!$B$11,0,IF(AS$1=$AK$1,IF($O120,-1,regle!$B$2-$M120),IF(AR120=-1,-1,AR120+1))))</f>
        <v>13</v>
      </c>
      <c r="AT120" s="16">
        <f>IF(OR(Z120=regle!$J$11,Z120=regle!$K$11),-2,IF(Z120=regle!$B$11,0,IF(AT$1=$AK$1,IF($O120,-1,regle!$B$2-$M120),IF(AS120=-1,-1,AS120+1))))</f>
        <v>14</v>
      </c>
    </row>
    <row r="121" spans="1:46" x14ac:dyDescent="0.25">
      <c r="A121" t="b">
        <f>modif0!A125</f>
        <v>1</v>
      </c>
      <c r="B121">
        <f>ROW(modif0!B125)</f>
        <v>125</v>
      </c>
      <c r="C121" t="str">
        <f>modif0!D125</f>
        <v>202</v>
      </c>
      <c r="D121" t="str">
        <f>modif0!E125</f>
        <v>HOSTENS</v>
      </c>
      <c r="E121">
        <f>modif0!F125</f>
        <v>11</v>
      </c>
      <c r="F121" t="str">
        <f>modif0!G125</f>
        <v>LES CAZALAS</v>
      </c>
      <c r="G121" t="str">
        <f>modif0!I125</f>
        <v>0B</v>
      </c>
      <c r="H121">
        <f>modif0!J125</f>
        <v>1152</v>
      </c>
      <c r="I121" t="str">
        <f>modif0!K125</f>
        <v>l</v>
      </c>
      <c r="J121" s="11">
        <f>modif0!M125</f>
        <v>5.8299999999999998E-2</v>
      </c>
      <c r="K121" s="11" t="str">
        <f>modif0!P125</f>
        <v>PLA</v>
      </c>
      <c r="L121" t="str">
        <f>modif0!N125</f>
        <v>PM</v>
      </c>
      <c r="M121">
        <f>modif0!Q125</f>
        <v>2019</v>
      </c>
      <c r="N121" t="str">
        <f>modif0!R125</f>
        <v>PLA-PM_2019</v>
      </c>
      <c r="O121" t="b">
        <f>modif0!S125</f>
        <v>0</v>
      </c>
      <c r="P121">
        <v>40</v>
      </c>
      <c r="Q121" t="s">
        <v>1870</v>
      </c>
      <c r="S121" t="s">
        <v>1871</v>
      </c>
      <c r="X121" t="s">
        <v>1803</v>
      </c>
      <c r="AA121" s="17">
        <f>IF($A121,$J121*(IF(Q121=regle!$B$11,regle!$B$23*IF(AJ121=-2,1+regle!$B$35,1),
IF(Q121=regle!$C$11,regle!$C$23,
IF(Q121=regle!$D$11,regle!$D$23,
IF(Q121=regle!$E$11,regle!$E$23,
IF(Q121=regle!$F$11,regle!$F$23,
IF(Q121=regle!$G$11,regle!$G$23,
IF(Q121=regle!$H$11,regle!$H$23,
IF(Q121=regle!$I$11,regle!$I$23,
IF(Q121=regle!$J$11,regle!$J$23,
IF(Q121=regle!$K$11,regle!$K$23,0))))))))))))</f>
        <v>-5.2469999999999999</v>
      </c>
      <c r="AB121" s="17">
        <f>IF($A121,$J121*(IF(R121=regle!$B$11,regle!$B$23*IF(AK121=-2,1+regle!$B$35,1),
IF(R121=regle!$C$11,regle!$C$23,
IF(R121=regle!$D$11,regle!$D$23,
IF(R121=regle!$E$11,regle!$E$23,
IF(R121=regle!$F$11,regle!$F$23,
IF(R121=regle!$G$11,regle!$G$23,
IF(R121=regle!$H$11,regle!$H$23,
IF(R121=regle!$I$11,regle!$I$23,
IF(R121=regle!$J$11,regle!$J$23,
IF(R121=regle!$K$11,regle!$K$23,0))))))))))))</f>
        <v>0</v>
      </c>
      <c r="AC121" s="17">
        <f>IF($A121,$J121*(IF(S121=regle!$B$11,regle!$B$23*IF(AL121=-2,1+regle!$B$35,1),
IF(S121=regle!$C$11,regle!$C$23,
IF(S121=regle!$D$11,regle!$D$23,
IF(S121=regle!$E$11,regle!$E$23,
IF(S121=regle!$F$11,regle!$F$23,
IF(S121=regle!$G$11,regle!$G$23,
IF(S121=regle!$H$11,regle!$H$23,
IF(S121=regle!$I$11,regle!$I$23,
IF(S121=regle!$J$11,regle!$J$23,
IF(S121=regle!$K$11,regle!$K$23,0))))))))))))</f>
        <v>-5.2469999999999999</v>
      </c>
      <c r="AD121" s="17">
        <f>IF($A121,$J121*(IF(T121=regle!$B$11,regle!$B$23*IF(AM121=-2,1+regle!$B$35,1),
IF(T121=regle!$C$11,regle!$C$23,
IF(T121=regle!$D$11,regle!$D$23,
IF(T121=regle!$E$11,regle!$E$23,
IF(T121=regle!$F$11,regle!$F$23,
IF(T121=regle!$G$11,regle!$G$23,
IF(T121=regle!$H$11,regle!$H$23,
IF(T121=regle!$I$11,regle!$I$23,
IF(T121=regle!$J$11,regle!$J$23,
IF(T121=regle!$K$11,regle!$K$23,0))))))))))))</f>
        <v>0</v>
      </c>
      <c r="AE121" s="17">
        <f>IF($A121,$J121*(IF(U121=regle!$B$11,regle!$B$23*IF(AN121=-2,1+regle!$B$35,1),
IF(U121=regle!$C$11,regle!$C$23,
IF(U121=regle!$D$11,regle!$D$23,
IF(U121=regle!$E$11,regle!$E$23,
IF(U121=regle!$F$11,regle!$F$23,
IF(U121=regle!$G$11,regle!$G$23,
IF(U121=regle!$H$11,regle!$H$23,
IF(U121=regle!$I$11,regle!$I$23,
IF(U121=regle!$J$11,regle!$J$23,
IF(U121=regle!$K$11,regle!$K$23,0))))))))))))</f>
        <v>0</v>
      </c>
      <c r="AF121" s="17">
        <f>IF($A121,$J121*(IF(V121=regle!$B$11,regle!$B$23*IF(AO121=-2,1+regle!$B$35,1),
IF(V121=regle!$C$11,regle!$C$23,
IF(V121=regle!$D$11,regle!$D$23,
IF(V121=regle!$E$11,regle!$E$23,
IF(V121=regle!$F$11,regle!$F$23,
IF(V121=regle!$G$11,regle!$G$23,
IF(V121=regle!$H$11,regle!$H$23,
IF(V121=regle!$I$11,regle!$I$23,
IF(V121=regle!$J$11,regle!$J$23,
IF(V121=regle!$K$11,regle!$K$23,0))))))))))))</f>
        <v>0</v>
      </c>
      <c r="AG121" s="17">
        <f>IF($A121,$J121*(IF(W121=regle!$B$11,regle!$B$23*IF(AP121=-2,1+regle!$B$35,1),
IF(W121=regle!$C$11,regle!$C$23,
IF(W121=regle!$D$11,regle!$D$23,
IF(W121=regle!$E$11,regle!$E$23,
IF(W121=regle!$F$11,regle!$F$23,
IF(W121=regle!$G$11,regle!$G$23,
IF(W121=regle!$H$11,regle!$H$23,
IF(W121=regle!$I$11,regle!$I$23,
IF(W121=regle!$J$11,regle!$J$23,
IF(W121=regle!$K$11,regle!$K$23,0))))))))))))</f>
        <v>0</v>
      </c>
      <c r="AH121" s="17">
        <f>IF($A121,$J121*(IF(X121=regle!$B$11,regle!$B$23*IF(AQ121=-2,1+regle!$B$35,1),
IF(X121=regle!$C$11,regle!$C$23,
IF(X121=regle!$D$11,regle!$D$23,
IF(X121=regle!$E$11,regle!$E$23,
IF(X121=regle!$F$11,regle!$F$23,
IF(X121=regle!$G$11,regle!$G$23,
IF(X121=regle!$H$11,regle!$H$23,
IF(X121=regle!$I$11,regle!$I$23,
IF(X121=regle!$J$11,regle!$J$23,
IF(X121=regle!$K$11,regle!$K$23,0))))))))))))</f>
        <v>33.580799999999996</v>
      </c>
      <c r="AI121" s="17">
        <f>IF($A121,$J121*(IF(Y121=regle!$B$11,regle!$B$23*IF(AR121=-2,1+regle!$B$35,1),
IF(Y121=regle!$C$11,regle!$C$23,
IF(Y121=regle!$D$11,regle!$D$23,
IF(Y121=regle!$E$11,regle!$E$23,
IF(Y121=regle!$F$11,regle!$F$23,
IF(Y121=regle!$G$11,regle!$G$23,
IF(Y121=regle!$H$11,regle!$H$23,
IF(Y121=regle!$I$11,regle!$I$23,
IF(Y121=regle!$J$11,regle!$J$23,
IF(Y121=regle!$K$11,regle!$K$23,0))))))))))))</f>
        <v>0</v>
      </c>
      <c r="AJ121" s="17">
        <f>IF($A121,$J121*(IF(Z121=regle!$B$11,regle!$B$23*IF(AS121=-2,1+regle!$B$35,1),
IF(Z121=regle!$C$11,regle!$C$23,
IF(Z121=regle!$D$11,regle!$D$23,
IF(Z121=regle!$E$11,regle!$E$23,
IF(Z121=regle!$F$11,regle!$F$23,
IF(Z121=regle!$G$11,regle!$G$23,
IF(Z121=regle!$H$11,regle!$H$23,
IF(Z121=regle!$I$11,regle!$I$23,
IF(Z121=regle!$J$11,regle!$J$23,
IF(Z121=regle!$K$11,regle!$K$23,0))))))))))))</f>
        <v>0</v>
      </c>
      <c r="AK121" s="16">
        <f>IF(OR(Q121=regle!$J$11,Q121=regle!$K$11),-2,IF(Q121=regle!$B$11,0,IF(AK$1=$AK$1,IF($O121,-1,regle!$B$2-$M121),IF(AJ121=-1,-1,AJ121+1))))</f>
        <v>5</v>
      </c>
      <c r="AL121" s="16">
        <f>IF(OR(R121=regle!$J$11,R121=regle!$K$11),-2,IF(R121=regle!$B$11,0,IF(AL$1=$AK$1,IF($O121,-1,regle!$B$2-$M121),IF(AK121=-1,-1,AK121+1))))</f>
        <v>6</v>
      </c>
      <c r="AM121" s="16">
        <f>IF(OR(S121=regle!$J$11,S121=regle!$K$11),-2,IF(S121=regle!$B$11,0,IF(AM$1=$AK$1,IF($O121,-1,regle!$B$2-$M121),IF(AL121=-1,-1,AL121+1))))</f>
        <v>7</v>
      </c>
      <c r="AN121" s="16">
        <f>IF(OR(T121=regle!$J$11,T121=regle!$K$11),-2,IF(T121=regle!$B$11,0,IF(AN$1=$AK$1,IF($O121,-1,regle!$B$2-$M121),IF(AM121=-1,-1,AM121+1))))</f>
        <v>8</v>
      </c>
      <c r="AO121" s="16">
        <f>IF(OR(U121=regle!$J$11,U121=regle!$K$11),-2,IF(U121=regle!$B$11,0,IF(AO$1=$AK$1,IF($O121,-1,regle!$B$2-$M121),IF(AN121=-1,-1,AN121+1))))</f>
        <v>9</v>
      </c>
      <c r="AP121" s="16">
        <f>IF(OR(V121=regle!$J$11,V121=regle!$K$11),-2,IF(V121=regle!$B$11,0,IF(AP$1=$AK$1,IF($O121,-1,regle!$B$2-$M121),IF(AO121=-1,-1,AO121+1))))</f>
        <v>10</v>
      </c>
      <c r="AQ121" s="16">
        <f>IF(OR(W121=regle!$J$11,W121=regle!$K$11),-2,IF(W121=regle!$B$11,0,IF(AQ$1=$AK$1,IF($O121,-1,regle!$B$2-$M121),IF(AP121=-1,-1,AP121+1))))</f>
        <v>11</v>
      </c>
      <c r="AR121" s="16">
        <f>IF(OR(X121=regle!$J$11,X121=regle!$K$11),-2,IF(X121=regle!$B$11,0,IF(AR$1=$AK$1,IF($O121,-1,regle!$B$2-$M121),IF(AQ121=-1,-1,AQ121+1))))</f>
        <v>12</v>
      </c>
      <c r="AS121" s="16">
        <f>IF(OR(Y121=regle!$J$11,Y121=regle!$K$11),-2,IF(Y121=regle!$B$11,0,IF(AS$1=$AK$1,IF($O121,-1,regle!$B$2-$M121),IF(AR121=-1,-1,AR121+1))))</f>
        <v>13</v>
      </c>
      <c r="AT121" s="16">
        <f>IF(OR(Z121=regle!$J$11,Z121=regle!$K$11),-2,IF(Z121=regle!$B$11,0,IF(AT$1=$AK$1,IF($O121,-1,regle!$B$2-$M121),IF(AS121=-1,-1,AS121+1))))</f>
        <v>14</v>
      </c>
    </row>
    <row r="122" spans="1:46" x14ac:dyDescent="0.25">
      <c r="A122" t="b">
        <f>modif0!A104</f>
        <v>1</v>
      </c>
      <c r="B122">
        <f>ROW(modif0!B104)</f>
        <v>104</v>
      </c>
      <c r="C122" t="str">
        <f>modif0!D104</f>
        <v>202</v>
      </c>
      <c r="D122" t="str">
        <f>modif0!E104</f>
        <v>HOSTENS</v>
      </c>
      <c r="E122">
        <f>modif0!F104</f>
        <v>11</v>
      </c>
      <c r="F122" t="str">
        <f>modif0!G104</f>
        <v>LES CAZALAS</v>
      </c>
      <c r="G122" t="str">
        <f>modif0!I104</f>
        <v>0B</v>
      </c>
      <c r="H122">
        <f>modif0!J104</f>
        <v>1139</v>
      </c>
      <c r="I122" t="str">
        <f>modif0!K104</f>
        <v/>
      </c>
      <c r="J122" s="11">
        <f>modif0!M104</f>
        <v>7.6909000000000001</v>
      </c>
      <c r="K122" s="11" t="str">
        <f>modif0!P104</f>
        <v>PLA</v>
      </c>
      <c r="L122" t="str">
        <f>modif0!N104</f>
        <v>PM</v>
      </c>
      <c r="M122">
        <f>modif0!Q104</f>
        <v>2018</v>
      </c>
      <c r="N122" t="str">
        <f>modif0!R104</f>
        <v>PLA-PM_2018</v>
      </c>
      <c r="O122" t="b">
        <f>modif0!S104</f>
        <v>0</v>
      </c>
      <c r="P122">
        <v>40</v>
      </c>
      <c r="R122" t="s">
        <v>1871</v>
      </c>
      <c r="W122" t="s">
        <v>1803</v>
      </c>
      <c r="AA122" s="17">
        <f>IF($A122,$J122*(IF(Q122=regle!$B$11,regle!$B$23*IF(AJ122=-2,1+regle!$B$35,1),
IF(Q122=regle!$C$11,regle!$C$23,
IF(Q122=regle!$D$11,regle!$D$23,
IF(Q122=regle!$E$11,regle!$E$23,
IF(Q122=regle!$F$11,regle!$F$23,
IF(Q122=regle!$G$11,regle!$G$23,
IF(Q122=regle!$H$11,regle!$H$23,
IF(Q122=regle!$I$11,regle!$I$23,
IF(Q122=regle!$J$11,regle!$J$23,
IF(Q122=regle!$K$11,regle!$K$23,0))))))))))))</f>
        <v>0</v>
      </c>
      <c r="AB122" s="17">
        <f>IF($A122,$J122*(IF(R122=regle!$B$11,regle!$B$23*IF(AK122=-2,1+regle!$B$35,1),
IF(R122=regle!$C$11,regle!$C$23,
IF(R122=regle!$D$11,regle!$D$23,
IF(R122=regle!$E$11,regle!$E$23,
IF(R122=regle!$F$11,regle!$F$23,
IF(R122=regle!$G$11,regle!$G$23,
IF(R122=regle!$H$11,regle!$H$23,
IF(R122=regle!$I$11,regle!$I$23,
IF(R122=regle!$J$11,regle!$J$23,
IF(R122=regle!$K$11,regle!$K$23,0))))))))))))</f>
        <v>-692.18100000000004</v>
      </c>
      <c r="AC122" s="17">
        <f>IF($A122,$J122*(IF(S122=regle!$B$11,regle!$B$23*IF(AL122=-2,1+regle!$B$35,1),
IF(S122=regle!$C$11,regle!$C$23,
IF(S122=regle!$D$11,regle!$D$23,
IF(S122=regle!$E$11,regle!$E$23,
IF(S122=regle!$F$11,regle!$F$23,
IF(S122=regle!$G$11,regle!$G$23,
IF(S122=regle!$H$11,regle!$H$23,
IF(S122=regle!$I$11,regle!$I$23,
IF(S122=regle!$J$11,regle!$J$23,
IF(S122=regle!$K$11,regle!$K$23,0))))))))))))</f>
        <v>0</v>
      </c>
      <c r="AD122" s="17">
        <f>IF($A122,$J122*(IF(T122=regle!$B$11,regle!$B$23*IF(AM122=-2,1+regle!$B$35,1),
IF(T122=regle!$C$11,regle!$C$23,
IF(T122=regle!$D$11,regle!$D$23,
IF(T122=regle!$E$11,regle!$E$23,
IF(T122=regle!$F$11,regle!$F$23,
IF(T122=regle!$G$11,regle!$G$23,
IF(T122=regle!$H$11,regle!$H$23,
IF(T122=regle!$I$11,regle!$I$23,
IF(T122=regle!$J$11,regle!$J$23,
IF(T122=regle!$K$11,regle!$K$23,0))))))))))))</f>
        <v>0</v>
      </c>
      <c r="AE122" s="17">
        <f>IF($A122,$J122*(IF(U122=regle!$B$11,regle!$B$23*IF(AN122=-2,1+regle!$B$35,1),
IF(U122=regle!$C$11,regle!$C$23,
IF(U122=regle!$D$11,regle!$D$23,
IF(U122=regle!$E$11,regle!$E$23,
IF(U122=regle!$F$11,regle!$F$23,
IF(U122=regle!$G$11,regle!$G$23,
IF(U122=regle!$H$11,regle!$H$23,
IF(U122=regle!$I$11,regle!$I$23,
IF(U122=regle!$J$11,regle!$J$23,
IF(U122=regle!$K$11,regle!$K$23,0))))))))))))</f>
        <v>0</v>
      </c>
      <c r="AF122" s="17">
        <f>IF($A122,$J122*(IF(V122=regle!$B$11,regle!$B$23*IF(AO122=-2,1+regle!$B$35,1),
IF(V122=regle!$C$11,regle!$C$23,
IF(V122=regle!$D$11,regle!$D$23,
IF(V122=regle!$E$11,regle!$E$23,
IF(V122=regle!$F$11,regle!$F$23,
IF(V122=regle!$G$11,regle!$G$23,
IF(V122=regle!$H$11,regle!$H$23,
IF(V122=regle!$I$11,regle!$I$23,
IF(V122=regle!$J$11,regle!$J$23,
IF(V122=regle!$K$11,regle!$K$23,0))))))))))))</f>
        <v>0</v>
      </c>
      <c r="AG122" s="17">
        <f>IF($A122,$J122*(IF(W122=regle!$B$11,regle!$B$23*IF(AP122=-2,1+regle!$B$35,1),
IF(W122=regle!$C$11,regle!$C$23,
IF(W122=regle!$D$11,regle!$D$23,
IF(W122=regle!$E$11,regle!$E$23,
IF(W122=regle!$F$11,regle!$F$23,
IF(W122=regle!$G$11,regle!$G$23,
IF(W122=regle!$H$11,regle!$H$23,
IF(W122=regle!$I$11,regle!$I$23,
IF(W122=regle!$J$11,regle!$J$23,
IF(W122=regle!$K$11,regle!$K$23,0))))))))))))</f>
        <v>4429.9584000000004</v>
      </c>
      <c r="AH122" s="17">
        <f>IF($A122,$J122*(IF(X122=regle!$B$11,regle!$B$23*IF(AQ122=-2,1+regle!$B$35,1),
IF(X122=regle!$C$11,regle!$C$23,
IF(X122=regle!$D$11,regle!$D$23,
IF(X122=regle!$E$11,regle!$E$23,
IF(X122=regle!$F$11,regle!$F$23,
IF(X122=regle!$G$11,regle!$G$23,
IF(X122=regle!$H$11,regle!$H$23,
IF(X122=regle!$I$11,regle!$I$23,
IF(X122=regle!$J$11,regle!$J$23,
IF(X122=regle!$K$11,regle!$K$23,0))))))))))))</f>
        <v>0</v>
      </c>
      <c r="AI122" s="17">
        <f>IF($A122,$J122*(IF(Y122=regle!$B$11,regle!$B$23*IF(AR122=-2,1+regle!$B$35,1),
IF(Y122=regle!$C$11,regle!$C$23,
IF(Y122=regle!$D$11,regle!$D$23,
IF(Y122=regle!$E$11,regle!$E$23,
IF(Y122=regle!$F$11,regle!$F$23,
IF(Y122=regle!$G$11,regle!$G$23,
IF(Y122=regle!$H$11,regle!$H$23,
IF(Y122=regle!$I$11,regle!$I$23,
IF(Y122=regle!$J$11,regle!$J$23,
IF(Y122=regle!$K$11,regle!$K$23,0))))))))))))</f>
        <v>0</v>
      </c>
      <c r="AJ122" s="17">
        <f>IF($A122,$J122*(IF(Z122=regle!$B$11,regle!$B$23*IF(AS122=-2,1+regle!$B$35,1),
IF(Z122=regle!$C$11,regle!$C$23,
IF(Z122=regle!$D$11,regle!$D$23,
IF(Z122=regle!$E$11,regle!$E$23,
IF(Z122=regle!$F$11,regle!$F$23,
IF(Z122=regle!$G$11,regle!$G$23,
IF(Z122=regle!$H$11,regle!$H$23,
IF(Z122=regle!$I$11,regle!$I$23,
IF(Z122=regle!$J$11,regle!$J$23,
IF(Z122=regle!$K$11,regle!$K$23,0))))))))))))</f>
        <v>0</v>
      </c>
      <c r="AK122" s="16">
        <f>IF(OR(Q122=regle!$J$11,Q122=regle!$K$11),-2,IF(Q122=regle!$B$11,0,IF(AK$1=$AK$1,IF($O122,-1,regle!$B$2-$M122),IF(AJ122=-1,-1,AJ122+1))))</f>
        <v>6</v>
      </c>
      <c r="AL122" s="16">
        <f>IF(OR(R122=regle!$J$11,R122=regle!$K$11),-2,IF(R122=regle!$B$11,0,IF(AL$1=$AK$1,IF($O122,-1,regle!$B$2-$M122),IF(AK122=-1,-1,AK122+1))))</f>
        <v>7</v>
      </c>
      <c r="AM122" s="16">
        <f>IF(OR(S122=regle!$J$11,S122=regle!$K$11),-2,IF(S122=regle!$B$11,0,IF(AM$1=$AK$1,IF($O122,-1,regle!$B$2-$M122),IF(AL122=-1,-1,AL122+1))))</f>
        <v>8</v>
      </c>
      <c r="AN122" s="16">
        <f>IF(OR(T122=regle!$J$11,T122=regle!$K$11),-2,IF(T122=regle!$B$11,0,IF(AN$1=$AK$1,IF($O122,-1,regle!$B$2-$M122),IF(AM122=-1,-1,AM122+1))))</f>
        <v>9</v>
      </c>
      <c r="AO122" s="16">
        <f>IF(OR(U122=regle!$J$11,U122=regle!$K$11),-2,IF(U122=regle!$B$11,0,IF(AO$1=$AK$1,IF($O122,-1,regle!$B$2-$M122),IF(AN122=-1,-1,AN122+1))))</f>
        <v>10</v>
      </c>
      <c r="AP122" s="16">
        <f>IF(OR(V122=regle!$J$11,V122=regle!$K$11),-2,IF(V122=regle!$B$11,0,IF(AP$1=$AK$1,IF($O122,-1,regle!$B$2-$M122),IF(AO122=-1,-1,AO122+1))))</f>
        <v>11</v>
      </c>
      <c r="AQ122" s="16">
        <f>IF(OR(W122=regle!$J$11,W122=regle!$K$11),-2,IF(W122=regle!$B$11,0,IF(AQ$1=$AK$1,IF($O122,-1,regle!$B$2-$M122),IF(AP122=-1,-1,AP122+1))))</f>
        <v>12</v>
      </c>
      <c r="AR122" s="16">
        <f>IF(OR(X122=regle!$J$11,X122=regle!$K$11),-2,IF(X122=regle!$B$11,0,IF(AR$1=$AK$1,IF($O122,-1,regle!$B$2-$M122),IF(AQ122=-1,-1,AQ122+1))))</f>
        <v>13</v>
      </c>
      <c r="AS122" s="16">
        <f>IF(OR(Y122=regle!$J$11,Y122=regle!$K$11),-2,IF(Y122=regle!$B$11,0,IF(AS$1=$AK$1,IF($O122,-1,regle!$B$2-$M122),IF(AR122=-1,-1,AR122+1))))</f>
        <v>14</v>
      </c>
      <c r="AT122" s="16">
        <f>IF(OR(Z122=regle!$J$11,Z122=regle!$K$11),-2,IF(Z122=regle!$B$11,0,IF(AT$1=$AK$1,IF($O122,-1,regle!$B$2-$M122),IF(AS122=-1,-1,AS122+1))))</f>
        <v>15</v>
      </c>
    </row>
    <row r="123" spans="1:46" x14ac:dyDescent="0.25">
      <c r="A123" t="b">
        <f>modif0!A215</f>
        <v>1</v>
      </c>
      <c r="B123">
        <f>ROW(modif0!B215)</f>
        <v>215</v>
      </c>
      <c r="C123" t="str">
        <f>modif0!D215</f>
        <v>202</v>
      </c>
      <c r="D123" t="str">
        <f>modif0!E215</f>
        <v>HOSTENS</v>
      </c>
      <c r="E123">
        <f>modif0!F215</f>
        <v>13</v>
      </c>
      <c r="F123" t="str">
        <f>modif0!G215</f>
        <v>LA BROUSTETTE</v>
      </c>
      <c r="G123" t="str">
        <f>modif0!I215</f>
        <v>0B</v>
      </c>
      <c r="H123">
        <f>modif0!J215</f>
        <v>1249</v>
      </c>
      <c r="I123" t="str">
        <f>modif0!K215</f>
        <v>k</v>
      </c>
      <c r="J123" s="11">
        <f>modif0!M215</f>
        <v>5.6863000000000001</v>
      </c>
      <c r="K123" s="11" t="str">
        <f>modif0!P215</f>
        <v>PLA</v>
      </c>
      <c r="L123" t="str">
        <f>modif0!N215</f>
        <v>PM</v>
      </c>
      <c r="M123">
        <f>modif0!Q215</f>
        <v>2018</v>
      </c>
      <c r="N123" t="str">
        <f>modif0!R215</f>
        <v>PLA-PM_2018</v>
      </c>
      <c r="O123" t="b">
        <f>modif0!S215</f>
        <v>0</v>
      </c>
      <c r="P123">
        <v>40</v>
      </c>
      <c r="R123" t="s">
        <v>1871</v>
      </c>
      <c r="W123" t="s">
        <v>1803</v>
      </c>
      <c r="AA123" s="17">
        <f>IF($A123,$J123*(IF(Q123=regle!$B$11,regle!$B$23*IF(AJ123=-2,1+regle!$B$35,1),
IF(Q123=regle!$C$11,regle!$C$23,
IF(Q123=regle!$D$11,regle!$D$23,
IF(Q123=regle!$E$11,regle!$E$23,
IF(Q123=regle!$F$11,regle!$F$23,
IF(Q123=regle!$G$11,regle!$G$23,
IF(Q123=regle!$H$11,regle!$H$23,
IF(Q123=regle!$I$11,regle!$I$23,
IF(Q123=regle!$J$11,regle!$J$23,
IF(Q123=regle!$K$11,regle!$K$23,0))))))))))))</f>
        <v>0</v>
      </c>
      <c r="AB123" s="17">
        <f>IF($A123,$J123*(IF(R123=regle!$B$11,regle!$B$23*IF(AK123=-2,1+regle!$B$35,1),
IF(R123=regle!$C$11,regle!$C$23,
IF(R123=regle!$D$11,regle!$D$23,
IF(R123=regle!$E$11,regle!$E$23,
IF(R123=regle!$F$11,regle!$F$23,
IF(R123=regle!$G$11,regle!$G$23,
IF(R123=regle!$H$11,regle!$H$23,
IF(R123=regle!$I$11,regle!$I$23,
IF(R123=regle!$J$11,regle!$J$23,
IF(R123=regle!$K$11,regle!$K$23,0))))))))))))</f>
        <v>-511.767</v>
      </c>
      <c r="AC123" s="17">
        <f>IF($A123,$J123*(IF(S123=regle!$B$11,regle!$B$23*IF(AL123=-2,1+regle!$B$35,1),
IF(S123=regle!$C$11,regle!$C$23,
IF(S123=regle!$D$11,regle!$D$23,
IF(S123=regle!$E$11,regle!$E$23,
IF(S123=regle!$F$11,regle!$F$23,
IF(S123=regle!$G$11,regle!$G$23,
IF(S123=regle!$H$11,regle!$H$23,
IF(S123=regle!$I$11,regle!$I$23,
IF(S123=regle!$J$11,regle!$J$23,
IF(S123=regle!$K$11,regle!$K$23,0))))))))))))</f>
        <v>0</v>
      </c>
      <c r="AD123" s="17">
        <f>IF($A123,$J123*(IF(T123=regle!$B$11,regle!$B$23*IF(AM123=-2,1+regle!$B$35,1),
IF(T123=regle!$C$11,regle!$C$23,
IF(T123=regle!$D$11,regle!$D$23,
IF(T123=regle!$E$11,regle!$E$23,
IF(T123=regle!$F$11,regle!$F$23,
IF(T123=regle!$G$11,regle!$G$23,
IF(T123=regle!$H$11,regle!$H$23,
IF(T123=regle!$I$11,regle!$I$23,
IF(T123=regle!$J$11,regle!$J$23,
IF(T123=regle!$K$11,regle!$K$23,0))))))))))))</f>
        <v>0</v>
      </c>
      <c r="AE123" s="17">
        <f>IF($A123,$J123*(IF(U123=regle!$B$11,regle!$B$23*IF(AN123=-2,1+regle!$B$35,1),
IF(U123=regle!$C$11,regle!$C$23,
IF(U123=regle!$D$11,regle!$D$23,
IF(U123=regle!$E$11,regle!$E$23,
IF(U123=regle!$F$11,regle!$F$23,
IF(U123=regle!$G$11,regle!$G$23,
IF(U123=regle!$H$11,regle!$H$23,
IF(U123=regle!$I$11,regle!$I$23,
IF(U123=regle!$J$11,regle!$J$23,
IF(U123=regle!$K$11,regle!$K$23,0))))))))))))</f>
        <v>0</v>
      </c>
      <c r="AF123" s="17">
        <f>IF($A123,$J123*(IF(V123=regle!$B$11,regle!$B$23*IF(AO123=-2,1+regle!$B$35,1),
IF(V123=regle!$C$11,regle!$C$23,
IF(V123=regle!$D$11,regle!$D$23,
IF(V123=regle!$E$11,regle!$E$23,
IF(V123=regle!$F$11,regle!$F$23,
IF(V123=regle!$G$11,regle!$G$23,
IF(V123=regle!$H$11,regle!$H$23,
IF(V123=regle!$I$11,regle!$I$23,
IF(V123=regle!$J$11,regle!$J$23,
IF(V123=regle!$K$11,regle!$K$23,0))))))))))))</f>
        <v>0</v>
      </c>
      <c r="AG123" s="17">
        <f>IF($A123,$J123*(IF(W123=regle!$B$11,regle!$B$23*IF(AP123=-2,1+regle!$B$35,1),
IF(W123=regle!$C$11,regle!$C$23,
IF(W123=regle!$D$11,regle!$D$23,
IF(W123=regle!$E$11,regle!$E$23,
IF(W123=regle!$F$11,regle!$F$23,
IF(W123=regle!$G$11,regle!$G$23,
IF(W123=regle!$H$11,regle!$H$23,
IF(W123=regle!$I$11,regle!$I$23,
IF(W123=regle!$J$11,regle!$J$23,
IF(W123=regle!$K$11,regle!$K$23,0))))))))))))</f>
        <v>3275.3088000000002</v>
      </c>
      <c r="AH123" s="17">
        <f>IF($A123,$J123*(IF(X123=regle!$B$11,regle!$B$23*IF(AQ123=-2,1+regle!$B$35,1),
IF(X123=regle!$C$11,regle!$C$23,
IF(X123=regle!$D$11,regle!$D$23,
IF(X123=regle!$E$11,regle!$E$23,
IF(X123=regle!$F$11,regle!$F$23,
IF(X123=regle!$G$11,regle!$G$23,
IF(X123=regle!$H$11,regle!$H$23,
IF(X123=regle!$I$11,regle!$I$23,
IF(X123=regle!$J$11,regle!$J$23,
IF(X123=regle!$K$11,regle!$K$23,0))))))))))))</f>
        <v>0</v>
      </c>
      <c r="AI123" s="17">
        <f>IF($A123,$J123*(IF(Y123=regle!$B$11,regle!$B$23*IF(AR123=-2,1+regle!$B$35,1),
IF(Y123=regle!$C$11,regle!$C$23,
IF(Y123=regle!$D$11,regle!$D$23,
IF(Y123=regle!$E$11,regle!$E$23,
IF(Y123=regle!$F$11,regle!$F$23,
IF(Y123=regle!$G$11,regle!$G$23,
IF(Y123=regle!$H$11,regle!$H$23,
IF(Y123=regle!$I$11,regle!$I$23,
IF(Y123=regle!$J$11,regle!$J$23,
IF(Y123=regle!$K$11,regle!$K$23,0))))))))))))</f>
        <v>0</v>
      </c>
      <c r="AJ123" s="17">
        <f>IF($A123,$J123*(IF(Z123=regle!$B$11,regle!$B$23*IF(AS123=-2,1+regle!$B$35,1),
IF(Z123=regle!$C$11,regle!$C$23,
IF(Z123=regle!$D$11,regle!$D$23,
IF(Z123=regle!$E$11,regle!$E$23,
IF(Z123=regle!$F$11,regle!$F$23,
IF(Z123=regle!$G$11,regle!$G$23,
IF(Z123=regle!$H$11,regle!$H$23,
IF(Z123=regle!$I$11,regle!$I$23,
IF(Z123=regle!$J$11,regle!$J$23,
IF(Z123=regle!$K$11,regle!$K$23,0))))))))))))</f>
        <v>0</v>
      </c>
      <c r="AK123" s="16">
        <f>IF(OR(Q123=regle!$J$11,Q123=regle!$K$11),-2,IF(Q123=regle!$B$11,0,IF(AK$1=$AK$1,IF($O123,-1,regle!$B$2-$M123),IF(AJ123=-1,-1,AJ123+1))))</f>
        <v>6</v>
      </c>
      <c r="AL123" s="16">
        <f>IF(OR(R123=regle!$J$11,R123=regle!$K$11),-2,IF(R123=regle!$B$11,0,IF(AL$1=$AK$1,IF($O123,-1,regle!$B$2-$M123),IF(AK123=-1,-1,AK123+1))))</f>
        <v>7</v>
      </c>
      <c r="AM123" s="16">
        <f>IF(OR(S123=regle!$J$11,S123=regle!$K$11),-2,IF(S123=regle!$B$11,0,IF(AM$1=$AK$1,IF($O123,-1,regle!$B$2-$M123),IF(AL123=-1,-1,AL123+1))))</f>
        <v>8</v>
      </c>
      <c r="AN123" s="16">
        <f>IF(OR(T123=regle!$J$11,T123=regle!$K$11),-2,IF(T123=regle!$B$11,0,IF(AN$1=$AK$1,IF($O123,-1,regle!$B$2-$M123),IF(AM123=-1,-1,AM123+1))))</f>
        <v>9</v>
      </c>
      <c r="AO123" s="16">
        <f>IF(OR(U123=regle!$J$11,U123=regle!$K$11),-2,IF(U123=regle!$B$11,0,IF(AO$1=$AK$1,IF($O123,-1,regle!$B$2-$M123),IF(AN123=-1,-1,AN123+1))))</f>
        <v>10</v>
      </c>
      <c r="AP123" s="16">
        <f>IF(OR(V123=regle!$J$11,V123=regle!$K$11),-2,IF(V123=regle!$B$11,0,IF(AP$1=$AK$1,IF($O123,-1,regle!$B$2-$M123),IF(AO123=-1,-1,AO123+1))))</f>
        <v>11</v>
      </c>
      <c r="AQ123" s="16">
        <f>IF(OR(W123=regle!$J$11,W123=regle!$K$11),-2,IF(W123=regle!$B$11,0,IF(AQ$1=$AK$1,IF($O123,-1,regle!$B$2-$M123),IF(AP123=-1,-1,AP123+1))))</f>
        <v>12</v>
      </c>
      <c r="AR123" s="16">
        <f>IF(OR(X123=regle!$J$11,X123=regle!$K$11),-2,IF(X123=regle!$B$11,0,IF(AR$1=$AK$1,IF($O123,-1,regle!$B$2-$M123),IF(AQ123=-1,-1,AQ123+1))))</f>
        <v>13</v>
      </c>
      <c r="AS123" s="16">
        <f>IF(OR(Y123=regle!$J$11,Y123=regle!$K$11),-2,IF(Y123=regle!$B$11,0,IF(AS$1=$AK$1,IF($O123,-1,regle!$B$2-$M123),IF(AR123=-1,-1,AR123+1))))</f>
        <v>14</v>
      </c>
      <c r="AT123" s="16">
        <f>IF(OR(Z123=regle!$J$11,Z123=regle!$K$11),-2,IF(Z123=regle!$B$11,0,IF(AT$1=$AK$1,IF($O123,-1,regle!$B$2-$M123),IF(AS123=-1,-1,AS123+1))))</f>
        <v>15</v>
      </c>
    </row>
    <row r="124" spans="1:46" x14ac:dyDescent="0.25">
      <c r="A124" t="b">
        <f>modif0!A200</f>
        <v>1</v>
      </c>
      <c r="B124">
        <f>ROW(modif0!B200)</f>
        <v>200</v>
      </c>
      <c r="C124" t="str">
        <f>modif0!D200</f>
        <v>202</v>
      </c>
      <c r="D124" t="str">
        <f>modif0!E200</f>
        <v>HOSTENS</v>
      </c>
      <c r="E124">
        <f>modif0!F200</f>
        <v>13</v>
      </c>
      <c r="F124" t="str">
        <f>modif0!G200</f>
        <v>LA BROUSTETTE</v>
      </c>
      <c r="G124" t="str">
        <f>modif0!I200</f>
        <v>0B</v>
      </c>
      <c r="H124">
        <f>modif0!J200</f>
        <v>1227</v>
      </c>
      <c r="I124" t="str">
        <f>modif0!K200</f>
        <v/>
      </c>
      <c r="J124" s="11">
        <f>modif0!M200</f>
        <v>2.8620000000000001</v>
      </c>
      <c r="K124" s="11" t="str">
        <f>modif0!P200</f>
        <v>PLA</v>
      </c>
      <c r="L124" t="str">
        <f>modif0!N200</f>
        <v>PM</v>
      </c>
      <c r="M124">
        <f>modif0!Q200</f>
        <v>2018</v>
      </c>
      <c r="N124" t="str">
        <f>modif0!R200</f>
        <v>PLA-PM_2018</v>
      </c>
      <c r="O124" t="b">
        <f>modif0!S200</f>
        <v>0</v>
      </c>
      <c r="P124">
        <v>40</v>
      </c>
      <c r="R124" t="s">
        <v>1871</v>
      </c>
      <c r="W124" t="s">
        <v>1803</v>
      </c>
      <c r="AA124" s="17">
        <f>IF($A124,$J124*(IF(Q124=regle!$B$11,regle!$B$23*IF(AJ124=-2,1+regle!$B$35,1),
IF(Q124=regle!$C$11,regle!$C$23,
IF(Q124=regle!$D$11,regle!$D$23,
IF(Q124=regle!$E$11,regle!$E$23,
IF(Q124=regle!$F$11,regle!$F$23,
IF(Q124=regle!$G$11,regle!$G$23,
IF(Q124=regle!$H$11,regle!$H$23,
IF(Q124=regle!$I$11,regle!$I$23,
IF(Q124=regle!$J$11,regle!$J$23,
IF(Q124=regle!$K$11,regle!$K$23,0))))))))))))</f>
        <v>0</v>
      </c>
      <c r="AB124" s="17">
        <f>IF($A124,$J124*(IF(R124=regle!$B$11,regle!$B$23*IF(AK124=-2,1+regle!$B$35,1),
IF(R124=regle!$C$11,regle!$C$23,
IF(R124=regle!$D$11,regle!$D$23,
IF(R124=regle!$E$11,regle!$E$23,
IF(R124=regle!$F$11,regle!$F$23,
IF(R124=regle!$G$11,regle!$G$23,
IF(R124=regle!$H$11,regle!$H$23,
IF(R124=regle!$I$11,regle!$I$23,
IF(R124=regle!$J$11,regle!$J$23,
IF(R124=regle!$K$11,regle!$K$23,0))))))))))))</f>
        <v>-257.58</v>
      </c>
      <c r="AC124" s="17">
        <f>IF($A124,$J124*(IF(S124=regle!$B$11,regle!$B$23*IF(AL124=-2,1+regle!$B$35,1),
IF(S124=regle!$C$11,regle!$C$23,
IF(S124=regle!$D$11,regle!$D$23,
IF(S124=regle!$E$11,regle!$E$23,
IF(S124=regle!$F$11,regle!$F$23,
IF(S124=regle!$G$11,regle!$G$23,
IF(S124=regle!$H$11,regle!$H$23,
IF(S124=regle!$I$11,regle!$I$23,
IF(S124=regle!$J$11,regle!$J$23,
IF(S124=regle!$K$11,regle!$K$23,0))))))))))))</f>
        <v>0</v>
      </c>
      <c r="AD124" s="17">
        <f>IF($A124,$J124*(IF(T124=regle!$B$11,regle!$B$23*IF(AM124=-2,1+regle!$B$35,1),
IF(T124=regle!$C$11,regle!$C$23,
IF(T124=regle!$D$11,regle!$D$23,
IF(T124=regle!$E$11,regle!$E$23,
IF(T124=regle!$F$11,regle!$F$23,
IF(T124=regle!$G$11,regle!$G$23,
IF(T124=regle!$H$11,regle!$H$23,
IF(T124=regle!$I$11,regle!$I$23,
IF(T124=regle!$J$11,regle!$J$23,
IF(T124=regle!$K$11,regle!$K$23,0))))))))))))</f>
        <v>0</v>
      </c>
      <c r="AE124" s="17">
        <f>IF($A124,$J124*(IF(U124=regle!$B$11,regle!$B$23*IF(AN124=-2,1+regle!$B$35,1),
IF(U124=regle!$C$11,regle!$C$23,
IF(U124=regle!$D$11,regle!$D$23,
IF(U124=regle!$E$11,regle!$E$23,
IF(U124=regle!$F$11,regle!$F$23,
IF(U124=regle!$G$11,regle!$G$23,
IF(U124=regle!$H$11,regle!$H$23,
IF(U124=regle!$I$11,regle!$I$23,
IF(U124=regle!$J$11,regle!$J$23,
IF(U124=regle!$K$11,regle!$K$23,0))))))))))))</f>
        <v>0</v>
      </c>
      <c r="AF124" s="17">
        <f>IF($A124,$J124*(IF(V124=regle!$B$11,regle!$B$23*IF(AO124=-2,1+regle!$B$35,1),
IF(V124=regle!$C$11,regle!$C$23,
IF(V124=regle!$D$11,regle!$D$23,
IF(V124=regle!$E$11,regle!$E$23,
IF(V124=regle!$F$11,regle!$F$23,
IF(V124=regle!$G$11,regle!$G$23,
IF(V124=regle!$H$11,regle!$H$23,
IF(V124=regle!$I$11,regle!$I$23,
IF(V124=regle!$J$11,regle!$J$23,
IF(V124=regle!$K$11,regle!$K$23,0))))))))))))</f>
        <v>0</v>
      </c>
      <c r="AG124" s="17">
        <f>IF($A124,$J124*(IF(W124=regle!$B$11,regle!$B$23*IF(AP124=-2,1+regle!$B$35,1),
IF(W124=regle!$C$11,regle!$C$23,
IF(W124=regle!$D$11,regle!$D$23,
IF(W124=regle!$E$11,regle!$E$23,
IF(W124=regle!$F$11,regle!$F$23,
IF(W124=regle!$G$11,regle!$G$23,
IF(W124=regle!$H$11,regle!$H$23,
IF(W124=regle!$I$11,regle!$I$23,
IF(W124=regle!$J$11,regle!$J$23,
IF(W124=regle!$K$11,regle!$K$23,0))))))))))))</f>
        <v>1648.5120000000002</v>
      </c>
      <c r="AH124" s="17">
        <f>IF($A124,$J124*(IF(X124=regle!$B$11,regle!$B$23*IF(AQ124=-2,1+regle!$B$35,1),
IF(X124=regle!$C$11,regle!$C$23,
IF(X124=regle!$D$11,regle!$D$23,
IF(X124=regle!$E$11,regle!$E$23,
IF(X124=regle!$F$11,regle!$F$23,
IF(X124=regle!$G$11,regle!$G$23,
IF(X124=regle!$H$11,regle!$H$23,
IF(X124=regle!$I$11,regle!$I$23,
IF(X124=regle!$J$11,regle!$J$23,
IF(X124=regle!$K$11,regle!$K$23,0))))))))))))</f>
        <v>0</v>
      </c>
      <c r="AI124" s="17">
        <f>IF($A124,$J124*(IF(Y124=regle!$B$11,regle!$B$23*IF(AR124=-2,1+regle!$B$35,1),
IF(Y124=regle!$C$11,regle!$C$23,
IF(Y124=regle!$D$11,regle!$D$23,
IF(Y124=regle!$E$11,regle!$E$23,
IF(Y124=regle!$F$11,regle!$F$23,
IF(Y124=regle!$G$11,regle!$G$23,
IF(Y124=regle!$H$11,regle!$H$23,
IF(Y124=regle!$I$11,regle!$I$23,
IF(Y124=regle!$J$11,regle!$J$23,
IF(Y124=regle!$K$11,regle!$K$23,0))))))))))))</f>
        <v>0</v>
      </c>
      <c r="AJ124" s="17">
        <f>IF($A124,$J124*(IF(Z124=regle!$B$11,regle!$B$23*IF(AS124=-2,1+regle!$B$35,1),
IF(Z124=regle!$C$11,regle!$C$23,
IF(Z124=regle!$D$11,regle!$D$23,
IF(Z124=regle!$E$11,regle!$E$23,
IF(Z124=regle!$F$11,regle!$F$23,
IF(Z124=regle!$G$11,regle!$G$23,
IF(Z124=regle!$H$11,regle!$H$23,
IF(Z124=regle!$I$11,regle!$I$23,
IF(Z124=regle!$J$11,regle!$J$23,
IF(Z124=regle!$K$11,regle!$K$23,0))))))))))))</f>
        <v>0</v>
      </c>
      <c r="AK124" s="16">
        <f>IF(OR(Q124=regle!$J$11,Q124=regle!$K$11),-2,IF(Q124=regle!$B$11,0,IF(AK$1=$AK$1,IF($O124,-1,regle!$B$2-$M124),IF(AJ124=-1,-1,AJ124+1))))</f>
        <v>6</v>
      </c>
      <c r="AL124" s="16">
        <f>IF(OR(R124=regle!$J$11,R124=regle!$K$11),-2,IF(R124=regle!$B$11,0,IF(AL$1=$AK$1,IF($O124,-1,regle!$B$2-$M124),IF(AK124=-1,-1,AK124+1))))</f>
        <v>7</v>
      </c>
      <c r="AM124" s="16">
        <f>IF(OR(S124=regle!$J$11,S124=regle!$K$11),-2,IF(S124=regle!$B$11,0,IF(AM$1=$AK$1,IF($O124,-1,regle!$B$2-$M124),IF(AL124=-1,-1,AL124+1))))</f>
        <v>8</v>
      </c>
      <c r="AN124" s="16">
        <f>IF(OR(T124=regle!$J$11,T124=regle!$K$11),-2,IF(T124=regle!$B$11,0,IF(AN$1=$AK$1,IF($O124,-1,regle!$B$2-$M124),IF(AM124=-1,-1,AM124+1))))</f>
        <v>9</v>
      </c>
      <c r="AO124" s="16">
        <f>IF(OR(U124=regle!$J$11,U124=regle!$K$11),-2,IF(U124=regle!$B$11,0,IF(AO$1=$AK$1,IF($O124,-1,regle!$B$2-$M124),IF(AN124=-1,-1,AN124+1))))</f>
        <v>10</v>
      </c>
      <c r="AP124" s="16">
        <f>IF(OR(V124=regle!$J$11,V124=regle!$K$11),-2,IF(V124=regle!$B$11,0,IF(AP$1=$AK$1,IF($O124,-1,regle!$B$2-$M124),IF(AO124=-1,-1,AO124+1))))</f>
        <v>11</v>
      </c>
      <c r="AQ124" s="16">
        <f>IF(OR(W124=regle!$J$11,W124=regle!$K$11),-2,IF(W124=regle!$B$11,0,IF(AQ$1=$AK$1,IF($O124,-1,regle!$B$2-$M124),IF(AP124=-1,-1,AP124+1))))</f>
        <v>12</v>
      </c>
      <c r="AR124" s="16">
        <f>IF(OR(X124=regle!$J$11,X124=regle!$K$11),-2,IF(X124=regle!$B$11,0,IF(AR$1=$AK$1,IF($O124,-1,regle!$B$2-$M124),IF(AQ124=-1,-1,AQ124+1))))</f>
        <v>13</v>
      </c>
      <c r="AS124" s="16">
        <f>IF(OR(Y124=regle!$J$11,Y124=regle!$K$11),-2,IF(Y124=regle!$B$11,0,IF(AS$1=$AK$1,IF($O124,-1,regle!$B$2-$M124),IF(AR124=-1,-1,AR124+1))))</f>
        <v>14</v>
      </c>
      <c r="AT124" s="16">
        <f>IF(OR(Z124=regle!$J$11,Z124=regle!$K$11),-2,IF(Z124=regle!$B$11,0,IF(AT$1=$AK$1,IF($O124,-1,regle!$B$2-$M124),IF(AS124=-1,-1,AS124+1))))</f>
        <v>15</v>
      </c>
    </row>
    <row r="125" spans="1:46" x14ac:dyDescent="0.25">
      <c r="A125" t="b">
        <f>modif0!A219</f>
        <v>1</v>
      </c>
      <c r="B125">
        <f>ROW(modif0!B219)</f>
        <v>219</v>
      </c>
      <c r="C125" t="str">
        <f>modif0!D219</f>
        <v>202</v>
      </c>
      <c r="D125" t="str">
        <f>modif0!E219</f>
        <v>HOSTENS</v>
      </c>
      <c r="E125">
        <f>modif0!F219</f>
        <v>13</v>
      </c>
      <c r="F125" t="str">
        <f>modif0!G219</f>
        <v>LA BROUSTETTE</v>
      </c>
      <c r="G125" t="str">
        <f>modif0!I219</f>
        <v>0B</v>
      </c>
      <c r="H125">
        <f>modif0!J219</f>
        <v>1249</v>
      </c>
      <c r="I125" t="str">
        <f>modif0!K219</f>
        <v>p</v>
      </c>
      <c r="J125" s="11">
        <f>modif0!M219</f>
        <v>1.8421000000000001</v>
      </c>
      <c r="K125" s="11" t="str">
        <f>modif0!P219</f>
        <v>PLA</v>
      </c>
      <c r="L125" t="str">
        <f>modif0!N219</f>
        <v>PM</v>
      </c>
      <c r="M125">
        <f>modif0!Q219</f>
        <v>2018</v>
      </c>
      <c r="N125" t="str">
        <f>modif0!R219</f>
        <v>PLA-PM_2018</v>
      </c>
      <c r="O125" t="b">
        <f>modif0!S219</f>
        <v>0</v>
      </c>
      <c r="P125">
        <v>40</v>
      </c>
      <c r="R125" t="s">
        <v>1871</v>
      </c>
      <c r="W125" t="s">
        <v>1803</v>
      </c>
      <c r="AA125" s="17">
        <f>IF($A125,$J125*(IF(Q125=regle!$B$11,regle!$B$23*IF(AJ125=-2,1+regle!$B$35,1),
IF(Q125=regle!$C$11,regle!$C$23,
IF(Q125=regle!$D$11,regle!$D$23,
IF(Q125=regle!$E$11,regle!$E$23,
IF(Q125=regle!$F$11,regle!$F$23,
IF(Q125=regle!$G$11,regle!$G$23,
IF(Q125=regle!$H$11,regle!$H$23,
IF(Q125=regle!$I$11,regle!$I$23,
IF(Q125=regle!$J$11,regle!$J$23,
IF(Q125=regle!$K$11,regle!$K$23,0))))))))))))</f>
        <v>0</v>
      </c>
      <c r="AB125" s="17">
        <f>IF($A125,$J125*(IF(R125=regle!$B$11,regle!$B$23*IF(AK125=-2,1+regle!$B$35,1),
IF(R125=regle!$C$11,regle!$C$23,
IF(R125=regle!$D$11,regle!$D$23,
IF(R125=regle!$E$11,regle!$E$23,
IF(R125=regle!$F$11,regle!$F$23,
IF(R125=regle!$G$11,regle!$G$23,
IF(R125=regle!$H$11,regle!$H$23,
IF(R125=regle!$I$11,regle!$I$23,
IF(R125=regle!$J$11,regle!$J$23,
IF(R125=regle!$K$11,regle!$K$23,0))))))))))))</f>
        <v>-165.78900000000002</v>
      </c>
      <c r="AC125" s="17">
        <f>IF($A125,$J125*(IF(S125=regle!$B$11,regle!$B$23*IF(AL125=-2,1+regle!$B$35,1),
IF(S125=regle!$C$11,regle!$C$23,
IF(S125=regle!$D$11,regle!$D$23,
IF(S125=regle!$E$11,regle!$E$23,
IF(S125=regle!$F$11,regle!$F$23,
IF(S125=regle!$G$11,regle!$G$23,
IF(S125=regle!$H$11,regle!$H$23,
IF(S125=regle!$I$11,regle!$I$23,
IF(S125=regle!$J$11,regle!$J$23,
IF(S125=regle!$K$11,regle!$K$23,0))))))))))))</f>
        <v>0</v>
      </c>
      <c r="AD125" s="17">
        <f>IF($A125,$J125*(IF(T125=regle!$B$11,regle!$B$23*IF(AM125=-2,1+regle!$B$35,1),
IF(T125=regle!$C$11,regle!$C$23,
IF(T125=regle!$D$11,regle!$D$23,
IF(T125=regle!$E$11,regle!$E$23,
IF(T125=regle!$F$11,regle!$F$23,
IF(T125=regle!$G$11,regle!$G$23,
IF(T125=regle!$H$11,regle!$H$23,
IF(T125=regle!$I$11,regle!$I$23,
IF(T125=regle!$J$11,regle!$J$23,
IF(T125=regle!$K$11,regle!$K$23,0))))))))))))</f>
        <v>0</v>
      </c>
      <c r="AE125" s="17">
        <f>IF($A125,$J125*(IF(U125=regle!$B$11,regle!$B$23*IF(AN125=-2,1+regle!$B$35,1),
IF(U125=regle!$C$11,regle!$C$23,
IF(U125=regle!$D$11,regle!$D$23,
IF(U125=regle!$E$11,regle!$E$23,
IF(U125=regle!$F$11,regle!$F$23,
IF(U125=regle!$G$11,regle!$G$23,
IF(U125=regle!$H$11,regle!$H$23,
IF(U125=regle!$I$11,regle!$I$23,
IF(U125=regle!$J$11,regle!$J$23,
IF(U125=regle!$K$11,regle!$K$23,0))))))))))))</f>
        <v>0</v>
      </c>
      <c r="AF125" s="17">
        <f>IF($A125,$J125*(IF(V125=regle!$B$11,regle!$B$23*IF(AO125=-2,1+regle!$B$35,1),
IF(V125=regle!$C$11,regle!$C$23,
IF(V125=regle!$D$11,regle!$D$23,
IF(V125=regle!$E$11,regle!$E$23,
IF(V125=regle!$F$11,regle!$F$23,
IF(V125=regle!$G$11,regle!$G$23,
IF(V125=regle!$H$11,regle!$H$23,
IF(V125=regle!$I$11,regle!$I$23,
IF(V125=regle!$J$11,regle!$J$23,
IF(V125=regle!$K$11,regle!$K$23,0))))))))))))</f>
        <v>0</v>
      </c>
      <c r="AG125" s="17">
        <f>IF($A125,$J125*(IF(W125=regle!$B$11,regle!$B$23*IF(AP125=-2,1+regle!$B$35,1),
IF(W125=regle!$C$11,regle!$C$23,
IF(W125=regle!$D$11,regle!$D$23,
IF(W125=regle!$E$11,regle!$E$23,
IF(W125=regle!$F$11,regle!$F$23,
IF(W125=regle!$G$11,regle!$G$23,
IF(W125=regle!$H$11,regle!$H$23,
IF(W125=regle!$I$11,regle!$I$23,
IF(W125=regle!$J$11,regle!$J$23,
IF(W125=regle!$K$11,regle!$K$23,0))))))))))))</f>
        <v>1061.0496000000001</v>
      </c>
      <c r="AH125" s="17">
        <f>IF($A125,$J125*(IF(X125=regle!$B$11,regle!$B$23*IF(AQ125=-2,1+regle!$B$35,1),
IF(X125=regle!$C$11,regle!$C$23,
IF(X125=regle!$D$11,regle!$D$23,
IF(X125=regle!$E$11,regle!$E$23,
IF(X125=regle!$F$11,regle!$F$23,
IF(X125=regle!$G$11,regle!$G$23,
IF(X125=regle!$H$11,regle!$H$23,
IF(X125=regle!$I$11,regle!$I$23,
IF(X125=regle!$J$11,regle!$J$23,
IF(X125=regle!$K$11,regle!$K$23,0))))))))))))</f>
        <v>0</v>
      </c>
      <c r="AI125" s="17">
        <f>IF($A125,$J125*(IF(Y125=regle!$B$11,regle!$B$23*IF(AR125=-2,1+regle!$B$35,1),
IF(Y125=regle!$C$11,regle!$C$23,
IF(Y125=regle!$D$11,regle!$D$23,
IF(Y125=regle!$E$11,regle!$E$23,
IF(Y125=regle!$F$11,regle!$F$23,
IF(Y125=regle!$G$11,regle!$G$23,
IF(Y125=regle!$H$11,regle!$H$23,
IF(Y125=regle!$I$11,regle!$I$23,
IF(Y125=regle!$J$11,regle!$J$23,
IF(Y125=regle!$K$11,regle!$K$23,0))))))))))))</f>
        <v>0</v>
      </c>
      <c r="AJ125" s="17">
        <f>IF($A125,$J125*(IF(Z125=regle!$B$11,regle!$B$23*IF(AS125=-2,1+regle!$B$35,1),
IF(Z125=regle!$C$11,regle!$C$23,
IF(Z125=regle!$D$11,regle!$D$23,
IF(Z125=regle!$E$11,regle!$E$23,
IF(Z125=regle!$F$11,regle!$F$23,
IF(Z125=regle!$G$11,regle!$G$23,
IF(Z125=regle!$H$11,regle!$H$23,
IF(Z125=regle!$I$11,regle!$I$23,
IF(Z125=regle!$J$11,regle!$J$23,
IF(Z125=regle!$K$11,regle!$K$23,0))))))))))))</f>
        <v>0</v>
      </c>
      <c r="AK125" s="16">
        <f>IF(OR(Q125=regle!$J$11,Q125=regle!$K$11),-2,IF(Q125=regle!$B$11,0,IF(AK$1=$AK$1,IF($O125,-1,regle!$B$2-$M125),IF(AJ125=-1,-1,AJ125+1))))</f>
        <v>6</v>
      </c>
      <c r="AL125" s="16">
        <f>IF(OR(R125=regle!$J$11,R125=regle!$K$11),-2,IF(R125=regle!$B$11,0,IF(AL$1=$AK$1,IF($O125,-1,regle!$B$2-$M125),IF(AK125=-1,-1,AK125+1))))</f>
        <v>7</v>
      </c>
      <c r="AM125" s="16">
        <f>IF(OR(S125=regle!$J$11,S125=regle!$K$11),-2,IF(S125=regle!$B$11,0,IF(AM$1=$AK$1,IF($O125,-1,regle!$B$2-$M125),IF(AL125=-1,-1,AL125+1))))</f>
        <v>8</v>
      </c>
      <c r="AN125" s="16">
        <f>IF(OR(T125=regle!$J$11,T125=regle!$K$11),-2,IF(T125=regle!$B$11,0,IF(AN$1=$AK$1,IF($O125,-1,regle!$B$2-$M125),IF(AM125=-1,-1,AM125+1))))</f>
        <v>9</v>
      </c>
      <c r="AO125" s="16">
        <f>IF(OR(U125=regle!$J$11,U125=regle!$K$11),-2,IF(U125=regle!$B$11,0,IF(AO$1=$AK$1,IF($O125,-1,regle!$B$2-$M125),IF(AN125=-1,-1,AN125+1))))</f>
        <v>10</v>
      </c>
      <c r="AP125" s="16">
        <f>IF(OR(V125=regle!$J$11,V125=regle!$K$11),-2,IF(V125=regle!$B$11,0,IF(AP$1=$AK$1,IF($O125,-1,regle!$B$2-$M125),IF(AO125=-1,-1,AO125+1))))</f>
        <v>11</v>
      </c>
      <c r="AQ125" s="16">
        <f>IF(OR(W125=regle!$J$11,W125=regle!$K$11),-2,IF(W125=regle!$B$11,0,IF(AQ$1=$AK$1,IF($O125,-1,regle!$B$2-$M125),IF(AP125=-1,-1,AP125+1))))</f>
        <v>12</v>
      </c>
      <c r="AR125" s="16">
        <f>IF(OR(X125=regle!$J$11,X125=regle!$K$11),-2,IF(X125=regle!$B$11,0,IF(AR$1=$AK$1,IF($O125,-1,regle!$B$2-$M125),IF(AQ125=-1,-1,AQ125+1))))</f>
        <v>13</v>
      </c>
      <c r="AS125" s="16">
        <f>IF(OR(Y125=regle!$J$11,Y125=regle!$K$11),-2,IF(Y125=regle!$B$11,0,IF(AS$1=$AK$1,IF($O125,-1,regle!$B$2-$M125),IF(AR125=-1,-1,AR125+1))))</f>
        <v>14</v>
      </c>
      <c r="AT125" s="16">
        <f>IF(OR(Z125=regle!$J$11,Z125=regle!$K$11),-2,IF(Z125=regle!$B$11,0,IF(AT$1=$AK$1,IF($O125,-1,regle!$B$2-$M125),IF(AS125=-1,-1,AS125+1))))</f>
        <v>15</v>
      </c>
    </row>
    <row r="126" spans="1:46" x14ac:dyDescent="0.25">
      <c r="A126" t="b">
        <f>modif0!A106</f>
        <v>1</v>
      </c>
      <c r="B126">
        <f>ROW(modif0!B106)</f>
        <v>106</v>
      </c>
      <c r="C126" t="str">
        <f>modif0!D106</f>
        <v>202</v>
      </c>
      <c r="D126" t="str">
        <f>modif0!E106</f>
        <v>HOSTENS</v>
      </c>
      <c r="E126">
        <f>modif0!F106</f>
        <v>11</v>
      </c>
      <c r="F126" t="str">
        <f>modif0!G106</f>
        <v>LES CAZALAS</v>
      </c>
      <c r="G126" t="str">
        <f>modif0!I106</f>
        <v>0B</v>
      </c>
      <c r="H126">
        <f>modif0!J106</f>
        <v>1141</v>
      </c>
      <c r="I126" t="str">
        <f>modif0!K106</f>
        <v>k</v>
      </c>
      <c r="J126" s="11">
        <f>modif0!M106</f>
        <v>1.5398000000000001</v>
      </c>
      <c r="K126" s="11" t="str">
        <f>modif0!P106</f>
        <v>PLA</v>
      </c>
      <c r="L126" t="str">
        <f>modif0!N106</f>
        <v>PM</v>
      </c>
      <c r="M126">
        <f>modif0!Q106</f>
        <v>2018</v>
      </c>
      <c r="N126" t="str">
        <f>modif0!R106</f>
        <v>PLA-PM_2018</v>
      </c>
      <c r="O126" t="b">
        <f>modif0!S106</f>
        <v>0</v>
      </c>
      <c r="P126">
        <v>40</v>
      </c>
      <c r="R126" t="s">
        <v>1871</v>
      </c>
      <c r="W126" t="s">
        <v>1803</v>
      </c>
      <c r="AA126" s="17">
        <f>IF($A126,$J126*(IF(Q126=regle!$B$11,regle!$B$23*IF(AJ126=-2,1+regle!$B$35,1),
IF(Q126=regle!$C$11,regle!$C$23,
IF(Q126=regle!$D$11,regle!$D$23,
IF(Q126=regle!$E$11,regle!$E$23,
IF(Q126=regle!$F$11,regle!$F$23,
IF(Q126=regle!$G$11,regle!$G$23,
IF(Q126=regle!$H$11,regle!$H$23,
IF(Q126=regle!$I$11,regle!$I$23,
IF(Q126=regle!$J$11,regle!$J$23,
IF(Q126=regle!$K$11,regle!$K$23,0))))))))))))</f>
        <v>0</v>
      </c>
      <c r="AB126" s="17">
        <f>IF($A126,$J126*(IF(R126=regle!$B$11,regle!$B$23*IF(AK126=-2,1+regle!$B$35,1),
IF(R126=regle!$C$11,regle!$C$23,
IF(R126=regle!$D$11,regle!$D$23,
IF(R126=regle!$E$11,regle!$E$23,
IF(R126=regle!$F$11,regle!$F$23,
IF(R126=regle!$G$11,regle!$G$23,
IF(R126=regle!$H$11,regle!$H$23,
IF(R126=regle!$I$11,regle!$I$23,
IF(R126=regle!$J$11,regle!$J$23,
IF(R126=regle!$K$11,regle!$K$23,0))))))))))))</f>
        <v>-138.58199999999999</v>
      </c>
      <c r="AC126" s="17">
        <f>IF($A126,$J126*(IF(S126=regle!$B$11,regle!$B$23*IF(AL126=-2,1+regle!$B$35,1),
IF(S126=regle!$C$11,regle!$C$23,
IF(S126=regle!$D$11,regle!$D$23,
IF(S126=regle!$E$11,regle!$E$23,
IF(S126=regle!$F$11,regle!$F$23,
IF(S126=regle!$G$11,regle!$G$23,
IF(S126=regle!$H$11,regle!$H$23,
IF(S126=regle!$I$11,regle!$I$23,
IF(S126=regle!$J$11,regle!$J$23,
IF(S126=regle!$K$11,regle!$K$23,0))))))))))))</f>
        <v>0</v>
      </c>
      <c r="AD126" s="17">
        <f>IF($A126,$J126*(IF(T126=regle!$B$11,regle!$B$23*IF(AM126=-2,1+regle!$B$35,1),
IF(T126=regle!$C$11,regle!$C$23,
IF(T126=regle!$D$11,regle!$D$23,
IF(T126=regle!$E$11,regle!$E$23,
IF(T126=regle!$F$11,regle!$F$23,
IF(T126=regle!$G$11,regle!$G$23,
IF(T126=regle!$H$11,regle!$H$23,
IF(T126=regle!$I$11,regle!$I$23,
IF(T126=regle!$J$11,regle!$J$23,
IF(T126=regle!$K$11,regle!$K$23,0))))))))))))</f>
        <v>0</v>
      </c>
      <c r="AE126" s="17">
        <f>IF($A126,$J126*(IF(U126=regle!$B$11,regle!$B$23*IF(AN126=-2,1+regle!$B$35,1),
IF(U126=regle!$C$11,regle!$C$23,
IF(U126=regle!$D$11,regle!$D$23,
IF(U126=regle!$E$11,regle!$E$23,
IF(U126=regle!$F$11,regle!$F$23,
IF(U126=regle!$G$11,regle!$G$23,
IF(U126=regle!$H$11,regle!$H$23,
IF(U126=regle!$I$11,regle!$I$23,
IF(U126=regle!$J$11,regle!$J$23,
IF(U126=regle!$K$11,regle!$K$23,0))))))))))))</f>
        <v>0</v>
      </c>
      <c r="AF126" s="17">
        <f>IF($A126,$J126*(IF(V126=regle!$B$11,regle!$B$23*IF(AO126=-2,1+regle!$B$35,1),
IF(V126=regle!$C$11,regle!$C$23,
IF(V126=regle!$D$11,regle!$D$23,
IF(V126=regle!$E$11,regle!$E$23,
IF(V126=regle!$F$11,regle!$F$23,
IF(V126=regle!$G$11,regle!$G$23,
IF(V126=regle!$H$11,regle!$H$23,
IF(V126=regle!$I$11,regle!$I$23,
IF(V126=regle!$J$11,regle!$J$23,
IF(V126=regle!$K$11,regle!$K$23,0))))))))))))</f>
        <v>0</v>
      </c>
      <c r="AG126" s="17">
        <f>IF($A126,$J126*(IF(W126=regle!$B$11,regle!$B$23*IF(AP126=-2,1+regle!$B$35,1),
IF(W126=regle!$C$11,regle!$C$23,
IF(W126=regle!$D$11,regle!$D$23,
IF(W126=regle!$E$11,regle!$E$23,
IF(W126=regle!$F$11,regle!$F$23,
IF(W126=regle!$G$11,regle!$G$23,
IF(W126=regle!$H$11,regle!$H$23,
IF(W126=regle!$I$11,regle!$I$23,
IF(W126=regle!$J$11,regle!$J$23,
IF(W126=regle!$K$11,regle!$K$23,0))))))))))))</f>
        <v>886.9248</v>
      </c>
      <c r="AH126" s="17">
        <f>IF($A126,$J126*(IF(X126=regle!$B$11,regle!$B$23*IF(AQ126=-2,1+regle!$B$35,1),
IF(X126=regle!$C$11,regle!$C$23,
IF(X126=regle!$D$11,regle!$D$23,
IF(X126=regle!$E$11,regle!$E$23,
IF(X126=regle!$F$11,regle!$F$23,
IF(X126=regle!$G$11,regle!$G$23,
IF(X126=regle!$H$11,regle!$H$23,
IF(X126=regle!$I$11,regle!$I$23,
IF(X126=regle!$J$11,regle!$J$23,
IF(X126=regle!$K$11,regle!$K$23,0))))))))))))</f>
        <v>0</v>
      </c>
      <c r="AI126" s="17">
        <f>IF($A126,$J126*(IF(Y126=regle!$B$11,regle!$B$23*IF(AR126=-2,1+regle!$B$35,1),
IF(Y126=regle!$C$11,regle!$C$23,
IF(Y126=regle!$D$11,regle!$D$23,
IF(Y126=regle!$E$11,regle!$E$23,
IF(Y126=regle!$F$11,regle!$F$23,
IF(Y126=regle!$G$11,regle!$G$23,
IF(Y126=regle!$H$11,regle!$H$23,
IF(Y126=regle!$I$11,regle!$I$23,
IF(Y126=regle!$J$11,regle!$J$23,
IF(Y126=regle!$K$11,regle!$K$23,0))))))))))))</f>
        <v>0</v>
      </c>
      <c r="AJ126" s="17">
        <f>IF($A126,$J126*(IF(Z126=regle!$B$11,regle!$B$23*IF(AS126=-2,1+regle!$B$35,1),
IF(Z126=regle!$C$11,regle!$C$23,
IF(Z126=regle!$D$11,regle!$D$23,
IF(Z126=regle!$E$11,regle!$E$23,
IF(Z126=regle!$F$11,regle!$F$23,
IF(Z126=regle!$G$11,regle!$G$23,
IF(Z126=regle!$H$11,regle!$H$23,
IF(Z126=regle!$I$11,regle!$I$23,
IF(Z126=regle!$J$11,regle!$J$23,
IF(Z126=regle!$K$11,regle!$K$23,0))))))))))))</f>
        <v>0</v>
      </c>
      <c r="AK126" s="16">
        <f>IF(OR(Q126=regle!$J$11,Q126=regle!$K$11),-2,IF(Q126=regle!$B$11,0,IF(AK$1=$AK$1,IF($O126,-1,regle!$B$2-$M126),IF(AJ126=-1,-1,AJ126+1))))</f>
        <v>6</v>
      </c>
      <c r="AL126" s="16">
        <f>IF(OR(R126=regle!$J$11,R126=regle!$K$11),-2,IF(R126=regle!$B$11,0,IF(AL$1=$AK$1,IF($O126,-1,regle!$B$2-$M126),IF(AK126=-1,-1,AK126+1))))</f>
        <v>7</v>
      </c>
      <c r="AM126" s="16">
        <f>IF(OR(S126=regle!$J$11,S126=regle!$K$11),-2,IF(S126=regle!$B$11,0,IF(AM$1=$AK$1,IF($O126,-1,regle!$B$2-$M126),IF(AL126=-1,-1,AL126+1))))</f>
        <v>8</v>
      </c>
      <c r="AN126" s="16">
        <f>IF(OR(T126=regle!$J$11,T126=regle!$K$11),-2,IF(T126=regle!$B$11,0,IF(AN$1=$AK$1,IF($O126,-1,regle!$B$2-$M126),IF(AM126=-1,-1,AM126+1))))</f>
        <v>9</v>
      </c>
      <c r="AO126" s="16">
        <f>IF(OR(U126=regle!$J$11,U126=regle!$K$11),-2,IF(U126=regle!$B$11,0,IF(AO$1=$AK$1,IF($O126,-1,regle!$B$2-$M126),IF(AN126=-1,-1,AN126+1))))</f>
        <v>10</v>
      </c>
      <c r="AP126" s="16">
        <f>IF(OR(V126=regle!$J$11,V126=regle!$K$11),-2,IF(V126=regle!$B$11,0,IF(AP$1=$AK$1,IF($O126,-1,regle!$B$2-$M126),IF(AO126=-1,-1,AO126+1))))</f>
        <v>11</v>
      </c>
      <c r="AQ126" s="16">
        <f>IF(OR(W126=regle!$J$11,W126=regle!$K$11),-2,IF(W126=regle!$B$11,0,IF(AQ$1=$AK$1,IF($O126,-1,regle!$B$2-$M126),IF(AP126=-1,-1,AP126+1))))</f>
        <v>12</v>
      </c>
      <c r="AR126" s="16">
        <f>IF(OR(X126=regle!$J$11,X126=regle!$K$11),-2,IF(X126=regle!$B$11,0,IF(AR$1=$AK$1,IF($O126,-1,regle!$B$2-$M126),IF(AQ126=-1,-1,AQ126+1))))</f>
        <v>13</v>
      </c>
      <c r="AS126" s="16">
        <f>IF(OR(Y126=regle!$J$11,Y126=regle!$K$11),-2,IF(Y126=regle!$B$11,0,IF(AS$1=$AK$1,IF($O126,-1,regle!$B$2-$M126),IF(AR126=-1,-1,AR126+1))))</f>
        <v>14</v>
      </c>
      <c r="AT126" s="16">
        <f>IF(OR(Z126=regle!$J$11,Z126=regle!$K$11),-2,IF(Z126=regle!$B$11,0,IF(AT$1=$AK$1,IF($O126,-1,regle!$B$2-$M126),IF(AS126=-1,-1,AS126+1))))</f>
        <v>15</v>
      </c>
    </row>
    <row r="127" spans="1:46" x14ac:dyDescent="0.25">
      <c r="A127" t="b">
        <f>modif0!A98</f>
        <v>1</v>
      </c>
      <c r="B127">
        <f>ROW(modif0!B98)</f>
        <v>98</v>
      </c>
      <c r="C127" t="str">
        <f>modif0!D98</f>
        <v>202</v>
      </c>
      <c r="D127" t="str">
        <f>modif0!E98</f>
        <v>HOSTENS</v>
      </c>
      <c r="E127">
        <f>modif0!F98</f>
        <v>11</v>
      </c>
      <c r="F127" t="str">
        <f>modif0!G98</f>
        <v>LES CAZALAS</v>
      </c>
      <c r="G127" t="str">
        <f>modif0!I98</f>
        <v>0B</v>
      </c>
      <c r="H127">
        <f>modif0!J98</f>
        <v>1135</v>
      </c>
      <c r="I127" t="str">
        <f>modif0!K98</f>
        <v/>
      </c>
      <c r="J127" s="11">
        <f>modif0!M98</f>
        <v>1.429</v>
      </c>
      <c r="K127" s="11" t="str">
        <f>modif0!P98</f>
        <v>PLA</v>
      </c>
      <c r="L127" t="str">
        <f>modif0!N98</f>
        <v>PM</v>
      </c>
      <c r="M127">
        <f>modif0!Q98</f>
        <v>2018</v>
      </c>
      <c r="N127" t="str">
        <f>modif0!R98</f>
        <v>PLA-PM_2018</v>
      </c>
      <c r="O127" t="b">
        <f>modif0!S98</f>
        <v>0</v>
      </c>
      <c r="P127">
        <v>40</v>
      </c>
      <c r="R127" t="s">
        <v>1871</v>
      </c>
      <c r="W127" t="s">
        <v>1803</v>
      </c>
      <c r="AA127" s="17">
        <f>IF($A127,$J127*(IF(Q127=regle!$B$11,regle!$B$23*IF(AJ127=-2,1+regle!$B$35,1),
IF(Q127=regle!$C$11,regle!$C$23,
IF(Q127=regle!$D$11,regle!$D$23,
IF(Q127=regle!$E$11,regle!$E$23,
IF(Q127=regle!$F$11,regle!$F$23,
IF(Q127=regle!$G$11,regle!$G$23,
IF(Q127=regle!$H$11,regle!$H$23,
IF(Q127=regle!$I$11,regle!$I$23,
IF(Q127=regle!$J$11,regle!$J$23,
IF(Q127=regle!$K$11,regle!$K$23,0))))))))))))</f>
        <v>0</v>
      </c>
      <c r="AB127" s="17">
        <f>IF($A127,$J127*(IF(R127=regle!$B$11,regle!$B$23*IF(AK127=-2,1+regle!$B$35,1),
IF(R127=regle!$C$11,regle!$C$23,
IF(R127=regle!$D$11,regle!$D$23,
IF(R127=regle!$E$11,regle!$E$23,
IF(R127=regle!$F$11,regle!$F$23,
IF(R127=regle!$G$11,regle!$G$23,
IF(R127=regle!$H$11,regle!$H$23,
IF(R127=regle!$I$11,regle!$I$23,
IF(R127=regle!$J$11,regle!$J$23,
IF(R127=regle!$K$11,regle!$K$23,0))))))))))))</f>
        <v>-128.61000000000001</v>
      </c>
      <c r="AC127" s="17">
        <f>IF($A127,$J127*(IF(S127=regle!$B$11,regle!$B$23*IF(AL127=-2,1+regle!$B$35,1),
IF(S127=regle!$C$11,regle!$C$23,
IF(S127=regle!$D$11,regle!$D$23,
IF(S127=regle!$E$11,regle!$E$23,
IF(S127=regle!$F$11,regle!$F$23,
IF(S127=regle!$G$11,regle!$G$23,
IF(S127=regle!$H$11,regle!$H$23,
IF(S127=regle!$I$11,regle!$I$23,
IF(S127=regle!$J$11,regle!$J$23,
IF(S127=regle!$K$11,regle!$K$23,0))))))))))))</f>
        <v>0</v>
      </c>
      <c r="AD127" s="17">
        <f>IF($A127,$J127*(IF(T127=regle!$B$11,regle!$B$23*IF(AM127=-2,1+regle!$B$35,1),
IF(T127=regle!$C$11,regle!$C$23,
IF(T127=regle!$D$11,regle!$D$23,
IF(T127=regle!$E$11,regle!$E$23,
IF(T127=regle!$F$11,regle!$F$23,
IF(T127=regle!$G$11,regle!$G$23,
IF(T127=regle!$H$11,regle!$H$23,
IF(T127=regle!$I$11,regle!$I$23,
IF(T127=regle!$J$11,regle!$J$23,
IF(T127=regle!$K$11,regle!$K$23,0))))))))))))</f>
        <v>0</v>
      </c>
      <c r="AE127" s="17">
        <f>IF($A127,$J127*(IF(U127=regle!$B$11,regle!$B$23*IF(AN127=-2,1+regle!$B$35,1),
IF(U127=regle!$C$11,regle!$C$23,
IF(U127=regle!$D$11,regle!$D$23,
IF(U127=regle!$E$11,regle!$E$23,
IF(U127=regle!$F$11,regle!$F$23,
IF(U127=regle!$G$11,regle!$G$23,
IF(U127=regle!$H$11,regle!$H$23,
IF(U127=regle!$I$11,regle!$I$23,
IF(U127=regle!$J$11,regle!$J$23,
IF(U127=regle!$K$11,regle!$K$23,0))))))))))))</f>
        <v>0</v>
      </c>
      <c r="AF127" s="17">
        <f>IF($A127,$J127*(IF(V127=regle!$B$11,regle!$B$23*IF(AO127=-2,1+regle!$B$35,1),
IF(V127=regle!$C$11,regle!$C$23,
IF(V127=regle!$D$11,regle!$D$23,
IF(V127=regle!$E$11,regle!$E$23,
IF(V127=regle!$F$11,regle!$F$23,
IF(V127=regle!$G$11,regle!$G$23,
IF(V127=regle!$H$11,regle!$H$23,
IF(V127=regle!$I$11,regle!$I$23,
IF(V127=regle!$J$11,regle!$J$23,
IF(V127=regle!$K$11,regle!$K$23,0))))))))))))</f>
        <v>0</v>
      </c>
      <c r="AG127" s="17">
        <f>IF($A127,$J127*(IF(W127=regle!$B$11,regle!$B$23*IF(AP127=-2,1+regle!$B$35,1),
IF(W127=regle!$C$11,regle!$C$23,
IF(W127=regle!$D$11,regle!$D$23,
IF(W127=regle!$E$11,regle!$E$23,
IF(W127=regle!$F$11,regle!$F$23,
IF(W127=regle!$G$11,regle!$G$23,
IF(W127=regle!$H$11,regle!$H$23,
IF(W127=regle!$I$11,regle!$I$23,
IF(W127=regle!$J$11,regle!$J$23,
IF(W127=regle!$K$11,regle!$K$23,0))))))))))))</f>
        <v>823.10400000000004</v>
      </c>
      <c r="AH127" s="17">
        <f>IF($A127,$J127*(IF(X127=regle!$B$11,regle!$B$23*IF(AQ127=-2,1+regle!$B$35,1),
IF(X127=regle!$C$11,regle!$C$23,
IF(X127=regle!$D$11,regle!$D$23,
IF(X127=regle!$E$11,regle!$E$23,
IF(X127=regle!$F$11,regle!$F$23,
IF(X127=regle!$G$11,regle!$G$23,
IF(X127=regle!$H$11,regle!$H$23,
IF(X127=regle!$I$11,regle!$I$23,
IF(X127=regle!$J$11,regle!$J$23,
IF(X127=regle!$K$11,regle!$K$23,0))))))))))))</f>
        <v>0</v>
      </c>
      <c r="AI127" s="17">
        <f>IF($A127,$J127*(IF(Y127=regle!$B$11,regle!$B$23*IF(AR127=-2,1+regle!$B$35,1),
IF(Y127=regle!$C$11,regle!$C$23,
IF(Y127=regle!$D$11,regle!$D$23,
IF(Y127=regle!$E$11,regle!$E$23,
IF(Y127=regle!$F$11,regle!$F$23,
IF(Y127=regle!$G$11,regle!$G$23,
IF(Y127=regle!$H$11,regle!$H$23,
IF(Y127=regle!$I$11,regle!$I$23,
IF(Y127=regle!$J$11,regle!$J$23,
IF(Y127=regle!$K$11,regle!$K$23,0))))))))))))</f>
        <v>0</v>
      </c>
      <c r="AJ127" s="17">
        <f>IF($A127,$J127*(IF(Z127=regle!$B$11,regle!$B$23*IF(AS127=-2,1+regle!$B$35,1),
IF(Z127=regle!$C$11,regle!$C$23,
IF(Z127=regle!$D$11,regle!$D$23,
IF(Z127=regle!$E$11,regle!$E$23,
IF(Z127=regle!$F$11,regle!$F$23,
IF(Z127=regle!$G$11,regle!$G$23,
IF(Z127=regle!$H$11,regle!$H$23,
IF(Z127=regle!$I$11,regle!$I$23,
IF(Z127=regle!$J$11,regle!$J$23,
IF(Z127=regle!$K$11,regle!$K$23,0))))))))))))</f>
        <v>0</v>
      </c>
      <c r="AK127" s="16">
        <f>IF(OR(Q127=regle!$J$11,Q127=regle!$K$11),-2,IF(Q127=regle!$B$11,0,IF(AK$1=$AK$1,IF($O127,-1,regle!$B$2-$M127),IF(AJ127=-1,-1,AJ127+1))))</f>
        <v>6</v>
      </c>
      <c r="AL127" s="16">
        <f>IF(OR(R127=regle!$J$11,R127=regle!$K$11),-2,IF(R127=regle!$B$11,0,IF(AL$1=$AK$1,IF($O127,-1,regle!$B$2-$M127),IF(AK127=-1,-1,AK127+1))))</f>
        <v>7</v>
      </c>
      <c r="AM127" s="16">
        <f>IF(OR(S127=regle!$J$11,S127=regle!$K$11),-2,IF(S127=regle!$B$11,0,IF(AM$1=$AK$1,IF($O127,-1,regle!$B$2-$M127),IF(AL127=-1,-1,AL127+1))))</f>
        <v>8</v>
      </c>
      <c r="AN127" s="16">
        <f>IF(OR(T127=regle!$J$11,T127=regle!$K$11),-2,IF(T127=regle!$B$11,0,IF(AN$1=$AK$1,IF($O127,-1,regle!$B$2-$M127),IF(AM127=-1,-1,AM127+1))))</f>
        <v>9</v>
      </c>
      <c r="AO127" s="16">
        <f>IF(OR(U127=regle!$J$11,U127=regle!$K$11),-2,IF(U127=regle!$B$11,0,IF(AO$1=$AK$1,IF($O127,-1,regle!$B$2-$M127),IF(AN127=-1,-1,AN127+1))))</f>
        <v>10</v>
      </c>
      <c r="AP127" s="16">
        <f>IF(OR(V127=regle!$J$11,V127=regle!$K$11),-2,IF(V127=regle!$B$11,0,IF(AP$1=$AK$1,IF($O127,-1,regle!$B$2-$M127),IF(AO127=-1,-1,AO127+1))))</f>
        <v>11</v>
      </c>
      <c r="AQ127" s="16">
        <f>IF(OR(W127=regle!$J$11,W127=regle!$K$11),-2,IF(W127=regle!$B$11,0,IF(AQ$1=$AK$1,IF($O127,-1,regle!$B$2-$M127),IF(AP127=-1,-1,AP127+1))))</f>
        <v>12</v>
      </c>
      <c r="AR127" s="16">
        <f>IF(OR(X127=regle!$J$11,X127=regle!$K$11),-2,IF(X127=regle!$B$11,0,IF(AR$1=$AK$1,IF($O127,-1,regle!$B$2-$M127),IF(AQ127=-1,-1,AQ127+1))))</f>
        <v>13</v>
      </c>
      <c r="AS127" s="16">
        <f>IF(OR(Y127=regle!$J$11,Y127=regle!$K$11),-2,IF(Y127=regle!$B$11,0,IF(AS$1=$AK$1,IF($O127,-1,regle!$B$2-$M127),IF(AR127=-1,-1,AR127+1))))</f>
        <v>14</v>
      </c>
      <c r="AT127" s="16">
        <f>IF(OR(Z127=regle!$J$11,Z127=regle!$K$11),-2,IF(Z127=regle!$B$11,0,IF(AT$1=$AK$1,IF($O127,-1,regle!$B$2-$M127),IF(AS127=-1,-1,AS127+1))))</f>
        <v>15</v>
      </c>
    </row>
    <row r="128" spans="1:46" x14ac:dyDescent="0.25">
      <c r="A128" t="b">
        <f>modif0!A202</f>
        <v>1</v>
      </c>
      <c r="B128">
        <f>ROW(modif0!B202)</f>
        <v>202</v>
      </c>
      <c r="C128" t="str">
        <f>modif0!D202</f>
        <v>202</v>
      </c>
      <c r="D128" t="str">
        <f>modif0!E202</f>
        <v>HOSTENS</v>
      </c>
      <c r="E128">
        <f>modif0!F202</f>
        <v>13</v>
      </c>
      <c r="F128" t="str">
        <f>modif0!G202</f>
        <v>LA BROUSTETTE</v>
      </c>
      <c r="G128" t="str">
        <f>modif0!I202</f>
        <v>0B</v>
      </c>
      <c r="H128">
        <f>modif0!J202</f>
        <v>1235</v>
      </c>
      <c r="I128" t="str">
        <f>modif0!K202</f>
        <v/>
      </c>
      <c r="J128" s="11">
        <f>modif0!M202</f>
        <v>1.325</v>
      </c>
      <c r="K128" s="11" t="str">
        <f>modif0!P202</f>
        <v>PLA</v>
      </c>
      <c r="L128" t="str">
        <f>modif0!N202</f>
        <v>PM</v>
      </c>
      <c r="M128">
        <f>modif0!Q202</f>
        <v>2018</v>
      </c>
      <c r="N128" t="str">
        <f>modif0!R202</f>
        <v>PLA-PM_2018</v>
      </c>
      <c r="O128" t="b">
        <f>modif0!S202</f>
        <v>0</v>
      </c>
      <c r="P128">
        <v>40</v>
      </c>
      <c r="R128" t="s">
        <v>1871</v>
      </c>
      <c r="W128" t="s">
        <v>1803</v>
      </c>
      <c r="AA128" s="17">
        <f>IF($A128,$J128*(IF(Q128=regle!$B$11,regle!$B$23*IF(AJ128=-2,1+regle!$B$35,1),
IF(Q128=regle!$C$11,regle!$C$23,
IF(Q128=regle!$D$11,regle!$D$23,
IF(Q128=regle!$E$11,regle!$E$23,
IF(Q128=regle!$F$11,regle!$F$23,
IF(Q128=regle!$G$11,regle!$G$23,
IF(Q128=regle!$H$11,regle!$H$23,
IF(Q128=regle!$I$11,regle!$I$23,
IF(Q128=regle!$J$11,regle!$J$23,
IF(Q128=regle!$K$11,regle!$K$23,0))))))))))))</f>
        <v>0</v>
      </c>
      <c r="AB128" s="17">
        <f>IF($A128,$J128*(IF(R128=regle!$B$11,regle!$B$23*IF(AK128=-2,1+regle!$B$35,1),
IF(R128=regle!$C$11,regle!$C$23,
IF(R128=regle!$D$11,regle!$D$23,
IF(R128=regle!$E$11,regle!$E$23,
IF(R128=regle!$F$11,regle!$F$23,
IF(R128=regle!$G$11,regle!$G$23,
IF(R128=regle!$H$11,regle!$H$23,
IF(R128=regle!$I$11,regle!$I$23,
IF(R128=regle!$J$11,regle!$J$23,
IF(R128=regle!$K$11,regle!$K$23,0))))))))))))</f>
        <v>-119.25</v>
      </c>
      <c r="AC128" s="17">
        <f>IF($A128,$J128*(IF(S128=regle!$B$11,regle!$B$23*IF(AL128=-2,1+regle!$B$35,1),
IF(S128=regle!$C$11,regle!$C$23,
IF(S128=regle!$D$11,regle!$D$23,
IF(S128=regle!$E$11,regle!$E$23,
IF(S128=regle!$F$11,regle!$F$23,
IF(S128=regle!$G$11,regle!$G$23,
IF(S128=regle!$H$11,regle!$H$23,
IF(S128=regle!$I$11,regle!$I$23,
IF(S128=regle!$J$11,regle!$J$23,
IF(S128=regle!$K$11,regle!$K$23,0))))))))))))</f>
        <v>0</v>
      </c>
      <c r="AD128" s="17">
        <f>IF($A128,$J128*(IF(T128=regle!$B$11,regle!$B$23*IF(AM128=-2,1+regle!$B$35,1),
IF(T128=regle!$C$11,regle!$C$23,
IF(T128=regle!$D$11,regle!$D$23,
IF(T128=regle!$E$11,regle!$E$23,
IF(T128=regle!$F$11,regle!$F$23,
IF(T128=regle!$G$11,regle!$G$23,
IF(T128=regle!$H$11,regle!$H$23,
IF(T128=regle!$I$11,regle!$I$23,
IF(T128=regle!$J$11,regle!$J$23,
IF(T128=regle!$K$11,regle!$K$23,0))))))))))))</f>
        <v>0</v>
      </c>
      <c r="AE128" s="17">
        <f>IF($A128,$J128*(IF(U128=regle!$B$11,regle!$B$23*IF(AN128=-2,1+regle!$B$35,1),
IF(U128=regle!$C$11,regle!$C$23,
IF(U128=regle!$D$11,regle!$D$23,
IF(U128=regle!$E$11,regle!$E$23,
IF(U128=regle!$F$11,regle!$F$23,
IF(U128=regle!$G$11,regle!$G$23,
IF(U128=regle!$H$11,regle!$H$23,
IF(U128=regle!$I$11,regle!$I$23,
IF(U128=regle!$J$11,regle!$J$23,
IF(U128=regle!$K$11,regle!$K$23,0))))))))))))</f>
        <v>0</v>
      </c>
      <c r="AF128" s="17">
        <f>IF($A128,$J128*(IF(V128=regle!$B$11,regle!$B$23*IF(AO128=-2,1+regle!$B$35,1),
IF(V128=regle!$C$11,regle!$C$23,
IF(V128=regle!$D$11,regle!$D$23,
IF(V128=regle!$E$11,regle!$E$23,
IF(V128=regle!$F$11,regle!$F$23,
IF(V128=regle!$G$11,regle!$G$23,
IF(V128=regle!$H$11,regle!$H$23,
IF(V128=regle!$I$11,regle!$I$23,
IF(V128=regle!$J$11,regle!$J$23,
IF(V128=regle!$K$11,regle!$K$23,0))))))))))))</f>
        <v>0</v>
      </c>
      <c r="AG128" s="17">
        <f>IF($A128,$J128*(IF(W128=regle!$B$11,regle!$B$23*IF(AP128=-2,1+regle!$B$35,1),
IF(W128=regle!$C$11,regle!$C$23,
IF(W128=regle!$D$11,regle!$D$23,
IF(W128=regle!$E$11,regle!$E$23,
IF(W128=regle!$F$11,regle!$F$23,
IF(W128=regle!$G$11,regle!$G$23,
IF(W128=regle!$H$11,regle!$H$23,
IF(W128=regle!$I$11,regle!$I$23,
IF(W128=regle!$J$11,regle!$J$23,
IF(W128=regle!$K$11,regle!$K$23,0))))))))))))</f>
        <v>763.19999999999993</v>
      </c>
      <c r="AH128" s="17">
        <f>IF($A128,$J128*(IF(X128=regle!$B$11,regle!$B$23*IF(AQ128=-2,1+regle!$B$35,1),
IF(X128=regle!$C$11,regle!$C$23,
IF(X128=regle!$D$11,regle!$D$23,
IF(X128=regle!$E$11,regle!$E$23,
IF(X128=regle!$F$11,regle!$F$23,
IF(X128=regle!$G$11,regle!$G$23,
IF(X128=regle!$H$11,regle!$H$23,
IF(X128=regle!$I$11,regle!$I$23,
IF(X128=regle!$J$11,regle!$J$23,
IF(X128=regle!$K$11,regle!$K$23,0))))))))))))</f>
        <v>0</v>
      </c>
      <c r="AI128" s="17">
        <f>IF($A128,$J128*(IF(Y128=regle!$B$11,regle!$B$23*IF(AR128=-2,1+regle!$B$35,1),
IF(Y128=regle!$C$11,regle!$C$23,
IF(Y128=regle!$D$11,regle!$D$23,
IF(Y128=regle!$E$11,regle!$E$23,
IF(Y128=regle!$F$11,regle!$F$23,
IF(Y128=regle!$G$11,regle!$G$23,
IF(Y128=regle!$H$11,regle!$H$23,
IF(Y128=regle!$I$11,regle!$I$23,
IF(Y128=regle!$J$11,regle!$J$23,
IF(Y128=regle!$K$11,regle!$K$23,0))))))))))))</f>
        <v>0</v>
      </c>
      <c r="AJ128" s="17">
        <f>IF($A128,$J128*(IF(Z128=regle!$B$11,regle!$B$23*IF(AS128=-2,1+regle!$B$35,1),
IF(Z128=regle!$C$11,regle!$C$23,
IF(Z128=regle!$D$11,regle!$D$23,
IF(Z128=regle!$E$11,regle!$E$23,
IF(Z128=regle!$F$11,regle!$F$23,
IF(Z128=regle!$G$11,regle!$G$23,
IF(Z128=regle!$H$11,regle!$H$23,
IF(Z128=regle!$I$11,regle!$I$23,
IF(Z128=regle!$J$11,regle!$J$23,
IF(Z128=regle!$K$11,regle!$K$23,0))))))))))))</f>
        <v>0</v>
      </c>
      <c r="AK128" s="16">
        <f>IF(OR(Q128=regle!$J$11,Q128=regle!$K$11),-2,IF(Q128=regle!$B$11,0,IF(AK$1=$AK$1,IF($O128,-1,regle!$B$2-$M128),IF(AJ128=-1,-1,AJ128+1))))</f>
        <v>6</v>
      </c>
      <c r="AL128" s="16">
        <f>IF(OR(R128=regle!$J$11,R128=regle!$K$11),-2,IF(R128=regle!$B$11,0,IF(AL$1=$AK$1,IF($O128,-1,regle!$B$2-$M128),IF(AK128=-1,-1,AK128+1))))</f>
        <v>7</v>
      </c>
      <c r="AM128" s="16">
        <f>IF(OR(S128=regle!$J$11,S128=regle!$K$11),-2,IF(S128=regle!$B$11,0,IF(AM$1=$AK$1,IF($O128,-1,regle!$B$2-$M128),IF(AL128=-1,-1,AL128+1))))</f>
        <v>8</v>
      </c>
      <c r="AN128" s="16">
        <f>IF(OR(T128=regle!$J$11,T128=regle!$K$11),-2,IF(T128=regle!$B$11,0,IF(AN$1=$AK$1,IF($O128,-1,regle!$B$2-$M128),IF(AM128=-1,-1,AM128+1))))</f>
        <v>9</v>
      </c>
      <c r="AO128" s="16">
        <f>IF(OR(U128=regle!$J$11,U128=regle!$K$11),-2,IF(U128=regle!$B$11,0,IF(AO$1=$AK$1,IF($O128,-1,regle!$B$2-$M128),IF(AN128=-1,-1,AN128+1))))</f>
        <v>10</v>
      </c>
      <c r="AP128" s="16">
        <f>IF(OR(V128=regle!$J$11,V128=regle!$K$11),-2,IF(V128=regle!$B$11,0,IF(AP$1=$AK$1,IF($O128,-1,regle!$B$2-$M128),IF(AO128=-1,-1,AO128+1))))</f>
        <v>11</v>
      </c>
      <c r="AQ128" s="16">
        <f>IF(OR(W128=regle!$J$11,W128=regle!$K$11),-2,IF(W128=regle!$B$11,0,IF(AQ$1=$AK$1,IF($O128,-1,regle!$B$2-$M128),IF(AP128=-1,-1,AP128+1))))</f>
        <v>12</v>
      </c>
      <c r="AR128" s="16">
        <f>IF(OR(X128=regle!$J$11,X128=regle!$K$11),-2,IF(X128=regle!$B$11,0,IF(AR$1=$AK$1,IF($O128,-1,regle!$B$2-$M128),IF(AQ128=-1,-1,AQ128+1))))</f>
        <v>13</v>
      </c>
      <c r="AS128" s="16">
        <f>IF(OR(Y128=regle!$J$11,Y128=regle!$K$11),-2,IF(Y128=regle!$B$11,0,IF(AS$1=$AK$1,IF($O128,-1,regle!$B$2-$M128),IF(AR128=-1,-1,AR128+1))))</f>
        <v>14</v>
      </c>
      <c r="AT128" s="16">
        <f>IF(OR(Z128=regle!$J$11,Z128=regle!$K$11),-2,IF(Z128=regle!$B$11,0,IF(AT$1=$AK$1,IF($O128,-1,regle!$B$2-$M128),IF(AS128=-1,-1,AS128+1))))</f>
        <v>15</v>
      </c>
    </row>
    <row r="129" spans="1:46" x14ac:dyDescent="0.25">
      <c r="A129" t="b">
        <f>modif0!A99</f>
        <v>1</v>
      </c>
      <c r="B129">
        <f>ROW(modif0!B99)</f>
        <v>99</v>
      </c>
      <c r="C129" t="str">
        <f>modif0!D99</f>
        <v>202</v>
      </c>
      <c r="D129" t="str">
        <f>modif0!E99</f>
        <v>HOSTENS</v>
      </c>
      <c r="E129">
        <f>modif0!F99</f>
        <v>11</v>
      </c>
      <c r="F129" t="str">
        <f>modif0!G99</f>
        <v>LES CAZALAS</v>
      </c>
      <c r="G129" t="str">
        <f>modif0!I99</f>
        <v>0B</v>
      </c>
      <c r="H129">
        <f>modif0!J99</f>
        <v>1136</v>
      </c>
      <c r="I129" t="str">
        <f>modif0!K99</f>
        <v/>
      </c>
      <c r="J129" s="11">
        <f>modif0!M99</f>
        <v>1.2035</v>
      </c>
      <c r="K129" s="11" t="str">
        <f>modif0!P99</f>
        <v>PLA</v>
      </c>
      <c r="L129" t="str">
        <f>modif0!N99</f>
        <v>PM</v>
      </c>
      <c r="M129">
        <f>modif0!Q99</f>
        <v>2018</v>
      </c>
      <c r="N129" t="str">
        <f>modif0!R99</f>
        <v>PLA-PM_2018</v>
      </c>
      <c r="O129" t="b">
        <f>modif0!S99</f>
        <v>0</v>
      </c>
      <c r="P129">
        <v>40</v>
      </c>
      <c r="R129" t="s">
        <v>1871</v>
      </c>
      <c r="W129" t="s">
        <v>1803</v>
      </c>
      <c r="AA129" s="17">
        <f>IF($A129,$J129*(IF(Q129=regle!$B$11,regle!$B$23*IF(AJ129=-2,1+regle!$B$35,1),
IF(Q129=regle!$C$11,regle!$C$23,
IF(Q129=regle!$D$11,regle!$D$23,
IF(Q129=regle!$E$11,regle!$E$23,
IF(Q129=regle!$F$11,regle!$F$23,
IF(Q129=regle!$G$11,regle!$G$23,
IF(Q129=regle!$H$11,regle!$H$23,
IF(Q129=regle!$I$11,regle!$I$23,
IF(Q129=regle!$J$11,regle!$J$23,
IF(Q129=regle!$K$11,regle!$K$23,0))))))))))))</f>
        <v>0</v>
      </c>
      <c r="AB129" s="17">
        <f>IF($A129,$J129*(IF(R129=regle!$B$11,regle!$B$23*IF(AK129=-2,1+regle!$B$35,1),
IF(R129=regle!$C$11,regle!$C$23,
IF(R129=regle!$D$11,regle!$D$23,
IF(R129=regle!$E$11,regle!$E$23,
IF(R129=regle!$F$11,regle!$F$23,
IF(R129=regle!$G$11,regle!$G$23,
IF(R129=regle!$H$11,regle!$H$23,
IF(R129=regle!$I$11,regle!$I$23,
IF(R129=regle!$J$11,regle!$J$23,
IF(R129=regle!$K$11,regle!$K$23,0))))))))))))</f>
        <v>-108.315</v>
      </c>
      <c r="AC129" s="17">
        <f>IF($A129,$J129*(IF(S129=regle!$B$11,regle!$B$23*IF(AL129=-2,1+regle!$B$35,1),
IF(S129=regle!$C$11,regle!$C$23,
IF(S129=regle!$D$11,regle!$D$23,
IF(S129=regle!$E$11,regle!$E$23,
IF(S129=regle!$F$11,regle!$F$23,
IF(S129=regle!$G$11,regle!$G$23,
IF(S129=regle!$H$11,regle!$H$23,
IF(S129=regle!$I$11,regle!$I$23,
IF(S129=regle!$J$11,regle!$J$23,
IF(S129=regle!$K$11,regle!$K$23,0))))))))))))</f>
        <v>0</v>
      </c>
      <c r="AD129" s="17">
        <f>IF($A129,$J129*(IF(T129=regle!$B$11,regle!$B$23*IF(AM129=-2,1+regle!$B$35,1),
IF(T129=regle!$C$11,regle!$C$23,
IF(T129=regle!$D$11,regle!$D$23,
IF(T129=regle!$E$11,regle!$E$23,
IF(T129=regle!$F$11,regle!$F$23,
IF(T129=regle!$G$11,regle!$G$23,
IF(T129=regle!$H$11,regle!$H$23,
IF(T129=regle!$I$11,regle!$I$23,
IF(T129=regle!$J$11,regle!$J$23,
IF(T129=regle!$K$11,regle!$K$23,0))))))))))))</f>
        <v>0</v>
      </c>
      <c r="AE129" s="17">
        <f>IF($A129,$J129*(IF(U129=regle!$B$11,regle!$B$23*IF(AN129=-2,1+regle!$B$35,1),
IF(U129=regle!$C$11,regle!$C$23,
IF(U129=regle!$D$11,regle!$D$23,
IF(U129=regle!$E$11,regle!$E$23,
IF(U129=regle!$F$11,regle!$F$23,
IF(U129=regle!$G$11,regle!$G$23,
IF(U129=regle!$H$11,regle!$H$23,
IF(U129=regle!$I$11,regle!$I$23,
IF(U129=regle!$J$11,regle!$J$23,
IF(U129=regle!$K$11,regle!$K$23,0))))))))))))</f>
        <v>0</v>
      </c>
      <c r="AF129" s="17">
        <f>IF($A129,$J129*(IF(V129=regle!$B$11,regle!$B$23*IF(AO129=-2,1+regle!$B$35,1),
IF(V129=regle!$C$11,regle!$C$23,
IF(V129=regle!$D$11,regle!$D$23,
IF(V129=regle!$E$11,regle!$E$23,
IF(V129=regle!$F$11,regle!$F$23,
IF(V129=regle!$G$11,regle!$G$23,
IF(V129=regle!$H$11,regle!$H$23,
IF(V129=regle!$I$11,regle!$I$23,
IF(V129=regle!$J$11,regle!$J$23,
IF(V129=regle!$K$11,regle!$K$23,0))))))))))))</f>
        <v>0</v>
      </c>
      <c r="AG129" s="17">
        <f>IF($A129,$J129*(IF(W129=regle!$B$11,regle!$B$23*IF(AP129=-2,1+regle!$B$35,1),
IF(W129=regle!$C$11,regle!$C$23,
IF(W129=regle!$D$11,regle!$D$23,
IF(W129=regle!$E$11,regle!$E$23,
IF(W129=regle!$F$11,regle!$F$23,
IF(W129=regle!$G$11,regle!$G$23,
IF(W129=regle!$H$11,regle!$H$23,
IF(W129=regle!$I$11,regle!$I$23,
IF(W129=regle!$J$11,regle!$J$23,
IF(W129=regle!$K$11,regle!$K$23,0))))))))))))</f>
        <v>693.21600000000001</v>
      </c>
      <c r="AH129" s="17">
        <f>IF($A129,$J129*(IF(X129=regle!$B$11,regle!$B$23*IF(AQ129=-2,1+regle!$B$35,1),
IF(X129=regle!$C$11,regle!$C$23,
IF(X129=regle!$D$11,regle!$D$23,
IF(X129=regle!$E$11,regle!$E$23,
IF(X129=regle!$F$11,regle!$F$23,
IF(X129=regle!$G$11,regle!$G$23,
IF(X129=regle!$H$11,regle!$H$23,
IF(X129=regle!$I$11,regle!$I$23,
IF(X129=regle!$J$11,regle!$J$23,
IF(X129=regle!$K$11,regle!$K$23,0))))))))))))</f>
        <v>0</v>
      </c>
      <c r="AI129" s="17">
        <f>IF($A129,$J129*(IF(Y129=regle!$B$11,regle!$B$23*IF(AR129=-2,1+regle!$B$35,1),
IF(Y129=regle!$C$11,regle!$C$23,
IF(Y129=regle!$D$11,regle!$D$23,
IF(Y129=regle!$E$11,regle!$E$23,
IF(Y129=regle!$F$11,regle!$F$23,
IF(Y129=regle!$G$11,regle!$G$23,
IF(Y129=regle!$H$11,regle!$H$23,
IF(Y129=regle!$I$11,regle!$I$23,
IF(Y129=regle!$J$11,regle!$J$23,
IF(Y129=regle!$K$11,regle!$K$23,0))))))))))))</f>
        <v>0</v>
      </c>
      <c r="AJ129" s="17">
        <f>IF($A129,$J129*(IF(Z129=regle!$B$11,regle!$B$23*IF(AS129=-2,1+regle!$B$35,1),
IF(Z129=regle!$C$11,regle!$C$23,
IF(Z129=regle!$D$11,regle!$D$23,
IF(Z129=regle!$E$11,regle!$E$23,
IF(Z129=regle!$F$11,regle!$F$23,
IF(Z129=regle!$G$11,regle!$G$23,
IF(Z129=regle!$H$11,regle!$H$23,
IF(Z129=regle!$I$11,regle!$I$23,
IF(Z129=regle!$J$11,regle!$J$23,
IF(Z129=regle!$K$11,regle!$K$23,0))))))))))))</f>
        <v>0</v>
      </c>
      <c r="AK129" s="16">
        <f>IF(OR(Q129=regle!$J$11,Q129=regle!$K$11),-2,IF(Q129=regle!$B$11,0,IF(AK$1=$AK$1,IF($O129,-1,regle!$B$2-$M129),IF(AJ129=-1,-1,AJ129+1))))</f>
        <v>6</v>
      </c>
      <c r="AL129" s="16">
        <f>IF(OR(R129=regle!$J$11,R129=regle!$K$11),-2,IF(R129=regle!$B$11,0,IF(AL$1=$AK$1,IF($O129,-1,regle!$B$2-$M129),IF(AK129=-1,-1,AK129+1))))</f>
        <v>7</v>
      </c>
      <c r="AM129" s="16">
        <f>IF(OR(S129=regle!$J$11,S129=regle!$K$11),-2,IF(S129=regle!$B$11,0,IF(AM$1=$AK$1,IF($O129,-1,regle!$B$2-$M129),IF(AL129=-1,-1,AL129+1))))</f>
        <v>8</v>
      </c>
      <c r="AN129" s="16">
        <f>IF(OR(T129=regle!$J$11,T129=regle!$K$11),-2,IF(T129=regle!$B$11,0,IF(AN$1=$AK$1,IF($O129,-1,regle!$B$2-$M129),IF(AM129=-1,-1,AM129+1))))</f>
        <v>9</v>
      </c>
      <c r="AO129" s="16">
        <f>IF(OR(U129=regle!$J$11,U129=regle!$K$11),-2,IF(U129=regle!$B$11,0,IF(AO$1=$AK$1,IF($O129,-1,regle!$B$2-$M129),IF(AN129=-1,-1,AN129+1))))</f>
        <v>10</v>
      </c>
      <c r="AP129" s="16">
        <f>IF(OR(V129=regle!$J$11,V129=regle!$K$11),-2,IF(V129=regle!$B$11,0,IF(AP$1=$AK$1,IF($O129,-1,regle!$B$2-$M129),IF(AO129=-1,-1,AO129+1))))</f>
        <v>11</v>
      </c>
      <c r="AQ129" s="16">
        <f>IF(OR(W129=regle!$J$11,W129=regle!$K$11),-2,IF(W129=regle!$B$11,0,IF(AQ$1=$AK$1,IF($O129,-1,regle!$B$2-$M129),IF(AP129=-1,-1,AP129+1))))</f>
        <v>12</v>
      </c>
      <c r="AR129" s="16">
        <f>IF(OR(X129=regle!$J$11,X129=regle!$K$11),-2,IF(X129=regle!$B$11,0,IF(AR$1=$AK$1,IF($O129,-1,regle!$B$2-$M129),IF(AQ129=-1,-1,AQ129+1))))</f>
        <v>13</v>
      </c>
      <c r="AS129" s="16">
        <f>IF(OR(Y129=regle!$J$11,Y129=regle!$K$11),-2,IF(Y129=regle!$B$11,0,IF(AS$1=$AK$1,IF($O129,-1,regle!$B$2-$M129),IF(AR129=-1,-1,AR129+1))))</f>
        <v>14</v>
      </c>
      <c r="AT129" s="16">
        <f>IF(OR(Z129=regle!$J$11,Z129=regle!$K$11),-2,IF(Z129=regle!$B$11,0,IF(AT$1=$AK$1,IF($O129,-1,regle!$B$2-$M129),IF(AS129=-1,-1,AS129+1))))</f>
        <v>15</v>
      </c>
    </row>
    <row r="130" spans="1:46" x14ac:dyDescent="0.25">
      <c r="A130" t="b">
        <f>modif0!A201</f>
        <v>1</v>
      </c>
      <c r="B130">
        <f>ROW(modif0!B201)</f>
        <v>201</v>
      </c>
      <c r="C130" t="str">
        <f>modif0!D201</f>
        <v>202</v>
      </c>
      <c r="D130" t="str">
        <f>modif0!E201</f>
        <v>HOSTENS</v>
      </c>
      <c r="E130">
        <f>modif0!F201</f>
        <v>13</v>
      </c>
      <c r="F130" t="str">
        <f>modif0!G201</f>
        <v>LA BROUSTETTE</v>
      </c>
      <c r="G130" t="str">
        <f>modif0!I201</f>
        <v>0B</v>
      </c>
      <c r="H130">
        <f>modif0!J201</f>
        <v>1228</v>
      </c>
      <c r="I130" t="str">
        <f>modif0!K201</f>
        <v/>
      </c>
      <c r="J130" s="11">
        <f>modif0!M201</f>
        <v>0.53200000000000003</v>
      </c>
      <c r="K130" s="11" t="str">
        <f>modif0!P201</f>
        <v>PLA</v>
      </c>
      <c r="L130" t="str">
        <f>modif0!N201</f>
        <v>PM</v>
      </c>
      <c r="M130">
        <f>modif0!Q201</f>
        <v>2018</v>
      </c>
      <c r="N130" t="str">
        <f>modif0!R201</f>
        <v>PLA-PM_2018</v>
      </c>
      <c r="O130" t="b">
        <f>modif0!S201</f>
        <v>0</v>
      </c>
      <c r="P130">
        <v>40</v>
      </c>
      <c r="R130" t="s">
        <v>1871</v>
      </c>
      <c r="W130" t="s">
        <v>1803</v>
      </c>
      <c r="AA130" s="17">
        <f>IF($A130,$J130*(IF(Q130=regle!$B$11,regle!$B$23*IF(AJ130=-2,1+regle!$B$35,1),
IF(Q130=regle!$C$11,regle!$C$23,
IF(Q130=regle!$D$11,regle!$D$23,
IF(Q130=regle!$E$11,regle!$E$23,
IF(Q130=regle!$F$11,regle!$F$23,
IF(Q130=regle!$G$11,regle!$G$23,
IF(Q130=regle!$H$11,regle!$H$23,
IF(Q130=regle!$I$11,regle!$I$23,
IF(Q130=regle!$J$11,regle!$J$23,
IF(Q130=regle!$K$11,regle!$K$23,0))))))))))))</f>
        <v>0</v>
      </c>
      <c r="AB130" s="17">
        <f>IF($A130,$J130*(IF(R130=regle!$B$11,regle!$B$23*IF(AK130=-2,1+regle!$B$35,1),
IF(R130=regle!$C$11,regle!$C$23,
IF(R130=regle!$D$11,regle!$D$23,
IF(R130=regle!$E$11,regle!$E$23,
IF(R130=regle!$F$11,regle!$F$23,
IF(R130=regle!$G$11,regle!$G$23,
IF(R130=regle!$H$11,regle!$H$23,
IF(R130=regle!$I$11,regle!$I$23,
IF(R130=regle!$J$11,regle!$J$23,
IF(R130=regle!$K$11,regle!$K$23,0))))))))))))</f>
        <v>-47.88</v>
      </c>
      <c r="AC130" s="17">
        <f>IF($A130,$J130*(IF(S130=regle!$B$11,regle!$B$23*IF(AL130=-2,1+regle!$B$35,1),
IF(S130=regle!$C$11,regle!$C$23,
IF(S130=regle!$D$11,regle!$D$23,
IF(S130=regle!$E$11,regle!$E$23,
IF(S130=regle!$F$11,regle!$F$23,
IF(S130=regle!$G$11,regle!$G$23,
IF(S130=regle!$H$11,regle!$H$23,
IF(S130=regle!$I$11,regle!$I$23,
IF(S130=regle!$J$11,regle!$J$23,
IF(S130=regle!$K$11,regle!$K$23,0))))))))))))</f>
        <v>0</v>
      </c>
      <c r="AD130" s="17">
        <f>IF($A130,$J130*(IF(T130=regle!$B$11,regle!$B$23*IF(AM130=-2,1+regle!$B$35,1),
IF(T130=regle!$C$11,regle!$C$23,
IF(T130=regle!$D$11,regle!$D$23,
IF(T130=regle!$E$11,regle!$E$23,
IF(T130=regle!$F$11,regle!$F$23,
IF(T130=regle!$G$11,regle!$G$23,
IF(T130=regle!$H$11,regle!$H$23,
IF(T130=regle!$I$11,regle!$I$23,
IF(T130=regle!$J$11,regle!$J$23,
IF(T130=regle!$K$11,regle!$K$23,0))))))))))))</f>
        <v>0</v>
      </c>
      <c r="AE130" s="17">
        <f>IF($A130,$J130*(IF(U130=regle!$B$11,regle!$B$23*IF(AN130=-2,1+regle!$B$35,1),
IF(U130=regle!$C$11,regle!$C$23,
IF(U130=regle!$D$11,regle!$D$23,
IF(U130=regle!$E$11,regle!$E$23,
IF(U130=regle!$F$11,regle!$F$23,
IF(U130=regle!$G$11,regle!$G$23,
IF(U130=regle!$H$11,regle!$H$23,
IF(U130=regle!$I$11,regle!$I$23,
IF(U130=regle!$J$11,regle!$J$23,
IF(U130=regle!$K$11,regle!$K$23,0))))))))))))</f>
        <v>0</v>
      </c>
      <c r="AF130" s="17">
        <f>IF($A130,$J130*(IF(V130=regle!$B$11,regle!$B$23*IF(AO130=-2,1+regle!$B$35,1),
IF(V130=regle!$C$11,regle!$C$23,
IF(V130=regle!$D$11,regle!$D$23,
IF(V130=regle!$E$11,regle!$E$23,
IF(V130=regle!$F$11,regle!$F$23,
IF(V130=regle!$G$11,regle!$G$23,
IF(V130=regle!$H$11,regle!$H$23,
IF(V130=regle!$I$11,regle!$I$23,
IF(V130=regle!$J$11,regle!$J$23,
IF(V130=regle!$K$11,regle!$K$23,0))))))))))))</f>
        <v>0</v>
      </c>
      <c r="AG130" s="17">
        <f>IF($A130,$J130*(IF(W130=regle!$B$11,regle!$B$23*IF(AP130=-2,1+regle!$B$35,1),
IF(W130=regle!$C$11,regle!$C$23,
IF(W130=regle!$D$11,regle!$D$23,
IF(W130=regle!$E$11,regle!$E$23,
IF(W130=regle!$F$11,regle!$F$23,
IF(W130=regle!$G$11,regle!$G$23,
IF(W130=regle!$H$11,regle!$H$23,
IF(W130=regle!$I$11,regle!$I$23,
IF(W130=regle!$J$11,regle!$J$23,
IF(W130=regle!$K$11,regle!$K$23,0))))))))))))</f>
        <v>306.43200000000002</v>
      </c>
      <c r="AH130" s="17">
        <f>IF($A130,$J130*(IF(X130=regle!$B$11,regle!$B$23*IF(AQ130=-2,1+regle!$B$35,1),
IF(X130=regle!$C$11,regle!$C$23,
IF(X130=regle!$D$11,regle!$D$23,
IF(X130=regle!$E$11,regle!$E$23,
IF(X130=regle!$F$11,regle!$F$23,
IF(X130=regle!$G$11,regle!$G$23,
IF(X130=regle!$H$11,regle!$H$23,
IF(X130=regle!$I$11,regle!$I$23,
IF(X130=regle!$J$11,regle!$J$23,
IF(X130=regle!$K$11,regle!$K$23,0))))))))))))</f>
        <v>0</v>
      </c>
      <c r="AI130" s="17">
        <f>IF($A130,$J130*(IF(Y130=regle!$B$11,regle!$B$23*IF(AR130=-2,1+regle!$B$35,1),
IF(Y130=regle!$C$11,regle!$C$23,
IF(Y130=regle!$D$11,regle!$D$23,
IF(Y130=regle!$E$11,regle!$E$23,
IF(Y130=regle!$F$11,regle!$F$23,
IF(Y130=regle!$G$11,regle!$G$23,
IF(Y130=regle!$H$11,regle!$H$23,
IF(Y130=regle!$I$11,regle!$I$23,
IF(Y130=regle!$J$11,regle!$J$23,
IF(Y130=regle!$K$11,regle!$K$23,0))))))))))))</f>
        <v>0</v>
      </c>
      <c r="AJ130" s="17">
        <f>IF($A130,$J130*(IF(Z130=regle!$B$11,regle!$B$23*IF(AS130=-2,1+regle!$B$35,1),
IF(Z130=regle!$C$11,regle!$C$23,
IF(Z130=regle!$D$11,regle!$D$23,
IF(Z130=regle!$E$11,regle!$E$23,
IF(Z130=regle!$F$11,regle!$F$23,
IF(Z130=regle!$G$11,regle!$G$23,
IF(Z130=regle!$H$11,regle!$H$23,
IF(Z130=regle!$I$11,regle!$I$23,
IF(Z130=regle!$J$11,regle!$J$23,
IF(Z130=regle!$K$11,regle!$K$23,0))))))))))))</f>
        <v>0</v>
      </c>
      <c r="AK130" s="16">
        <f>IF(OR(Q130=regle!$J$11,Q130=regle!$K$11),-2,IF(Q130=regle!$B$11,0,IF(AK$1=$AK$1,IF($O130,-1,regle!$B$2-$M130),IF(AJ130=-1,-1,AJ130+1))))</f>
        <v>6</v>
      </c>
      <c r="AL130" s="16">
        <f>IF(OR(R130=regle!$J$11,R130=regle!$K$11),-2,IF(R130=regle!$B$11,0,IF(AL$1=$AK$1,IF($O130,-1,regle!$B$2-$M130),IF(AK130=-1,-1,AK130+1))))</f>
        <v>7</v>
      </c>
      <c r="AM130" s="16">
        <f>IF(OR(S130=regle!$J$11,S130=regle!$K$11),-2,IF(S130=regle!$B$11,0,IF(AM$1=$AK$1,IF($O130,-1,regle!$B$2-$M130),IF(AL130=-1,-1,AL130+1))))</f>
        <v>8</v>
      </c>
      <c r="AN130" s="16">
        <f>IF(OR(T130=regle!$J$11,T130=regle!$K$11),-2,IF(T130=regle!$B$11,0,IF(AN$1=$AK$1,IF($O130,-1,regle!$B$2-$M130),IF(AM130=-1,-1,AM130+1))))</f>
        <v>9</v>
      </c>
      <c r="AO130" s="16">
        <f>IF(OR(U130=regle!$J$11,U130=regle!$K$11),-2,IF(U130=regle!$B$11,0,IF(AO$1=$AK$1,IF($O130,-1,regle!$B$2-$M130),IF(AN130=-1,-1,AN130+1))))</f>
        <v>10</v>
      </c>
      <c r="AP130" s="16">
        <f>IF(OR(V130=regle!$J$11,V130=regle!$K$11),-2,IF(V130=regle!$B$11,0,IF(AP$1=$AK$1,IF($O130,-1,regle!$B$2-$M130),IF(AO130=-1,-1,AO130+1))))</f>
        <v>11</v>
      </c>
      <c r="AQ130" s="16">
        <f>IF(OR(W130=regle!$J$11,W130=regle!$K$11),-2,IF(W130=regle!$B$11,0,IF(AQ$1=$AK$1,IF($O130,-1,regle!$B$2-$M130),IF(AP130=-1,-1,AP130+1))))</f>
        <v>12</v>
      </c>
      <c r="AR130" s="16">
        <f>IF(OR(X130=regle!$J$11,X130=regle!$K$11),-2,IF(X130=regle!$B$11,0,IF(AR$1=$AK$1,IF($O130,-1,regle!$B$2-$M130),IF(AQ130=-1,-1,AQ130+1))))</f>
        <v>13</v>
      </c>
      <c r="AS130" s="16">
        <f>IF(OR(Y130=regle!$J$11,Y130=regle!$K$11),-2,IF(Y130=regle!$B$11,0,IF(AS$1=$AK$1,IF($O130,-1,regle!$B$2-$M130),IF(AR130=-1,-1,AR130+1))))</f>
        <v>14</v>
      </c>
      <c r="AT130" s="16">
        <f>IF(OR(Z130=regle!$J$11,Z130=regle!$K$11),-2,IF(Z130=regle!$B$11,0,IF(AT$1=$AK$1,IF($O130,-1,regle!$B$2-$M130),IF(AS130=-1,-1,AS130+1))))</f>
        <v>15</v>
      </c>
    </row>
    <row r="131" spans="1:46" x14ac:dyDescent="0.25">
      <c r="A131" t="b">
        <f>modif0!A109</f>
        <v>1</v>
      </c>
      <c r="B131">
        <f>ROW(modif0!B109)</f>
        <v>109</v>
      </c>
      <c r="C131" t="str">
        <f>modif0!D109</f>
        <v>202</v>
      </c>
      <c r="D131" t="str">
        <f>modif0!E109</f>
        <v>HOSTENS</v>
      </c>
      <c r="E131">
        <f>modif0!F109</f>
        <v>11</v>
      </c>
      <c r="F131" t="str">
        <f>modif0!G109</f>
        <v>LES CAZALAS</v>
      </c>
      <c r="G131" t="str">
        <f>modif0!I109</f>
        <v>0B</v>
      </c>
      <c r="H131">
        <f>modif0!J109</f>
        <v>1142</v>
      </c>
      <c r="I131" t="str">
        <f>modif0!K109</f>
        <v>k</v>
      </c>
      <c r="J131" s="11">
        <f>modif0!M109</f>
        <v>0.50990000000000002</v>
      </c>
      <c r="K131" s="11" t="str">
        <f>modif0!P109</f>
        <v>PLA</v>
      </c>
      <c r="L131" t="str">
        <f>modif0!N109</f>
        <v>PM</v>
      </c>
      <c r="M131">
        <f>modif0!Q109</f>
        <v>2018</v>
      </c>
      <c r="N131" t="str">
        <f>modif0!R109</f>
        <v>PLA-PM_2018</v>
      </c>
      <c r="O131" t="b">
        <f>modif0!S109</f>
        <v>0</v>
      </c>
      <c r="P131">
        <v>40</v>
      </c>
      <c r="R131" t="s">
        <v>1871</v>
      </c>
      <c r="W131" t="s">
        <v>1803</v>
      </c>
      <c r="AA131" s="17">
        <f>IF($A131,$J131*(IF(Q131=regle!$B$11,regle!$B$23*IF(AJ131=-2,1+regle!$B$35,1),
IF(Q131=regle!$C$11,regle!$C$23,
IF(Q131=regle!$D$11,regle!$D$23,
IF(Q131=regle!$E$11,regle!$E$23,
IF(Q131=regle!$F$11,regle!$F$23,
IF(Q131=regle!$G$11,regle!$G$23,
IF(Q131=regle!$H$11,regle!$H$23,
IF(Q131=regle!$I$11,regle!$I$23,
IF(Q131=regle!$J$11,regle!$J$23,
IF(Q131=regle!$K$11,regle!$K$23,0))))))))))))</f>
        <v>0</v>
      </c>
      <c r="AB131" s="17">
        <f>IF($A131,$J131*(IF(R131=regle!$B$11,regle!$B$23*IF(AK131=-2,1+regle!$B$35,1),
IF(R131=regle!$C$11,regle!$C$23,
IF(R131=regle!$D$11,regle!$D$23,
IF(R131=regle!$E$11,regle!$E$23,
IF(R131=regle!$F$11,regle!$F$23,
IF(R131=regle!$G$11,regle!$G$23,
IF(R131=regle!$H$11,regle!$H$23,
IF(R131=regle!$I$11,regle!$I$23,
IF(R131=regle!$J$11,regle!$J$23,
IF(R131=regle!$K$11,regle!$K$23,0))))))))))))</f>
        <v>-45.891000000000005</v>
      </c>
      <c r="AC131" s="17">
        <f>IF($A131,$J131*(IF(S131=regle!$B$11,regle!$B$23*IF(AL131=-2,1+regle!$B$35,1),
IF(S131=regle!$C$11,regle!$C$23,
IF(S131=regle!$D$11,regle!$D$23,
IF(S131=regle!$E$11,regle!$E$23,
IF(S131=regle!$F$11,regle!$F$23,
IF(S131=regle!$G$11,regle!$G$23,
IF(S131=regle!$H$11,regle!$H$23,
IF(S131=regle!$I$11,regle!$I$23,
IF(S131=regle!$J$11,regle!$J$23,
IF(S131=regle!$K$11,regle!$K$23,0))))))))))))</f>
        <v>0</v>
      </c>
      <c r="AD131" s="17">
        <f>IF($A131,$J131*(IF(T131=regle!$B$11,regle!$B$23*IF(AM131=-2,1+regle!$B$35,1),
IF(T131=regle!$C$11,regle!$C$23,
IF(T131=regle!$D$11,regle!$D$23,
IF(T131=regle!$E$11,regle!$E$23,
IF(T131=regle!$F$11,regle!$F$23,
IF(T131=regle!$G$11,regle!$G$23,
IF(T131=regle!$H$11,regle!$H$23,
IF(T131=regle!$I$11,regle!$I$23,
IF(T131=regle!$J$11,regle!$J$23,
IF(T131=regle!$K$11,regle!$K$23,0))))))))))))</f>
        <v>0</v>
      </c>
      <c r="AE131" s="17">
        <f>IF($A131,$J131*(IF(U131=regle!$B$11,regle!$B$23*IF(AN131=-2,1+regle!$B$35,1),
IF(U131=regle!$C$11,regle!$C$23,
IF(U131=regle!$D$11,regle!$D$23,
IF(U131=regle!$E$11,regle!$E$23,
IF(U131=regle!$F$11,regle!$F$23,
IF(U131=regle!$G$11,regle!$G$23,
IF(U131=regle!$H$11,regle!$H$23,
IF(U131=regle!$I$11,regle!$I$23,
IF(U131=regle!$J$11,regle!$J$23,
IF(U131=regle!$K$11,regle!$K$23,0))))))))))))</f>
        <v>0</v>
      </c>
      <c r="AF131" s="17">
        <f>IF($A131,$J131*(IF(V131=regle!$B$11,regle!$B$23*IF(AO131=-2,1+regle!$B$35,1),
IF(V131=regle!$C$11,regle!$C$23,
IF(V131=regle!$D$11,regle!$D$23,
IF(V131=regle!$E$11,regle!$E$23,
IF(V131=regle!$F$11,regle!$F$23,
IF(V131=regle!$G$11,regle!$G$23,
IF(V131=regle!$H$11,regle!$H$23,
IF(V131=regle!$I$11,regle!$I$23,
IF(V131=regle!$J$11,regle!$J$23,
IF(V131=regle!$K$11,regle!$K$23,0))))))))))))</f>
        <v>0</v>
      </c>
      <c r="AG131" s="17">
        <f>IF($A131,$J131*(IF(W131=regle!$B$11,regle!$B$23*IF(AP131=-2,1+regle!$B$35,1),
IF(W131=regle!$C$11,regle!$C$23,
IF(W131=regle!$D$11,regle!$D$23,
IF(W131=regle!$E$11,regle!$E$23,
IF(W131=regle!$F$11,regle!$F$23,
IF(W131=regle!$G$11,regle!$G$23,
IF(W131=regle!$H$11,regle!$H$23,
IF(W131=regle!$I$11,regle!$I$23,
IF(W131=regle!$J$11,regle!$J$23,
IF(W131=regle!$K$11,regle!$K$23,0))))))))))))</f>
        <v>293.70240000000001</v>
      </c>
      <c r="AH131" s="17">
        <f>IF($A131,$J131*(IF(X131=regle!$B$11,regle!$B$23*IF(AQ131=-2,1+regle!$B$35,1),
IF(X131=regle!$C$11,regle!$C$23,
IF(X131=regle!$D$11,regle!$D$23,
IF(X131=regle!$E$11,regle!$E$23,
IF(X131=regle!$F$11,regle!$F$23,
IF(X131=regle!$G$11,regle!$G$23,
IF(X131=regle!$H$11,regle!$H$23,
IF(X131=regle!$I$11,regle!$I$23,
IF(X131=regle!$J$11,regle!$J$23,
IF(X131=regle!$K$11,regle!$K$23,0))))))))))))</f>
        <v>0</v>
      </c>
      <c r="AI131" s="17">
        <f>IF($A131,$J131*(IF(Y131=regle!$B$11,regle!$B$23*IF(AR131=-2,1+regle!$B$35,1),
IF(Y131=regle!$C$11,regle!$C$23,
IF(Y131=regle!$D$11,regle!$D$23,
IF(Y131=regle!$E$11,regle!$E$23,
IF(Y131=regle!$F$11,regle!$F$23,
IF(Y131=regle!$G$11,regle!$G$23,
IF(Y131=regle!$H$11,regle!$H$23,
IF(Y131=regle!$I$11,regle!$I$23,
IF(Y131=regle!$J$11,regle!$J$23,
IF(Y131=regle!$K$11,regle!$K$23,0))))))))))))</f>
        <v>0</v>
      </c>
      <c r="AJ131" s="17">
        <f>IF($A131,$J131*(IF(Z131=regle!$B$11,regle!$B$23*IF(AS131=-2,1+regle!$B$35,1),
IF(Z131=regle!$C$11,regle!$C$23,
IF(Z131=regle!$D$11,regle!$D$23,
IF(Z131=regle!$E$11,regle!$E$23,
IF(Z131=regle!$F$11,regle!$F$23,
IF(Z131=regle!$G$11,regle!$G$23,
IF(Z131=regle!$H$11,regle!$H$23,
IF(Z131=regle!$I$11,regle!$I$23,
IF(Z131=regle!$J$11,regle!$J$23,
IF(Z131=regle!$K$11,regle!$K$23,0))))))))))))</f>
        <v>0</v>
      </c>
      <c r="AK131" s="16">
        <f>IF(OR(Q131=regle!$J$11,Q131=regle!$K$11),-2,IF(Q131=regle!$B$11,0,IF(AK$1=$AK$1,IF($O131,-1,regle!$B$2-$M131),IF(AJ131=-1,-1,AJ131+1))))</f>
        <v>6</v>
      </c>
      <c r="AL131" s="16">
        <f>IF(OR(R131=regle!$J$11,R131=regle!$K$11),-2,IF(R131=regle!$B$11,0,IF(AL$1=$AK$1,IF($O131,-1,regle!$B$2-$M131),IF(AK131=-1,-1,AK131+1))))</f>
        <v>7</v>
      </c>
      <c r="AM131" s="16">
        <f>IF(OR(S131=regle!$J$11,S131=regle!$K$11),-2,IF(S131=regle!$B$11,0,IF(AM$1=$AK$1,IF($O131,-1,regle!$B$2-$M131),IF(AL131=-1,-1,AL131+1))))</f>
        <v>8</v>
      </c>
      <c r="AN131" s="16">
        <f>IF(OR(T131=regle!$J$11,T131=regle!$K$11),-2,IF(T131=regle!$B$11,0,IF(AN$1=$AK$1,IF($O131,-1,regle!$B$2-$M131),IF(AM131=-1,-1,AM131+1))))</f>
        <v>9</v>
      </c>
      <c r="AO131" s="16">
        <f>IF(OR(U131=regle!$J$11,U131=regle!$K$11),-2,IF(U131=regle!$B$11,0,IF(AO$1=$AK$1,IF($O131,-1,regle!$B$2-$M131),IF(AN131=-1,-1,AN131+1))))</f>
        <v>10</v>
      </c>
      <c r="AP131" s="16">
        <f>IF(OR(V131=regle!$J$11,V131=regle!$K$11),-2,IF(V131=regle!$B$11,0,IF(AP$1=$AK$1,IF($O131,-1,regle!$B$2-$M131),IF(AO131=-1,-1,AO131+1))))</f>
        <v>11</v>
      </c>
      <c r="AQ131" s="16">
        <f>IF(OR(W131=regle!$J$11,W131=regle!$K$11),-2,IF(W131=regle!$B$11,0,IF(AQ$1=$AK$1,IF($O131,-1,regle!$B$2-$M131),IF(AP131=-1,-1,AP131+1))))</f>
        <v>12</v>
      </c>
      <c r="AR131" s="16">
        <f>IF(OR(X131=regle!$J$11,X131=regle!$K$11),-2,IF(X131=regle!$B$11,0,IF(AR$1=$AK$1,IF($O131,-1,regle!$B$2-$M131),IF(AQ131=-1,-1,AQ131+1))))</f>
        <v>13</v>
      </c>
      <c r="AS131" s="16">
        <f>IF(OR(Y131=regle!$J$11,Y131=regle!$K$11),-2,IF(Y131=regle!$B$11,0,IF(AS$1=$AK$1,IF($O131,-1,regle!$B$2-$M131),IF(AR131=-1,-1,AR131+1))))</f>
        <v>14</v>
      </c>
      <c r="AT131" s="16">
        <f>IF(OR(Z131=regle!$J$11,Z131=regle!$K$11),-2,IF(Z131=regle!$B$11,0,IF(AT$1=$AK$1,IF($O131,-1,regle!$B$2-$M131),IF(AS131=-1,-1,AS131+1))))</f>
        <v>15</v>
      </c>
    </row>
    <row r="132" spans="1:46" x14ac:dyDescent="0.25">
      <c r="A132" t="b">
        <f>modif0!A206</f>
        <v>1</v>
      </c>
      <c r="B132">
        <f>ROW(modif0!B206)</f>
        <v>206</v>
      </c>
      <c r="C132" t="str">
        <f>modif0!D206</f>
        <v>202</v>
      </c>
      <c r="D132" t="str">
        <f>modif0!E206</f>
        <v>HOSTENS</v>
      </c>
      <c r="E132">
        <f>modif0!F206</f>
        <v>13</v>
      </c>
      <c r="F132" t="str">
        <f>modif0!G206</f>
        <v>LA BROUSTETTE</v>
      </c>
      <c r="G132" t="str">
        <f>modif0!I206</f>
        <v>0B</v>
      </c>
      <c r="H132">
        <f>modif0!J206</f>
        <v>1244</v>
      </c>
      <c r="I132" t="str">
        <f>modif0!K206</f>
        <v>k</v>
      </c>
      <c r="J132" s="11">
        <f>modif0!M206</f>
        <v>0.44269999999999998</v>
      </c>
      <c r="K132" s="11" t="str">
        <f>modif0!P206</f>
        <v>PLA</v>
      </c>
      <c r="L132" t="str">
        <f>modif0!N206</f>
        <v>PM</v>
      </c>
      <c r="M132">
        <f>modif0!Q206</f>
        <v>2018</v>
      </c>
      <c r="N132" t="str">
        <f>modif0!R206</f>
        <v>PLA-PM_2018</v>
      </c>
      <c r="O132" t="b">
        <f>modif0!S206</f>
        <v>0</v>
      </c>
      <c r="P132">
        <v>40</v>
      </c>
      <c r="R132" t="s">
        <v>1871</v>
      </c>
      <c r="W132" t="s">
        <v>1803</v>
      </c>
      <c r="AA132" s="17">
        <f>IF($A132,$J132*(IF(Q132=regle!$B$11,regle!$B$23*IF(AJ132=-2,1+regle!$B$35,1),
IF(Q132=regle!$C$11,regle!$C$23,
IF(Q132=regle!$D$11,regle!$D$23,
IF(Q132=regle!$E$11,regle!$E$23,
IF(Q132=regle!$F$11,regle!$F$23,
IF(Q132=regle!$G$11,regle!$G$23,
IF(Q132=regle!$H$11,regle!$H$23,
IF(Q132=regle!$I$11,regle!$I$23,
IF(Q132=regle!$J$11,regle!$J$23,
IF(Q132=regle!$K$11,regle!$K$23,0))))))))))))</f>
        <v>0</v>
      </c>
      <c r="AB132" s="17">
        <f>IF($A132,$J132*(IF(R132=regle!$B$11,regle!$B$23*IF(AK132=-2,1+regle!$B$35,1),
IF(R132=regle!$C$11,regle!$C$23,
IF(R132=regle!$D$11,regle!$D$23,
IF(R132=regle!$E$11,regle!$E$23,
IF(R132=regle!$F$11,regle!$F$23,
IF(R132=regle!$G$11,regle!$G$23,
IF(R132=regle!$H$11,regle!$H$23,
IF(R132=regle!$I$11,regle!$I$23,
IF(R132=regle!$J$11,regle!$J$23,
IF(R132=regle!$K$11,regle!$K$23,0))))))))))))</f>
        <v>-39.842999999999996</v>
      </c>
      <c r="AC132" s="17">
        <f>IF($A132,$J132*(IF(S132=regle!$B$11,regle!$B$23*IF(AL132=-2,1+regle!$B$35,1),
IF(S132=regle!$C$11,regle!$C$23,
IF(S132=regle!$D$11,regle!$D$23,
IF(S132=regle!$E$11,regle!$E$23,
IF(S132=regle!$F$11,regle!$F$23,
IF(S132=regle!$G$11,regle!$G$23,
IF(S132=regle!$H$11,regle!$H$23,
IF(S132=regle!$I$11,regle!$I$23,
IF(S132=regle!$J$11,regle!$J$23,
IF(S132=regle!$K$11,regle!$K$23,0))))))))))))</f>
        <v>0</v>
      </c>
      <c r="AD132" s="17">
        <f>IF($A132,$J132*(IF(T132=regle!$B$11,regle!$B$23*IF(AM132=-2,1+regle!$B$35,1),
IF(T132=regle!$C$11,regle!$C$23,
IF(T132=regle!$D$11,regle!$D$23,
IF(T132=regle!$E$11,regle!$E$23,
IF(T132=regle!$F$11,regle!$F$23,
IF(T132=regle!$G$11,regle!$G$23,
IF(T132=regle!$H$11,regle!$H$23,
IF(T132=regle!$I$11,regle!$I$23,
IF(T132=regle!$J$11,regle!$J$23,
IF(T132=regle!$K$11,regle!$K$23,0))))))))))))</f>
        <v>0</v>
      </c>
      <c r="AE132" s="17">
        <f>IF($A132,$J132*(IF(U132=regle!$B$11,regle!$B$23*IF(AN132=-2,1+regle!$B$35,1),
IF(U132=regle!$C$11,regle!$C$23,
IF(U132=regle!$D$11,regle!$D$23,
IF(U132=regle!$E$11,regle!$E$23,
IF(U132=regle!$F$11,regle!$F$23,
IF(U132=regle!$G$11,regle!$G$23,
IF(U132=regle!$H$11,regle!$H$23,
IF(U132=regle!$I$11,regle!$I$23,
IF(U132=regle!$J$11,regle!$J$23,
IF(U132=regle!$K$11,regle!$K$23,0))))))))))))</f>
        <v>0</v>
      </c>
      <c r="AF132" s="17">
        <f>IF($A132,$J132*(IF(V132=regle!$B$11,regle!$B$23*IF(AO132=-2,1+regle!$B$35,1),
IF(V132=regle!$C$11,regle!$C$23,
IF(V132=regle!$D$11,regle!$D$23,
IF(V132=regle!$E$11,regle!$E$23,
IF(V132=regle!$F$11,regle!$F$23,
IF(V132=regle!$G$11,regle!$G$23,
IF(V132=regle!$H$11,regle!$H$23,
IF(V132=regle!$I$11,regle!$I$23,
IF(V132=regle!$J$11,regle!$J$23,
IF(V132=regle!$K$11,regle!$K$23,0))))))))))))</f>
        <v>0</v>
      </c>
      <c r="AG132" s="17">
        <f>IF($A132,$J132*(IF(W132=regle!$B$11,regle!$B$23*IF(AP132=-2,1+regle!$B$35,1),
IF(W132=regle!$C$11,regle!$C$23,
IF(W132=regle!$D$11,regle!$D$23,
IF(W132=regle!$E$11,regle!$E$23,
IF(W132=regle!$F$11,regle!$F$23,
IF(W132=regle!$G$11,regle!$G$23,
IF(W132=regle!$H$11,regle!$H$23,
IF(W132=regle!$I$11,regle!$I$23,
IF(W132=regle!$J$11,regle!$J$23,
IF(W132=regle!$K$11,regle!$K$23,0))))))))))))</f>
        <v>254.99519999999998</v>
      </c>
      <c r="AH132" s="17">
        <f>IF($A132,$J132*(IF(X132=regle!$B$11,regle!$B$23*IF(AQ132=-2,1+regle!$B$35,1),
IF(X132=regle!$C$11,regle!$C$23,
IF(X132=regle!$D$11,regle!$D$23,
IF(X132=regle!$E$11,regle!$E$23,
IF(X132=regle!$F$11,regle!$F$23,
IF(X132=regle!$G$11,regle!$G$23,
IF(X132=regle!$H$11,regle!$H$23,
IF(X132=regle!$I$11,regle!$I$23,
IF(X132=regle!$J$11,regle!$J$23,
IF(X132=regle!$K$11,regle!$K$23,0))))))))))))</f>
        <v>0</v>
      </c>
      <c r="AI132" s="17">
        <f>IF($A132,$J132*(IF(Y132=regle!$B$11,regle!$B$23*IF(AR132=-2,1+regle!$B$35,1),
IF(Y132=regle!$C$11,regle!$C$23,
IF(Y132=regle!$D$11,regle!$D$23,
IF(Y132=regle!$E$11,regle!$E$23,
IF(Y132=regle!$F$11,regle!$F$23,
IF(Y132=regle!$G$11,regle!$G$23,
IF(Y132=regle!$H$11,regle!$H$23,
IF(Y132=regle!$I$11,regle!$I$23,
IF(Y132=regle!$J$11,regle!$J$23,
IF(Y132=regle!$K$11,regle!$K$23,0))))))))))))</f>
        <v>0</v>
      </c>
      <c r="AJ132" s="17">
        <f>IF($A132,$J132*(IF(Z132=regle!$B$11,regle!$B$23*IF(AS132=-2,1+regle!$B$35,1),
IF(Z132=regle!$C$11,regle!$C$23,
IF(Z132=regle!$D$11,regle!$D$23,
IF(Z132=regle!$E$11,regle!$E$23,
IF(Z132=regle!$F$11,regle!$F$23,
IF(Z132=regle!$G$11,regle!$G$23,
IF(Z132=regle!$H$11,regle!$H$23,
IF(Z132=regle!$I$11,regle!$I$23,
IF(Z132=regle!$J$11,regle!$J$23,
IF(Z132=regle!$K$11,regle!$K$23,0))))))))))))</f>
        <v>0</v>
      </c>
      <c r="AK132" s="16">
        <f>IF(OR(Q132=regle!$J$11,Q132=regle!$K$11),-2,IF(Q132=regle!$B$11,0,IF(AK$1=$AK$1,IF($O132,-1,regle!$B$2-$M132),IF(AJ132=-1,-1,AJ132+1))))</f>
        <v>6</v>
      </c>
      <c r="AL132" s="16">
        <f>IF(OR(R132=regle!$J$11,R132=regle!$K$11),-2,IF(R132=regle!$B$11,0,IF(AL$1=$AK$1,IF($O132,-1,regle!$B$2-$M132),IF(AK132=-1,-1,AK132+1))))</f>
        <v>7</v>
      </c>
      <c r="AM132" s="16">
        <f>IF(OR(S132=regle!$J$11,S132=regle!$K$11),-2,IF(S132=regle!$B$11,0,IF(AM$1=$AK$1,IF($O132,-1,regle!$B$2-$M132),IF(AL132=-1,-1,AL132+1))))</f>
        <v>8</v>
      </c>
      <c r="AN132" s="16">
        <f>IF(OR(T132=regle!$J$11,T132=regle!$K$11),-2,IF(T132=regle!$B$11,0,IF(AN$1=$AK$1,IF($O132,-1,regle!$B$2-$M132),IF(AM132=-1,-1,AM132+1))))</f>
        <v>9</v>
      </c>
      <c r="AO132" s="16">
        <f>IF(OR(U132=regle!$J$11,U132=regle!$K$11),-2,IF(U132=regle!$B$11,0,IF(AO$1=$AK$1,IF($O132,-1,regle!$B$2-$M132),IF(AN132=-1,-1,AN132+1))))</f>
        <v>10</v>
      </c>
      <c r="AP132" s="16">
        <f>IF(OR(V132=regle!$J$11,V132=regle!$K$11),-2,IF(V132=regle!$B$11,0,IF(AP$1=$AK$1,IF($O132,-1,regle!$B$2-$M132),IF(AO132=-1,-1,AO132+1))))</f>
        <v>11</v>
      </c>
      <c r="AQ132" s="16">
        <f>IF(OR(W132=regle!$J$11,W132=regle!$K$11),-2,IF(W132=regle!$B$11,0,IF(AQ$1=$AK$1,IF($O132,-1,regle!$B$2-$M132),IF(AP132=-1,-1,AP132+1))))</f>
        <v>12</v>
      </c>
      <c r="AR132" s="16">
        <f>IF(OR(X132=regle!$J$11,X132=regle!$K$11),-2,IF(X132=regle!$B$11,0,IF(AR$1=$AK$1,IF($O132,-1,regle!$B$2-$M132),IF(AQ132=-1,-1,AQ132+1))))</f>
        <v>13</v>
      </c>
      <c r="AS132" s="16">
        <f>IF(OR(Y132=regle!$J$11,Y132=regle!$K$11),-2,IF(Y132=regle!$B$11,0,IF(AS$1=$AK$1,IF($O132,-1,regle!$B$2-$M132),IF(AR132=-1,-1,AR132+1))))</f>
        <v>14</v>
      </c>
      <c r="AT132" s="16">
        <f>IF(OR(Z132=regle!$J$11,Z132=regle!$K$11),-2,IF(Z132=regle!$B$11,0,IF(AT$1=$AK$1,IF($O132,-1,regle!$B$2-$M132),IF(AS132=-1,-1,AS132+1))))</f>
        <v>15</v>
      </c>
    </row>
    <row r="133" spans="1:46" x14ac:dyDescent="0.25">
      <c r="A133" t="b">
        <f>modif0!A198</f>
        <v>1</v>
      </c>
      <c r="B133">
        <f>ROW(modif0!B198)</f>
        <v>198</v>
      </c>
      <c r="C133" t="str">
        <f>modif0!D198</f>
        <v>202</v>
      </c>
      <c r="D133" t="str">
        <f>modif0!E198</f>
        <v>HOSTENS</v>
      </c>
      <c r="E133">
        <f>modif0!F198</f>
        <v>13</v>
      </c>
      <c r="F133" t="str">
        <f>modif0!G198</f>
        <v>LA BROUSTETTE</v>
      </c>
      <c r="G133" t="str">
        <f>modif0!I198</f>
        <v>0B</v>
      </c>
      <c r="H133">
        <f>modif0!J198</f>
        <v>1225</v>
      </c>
      <c r="I133" t="str">
        <f>modif0!K198</f>
        <v/>
      </c>
      <c r="J133" s="11">
        <f>modif0!M198</f>
        <v>0.37</v>
      </c>
      <c r="K133" s="11" t="str">
        <f>modif0!P198</f>
        <v>PLA</v>
      </c>
      <c r="L133" t="str">
        <f>modif0!N198</f>
        <v>PM</v>
      </c>
      <c r="M133">
        <f>modif0!Q198</f>
        <v>2018</v>
      </c>
      <c r="N133" t="str">
        <f>modif0!R198</f>
        <v>PLA-PM_2018</v>
      </c>
      <c r="O133" t="b">
        <f>modif0!S198</f>
        <v>0</v>
      </c>
      <c r="P133">
        <v>40</v>
      </c>
      <c r="R133" t="s">
        <v>1871</v>
      </c>
      <c r="W133" t="s">
        <v>1803</v>
      </c>
      <c r="AA133" s="17">
        <f>IF($A133,$J133*(IF(Q133=regle!$B$11,regle!$B$23*IF(AJ133=-2,1+regle!$B$35,1),
IF(Q133=regle!$C$11,regle!$C$23,
IF(Q133=regle!$D$11,regle!$D$23,
IF(Q133=regle!$E$11,regle!$E$23,
IF(Q133=regle!$F$11,regle!$F$23,
IF(Q133=regle!$G$11,regle!$G$23,
IF(Q133=regle!$H$11,regle!$H$23,
IF(Q133=regle!$I$11,regle!$I$23,
IF(Q133=regle!$J$11,regle!$J$23,
IF(Q133=regle!$K$11,regle!$K$23,0))))))))))))</f>
        <v>0</v>
      </c>
      <c r="AB133" s="17">
        <f>IF($A133,$J133*(IF(R133=regle!$B$11,regle!$B$23*IF(AK133=-2,1+regle!$B$35,1),
IF(R133=regle!$C$11,regle!$C$23,
IF(R133=regle!$D$11,regle!$D$23,
IF(R133=regle!$E$11,regle!$E$23,
IF(R133=regle!$F$11,regle!$F$23,
IF(R133=regle!$G$11,regle!$G$23,
IF(R133=regle!$H$11,regle!$H$23,
IF(R133=regle!$I$11,regle!$I$23,
IF(R133=regle!$J$11,regle!$J$23,
IF(R133=regle!$K$11,regle!$K$23,0))))))))))))</f>
        <v>-33.299999999999997</v>
      </c>
      <c r="AC133" s="17">
        <f>IF($A133,$J133*(IF(S133=regle!$B$11,regle!$B$23*IF(AL133=-2,1+regle!$B$35,1),
IF(S133=regle!$C$11,regle!$C$23,
IF(S133=regle!$D$11,regle!$D$23,
IF(S133=regle!$E$11,regle!$E$23,
IF(S133=regle!$F$11,regle!$F$23,
IF(S133=regle!$G$11,regle!$G$23,
IF(S133=regle!$H$11,regle!$H$23,
IF(S133=regle!$I$11,regle!$I$23,
IF(S133=regle!$J$11,regle!$J$23,
IF(S133=regle!$K$11,regle!$K$23,0))))))))))))</f>
        <v>0</v>
      </c>
      <c r="AD133" s="17">
        <f>IF($A133,$J133*(IF(T133=regle!$B$11,regle!$B$23*IF(AM133=-2,1+regle!$B$35,1),
IF(T133=regle!$C$11,regle!$C$23,
IF(T133=regle!$D$11,regle!$D$23,
IF(T133=regle!$E$11,regle!$E$23,
IF(T133=regle!$F$11,regle!$F$23,
IF(T133=regle!$G$11,regle!$G$23,
IF(T133=regle!$H$11,regle!$H$23,
IF(T133=regle!$I$11,regle!$I$23,
IF(T133=regle!$J$11,regle!$J$23,
IF(T133=regle!$K$11,regle!$K$23,0))))))))))))</f>
        <v>0</v>
      </c>
      <c r="AE133" s="17">
        <f>IF($A133,$J133*(IF(U133=regle!$B$11,regle!$B$23*IF(AN133=-2,1+regle!$B$35,1),
IF(U133=regle!$C$11,regle!$C$23,
IF(U133=regle!$D$11,regle!$D$23,
IF(U133=regle!$E$11,regle!$E$23,
IF(U133=regle!$F$11,regle!$F$23,
IF(U133=regle!$G$11,regle!$G$23,
IF(U133=regle!$H$11,regle!$H$23,
IF(U133=regle!$I$11,regle!$I$23,
IF(U133=regle!$J$11,regle!$J$23,
IF(U133=regle!$K$11,regle!$K$23,0))))))))))))</f>
        <v>0</v>
      </c>
      <c r="AF133" s="17">
        <f>IF($A133,$J133*(IF(V133=regle!$B$11,regle!$B$23*IF(AO133=-2,1+regle!$B$35,1),
IF(V133=regle!$C$11,regle!$C$23,
IF(V133=regle!$D$11,regle!$D$23,
IF(V133=regle!$E$11,regle!$E$23,
IF(V133=regle!$F$11,regle!$F$23,
IF(V133=regle!$G$11,regle!$G$23,
IF(V133=regle!$H$11,regle!$H$23,
IF(V133=regle!$I$11,regle!$I$23,
IF(V133=regle!$J$11,regle!$J$23,
IF(V133=regle!$K$11,regle!$K$23,0))))))))))))</f>
        <v>0</v>
      </c>
      <c r="AG133" s="17">
        <f>IF($A133,$J133*(IF(W133=regle!$B$11,regle!$B$23*IF(AP133=-2,1+regle!$B$35,1),
IF(W133=regle!$C$11,regle!$C$23,
IF(W133=regle!$D$11,regle!$D$23,
IF(W133=regle!$E$11,regle!$E$23,
IF(W133=regle!$F$11,regle!$F$23,
IF(W133=regle!$G$11,regle!$G$23,
IF(W133=regle!$H$11,regle!$H$23,
IF(W133=regle!$I$11,regle!$I$23,
IF(W133=regle!$J$11,regle!$J$23,
IF(W133=regle!$K$11,regle!$K$23,0))))))))))))</f>
        <v>213.12</v>
      </c>
      <c r="AH133" s="17">
        <f>IF($A133,$J133*(IF(X133=regle!$B$11,regle!$B$23*IF(AQ133=-2,1+regle!$B$35,1),
IF(X133=regle!$C$11,regle!$C$23,
IF(X133=regle!$D$11,regle!$D$23,
IF(X133=regle!$E$11,regle!$E$23,
IF(X133=regle!$F$11,regle!$F$23,
IF(X133=regle!$G$11,regle!$G$23,
IF(X133=regle!$H$11,regle!$H$23,
IF(X133=regle!$I$11,regle!$I$23,
IF(X133=regle!$J$11,regle!$J$23,
IF(X133=regle!$K$11,regle!$K$23,0))))))))))))</f>
        <v>0</v>
      </c>
      <c r="AI133" s="17">
        <f>IF($A133,$J133*(IF(Y133=regle!$B$11,regle!$B$23*IF(AR133=-2,1+regle!$B$35,1),
IF(Y133=regle!$C$11,regle!$C$23,
IF(Y133=regle!$D$11,regle!$D$23,
IF(Y133=regle!$E$11,regle!$E$23,
IF(Y133=regle!$F$11,regle!$F$23,
IF(Y133=regle!$G$11,regle!$G$23,
IF(Y133=regle!$H$11,regle!$H$23,
IF(Y133=regle!$I$11,regle!$I$23,
IF(Y133=regle!$J$11,regle!$J$23,
IF(Y133=regle!$K$11,regle!$K$23,0))))))))))))</f>
        <v>0</v>
      </c>
      <c r="AJ133" s="17">
        <f>IF($A133,$J133*(IF(Z133=regle!$B$11,regle!$B$23*IF(AS133=-2,1+regle!$B$35,1),
IF(Z133=regle!$C$11,regle!$C$23,
IF(Z133=regle!$D$11,regle!$D$23,
IF(Z133=regle!$E$11,regle!$E$23,
IF(Z133=regle!$F$11,regle!$F$23,
IF(Z133=regle!$G$11,regle!$G$23,
IF(Z133=regle!$H$11,regle!$H$23,
IF(Z133=regle!$I$11,regle!$I$23,
IF(Z133=regle!$J$11,regle!$J$23,
IF(Z133=regle!$K$11,regle!$K$23,0))))))))))))</f>
        <v>0</v>
      </c>
      <c r="AK133" s="16">
        <f>IF(OR(Q133=regle!$J$11,Q133=regle!$K$11),-2,IF(Q133=regle!$B$11,0,IF(AK$1=$AK$1,IF($O133,-1,regle!$B$2-$M133),IF(AJ133=-1,-1,AJ133+1))))</f>
        <v>6</v>
      </c>
      <c r="AL133" s="16">
        <f>IF(OR(R133=regle!$J$11,R133=regle!$K$11),-2,IF(R133=regle!$B$11,0,IF(AL$1=$AK$1,IF($O133,-1,regle!$B$2-$M133),IF(AK133=-1,-1,AK133+1))))</f>
        <v>7</v>
      </c>
      <c r="AM133" s="16">
        <f>IF(OR(S133=regle!$J$11,S133=regle!$K$11),-2,IF(S133=regle!$B$11,0,IF(AM$1=$AK$1,IF($O133,-1,regle!$B$2-$M133),IF(AL133=-1,-1,AL133+1))))</f>
        <v>8</v>
      </c>
      <c r="AN133" s="16">
        <f>IF(OR(T133=regle!$J$11,T133=regle!$K$11),-2,IF(T133=regle!$B$11,0,IF(AN$1=$AK$1,IF($O133,-1,regle!$B$2-$M133),IF(AM133=-1,-1,AM133+1))))</f>
        <v>9</v>
      </c>
      <c r="AO133" s="16">
        <f>IF(OR(U133=regle!$J$11,U133=regle!$K$11),-2,IF(U133=regle!$B$11,0,IF(AO$1=$AK$1,IF($O133,-1,regle!$B$2-$M133),IF(AN133=-1,-1,AN133+1))))</f>
        <v>10</v>
      </c>
      <c r="AP133" s="16">
        <f>IF(OR(V133=regle!$J$11,V133=regle!$K$11),-2,IF(V133=regle!$B$11,0,IF(AP$1=$AK$1,IF($O133,-1,regle!$B$2-$M133),IF(AO133=-1,-1,AO133+1))))</f>
        <v>11</v>
      </c>
      <c r="AQ133" s="16">
        <f>IF(OR(W133=regle!$J$11,W133=regle!$K$11),-2,IF(W133=regle!$B$11,0,IF(AQ$1=$AK$1,IF($O133,-1,regle!$B$2-$M133),IF(AP133=-1,-1,AP133+1))))</f>
        <v>12</v>
      </c>
      <c r="AR133" s="16">
        <f>IF(OR(X133=regle!$J$11,X133=regle!$K$11),-2,IF(X133=regle!$B$11,0,IF(AR$1=$AK$1,IF($O133,-1,regle!$B$2-$M133),IF(AQ133=-1,-1,AQ133+1))))</f>
        <v>13</v>
      </c>
      <c r="AS133" s="16">
        <f>IF(OR(Y133=regle!$J$11,Y133=regle!$K$11),-2,IF(Y133=regle!$B$11,0,IF(AS$1=$AK$1,IF($O133,-1,regle!$B$2-$M133),IF(AR133=-1,-1,AR133+1))))</f>
        <v>14</v>
      </c>
      <c r="AT133" s="16">
        <f>IF(OR(Z133=regle!$J$11,Z133=regle!$K$11),-2,IF(Z133=regle!$B$11,0,IF(AT$1=$AK$1,IF($O133,-1,regle!$B$2-$M133),IF(AS133=-1,-1,AS133+1))))</f>
        <v>15</v>
      </c>
    </row>
    <row r="134" spans="1:46" x14ac:dyDescent="0.25">
      <c r="A134" t="b">
        <f>modif0!A203</f>
        <v>1</v>
      </c>
      <c r="B134">
        <f>ROW(modif0!B203)</f>
        <v>203</v>
      </c>
      <c r="C134" t="str">
        <f>modif0!D203</f>
        <v>202</v>
      </c>
      <c r="D134" t="str">
        <f>modif0!E203</f>
        <v>HOSTENS</v>
      </c>
      <c r="E134">
        <f>modif0!F203</f>
        <v>13</v>
      </c>
      <c r="F134" t="str">
        <f>modif0!G203</f>
        <v>LA BROUSTETTE</v>
      </c>
      <c r="G134" t="str">
        <f>modif0!I203</f>
        <v>0B</v>
      </c>
      <c r="H134">
        <f>modif0!J203</f>
        <v>1236</v>
      </c>
      <c r="I134" t="str">
        <f>modif0!K203</f>
        <v/>
      </c>
      <c r="J134" s="11">
        <f>modif0!M203</f>
        <v>0.29299999999999998</v>
      </c>
      <c r="K134" s="11" t="str">
        <f>modif0!P203</f>
        <v>PLA</v>
      </c>
      <c r="L134" t="str">
        <f>modif0!N203</f>
        <v>PM</v>
      </c>
      <c r="M134">
        <f>modif0!Q203</f>
        <v>2018</v>
      </c>
      <c r="N134" t="str">
        <f>modif0!R203</f>
        <v>PLA-PM_2018</v>
      </c>
      <c r="O134" t="b">
        <f>modif0!S203</f>
        <v>0</v>
      </c>
      <c r="P134">
        <v>40</v>
      </c>
      <c r="R134" t="s">
        <v>1871</v>
      </c>
      <c r="W134" t="s">
        <v>1803</v>
      </c>
      <c r="AA134" s="17">
        <f>IF($A134,$J134*(IF(Q134=regle!$B$11,regle!$B$23*IF(AJ134=-2,1+regle!$B$35,1),
IF(Q134=regle!$C$11,regle!$C$23,
IF(Q134=regle!$D$11,regle!$D$23,
IF(Q134=regle!$E$11,regle!$E$23,
IF(Q134=regle!$F$11,regle!$F$23,
IF(Q134=regle!$G$11,regle!$G$23,
IF(Q134=regle!$H$11,regle!$H$23,
IF(Q134=regle!$I$11,regle!$I$23,
IF(Q134=regle!$J$11,regle!$J$23,
IF(Q134=regle!$K$11,regle!$K$23,0))))))))))))</f>
        <v>0</v>
      </c>
      <c r="AB134" s="17">
        <f>IF($A134,$J134*(IF(R134=regle!$B$11,regle!$B$23*IF(AK134=-2,1+regle!$B$35,1),
IF(R134=regle!$C$11,regle!$C$23,
IF(R134=regle!$D$11,regle!$D$23,
IF(R134=regle!$E$11,regle!$E$23,
IF(R134=regle!$F$11,regle!$F$23,
IF(R134=regle!$G$11,regle!$G$23,
IF(R134=regle!$H$11,regle!$H$23,
IF(R134=regle!$I$11,regle!$I$23,
IF(R134=regle!$J$11,regle!$J$23,
IF(R134=regle!$K$11,regle!$K$23,0))))))))))))</f>
        <v>-26.369999999999997</v>
      </c>
      <c r="AC134" s="17">
        <f>IF($A134,$J134*(IF(S134=regle!$B$11,regle!$B$23*IF(AL134=-2,1+regle!$B$35,1),
IF(S134=regle!$C$11,regle!$C$23,
IF(S134=regle!$D$11,regle!$D$23,
IF(S134=regle!$E$11,regle!$E$23,
IF(S134=regle!$F$11,regle!$F$23,
IF(S134=regle!$G$11,regle!$G$23,
IF(S134=regle!$H$11,regle!$H$23,
IF(S134=regle!$I$11,regle!$I$23,
IF(S134=regle!$J$11,regle!$J$23,
IF(S134=regle!$K$11,regle!$K$23,0))))))))))))</f>
        <v>0</v>
      </c>
      <c r="AD134" s="17">
        <f>IF($A134,$J134*(IF(T134=regle!$B$11,regle!$B$23*IF(AM134=-2,1+regle!$B$35,1),
IF(T134=regle!$C$11,regle!$C$23,
IF(T134=regle!$D$11,regle!$D$23,
IF(T134=regle!$E$11,regle!$E$23,
IF(T134=regle!$F$11,regle!$F$23,
IF(T134=regle!$G$11,regle!$G$23,
IF(T134=regle!$H$11,regle!$H$23,
IF(T134=regle!$I$11,regle!$I$23,
IF(T134=regle!$J$11,regle!$J$23,
IF(T134=regle!$K$11,regle!$K$23,0))))))))))))</f>
        <v>0</v>
      </c>
      <c r="AE134" s="17">
        <f>IF($A134,$J134*(IF(U134=regle!$B$11,regle!$B$23*IF(AN134=-2,1+regle!$B$35,1),
IF(U134=regle!$C$11,regle!$C$23,
IF(U134=regle!$D$11,regle!$D$23,
IF(U134=regle!$E$11,regle!$E$23,
IF(U134=regle!$F$11,regle!$F$23,
IF(U134=regle!$G$11,regle!$G$23,
IF(U134=regle!$H$11,regle!$H$23,
IF(U134=regle!$I$11,regle!$I$23,
IF(U134=regle!$J$11,regle!$J$23,
IF(U134=regle!$K$11,regle!$K$23,0))))))))))))</f>
        <v>0</v>
      </c>
      <c r="AF134" s="17">
        <f>IF($A134,$J134*(IF(V134=regle!$B$11,regle!$B$23*IF(AO134=-2,1+regle!$B$35,1),
IF(V134=regle!$C$11,regle!$C$23,
IF(V134=regle!$D$11,regle!$D$23,
IF(V134=regle!$E$11,regle!$E$23,
IF(V134=regle!$F$11,regle!$F$23,
IF(V134=regle!$G$11,regle!$G$23,
IF(V134=regle!$H$11,regle!$H$23,
IF(V134=regle!$I$11,regle!$I$23,
IF(V134=regle!$J$11,regle!$J$23,
IF(V134=regle!$K$11,regle!$K$23,0))))))))))))</f>
        <v>0</v>
      </c>
      <c r="AG134" s="17">
        <f>IF($A134,$J134*(IF(W134=regle!$B$11,regle!$B$23*IF(AP134=-2,1+regle!$B$35,1),
IF(W134=regle!$C$11,regle!$C$23,
IF(W134=regle!$D$11,regle!$D$23,
IF(W134=regle!$E$11,regle!$E$23,
IF(W134=regle!$F$11,regle!$F$23,
IF(W134=regle!$G$11,regle!$G$23,
IF(W134=regle!$H$11,regle!$H$23,
IF(W134=regle!$I$11,regle!$I$23,
IF(W134=regle!$J$11,regle!$J$23,
IF(W134=regle!$K$11,regle!$K$23,0))))))))))))</f>
        <v>168.768</v>
      </c>
      <c r="AH134" s="17">
        <f>IF($A134,$J134*(IF(X134=regle!$B$11,regle!$B$23*IF(AQ134=-2,1+regle!$B$35,1),
IF(X134=regle!$C$11,regle!$C$23,
IF(X134=regle!$D$11,regle!$D$23,
IF(X134=regle!$E$11,regle!$E$23,
IF(X134=regle!$F$11,regle!$F$23,
IF(X134=regle!$G$11,regle!$G$23,
IF(X134=regle!$H$11,regle!$H$23,
IF(X134=regle!$I$11,regle!$I$23,
IF(X134=regle!$J$11,regle!$J$23,
IF(X134=regle!$K$11,regle!$K$23,0))))))))))))</f>
        <v>0</v>
      </c>
      <c r="AI134" s="17">
        <f>IF($A134,$J134*(IF(Y134=regle!$B$11,regle!$B$23*IF(AR134=-2,1+regle!$B$35,1),
IF(Y134=regle!$C$11,regle!$C$23,
IF(Y134=regle!$D$11,regle!$D$23,
IF(Y134=regle!$E$11,regle!$E$23,
IF(Y134=regle!$F$11,regle!$F$23,
IF(Y134=regle!$G$11,regle!$G$23,
IF(Y134=regle!$H$11,regle!$H$23,
IF(Y134=regle!$I$11,regle!$I$23,
IF(Y134=regle!$J$11,regle!$J$23,
IF(Y134=regle!$K$11,regle!$K$23,0))))))))))))</f>
        <v>0</v>
      </c>
      <c r="AJ134" s="17">
        <f>IF($A134,$J134*(IF(Z134=regle!$B$11,regle!$B$23*IF(AS134=-2,1+regle!$B$35,1),
IF(Z134=regle!$C$11,regle!$C$23,
IF(Z134=regle!$D$11,regle!$D$23,
IF(Z134=regle!$E$11,regle!$E$23,
IF(Z134=regle!$F$11,regle!$F$23,
IF(Z134=regle!$G$11,regle!$G$23,
IF(Z134=regle!$H$11,regle!$H$23,
IF(Z134=regle!$I$11,regle!$I$23,
IF(Z134=regle!$J$11,regle!$J$23,
IF(Z134=regle!$K$11,regle!$K$23,0))))))))))))</f>
        <v>0</v>
      </c>
      <c r="AK134" s="16">
        <f>IF(OR(Q134=regle!$J$11,Q134=regle!$K$11),-2,IF(Q134=regle!$B$11,0,IF(AK$1=$AK$1,IF($O134,-1,regle!$B$2-$M134),IF(AJ134=-1,-1,AJ134+1))))</f>
        <v>6</v>
      </c>
      <c r="AL134" s="16">
        <f>IF(OR(R134=regle!$J$11,R134=regle!$K$11),-2,IF(R134=regle!$B$11,0,IF(AL$1=$AK$1,IF($O134,-1,regle!$B$2-$M134),IF(AK134=-1,-1,AK134+1))))</f>
        <v>7</v>
      </c>
      <c r="AM134" s="16">
        <f>IF(OR(S134=regle!$J$11,S134=regle!$K$11),-2,IF(S134=regle!$B$11,0,IF(AM$1=$AK$1,IF($O134,-1,regle!$B$2-$M134),IF(AL134=-1,-1,AL134+1))))</f>
        <v>8</v>
      </c>
      <c r="AN134" s="16">
        <f>IF(OR(T134=regle!$J$11,T134=regle!$K$11),-2,IF(T134=regle!$B$11,0,IF(AN$1=$AK$1,IF($O134,-1,regle!$B$2-$M134),IF(AM134=-1,-1,AM134+1))))</f>
        <v>9</v>
      </c>
      <c r="AO134" s="16">
        <f>IF(OR(U134=regle!$J$11,U134=regle!$K$11),-2,IF(U134=regle!$B$11,0,IF(AO$1=$AK$1,IF($O134,-1,regle!$B$2-$M134),IF(AN134=-1,-1,AN134+1))))</f>
        <v>10</v>
      </c>
      <c r="AP134" s="16">
        <f>IF(OR(V134=regle!$J$11,V134=regle!$K$11),-2,IF(V134=regle!$B$11,0,IF(AP$1=$AK$1,IF($O134,-1,regle!$B$2-$M134),IF(AO134=-1,-1,AO134+1))))</f>
        <v>11</v>
      </c>
      <c r="AQ134" s="16">
        <f>IF(OR(W134=regle!$J$11,W134=regle!$K$11),-2,IF(W134=regle!$B$11,0,IF(AQ$1=$AK$1,IF($O134,-1,regle!$B$2-$M134),IF(AP134=-1,-1,AP134+1))))</f>
        <v>12</v>
      </c>
      <c r="AR134" s="16">
        <f>IF(OR(X134=regle!$J$11,X134=regle!$K$11),-2,IF(X134=regle!$B$11,0,IF(AR$1=$AK$1,IF($O134,-1,regle!$B$2-$M134),IF(AQ134=-1,-1,AQ134+1))))</f>
        <v>13</v>
      </c>
      <c r="AS134" s="16">
        <f>IF(OR(Y134=regle!$J$11,Y134=regle!$K$11),-2,IF(Y134=regle!$B$11,0,IF(AS$1=$AK$1,IF($O134,-1,regle!$B$2-$M134),IF(AR134=-1,-1,AR134+1))))</f>
        <v>14</v>
      </c>
      <c r="AT134" s="16">
        <f>IF(OR(Z134=regle!$J$11,Z134=regle!$K$11),-2,IF(Z134=regle!$B$11,0,IF(AT$1=$AK$1,IF($O134,-1,regle!$B$2-$M134),IF(AS134=-1,-1,AS134+1))))</f>
        <v>15</v>
      </c>
    </row>
    <row r="135" spans="1:46" x14ac:dyDescent="0.25">
      <c r="A135" t="b">
        <f>modif0!A210</f>
        <v>1</v>
      </c>
      <c r="B135">
        <f>ROW(modif0!B210)</f>
        <v>210</v>
      </c>
      <c r="C135" t="str">
        <f>modif0!D210</f>
        <v>202</v>
      </c>
      <c r="D135" t="str">
        <f>modif0!E210</f>
        <v>HOSTENS</v>
      </c>
      <c r="E135">
        <f>modif0!F210</f>
        <v>13</v>
      </c>
      <c r="F135" t="str">
        <f>modif0!G210</f>
        <v>LA BROUSTETTE</v>
      </c>
      <c r="G135" t="str">
        <f>modif0!I210</f>
        <v>0B</v>
      </c>
      <c r="H135">
        <f>modif0!J210</f>
        <v>1246</v>
      </c>
      <c r="I135" t="str">
        <f>modif0!K210</f>
        <v>k</v>
      </c>
      <c r="J135" s="11">
        <f>modif0!M210</f>
        <v>0.2233</v>
      </c>
      <c r="K135" s="11" t="str">
        <f>modif0!P210</f>
        <v>PLA</v>
      </c>
      <c r="L135" t="str">
        <f>modif0!N210</f>
        <v>PM</v>
      </c>
      <c r="M135">
        <f>modif0!Q210</f>
        <v>2018</v>
      </c>
      <c r="N135" t="str">
        <f>modif0!R210</f>
        <v>PLA-PM_2018</v>
      </c>
      <c r="O135" t="b">
        <f>modif0!S210</f>
        <v>0</v>
      </c>
      <c r="P135">
        <v>40</v>
      </c>
      <c r="R135" t="s">
        <v>1871</v>
      </c>
      <c r="W135" t="s">
        <v>1803</v>
      </c>
      <c r="AA135" s="17">
        <f>IF($A135,$J135*(IF(Q135=regle!$B$11,regle!$B$23*IF(AJ135=-2,1+regle!$B$35,1),
IF(Q135=regle!$C$11,regle!$C$23,
IF(Q135=regle!$D$11,regle!$D$23,
IF(Q135=regle!$E$11,regle!$E$23,
IF(Q135=regle!$F$11,regle!$F$23,
IF(Q135=regle!$G$11,regle!$G$23,
IF(Q135=regle!$H$11,regle!$H$23,
IF(Q135=regle!$I$11,regle!$I$23,
IF(Q135=regle!$J$11,regle!$J$23,
IF(Q135=regle!$K$11,regle!$K$23,0))))))))))))</f>
        <v>0</v>
      </c>
      <c r="AB135" s="17">
        <f>IF($A135,$J135*(IF(R135=regle!$B$11,regle!$B$23*IF(AK135=-2,1+regle!$B$35,1),
IF(R135=regle!$C$11,regle!$C$23,
IF(R135=regle!$D$11,regle!$D$23,
IF(R135=regle!$E$11,regle!$E$23,
IF(R135=regle!$F$11,regle!$F$23,
IF(R135=regle!$G$11,regle!$G$23,
IF(R135=regle!$H$11,regle!$H$23,
IF(R135=regle!$I$11,regle!$I$23,
IF(R135=regle!$J$11,regle!$J$23,
IF(R135=regle!$K$11,regle!$K$23,0))))))))))))</f>
        <v>-20.097000000000001</v>
      </c>
      <c r="AC135" s="17">
        <f>IF($A135,$J135*(IF(S135=regle!$B$11,regle!$B$23*IF(AL135=-2,1+regle!$B$35,1),
IF(S135=regle!$C$11,regle!$C$23,
IF(S135=regle!$D$11,regle!$D$23,
IF(S135=regle!$E$11,regle!$E$23,
IF(S135=regle!$F$11,regle!$F$23,
IF(S135=regle!$G$11,regle!$G$23,
IF(S135=regle!$H$11,regle!$H$23,
IF(S135=regle!$I$11,regle!$I$23,
IF(S135=regle!$J$11,regle!$J$23,
IF(S135=regle!$K$11,regle!$K$23,0))))))))))))</f>
        <v>0</v>
      </c>
      <c r="AD135" s="17">
        <f>IF($A135,$J135*(IF(T135=regle!$B$11,regle!$B$23*IF(AM135=-2,1+regle!$B$35,1),
IF(T135=regle!$C$11,regle!$C$23,
IF(T135=regle!$D$11,regle!$D$23,
IF(T135=regle!$E$11,regle!$E$23,
IF(T135=regle!$F$11,regle!$F$23,
IF(T135=regle!$G$11,regle!$G$23,
IF(T135=regle!$H$11,regle!$H$23,
IF(T135=regle!$I$11,regle!$I$23,
IF(T135=regle!$J$11,regle!$J$23,
IF(T135=regle!$K$11,regle!$K$23,0))))))))))))</f>
        <v>0</v>
      </c>
      <c r="AE135" s="17">
        <f>IF($A135,$J135*(IF(U135=regle!$B$11,regle!$B$23*IF(AN135=-2,1+regle!$B$35,1),
IF(U135=regle!$C$11,regle!$C$23,
IF(U135=regle!$D$11,regle!$D$23,
IF(U135=regle!$E$11,regle!$E$23,
IF(U135=regle!$F$11,regle!$F$23,
IF(U135=regle!$G$11,regle!$G$23,
IF(U135=regle!$H$11,regle!$H$23,
IF(U135=regle!$I$11,regle!$I$23,
IF(U135=regle!$J$11,regle!$J$23,
IF(U135=regle!$K$11,regle!$K$23,0))))))))))))</f>
        <v>0</v>
      </c>
      <c r="AF135" s="17">
        <f>IF($A135,$J135*(IF(V135=regle!$B$11,regle!$B$23*IF(AO135=-2,1+regle!$B$35,1),
IF(V135=regle!$C$11,regle!$C$23,
IF(V135=regle!$D$11,regle!$D$23,
IF(V135=regle!$E$11,regle!$E$23,
IF(V135=regle!$F$11,regle!$F$23,
IF(V135=regle!$G$11,regle!$G$23,
IF(V135=regle!$H$11,regle!$H$23,
IF(V135=regle!$I$11,regle!$I$23,
IF(V135=regle!$J$11,regle!$J$23,
IF(V135=regle!$K$11,regle!$K$23,0))))))))))))</f>
        <v>0</v>
      </c>
      <c r="AG135" s="17">
        <f>IF($A135,$J135*(IF(W135=regle!$B$11,regle!$B$23*IF(AP135=-2,1+regle!$B$35,1),
IF(W135=regle!$C$11,regle!$C$23,
IF(W135=regle!$D$11,regle!$D$23,
IF(W135=regle!$E$11,regle!$E$23,
IF(W135=regle!$F$11,regle!$F$23,
IF(W135=regle!$G$11,regle!$G$23,
IF(W135=regle!$H$11,regle!$H$23,
IF(W135=regle!$I$11,regle!$I$23,
IF(W135=regle!$J$11,regle!$J$23,
IF(W135=regle!$K$11,regle!$K$23,0))))))))))))</f>
        <v>128.6208</v>
      </c>
      <c r="AH135" s="17">
        <f>IF($A135,$J135*(IF(X135=regle!$B$11,regle!$B$23*IF(AQ135=-2,1+regle!$B$35,1),
IF(X135=regle!$C$11,regle!$C$23,
IF(X135=regle!$D$11,regle!$D$23,
IF(X135=regle!$E$11,regle!$E$23,
IF(X135=regle!$F$11,regle!$F$23,
IF(X135=regle!$G$11,regle!$G$23,
IF(X135=regle!$H$11,regle!$H$23,
IF(X135=regle!$I$11,regle!$I$23,
IF(X135=regle!$J$11,regle!$J$23,
IF(X135=regle!$K$11,regle!$K$23,0))))))))))))</f>
        <v>0</v>
      </c>
      <c r="AI135" s="17">
        <f>IF($A135,$J135*(IF(Y135=regle!$B$11,regle!$B$23*IF(AR135=-2,1+regle!$B$35,1),
IF(Y135=regle!$C$11,regle!$C$23,
IF(Y135=regle!$D$11,regle!$D$23,
IF(Y135=regle!$E$11,regle!$E$23,
IF(Y135=regle!$F$11,regle!$F$23,
IF(Y135=regle!$G$11,regle!$G$23,
IF(Y135=regle!$H$11,regle!$H$23,
IF(Y135=regle!$I$11,regle!$I$23,
IF(Y135=regle!$J$11,regle!$J$23,
IF(Y135=regle!$K$11,regle!$K$23,0))))))))))))</f>
        <v>0</v>
      </c>
      <c r="AJ135" s="17">
        <f>IF($A135,$J135*(IF(Z135=regle!$B$11,regle!$B$23*IF(AS135=-2,1+regle!$B$35,1),
IF(Z135=regle!$C$11,regle!$C$23,
IF(Z135=regle!$D$11,regle!$D$23,
IF(Z135=regle!$E$11,regle!$E$23,
IF(Z135=regle!$F$11,regle!$F$23,
IF(Z135=regle!$G$11,regle!$G$23,
IF(Z135=regle!$H$11,regle!$H$23,
IF(Z135=regle!$I$11,regle!$I$23,
IF(Z135=regle!$J$11,regle!$J$23,
IF(Z135=regle!$K$11,regle!$K$23,0))))))))))))</f>
        <v>0</v>
      </c>
      <c r="AK135" s="16">
        <f>IF(OR(Q135=regle!$J$11,Q135=regle!$K$11),-2,IF(Q135=regle!$B$11,0,IF(AK$1=$AK$1,IF($O135,-1,regle!$B$2-$M135),IF(AJ135=-1,-1,AJ135+1))))</f>
        <v>6</v>
      </c>
      <c r="AL135" s="16">
        <f>IF(OR(R135=regle!$J$11,R135=regle!$K$11),-2,IF(R135=regle!$B$11,0,IF(AL$1=$AK$1,IF($O135,-1,regle!$B$2-$M135),IF(AK135=-1,-1,AK135+1))))</f>
        <v>7</v>
      </c>
      <c r="AM135" s="16">
        <f>IF(OR(S135=regle!$J$11,S135=regle!$K$11),-2,IF(S135=regle!$B$11,0,IF(AM$1=$AK$1,IF($O135,-1,regle!$B$2-$M135),IF(AL135=-1,-1,AL135+1))))</f>
        <v>8</v>
      </c>
      <c r="AN135" s="16">
        <f>IF(OR(T135=regle!$J$11,T135=regle!$K$11),-2,IF(T135=regle!$B$11,0,IF(AN$1=$AK$1,IF($O135,-1,regle!$B$2-$M135),IF(AM135=-1,-1,AM135+1))))</f>
        <v>9</v>
      </c>
      <c r="AO135" s="16">
        <f>IF(OR(U135=regle!$J$11,U135=regle!$K$11),-2,IF(U135=regle!$B$11,0,IF(AO$1=$AK$1,IF($O135,-1,regle!$B$2-$M135),IF(AN135=-1,-1,AN135+1))))</f>
        <v>10</v>
      </c>
      <c r="AP135" s="16">
        <f>IF(OR(V135=regle!$J$11,V135=regle!$K$11),-2,IF(V135=regle!$B$11,0,IF(AP$1=$AK$1,IF($O135,-1,regle!$B$2-$M135),IF(AO135=-1,-1,AO135+1))))</f>
        <v>11</v>
      </c>
      <c r="AQ135" s="16">
        <f>IF(OR(W135=regle!$J$11,W135=regle!$K$11),-2,IF(W135=regle!$B$11,0,IF(AQ$1=$AK$1,IF($O135,-1,regle!$B$2-$M135),IF(AP135=-1,-1,AP135+1))))</f>
        <v>12</v>
      </c>
      <c r="AR135" s="16">
        <f>IF(OR(X135=regle!$J$11,X135=regle!$K$11),-2,IF(X135=regle!$B$11,0,IF(AR$1=$AK$1,IF($O135,-1,regle!$B$2-$M135),IF(AQ135=-1,-1,AQ135+1))))</f>
        <v>13</v>
      </c>
      <c r="AS135" s="16">
        <f>IF(OR(Y135=regle!$J$11,Y135=regle!$K$11),-2,IF(Y135=regle!$B$11,0,IF(AS$1=$AK$1,IF($O135,-1,regle!$B$2-$M135),IF(AR135=-1,-1,AR135+1))))</f>
        <v>14</v>
      </c>
      <c r="AT135" s="16">
        <f>IF(OR(Z135=regle!$J$11,Z135=regle!$K$11),-2,IF(Z135=regle!$B$11,0,IF(AT$1=$AK$1,IF($O135,-1,regle!$B$2-$M135),IF(AS135=-1,-1,AS135+1))))</f>
        <v>15</v>
      </c>
    </row>
    <row r="136" spans="1:46" x14ac:dyDescent="0.25">
      <c r="A136" t="b">
        <f>modif0!A101</f>
        <v>1</v>
      </c>
      <c r="B136">
        <f>ROW(modif0!B101)</f>
        <v>101</v>
      </c>
      <c r="C136" t="str">
        <f>modif0!D101</f>
        <v>202</v>
      </c>
      <c r="D136" t="str">
        <f>modif0!E101</f>
        <v>HOSTENS</v>
      </c>
      <c r="E136">
        <f>modif0!F101</f>
        <v>11</v>
      </c>
      <c r="F136" t="str">
        <f>modif0!G101</f>
        <v>LES CAZALAS</v>
      </c>
      <c r="G136" t="str">
        <f>modif0!I101</f>
        <v>0B</v>
      </c>
      <c r="H136">
        <f>modif0!J101</f>
        <v>1138</v>
      </c>
      <c r="I136" t="str">
        <f>modif0!K101</f>
        <v>j</v>
      </c>
      <c r="J136" s="11">
        <f>modif0!M101</f>
        <v>0.13109999999999999</v>
      </c>
      <c r="K136" s="11" t="str">
        <f>modif0!P101</f>
        <v>PLA</v>
      </c>
      <c r="L136" t="str">
        <f>modif0!N101</f>
        <v>PM</v>
      </c>
      <c r="M136">
        <f>modif0!Q101</f>
        <v>2018</v>
      </c>
      <c r="N136" t="str">
        <f>modif0!R101</f>
        <v>PLA-PM_2018</v>
      </c>
      <c r="O136" t="b">
        <f>modif0!S101</f>
        <v>0</v>
      </c>
      <c r="P136">
        <v>40</v>
      </c>
      <c r="R136" t="s">
        <v>1871</v>
      </c>
      <c r="W136" t="s">
        <v>1803</v>
      </c>
      <c r="AA136" s="17">
        <f>IF($A136,$J136*(IF(Q136=regle!$B$11,regle!$B$23*IF(AJ136=-2,1+regle!$B$35,1),
IF(Q136=regle!$C$11,regle!$C$23,
IF(Q136=regle!$D$11,regle!$D$23,
IF(Q136=regle!$E$11,regle!$E$23,
IF(Q136=regle!$F$11,regle!$F$23,
IF(Q136=regle!$G$11,regle!$G$23,
IF(Q136=regle!$H$11,regle!$H$23,
IF(Q136=regle!$I$11,regle!$I$23,
IF(Q136=regle!$J$11,regle!$J$23,
IF(Q136=regle!$K$11,regle!$K$23,0))))))))))))</f>
        <v>0</v>
      </c>
      <c r="AB136" s="17">
        <f>IF($A136,$J136*(IF(R136=regle!$B$11,regle!$B$23*IF(AK136=-2,1+regle!$B$35,1),
IF(R136=regle!$C$11,regle!$C$23,
IF(R136=regle!$D$11,regle!$D$23,
IF(R136=regle!$E$11,regle!$E$23,
IF(R136=regle!$F$11,regle!$F$23,
IF(R136=regle!$G$11,regle!$G$23,
IF(R136=regle!$H$11,regle!$H$23,
IF(R136=regle!$I$11,regle!$I$23,
IF(R136=regle!$J$11,regle!$J$23,
IF(R136=regle!$K$11,regle!$K$23,0))))))))))))</f>
        <v>-11.798999999999999</v>
      </c>
      <c r="AC136" s="17">
        <f>IF($A136,$J136*(IF(S136=regle!$B$11,regle!$B$23*IF(AL136=-2,1+regle!$B$35,1),
IF(S136=regle!$C$11,regle!$C$23,
IF(S136=regle!$D$11,regle!$D$23,
IF(S136=regle!$E$11,regle!$E$23,
IF(S136=regle!$F$11,regle!$F$23,
IF(S136=regle!$G$11,regle!$G$23,
IF(S136=regle!$H$11,regle!$H$23,
IF(S136=regle!$I$11,regle!$I$23,
IF(S136=regle!$J$11,regle!$J$23,
IF(S136=regle!$K$11,regle!$K$23,0))))))))))))</f>
        <v>0</v>
      </c>
      <c r="AD136" s="17">
        <f>IF($A136,$J136*(IF(T136=regle!$B$11,regle!$B$23*IF(AM136=-2,1+regle!$B$35,1),
IF(T136=regle!$C$11,regle!$C$23,
IF(T136=regle!$D$11,regle!$D$23,
IF(T136=regle!$E$11,regle!$E$23,
IF(T136=regle!$F$11,regle!$F$23,
IF(T136=regle!$G$11,regle!$G$23,
IF(T136=regle!$H$11,regle!$H$23,
IF(T136=regle!$I$11,regle!$I$23,
IF(T136=regle!$J$11,regle!$J$23,
IF(T136=regle!$K$11,regle!$K$23,0))))))))))))</f>
        <v>0</v>
      </c>
      <c r="AE136" s="17">
        <f>IF($A136,$J136*(IF(U136=regle!$B$11,regle!$B$23*IF(AN136=-2,1+regle!$B$35,1),
IF(U136=regle!$C$11,regle!$C$23,
IF(U136=regle!$D$11,regle!$D$23,
IF(U136=regle!$E$11,regle!$E$23,
IF(U136=regle!$F$11,regle!$F$23,
IF(U136=regle!$G$11,regle!$G$23,
IF(U136=regle!$H$11,regle!$H$23,
IF(U136=regle!$I$11,regle!$I$23,
IF(U136=regle!$J$11,regle!$J$23,
IF(U136=regle!$K$11,regle!$K$23,0))))))))))))</f>
        <v>0</v>
      </c>
      <c r="AF136" s="17">
        <f>IF($A136,$J136*(IF(V136=regle!$B$11,regle!$B$23*IF(AO136=-2,1+regle!$B$35,1),
IF(V136=regle!$C$11,regle!$C$23,
IF(V136=regle!$D$11,regle!$D$23,
IF(V136=regle!$E$11,regle!$E$23,
IF(V136=regle!$F$11,regle!$F$23,
IF(V136=regle!$G$11,regle!$G$23,
IF(V136=regle!$H$11,regle!$H$23,
IF(V136=regle!$I$11,regle!$I$23,
IF(V136=regle!$J$11,regle!$J$23,
IF(V136=regle!$K$11,regle!$K$23,0))))))))))))</f>
        <v>0</v>
      </c>
      <c r="AG136" s="17">
        <f>IF($A136,$J136*(IF(W136=regle!$B$11,regle!$B$23*IF(AP136=-2,1+regle!$B$35,1),
IF(W136=regle!$C$11,regle!$C$23,
IF(W136=regle!$D$11,regle!$D$23,
IF(W136=regle!$E$11,regle!$E$23,
IF(W136=regle!$F$11,regle!$F$23,
IF(W136=regle!$G$11,regle!$G$23,
IF(W136=regle!$H$11,regle!$H$23,
IF(W136=regle!$I$11,regle!$I$23,
IF(W136=regle!$J$11,regle!$J$23,
IF(W136=regle!$K$11,regle!$K$23,0))))))))))))</f>
        <v>75.513599999999997</v>
      </c>
      <c r="AH136" s="17">
        <f>IF($A136,$J136*(IF(X136=regle!$B$11,regle!$B$23*IF(AQ136=-2,1+regle!$B$35,1),
IF(X136=regle!$C$11,regle!$C$23,
IF(X136=regle!$D$11,regle!$D$23,
IF(X136=regle!$E$11,regle!$E$23,
IF(X136=regle!$F$11,regle!$F$23,
IF(X136=regle!$G$11,regle!$G$23,
IF(X136=regle!$H$11,regle!$H$23,
IF(X136=regle!$I$11,regle!$I$23,
IF(X136=regle!$J$11,regle!$J$23,
IF(X136=regle!$K$11,regle!$K$23,0))))))))))))</f>
        <v>0</v>
      </c>
      <c r="AI136" s="17">
        <f>IF($A136,$J136*(IF(Y136=regle!$B$11,regle!$B$23*IF(AR136=-2,1+regle!$B$35,1),
IF(Y136=regle!$C$11,regle!$C$23,
IF(Y136=regle!$D$11,regle!$D$23,
IF(Y136=regle!$E$11,regle!$E$23,
IF(Y136=regle!$F$11,regle!$F$23,
IF(Y136=regle!$G$11,regle!$G$23,
IF(Y136=regle!$H$11,regle!$H$23,
IF(Y136=regle!$I$11,regle!$I$23,
IF(Y136=regle!$J$11,regle!$J$23,
IF(Y136=regle!$K$11,regle!$K$23,0))))))))))))</f>
        <v>0</v>
      </c>
      <c r="AJ136" s="17">
        <f>IF($A136,$J136*(IF(Z136=regle!$B$11,regle!$B$23*IF(AS136=-2,1+regle!$B$35,1),
IF(Z136=regle!$C$11,regle!$C$23,
IF(Z136=regle!$D$11,regle!$D$23,
IF(Z136=regle!$E$11,regle!$E$23,
IF(Z136=regle!$F$11,regle!$F$23,
IF(Z136=regle!$G$11,regle!$G$23,
IF(Z136=regle!$H$11,regle!$H$23,
IF(Z136=regle!$I$11,regle!$I$23,
IF(Z136=regle!$J$11,regle!$J$23,
IF(Z136=regle!$K$11,regle!$K$23,0))))))))))))</f>
        <v>0</v>
      </c>
      <c r="AK136" s="16">
        <f>IF(OR(Q136=regle!$J$11,Q136=regle!$K$11),-2,IF(Q136=regle!$B$11,0,IF(AK$1=$AK$1,IF($O136,-1,regle!$B$2-$M136),IF(AJ136=-1,-1,AJ136+1))))</f>
        <v>6</v>
      </c>
      <c r="AL136" s="16">
        <f>IF(OR(R136=regle!$J$11,R136=regle!$K$11),-2,IF(R136=regle!$B$11,0,IF(AL$1=$AK$1,IF($O136,-1,regle!$B$2-$M136),IF(AK136=-1,-1,AK136+1))))</f>
        <v>7</v>
      </c>
      <c r="AM136" s="16">
        <f>IF(OR(S136=regle!$J$11,S136=regle!$K$11),-2,IF(S136=regle!$B$11,0,IF(AM$1=$AK$1,IF($O136,-1,regle!$B$2-$M136),IF(AL136=-1,-1,AL136+1))))</f>
        <v>8</v>
      </c>
      <c r="AN136" s="16">
        <f>IF(OR(T136=regle!$J$11,T136=regle!$K$11),-2,IF(T136=regle!$B$11,0,IF(AN$1=$AK$1,IF($O136,-1,regle!$B$2-$M136),IF(AM136=-1,-1,AM136+1))))</f>
        <v>9</v>
      </c>
      <c r="AO136" s="16">
        <f>IF(OR(U136=regle!$J$11,U136=regle!$K$11),-2,IF(U136=regle!$B$11,0,IF(AO$1=$AK$1,IF($O136,-1,regle!$B$2-$M136),IF(AN136=-1,-1,AN136+1))))</f>
        <v>10</v>
      </c>
      <c r="AP136" s="16">
        <f>IF(OR(V136=regle!$J$11,V136=regle!$K$11),-2,IF(V136=regle!$B$11,0,IF(AP$1=$AK$1,IF($O136,-1,regle!$B$2-$M136),IF(AO136=-1,-1,AO136+1))))</f>
        <v>11</v>
      </c>
      <c r="AQ136" s="16">
        <f>IF(OR(W136=regle!$J$11,W136=regle!$K$11),-2,IF(W136=regle!$B$11,0,IF(AQ$1=$AK$1,IF($O136,-1,regle!$B$2-$M136),IF(AP136=-1,-1,AP136+1))))</f>
        <v>12</v>
      </c>
      <c r="AR136" s="16">
        <f>IF(OR(X136=regle!$J$11,X136=regle!$K$11),-2,IF(X136=regle!$B$11,0,IF(AR$1=$AK$1,IF($O136,-1,regle!$B$2-$M136),IF(AQ136=-1,-1,AQ136+1))))</f>
        <v>13</v>
      </c>
      <c r="AS136" s="16">
        <f>IF(OR(Y136=regle!$J$11,Y136=regle!$K$11),-2,IF(Y136=regle!$B$11,0,IF(AS$1=$AK$1,IF($O136,-1,regle!$B$2-$M136),IF(AR136=-1,-1,AR136+1))))</f>
        <v>14</v>
      </c>
      <c r="AT136" s="16">
        <f>IF(OR(Z136=regle!$J$11,Z136=regle!$K$11),-2,IF(Z136=regle!$B$11,0,IF(AT$1=$AK$1,IF($O136,-1,regle!$B$2-$M136),IF(AS136=-1,-1,AS136+1))))</f>
        <v>15</v>
      </c>
    </row>
    <row r="137" spans="1:46" x14ac:dyDescent="0.25">
      <c r="A137" t="b">
        <f>modif0!A103</f>
        <v>1</v>
      </c>
      <c r="B137">
        <f>ROW(modif0!B103)</f>
        <v>103</v>
      </c>
      <c r="C137" t="str">
        <f>modif0!D103</f>
        <v>202</v>
      </c>
      <c r="D137" t="str">
        <f>modif0!E103</f>
        <v>HOSTENS</v>
      </c>
      <c r="E137">
        <f>modif0!F103</f>
        <v>11</v>
      </c>
      <c r="F137" t="str">
        <f>modif0!G103</f>
        <v>LES CAZALAS</v>
      </c>
      <c r="G137" t="str">
        <f>modif0!I103</f>
        <v>0B</v>
      </c>
      <c r="H137">
        <f>modif0!J103</f>
        <v>1138</v>
      </c>
      <c r="I137" t="str">
        <f>modif0!K103</f>
        <v>l</v>
      </c>
      <c r="J137" s="11">
        <f>modif0!M103</f>
        <v>6.1499999999999999E-2</v>
      </c>
      <c r="K137" s="11" t="str">
        <f>modif0!P103</f>
        <v>PLA</v>
      </c>
      <c r="L137" t="str">
        <f>modif0!N103</f>
        <v>PM</v>
      </c>
      <c r="M137">
        <f>modif0!Q103</f>
        <v>2018</v>
      </c>
      <c r="N137" t="str">
        <f>modif0!R103</f>
        <v>PLA-PM_2018</v>
      </c>
      <c r="O137" t="b">
        <f>modif0!S103</f>
        <v>0</v>
      </c>
      <c r="P137">
        <v>40</v>
      </c>
      <c r="R137" t="s">
        <v>1871</v>
      </c>
      <c r="W137" t="s">
        <v>1803</v>
      </c>
      <c r="AA137" s="17">
        <f>IF($A137,$J137*(IF(Q137=regle!$B$11,regle!$B$23*IF(AJ137=-2,1+regle!$B$35,1),
IF(Q137=regle!$C$11,regle!$C$23,
IF(Q137=regle!$D$11,regle!$D$23,
IF(Q137=regle!$E$11,regle!$E$23,
IF(Q137=regle!$F$11,regle!$F$23,
IF(Q137=regle!$G$11,regle!$G$23,
IF(Q137=regle!$H$11,regle!$H$23,
IF(Q137=regle!$I$11,regle!$I$23,
IF(Q137=regle!$J$11,regle!$J$23,
IF(Q137=regle!$K$11,regle!$K$23,0))))))))))))</f>
        <v>0</v>
      </c>
      <c r="AB137" s="17">
        <f>IF($A137,$J137*(IF(R137=regle!$B$11,regle!$B$23*IF(AK137=-2,1+regle!$B$35,1),
IF(R137=regle!$C$11,regle!$C$23,
IF(R137=regle!$D$11,regle!$D$23,
IF(R137=regle!$E$11,regle!$E$23,
IF(R137=regle!$F$11,regle!$F$23,
IF(R137=regle!$G$11,regle!$G$23,
IF(R137=regle!$H$11,regle!$H$23,
IF(R137=regle!$I$11,regle!$I$23,
IF(R137=regle!$J$11,regle!$J$23,
IF(R137=regle!$K$11,regle!$K$23,0))))))))))))</f>
        <v>-5.5350000000000001</v>
      </c>
      <c r="AC137" s="17">
        <f>IF($A137,$J137*(IF(S137=regle!$B$11,regle!$B$23*IF(AL137=-2,1+regle!$B$35,1),
IF(S137=regle!$C$11,regle!$C$23,
IF(S137=regle!$D$11,regle!$D$23,
IF(S137=regle!$E$11,regle!$E$23,
IF(S137=regle!$F$11,regle!$F$23,
IF(S137=regle!$G$11,regle!$G$23,
IF(S137=regle!$H$11,regle!$H$23,
IF(S137=regle!$I$11,regle!$I$23,
IF(S137=regle!$J$11,regle!$J$23,
IF(S137=regle!$K$11,regle!$K$23,0))))))))))))</f>
        <v>0</v>
      </c>
      <c r="AD137" s="17">
        <f>IF($A137,$J137*(IF(T137=regle!$B$11,regle!$B$23*IF(AM137=-2,1+regle!$B$35,1),
IF(T137=regle!$C$11,regle!$C$23,
IF(T137=regle!$D$11,regle!$D$23,
IF(T137=regle!$E$11,regle!$E$23,
IF(T137=regle!$F$11,regle!$F$23,
IF(T137=regle!$G$11,regle!$G$23,
IF(T137=regle!$H$11,regle!$H$23,
IF(T137=regle!$I$11,regle!$I$23,
IF(T137=regle!$J$11,regle!$J$23,
IF(T137=regle!$K$11,regle!$K$23,0))))))))))))</f>
        <v>0</v>
      </c>
      <c r="AE137" s="17">
        <f>IF($A137,$J137*(IF(U137=regle!$B$11,regle!$B$23*IF(AN137=-2,1+regle!$B$35,1),
IF(U137=regle!$C$11,regle!$C$23,
IF(U137=regle!$D$11,regle!$D$23,
IF(U137=regle!$E$11,regle!$E$23,
IF(U137=regle!$F$11,regle!$F$23,
IF(U137=regle!$G$11,regle!$G$23,
IF(U137=regle!$H$11,regle!$H$23,
IF(U137=regle!$I$11,regle!$I$23,
IF(U137=regle!$J$11,regle!$J$23,
IF(U137=regle!$K$11,regle!$K$23,0))))))))))))</f>
        <v>0</v>
      </c>
      <c r="AF137" s="17">
        <f>IF($A137,$J137*(IF(V137=regle!$B$11,regle!$B$23*IF(AO137=-2,1+regle!$B$35,1),
IF(V137=regle!$C$11,regle!$C$23,
IF(V137=regle!$D$11,regle!$D$23,
IF(V137=regle!$E$11,regle!$E$23,
IF(V137=regle!$F$11,regle!$F$23,
IF(V137=regle!$G$11,regle!$G$23,
IF(V137=regle!$H$11,regle!$H$23,
IF(V137=regle!$I$11,regle!$I$23,
IF(V137=regle!$J$11,regle!$J$23,
IF(V137=regle!$K$11,regle!$K$23,0))))))))))))</f>
        <v>0</v>
      </c>
      <c r="AG137" s="17">
        <f>IF($A137,$J137*(IF(W137=regle!$B$11,regle!$B$23*IF(AP137=-2,1+regle!$B$35,1),
IF(W137=regle!$C$11,regle!$C$23,
IF(W137=regle!$D$11,regle!$D$23,
IF(W137=regle!$E$11,regle!$E$23,
IF(W137=regle!$F$11,regle!$F$23,
IF(W137=regle!$G$11,regle!$G$23,
IF(W137=regle!$H$11,regle!$H$23,
IF(W137=regle!$I$11,regle!$I$23,
IF(W137=regle!$J$11,regle!$J$23,
IF(W137=regle!$K$11,regle!$K$23,0))))))))))))</f>
        <v>35.423999999999999</v>
      </c>
      <c r="AH137" s="17">
        <f>IF($A137,$J137*(IF(X137=regle!$B$11,regle!$B$23*IF(AQ137=-2,1+regle!$B$35,1),
IF(X137=regle!$C$11,regle!$C$23,
IF(X137=regle!$D$11,regle!$D$23,
IF(X137=regle!$E$11,regle!$E$23,
IF(X137=regle!$F$11,regle!$F$23,
IF(X137=regle!$G$11,regle!$G$23,
IF(X137=regle!$H$11,regle!$H$23,
IF(X137=regle!$I$11,regle!$I$23,
IF(X137=regle!$J$11,regle!$J$23,
IF(X137=regle!$K$11,regle!$K$23,0))))))))))))</f>
        <v>0</v>
      </c>
      <c r="AI137" s="17">
        <f>IF($A137,$J137*(IF(Y137=regle!$B$11,regle!$B$23*IF(AR137=-2,1+regle!$B$35,1),
IF(Y137=regle!$C$11,regle!$C$23,
IF(Y137=regle!$D$11,regle!$D$23,
IF(Y137=regle!$E$11,regle!$E$23,
IF(Y137=regle!$F$11,regle!$F$23,
IF(Y137=regle!$G$11,regle!$G$23,
IF(Y137=regle!$H$11,regle!$H$23,
IF(Y137=regle!$I$11,regle!$I$23,
IF(Y137=regle!$J$11,regle!$J$23,
IF(Y137=regle!$K$11,regle!$K$23,0))))))))))))</f>
        <v>0</v>
      </c>
      <c r="AJ137" s="17">
        <f>IF($A137,$J137*(IF(Z137=regle!$B$11,regle!$B$23*IF(AS137=-2,1+regle!$B$35,1),
IF(Z137=regle!$C$11,regle!$C$23,
IF(Z137=regle!$D$11,regle!$D$23,
IF(Z137=regle!$E$11,regle!$E$23,
IF(Z137=regle!$F$11,regle!$F$23,
IF(Z137=regle!$G$11,regle!$G$23,
IF(Z137=regle!$H$11,regle!$H$23,
IF(Z137=regle!$I$11,regle!$I$23,
IF(Z137=regle!$J$11,regle!$J$23,
IF(Z137=regle!$K$11,regle!$K$23,0))))))))))))</f>
        <v>0</v>
      </c>
      <c r="AK137" s="16">
        <f>IF(OR(Q137=regle!$J$11,Q137=regle!$K$11),-2,IF(Q137=regle!$B$11,0,IF(AK$1=$AK$1,IF($O137,-1,regle!$B$2-$M137),IF(AJ137=-1,-1,AJ137+1))))</f>
        <v>6</v>
      </c>
      <c r="AL137" s="16">
        <f>IF(OR(R137=regle!$J$11,R137=regle!$K$11),-2,IF(R137=regle!$B$11,0,IF(AL$1=$AK$1,IF($O137,-1,regle!$B$2-$M137),IF(AK137=-1,-1,AK137+1))))</f>
        <v>7</v>
      </c>
      <c r="AM137" s="16">
        <f>IF(OR(S137=regle!$J$11,S137=regle!$K$11),-2,IF(S137=regle!$B$11,0,IF(AM$1=$AK$1,IF($O137,-1,regle!$B$2-$M137),IF(AL137=-1,-1,AL137+1))))</f>
        <v>8</v>
      </c>
      <c r="AN137" s="16">
        <f>IF(OR(T137=regle!$J$11,T137=regle!$K$11),-2,IF(T137=regle!$B$11,0,IF(AN$1=$AK$1,IF($O137,-1,regle!$B$2-$M137),IF(AM137=-1,-1,AM137+1))))</f>
        <v>9</v>
      </c>
      <c r="AO137" s="16">
        <f>IF(OR(U137=regle!$J$11,U137=regle!$K$11),-2,IF(U137=regle!$B$11,0,IF(AO$1=$AK$1,IF($O137,-1,regle!$B$2-$M137),IF(AN137=-1,-1,AN137+1))))</f>
        <v>10</v>
      </c>
      <c r="AP137" s="16">
        <f>IF(OR(V137=regle!$J$11,V137=regle!$K$11),-2,IF(V137=regle!$B$11,0,IF(AP$1=$AK$1,IF($O137,-1,regle!$B$2-$M137),IF(AO137=-1,-1,AO137+1))))</f>
        <v>11</v>
      </c>
      <c r="AQ137" s="16">
        <f>IF(OR(W137=regle!$J$11,W137=regle!$K$11),-2,IF(W137=regle!$B$11,0,IF(AQ$1=$AK$1,IF($O137,-1,regle!$B$2-$M137),IF(AP137=-1,-1,AP137+1))))</f>
        <v>12</v>
      </c>
      <c r="AR137" s="16">
        <f>IF(OR(X137=regle!$J$11,X137=regle!$K$11),-2,IF(X137=regle!$B$11,0,IF(AR$1=$AK$1,IF($O137,-1,regle!$B$2-$M137),IF(AQ137=-1,-1,AQ137+1))))</f>
        <v>13</v>
      </c>
      <c r="AS137" s="16">
        <f>IF(OR(Y137=regle!$J$11,Y137=regle!$K$11),-2,IF(Y137=regle!$B$11,0,IF(AS$1=$AK$1,IF($O137,-1,regle!$B$2-$M137),IF(AR137=-1,-1,AR137+1))))</f>
        <v>14</v>
      </c>
      <c r="AT137" s="16">
        <f>IF(OR(Z137=regle!$J$11,Z137=regle!$K$11),-2,IF(Z137=regle!$B$11,0,IF(AT$1=$AK$1,IF($O137,-1,regle!$B$2-$M137),IF(AS137=-1,-1,AS137+1))))</f>
        <v>15</v>
      </c>
    </row>
    <row r="138" spans="1:46" x14ac:dyDescent="0.25">
      <c r="A138" t="b">
        <f>modif0!A347</f>
        <v>1</v>
      </c>
      <c r="B138">
        <f>ROW(modif0!B347)</f>
        <v>347</v>
      </c>
      <c r="C138" t="str">
        <f>modif0!D347</f>
        <v>200</v>
      </c>
      <c r="D138" t="str">
        <f>modif0!E347</f>
        <v>MOUSTEY</v>
      </c>
      <c r="E138">
        <f>modif0!F347</f>
        <v>4</v>
      </c>
      <c r="F138" t="str">
        <f>modif0!G347</f>
        <v>Kycs</v>
      </c>
      <c r="G138" t="str">
        <f>modif0!I347</f>
        <v>0M</v>
      </c>
      <c r="H138">
        <f>modif0!J347</f>
        <v>33</v>
      </c>
      <c r="I138" t="str">
        <f>modif0!K347</f>
        <v>l</v>
      </c>
      <c r="J138" s="11">
        <f>modif0!M347</f>
        <v>9.9833999999999996</v>
      </c>
      <c r="K138" s="11" t="str">
        <f>modif0!P347</f>
        <v>PLA</v>
      </c>
      <c r="L138" t="str">
        <f>modif0!N347</f>
        <v>PM</v>
      </c>
      <c r="M138">
        <f>modif0!Q347</f>
        <v>2017</v>
      </c>
      <c r="N138" t="str">
        <f>modif0!R347</f>
        <v>PLA-PM_2017</v>
      </c>
      <c r="O138" t="b">
        <f>modif0!S347</f>
        <v>0</v>
      </c>
      <c r="P138">
        <v>40</v>
      </c>
      <c r="Q138" t="s">
        <v>1871</v>
      </c>
      <c r="V138" t="s">
        <v>1803</v>
      </c>
      <c r="AA138" s="17">
        <f>IF($A138,$J138*(IF(Q138=regle!$B$11,regle!$B$23*IF(AJ138=-2,1+regle!$B$35,1),
IF(Q138=regle!$C$11,regle!$C$23,
IF(Q138=regle!$D$11,regle!$D$23,
IF(Q138=regle!$E$11,regle!$E$23,
IF(Q138=regle!$F$11,regle!$F$23,
IF(Q138=regle!$G$11,regle!$G$23,
IF(Q138=regle!$H$11,regle!$H$23,
IF(Q138=regle!$I$11,regle!$I$23,
IF(Q138=regle!$J$11,regle!$J$23,
IF(Q138=regle!$K$11,regle!$K$23,0))))))))))))</f>
        <v>-898.50599999999997</v>
      </c>
      <c r="AB138" s="17">
        <f>IF($A138,$J138*(IF(R138=regle!$B$11,regle!$B$23*IF(AK138=-2,1+regle!$B$35,1),
IF(R138=regle!$C$11,regle!$C$23,
IF(R138=regle!$D$11,regle!$D$23,
IF(R138=regle!$E$11,regle!$E$23,
IF(R138=regle!$F$11,regle!$F$23,
IF(R138=regle!$G$11,regle!$G$23,
IF(R138=regle!$H$11,regle!$H$23,
IF(R138=regle!$I$11,regle!$I$23,
IF(R138=regle!$J$11,regle!$J$23,
IF(R138=regle!$K$11,regle!$K$23,0))))))))))))</f>
        <v>0</v>
      </c>
      <c r="AC138" s="17">
        <f>IF($A138,$J138*(IF(S138=regle!$B$11,regle!$B$23*IF(AL138=-2,1+regle!$B$35,1),
IF(S138=regle!$C$11,regle!$C$23,
IF(S138=regle!$D$11,regle!$D$23,
IF(S138=regle!$E$11,regle!$E$23,
IF(S138=regle!$F$11,regle!$F$23,
IF(S138=regle!$G$11,regle!$G$23,
IF(S138=regle!$H$11,regle!$H$23,
IF(S138=regle!$I$11,regle!$I$23,
IF(S138=regle!$J$11,regle!$J$23,
IF(S138=regle!$K$11,regle!$K$23,0))))))))))))</f>
        <v>0</v>
      </c>
      <c r="AD138" s="17">
        <f>IF($A138,$J138*(IF(T138=regle!$B$11,regle!$B$23*IF(AM138=-2,1+regle!$B$35,1),
IF(T138=regle!$C$11,regle!$C$23,
IF(T138=regle!$D$11,regle!$D$23,
IF(T138=regle!$E$11,regle!$E$23,
IF(T138=regle!$F$11,regle!$F$23,
IF(T138=regle!$G$11,regle!$G$23,
IF(T138=regle!$H$11,regle!$H$23,
IF(T138=regle!$I$11,regle!$I$23,
IF(T138=regle!$J$11,regle!$J$23,
IF(T138=regle!$K$11,regle!$K$23,0))))))))))))</f>
        <v>0</v>
      </c>
      <c r="AE138" s="17">
        <f>IF($A138,$J138*(IF(U138=regle!$B$11,regle!$B$23*IF(AN138=-2,1+regle!$B$35,1),
IF(U138=regle!$C$11,regle!$C$23,
IF(U138=regle!$D$11,regle!$D$23,
IF(U138=regle!$E$11,regle!$E$23,
IF(U138=regle!$F$11,regle!$F$23,
IF(U138=regle!$G$11,regle!$G$23,
IF(U138=regle!$H$11,regle!$H$23,
IF(U138=regle!$I$11,regle!$I$23,
IF(U138=regle!$J$11,regle!$J$23,
IF(U138=regle!$K$11,regle!$K$23,0))))))))))))</f>
        <v>0</v>
      </c>
      <c r="AF138" s="17">
        <f>IF($A138,$J138*(IF(V138=regle!$B$11,regle!$B$23*IF(AO138=-2,1+regle!$B$35,1),
IF(V138=regle!$C$11,regle!$C$23,
IF(V138=regle!$D$11,regle!$D$23,
IF(V138=regle!$E$11,regle!$E$23,
IF(V138=regle!$F$11,regle!$F$23,
IF(V138=regle!$G$11,regle!$G$23,
IF(V138=regle!$H$11,regle!$H$23,
IF(V138=regle!$I$11,regle!$I$23,
IF(V138=regle!$J$11,regle!$J$23,
IF(V138=regle!$K$11,regle!$K$23,0))))))))))))</f>
        <v>5750.4384</v>
      </c>
      <c r="AG138" s="17">
        <f>IF($A138,$J138*(IF(W138=regle!$B$11,regle!$B$23*IF(AP138=-2,1+regle!$B$35,1),
IF(W138=regle!$C$11,regle!$C$23,
IF(W138=regle!$D$11,regle!$D$23,
IF(W138=regle!$E$11,regle!$E$23,
IF(W138=regle!$F$11,regle!$F$23,
IF(W138=regle!$G$11,regle!$G$23,
IF(W138=regle!$H$11,regle!$H$23,
IF(W138=regle!$I$11,regle!$I$23,
IF(W138=regle!$J$11,regle!$J$23,
IF(W138=regle!$K$11,regle!$K$23,0))))))))))))</f>
        <v>0</v>
      </c>
      <c r="AH138" s="17">
        <f>IF($A138,$J138*(IF(X138=regle!$B$11,regle!$B$23*IF(AQ138=-2,1+regle!$B$35,1),
IF(X138=regle!$C$11,regle!$C$23,
IF(X138=regle!$D$11,regle!$D$23,
IF(X138=regle!$E$11,regle!$E$23,
IF(X138=regle!$F$11,regle!$F$23,
IF(X138=regle!$G$11,regle!$G$23,
IF(X138=regle!$H$11,regle!$H$23,
IF(X138=regle!$I$11,regle!$I$23,
IF(X138=regle!$J$11,regle!$J$23,
IF(X138=regle!$K$11,regle!$K$23,0))))))))))))</f>
        <v>0</v>
      </c>
      <c r="AI138" s="17">
        <f>IF($A138,$J138*(IF(Y138=regle!$B$11,regle!$B$23*IF(AR138=-2,1+regle!$B$35,1),
IF(Y138=regle!$C$11,regle!$C$23,
IF(Y138=regle!$D$11,regle!$D$23,
IF(Y138=regle!$E$11,regle!$E$23,
IF(Y138=regle!$F$11,regle!$F$23,
IF(Y138=regle!$G$11,regle!$G$23,
IF(Y138=regle!$H$11,regle!$H$23,
IF(Y138=regle!$I$11,regle!$I$23,
IF(Y138=regle!$J$11,regle!$J$23,
IF(Y138=regle!$K$11,regle!$K$23,0))))))))))))</f>
        <v>0</v>
      </c>
      <c r="AJ138" s="17">
        <f>IF($A138,$J138*(IF(Z138=regle!$B$11,regle!$B$23*IF(AS138=-2,1+regle!$B$35,1),
IF(Z138=regle!$C$11,regle!$C$23,
IF(Z138=regle!$D$11,regle!$D$23,
IF(Z138=regle!$E$11,regle!$E$23,
IF(Z138=regle!$F$11,regle!$F$23,
IF(Z138=regle!$G$11,regle!$G$23,
IF(Z138=regle!$H$11,regle!$H$23,
IF(Z138=regle!$I$11,regle!$I$23,
IF(Z138=regle!$J$11,regle!$J$23,
IF(Z138=regle!$K$11,regle!$K$23,0))))))))))))</f>
        <v>0</v>
      </c>
      <c r="AK138" s="16">
        <f>IF(OR(Q138=regle!$J$11,Q138=regle!$K$11),-2,IF(Q138=regle!$B$11,0,IF(AK$1=$AK$1,IF($O138,-1,regle!$B$2-$M138),IF(AJ138=-1,-1,AJ138+1))))</f>
        <v>7</v>
      </c>
      <c r="AL138" s="16">
        <f>IF(OR(R138=regle!$J$11,R138=regle!$K$11),-2,IF(R138=regle!$B$11,0,IF(AL$1=$AK$1,IF($O138,-1,regle!$B$2-$M138),IF(AK138=-1,-1,AK138+1))))</f>
        <v>8</v>
      </c>
      <c r="AM138" s="16">
        <f>IF(OR(S138=regle!$J$11,S138=regle!$K$11),-2,IF(S138=regle!$B$11,0,IF(AM$1=$AK$1,IF($O138,-1,regle!$B$2-$M138),IF(AL138=-1,-1,AL138+1))))</f>
        <v>9</v>
      </c>
      <c r="AN138" s="16">
        <f>IF(OR(T138=regle!$J$11,T138=regle!$K$11),-2,IF(T138=regle!$B$11,0,IF(AN$1=$AK$1,IF($O138,-1,regle!$B$2-$M138),IF(AM138=-1,-1,AM138+1))))</f>
        <v>10</v>
      </c>
      <c r="AO138" s="16">
        <f>IF(OR(U138=regle!$J$11,U138=regle!$K$11),-2,IF(U138=regle!$B$11,0,IF(AO$1=$AK$1,IF($O138,-1,regle!$B$2-$M138),IF(AN138=-1,-1,AN138+1))))</f>
        <v>11</v>
      </c>
      <c r="AP138" s="16">
        <f>IF(OR(V138=regle!$J$11,V138=regle!$K$11),-2,IF(V138=regle!$B$11,0,IF(AP$1=$AK$1,IF($O138,-1,regle!$B$2-$M138),IF(AO138=-1,-1,AO138+1))))</f>
        <v>12</v>
      </c>
      <c r="AQ138" s="16">
        <f>IF(OR(W138=regle!$J$11,W138=regle!$K$11),-2,IF(W138=regle!$B$11,0,IF(AQ$1=$AK$1,IF($O138,-1,regle!$B$2-$M138),IF(AP138=-1,-1,AP138+1))))</f>
        <v>13</v>
      </c>
      <c r="AR138" s="16">
        <f>IF(OR(X138=regle!$J$11,X138=regle!$K$11),-2,IF(X138=regle!$B$11,0,IF(AR$1=$AK$1,IF($O138,-1,regle!$B$2-$M138),IF(AQ138=-1,-1,AQ138+1))))</f>
        <v>14</v>
      </c>
      <c r="AS138" s="16">
        <f>IF(OR(Y138=regle!$J$11,Y138=regle!$K$11),-2,IF(Y138=regle!$B$11,0,IF(AS$1=$AK$1,IF($O138,-1,regle!$B$2-$M138),IF(AR138=-1,-1,AR138+1))))</f>
        <v>15</v>
      </c>
      <c r="AT138" s="16">
        <f>IF(OR(Z138=regle!$J$11,Z138=regle!$K$11),-2,IF(Z138=regle!$B$11,0,IF(AT$1=$AK$1,IF($O138,-1,regle!$B$2-$M138),IF(AS138=-1,-1,AS138+1))))</f>
        <v>16</v>
      </c>
    </row>
    <row r="139" spans="1:46" x14ac:dyDescent="0.25">
      <c r="A139" t="b">
        <f>modif0!A364</f>
        <v>1</v>
      </c>
      <c r="B139">
        <f>ROW(modif0!B364)</f>
        <v>364</v>
      </c>
      <c r="C139" t="str">
        <f>modif0!D364</f>
        <v>200</v>
      </c>
      <c r="D139" t="str">
        <f>modif0!E364</f>
        <v>MOUSTEY</v>
      </c>
      <c r="E139">
        <f>modif0!F364</f>
        <v>4</v>
      </c>
      <c r="F139" t="str">
        <f>modif0!G364</f>
        <v>Kycs</v>
      </c>
      <c r="G139" t="str">
        <f>modif0!I364</f>
        <v>0M</v>
      </c>
      <c r="H139">
        <f>modif0!J364</f>
        <v>80</v>
      </c>
      <c r="I139" t="str">
        <f>modif0!K364</f>
        <v>o</v>
      </c>
      <c r="J139" s="11">
        <f>modif0!M364</f>
        <v>9.4913000000000007</v>
      </c>
      <c r="K139" s="11" t="str">
        <f>modif0!P364</f>
        <v>PLA</v>
      </c>
      <c r="L139" t="str">
        <f>modif0!N364</f>
        <v>PM</v>
      </c>
      <c r="M139">
        <f>modif0!Q364</f>
        <v>2017</v>
      </c>
      <c r="N139" t="str">
        <f>modif0!R364</f>
        <v>PLA-PM_2017</v>
      </c>
      <c r="O139" t="b">
        <f>modif0!S364</f>
        <v>0</v>
      </c>
      <c r="P139">
        <v>40</v>
      </c>
      <c r="Q139" t="s">
        <v>1871</v>
      </c>
      <c r="V139" t="s">
        <v>1803</v>
      </c>
      <c r="AA139" s="17">
        <f>IF($A139,$J139*(IF(Q139=regle!$B$11,regle!$B$23*IF(AJ139=-2,1+regle!$B$35,1),
IF(Q139=regle!$C$11,regle!$C$23,
IF(Q139=regle!$D$11,regle!$D$23,
IF(Q139=regle!$E$11,regle!$E$23,
IF(Q139=regle!$F$11,regle!$F$23,
IF(Q139=regle!$G$11,regle!$G$23,
IF(Q139=regle!$H$11,regle!$H$23,
IF(Q139=regle!$I$11,regle!$I$23,
IF(Q139=regle!$J$11,regle!$J$23,
IF(Q139=regle!$K$11,regle!$K$23,0))))))))))))</f>
        <v>-854.2170000000001</v>
      </c>
      <c r="AB139" s="17">
        <f>IF($A139,$J139*(IF(R139=regle!$B$11,regle!$B$23*IF(AK139=-2,1+regle!$B$35,1),
IF(R139=regle!$C$11,regle!$C$23,
IF(R139=regle!$D$11,regle!$D$23,
IF(R139=regle!$E$11,regle!$E$23,
IF(R139=regle!$F$11,regle!$F$23,
IF(R139=regle!$G$11,regle!$G$23,
IF(R139=regle!$H$11,regle!$H$23,
IF(R139=regle!$I$11,regle!$I$23,
IF(R139=regle!$J$11,regle!$J$23,
IF(R139=regle!$K$11,regle!$K$23,0))))))))))))</f>
        <v>0</v>
      </c>
      <c r="AC139" s="17">
        <f>IF($A139,$J139*(IF(S139=regle!$B$11,regle!$B$23*IF(AL139=-2,1+regle!$B$35,1),
IF(S139=regle!$C$11,regle!$C$23,
IF(S139=regle!$D$11,regle!$D$23,
IF(S139=regle!$E$11,regle!$E$23,
IF(S139=regle!$F$11,regle!$F$23,
IF(S139=regle!$G$11,regle!$G$23,
IF(S139=regle!$H$11,regle!$H$23,
IF(S139=regle!$I$11,regle!$I$23,
IF(S139=regle!$J$11,regle!$J$23,
IF(S139=regle!$K$11,regle!$K$23,0))))))))))))</f>
        <v>0</v>
      </c>
      <c r="AD139" s="17">
        <f>IF($A139,$J139*(IF(T139=regle!$B$11,regle!$B$23*IF(AM139=-2,1+regle!$B$35,1),
IF(T139=regle!$C$11,regle!$C$23,
IF(T139=regle!$D$11,regle!$D$23,
IF(T139=regle!$E$11,regle!$E$23,
IF(T139=regle!$F$11,regle!$F$23,
IF(T139=regle!$G$11,regle!$G$23,
IF(T139=regle!$H$11,regle!$H$23,
IF(T139=regle!$I$11,regle!$I$23,
IF(T139=regle!$J$11,regle!$J$23,
IF(T139=regle!$K$11,regle!$K$23,0))))))))))))</f>
        <v>0</v>
      </c>
      <c r="AE139" s="17">
        <f>IF($A139,$J139*(IF(U139=regle!$B$11,regle!$B$23*IF(AN139=-2,1+regle!$B$35,1),
IF(U139=regle!$C$11,regle!$C$23,
IF(U139=regle!$D$11,regle!$D$23,
IF(U139=regle!$E$11,regle!$E$23,
IF(U139=regle!$F$11,regle!$F$23,
IF(U139=regle!$G$11,regle!$G$23,
IF(U139=regle!$H$11,regle!$H$23,
IF(U139=regle!$I$11,regle!$I$23,
IF(U139=regle!$J$11,regle!$J$23,
IF(U139=regle!$K$11,regle!$K$23,0))))))))))))</f>
        <v>0</v>
      </c>
      <c r="AF139" s="17">
        <f>IF($A139,$J139*(IF(V139=regle!$B$11,regle!$B$23*IF(AO139=-2,1+regle!$B$35,1),
IF(V139=regle!$C$11,regle!$C$23,
IF(V139=regle!$D$11,regle!$D$23,
IF(V139=regle!$E$11,regle!$E$23,
IF(V139=regle!$F$11,regle!$F$23,
IF(V139=regle!$G$11,regle!$G$23,
IF(V139=regle!$H$11,regle!$H$23,
IF(V139=regle!$I$11,regle!$I$23,
IF(V139=regle!$J$11,regle!$J$23,
IF(V139=regle!$K$11,regle!$K$23,0))))))))))))</f>
        <v>5466.9888000000001</v>
      </c>
      <c r="AG139" s="17">
        <f>IF($A139,$J139*(IF(W139=regle!$B$11,regle!$B$23*IF(AP139=-2,1+regle!$B$35,1),
IF(W139=regle!$C$11,regle!$C$23,
IF(W139=regle!$D$11,regle!$D$23,
IF(W139=regle!$E$11,regle!$E$23,
IF(W139=regle!$F$11,regle!$F$23,
IF(W139=regle!$G$11,regle!$G$23,
IF(W139=regle!$H$11,regle!$H$23,
IF(W139=regle!$I$11,regle!$I$23,
IF(W139=regle!$J$11,regle!$J$23,
IF(W139=regle!$K$11,regle!$K$23,0))))))))))))</f>
        <v>0</v>
      </c>
      <c r="AH139" s="17">
        <f>IF($A139,$J139*(IF(X139=regle!$B$11,regle!$B$23*IF(AQ139=-2,1+regle!$B$35,1),
IF(X139=regle!$C$11,regle!$C$23,
IF(X139=regle!$D$11,regle!$D$23,
IF(X139=regle!$E$11,regle!$E$23,
IF(X139=regle!$F$11,regle!$F$23,
IF(X139=regle!$G$11,regle!$G$23,
IF(X139=regle!$H$11,regle!$H$23,
IF(X139=regle!$I$11,regle!$I$23,
IF(X139=regle!$J$11,regle!$J$23,
IF(X139=regle!$K$11,regle!$K$23,0))))))))))))</f>
        <v>0</v>
      </c>
      <c r="AI139" s="17">
        <f>IF($A139,$J139*(IF(Y139=regle!$B$11,regle!$B$23*IF(AR139=-2,1+regle!$B$35,1),
IF(Y139=regle!$C$11,regle!$C$23,
IF(Y139=regle!$D$11,regle!$D$23,
IF(Y139=regle!$E$11,regle!$E$23,
IF(Y139=regle!$F$11,regle!$F$23,
IF(Y139=regle!$G$11,regle!$G$23,
IF(Y139=regle!$H$11,regle!$H$23,
IF(Y139=regle!$I$11,regle!$I$23,
IF(Y139=regle!$J$11,regle!$J$23,
IF(Y139=regle!$K$11,regle!$K$23,0))))))))))))</f>
        <v>0</v>
      </c>
      <c r="AJ139" s="17">
        <f>IF($A139,$J139*(IF(Z139=regle!$B$11,regle!$B$23*IF(AS139=-2,1+regle!$B$35,1),
IF(Z139=regle!$C$11,regle!$C$23,
IF(Z139=regle!$D$11,regle!$D$23,
IF(Z139=regle!$E$11,regle!$E$23,
IF(Z139=regle!$F$11,regle!$F$23,
IF(Z139=regle!$G$11,regle!$G$23,
IF(Z139=regle!$H$11,regle!$H$23,
IF(Z139=regle!$I$11,regle!$I$23,
IF(Z139=regle!$J$11,regle!$J$23,
IF(Z139=regle!$K$11,regle!$K$23,0))))))))))))</f>
        <v>0</v>
      </c>
      <c r="AK139" s="16">
        <f>IF(OR(Q139=regle!$J$11,Q139=regle!$K$11),-2,IF(Q139=regle!$B$11,0,IF(AK$1=$AK$1,IF($O139,-1,regle!$B$2-$M139),IF(AJ139=-1,-1,AJ139+1))))</f>
        <v>7</v>
      </c>
      <c r="AL139" s="16">
        <f>IF(OR(R139=regle!$J$11,R139=regle!$K$11),-2,IF(R139=regle!$B$11,0,IF(AL$1=$AK$1,IF($O139,-1,regle!$B$2-$M139),IF(AK139=-1,-1,AK139+1))))</f>
        <v>8</v>
      </c>
      <c r="AM139" s="16">
        <f>IF(OR(S139=regle!$J$11,S139=regle!$K$11),-2,IF(S139=regle!$B$11,0,IF(AM$1=$AK$1,IF($O139,-1,regle!$B$2-$M139),IF(AL139=-1,-1,AL139+1))))</f>
        <v>9</v>
      </c>
      <c r="AN139" s="16">
        <f>IF(OR(T139=regle!$J$11,T139=regle!$K$11),-2,IF(T139=regle!$B$11,0,IF(AN$1=$AK$1,IF($O139,-1,regle!$B$2-$M139),IF(AM139=-1,-1,AM139+1))))</f>
        <v>10</v>
      </c>
      <c r="AO139" s="16">
        <f>IF(OR(U139=regle!$J$11,U139=regle!$K$11),-2,IF(U139=regle!$B$11,0,IF(AO$1=$AK$1,IF($O139,-1,regle!$B$2-$M139),IF(AN139=-1,-1,AN139+1))))</f>
        <v>11</v>
      </c>
      <c r="AP139" s="16">
        <f>IF(OR(V139=regle!$J$11,V139=regle!$K$11),-2,IF(V139=regle!$B$11,0,IF(AP$1=$AK$1,IF($O139,-1,regle!$B$2-$M139),IF(AO139=-1,-1,AO139+1))))</f>
        <v>12</v>
      </c>
      <c r="AQ139" s="16">
        <f>IF(OR(W139=regle!$J$11,W139=regle!$K$11),-2,IF(W139=regle!$B$11,0,IF(AQ$1=$AK$1,IF($O139,-1,regle!$B$2-$M139),IF(AP139=-1,-1,AP139+1))))</f>
        <v>13</v>
      </c>
      <c r="AR139" s="16">
        <f>IF(OR(X139=regle!$J$11,X139=regle!$K$11),-2,IF(X139=regle!$B$11,0,IF(AR$1=$AK$1,IF($O139,-1,regle!$B$2-$M139),IF(AQ139=-1,-1,AQ139+1))))</f>
        <v>14</v>
      </c>
      <c r="AS139" s="16">
        <f>IF(OR(Y139=regle!$J$11,Y139=regle!$K$11),-2,IF(Y139=regle!$B$11,0,IF(AS$1=$AK$1,IF($O139,-1,regle!$B$2-$M139),IF(AR139=-1,-1,AR139+1))))</f>
        <v>15</v>
      </c>
      <c r="AT139" s="16">
        <f>IF(OR(Z139=regle!$J$11,Z139=regle!$K$11),-2,IF(Z139=regle!$B$11,0,IF(AT$1=$AK$1,IF($O139,-1,regle!$B$2-$M139),IF(AS139=-1,-1,AS139+1))))</f>
        <v>16</v>
      </c>
    </row>
    <row r="140" spans="1:46" x14ac:dyDescent="0.25">
      <c r="A140" t="b">
        <f>modif0!A33</f>
        <v>1</v>
      </c>
      <c r="B140">
        <f>ROW(modif0!B33)</f>
        <v>33</v>
      </c>
      <c r="C140" t="str">
        <f>modif0!D33</f>
        <v>536</v>
      </c>
      <c r="D140" t="str">
        <f>modif0!E33</f>
        <v>LE TUZAN</v>
      </c>
      <c r="E140">
        <f>modif0!F33</f>
        <v>21</v>
      </c>
      <c r="F140" t="str">
        <f>modif0!G33</f>
        <v>METAIRIES DE TABARTON</v>
      </c>
      <c r="G140" t="str">
        <f>modif0!I33</f>
        <v>0A</v>
      </c>
      <c r="H140">
        <f>modif0!J33</f>
        <v>416</v>
      </c>
      <c r="I140" t="str">
        <f>modif0!K33</f>
        <v>a</v>
      </c>
      <c r="J140" s="11">
        <f>modif0!M33</f>
        <v>5.5125000000000002</v>
      </c>
      <c r="K140" s="11" t="str">
        <f>modif0!P33</f>
        <v>PLA</v>
      </c>
      <c r="L140" t="str">
        <f>modif0!N33</f>
        <v>PM</v>
      </c>
      <c r="M140">
        <f>modif0!Q33</f>
        <v>2017</v>
      </c>
      <c r="N140" t="str">
        <f>modif0!R33</f>
        <v>PLA-PM_2017</v>
      </c>
      <c r="O140" t="b">
        <f>modif0!S33</f>
        <v>0</v>
      </c>
      <c r="P140">
        <v>40</v>
      </c>
      <c r="Q140" t="s">
        <v>1871</v>
      </c>
      <c r="V140" t="s">
        <v>1803</v>
      </c>
      <c r="AA140" s="17">
        <f>IF($A140,$J140*(IF(Q140=regle!$B$11,regle!$B$23*IF(AJ140=-2,1+regle!$B$35,1),
IF(Q140=regle!$C$11,regle!$C$23,
IF(Q140=regle!$D$11,regle!$D$23,
IF(Q140=regle!$E$11,regle!$E$23,
IF(Q140=regle!$F$11,regle!$F$23,
IF(Q140=regle!$G$11,regle!$G$23,
IF(Q140=regle!$H$11,regle!$H$23,
IF(Q140=regle!$I$11,regle!$I$23,
IF(Q140=regle!$J$11,regle!$J$23,
IF(Q140=regle!$K$11,regle!$K$23,0))))))))))))</f>
        <v>-496.125</v>
      </c>
      <c r="AB140" s="17">
        <f>IF($A140,$J140*(IF(R140=regle!$B$11,regle!$B$23*IF(AK140=-2,1+regle!$B$35,1),
IF(R140=regle!$C$11,regle!$C$23,
IF(R140=regle!$D$11,regle!$D$23,
IF(R140=regle!$E$11,regle!$E$23,
IF(R140=regle!$F$11,regle!$F$23,
IF(R140=regle!$G$11,regle!$G$23,
IF(R140=regle!$H$11,regle!$H$23,
IF(R140=regle!$I$11,regle!$I$23,
IF(R140=regle!$J$11,regle!$J$23,
IF(R140=regle!$K$11,regle!$K$23,0))))))))))))</f>
        <v>0</v>
      </c>
      <c r="AC140" s="17">
        <f>IF($A140,$J140*(IF(S140=regle!$B$11,regle!$B$23*IF(AL140=-2,1+regle!$B$35,1),
IF(S140=regle!$C$11,regle!$C$23,
IF(S140=regle!$D$11,regle!$D$23,
IF(S140=regle!$E$11,regle!$E$23,
IF(S140=regle!$F$11,regle!$F$23,
IF(S140=regle!$G$11,regle!$G$23,
IF(S140=regle!$H$11,regle!$H$23,
IF(S140=regle!$I$11,regle!$I$23,
IF(S140=regle!$J$11,regle!$J$23,
IF(S140=regle!$K$11,regle!$K$23,0))))))))))))</f>
        <v>0</v>
      </c>
      <c r="AD140" s="17">
        <f>IF($A140,$J140*(IF(T140=regle!$B$11,regle!$B$23*IF(AM140=-2,1+regle!$B$35,1),
IF(T140=regle!$C$11,regle!$C$23,
IF(T140=regle!$D$11,regle!$D$23,
IF(T140=regle!$E$11,regle!$E$23,
IF(T140=regle!$F$11,regle!$F$23,
IF(T140=regle!$G$11,regle!$G$23,
IF(T140=regle!$H$11,regle!$H$23,
IF(T140=regle!$I$11,regle!$I$23,
IF(T140=regle!$J$11,regle!$J$23,
IF(T140=regle!$K$11,regle!$K$23,0))))))))))))</f>
        <v>0</v>
      </c>
      <c r="AE140" s="17">
        <f>IF($A140,$J140*(IF(U140=regle!$B$11,regle!$B$23*IF(AN140=-2,1+regle!$B$35,1),
IF(U140=regle!$C$11,regle!$C$23,
IF(U140=regle!$D$11,regle!$D$23,
IF(U140=regle!$E$11,regle!$E$23,
IF(U140=regle!$F$11,regle!$F$23,
IF(U140=regle!$G$11,regle!$G$23,
IF(U140=regle!$H$11,regle!$H$23,
IF(U140=regle!$I$11,regle!$I$23,
IF(U140=regle!$J$11,regle!$J$23,
IF(U140=regle!$K$11,regle!$K$23,0))))))))))))</f>
        <v>0</v>
      </c>
      <c r="AF140" s="17">
        <f>IF($A140,$J140*(IF(V140=regle!$B$11,regle!$B$23*IF(AO140=-2,1+regle!$B$35,1),
IF(V140=regle!$C$11,regle!$C$23,
IF(V140=regle!$D$11,regle!$D$23,
IF(V140=regle!$E$11,regle!$E$23,
IF(V140=regle!$F$11,regle!$F$23,
IF(V140=regle!$G$11,regle!$G$23,
IF(V140=regle!$H$11,regle!$H$23,
IF(V140=regle!$I$11,regle!$I$23,
IF(V140=regle!$J$11,regle!$J$23,
IF(V140=regle!$K$11,regle!$K$23,0))))))))))))</f>
        <v>3175.2000000000003</v>
      </c>
      <c r="AG140" s="17">
        <f>IF($A140,$J140*(IF(W140=regle!$B$11,regle!$B$23*IF(AP140=-2,1+regle!$B$35,1),
IF(W140=regle!$C$11,regle!$C$23,
IF(W140=regle!$D$11,regle!$D$23,
IF(W140=regle!$E$11,regle!$E$23,
IF(W140=regle!$F$11,regle!$F$23,
IF(W140=regle!$G$11,regle!$G$23,
IF(W140=regle!$H$11,regle!$H$23,
IF(W140=regle!$I$11,regle!$I$23,
IF(W140=regle!$J$11,regle!$J$23,
IF(W140=regle!$K$11,regle!$K$23,0))))))))))))</f>
        <v>0</v>
      </c>
      <c r="AH140" s="17">
        <f>IF($A140,$J140*(IF(X140=regle!$B$11,regle!$B$23*IF(AQ140=-2,1+regle!$B$35,1),
IF(X140=regle!$C$11,regle!$C$23,
IF(X140=regle!$D$11,regle!$D$23,
IF(X140=regle!$E$11,regle!$E$23,
IF(X140=regle!$F$11,regle!$F$23,
IF(X140=regle!$G$11,regle!$G$23,
IF(X140=regle!$H$11,regle!$H$23,
IF(X140=regle!$I$11,regle!$I$23,
IF(X140=regle!$J$11,regle!$J$23,
IF(X140=regle!$K$11,regle!$K$23,0))))))))))))</f>
        <v>0</v>
      </c>
      <c r="AI140" s="17">
        <f>IF($A140,$J140*(IF(Y140=regle!$B$11,regle!$B$23*IF(AR140=-2,1+regle!$B$35,1),
IF(Y140=regle!$C$11,regle!$C$23,
IF(Y140=regle!$D$11,regle!$D$23,
IF(Y140=regle!$E$11,regle!$E$23,
IF(Y140=regle!$F$11,regle!$F$23,
IF(Y140=regle!$G$11,regle!$G$23,
IF(Y140=regle!$H$11,regle!$H$23,
IF(Y140=regle!$I$11,regle!$I$23,
IF(Y140=regle!$J$11,regle!$J$23,
IF(Y140=regle!$K$11,regle!$K$23,0))))))))))))</f>
        <v>0</v>
      </c>
      <c r="AJ140" s="17">
        <f>IF($A140,$J140*(IF(Z140=regle!$B$11,regle!$B$23*IF(AS140=-2,1+regle!$B$35,1),
IF(Z140=regle!$C$11,regle!$C$23,
IF(Z140=regle!$D$11,regle!$D$23,
IF(Z140=regle!$E$11,regle!$E$23,
IF(Z140=regle!$F$11,regle!$F$23,
IF(Z140=regle!$G$11,regle!$G$23,
IF(Z140=regle!$H$11,regle!$H$23,
IF(Z140=regle!$I$11,regle!$I$23,
IF(Z140=regle!$J$11,regle!$J$23,
IF(Z140=regle!$K$11,regle!$K$23,0))))))))))))</f>
        <v>0</v>
      </c>
      <c r="AK140" s="16">
        <f>IF(OR(Q140=regle!$J$11,Q140=regle!$K$11),-2,IF(Q140=regle!$B$11,0,IF(AK$1=$AK$1,IF($O140,-1,regle!$B$2-$M140),IF(AJ140=-1,-1,AJ140+1))))</f>
        <v>7</v>
      </c>
      <c r="AL140" s="16">
        <f>IF(OR(R140=regle!$J$11,R140=regle!$K$11),-2,IF(R140=regle!$B$11,0,IF(AL$1=$AK$1,IF($O140,-1,regle!$B$2-$M140),IF(AK140=-1,-1,AK140+1))))</f>
        <v>8</v>
      </c>
      <c r="AM140" s="16">
        <f>IF(OR(S140=regle!$J$11,S140=regle!$K$11),-2,IF(S140=regle!$B$11,0,IF(AM$1=$AK$1,IF($O140,-1,regle!$B$2-$M140),IF(AL140=-1,-1,AL140+1))))</f>
        <v>9</v>
      </c>
      <c r="AN140" s="16">
        <f>IF(OR(T140=regle!$J$11,T140=regle!$K$11),-2,IF(T140=regle!$B$11,0,IF(AN$1=$AK$1,IF($O140,-1,regle!$B$2-$M140),IF(AM140=-1,-1,AM140+1))))</f>
        <v>10</v>
      </c>
      <c r="AO140" s="16">
        <f>IF(OR(U140=regle!$J$11,U140=regle!$K$11),-2,IF(U140=regle!$B$11,0,IF(AO$1=$AK$1,IF($O140,-1,regle!$B$2-$M140),IF(AN140=-1,-1,AN140+1))))</f>
        <v>11</v>
      </c>
      <c r="AP140" s="16">
        <f>IF(OR(V140=regle!$J$11,V140=regle!$K$11),-2,IF(V140=regle!$B$11,0,IF(AP$1=$AK$1,IF($O140,-1,regle!$B$2-$M140),IF(AO140=-1,-1,AO140+1))))</f>
        <v>12</v>
      </c>
      <c r="AQ140" s="16">
        <f>IF(OR(W140=regle!$J$11,W140=regle!$K$11),-2,IF(W140=regle!$B$11,0,IF(AQ$1=$AK$1,IF($O140,-1,regle!$B$2-$M140),IF(AP140=-1,-1,AP140+1))))</f>
        <v>13</v>
      </c>
      <c r="AR140" s="16">
        <f>IF(OR(X140=regle!$J$11,X140=regle!$K$11),-2,IF(X140=regle!$B$11,0,IF(AR$1=$AK$1,IF($O140,-1,regle!$B$2-$M140),IF(AQ140=-1,-1,AQ140+1))))</f>
        <v>14</v>
      </c>
      <c r="AS140" s="16">
        <f>IF(OR(Y140=regle!$J$11,Y140=regle!$K$11),-2,IF(Y140=regle!$B$11,0,IF(AS$1=$AK$1,IF($O140,-1,regle!$B$2-$M140),IF(AR140=-1,-1,AR140+1))))</f>
        <v>15</v>
      </c>
      <c r="AT140" s="16">
        <f>IF(OR(Z140=regle!$J$11,Z140=regle!$K$11),-2,IF(Z140=regle!$B$11,0,IF(AT$1=$AK$1,IF($O140,-1,regle!$B$2-$M140),IF(AS140=-1,-1,AS140+1))))</f>
        <v>16</v>
      </c>
    </row>
    <row r="141" spans="1:46" x14ac:dyDescent="0.25">
      <c r="A141" t="b">
        <f>modif0!A375</f>
        <v>1</v>
      </c>
      <c r="B141">
        <f>ROW(modif0!B375)</f>
        <v>375</v>
      </c>
      <c r="C141" t="str">
        <f>modif0!D375</f>
        <v>200</v>
      </c>
      <c r="D141" t="str">
        <f>modif0!E375</f>
        <v>MOUSTEY</v>
      </c>
      <c r="E141">
        <f>modif0!F375</f>
        <v>18</v>
      </c>
      <c r="F141" t="str">
        <f>modif0!G375</f>
        <v>Quartier de Capsus</v>
      </c>
      <c r="G141" t="str">
        <f>modif0!I375</f>
        <v>0N</v>
      </c>
      <c r="H141">
        <f>modif0!J375</f>
        <v>762</v>
      </c>
      <c r="I141" t="str">
        <f>modif0!K375</f>
        <v/>
      </c>
      <c r="J141" s="11">
        <f>modif0!M375</f>
        <v>4.9961000000000002</v>
      </c>
      <c r="K141" s="11" t="str">
        <f>modif0!P375</f>
        <v>PLA</v>
      </c>
      <c r="L141" t="str">
        <f>modif0!N375</f>
        <v>PM</v>
      </c>
      <c r="M141">
        <f>modif0!Q375</f>
        <v>2017</v>
      </c>
      <c r="N141" t="str">
        <f>modif0!R375</f>
        <v>PLA-PM_2017</v>
      </c>
      <c r="O141" t="b">
        <f>modif0!S375</f>
        <v>0</v>
      </c>
      <c r="P141">
        <v>40</v>
      </c>
      <c r="Q141" t="s">
        <v>1871</v>
      </c>
      <c r="V141" t="s">
        <v>1803</v>
      </c>
      <c r="AA141" s="17">
        <f>IF($A141,$J141*(IF(Q141=regle!$B$11,regle!$B$23*IF(AJ141=-2,1+regle!$B$35,1),
IF(Q141=regle!$C$11,regle!$C$23,
IF(Q141=regle!$D$11,regle!$D$23,
IF(Q141=regle!$E$11,regle!$E$23,
IF(Q141=regle!$F$11,regle!$F$23,
IF(Q141=regle!$G$11,regle!$G$23,
IF(Q141=regle!$H$11,regle!$H$23,
IF(Q141=regle!$I$11,regle!$I$23,
IF(Q141=regle!$J$11,regle!$J$23,
IF(Q141=regle!$K$11,regle!$K$23,0))))))))))))</f>
        <v>-449.649</v>
      </c>
      <c r="AB141" s="17">
        <f>IF($A141,$J141*(IF(R141=regle!$B$11,regle!$B$23*IF(AK141=-2,1+regle!$B$35,1),
IF(R141=regle!$C$11,regle!$C$23,
IF(R141=regle!$D$11,regle!$D$23,
IF(R141=regle!$E$11,regle!$E$23,
IF(R141=regle!$F$11,regle!$F$23,
IF(R141=regle!$G$11,regle!$G$23,
IF(R141=regle!$H$11,regle!$H$23,
IF(R141=regle!$I$11,regle!$I$23,
IF(R141=regle!$J$11,regle!$J$23,
IF(R141=regle!$K$11,regle!$K$23,0))))))))))))</f>
        <v>0</v>
      </c>
      <c r="AC141" s="17">
        <f>IF($A141,$J141*(IF(S141=regle!$B$11,regle!$B$23*IF(AL141=-2,1+regle!$B$35,1),
IF(S141=regle!$C$11,regle!$C$23,
IF(S141=regle!$D$11,regle!$D$23,
IF(S141=regle!$E$11,regle!$E$23,
IF(S141=regle!$F$11,regle!$F$23,
IF(S141=regle!$G$11,regle!$G$23,
IF(S141=regle!$H$11,regle!$H$23,
IF(S141=regle!$I$11,regle!$I$23,
IF(S141=regle!$J$11,regle!$J$23,
IF(S141=regle!$K$11,regle!$K$23,0))))))))))))</f>
        <v>0</v>
      </c>
      <c r="AD141" s="17">
        <f>IF($A141,$J141*(IF(T141=regle!$B$11,regle!$B$23*IF(AM141=-2,1+regle!$B$35,1),
IF(T141=regle!$C$11,regle!$C$23,
IF(T141=regle!$D$11,regle!$D$23,
IF(T141=regle!$E$11,regle!$E$23,
IF(T141=regle!$F$11,regle!$F$23,
IF(T141=regle!$G$11,regle!$G$23,
IF(T141=regle!$H$11,regle!$H$23,
IF(T141=regle!$I$11,regle!$I$23,
IF(T141=regle!$J$11,regle!$J$23,
IF(T141=regle!$K$11,regle!$K$23,0))))))))))))</f>
        <v>0</v>
      </c>
      <c r="AE141" s="17">
        <f>IF($A141,$J141*(IF(U141=regle!$B$11,regle!$B$23*IF(AN141=-2,1+regle!$B$35,1),
IF(U141=regle!$C$11,regle!$C$23,
IF(U141=regle!$D$11,regle!$D$23,
IF(U141=regle!$E$11,regle!$E$23,
IF(U141=regle!$F$11,regle!$F$23,
IF(U141=regle!$G$11,regle!$G$23,
IF(U141=regle!$H$11,regle!$H$23,
IF(U141=regle!$I$11,regle!$I$23,
IF(U141=regle!$J$11,regle!$J$23,
IF(U141=regle!$K$11,regle!$K$23,0))))))))))))</f>
        <v>0</v>
      </c>
      <c r="AF141" s="17">
        <f>IF($A141,$J141*(IF(V141=regle!$B$11,regle!$B$23*IF(AO141=-2,1+regle!$B$35,1),
IF(V141=regle!$C$11,regle!$C$23,
IF(V141=regle!$D$11,regle!$D$23,
IF(V141=regle!$E$11,regle!$E$23,
IF(V141=regle!$F$11,regle!$F$23,
IF(V141=regle!$G$11,regle!$G$23,
IF(V141=regle!$H$11,regle!$H$23,
IF(V141=regle!$I$11,regle!$I$23,
IF(V141=regle!$J$11,regle!$J$23,
IF(V141=regle!$K$11,regle!$K$23,0))))))))))))</f>
        <v>2877.7536</v>
      </c>
      <c r="AG141" s="17">
        <f>IF($A141,$J141*(IF(W141=regle!$B$11,regle!$B$23*IF(AP141=-2,1+regle!$B$35,1),
IF(W141=regle!$C$11,regle!$C$23,
IF(W141=regle!$D$11,regle!$D$23,
IF(W141=regle!$E$11,regle!$E$23,
IF(W141=regle!$F$11,regle!$F$23,
IF(W141=regle!$G$11,regle!$G$23,
IF(W141=regle!$H$11,regle!$H$23,
IF(W141=regle!$I$11,regle!$I$23,
IF(W141=regle!$J$11,regle!$J$23,
IF(W141=regle!$K$11,regle!$K$23,0))))))))))))</f>
        <v>0</v>
      </c>
      <c r="AH141" s="17">
        <f>IF($A141,$J141*(IF(X141=regle!$B$11,regle!$B$23*IF(AQ141=-2,1+regle!$B$35,1),
IF(X141=regle!$C$11,regle!$C$23,
IF(X141=regle!$D$11,regle!$D$23,
IF(X141=regle!$E$11,regle!$E$23,
IF(X141=regle!$F$11,regle!$F$23,
IF(X141=regle!$G$11,regle!$G$23,
IF(X141=regle!$H$11,regle!$H$23,
IF(X141=regle!$I$11,regle!$I$23,
IF(X141=regle!$J$11,regle!$J$23,
IF(X141=regle!$K$11,regle!$K$23,0))))))))))))</f>
        <v>0</v>
      </c>
      <c r="AI141" s="17">
        <f>IF($A141,$J141*(IF(Y141=regle!$B$11,regle!$B$23*IF(AR141=-2,1+regle!$B$35,1),
IF(Y141=regle!$C$11,regle!$C$23,
IF(Y141=regle!$D$11,regle!$D$23,
IF(Y141=regle!$E$11,regle!$E$23,
IF(Y141=regle!$F$11,regle!$F$23,
IF(Y141=regle!$G$11,regle!$G$23,
IF(Y141=regle!$H$11,regle!$H$23,
IF(Y141=regle!$I$11,regle!$I$23,
IF(Y141=regle!$J$11,regle!$J$23,
IF(Y141=regle!$K$11,regle!$K$23,0))))))))))))</f>
        <v>0</v>
      </c>
      <c r="AJ141" s="17">
        <f>IF($A141,$J141*(IF(Z141=regle!$B$11,regle!$B$23*IF(AS141=-2,1+regle!$B$35,1),
IF(Z141=regle!$C$11,regle!$C$23,
IF(Z141=regle!$D$11,regle!$D$23,
IF(Z141=regle!$E$11,regle!$E$23,
IF(Z141=regle!$F$11,regle!$F$23,
IF(Z141=regle!$G$11,regle!$G$23,
IF(Z141=regle!$H$11,regle!$H$23,
IF(Z141=regle!$I$11,regle!$I$23,
IF(Z141=regle!$J$11,regle!$J$23,
IF(Z141=regle!$K$11,regle!$K$23,0))))))))))))</f>
        <v>0</v>
      </c>
      <c r="AK141" s="16">
        <f>IF(OR(Q141=regle!$J$11,Q141=regle!$K$11),-2,IF(Q141=regle!$B$11,0,IF(AK$1=$AK$1,IF($O141,-1,regle!$B$2-$M141),IF(AJ141=-1,-1,AJ141+1))))</f>
        <v>7</v>
      </c>
      <c r="AL141" s="16">
        <f>IF(OR(R141=regle!$J$11,R141=regle!$K$11),-2,IF(R141=regle!$B$11,0,IF(AL$1=$AK$1,IF($O141,-1,regle!$B$2-$M141),IF(AK141=-1,-1,AK141+1))))</f>
        <v>8</v>
      </c>
      <c r="AM141" s="16">
        <f>IF(OR(S141=regle!$J$11,S141=regle!$K$11),-2,IF(S141=regle!$B$11,0,IF(AM$1=$AK$1,IF($O141,-1,regle!$B$2-$M141),IF(AL141=-1,-1,AL141+1))))</f>
        <v>9</v>
      </c>
      <c r="AN141" s="16">
        <f>IF(OR(T141=regle!$J$11,T141=regle!$K$11),-2,IF(T141=regle!$B$11,0,IF(AN$1=$AK$1,IF($O141,-1,regle!$B$2-$M141),IF(AM141=-1,-1,AM141+1))))</f>
        <v>10</v>
      </c>
      <c r="AO141" s="16">
        <f>IF(OR(U141=regle!$J$11,U141=regle!$K$11),-2,IF(U141=regle!$B$11,0,IF(AO$1=$AK$1,IF($O141,-1,regle!$B$2-$M141),IF(AN141=-1,-1,AN141+1))))</f>
        <v>11</v>
      </c>
      <c r="AP141" s="16">
        <f>IF(OR(V141=regle!$J$11,V141=regle!$K$11),-2,IF(V141=regle!$B$11,0,IF(AP$1=$AK$1,IF($O141,-1,regle!$B$2-$M141),IF(AO141=-1,-1,AO141+1))))</f>
        <v>12</v>
      </c>
      <c r="AQ141" s="16">
        <f>IF(OR(W141=regle!$J$11,W141=regle!$K$11),-2,IF(W141=regle!$B$11,0,IF(AQ$1=$AK$1,IF($O141,-1,regle!$B$2-$M141),IF(AP141=-1,-1,AP141+1))))</f>
        <v>13</v>
      </c>
      <c r="AR141" s="16">
        <f>IF(OR(X141=regle!$J$11,X141=regle!$K$11),-2,IF(X141=regle!$B$11,0,IF(AR$1=$AK$1,IF($O141,-1,regle!$B$2-$M141),IF(AQ141=-1,-1,AQ141+1))))</f>
        <v>14</v>
      </c>
      <c r="AS141" s="16">
        <f>IF(OR(Y141=regle!$J$11,Y141=regle!$K$11),-2,IF(Y141=regle!$B$11,0,IF(AS$1=$AK$1,IF($O141,-1,regle!$B$2-$M141),IF(AR141=-1,-1,AR141+1))))</f>
        <v>15</v>
      </c>
      <c r="AT141" s="16">
        <f>IF(OR(Z141=regle!$J$11,Z141=regle!$K$11),-2,IF(Z141=regle!$B$11,0,IF(AT$1=$AK$1,IF($O141,-1,regle!$B$2-$M141),IF(AS141=-1,-1,AS141+1))))</f>
        <v>16</v>
      </c>
    </row>
    <row r="142" spans="1:46" x14ac:dyDescent="0.25">
      <c r="A142" t="b">
        <f>modif0!A17</f>
        <v>1</v>
      </c>
      <c r="B142">
        <f>ROW(modif0!B17)</f>
        <v>17</v>
      </c>
      <c r="C142" t="str">
        <f>modif0!D17</f>
        <v>536</v>
      </c>
      <c r="D142" t="str">
        <f>modif0!E17</f>
        <v>LE TUZAN</v>
      </c>
      <c r="E142">
        <f>modif0!F17</f>
        <v>11</v>
      </c>
      <c r="F142" t="str">
        <f>modif0!G17</f>
        <v>LA HONTEYRE</v>
      </c>
      <c r="G142" t="str">
        <f>modif0!I17</f>
        <v>0A</v>
      </c>
      <c r="H142">
        <f>modif0!J17</f>
        <v>256</v>
      </c>
      <c r="I142" t="str">
        <f>modif0!K17</f>
        <v>k</v>
      </c>
      <c r="J142" s="11">
        <f>modif0!M17</f>
        <v>4.0731000000000002</v>
      </c>
      <c r="K142" s="11" t="str">
        <f>modif0!P17</f>
        <v>PLA</v>
      </c>
      <c r="L142" t="str">
        <f>modif0!N17</f>
        <v>PM</v>
      </c>
      <c r="M142">
        <f>modif0!Q17</f>
        <v>2017</v>
      </c>
      <c r="N142" t="str">
        <f>modif0!R17</f>
        <v>PLA-PM_2017</v>
      </c>
      <c r="O142" t="b">
        <f>modif0!S17</f>
        <v>0</v>
      </c>
      <c r="P142">
        <v>40</v>
      </c>
      <c r="Q142" t="s">
        <v>1871</v>
      </c>
      <c r="V142" t="s">
        <v>1803</v>
      </c>
      <c r="AA142" s="17">
        <f>IF($A142,$J142*(IF(Q142=regle!$B$11,regle!$B$23*IF(AJ142=-2,1+regle!$B$35,1),
IF(Q142=regle!$C$11,regle!$C$23,
IF(Q142=regle!$D$11,regle!$D$23,
IF(Q142=regle!$E$11,regle!$E$23,
IF(Q142=regle!$F$11,regle!$F$23,
IF(Q142=regle!$G$11,regle!$G$23,
IF(Q142=regle!$H$11,regle!$H$23,
IF(Q142=regle!$I$11,regle!$I$23,
IF(Q142=regle!$J$11,regle!$J$23,
IF(Q142=regle!$K$11,regle!$K$23,0))))))))))))</f>
        <v>-366.57900000000001</v>
      </c>
      <c r="AB142" s="17">
        <f>IF($A142,$J142*(IF(R142=regle!$B$11,regle!$B$23*IF(AK142=-2,1+regle!$B$35,1),
IF(R142=regle!$C$11,regle!$C$23,
IF(R142=regle!$D$11,regle!$D$23,
IF(R142=regle!$E$11,regle!$E$23,
IF(R142=regle!$F$11,regle!$F$23,
IF(R142=regle!$G$11,regle!$G$23,
IF(R142=regle!$H$11,regle!$H$23,
IF(R142=regle!$I$11,regle!$I$23,
IF(R142=regle!$J$11,regle!$J$23,
IF(R142=regle!$K$11,regle!$K$23,0))))))))))))</f>
        <v>0</v>
      </c>
      <c r="AC142" s="17">
        <f>IF($A142,$J142*(IF(S142=regle!$B$11,regle!$B$23*IF(AL142=-2,1+regle!$B$35,1),
IF(S142=regle!$C$11,regle!$C$23,
IF(S142=regle!$D$11,regle!$D$23,
IF(S142=regle!$E$11,regle!$E$23,
IF(S142=regle!$F$11,regle!$F$23,
IF(S142=regle!$G$11,regle!$G$23,
IF(S142=regle!$H$11,regle!$H$23,
IF(S142=regle!$I$11,regle!$I$23,
IF(S142=regle!$J$11,regle!$J$23,
IF(S142=regle!$K$11,regle!$K$23,0))))))))))))</f>
        <v>0</v>
      </c>
      <c r="AD142" s="17">
        <f>IF($A142,$J142*(IF(T142=regle!$B$11,regle!$B$23*IF(AM142=-2,1+regle!$B$35,1),
IF(T142=regle!$C$11,regle!$C$23,
IF(T142=regle!$D$11,regle!$D$23,
IF(T142=regle!$E$11,regle!$E$23,
IF(T142=regle!$F$11,regle!$F$23,
IF(T142=regle!$G$11,regle!$G$23,
IF(T142=regle!$H$11,regle!$H$23,
IF(T142=regle!$I$11,regle!$I$23,
IF(T142=regle!$J$11,regle!$J$23,
IF(T142=regle!$K$11,regle!$K$23,0))))))))))))</f>
        <v>0</v>
      </c>
      <c r="AE142" s="17">
        <f>IF($A142,$J142*(IF(U142=regle!$B$11,regle!$B$23*IF(AN142=-2,1+regle!$B$35,1),
IF(U142=regle!$C$11,regle!$C$23,
IF(U142=regle!$D$11,regle!$D$23,
IF(U142=regle!$E$11,regle!$E$23,
IF(U142=regle!$F$11,regle!$F$23,
IF(U142=regle!$G$11,regle!$G$23,
IF(U142=regle!$H$11,regle!$H$23,
IF(U142=regle!$I$11,regle!$I$23,
IF(U142=regle!$J$11,regle!$J$23,
IF(U142=regle!$K$11,regle!$K$23,0))))))))))))</f>
        <v>0</v>
      </c>
      <c r="AF142" s="17">
        <f>IF($A142,$J142*(IF(V142=regle!$B$11,regle!$B$23*IF(AO142=-2,1+regle!$B$35,1),
IF(V142=regle!$C$11,regle!$C$23,
IF(V142=regle!$D$11,regle!$D$23,
IF(V142=regle!$E$11,regle!$E$23,
IF(V142=regle!$F$11,regle!$F$23,
IF(V142=regle!$G$11,regle!$G$23,
IF(V142=regle!$H$11,regle!$H$23,
IF(V142=regle!$I$11,regle!$I$23,
IF(V142=regle!$J$11,regle!$J$23,
IF(V142=regle!$K$11,regle!$K$23,0))))))))))))</f>
        <v>2346.1055999999999</v>
      </c>
      <c r="AG142" s="17">
        <f>IF($A142,$J142*(IF(W142=regle!$B$11,regle!$B$23*IF(AP142=-2,1+regle!$B$35,1),
IF(W142=regle!$C$11,regle!$C$23,
IF(W142=regle!$D$11,regle!$D$23,
IF(W142=regle!$E$11,regle!$E$23,
IF(W142=regle!$F$11,regle!$F$23,
IF(W142=regle!$G$11,regle!$G$23,
IF(W142=regle!$H$11,regle!$H$23,
IF(W142=regle!$I$11,regle!$I$23,
IF(W142=regle!$J$11,regle!$J$23,
IF(W142=regle!$K$11,regle!$K$23,0))))))))))))</f>
        <v>0</v>
      </c>
      <c r="AH142" s="17">
        <f>IF($A142,$J142*(IF(X142=regle!$B$11,regle!$B$23*IF(AQ142=-2,1+regle!$B$35,1),
IF(X142=regle!$C$11,regle!$C$23,
IF(X142=regle!$D$11,regle!$D$23,
IF(X142=regle!$E$11,regle!$E$23,
IF(X142=regle!$F$11,regle!$F$23,
IF(X142=regle!$G$11,regle!$G$23,
IF(X142=regle!$H$11,regle!$H$23,
IF(X142=regle!$I$11,regle!$I$23,
IF(X142=regle!$J$11,regle!$J$23,
IF(X142=regle!$K$11,regle!$K$23,0))))))))))))</f>
        <v>0</v>
      </c>
      <c r="AI142" s="17">
        <f>IF($A142,$J142*(IF(Y142=regle!$B$11,regle!$B$23*IF(AR142=-2,1+regle!$B$35,1),
IF(Y142=regle!$C$11,regle!$C$23,
IF(Y142=regle!$D$11,regle!$D$23,
IF(Y142=regle!$E$11,regle!$E$23,
IF(Y142=regle!$F$11,regle!$F$23,
IF(Y142=regle!$G$11,regle!$G$23,
IF(Y142=regle!$H$11,regle!$H$23,
IF(Y142=regle!$I$11,regle!$I$23,
IF(Y142=regle!$J$11,regle!$J$23,
IF(Y142=regle!$K$11,regle!$K$23,0))))))))))))</f>
        <v>0</v>
      </c>
      <c r="AJ142" s="17">
        <f>IF($A142,$J142*(IF(Z142=regle!$B$11,regle!$B$23*IF(AS142=-2,1+regle!$B$35,1),
IF(Z142=regle!$C$11,regle!$C$23,
IF(Z142=regle!$D$11,regle!$D$23,
IF(Z142=regle!$E$11,regle!$E$23,
IF(Z142=regle!$F$11,regle!$F$23,
IF(Z142=regle!$G$11,regle!$G$23,
IF(Z142=regle!$H$11,regle!$H$23,
IF(Z142=regle!$I$11,regle!$I$23,
IF(Z142=regle!$J$11,regle!$J$23,
IF(Z142=regle!$K$11,regle!$K$23,0))))))))))))</f>
        <v>0</v>
      </c>
      <c r="AK142" s="16">
        <f>IF(OR(Q142=regle!$J$11,Q142=regle!$K$11),-2,IF(Q142=regle!$B$11,0,IF(AK$1=$AK$1,IF($O142,-1,regle!$B$2-$M142),IF(AJ142=-1,-1,AJ142+1))))</f>
        <v>7</v>
      </c>
      <c r="AL142" s="16">
        <f>IF(OR(R142=regle!$J$11,R142=regle!$K$11),-2,IF(R142=regle!$B$11,0,IF(AL$1=$AK$1,IF($O142,-1,regle!$B$2-$M142),IF(AK142=-1,-1,AK142+1))))</f>
        <v>8</v>
      </c>
      <c r="AM142" s="16">
        <f>IF(OR(S142=regle!$J$11,S142=regle!$K$11),-2,IF(S142=regle!$B$11,0,IF(AM$1=$AK$1,IF($O142,-1,regle!$B$2-$M142),IF(AL142=-1,-1,AL142+1))))</f>
        <v>9</v>
      </c>
      <c r="AN142" s="16">
        <f>IF(OR(T142=regle!$J$11,T142=regle!$K$11),-2,IF(T142=regle!$B$11,0,IF(AN$1=$AK$1,IF($O142,-1,regle!$B$2-$M142),IF(AM142=-1,-1,AM142+1))))</f>
        <v>10</v>
      </c>
      <c r="AO142" s="16">
        <f>IF(OR(U142=regle!$J$11,U142=regle!$K$11),-2,IF(U142=regle!$B$11,0,IF(AO$1=$AK$1,IF($O142,-1,regle!$B$2-$M142),IF(AN142=-1,-1,AN142+1))))</f>
        <v>11</v>
      </c>
      <c r="AP142" s="16">
        <f>IF(OR(V142=regle!$J$11,V142=regle!$K$11),-2,IF(V142=regle!$B$11,0,IF(AP$1=$AK$1,IF($O142,-1,regle!$B$2-$M142),IF(AO142=-1,-1,AO142+1))))</f>
        <v>12</v>
      </c>
      <c r="AQ142" s="16">
        <f>IF(OR(W142=regle!$J$11,W142=regle!$K$11),-2,IF(W142=regle!$B$11,0,IF(AQ$1=$AK$1,IF($O142,-1,regle!$B$2-$M142),IF(AP142=-1,-1,AP142+1))))</f>
        <v>13</v>
      </c>
      <c r="AR142" s="16">
        <f>IF(OR(X142=regle!$J$11,X142=regle!$K$11),-2,IF(X142=regle!$B$11,0,IF(AR$1=$AK$1,IF($O142,-1,regle!$B$2-$M142),IF(AQ142=-1,-1,AQ142+1))))</f>
        <v>14</v>
      </c>
      <c r="AS142" s="16">
        <f>IF(OR(Y142=regle!$J$11,Y142=regle!$K$11),-2,IF(Y142=regle!$B$11,0,IF(AS$1=$AK$1,IF($O142,-1,regle!$B$2-$M142),IF(AR142=-1,-1,AR142+1))))</f>
        <v>15</v>
      </c>
      <c r="AT142" s="16">
        <f>IF(OR(Z142=regle!$J$11,Z142=regle!$K$11),-2,IF(Z142=regle!$B$11,0,IF(AT$1=$AK$1,IF($O142,-1,regle!$B$2-$M142),IF(AS142=-1,-1,AS142+1))))</f>
        <v>16</v>
      </c>
    </row>
    <row r="143" spans="1:46" x14ac:dyDescent="0.25">
      <c r="A143" t="b">
        <f>modif0!A25</f>
        <v>1</v>
      </c>
      <c r="B143">
        <f>ROW(modif0!B25)</f>
        <v>25</v>
      </c>
      <c r="C143" t="str">
        <f>modif0!D25</f>
        <v>536</v>
      </c>
      <c r="D143" t="str">
        <f>modif0!E25</f>
        <v>LE TUZAN</v>
      </c>
      <c r="E143">
        <f>modif0!F25</f>
        <v>21</v>
      </c>
      <c r="F143" t="str">
        <f>modif0!G25</f>
        <v>METAIRIES DE TABARTON</v>
      </c>
      <c r="G143" t="str">
        <f>modif0!I25</f>
        <v>0A</v>
      </c>
      <c r="H143">
        <f>modif0!J25</f>
        <v>407</v>
      </c>
      <c r="I143" t="str">
        <f>modif0!K25</f>
        <v>j</v>
      </c>
      <c r="J143" s="11">
        <f>modif0!M25</f>
        <v>3.6694</v>
      </c>
      <c r="K143" s="11" t="str">
        <f>modif0!P25</f>
        <v>PLA</v>
      </c>
      <c r="L143" t="str">
        <f>modif0!N25</f>
        <v>PM</v>
      </c>
      <c r="M143">
        <f>modif0!Q25</f>
        <v>2017</v>
      </c>
      <c r="N143" t="str">
        <f>modif0!R25</f>
        <v>PLA-PM_2017</v>
      </c>
      <c r="O143" t="b">
        <f>modif0!S25</f>
        <v>0</v>
      </c>
      <c r="P143">
        <v>40</v>
      </c>
      <c r="Q143" t="s">
        <v>1871</v>
      </c>
      <c r="V143" t="s">
        <v>1803</v>
      </c>
      <c r="AA143" s="17">
        <f>IF($A143,$J143*(IF(Q143=regle!$B$11,regle!$B$23*IF(AJ143=-2,1+regle!$B$35,1),
IF(Q143=regle!$C$11,regle!$C$23,
IF(Q143=regle!$D$11,regle!$D$23,
IF(Q143=regle!$E$11,regle!$E$23,
IF(Q143=regle!$F$11,regle!$F$23,
IF(Q143=regle!$G$11,regle!$G$23,
IF(Q143=regle!$H$11,regle!$H$23,
IF(Q143=regle!$I$11,regle!$I$23,
IF(Q143=regle!$J$11,regle!$J$23,
IF(Q143=regle!$K$11,regle!$K$23,0))))))))))))</f>
        <v>-330.24599999999998</v>
      </c>
      <c r="AB143" s="17">
        <f>IF($A143,$J143*(IF(R143=regle!$B$11,regle!$B$23*IF(AK143=-2,1+regle!$B$35,1),
IF(R143=regle!$C$11,regle!$C$23,
IF(R143=regle!$D$11,regle!$D$23,
IF(R143=regle!$E$11,regle!$E$23,
IF(R143=regle!$F$11,regle!$F$23,
IF(R143=regle!$G$11,regle!$G$23,
IF(R143=regle!$H$11,regle!$H$23,
IF(R143=regle!$I$11,regle!$I$23,
IF(R143=regle!$J$11,regle!$J$23,
IF(R143=regle!$K$11,regle!$K$23,0))))))))))))</f>
        <v>0</v>
      </c>
      <c r="AC143" s="17">
        <f>IF($A143,$J143*(IF(S143=regle!$B$11,regle!$B$23*IF(AL143=-2,1+regle!$B$35,1),
IF(S143=regle!$C$11,regle!$C$23,
IF(S143=regle!$D$11,regle!$D$23,
IF(S143=regle!$E$11,regle!$E$23,
IF(S143=regle!$F$11,regle!$F$23,
IF(S143=regle!$G$11,regle!$G$23,
IF(S143=regle!$H$11,regle!$H$23,
IF(S143=regle!$I$11,regle!$I$23,
IF(S143=regle!$J$11,regle!$J$23,
IF(S143=regle!$K$11,regle!$K$23,0))))))))))))</f>
        <v>0</v>
      </c>
      <c r="AD143" s="17">
        <f>IF($A143,$J143*(IF(T143=regle!$B$11,regle!$B$23*IF(AM143=-2,1+regle!$B$35,1),
IF(T143=regle!$C$11,regle!$C$23,
IF(T143=regle!$D$11,regle!$D$23,
IF(T143=regle!$E$11,regle!$E$23,
IF(T143=regle!$F$11,regle!$F$23,
IF(T143=regle!$G$11,regle!$G$23,
IF(T143=regle!$H$11,regle!$H$23,
IF(T143=regle!$I$11,regle!$I$23,
IF(T143=regle!$J$11,regle!$J$23,
IF(T143=regle!$K$11,regle!$K$23,0))))))))))))</f>
        <v>0</v>
      </c>
      <c r="AE143" s="17">
        <f>IF($A143,$J143*(IF(U143=regle!$B$11,regle!$B$23*IF(AN143=-2,1+regle!$B$35,1),
IF(U143=regle!$C$11,regle!$C$23,
IF(U143=regle!$D$11,regle!$D$23,
IF(U143=regle!$E$11,regle!$E$23,
IF(U143=regle!$F$11,regle!$F$23,
IF(U143=regle!$G$11,regle!$G$23,
IF(U143=regle!$H$11,regle!$H$23,
IF(U143=regle!$I$11,regle!$I$23,
IF(U143=regle!$J$11,regle!$J$23,
IF(U143=regle!$K$11,regle!$K$23,0))))))))))))</f>
        <v>0</v>
      </c>
      <c r="AF143" s="17">
        <f>IF($A143,$J143*(IF(V143=regle!$B$11,regle!$B$23*IF(AO143=-2,1+regle!$B$35,1),
IF(V143=regle!$C$11,regle!$C$23,
IF(V143=regle!$D$11,regle!$D$23,
IF(V143=regle!$E$11,regle!$E$23,
IF(V143=regle!$F$11,regle!$F$23,
IF(V143=regle!$G$11,regle!$G$23,
IF(V143=regle!$H$11,regle!$H$23,
IF(V143=regle!$I$11,regle!$I$23,
IF(V143=regle!$J$11,regle!$J$23,
IF(V143=regle!$K$11,regle!$K$23,0))))))))))))</f>
        <v>2113.5744</v>
      </c>
      <c r="AG143" s="17">
        <f>IF($A143,$J143*(IF(W143=regle!$B$11,regle!$B$23*IF(AP143=-2,1+regle!$B$35,1),
IF(W143=regle!$C$11,regle!$C$23,
IF(W143=regle!$D$11,regle!$D$23,
IF(W143=regle!$E$11,regle!$E$23,
IF(W143=regle!$F$11,regle!$F$23,
IF(W143=regle!$G$11,regle!$G$23,
IF(W143=regle!$H$11,regle!$H$23,
IF(W143=regle!$I$11,regle!$I$23,
IF(W143=regle!$J$11,regle!$J$23,
IF(W143=regle!$K$11,regle!$K$23,0))))))))))))</f>
        <v>0</v>
      </c>
      <c r="AH143" s="17">
        <f>IF($A143,$J143*(IF(X143=regle!$B$11,regle!$B$23*IF(AQ143=-2,1+regle!$B$35,1),
IF(X143=regle!$C$11,regle!$C$23,
IF(X143=regle!$D$11,regle!$D$23,
IF(X143=regle!$E$11,regle!$E$23,
IF(X143=regle!$F$11,regle!$F$23,
IF(X143=regle!$G$11,regle!$G$23,
IF(X143=regle!$H$11,regle!$H$23,
IF(X143=regle!$I$11,regle!$I$23,
IF(X143=regle!$J$11,regle!$J$23,
IF(X143=regle!$K$11,regle!$K$23,0))))))))))))</f>
        <v>0</v>
      </c>
      <c r="AI143" s="17">
        <f>IF($A143,$J143*(IF(Y143=regle!$B$11,regle!$B$23*IF(AR143=-2,1+regle!$B$35,1),
IF(Y143=regle!$C$11,regle!$C$23,
IF(Y143=regle!$D$11,regle!$D$23,
IF(Y143=regle!$E$11,regle!$E$23,
IF(Y143=regle!$F$11,regle!$F$23,
IF(Y143=regle!$G$11,regle!$G$23,
IF(Y143=regle!$H$11,regle!$H$23,
IF(Y143=regle!$I$11,regle!$I$23,
IF(Y143=regle!$J$11,regle!$J$23,
IF(Y143=regle!$K$11,regle!$K$23,0))))))))))))</f>
        <v>0</v>
      </c>
      <c r="AJ143" s="17">
        <f>IF($A143,$J143*(IF(Z143=regle!$B$11,regle!$B$23*IF(AS143=-2,1+regle!$B$35,1),
IF(Z143=regle!$C$11,regle!$C$23,
IF(Z143=regle!$D$11,regle!$D$23,
IF(Z143=regle!$E$11,regle!$E$23,
IF(Z143=regle!$F$11,regle!$F$23,
IF(Z143=regle!$G$11,regle!$G$23,
IF(Z143=regle!$H$11,regle!$H$23,
IF(Z143=regle!$I$11,regle!$I$23,
IF(Z143=regle!$J$11,regle!$J$23,
IF(Z143=regle!$K$11,regle!$K$23,0))))))))))))</f>
        <v>0</v>
      </c>
      <c r="AK143" s="16">
        <f>IF(OR(Q143=regle!$J$11,Q143=regle!$K$11),-2,IF(Q143=regle!$B$11,0,IF(AK$1=$AK$1,IF($O143,-1,regle!$B$2-$M143),IF(AJ143=-1,-1,AJ143+1))))</f>
        <v>7</v>
      </c>
      <c r="AL143" s="16">
        <f>IF(OR(R143=regle!$J$11,R143=regle!$K$11),-2,IF(R143=regle!$B$11,0,IF(AL$1=$AK$1,IF($O143,-1,regle!$B$2-$M143),IF(AK143=-1,-1,AK143+1))))</f>
        <v>8</v>
      </c>
      <c r="AM143" s="16">
        <f>IF(OR(S143=regle!$J$11,S143=regle!$K$11),-2,IF(S143=regle!$B$11,0,IF(AM$1=$AK$1,IF($O143,-1,regle!$B$2-$M143),IF(AL143=-1,-1,AL143+1))))</f>
        <v>9</v>
      </c>
      <c r="AN143" s="16">
        <f>IF(OR(T143=regle!$J$11,T143=regle!$K$11),-2,IF(T143=regle!$B$11,0,IF(AN$1=$AK$1,IF($O143,-1,regle!$B$2-$M143),IF(AM143=-1,-1,AM143+1))))</f>
        <v>10</v>
      </c>
      <c r="AO143" s="16">
        <f>IF(OR(U143=regle!$J$11,U143=regle!$K$11),-2,IF(U143=regle!$B$11,0,IF(AO$1=$AK$1,IF($O143,-1,regle!$B$2-$M143),IF(AN143=-1,-1,AN143+1))))</f>
        <v>11</v>
      </c>
      <c r="AP143" s="16">
        <f>IF(OR(V143=regle!$J$11,V143=regle!$K$11),-2,IF(V143=regle!$B$11,0,IF(AP$1=$AK$1,IF($O143,-1,regle!$B$2-$M143),IF(AO143=-1,-1,AO143+1))))</f>
        <v>12</v>
      </c>
      <c r="AQ143" s="16">
        <f>IF(OR(W143=regle!$J$11,W143=regle!$K$11),-2,IF(W143=regle!$B$11,0,IF(AQ$1=$AK$1,IF($O143,-1,regle!$B$2-$M143),IF(AP143=-1,-1,AP143+1))))</f>
        <v>13</v>
      </c>
      <c r="AR143" s="16">
        <f>IF(OR(X143=regle!$J$11,X143=regle!$K$11),-2,IF(X143=regle!$B$11,0,IF(AR$1=$AK$1,IF($O143,-1,regle!$B$2-$M143),IF(AQ143=-1,-1,AQ143+1))))</f>
        <v>14</v>
      </c>
      <c r="AS143" s="16">
        <f>IF(OR(Y143=regle!$J$11,Y143=regle!$K$11),-2,IF(Y143=regle!$B$11,0,IF(AS$1=$AK$1,IF($O143,-1,regle!$B$2-$M143),IF(AR143=-1,-1,AR143+1))))</f>
        <v>15</v>
      </c>
      <c r="AT143" s="16">
        <f>IF(OR(Z143=regle!$J$11,Z143=regle!$K$11),-2,IF(Z143=regle!$B$11,0,IF(AT$1=$AK$1,IF($O143,-1,regle!$B$2-$M143),IF(AS143=-1,-1,AS143+1))))</f>
        <v>16</v>
      </c>
    </row>
    <row r="144" spans="1:46" x14ac:dyDescent="0.25">
      <c r="A144" t="b">
        <f>modif0!A356</f>
        <v>1</v>
      </c>
      <c r="B144">
        <f>ROW(modif0!B356)</f>
        <v>356</v>
      </c>
      <c r="C144" t="str">
        <f>modif0!D356</f>
        <v>200</v>
      </c>
      <c r="D144" t="str">
        <f>modif0!E356</f>
        <v>MOUSTEY</v>
      </c>
      <c r="E144">
        <f>modif0!F356</f>
        <v>4</v>
      </c>
      <c r="F144" t="str">
        <f>modif0!G356</f>
        <v>Kycs</v>
      </c>
      <c r="G144" t="str">
        <f>modif0!I356</f>
        <v>0M</v>
      </c>
      <c r="H144">
        <f>modif0!J356</f>
        <v>71</v>
      </c>
      <c r="I144" t="str">
        <f>modif0!K356</f>
        <v>jk</v>
      </c>
      <c r="J144" s="11">
        <f>modif0!M356</f>
        <v>1.9625999999999999</v>
      </c>
      <c r="K144" s="11" t="str">
        <f>modif0!P356</f>
        <v>PLA</v>
      </c>
      <c r="L144" t="str">
        <f>modif0!N356</f>
        <v>PM</v>
      </c>
      <c r="M144">
        <f>modif0!Q356</f>
        <v>2017</v>
      </c>
      <c r="N144" t="str">
        <f>modif0!R356</f>
        <v>PLA-PM_2017</v>
      </c>
      <c r="O144" t="b">
        <f>modif0!S356</f>
        <v>0</v>
      </c>
      <c r="P144">
        <v>40</v>
      </c>
      <c r="Q144" t="s">
        <v>1871</v>
      </c>
      <c r="V144" t="s">
        <v>1803</v>
      </c>
      <c r="AA144" s="17">
        <f>IF($A144,$J144*(IF(Q144=regle!$B$11,regle!$B$23*IF(AJ144=-2,1+regle!$B$35,1),
IF(Q144=regle!$C$11,regle!$C$23,
IF(Q144=regle!$D$11,regle!$D$23,
IF(Q144=regle!$E$11,regle!$E$23,
IF(Q144=regle!$F$11,regle!$F$23,
IF(Q144=regle!$G$11,regle!$G$23,
IF(Q144=regle!$H$11,regle!$H$23,
IF(Q144=regle!$I$11,regle!$I$23,
IF(Q144=regle!$J$11,regle!$J$23,
IF(Q144=regle!$K$11,regle!$K$23,0))))))))))))</f>
        <v>-176.63399999999999</v>
      </c>
      <c r="AB144" s="17">
        <f>IF($A144,$J144*(IF(R144=regle!$B$11,regle!$B$23*IF(AK144=-2,1+regle!$B$35,1),
IF(R144=regle!$C$11,regle!$C$23,
IF(R144=regle!$D$11,regle!$D$23,
IF(R144=regle!$E$11,regle!$E$23,
IF(R144=regle!$F$11,regle!$F$23,
IF(R144=regle!$G$11,regle!$G$23,
IF(R144=regle!$H$11,regle!$H$23,
IF(R144=regle!$I$11,regle!$I$23,
IF(R144=regle!$J$11,regle!$J$23,
IF(R144=regle!$K$11,regle!$K$23,0))))))))))))</f>
        <v>0</v>
      </c>
      <c r="AC144" s="17">
        <f>IF($A144,$J144*(IF(S144=regle!$B$11,regle!$B$23*IF(AL144=-2,1+regle!$B$35,1),
IF(S144=regle!$C$11,regle!$C$23,
IF(S144=regle!$D$11,regle!$D$23,
IF(S144=regle!$E$11,regle!$E$23,
IF(S144=regle!$F$11,regle!$F$23,
IF(S144=regle!$G$11,regle!$G$23,
IF(S144=regle!$H$11,regle!$H$23,
IF(S144=regle!$I$11,regle!$I$23,
IF(S144=regle!$J$11,regle!$J$23,
IF(S144=regle!$K$11,regle!$K$23,0))))))))))))</f>
        <v>0</v>
      </c>
      <c r="AD144" s="17">
        <f>IF($A144,$J144*(IF(T144=regle!$B$11,regle!$B$23*IF(AM144=-2,1+regle!$B$35,1),
IF(T144=regle!$C$11,regle!$C$23,
IF(T144=regle!$D$11,regle!$D$23,
IF(T144=regle!$E$11,regle!$E$23,
IF(T144=regle!$F$11,regle!$F$23,
IF(T144=regle!$G$11,regle!$G$23,
IF(T144=regle!$H$11,regle!$H$23,
IF(T144=regle!$I$11,regle!$I$23,
IF(T144=regle!$J$11,regle!$J$23,
IF(T144=regle!$K$11,regle!$K$23,0))))))))))))</f>
        <v>0</v>
      </c>
      <c r="AE144" s="17">
        <f>IF($A144,$J144*(IF(U144=regle!$B$11,regle!$B$23*IF(AN144=-2,1+regle!$B$35,1),
IF(U144=regle!$C$11,regle!$C$23,
IF(U144=regle!$D$11,regle!$D$23,
IF(U144=regle!$E$11,regle!$E$23,
IF(U144=regle!$F$11,regle!$F$23,
IF(U144=regle!$G$11,regle!$G$23,
IF(U144=regle!$H$11,regle!$H$23,
IF(U144=regle!$I$11,regle!$I$23,
IF(U144=regle!$J$11,regle!$J$23,
IF(U144=regle!$K$11,regle!$K$23,0))))))))))))</f>
        <v>0</v>
      </c>
      <c r="AF144" s="17">
        <f>IF($A144,$J144*(IF(V144=regle!$B$11,regle!$B$23*IF(AO144=-2,1+regle!$B$35,1),
IF(V144=regle!$C$11,regle!$C$23,
IF(V144=regle!$D$11,regle!$D$23,
IF(V144=regle!$E$11,regle!$E$23,
IF(V144=regle!$F$11,regle!$F$23,
IF(V144=regle!$G$11,regle!$G$23,
IF(V144=regle!$H$11,regle!$H$23,
IF(V144=regle!$I$11,regle!$I$23,
IF(V144=regle!$J$11,regle!$J$23,
IF(V144=regle!$K$11,regle!$K$23,0))))))))))))</f>
        <v>1130.4576</v>
      </c>
      <c r="AG144" s="17">
        <f>IF($A144,$J144*(IF(W144=regle!$B$11,regle!$B$23*IF(AP144=-2,1+regle!$B$35,1),
IF(W144=regle!$C$11,regle!$C$23,
IF(W144=regle!$D$11,regle!$D$23,
IF(W144=regle!$E$11,regle!$E$23,
IF(W144=regle!$F$11,regle!$F$23,
IF(W144=regle!$G$11,regle!$G$23,
IF(W144=regle!$H$11,regle!$H$23,
IF(W144=regle!$I$11,regle!$I$23,
IF(W144=regle!$J$11,regle!$J$23,
IF(W144=regle!$K$11,regle!$K$23,0))))))))))))</f>
        <v>0</v>
      </c>
      <c r="AH144" s="17">
        <f>IF($A144,$J144*(IF(X144=regle!$B$11,regle!$B$23*IF(AQ144=-2,1+regle!$B$35,1),
IF(X144=regle!$C$11,regle!$C$23,
IF(X144=regle!$D$11,regle!$D$23,
IF(X144=regle!$E$11,regle!$E$23,
IF(X144=regle!$F$11,regle!$F$23,
IF(X144=regle!$G$11,regle!$G$23,
IF(X144=regle!$H$11,regle!$H$23,
IF(X144=regle!$I$11,regle!$I$23,
IF(X144=regle!$J$11,regle!$J$23,
IF(X144=regle!$K$11,regle!$K$23,0))))))))))))</f>
        <v>0</v>
      </c>
      <c r="AI144" s="17">
        <f>IF($A144,$J144*(IF(Y144=regle!$B$11,regle!$B$23*IF(AR144=-2,1+regle!$B$35,1),
IF(Y144=regle!$C$11,regle!$C$23,
IF(Y144=regle!$D$11,regle!$D$23,
IF(Y144=regle!$E$11,regle!$E$23,
IF(Y144=regle!$F$11,regle!$F$23,
IF(Y144=regle!$G$11,regle!$G$23,
IF(Y144=regle!$H$11,regle!$H$23,
IF(Y144=regle!$I$11,regle!$I$23,
IF(Y144=regle!$J$11,regle!$J$23,
IF(Y144=regle!$K$11,regle!$K$23,0))))))))))))</f>
        <v>0</v>
      </c>
      <c r="AJ144" s="17">
        <f>IF($A144,$J144*(IF(Z144=regle!$B$11,regle!$B$23*IF(AS144=-2,1+regle!$B$35,1),
IF(Z144=regle!$C$11,regle!$C$23,
IF(Z144=regle!$D$11,regle!$D$23,
IF(Z144=regle!$E$11,regle!$E$23,
IF(Z144=regle!$F$11,regle!$F$23,
IF(Z144=regle!$G$11,regle!$G$23,
IF(Z144=regle!$H$11,regle!$H$23,
IF(Z144=regle!$I$11,regle!$I$23,
IF(Z144=regle!$J$11,regle!$J$23,
IF(Z144=regle!$K$11,regle!$K$23,0))))))))))))</f>
        <v>0</v>
      </c>
      <c r="AK144" s="16">
        <f>IF(OR(Q144=regle!$J$11,Q144=regle!$K$11),-2,IF(Q144=regle!$B$11,0,IF(AK$1=$AK$1,IF($O144,-1,regle!$B$2-$M144),IF(AJ144=-1,-1,AJ144+1))))</f>
        <v>7</v>
      </c>
      <c r="AL144" s="16">
        <f>IF(OR(R144=regle!$J$11,R144=regle!$K$11),-2,IF(R144=regle!$B$11,0,IF(AL$1=$AK$1,IF($O144,-1,regle!$B$2-$M144),IF(AK144=-1,-1,AK144+1))))</f>
        <v>8</v>
      </c>
      <c r="AM144" s="16">
        <f>IF(OR(S144=regle!$J$11,S144=regle!$K$11),-2,IF(S144=regle!$B$11,0,IF(AM$1=$AK$1,IF($O144,-1,regle!$B$2-$M144),IF(AL144=-1,-1,AL144+1))))</f>
        <v>9</v>
      </c>
      <c r="AN144" s="16">
        <f>IF(OR(T144=regle!$J$11,T144=regle!$K$11),-2,IF(T144=regle!$B$11,0,IF(AN$1=$AK$1,IF($O144,-1,regle!$B$2-$M144),IF(AM144=-1,-1,AM144+1))))</f>
        <v>10</v>
      </c>
      <c r="AO144" s="16">
        <f>IF(OR(U144=regle!$J$11,U144=regle!$K$11),-2,IF(U144=regle!$B$11,0,IF(AO$1=$AK$1,IF($O144,-1,regle!$B$2-$M144),IF(AN144=-1,-1,AN144+1))))</f>
        <v>11</v>
      </c>
      <c r="AP144" s="16">
        <f>IF(OR(V144=regle!$J$11,V144=regle!$K$11),-2,IF(V144=regle!$B$11,0,IF(AP$1=$AK$1,IF($O144,-1,regle!$B$2-$M144),IF(AO144=-1,-1,AO144+1))))</f>
        <v>12</v>
      </c>
      <c r="AQ144" s="16">
        <f>IF(OR(W144=regle!$J$11,W144=regle!$K$11),-2,IF(W144=regle!$B$11,0,IF(AQ$1=$AK$1,IF($O144,-1,regle!$B$2-$M144),IF(AP144=-1,-1,AP144+1))))</f>
        <v>13</v>
      </c>
      <c r="AR144" s="16">
        <f>IF(OR(X144=regle!$J$11,X144=regle!$K$11),-2,IF(X144=regle!$B$11,0,IF(AR$1=$AK$1,IF($O144,-1,regle!$B$2-$M144),IF(AQ144=-1,-1,AQ144+1))))</f>
        <v>14</v>
      </c>
      <c r="AS144" s="16">
        <f>IF(OR(Y144=regle!$J$11,Y144=regle!$K$11),-2,IF(Y144=regle!$B$11,0,IF(AS$1=$AK$1,IF($O144,-1,regle!$B$2-$M144),IF(AR144=-1,-1,AR144+1))))</f>
        <v>15</v>
      </c>
      <c r="AT144" s="16">
        <f>IF(OR(Z144=regle!$J$11,Z144=regle!$K$11),-2,IF(Z144=regle!$B$11,0,IF(AT$1=$AK$1,IF($O144,-1,regle!$B$2-$M144),IF(AS144=-1,-1,AS144+1))))</f>
        <v>16</v>
      </c>
    </row>
    <row r="145" spans="1:46" x14ac:dyDescent="0.25">
      <c r="A145" t="b">
        <f>modif0!A357</f>
        <v>1</v>
      </c>
      <c r="B145">
        <f>ROW(modif0!B357)</f>
        <v>357</v>
      </c>
      <c r="C145" t="str">
        <f>modif0!D357</f>
        <v>200</v>
      </c>
      <c r="D145" t="str">
        <f>modif0!E357</f>
        <v>MOUSTEY</v>
      </c>
      <c r="E145">
        <f>modif0!F357</f>
        <v>4</v>
      </c>
      <c r="F145" t="str">
        <f>modif0!G357</f>
        <v>Kycs</v>
      </c>
      <c r="G145" t="str">
        <f>modif0!I357</f>
        <v>0M</v>
      </c>
      <c r="H145">
        <f>modif0!J357</f>
        <v>71</v>
      </c>
      <c r="I145" t="str">
        <f>modif0!K357</f>
        <v>jl</v>
      </c>
      <c r="J145" s="11">
        <f>modif0!M357</f>
        <v>1.5359</v>
      </c>
      <c r="K145" s="11" t="str">
        <f>modif0!P357</f>
        <v>PLA</v>
      </c>
      <c r="L145" t="str">
        <f>modif0!N357</f>
        <v>PM</v>
      </c>
      <c r="M145">
        <f>modif0!Q357</f>
        <v>2017</v>
      </c>
      <c r="N145" t="str">
        <f>modif0!R357</f>
        <v>PLA-PM_2017</v>
      </c>
      <c r="O145" t="b">
        <f>modif0!S357</f>
        <v>0</v>
      </c>
      <c r="P145">
        <v>40</v>
      </c>
      <c r="Q145" t="s">
        <v>1871</v>
      </c>
      <c r="V145" t="s">
        <v>1803</v>
      </c>
      <c r="AA145" s="17">
        <f>IF($A145,$J145*(IF(Q145=regle!$B$11,regle!$B$23*IF(AJ145=-2,1+regle!$B$35,1),
IF(Q145=regle!$C$11,regle!$C$23,
IF(Q145=regle!$D$11,regle!$D$23,
IF(Q145=regle!$E$11,regle!$E$23,
IF(Q145=regle!$F$11,regle!$F$23,
IF(Q145=regle!$G$11,regle!$G$23,
IF(Q145=regle!$H$11,regle!$H$23,
IF(Q145=regle!$I$11,regle!$I$23,
IF(Q145=regle!$J$11,regle!$J$23,
IF(Q145=regle!$K$11,regle!$K$23,0))))))))))))</f>
        <v>-138.23099999999999</v>
      </c>
      <c r="AB145" s="17">
        <f>IF($A145,$J145*(IF(R145=regle!$B$11,regle!$B$23*IF(AK145=-2,1+regle!$B$35,1),
IF(R145=regle!$C$11,regle!$C$23,
IF(R145=regle!$D$11,regle!$D$23,
IF(R145=regle!$E$11,regle!$E$23,
IF(R145=regle!$F$11,regle!$F$23,
IF(R145=regle!$G$11,regle!$G$23,
IF(R145=regle!$H$11,regle!$H$23,
IF(R145=regle!$I$11,regle!$I$23,
IF(R145=regle!$J$11,regle!$J$23,
IF(R145=regle!$K$11,regle!$K$23,0))))))))))))</f>
        <v>0</v>
      </c>
      <c r="AC145" s="17">
        <f>IF($A145,$J145*(IF(S145=regle!$B$11,regle!$B$23*IF(AL145=-2,1+regle!$B$35,1),
IF(S145=regle!$C$11,regle!$C$23,
IF(S145=regle!$D$11,regle!$D$23,
IF(S145=regle!$E$11,regle!$E$23,
IF(S145=regle!$F$11,regle!$F$23,
IF(S145=regle!$G$11,regle!$G$23,
IF(S145=regle!$H$11,regle!$H$23,
IF(S145=regle!$I$11,regle!$I$23,
IF(S145=regle!$J$11,regle!$J$23,
IF(S145=regle!$K$11,regle!$K$23,0))))))))))))</f>
        <v>0</v>
      </c>
      <c r="AD145" s="17">
        <f>IF($A145,$J145*(IF(T145=regle!$B$11,regle!$B$23*IF(AM145=-2,1+regle!$B$35,1),
IF(T145=regle!$C$11,regle!$C$23,
IF(T145=regle!$D$11,regle!$D$23,
IF(T145=regle!$E$11,regle!$E$23,
IF(T145=regle!$F$11,regle!$F$23,
IF(T145=regle!$G$11,regle!$G$23,
IF(T145=regle!$H$11,regle!$H$23,
IF(T145=regle!$I$11,regle!$I$23,
IF(T145=regle!$J$11,regle!$J$23,
IF(T145=regle!$K$11,regle!$K$23,0))))))))))))</f>
        <v>0</v>
      </c>
      <c r="AE145" s="17">
        <f>IF($A145,$J145*(IF(U145=regle!$B$11,regle!$B$23*IF(AN145=-2,1+regle!$B$35,1),
IF(U145=regle!$C$11,regle!$C$23,
IF(U145=regle!$D$11,regle!$D$23,
IF(U145=regle!$E$11,regle!$E$23,
IF(U145=regle!$F$11,regle!$F$23,
IF(U145=regle!$G$11,regle!$G$23,
IF(U145=regle!$H$11,regle!$H$23,
IF(U145=regle!$I$11,regle!$I$23,
IF(U145=regle!$J$11,regle!$J$23,
IF(U145=regle!$K$11,regle!$K$23,0))))))))))))</f>
        <v>0</v>
      </c>
      <c r="AF145" s="17">
        <f>IF($A145,$J145*(IF(V145=regle!$B$11,regle!$B$23*IF(AO145=-2,1+regle!$B$35,1),
IF(V145=regle!$C$11,regle!$C$23,
IF(V145=regle!$D$11,regle!$D$23,
IF(V145=regle!$E$11,regle!$E$23,
IF(V145=regle!$F$11,regle!$F$23,
IF(V145=regle!$G$11,regle!$G$23,
IF(V145=regle!$H$11,regle!$H$23,
IF(V145=regle!$I$11,regle!$I$23,
IF(V145=regle!$J$11,regle!$J$23,
IF(V145=regle!$K$11,regle!$K$23,0))))))))))))</f>
        <v>884.67840000000001</v>
      </c>
      <c r="AG145" s="17">
        <f>IF($A145,$J145*(IF(W145=regle!$B$11,regle!$B$23*IF(AP145=-2,1+regle!$B$35,1),
IF(W145=regle!$C$11,regle!$C$23,
IF(W145=regle!$D$11,regle!$D$23,
IF(W145=regle!$E$11,regle!$E$23,
IF(W145=regle!$F$11,regle!$F$23,
IF(W145=regle!$G$11,regle!$G$23,
IF(W145=regle!$H$11,regle!$H$23,
IF(W145=regle!$I$11,regle!$I$23,
IF(W145=regle!$J$11,regle!$J$23,
IF(W145=regle!$K$11,regle!$K$23,0))))))))))))</f>
        <v>0</v>
      </c>
      <c r="AH145" s="17">
        <f>IF($A145,$J145*(IF(X145=regle!$B$11,regle!$B$23*IF(AQ145=-2,1+regle!$B$35,1),
IF(X145=regle!$C$11,regle!$C$23,
IF(X145=regle!$D$11,regle!$D$23,
IF(X145=regle!$E$11,regle!$E$23,
IF(X145=regle!$F$11,regle!$F$23,
IF(X145=regle!$G$11,regle!$G$23,
IF(X145=regle!$H$11,regle!$H$23,
IF(X145=regle!$I$11,regle!$I$23,
IF(X145=regle!$J$11,regle!$J$23,
IF(X145=regle!$K$11,regle!$K$23,0))))))))))))</f>
        <v>0</v>
      </c>
      <c r="AI145" s="17">
        <f>IF($A145,$J145*(IF(Y145=regle!$B$11,regle!$B$23*IF(AR145=-2,1+regle!$B$35,1),
IF(Y145=regle!$C$11,regle!$C$23,
IF(Y145=regle!$D$11,regle!$D$23,
IF(Y145=regle!$E$11,regle!$E$23,
IF(Y145=regle!$F$11,regle!$F$23,
IF(Y145=regle!$G$11,regle!$G$23,
IF(Y145=regle!$H$11,regle!$H$23,
IF(Y145=regle!$I$11,regle!$I$23,
IF(Y145=regle!$J$11,regle!$J$23,
IF(Y145=regle!$K$11,regle!$K$23,0))))))))))))</f>
        <v>0</v>
      </c>
      <c r="AJ145" s="17">
        <f>IF($A145,$J145*(IF(Z145=regle!$B$11,regle!$B$23*IF(AS145=-2,1+regle!$B$35,1),
IF(Z145=regle!$C$11,regle!$C$23,
IF(Z145=regle!$D$11,regle!$D$23,
IF(Z145=regle!$E$11,regle!$E$23,
IF(Z145=regle!$F$11,regle!$F$23,
IF(Z145=regle!$G$11,regle!$G$23,
IF(Z145=regle!$H$11,regle!$H$23,
IF(Z145=regle!$I$11,regle!$I$23,
IF(Z145=regle!$J$11,regle!$J$23,
IF(Z145=regle!$K$11,regle!$K$23,0))))))))))))</f>
        <v>0</v>
      </c>
      <c r="AK145" s="16">
        <f>IF(OR(Q145=regle!$J$11,Q145=regle!$K$11),-2,IF(Q145=regle!$B$11,0,IF(AK$1=$AK$1,IF($O145,-1,regle!$B$2-$M145),IF(AJ145=-1,-1,AJ145+1))))</f>
        <v>7</v>
      </c>
      <c r="AL145" s="16">
        <f>IF(OR(R145=regle!$J$11,R145=regle!$K$11),-2,IF(R145=regle!$B$11,0,IF(AL$1=$AK$1,IF($O145,-1,regle!$B$2-$M145),IF(AK145=-1,-1,AK145+1))))</f>
        <v>8</v>
      </c>
      <c r="AM145" s="16">
        <f>IF(OR(S145=regle!$J$11,S145=regle!$K$11),-2,IF(S145=regle!$B$11,0,IF(AM$1=$AK$1,IF($O145,-1,regle!$B$2-$M145),IF(AL145=-1,-1,AL145+1))))</f>
        <v>9</v>
      </c>
      <c r="AN145" s="16">
        <f>IF(OR(T145=regle!$J$11,T145=regle!$K$11),-2,IF(T145=regle!$B$11,0,IF(AN$1=$AK$1,IF($O145,-1,regle!$B$2-$M145),IF(AM145=-1,-1,AM145+1))))</f>
        <v>10</v>
      </c>
      <c r="AO145" s="16">
        <f>IF(OR(U145=regle!$J$11,U145=regle!$K$11),-2,IF(U145=regle!$B$11,0,IF(AO$1=$AK$1,IF($O145,-1,regle!$B$2-$M145),IF(AN145=-1,-1,AN145+1))))</f>
        <v>11</v>
      </c>
      <c r="AP145" s="16">
        <f>IF(OR(V145=regle!$J$11,V145=regle!$K$11),-2,IF(V145=regle!$B$11,0,IF(AP$1=$AK$1,IF($O145,-1,regle!$B$2-$M145),IF(AO145=-1,-1,AO145+1))))</f>
        <v>12</v>
      </c>
      <c r="AQ145" s="16">
        <f>IF(OR(W145=regle!$J$11,W145=regle!$K$11),-2,IF(W145=regle!$B$11,0,IF(AQ$1=$AK$1,IF($O145,-1,regle!$B$2-$M145),IF(AP145=-1,-1,AP145+1))))</f>
        <v>13</v>
      </c>
      <c r="AR145" s="16">
        <f>IF(OR(X145=regle!$J$11,X145=regle!$K$11),-2,IF(X145=regle!$B$11,0,IF(AR$1=$AK$1,IF($O145,-1,regle!$B$2-$M145),IF(AQ145=-1,-1,AQ145+1))))</f>
        <v>14</v>
      </c>
      <c r="AS145" s="16">
        <f>IF(OR(Y145=regle!$J$11,Y145=regle!$K$11),-2,IF(Y145=regle!$B$11,0,IF(AS$1=$AK$1,IF($O145,-1,regle!$B$2-$M145),IF(AR145=-1,-1,AR145+1))))</f>
        <v>15</v>
      </c>
      <c r="AT145" s="16">
        <f>IF(OR(Z145=regle!$J$11,Z145=regle!$K$11),-2,IF(Z145=regle!$B$11,0,IF(AT$1=$AK$1,IF($O145,-1,regle!$B$2-$M145),IF(AS145=-1,-1,AS145+1))))</f>
        <v>16</v>
      </c>
    </row>
    <row r="146" spans="1:46" x14ac:dyDescent="0.25">
      <c r="A146" t="b">
        <f>modif0!A365</f>
        <v>1</v>
      </c>
      <c r="B146">
        <f>ROW(modif0!B365)</f>
        <v>365</v>
      </c>
      <c r="C146" t="str">
        <f>modif0!D365</f>
        <v>200</v>
      </c>
      <c r="D146" t="str">
        <f>modif0!E365</f>
        <v>MOUSTEY</v>
      </c>
      <c r="E146">
        <f>modif0!F365</f>
        <v>4</v>
      </c>
      <c r="F146" t="str">
        <f>modif0!G365</f>
        <v>Kycs</v>
      </c>
      <c r="G146" t="str">
        <f>modif0!I365</f>
        <v>0M</v>
      </c>
      <c r="H146">
        <f>modif0!J365</f>
        <v>80</v>
      </c>
      <c r="I146" t="str">
        <f>modif0!K365</f>
        <v>p</v>
      </c>
      <c r="J146" s="11">
        <f>modif0!M365</f>
        <v>1.2216</v>
      </c>
      <c r="K146" s="11" t="str">
        <f>modif0!P365</f>
        <v>PLA</v>
      </c>
      <c r="L146" t="str">
        <f>modif0!N365</f>
        <v>PM</v>
      </c>
      <c r="M146">
        <f>modif0!Q365</f>
        <v>2017</v>
      </c>
      <c r="N146" t="str">
        <f>modif0!R365</f>
        <v>PLA-PM_2017</v>
      </c>
      <c r="O146" t="b">
        <f>modif0!S365</f>
        <v>0</v>
      </c>
      <c r="P146">
        <v>40</v>
      </c>
      <c r="Q146" t="s">
        <v>1871</v>
      </c>
      <c r="V146" t="s">
        <v>1803</v>
      </c>
      <c r="AA146" s="17">
        <f>IF($A146,$J146*(IF(Q146=regle!$B$11,regle!$B$23*IF(AJ146=-2,1+regle!$B$35,1),
IF(Q146=regle!$C$11,regle!$C$23,
IF(Q146=regle!$D$11,regle!$D$23,
IF(Q146=regle!$E$11,regle!$E$23,
IF(Q146=regle!$F$11,regle!$F$23,
IF(Q146=regle!$G$11,regle!$G$23,
IF(Q146=regle!$H$11,regle!$H$23,
IF(Q146=regle!$I$11,regle!$I$23,
IF(Q146=regle!$J$11,regle!$J$23,
IF(Q146=regle!$K$11,regle!$K$23,0))))))))))))</f>
        <v>-109.944</v>
      </c>
      <c r="AB146" s="17">
        <f>IF($A146,$J146*(IF(R146=regle!$B$11,regle!$B$23*IF(AK146=-2,1+regle!$B$35,1),
IF(R146=regle!$C$11,regle!$C$23,
IF(R146=regle!$D$11,regle!$D$23,
IF(R146=regle!$E$11,regle!$E$23,
IF(R146=regle!$F$11,regle!$F$23,
IF(R146=regle!$G$11,regle!$G$23,
IF(R146=regle!$H$11,regle!$H$23,
IF(R146=regle!$I$11,regle!$I$23,
IF(R146=regle!$J$11,regle!$J$23,
IF(R146=regle!$K$11,regle!$K$23,0))))))))))))</f>
        <v>0</v>
      </c>
      <c r="AC146" s="17">
        <f>IF($A146,$J146*(IF(S146=regle!$B$11,regle!$B$23*IF(AL146=-2,1+regle!$B$35,1),
IF(S146=regle!$C$11,regle!$C$23,
IF(S146=regle!$D$11,regle!$D$23,
IF(S146=regle!$E$11,regle!$E$23,
IF(S146=regle!$F$11,regle!$F$23,
IF(S146=regle!$G$11,regle!$G$23,
IF(S146=regle!$H$11,regle!$H$23,
IF(S146=regle!$I$11,regle!$I$23,
IF(S146=regle!$J$11,regle!$J$23,
IF(S146=regle!$K$11,regle!$K$23,0))))))))))))</f>
        <v>0</v>
      </c>
      <c r="AD146" s="17">
        <f>IF($A146,$J146*(IF(T146=regle!$B$11,regle!$B$23*IF(AM146=-2,1+regle!$B$35,1),
IF(T146=regle!$C$11,regle!$C$23,
IF(T146=regle!$D$11,regle!$D$23,
IF(T146=regle!$E$11,regle!$E$23,
IF(T146=regle!$F$11,regle!$F$23,
IF(T146=regle!$G$11,regle!$G$23,
IF(T146=regle!$H$11,regle!$H$23,
IF(T146=regle!$I$11,regle!$I$23,
IF(T146=regle!$J$11,regle!$J$23,
IF(T146=regle!$K$11,regle!$K$23,0))))))))))))</f>
        <v>0</v>
      </c>
      <c r="AE146" s="17">
        <f>IF($A146,$J146*(IF(U146=regle!$B$11,regle!$B$23*IF(AN146=-2,1+regle!$B$35,1),
IF(U146=regle!$C$11,regle!$C$23,
IF(U146=regle!$D$11,regle!$D$23,
IF(U146=regle!$E$11,regle!$E$23,
IF(U146=regle!$F$11,regle!$F$23,
IF(U146=regle!$G$11,regle!$G$23,
IF(U146=regle!$H$11,regle!$H$23,
IF(U146=regle!$I$11,regle!$I$23,
IF(U146=regle!$J$11,regle!$J$23,
IF(U146=regle!$K$11,regle!$K$23,0))))))))))))</f>
        <v>0</v>
      </c>
      <c r="AF146" s="17">
        <f>IF($A146,$J146*(IF(V146=regle!$B$11,regle!$B$23*IF(AO146=-2,1+regle!$B$35,1),
IF(V146=regle!$C$11,regle!$C$23,
IF(V146=regle!$D$11,regle!$D$23,
IF(V146=regle!$E$11,regle!$E$23,
IF(V146=regle!$F$11,regle!$F$23,
IF(V146=regle!$G$11,regle!$G$23,
IF(V146=regle!$H$11,regle!$H$23,
IF(V146=regle!$I$11,regle!$I$23,
IF(V146=regle!$J$11,regle!$J$23,
IF(V146=regle!$K$11,regle!$K$23,0))))))))))))</f>
        <v>703.64160000000004</v>
      </c>
      <c r="AG146" s="17">
        <f>IF($A146,$J146*(IF(W146=regle!$B$11,regle!$B$23*IF(AP146=-2,1+regle!$B$35,1),
IF(W146=regle!$C$11,regle!$C$23,
IF(W146=regle!$D$11,regle!$D$23,
IF(W146=regle!$E$11,regle!$E$23,
IF(W146=regle!$F$11,regle!$F$23,
IF(W146=regle!$G$11,regle!$G$23,
IF(W146=regle!$H$11,regle!$H$23,
IF(W146=regle!$I$11,regle!$I$23,
IF(W146=regle!$J$11,regle!$J$23,
IF(W146=regle!$K$11,regle!$K$23,0))))))))))))</f>
        <v>0</v>
      </c>
      <c r="AH146" s="17">
        <f>IF($A146,$J146*(IF(X146=regle!$B$11,regle!$B$23*IF(AQ146=-2,1+regle!$B$35,1),
IF(X146=regle!$C$11,regle!$C$23,
IF(X146=regle!$D$11,regle!$D$23,
IF(X146=regle!$E$11,regle!$E$23,
IF(X146=regle!$F$11,regle!$F$23,
IF(X146=regle!$G$11,regle!$G$23,
IF(X146=regle!$H$11,regle!$H$23,
IF(X146=regle!$I$11,regle!$I$23,
IF(X146=regle!$J$11,regle!$J$23,
IF(X146=regle!$K$11,regle!$K$23,0))))))))))))</f>
        <v>0</v>
      </c>
      <c r="AI146" s="17">
        <f>IF($A146,$J146*(IF(Y146=regle!$B$11,regle!$B$23*IF(AR146=-2,1+regle!$B$35,1),
IF(Y146=regle!$C$11,regle!$C$23,
IF(Y146=regle!$D$11,regle!$D$23,
IF(Y146=regle!$E$11,regle!$E$23,
IF(Y146=regle!$F$11,regle!$F$23,
IF(Y146=regle!$G$11,regle!$G$23,
IF(Y146=regle!$H$11,regle!$H$23,
IF(Y146=regle!$I$11,regle!$I$23,
IF(Y146=regle!$J$11,regle!$J$23,
IF(Y146=regle!$K$11,regle!$K$23,0))))))))))))</f>
        <v>0</v>
      </c>
      <c r="AJ146" s="17">
        <f>IF($A146,$J146*(IF(Z146=regle!$B$11,regle!$B$23*IF(AS146=-2,1+regle!$B$35,1),
IF(Z146=regle!$C$11,regle!$C$23,
IF(Z146=regle!$D$11,regle!$D$23,
IF(Z146=regle!$E$11,regle!$E$23,
IF(Z146=regle!$F$11,regle!$F$23,
IF(Z146=regle!$G$11,regle!$G$23,
IF(Z146=regle!$H$11,regle!$H$23,
IF(Z146=regle!$I$11,regle!$I$23,
IF(Z146=regle!$J$11,regle!$J$23,
IF(Z146=regle!$K$11,regle!$K$23,0))))))))))))</f>
        <v>0</v>
      </c>
      <c r="AK146" s="16">
        <f>IF(OR(Q146=regle!$J$11,Q146=regle!$K$11),-2,IF(Q146=regle!$B$11,0,IF(AK$1=$AK$1,IF($O146,-1,regle!$B$2-$M146),IF(AJ146=-1,-1,AJ146+1))))</f>
        <v>7</v>
      </c>
      <c r="AL146" s="16">
        <f>IF(OR(R146=regle!$J$11,R146=regle!$K$11),-2,IF(R146=regle!$B$11,0,IF(AL$1=$AK$1,IF($O146,-1,regle!$B$2-$M146),IF(AK146=-1,-1,AK146+1))))</f>
        <v>8</v>
      </c>
      <c r="AM146" s="16">
        <f>IF(OR(S146=regle!$J$11,S146=regle!$K$11),-2,IF(S146=regle!$B$11,0,IF(AM$1=$AK$1,IF($O146,-1,regle!$B$2-$M146),IF(AL146=-1,-1,AL146+1))))</f>
        <v>9</v>
      </c>
      <c r="AN146" s="16">
        <f>IF(OR(T146=regle!$J$11,T146=regle!$K$11),-2,IF(T146=regle!$B$11,0,IF(AN$1=$AK$1,IF($O146,-1,regle!$B$2-$M146),IF(AM146=-1,-1,AM146+1))))</f>
        <v>10</v>
      </c>
      <c r="AO146" s="16">
        <f>IF(OR(U146=regle!$J$11,U146=regle!$K$11),-2,IF(U146=regle!$B$11,0,IF(AO$1=$AK$1,IF($O146,-1,regle!$B$2-$M146),IF(AN146=-1,-1,AN146+1))))</f>
        <v>11</v>
      </c>
      <c r="AP146" s="16">
        <f>IF(OR(V146=regle!$J$11,V146=regle!$K$11),-2,IF(V146=regle!$B$11,0,IF(AP$1=$AK$1,IF($O146,-1,regle!$B$2-$M146),IF(AO146=-1,-1,AO146+1))))</f>
        <v>12</v>
      </c>
      <c r="AQ146" s="16">
        <f>IF(OR(W146=regle!$J$11,W146=regle!$K$11),-2,IF(W146=regle!$B$11,0,IF(AQ$1=$AK$1,IF($O146,-1,regle!$B$2-$M146),IF(AP146=-1,-1,AP146+1))))</f>
        <v>13</v>
      </c>
      <c r="AR146" s="16">
        <f>IF(OR(X146=regle!$J$11,X146=regle!$K$11),-2,IF(X146=regle!$B$11,0,IF(AR$1=$AK$1,IF($O146,-1,regle!$B$2-$M146),IF(AQ146=-1,-1,AQ146+1))))</f>
        <v>14</v>
      </c>
      <c r="AS146" s="16">
        <f>IF(OR(Y146=regle!$J$11,Y146=regle!$K$11),-2,IF(Y146=regle!$B$11,0,IF(AS$1=$AK$1,IF($O146,-1,regle!$B$2-$M146),IF(AR146=-1,-1,AR146+1))))</f>
        <v>15</v>
      </c>
      <c r="AT146" s="16">
        <f>IF(OR(Z146=regle!$J$11,Z146=regle!$K$11),-2,IF(Z146=regle!$B$11,0,IF(AT$1=$AK$1,IF($O146,-1,regle!$B$2-$M146),IF(AS146=-1,-1,AS146+1))))</f>
        <v>16</v>
      </c>
    </row>
    <row r="147" spans="1:46" x14ac:dyDescent="0.25">
      <c r="A147" t="b">
        <f>modif0!A45</f>
        <v>1</v>
      </c>
      <c r="B147">
        <f>ROW(modif0!B45)</f>
        <v>45</v>
      </c>
      <c r="C147" t="str">
        <f>modif0!D45</f>
        <v>536</v>
      </c>
      <c r="D147" t="str">
        <f>modif0!E45</f>
        <v>LE TUZAN</v>
      </c>
      <c r="E147">
        <f>modif0!F45</f>
        <v>21</v>
      </c>
      <c r="F147" t="str">
        <f>modif0!G45</f>
        <v>METAIRIES DE TABARTON</v>
      </c>
      <c r="G147" t="str">
        <f>modif0!I45</f>
        <v>0A</v>
      </c>
      <c r="H147">
        <f>modif0!J45</f>
        <v>422</v>
      </c>
      <c r="I147" t="str">
        <f>modif0!K45</f>
        <v>c</v>
      </c>
      <c r="J147" s="11">
        <f>modif0!M45</f>
        <v>0.65100000000000002</v>
      </c>
      <c r="K147" s="11" t="str">
        <f>modif0!P45</f>
        <v>PLA</v>
      </c>
      <c r="L147" t="str">
        <f>modif0!N45</f>
        <v>PM</v>
      </c>
      <c r="M147">
        <f>modif0!Q45</f>
        <v>2017</v>
      </c>
      <c r="N147" t="str">
        <f>modif0!R45</f>
        <v>PLA-PM_2017</v>
      </c>
      <c r="O147" t="b">
        <f>modif0!S45</f>
        <v>0</v>
      </c>
      <c r="P147">
        <v>40</v>
      </c>
      <c r="Q147" t="s">
        <v>1871</v>
      </c>
      <c r="V147" t="s">
        <v>1803</v>
      </c>
      <c r="AA147" s="17">
        <f>IF($A147,$J147*(IF(Q147=regle!$B$11,regle!$B$23*IF(AJ147=-2,1+regle!$B$35,1),
IF(Q147=regle!$C$11,regle!$C$23,
IF(Q147=regle!$D$11,regle!$D$23,
IF(Q147=regle!$E$11,regle!$E$23,
IF(Q147=regle!$F$11,regle!$F$23,
IF(Q147=regle!$G$11,regle!$G$23,
IF(Q147=regle!$H$11,regle!$H$23,
IF(Q147=regle!$I$11,regle!$I$23,
IF(Q147=regle!$J$11,regle!$J$23,
IF(Q147=regle!$K$11,regle!$K$23,0))))))))))))</f>
        <v>-58.59</v>
      </c>
      <c r="AB147" s="17">
        <f>IF($A147,$J147*(IF(R147=regle!$B$11,regle!$B$23*IF(AK147=-2,1+regle!$B$35,1),
IF(R147=regle!$C$11,regle!$C$23,
IF(R147=regle!$D$11,regle!$D$23,
IF(R147=regle!$E$11,regle!$E$23,
IF(R147=regle!$F$11,regle!$F$23,
IF(R147=regle!$G$11,regle!$G$23,
IF(R147=regle!$H$11,regle!$H$23,
IF(R147=regle!$I$11,regle!$I$23,
IF(R147=regle!$J$11,regle!$J$23,
IF(R147=regle!$K$11,regle!$K$23,0))))))))))))</f>
        <v>0</v>
      </c>
      <c r="AC147" s="17">
        <f>IF($A147,$J147*(IF(S147=regle!$B$11,regle!$B$23*IF(AL147=-2,1+regle!$B$35,1),
IF(S147=regle!$C$11,regle!$C$23,
IF(S147=regle!$D$11,regle!$D$23,
IF(S147=regle!$E$11,regle!$E$23,
IF(S147=regle!$F$11,regle!$F$23,
IF(S147=regle!$G$11,regle!$G$23,
IF(S147=regle!$H$11,regle!$H$23,
IF(S147=regle!$I$11,regle!$I$23,
IF(S147=regle!$J$11,regle!$J$23,
IF(S147=regle!$K$11,regle!$K$23,0))))))))))))</f>
        <v>0</v>
      </c>
      <c r="AD147" s="17">
        <f>IF($A147,$J147*(IF(T147=regle!$B$11,regle!$B$23*IF(AM147=-2,1+regle!$B$35,1),
IF(T147=regle!$C$11,regle!$C$23,
IF(T147=regle!$D$11,regle!$D$23,
IF(T147=regle!$E$11,regle!$E$23,
IF(T147=regle!$F$11,regle!$F$23,
IF(T147=regle!$G$11,regle!$G$23,
IF(T147=regle!$H$11,regle!$H$23,
IF(T147=regle!$I$11,regle!$I$23,
IF(T147=regle!$J$11,regle!$J$23,
IF(T147=regle!$K$11,regle!$K$23,0))))))))))))</f>
        <v>0</v>
      </c>
      <c r="AE147" s="17">
        <f>IF($A147,$J147*(IF(U147=regle!$B$11,regle!$B$23*IF(AN147=-2,1+regle!$B$35,1),
IF(U147=regle!$C$11,regle!$C$23,
IF(U147=regle!$D$11,regle!$D$23,
IF(U147=regle!$E$11,regle!$E$23,
IF(U147=regle!$F$11,regle!$F$23,
IF(U147=regle!$G$11,regle!$G$23,
IF(U147=regle!$H$11,regle!$H$23,
IF(U147=regle!$I$11,regle!$I$23,
IF(U147=regle!$J$11,regle!$J$23,
IF(U147=regle!$K$11,regle!$K$23,0))))))))))))</f>
        <v>0</v>
      </c>
      <c r="AF147" s="17">
        <f>IF($A147,$J147*(IF(V147=regle!$B$11,regle!$B$23*IF(AO147=-2,1+regle!$B$35,1),
IF(V147=regle!$C$11,regle!$C$23,
IF(V147=regle!$D$11,regle!$D$23,
IF(V147=regle!$E$11,regle!$E$23,
IF(V147=regle!$F$11,regle!$F$23,
IF(V147=regle!$G$11,regle!$G$23,
IF(V147=regle!$H$11,regle!$H$23,
IF(V147=regle!$I$11,regle!$I$23,
IF(V147=regle!$J$11,regle!$J$23,
IF(V147=regle!$K$11,regle!$K$23,0))))))))))))</f>
        <v>374.976</v>
      </c>
      <c r="AG147" s="17">
        <f>IF($A147,$J147*(IF(W147=regle!$B$11,regle!$B$23*IF(AP147=-2,1+regle!$B$35,1),
IF(W147=regle!$C$11,regle!$C$23,
IF(W147=regle!$D$11,regle!$D$23,
IF(W147=regle!$E$11,regle!$E$23,
IF(W147=regle!$F$11,regle!$F$23,
IF(W147=regle!$G$11,regle!$G$23,
IF(W147=regle!$H$11,regle!$H$23,
IF(W147=regle!$I$11,regle!$I$23,
IF(W147=regle!$J$11,regle!$J$23,
IF(W147=regle!$K$11,regle!$K$23,0))))))))))))</f>
        <v>0</v>
      </c>
      <c r="AH147" s="17">
        <f>IF($A147,$J147*(IF(X147=regle!$B$11,regle!$B$23*IF(AQ147=-2,1+regle!$B$35,1),
IF(X147=regle!$C$11,regle!$C$23,
IF(X147=regle!$D$11,regle!$D$23,
IF(X147=regle!$E$11,regle!$E$23,
IF(X147=regle!$F$11,regle!$F$23,
IF(X147=regle!$G$11,regle!$G$23,
IF(X147=regle!$H$11,regle!$H$23,
IF(X147=regle!$I$11,regle!$I$23,
IF(X147=regle!$J$11,regle!$J$23,
IF(X147=regle!$K$11,regle!$K$23,0))))))))))))</f>
        <v>0</v>
      </c>
      <c r="AI147" s="17">
        <f>IF($A147,$J147*(IF(Y147=regle!$B$11,regle!$B$23*IF(AR147=-2,1+regle!$B$35,1),
IF(Y147=regle!$C$11,regle!$C$23,
IF(Y147=regle!$D$11,regle!$D$23,
IF(Y147=regle!$E$11,regle!$E$23,
IF(Y147=regle!$F$11,regle!$F$23,
IF(Y147=regle!$G$11,regle!$G$23,
IF(Y147=regle!$H$11,regle!$H$23,
IF(Y147=regle!$I$11,regle!$I$23,
IF(Y147=regle!$J$11,regle!$J$23,
IF(Y147=regle!$K$11,regle!$K$23,0))))))))))))</f>
        <v>0</v>
      </c>
      <c r="AJ147" s="17">
        <f>IF($A147,$J147*(IF(Z147=regle!$B$11,regle!$B$23*IF(AS147=-2,1+regle!$B$35,1),
IF(Z147=regle!$C$11,regle!$C$23,
IF(Z147=regle!$D$11,regle!$D$23,
IF(Z147=regle!$E$11,regle!$E$23,
IF(Z147=regle!$F$11,regle!$F$23,
IF(Z147=regle!$G$11,regle!$G$23,
IF(Z147=regle!$H$11,regle!$H$23,
IF(Z147=regle!$I$11,regle!$I$23,
IF(Z147=regle!$J$11,regle!$J$23,
IF(Z147=regle!$K$11,regle!$K$23,0))))))))))))</f>
        <v>0</v>
      </c>
      <c r="AK147" s="16">
        <f>IF(OR(Q147=regle!$J$11,Q147=regle!$K$11),-2,IF(Q147=regle!$B$11,0,IF(AK$1=$AK$1,IF($O147,-1,regle!$B$2-$M147),IF(AJ147=-1,-1,AJ147+1))))</f>
        <v>7</v>
      </c>
      <c r="AL147" s="16">
        <f>IF(OR(R147=regle!$J$11,R147=regle!$K$11),-2,IF(R147=regle!$B$11,0,IF(AL$1=$AK$1,IF($O147,-1,regle!$B$2-$M147),IF(AK147=-1,-1,AK147+1))))</f>
        <v>8</v>
      </c>
      <c r="AM147" s="16">
        <f>IF(OR(S147=regle!$J$11,S147=regle!$K$11),-2,IF(S147=regle!$B$11,0,IF(AM$1=$AK$1,IF($O147,-1,regle!$B$2-$M147),IF(AL147=-1,-1,AL147+1))))</f>
        <v>9</v>
      </c>
      <c r="AN147" s="16">
        <f>IF(OR(T147=regle!$J$11,T147=regle!$K$11),-2,IF(T147=regle!$B$11,0,IF(AN$1=$AK$1,IF($O147,-1,regle!$B$2-$M147),IF(AM147=-1,-1,AM147+1))))</f>
        <v>10</v>
      </c>
      <c r="AO147" s="16">
        <f>IF(OR(U147=regle!$J$11,U147=regle!$K$11),-2,IF(U147=regle!$B$11,0,IF(AO$1=$AK$1,IF($O147,-1,regle!$B$2-$M147),IF(AN147=-1,-1,AN147+1))))</f>
        <v>11</v>
      </c>
      <c r="AP147" s="16">
        <f>IF(OR(V147=regle!$J$11,V147=regle!$K$11),-2,IF(V147=regle!$B$11,0,IF(AP$1=$AK$1,IF($O147,-1,regle!$B$2-$M147),IF(AO147=-1,-1,AO147+1))))</f>
        <v>12</v>
      </c>
      <c r="AQ147" s="16">
        <f>IF(OR(W147=regle!$J$11,W147=regle!$K$11),-2,IF(W147=regle!$B$11,0,IF(AQ$1=$AK$1,IF($O147,-1,regle!$B$2-$M147),IF(AP147=-1,-1,AP147+1))))</f>
        <v>13</v>
      </c>
      <c r="AR147" s="16">
        <f>IF(OR(X147=regle!$J$11,X147=regle!$K$11),-2,IF(X147=regle!$B$11,0,IF(AR$1=$AK$1,IF($O147,-1,regle!$B$2-$M147),IF(AQ147=-1,-1,AQ147+1))))</f>
        <v>14</v>
      </c>
      <c r="AS147" s="16">
        <f>IF(OR(Y147=regle!$J$11,Y147=regle!$K$11),-2,IF(Y147=regle!$B$11,0,IF(AS$1=$AK$1,IF($O147,-1,regle!$B$2-$M147),IF(AR147=-1,-1,AR147+1))))</f>
        <v>15</v>
      </c>
      <c r="AT147" s="16">
        <f>IF(OR(Z147=regle!$J$11,Z147=regle!$K$11),-2,IF(Z147=regle!$B$11,0,IF(AT$1=$AK$1,IF($O147,-1,regle!$B$2-$M147),IF(AS147=-1,-1,AS147+1))))</f>
        <v>16</v>
      </c>
    </row>
    <row r="148" spans="1:46" x14ac:dyDescent="0.25">
      <c r="A148" t="b">
        <f>modif0!A16</f>
        <v>1</v>
      </c>
      <c r="B148">
        <f>ROW(modif0!B16)</f>
        <v>16</v>
      </c>
      <c r="C148" t="str">
        <f>modif0!D16</f>
        <v>536</v>
      </c>
      <c r="D148" t="str">
        <f>modif0!E16</f>
        <v>LE TUZAN</v>
      </c>
      <c r="E148">
        <f>modif0!F16</f>
        <v>11</v>
      </c>
      <c r="F148" t="str">
        <f>modif0!G16</f>
        <v>LA HONTEYRE</v>
      </c>
      <c r="G148" t="str">
        <f>modif0!I16</f>
        <v>0A</v>
      </c>
      <c r="H148">
        <f>modif0!J16</f>
        <v>254</v>
      </c>
      <c r="I148" t="str">
        <f>modif0!K16</f>
        <v>m</v>
      </c>
      <c r="J148" s="11">
        <f>modif0!M16</f>
        <v>0.63570000000000004</v>
      </c>
      <c r="K148" s="11" t="str">
        <f>modif0!P16</f>
        <v>PLA</v>
      </c>
      <c r="L148" t="str">
        <f>modif0!N16</f>
        <v>PM</v>
      </c>
      <c r="M148">
        <f>modif0!Q16</f>
        <v>2017</v>
      </c>
      <c r="N148" t="str">
        <f>modif0!R16</f>
        <v>PLA-PM_2017</v>
      </c>
      <c r="O148" t="b">
        <f>modif0!S16</f>
        <v>0</v>
      </c>
      <c r="P148">
        <v>40</v>
      </c>
      <c r="Q148" t="s">
        <v>1871</v>
      </c>
      <c r="V148" t="s">
        <v>1803</v>
      </c>
      <c r="AA148" s="17">
        <f>IF($A148,$J148*(IF(Q148=regle!$B$11,regle!$B$23*IF(AJ148=-2,1+regle!$B$35,1),
IF(Q148=regle!$C$11,regle!$C$23,
IF(Q148=regle!$D$11,regle!$D$23,
IF(Q148=regle!$E$11,regle!$E$23,
IF(Q148=regle!$F$11,regle!$F$23,
IF(Q148=regle!$G$11,regle!$G$23,
IF(Q148=regle!$H$11,regle!$H$23,
IF(Q148=regle!$I$11,regle!$I$23,
IF(Q148=regle!$J$11,regle!$J$23,
IF(Q148=regle!$K$11,regle!$K$23,0))))))))))))</f>
        <v>-57.213000000000001</v>
      </c>
      <c r="AB148" s="17">
        <f>IF($A148,$J148*(IF(R148=regle!$B$11,regle!$B$23*IF(AK148=-2,1+regle!$B$35,1),
IF(R148=regle!$C$11,regle!$C$23,
IF(R148=regle!$D$11,regle!$D$23,
IF(R148=regle!$E$11,regle!$E$23,
IF(R148=regle!$F$11,regle!$F$23,
IF(R148=regle!$G$11,regle!$G$23,
IF(R148=regle!$H$11,regle!$H$23,
IF(R148=regle!$I$11,regle!$I$23,
IF(R148=regle!$J$11,regle!$J$23,
IF(R148=regle!$K$11,regle!$K$23,0))))))))))))</f>
        <v>0</v>
      </c>
      <c r="AC148" s="17">
        <f>IF($A148,$J148*(IF(S148=regle!$B$11,regle!$B$23*IF(AL148=-2,1+regle!$B$35,1),
IF(S148=regle!$C$11,regle!$C$23,
IF(S148=regle!$D$11,regle!$D$23,
IF(S148=regle!$E$11,regle!$E$23,
IF(S148=regle!$F$11,regle!$F$23,
IF(S148=regle!$G$11,regle!$G$23,
IF(S148=regle!$H$11,regle!$H$23,
IF(S148=regle!$I$11,regle!$I$23,
IF(S148=regle!$J$11,regle!$J$23,
IF(S148=regle!$K$11,regle!$K$23,0))))))))))))</f>
        <v>0</v>
      </c>
      <c r="AD148" s="17">
        <f>IF($A148,$J148*(IF(T148=regle!$B$11,regle!$B$23*IF(AM148=-2,1+regle!$B$35,1),
IF(T148=regle!$C$11,regle!$C$23,
IF(T148=regle!$D$11,regle!$D$23,
IF(T148=regle!$E$11,regle!$E$23,
IF(T148=regle!$F$11,regle!$F$23,
IF(T148=regle!$G$11,regle!$G$23,
IF(T148=regle!$H$11,regle!$H$23,
IF(T148=regle!$I$11,regle!$I$23,
IF(T148=regle!$J$11,regle!$J$23,
IF(T148=regle!$K$11,regle!$K$23,0))))))))))))</f>
        <v>0</v>
      </c>
      <c r="AE148" s="17">
        <f>IF($A148,$J148*(IF(U148=regle!$B$11,regle!$B$23*IF(AN148=-2,1+regle!$B$35,1),
IF(U148=regle!$C$11,regle!$C$23,
IF(U148=regle!$D$11,regle!$D$23,
IF(U148=regle!$E$11,regle!$E$23,
IF(U148=regle!$F$11,regle!$F$23,
IF(U148=regle!$G$11,regle!$G$23,
IF(U148=regle!$H$11,regle!$H$23,
IF(U148=regle!$I$11,regle!$I$23,
IF(U148=regle!$J$11,regle!$J$23,
IF(U148=regle!$K$11,regle!$K$23,0))))))))))))</f>
        <v>0</v>
      </c>
      <c r="AF148" s="17">
        <f>IF($A148,$J148*(IF(V148=regle!$B$11,regle!$B$23*IF(AO148=-2,1+regle!$B$35,1),
IF(V148=regle!$C$11,regle!$C$23,
IF(V148=regle!$D$11,regle!$D$23,
IF(V148=regle!$E$11,regle!$E$23,
IF(V148=regle!$F$11,regle!$F$23,
IF(V148=regle!$G$11,regle!$G$23,
IF(V148=regle!$H$11,regle!$H$23,
IF(V148=regle!$I$11,regle!$I$23,
IF(V148=regle!$J$11,regle!$J$23,
IF(V148=regle!$K$11,regle!$K$23,0))))))))))))</f>
        <v>366.16320000000002</v>
      </c>
      <c r="AG148" s="17">
        <f>IF($A148,$J148*(IF(W148=regle!$B$11,regle!$B$23*IF(AP148=-2,1+regle!$B$35,1),
IF(W148=regle!$C$11,regle!$C$23,
IF(W148=regle!$D$11,regle!$D$23,
IF(W148=regle!$E$11,regle!$E$23,
IF(W148=regle!$F$11,regle!$F$23,
IF(W148=regle!$G$11,regle!$G$23,
IF(W148=regle!$H$11,regle!$H$23,
IF(W148=regle!$I$11,regle!$I$23,
IF(W148=regle!$J$11,regle!$J$23,
IF(W148=regle!$K$11,regle!$K$23,0))))))))))))</f>
        <v>0</v>
      </c>
      <c r="AH148" s="17">
        <f>IF($A148,$J148*(IF(X148=regle!$B$11,regle!$B$23*IF(AQ148=-2,1+regle!$B$35,1),
IF(X148=regle!$C$11,regle!$C$23,
IF(X148=regle!$D$11,regle!$D$23,
IF(X148=regle!$E$11,regle!$E$23,
IF(X148=regle!$F$11,regle!$F$23,
IF(X148=regle!$G$11,regle!$G$23,
IF(X148=regle!$H$11,regle!$H$23,
IF(X148=regle!$I$11,regle!$I$23,
IF(X148=regle!$J$11,regle!$J$23,
IF(X148=regle!$K$11,regle!$K$23,0))))))))))))</f>
        <v>0</v>
      </c>
      <c r="AI148" s="17">
        <f>IF($A148,$J148*(IF(Y148=regle!$B$11,regle!$B$23*IF(AR148=-2,1+regle!$B$35,1),
IF(Y148=regle!$C$11,regle!$C$23,
IF(Y148=regle!$D$11,regle!$D$23,
IF(Y148=regle!$E$11,regle!$E$23,
IF(Y148=regle!$F$11,regle!$F$23,
IF(Y148=regle!$G$11,regle!$G$23,
IF(Y148=regle!$H$11,regle!$H$23,
IF(Y148=regle!$I$11,regle!$I$23,
IF(Y148=regle!$J$11,regle!$J$23,
IF(Y148=regle!$K$11,regle!$K$23,0))))))))))))</f>
        <v>0</v>
      </c>
      <c r="AJ148" s="17">
        <f>IF($A148,$J148*(IF(Z148=regle!$B$11,regle!$B$23*IF(AS148=-2,1+regle!$B$35,1),
IF(Z148=regle!$C$11,regle!$C$23,
IF(Z148=regle!$D$11,regle!$D$23,
IF(Z148=regle!$E$11,regle!$E$23,
IF(Z148=regle!$F$11,regle!$F$23,
IF(Z148=regle!$G$11,regle!$G$23,
IF(Z148=regle!$H$11,regle!$H$23,
IF(Z148=regle!$I$11,regle!$I$23,
IF(Z148=regle!$J$11,regle!$J$23,
IF(Z148=regle!$K$11,regle!$K$23,0))))))))))))</f>
        <v>0</v>
      </c>
      <c r="AK148" s="16">
        <f>IF(OR(Q148=regle!$J$11,Q148=regle!$K$11),-2,IF(Q148=regle!$B$11,0,IF(AK$1=$AK$1,IF($O148,-1,regle!$B$2-$M148),IF(AJ148=-1,-1,AJ148+1))))</f>
        <v>7</v>
      </c>
      <c r="AL148" s="16">
        <f>IF(OR(R148=regle!$J$11,R148=regle!$K$11),-2,IF(R148=regle!$B$11,0,IF(AL$1=$AK$1,IF($O148,-1,regle!$B$2-$M148),IF(AK148=-1,-1,AK148+1))))</f>
        <v>8</v>
      </c>
      <c r="AM148" s="16">
        <f>IF(OR(S148=regle!$J$11,S148=regle!$K$11),-2,IF(S148=regle!$B$11,0,IF(AM$1=$AK$1,IF($O148,-1,regle!$B$2-$M148),IF(AL148=-1,-1,AL148+1))))</f>
        <v>9</v>
      </c>
      <c r="AN148" s="16">
        <f>IF(OR(T148=regle!$J$11,T148=regle!$K$11),-2,IF(T148=regle!$B$11,0,IF(AN$1=$AK$1,IF($O148,-1,regle!$B$2-$M148),IF(AM148=-1,-1,AM148+1))))</f>
        <v>10</v>
      </c>
      <c r="AO148" s="16">
        <f>IF(OR(U148=regle!$J$11,U148=regle!$K$11),-2,IF(U148=regle!$B$11,0,IF(AO$1=$AK$1,IF($O148,-1,regle!$B$2-$M148),IF(AN148=-1,-1,AN148+1))))</f>
        <v>11</v>
      </c>
      <c r="AP148" s="16">
        <f>IF(OR(V148=regle!$J$11,V148=regle!$K$11),-2,IF(V148=regle!$B$11,0,IF(AP$1=$AK$1,IF($O148,-1,regle!$B$2-$M148),IF(AO148=-1,-1,AO148+1))))</f>
        <v>12</v>
      </c>
      <c r="AQ148" s="16">
        <f>IF(OR(W148=regle!$J$11,W148=regle!$K$11),-2,IF(W148=regle!$B$11,0,IF(AQ$1=$AK$1,IF($O148,-1,regle!$B$2-$M148),IF(AP148=-1,-1,AP148+1))))</f>
        <v>13</v>
      </c>
      <c r="AR148" s="16">
        <f>IF(OR(X148=regle!$J$11,X148=regle!$K$11),-2,IF(X148=regle!$B$11,0,IF(AR$1=$AK$1,IF($O148,-1,regle!$B$2-$M148),IF(AQ148=-1,-1,AQ148+1))))</f>
        <v>14</v>
      </c>
      <c r="AS148" s="16">
        <f>IF(OR(Y148=regle!$J$11,Y148=regle!$K$11),-2,IF(Y148=regle!$B$11,0,IF(AS$1=$AK$1,IF($O148,-1,regle!$B$2-$M148),IF(AR148=-1,-1,AR148+1))))</f>
        <v>15</v>
      </c>
      <c r="AT148" s="16">
        <f>IF(OR(Z148=regle!$J$11,Z148=regle!$K$11),-2,IF(Z148=regle!$B$11,0,IF(AT$1=$AK$1,IF($O148,-1,regle!$B$2-$M148),IF(AS148=-1,-1,AS148+1))))</f>
        <v>16</v>
      </c>
    </row>
    <row r="149" spans="1:46" x14ac:dyDescent="0.25">
      <c r="A149" t="b">
        <f>modif0!A35</f>
        <v>1</v>
      </c>
      <c r="B149">
        <f>ROW(modif0!B35)</f>
        <v>35</v>
      </c>
      <c r="C149" t="str">
        <f>modif0!D35</f>
        <v>536</v>
      </c>
      <c r="D149" t="str">
        <f>modif0!E35</f>
        <v>LE TUZAN</v>
      </c>
      <c r="E149">
        <f>modif0!F35</f>
        <v>21</v>
      </c>
      <c r="F149" t="str">
        <f>modif0!G35</f>
        <v>METAIRIES DE TABARTON</v>
      </c>
      <c r="G149" t="str">
        <f>modif0!I35</f>
        <v>0A</v>
      </c>
      <c r="H149">
        <f>modif0!J35</f>
        <v>416</v>
      </c>
      <c r="I149" t="str">
        <f>modif0!K35</f>
        <v>e</v>
      </c>
      <c r="J149" s="11">
        <f>modif0!M35</f>
        <v>0.62</v>
      </c>
      <c r="K149" s="11" t="str">
        <f>modif0!P35</f>
        <v>PLA</v>
      </c>
      <c r="L149" t="str">
        <f>modif0!N35</f>
        <v>PM</v>
      </c>
      <c r="M149">
        <f>modif0!Q35</f>
        <v>2017</v>
      </c>
      <c r="N149" t="str">
        <f>modif0!R35</f>
        <v>PLA-PM_2017</v>
      </c>
      <c r="O149" t="b">
        <f>modif0!S35</f>
        <v>0</v>
      </c>
      <c r="P149">
        <v>40</v>
      </c>
      <c r="Q149" t="s">
        <v>1871</v>
      </c>
      <c r="V149" t="s">
        <v>1803</v>
      </c>
      <c r="AA149" s="17">
        <f>IF($A149,$J149*(IF(Q149=regle!$B$11,regle!$B$23*IF(AJ149=-2,1+regle!$B$35,1),
IF(Q149=regle!$C$11,regle!$C$23,
IF(Q149=regle!$D$11,regle!$D$23,
IF(Q149=regle!$E$11,regle!$E$23,
IF(Q149=regle!$F$11,regle!$F$23,
IF(Q149=regle!$G$11,regle!$G$23,
IF(Q149=regle!$H$11,regle!$H$23,
IF(Q149=regle!$I$11,regle!$I$23,
IF(Q149=regle!$J$11,regle!$J$23,
IF(Q149=regle!$K$11,regle!$K$23,0))))))))))))</f>
        <v>-55.8</v>
      </c>
      <c r="AB149" s="17">
        <f>IF($A149,$J149*(IF(R149=regle!$B$11,regle!$B$23*IF(AK149=-2,1+regle!$B$35,1),
IF(R149=regle!$C$11,regle!$C$23,
IF(R149=regle!$D$11,regle!$D$23,
IF(R149=regle!$E$11,regle!$E$23,
IF(R149=regle!$F$11,regle!$F$23,
IF(R149=regle!$G$11,regle!$G$23,
IF(R149=regle!$H$11,regle!$H$23,
IF(R149=regle!$I$11,regle!$I$23,
IF(R149=regle!$J$11,regle!$J$23,
IF(R149=regle!$K$11,regle!$K$23,0))))))))))))</f>
        <v>0</v>
      </c>
      <c r="AC149" s="17">
        <f>IF($A149,$J149*(IF(S149=regle!$B$11,regle!$B$23*IF(AL149=-2,1+regle!$B$35,1),
IF(S149=regle!$C$11,regle!$C$23,
IF(S149=regle!$D$11,regle!$D$23,
IF(S149=regle!$E$11,regle!$E$23,
IF(S149=regle!$F$11,regle!$F$23,
IF(S149=regle!$G$11,regle!$G$23,
IF(S149=regle!$H$11,regle!$H$23,
IF(S149=regle!$I$11,regle!$I$23,
IF(S149=regle!$J$11,regle!$J$23,
IF(S149=regle!$K$11,regle!$K$23,0))))))))))))</f>
        <v>0</v>
      </c>
      <c r="AD149" s="17">
        <f>IF($A149,$J149*(IF(T149=regle!$B$11,regle!$B$23*IF(AM149=-2,1+regle!$B$35,1),
IF(T149=regle!$C$11,regle!$C$23,
IF(T149=regle!$D$11,regle!$D$23,
IF(T149=regle!$E$11,regle!$E$23,
IF(T149=regle!$F$11,regle!$F$23,
IF(T149=regle!$G$11,regle!$G$23,
IF(T149=regle!$H$11,regle!$H$23,
IF(T149=regle!$I$11,regle!$I$23,
IF(T149=regle!$J$11,regle!$J$23,
IF(T149=regle!$K$11,regle!$K$23,0))))))))))))</f>
        <v>0</v>
      </c>
      <c r="AE149" s="17">
        <f>IF($A149,$J149*(IF(U149=regle!$B$11,regle!$B$23*IF(AN149=-2,1+regle!$B$35,1),
IF(U149=regle!$C$11,regle!$C$23,
IF(U149=regle!$D$11,regle!$D$23,
IF(U149=regle!$E$11,regle!$E$23,
IF(U149=regle!$F$11,regle!$F$23,
IF(U149=regle!$G$11,regle!$G$23,
IF(U149=regle!$H$11,regle!$H$23,
IF(U149=regle!$I$11,regle!$I$23,
IF(U149=regle!$J$11,regle!$J$23,
IF(U149=regle!$K$11,regle!$K$23,0))))))))))))</f>
        <v>0</v>
      </c>
      <c r="AF149" s="17">
        <f>IF($A149,$J149*(IF(V149=regle!$B$11,regle!$B$23*IF(AO149=-2,1+regle!$B$35,1),
IF(V149=regle!$C$11,regle!$C$23,
IF(V149=regle!$D$11,regle!$D$23,
IF(V149=regle!$E$11,regle!$E$23,
IF(V149=regle!$F$11,regle!$F$23,
IF(V149=regle!$G$11,regle!$G$23,
IF(V149=regle!$H$11,regle!$H$23,
IF(V149=regle!$I$11,regle!$I$23,
IF(V149=regle!$J$11,regle!$J$23,
IF(V149=regle!$K$11,regle!$K$23,0))))))))))))</f>
        <v>357.12</v>
      </c>
      <c r="AG149" s="17">
        <f>IF($A149,$J149*(IF(W149=regle!$B$11,regle!$B$23*IF(AP149=-2,1+regle!$B$35,1),
IF(W149=regle!$C$11,regle!$C$23,
IF(W149=regle!$D$11,regle!$D$23,
IF(W149=regle!$E$11,regle!$E$23,
IF(W149=regle!$F$11,regle!$F$23,
IF(W149=regle!$G$11,regle!$G$23,
IF(W149=regle!$H$11,regle!$H$23,
IF(W149=regle!$I$11,regle!$I$23,
IF(W149=regle!$J$11,regle!$J$23,
IF(W149=regle!$K$11,regle!$K$23,0))))))))))))</f>
        <v>0</v>
      </c>
      <c r="AH149" s="17">
        <f>IF($A149,$J149*(IF(X149=regle!$B$11,regle!$B$23*IF(AQ149=-2,1+regle!$B$35,1),
IF(X149=regle!$C$11,regle!$C$23,
IF(X149=regle!$D$11,regle!$D$23,
IF(X149=regle!$E$11,regle!$E$23,
IF(X149=regle!$F$11,regle!$F$23,
IF(X149=regle!$G$11,regle!$G$23,
IF(X149=regle!$H$11,regle!$H$23,
IF(X149=regle!$I$11,regle!$I$23,
IF(X149=regle!$J$11,regle!$J$23,
IF(X149=regle!$K$11,regle!$K$23,0))))))))))))</f>
        <v>0</v>
      </c>
      <c r="AI149" s="17">
        <f>IF($A149,$J149*(IF(Y149=regle!$B$11,regle!$B$23*IF(AR149=-2,1+regle!$B$35,1),
IF(Y149=regle!$C$11,regle!$C$23,
IF(Y149=regle!$D$11,regle!$D$23,
IF(Y149=regle!$E$11,regle!$E$23,
IF(Y149=regle!$F$11,regle!$F$23,
IF(Y149=regle!$G$11,regle!$G$23,
IF(Y149=regle!$H$11,regle!$H$23,
IF(Y149=regle!$I$11,regle!$I$23,
IF(Y149=regle!$J$11,regle!$J$23,
IF(Y149=regle!$K$11,regle!$K$23,0))))))))))))</f>
        <v>0</v>
      </c>
      <c r="AJ149" s="17">
        <f>IF($A149,$J149*(IF(Z149=regle!$B$11,regle!$B$23*IF(AS149=-2,1+regle!$B$35,1),
IF(Z149=regle!$C$11,regle!$C$23,
IF(Z149=regle!$D$11,regle!$D$23,
IF(Z149=regle!$E$11,regle!$E$23,
IF(Z149=regle!$F$11,regle!$F$23,
IF(Z149=regle!$G$11,regle!$G$23,
IF(Z149=regle!$H$11,regle!$H$23,
IF(Z149=regle!$I$11,regle!$I$23,
IF(Z149=regle!$J$11,regle!$J$23,
IF(Z149=regle!$K$11,regle!$K$23,0))))))))))))</f>
        <v>0</v>
      </c>
      <c r="AK149" s="16">
        <f>IF(OR(Q149=regle!$J$11,Q149=regle!$K$11),-2,IF(Q149=regle!$B$11,0,IF(AK$1=$AK$1,IF($O149,-1,regle!$B$2-$M149),IF(AJ149=-1,-1,AJ149+1))))</f>
        <v>7</v>
      </c>
      <c r="AL149" s="16">
        <f>IF(OR(R149=regle!$J$11,R149=regle!$K$11),-2,IF(R149=regle!$B$11,0,IF(AL$1=$AK$1,IF($O149,-1,regle!$B$2-$M149),IF(AK149=-1,-1,AK149+1))))</f>
        <v>8</v>
      </c>
      <c r="AM149" s="16">
        <f>IF(OR(S149=regle!$J$11,S149=regle!$K$11),-2,IF(S149=regle!$B$11,0,IF(AM$1=$AK$1,IF($O149,-1,regle!$B$2-$M149),IF(AL149=-1,-1,AL149+1))))</f>
        <v>9</v>
      </c>
      <c r="AN149" s="16">
        <f>IF(OR(T149=regle!$J$11,T149=regle!$K$11),-2,IF(T149=regle!$B$11,0,IF(AN$1=$AK$1,IF($O149,-1,regle!$B$2-$M149),IF(AM149=-1,-1,AM149+1))))</f>
        <v>10</v>
      </c>
      <c r="AO149" s="16">
        <f>IF(OR(U149=regle!$J$11,U149=regle!$K$11),-2,IF(U149=regle!$B$11,0,IF(AO$1=$AK$1,IF($O149,-1,regle!$B$2-$M149),IF(AN149=-1,-1,AN149+1))))</f>
        <v>11</v>
      </c>
      <c r="AP149" s="16">
        <f>IF(OR(V149=regle!$J$11,V149=regle!$K$11),-2,IF(V149=regle!$B$11,0,IF(AP$1=$AK$1,IF($O149,-1,regle!$B$2-$M149),IF(AO149=-1,-1,AO149+1))))</f>
        <v>12</v>
      </c>
      <c r="AQ149" s="16">
        <f>IF(OR(W149=regle!$J$11,W149=regle!$K$11),-2,IF(W149=regle!$B$11,0,IF(AQ$1=$AK$1,IF($O149,-1,regle!$B$2-$M149),IF(AP149=-1,-1,AP149+1))))</f>
        <v>13</v>
      </c>
      <c r="AR149" s="16">
        <f>IF(OR(X149=regle!$J$11,X149=regle!$K$11),-2,IF(X149=regle!$B$11,0,IF(AR$1=$AK$1,IF($O149,-1,regle!$B$2-$M149),IF(AQ149=-1,-1,AQ149+1))))</f>
        <v>14</v>
      </c>
      <c r="AS149" s="16">
        <f>IF(OR(Y149=regle!$J$11,Y149=regle!$K$11),-2,IF(Y149=regle!$B$11,0,IF(AS$1=$AK$1,IF($O149,-1,regle!$B$2-$M149),IF(AR149=-1,-1,AR149+1))))</f>
        <v>15</v>
      </c>
      <c r="AT149" s="16">
        <f>IF(OR(Z149=regle!$J$11,Z149=regle!$K$11),-2,IF(Z149=regle!$B$11,0,IF(AT$1=$AK$1,IF($O149,-1,regle!$B$2-$M149),IF(AS149=-1,-1,AS149+1))))</f>
        <v>16</v>
      </c>
    </row>
    <row r="150" spans="1:46" x14ac:dyDescent="0.25">
      <c r="A150" t="b">
        <f>modif0!A42</f>
        <v>1</v>
      </c>
      <c r="B150">
        <f>ROW(modif0!B42)</f>
        <v>42</v>
      </c>
      <c r="C150" t="str">
        <f>modif0!D42</f>
        <v>536</v>
      </c>
      <c r="D150" t="str">
        <f>modif0!E42</f>
        <v>LE TUZAN</v>
      </c>
      <c r="E150">
        <f>modif0!F42</f>
        <v>21</v>
      </c>
      <c r="F150" t="str">
        <f>modif0!G42</f>
        <v>METAIRIES DE TABARTON</v>
      </c>
      <c r="G150" t="str">
        <f>modif0!I42</f>
        <v>0A</v>
      </c>
      <c r="H150">
        <f>modif0!J42</f>
        <v>421</v>
      </c>
      <c r="I150" t="str">
        <f>modif0!K42</f>
        <v>a</v>
      </c>
      <c r="J150" s="11">
        <f>modif0!M42</f>
        <v>0.38109999999999999</v>
      </c>
      <c r="K150" s="11" t="str">
        <f>modif0!P42</f>
        <v>PLA</v>
      </c>
      <c r="L150" t="str">
        <f>modif0!N42</f>
        <v>PM</v>
      </c>
      <c r="M150">
        <f>modif0!Q42</f>
        <v>2017</v>
      </c>
      <c r="N150" t="str">
        <f>modif0!R42</f>
        <v>PLA-PM_2017</v>
      </c>
      <c r="O150" t="b">
        <f>modif0!S42</f>
        <v>0</v>
      </c>
      <c r="P150">
        <v>40</v>
      </c>
      <c r="Q150" t="s">
        <v>1871</v>
      </c>
      <c r="V150" t="s">
        <v>1803</v>
      </c>
      <c r="AA150" s="17">
        <f>IF($A150,$J150*(IF(Q150=regle!$B$11,regle!$B$23*IF(AJ150=-2,1+regle!$B$35,1),
IF(Q150=regle!$C$11,regle!$C$23,
IF(Q150=regle!$D$11,regle!$D$23,
IF(Q150=regle!$E$11,regle!$E$23,
IF(Q150=regle!$F$11,regle!$F$23,
IF(Q150=regle!$G$11,regle!$G$23,
IF(Q150=regle!$H$11,regle!$H$23,
IF(Q150=regle!$I$11,regle!$I$23,
IF(Q150=regle!$J$11,regle!$J$23,
IF(Q150=regle!$K$11,regle!$K$23,0))))))))))))</f>
        <v>-34.298999999999999</v>
      </c>
      <c r="AB150" s="17">
        <f>IF($A150,$J150*(IF(R150=regle!$B$11,regle!$B$23*IF(AK150=-2,1+regle!$B$35,1),
IF(R150=regle!$C$11,regle!$C$23,
IF(R150=regle!$D$11,regle!$D$23,
IF(R150=regle!$E$11,regle!$E$23,
IF(R150=regle!$F$11,regle!$F$23,
IF(R150=regle!$G$11,regle!$G$23,
IF(R150=regle!$H$11,regle!$H$23,
IF(R150=regle!$I$11,regle!$I$23,
IF(R150=regle!$J$11,regle!$J$23,
IF(R150=regle!$K$11,regle!$K$23,0))))))))))))</f>
        <v>0</v>
      </c>
      <c r="AC150" s="17">
        <f>IF($A150,$J150*(IF(S150=regle!$B$11,regle!$B$23*IF(AL150=-2,1+regle!$B$35,1),
IF(S150=regle!$C$11,regle!$C$23,
IF(S150=regle!$D$11,regle!$D$23,
IF(S150=regle!$E$11,regle!$E$23,
IF(S150=regle!$F$11,regle!$F$23,
IF(S150=regle!$G$11,regle!$G$23,
IF(S150=regle!$H$11,regle!$H$23,
IF(S150=regle!$I$11,regle!$I$23,
IF(S150=regle!$J$11,regle!$J$23,
IF(S150=regle!$K$11,regle!$K$23,0))))))))))))</f>
        <v>0</v>
      </c>
      <c r="AD150" s="17">
        <f>IF($A150,$J150*(IF(T150=regle!$B$11,regle!$B$23*IF(AM150=-2,1+regle!$B$35,1),
IF(T150=regle!$C$11,regle!$C$23,
IF(T150=regle!$D$11,regle!$D$23,
IF(T150=regle!$E$11,regle!$E$23,
IF(T150=regle!$F$11,regle!$F$23,
IF(T150=regle!$G$11,regle!$G$23,
IF(T150=regle!$H$11,regle!$H$23,
IF(T150=regle!$I$11,regle!$I$23,
IF(T150=regle!$J$11,regle!$J$23,
IF(T150=regle!$K$11,regle!$K$23,0))))))))))))</f>
        <v>0</v>
      </c>
      <c r="AE150" s="17">
        <f>IF($A150,$J150*(IF(U150=regle!$B$11,regle!$B$23*IF(AN150=-2,1+regle!$B$35,1),
IF(U150=regle!$C$11,regle!$C$23,
IF(U150=regle!$D$11,regle!$D$23,
IF(U150=regle!$E$11,regle!$E$23,
IF(U150=regle!$F$11,regle!$F$23,
IF(U150=regle!$G$11,regle!$G$23,
IF(U150=regle!$H$11,regle!$H$23,
IF(U150=regle!$I$11,regle!$I$23,
IF(U150=regle!$J$11,regle!$J$23,
IF(U150=regle!$K$11,regle!$K$23,0))))))))))))</f>
        <v>0</v>
      </c>
      <c r="AF150" s="17">
        <f>IF($A150,$J150*(IF(V150=regle!$B$11,regle!$B$23*IF(AO150=-2,1+regle!$B$35,1),
IF(V150=regle!$C$11,regle!$C$23,
IF(V150=regle!$D$11,regle!$D$23,
IF(V150=regle!$E$11,regle!$E$23,
IF(V150=regle!$F$11,regle!$F$23,
IF(V150=regle!$G$11,regle!$G$23,
IF(V150=regle!$H$11,regle!$H$23,
IF(V150=regle!$I$11,regle!$I$23,
IF(V150=regle!$J$11,regle!$J$23,
IF(V150=regle!$K$11,regle!$K$23,0))))))))))))</f>
        <v>219.5136</v>
      </c>
      <c r="AG150" s="17">
        <f>IF($A150,$J150*(IF(W150=regle!$B$11,regle!$B$23*IF(AP150=-2,1+regle!$B$35,1),
IF(W150=regle!$C$11,regle!$C$23,
IF(W150=regle!$D$11,regle!$D$23,
IF(W150=regle!$E$11,regle!$E$23,
IF(W150=regle!$F$11,regle!$F$23,
IF(W150=regle!$G$11,regle!$G$23,
IF(W150=regle!$H$11,regle!$H$23,
IF(W150=regle!$I$11,regle!$I$23,
IF(W150=regle!$J$11,regle!$J$23,
IF(W150=regle!$K$11,regle!$K$23,0))))))))))))</f>
        <v>0</v>
      </c>
      <c r="AH150" s="17">
        <f>IF($A150,$J150*(IF(X150=regle!$B$11,regle!$B$23*IF(AQ150=-2,1+regle!$B$35,1),
IF(X150=regle!$C$11,regle!$C$23,
IF(X150=regle!$D$11,regle!$D$23,
IF(X150=regle!$E$11,regle!$E$23,
IF(X150=regle!$F$11,regle!$F$23,
IF(X150=regle!$G$11,regle!$G$23,
IF(X150=regle!$H$11,regle!$H$23,
IF(X150=regle!$I$11,regle!$I$23,
IF(X150=regle!$J$11,regle!$J$23,
IF(X150=regle!$K$11,regle!$K$23,0))))))))))))</f>
        <v>0</v>
      </c>
      <c r="AI150" s="17">
        <f>IF($A150,$J150*(IF(Y150=regle!$B$11,regle!$B$23*IF(AR150=-2,1+regle!$B$35,1),
IF(Y150=regle!$C$11,regle!$C$23,
IF(Y150=regle!$D$11,regle!$D$23,
IF(Y150=regle!$E$11,regle!$E$23,
IF(Y150=regle!$F$11,regle!$F$23,
IF(Y150=regle!$G$11,regle!$G$23,
IF(Y150=regle!$H$11,regle!$H$23,
IF(Y150=regle!$I$11,regle!$I$23,
IF(Y150=regle!$J$11,regle!$J$23,
IF(Y150=regle!$K$11,regle!$K$23,0))))))))))))</f>
        <v>0</v>
      </c>
      <c r="AJ150" s="17">
        <f>IF($A150,$J150*(IF(Z150=regle!$B$11,regle!$B$23*IF(AS150=-2,1+regle!$B$35,1),
IF(Z150=regle!$C$11,regle!$C$23,
IF(Z150=regle!$D$11,regle!$D$23,
IF(Z150=regle!$E$11,regle!$E$23,
IF(Z150=regle!$F$11,regle!$F$23,
IF(Z150=regle!$G$11,regle!$G$23,
IF(Z150=regle!$H$11,regle!$H$23,
IF(Z150=regle!$I$11,regle!$I$23,
IF(Z150=regle!$J$11,regle!$J$23,
IF(Z150=regle!$K$11,regle!$K$23,0))))))))))))</f>
        <v>0</v>
      </c>
      <c r="AK150" s="16">
        <f>IF(OR(Q150=regle!$J$11,Q150=regle!$K$11),-2,IF(Q150=regle!$B$11,0,IF(AK$1=$AK$1,IF($O150,-1,regle!$B$2-$M150),IF(AJ150=-1,-1,AJ150+1))))</f>
        <v>7</v>
      </c>
      <c r="AL150" s="16">
        <f>IF(OR(R150=regle!$J$11,R150=regle!$K$11),-2,IF(R150=regle!$B$11,0,IF(AL$1=$AK$1,IF($O150,-1,regle!$B$2-$M150),IF(AK150=-1,-1,AK150+1))))</f>
        <v>8</v>
      </c>
      <c r="AM150" s="16">
        <f>IF(OR(S150=regle!$J$11,S150=regle!$K$11),-2,IF(S150=regle!$B$11,0,IF(AM$1=$AK$1,IF($O150,-1,regle!$B$2-$M150),IF(AL150=-1,-1,AL150+1))))</f>
        <v>9</v>
      </c>
      <c r="AN150" s="16">
        <f>IF(OR(T150=regle!$J$11,T150=regle!$K$11),-2,IF(T150=regle!$B$11,0,IF(AN$1=$AK$1,IF($O150,-1,regle!$B$2-$M150),IF(AM150=-1,-1,AM150+1))))</f>
        <v>10</v>
      </c>
      <c r="AO150" s="16">
        <f>IF(OR(U150=regle!$J$11,U150=regle!$K$11),-2,IF(U150=regle!$B$11,0,IF(AO$1=$AK$1,IF($O150,-1,regle!$B$2-$M150),IF(AN150=-1,-1,AN150+1))))</f>
        <v>11</v>
      </c>
      <c r="AP150" s="16">
        <f>IF(OR(V150=regle!$J$11,V150=regle!$K$11),-2,IF(V150=regle!$B$11,0,IF(AP$1=$AK$1,IF($O150,-1,regle!$B$2-$M150),IF(AO150=-1,-1,AO150+1))))</f>
        <v>12</v>
      </c>
      <c r="AQ150" s="16">
        <f>IF(OR(W150=regle!$J$11,W150=regle!$K$11),-2,IF(W150=regle!$B$11,0,IF(AQ$1=$AK$1,IF($O150,-1,regle!$B$2-$M150),IF(AP150=-1,-1,AP150+1))))</f>
        <v>13</v>
      </c>
      <c r="AR150" s="16">
        <f>IF(OR(X150=regle!$J$11,X150=regle!$K$11),-2,IF(X150=regle!$B$11,0,IF(AR$1=$AK$1,IF($O150,-1,regle!$B$2-$M150),IF(AQ150=-1,-1,AQ150+1))))</f>
        <v>14</v>
      </c>
      <c r="AS150" s="16">
        <f>IF(OR(Y150=regle!$J$11,Y150=regle!$K$11),-2,IF(Y150=regle!$B$11,0,IF(AS$1=$AK$1,IF($O150,-1,regle!$B$2-$M150),IF(AR150=-1,-1,AR150+1))))</f>
        <v>15</v>
      </c>
      <c r="AT150" s="16">
        <f>IF(OR(Z150=regle!$J$11,Z150=regle!$K$11),-2,IF(Z150=regle!$B$11,0,IF(AT$1=$AK$1,IF($O150,-1,regle!$B$2-$M150),IF(AS150=-1,-1,AS150+1))))</f>
        <v>16</v>
      </c>
    </row>
    <row r="151" spans="1:46" x14ac:dyDescent="0.25">
      <c r="A151" t="b">
        <f>modif0!A372</f>
        <v>1</v>
      </c>
      <c r="B151">
        <f>ROW(modif0!B372)</f>
        <v>372</v>
      </c>
      <c r="C151" t="str">
        <f>modif0!D372</f>
        <v>200</v>
      </c>
      <c r="D151" t="str">
        <f>modif0!E372</f>
        <v>MOUSTEY</v>
      </c>
      <c r="E151">
        <f>modif0!F372</f>
        <v>18</v>
      </c>
      <c r="F151" t="str">
        <f>modif0!G372</f>
        <v>Quartier de Capsus</v>
      </c>
      <c r="G151" t="str">
        <f>modif0!I372</f>
        <v>0N</v>
      </c>
      <c r="H151">
        <f>modif0!J372</f>
        <v>5</v>
      </c>
      <c r="I151" t="str">
        <f>modif0!K372</f>
        <v/>
      </c>
      <c r="J151" s="11">
        <f>modif0!M372</f>
        <v>0.312</v>
      </c>
      <c r="K151" s="11" t="str">
        <f>modif0!P372</f>
        <v>PLA</v>
      </c>
      <c r="L151" t="str">
        <f>modif0!N372</f>
        <v>PM</v>
      </c>
      <c r="M151">
        <f>modif0!Q372</f>
        <v>2017</v>
      </c>
      <c r="N151" t="str">
        <f>modif0!R372</f>
        <v>PLA-PM_2017</v>
      </c>
      <c r="O151" t="b">
        <f>modif0!S372</f>
        <v>0</v>
      </c>
      <c r="P151">
        <v>40</v>
      </c>
      <c r="Q151" t="s">
        <v>1871</v>
      </c>
      <c r="V151" t="s">
        <v>1803</v>
      </c>
      <c r="AA151" s="17">
        <f>IF($A151,$J151*(IF(Q151=regle!$B$11,regle!$B$23*IF(AJ151=-2,1+regle!$B$35,1),
IF(Q151=regle!$C$11,regle!$C$23,
IF(Q151=regle!$D$11,regle!$D$23,
IF(Q151=regle!$E$11,regle!$E$23,
IF(Q151=regle!$F$11,regle!$F$23,
IF(Q151=regle!$G$11,regle!$G$23,
IF(Q151=regle!$H$11,regle!$H$23,
IF(Q151=regle!$I$11,regle!$I$23,
IF(Q151=regle!$J$11,regle!$J$23,
IF(Q151=regle!$K$11,regle!$K$23,0))))))))))))</f>
        <v>-28.08</v>
      </c>
      <c r="AB151" s="17">
        <f>IF($A151,$J151*(IF(R151=regle!$B$11,regle!$B$23*IF(AK151=-2,1+regle!$B$35,1),
IF(R151=regle!$C$11,regle!$C$23,
IF(R151=regle!$D$11,regle!$D$23,
IF(R151=regle!$E$11,regle!$E$23,
IF(R151=regle!$F$11,regle!$F$23,
IF(R151=regle!$G$11,regle!$G$23,
IF(R151=regle!$H$11,regle!$H$23,
IF(R151=regle!$I$11,regle!$I$23,
IF(R151=regle!$J$11,regle!$J$23,
IF(R151=regle!$K$11,regle!$K$23,0))))))))))))</f>
        <v>0</v>
      </c>
      <c r="AC151" s="17">
        <f>IF($A151,$J151*(IF(S151=regle!$B$11,regle!$B$23*IF(AL151=-2,1+regle!$B$35,1),
IF(S151=regle!$C$11,regle!$C$23,
IF(S151=regle!$D$11,regle!$D$23,
IF(S151=regle!$E$11,regle!$E$23,
IF(S151=regle!$F$11,regle!$F$23,
IF(S151=regle!$G$11,regle!$G$23,
IF(S151=regle!$H$11,regle!$H$23,
IF(S151=regle!$I$11,regle!$I$23,
IF(S151=regle!$J$11,regle!$J$23,
IF(S151=regle!$K$11,regle!$K$23,0))))))))))))</f>
        <v>0</v>
      </c>
      <c r="AD151" s="17">
        <f>IF($A151,$J151*(IF(T151=regle!$B$11,regle!$B$23*IF(AM151=-2,1+regle!$B$35,1),
IF(T151=regle!$C$11,regle!$C$23,
IF(T151=regle!$D$11,regle!$D$23,
IF(T151=regle!$E$11,regle!$E$23,
IF(T151=regle!$F$11,regle!$F$23,
IF(T151=regle!$G$11,regle!$G$23,
IF(T151=regle!$H$11,regle!$H$23,
IF(T151=regle!$I$11,regle!$I$23,
IF(T151=regle!$J$11,regle!$J$23,
IF(T151=regle!$K$11,regle!$K$23,0))))))))))))</f>
        <v>0</v>
      </c>
      <c r="AE151" s="17">
        <f>IF($A151,$J151*(IF(U151=regle!$B$11,regle!$B$23*IF(AN151=-2,1+regle!$B$35,1),
IF(U151=regle!$C$11,regle!$C$23,
IF(U151=regle!$D$11,regle!$D$23,
IF(U151=regle!$E$11,regle!$E$23,
IF(U151=regle!$F$11,regle!$F$23,
IF(U151=regle!$G$11,regle!$G$23,
IF(U151=regle!$H$11,regle!$H$23,
IF(U151=regle!$I$11,regle!$I$23,
IF(U151=regle!$J$11,regle!$J$23,
IF(U151=regle!$K$11,regle!$K$23,0))))))))))))</f>
        <v>0</v>
      </c>
      <c r="AF151" s="17">
        <f>IF($A151,$J151*(IF(V151=regle!$B$11,regle!$B$23*IF(AO151=-2,1+regle!$B$35,1),
IF(V151=regle!$C$11,regle!$C$23,
IF(V151=regle!$D$11,regle!$D$23,
IF(V151=regle!$E$11,regle!$E$23,
IF(V151=regle!$F$11,regle!$F$23,
IF(V151=regle!$G$11,regle!$G$23,
IF(V151=regle!$H$11,regle!$H$23,
IF(V151=regle!$I$11,regle!$I$23,
IF(V151=regle!$J$11,regle!$J$23,
IF(V151=regle!$K$11,regle!$K$23,0))))))))))))</f>
        <v>179.71199999999999</v>
      </c>
      <c r="AG151" s="17">
        <f>IF($A151,$J151*(IF(W151=regle!$B$11,regle!$B$23*IF(AP151=-2,1+regle!$B$35,1),
IF(W151=regle!$C$11,regle!$C$23,
IF(W151=regle!$D$11,regle!$D$23,
IF(W151=regle!$E$11,regle!$E$23,
IF(W151=regle!$F$11,regle!$F$23,
IF(W151=regle!$G$11,regle!$G$23,
IF(W151=regle!$H$11,regle!$H$23,
IF(W151=regle!$I$11,regle!$I$23,
IF(W151=regle!$J$11,regle!$J$23,
IF(W151=regle!$K$11,regle!$K$23,0))))))))))))</f>
        <v>0</v>
      </c>
      <c r="AH151" s="17">
        <f>IF($A151,$J151*(IF(X151=regle!$B$11,regle!$B$23*IF(AQ151=-2,1+regle!$B$35,1),
IF(X151=regle!$C$11,regle!$C$23,
IF(X151=regle!$D$11,regle!$D$23,
IF(X151=regle!$E$11,regle!$E$23,
IF(X151=regle!$F$11,regle!$F$23,
IF(X151=regle!$G$11,regle!$G$23,
IF(X151=regle!$H$11,regle!$H$23,
IF(X151=regle!$I$11,regle!$I$23,
IF(X151=regle!$J$11,regle!$J$23,
IF(X151=regle!$K$11,regle!$K$23,0))))))))))))</f>
        <v>0</v>
      </c>
      <c r="AI151" s="17">
        <f>IF($A151,$J151*(IF(Y151=regle!$B$11,regle!$B$23*IF(AR151=-2,1+regle!$B$35,1),
IF(Y151=regle!$C$11,regle!$C$23,
IF(Y151=regle!$D$11,regle!$D$23,
IF(Y151=regle!$E$11,regle!$E$23,
IF(Y151=regle!$F$11,regle!$F$23,
IF(Y151=regle!$G$11,regle!$G$23,
IF(Y151=regle!$H$11,regle!$H$23,
IF(Y151=regle!$I$11,regle!$I$23,
IF(Y151=regle!$J$11,regle!$J$23,
IF(Y151=regle!$K$11,regle!$K$23,0))))))))))))</f>
        <v>0</v>
      </c>
      <c r="AJ151" s="17">
        <f>IF($A151,$J151*(IF(Z151=regle!$B$11,regle!$B$23*IF(AS151=-2,1+regle!$B$35,1),
IF(Z151=regle!$C$11,regle!$C$23,
IF(Z151=regle!$D$11,regle!$D$23,
IF(Z151=regle!$E$11,regle!$E$23,
IF(Z151=regle!$F$11,regle!$F$23,
IF(Z151=regle!$G$11,regle!$G$23,
IF(Z151=regle!$H$11,regle!$H$23,
IF(Z151=regle!$I$11,regle!$I$23,
IF(Z151=regle!$J$11,regle!$J$23,
IF(Z151=regle!$K$11,regle!$K$23,0))))))))))))</f>
        <v>0</v>
      </c>
      <c r="AK151" s="16">
        <f>IF(OR(Q151=regle!$J$11,Q151=regle!$K$11),-2,IF(Q151=regle!$B$11,0,IF(AK$1=$AK$1,IF($O151,-1,regle!$B$2-$M151),IF(AJ151=-1,-1,AJ151+1))))</f>
        <v>7</v>
      </c>
      <c r="AL151" s="16">
        <f>IF(OR(R151=regle!$J$11,R151=regle!$K$11),-2,IF(R151=regle!$B$11,0,IF(AL$1=$AK$1,IF($O151,-1,regle!$B$2-$M151),IF(AK151=-1,-1,AK151+1))))</f>
        <v>8</v>
      </c>
      <c r="AM151" s="16">
        <f>IF(OR(S151=regle!$J$11,S151=regle!$K$11),-2,IF(S151=regle!$B$11,0,IF(AM$1=$AK$1,IF($O151,-1,regle!$B$2-$M151),IF(AL151=-1,-1,AL151+1))))</f>
        <v>9</v>
      </c>
      <c r="AN151" s="16">
        <f>IF(OR(T151=regle!$J$11,T151=regle!$K$11),-2,IF(T151=regle!$B$11,0,IF(AN$1=$AK$1,IF($O151,-1,regle!$B$2-$M151),IF(AM151=-1,-1,AM151+1))))</f>
        <v>10</v>
      </c>
      <c r="AO151" s="16">
        <f>IF(OR(U151=regle!$J$11,U151=regle!$K$11),-2,IF(U151=regle!$B$11,0,IF(AO$1=$AK$1,IF($O151,-1,regle!$B$2-$M151),IF(AN151=-1,-1,AN151+1))))</f>
        <v>11</v>
      </c>
      <c r="AP151" s="16">
        <f>IF(OR(V151=regle!$J$11,V151=regle!$K$11),-2,IF(V151=regle!$B$11,0,IF(AP$1=$AK$1,IF($O151,-1,regle!$B$2-$M151),IF(AO151=-1,-1,AO151+1))))</f>
        <v>12</v>
      </c>
      <c r="AQ151" s="16">
        <f>IF(OR(W151=regle!$J$11,W151=regle!$K$11),-2,IF(W151=regle!$B$11,0,IF(AQ$1=$AK$1,IF($O151,-1,regle!$B$2-$M151),IF(AP151=-1,-1,AP151+1))))</f>
        <v>13</v>
      </c>
      <c r="AR151" s="16">
        <f>IF(OR(X151=regle!$J$11,X151=regle!$K$11),-2,IF(X151=regle!$B$11,0,IF(AR$1=$AK$1,IF($O151,-1,regle!$B$2-$M151),IF(AQ151=-1,-1,AQ151+1))))</f>
        <v>14</v>
      </c>
      <c r="AS151" s="16">
        <f>IF(OR(Y151=regle!$J$11,Y151=regle!$K$11),-2,IF(Y151=regle!$B$11,0,IF(AS$1=$AK$1,IF($O151,-1,regle!$B$2-$M151),IF(AR151=-1,-1,AR151+1))))</f>
        <v>15</v>
      </c>
      <c r="AT151" s="16">
        <f>IF(OR(Z151=regle!$J$11,Z151=regle!$K$11),-2,IF(Z151=regle!$B$11,0,IF(AT$1=$AK$1,IF($O151,-1,regle!$B$2-$M151),IF(AS151=-1,-1,AS151+1))))</f>
        <v>16</v>
      </c>
    </row>
    <row r="152" spans="1:46" x14ac:dyDescent="0.25">
      <c r="A152" t="b">
        <f>modif0!A28</f>
        <v>1</v>
      </c>
      <c r="B152">
        <f>ROW(modif0!B28)</f>
        <v>28</v>
      </c>
      <c r="C152" t="str">
        <f>modif0!D28</f>
        <v>536</v>
      </c>
      <c r="D152" t="str">
        <f>modif0!E28</f>
        <v>LE TUZAN</v>
      </c>
      <c r="E152">
        <f>modif0!F28</f>
        <v>21</v>
      </c>
      <c r="F152" t="str">
        <f>modif0!G28</f>
        <v>METAIRIES DE TABARTON</v>
      </c>
      <c r="G152" t="str">
        <f>modif0!I28</f>
        <v>0A</v>
      </c>
      <c r="H152">
        <f>modif0!J28</f>
        <v>408</v>
      </c>
      <c r="I152" t="str">
        <f>modif0!K28</f>
        <v>k</v>
      </c>
      <c r="J152" s="11">
        <f>modif0!M28</f>
        <v>0.31</v>
      </c>
      <c r="K152" s="11" t="str">
        <f>modif0!P28</f>
        <v>PLA</v>
      </c>
      <c r="L152" t="str">
        <f>modif0!N28</f>
        <v>PM</v>
      </c>
      <c r="M152">
        <f>modif0!Q28</f>
        <v>2017</v>
      </c>
      <c r="N152" t="str">
        <f>modif0!R28</f>
        <v>PLA-PM_2017</v>
      </c>
      <c r="O152" t="b">
        <f>modif0!S28</f>
        <v>0</v>
      </c>
      <c r="P152">
        <v>40</v>
      </c>
      <c r="Q152" t="s">
        <v>1871</v>
      </c>
      <c r="V152" t="s">
        <v>1803</v>
      </c>
      <c r="AA152" s="17">
        <f>IF($A152,$J152*(IF(Q152=regle!$B$11,regle!$B$23*IF(AJ152=-2,1+regle!$B$35,1),
IF(Q152=regle!$C$11,regle!$C$23,
IF(Q152=regle!$D$11,regle!$D$23,
IF(Q152=regle!$E$11,regle!$E$23,
IF(Q152=regle!$F$11,regle!$F$23,
IF(Q152=regle!$G$11,regle!$G$23,
IF(Q152=regle!$H$11,regle!$H$23,
IF(Q152=regle!$I$11,regle!$I$23,
IF(Q152=regle!$J$11,regle!$J$23,
IF(Q152=regle!$K$11,regle!$K$23,0))))))))))))</f>
        <v>-27.9</v>
      </c>
      <c r="AB152" s="17">
        <f>IF($A152,$J152*(IF(R152=regle!$B$11,regle!$B$23*IF(AK152=-2,1+regle!$B$35,1),
IF(R152=regle!$C$11,regle!$C$23,
IF(R152=regle!$D$11,regle!$D$23,
IF(R152=regle!$E$11,regle!$E$23,
IF(R152=regle!$F$11,regle!$F$23,
IF(R152=regle!$G$11,regle!$G$23,
IF(R152=regle!$H$11,regle!$H$23,
IF(R152=regle!$I$11,regle!$I$23,
IF(R152=regle!$J$11,regle!$J$23,
IF(R152=regle!$K$11,regle!$K$23,0))))))))))))</f>
        <v>0</v>
      </c>
      <c r="AC152" s="17">
        <f>IF($A152,$J152*(IF(S152=regle!$B$11,regle!$B$23*IF(AL152=-2,1+regle!$B$35,1),
IF(S152=regle!$C$11,regle!$C$23,
IF(S152=regle!$D$11,regle!$D$23,
IF(S152=regle!$E$11,regle!$E$23,
IF(S152=regle!$F$11,regle!$F$23,
IF(S152=regle!$G$11,regle!$G$23,
IF(S152=regle!$H$11,regle!$H$23,
IF(S152=regle!$I$11,regle!$I$23,
IF(S152=regle!$J$11,regle!$J$23,
IF(S152=regle!$K$11,regle!$K$23,0))))))))))))</f>
        <v>0</v>
      </c>
      <c r="AD152" s="17">
        <f>IF($A152,$J152*(IF(T152=regle!$B$11,regle!$B$23*IF(AM152=-2,1+regle!$B$35,1),
IF(T152=regle!$C$11,regle!$C$23,
IF(T152=regle!$D$11,regle!$D$23,
IF(T152=regle!$E$11,regle!$E$23,
IF(T152=regle!$F$11,regle!$F$23,
IF(T152=regle!$G$11,regle!$G$23,
IF(T152=regle!$H$11,regle!$H$23,
IF(T152=regle!$I$11,regle!$I$23,
IF(T152=regle!$J$11,regle!$J$23,
IF(T152=regle!$K$11,regle!$K$23,0))))))))))))</f>
        <v>0</v>
      </c>
      <c r="AE152" s="17">
        <f>IF($A152,$J152*(IF(U152=regle!$B$11,regle!$B$23*IF(AN152=-2,1+regle!$B$35,1),
IF(U152=regle!$C$11,regle!$C$23,
IF(U152=regle!$D$11,regle!$D$23,
IF(U152=regle!$E$11,regle!$E$23,
IF(U152=regle!$F$11,regle!$F$23,
IF(U152=regle!$G$11,regle!$G$23,
IF(U152=regle!$H$11,regle!$H$23,
IF(U152=regle!$I$11,regle!$I$23,
IF(U152=regle!$J$11,regle!$J$23,
IF(U152=regle!$K$11,regle!$K$23,0))))))))))))</f>
        <v>0</v>
      </c>
      <c r="AF152" s="17">
        <f>IF($A152,$J152*(IF(V152=regle!$B$11,regle!$B$23*IF(AO152=-2,1+regle!$B$35,1),
IF(V152=regle!$C$11,regle!$C$23,
IF(V152=regle!$D$11,regle!$D$23,
IF(V152=regle!$E$11,regle!$E$23,
IF(V152=regle!$F$11,regle!$F$23,
IF(V152=regle!$G$11,regle!$G$23,
IF(V152=regle!$H$11,regle!$H$23,
IF(V152=regle!$I$11,regle!$I$23,
IF(V152=regle!$J$11,regle!$J$23,
IF(V152=regle!$K$11,regle!$K$23,0))))))))))))</f>
        <v>178.56</v>
      </c>
      <c r="AG152" s="17">
        <f>IF($A152,$J152*(IF(W152=regle!$B$11,regle!$B$23*IF(AP152=-2,1+regle!$B$35,1),
IF(W152=regle!$C$11,regle!$C$23,
IF(W152=regle!$D$11,regle!$D$23,
IF(W152=regle!$E$11,regle!$E$23,
IF(W152=regle!$F$11,regle!$F$23,
IF(W152=regle!$G$11,regle!$G$23,
IF(W152=regle!$H$11,regle!$H$23,
IF(W152=regle!$I$11,regle!$I$23,
IF(W152=regle!$J$11,regle!$J$23,
IF(W152=regle!$K$11,regle!$K$23,0))))))))))))</f>
        <v>0</v>
      </c>
      <c r="AH152" s="17">
        <f>IF($A152,$J152*(IF(X152=regle!$B$11,regle!$B$23*IF(AQ152=-2,1+regle!$B$35,1),
IF(X152=regle!$C$11,regle!$C$23,
IF(X152=regle!$D$11,regle!$D$23,
IF(X152=regle!$E$11,regle!$E$23,
IF(X152=regle!$F$11,regle!$F$23,
IF(X152=regle!$G$11,regle!$G$23,
IF(X152=regle!$H$11,regle!$H$23,
IF(X152=regle!$I$11,regle!$I$23,
IF(X152=regle!$J$11,regle!$J$23,
IF(X152=regle!$K$11,regle!$K$23,0))))))))))))</f>
        <v>0</v>
      </c>
      <c r="AI152" s="17">
        <f>IF($A152,$J152*(IF(Y152=regle!$B$11,regle!$B$23*IF(AR152=-2,1+regle!$B$35,1),
IF(Y152=regle!$C$11,regle!$C$23,
IF(Y152=regle!$D$11,regle!$D$23,
IF(Y152=regle!$E$11,regle!$E$23,
IF(Y152=regle!$F$11,regle!$F$23,
IF(Y152=regle!$G$11,regle!$G$23,
IF(Y152=regle!$H$11,regle!$H$23,
IF(Y152=regle!$I$11,regle!$I$23,
IF(Y152=regle!$J$11,regle!$J$23,
IF(Y152=regle!$K$11,regle!$K$23,0))))))))))))</f>
        <v>0</v>
      </c>
      <c r="AJ152" s="17">
        <f>IF($A152,$J152*(IF(Z152=regle!$B$11,regle!$B$23*IF(AS152=-2,1+regle!$B$35,1),
IF(Z152=regle!$C$11,regle!$C$23,
IF(Z152=regle!$D$11,regle!$D$23,
IF(Z152=regle!$E$11,regle!$E$23,
IF(Z152=regle!$F$11,regle!$F$23,
IF(Z152=regle!$G$11,regle!$G$23,
IF(Z152=regle!$H$11,regle!$H$23,
IF(Z152=regle!$I$11,regle!$I$23,
IF(Z152=regle!$J$11,regle!$J$23,
IF(Z152=regle!$K$11,regle!$K$23,0))))))))))))</f>
        <v>0</v>
      </c>
      <c r="AK152" s="16">
        <f>IF(OR(Q152=regle!$J$11,Q152=regle!$K$11),-2,IF(Q152=regle!$B$11,0,IF(AK$1=$AK$1,IF($O152,-1,regle!$B$2-$M152),IF(AJ152=-1,-1,AJ152+1))))</f>
        <v>7</v>
      </c>
      <c r="AL152" s="16">
        <f>IF(OR(R152=regle!$J$11,R152=regle!$K$11),-2,IF(R152=regle!$B$11,0,IF(AL$1=$AK$1,IF($O152,-1,regle!$B$2-$M152),IF(AK152=-1,-1,AK152+1))))</f>
        <v>8</v>
      </c>
      <c r="AM152" s="16">
        <f>IF(OR(S152=regle!$J$11,S152=regle!$K$11),-2,IF(S152=regle!$B$11,0,IF(AM$1=$AK$1,IF($O152,-1,regle!$B$2-$M152),IF(AL152=-1,-1,AL152+1))))</f>
        <v>9</v>
      </c>
      <c r="AN152" s="16">
        <f>IF(OR(T152=regle!$J$11,T152=regle!$K$11),-2,IF(T152=regle!$B$11,0,IF(AN$1=$AK$1,IF($O152,-1,regle!$B$2-$M152),IF(AM152=-1,-1,AM152+1))))</f>
        <v>10</v>
      </c>
      <c r="AO152" s="16">
        <f>IF(OR(U152=regle!$J$11,U152=regle!$K$11),-2,IF(U152=regle!$B$11,0,IF(AO$1=$AK$1,IF($O152,-1,regle!$B$2-$M152),IF(AN152=-1,-1,AN152+1))))</f>
        <v>11</v>
      </c>
      <c r="AP152" s="16">
        <f>IF(OR(V152=regle!$J$11,V152=regle!$K$11),-2,IF(V152=regle!$B$11,0,IF(AP$1=$AK$1,IF($O152,-1,regle!$B$2-$M152),IF(AO152=-1,-1,AO152+1))))</f>
        <v>12</v>
      </c>
      <c r="AQ152" s="16">
        <f>IF(OR(W152=regle!$J$11,W152=regle!$K$11),-2,IF(W152=regle!$B$11,0,IF(AQ$1=$AK$1,IF($O152,-1,regle!$B$2-$M152),IF(AP152=-1,-1,AP152+1))))</f>
        <v>13</v>
      </c>
      <c r="AR152" s="16">
        <f>IF(OR(X152=regle!$J$11,X152=regle!$K$11),-2,IF(X152=regle!$B$11,0,IF(AR$1=$AK$1,IF($O152,-1,regle!$B$2-$M152),IF(AQ152=-1,-1,AQ152+1))))</f>
        <v>14</v>
      </c>
      <c r="AS152" s="16">
        <f>IF(OR(Y152=regle!$J$11,Y152=regle!$K$11),-2,IF(Y152=regle!$B$11,0,IF(AS$1=$AK$1,IF($O152,-1,regle!$B$2-$M152),IF(AR152=-1,-1,AR152+1))))</f>
        <v>15</v>
      </c>
      <c r="AT152" s="16">
        <f>IF(OR(Z152=regle!$J$11,Z152=regle!$K$11),-2,IF(Z152=regle!$B$11,0,IF(AT$1=$AK$1,IF($O152,-1,regle!$B$2-$M152),IF(AS152=-1,-1,AS152+1))))</f>
        <v>16</v>
      </c>
    </row>
    <row r="153" spans="1:46" x14ac:dyDescent="0.25">
      <c r="A153" t="b">
        <f>modif0!A88</f>
        <v>1</v>
      </c>
      <c r="B153">
        <f>ROW(modif0!B88)</f>
        <v>88</v>
      </c>
      <c r="C153" t="str">
        <f>modif0!D88</f>
        <v>536</v>
      </c>
      <c r="D153" t="str">
        <f>modif0!E88</f>
        <v>LE TUZAN</v>
      </c>
      <c r="E153">
        <f>modif0!F88</f>
        <v>21</v>
      </c>
      <c r="F153" t="str">
        <f>modif0!G88</f>
        <v>METAIRIES DE TABARTON</v>
      </c>
      <c r="G153" t="str">
        <f>modif0!I88</f>
        <v>0A</v>
      </c>
      <c r="H153">
        <f>modif0!J88</f>
        <v>847</v>
      </c>
      <c r="I153" t="str">
        <f>modif0!K88</f>
        <v>d</v>
      </c>
      <c r="J153" s="11">
        <f>modif0!M88</f>
        <v>0.21329999999999999</v>
      </c>
      <c r="K153" s="11" t="str">
        <f>modif0!P88</f>
        <v>PLA</v>
      </c>
      <c r="L153" t="str">
        <f>modif0!N88</f>
        <v>PM</v>
      </c>
      <c r="M153">
        <f>modif0!Q88</f>
        <v>2017</v>
      </c>
      <c r="N153" t="str">
        <f>modif0!R88</f>
        <v>PLA-PM_2017</v>
      </c>
      <c r="O153" t="b">
        <f>modif0!S88</f>
        <v>0</v>
      </c>
      <c r="P153">
        <v>40</v>
      </c>
      <c r="Q153" t="s">
        <v>1871</v>
      </c>
      <c r="V153" t="s">
        <v>1803</v>
      </c>
      <c r="AA153" s="17">
        <f>IF($A153,$J153*(IF(Q153=regle!$B$11,regle!$B$23*IF(AJ153=-2,1+regle!$B$35,1),
IF(Q153=regle!$C$11,regle!$C$23,
IF(Q153=regle!$D$11,regle!$D$23,
IF(Q153=regle!$E$11,regle!$E$23,
IF(Q153=regle!$F$11,regle!$F$23,
IF(Q153=regle!$G$11,regle!$G$23,
IF(Q153=regle!$H$11,regle!$H$23,
IF(Q153=regle!$I$11,regle!$I$23,
IF(Q153=regle!$J$11,regle!$J$23,
IF(Q153=regle!$K$11,regle!$K$23,0))))))))))))</f>
        <v>-19.196999999999999</v>
      </c>
      <c r="AB153" s="17">
        <f>IF($A153,$J153*(IF(R153=regle!$B$11,regle!$B$23*IF(AK153=-2,1+regle!$B$35,1),
IF(R153=regle!$C$11,regle!$C$23,
IF(R153=regle!$D$11,regle!$D$23,
IF(R153=regle!$E$11,regle!$E$23,
IF(R153=regle!$F$11,regle!$F$23,
IF(R153=regle!$G$11,regle!$G$23,
IF(R153=regle!$H$11,regle!$H$23,
IF(R153=regle!$I$11,regle!$I$23,
IF(R153=regle!$J$11,regle!$J$23,
IF(R153=regle!$K$11,regle!$K$23,0))))))))))))</f>
        <v>0</v>
      </c>
      <c r="AC153" s="17">
        <f>IF($A153,$J153*(IF(S153=regle!$B$11,regle!$B$23*IF(AL153=-2,1+regle!$B$35,1),
IF(S153=regle!$C$11,regle!$C$23,
IF(S153=regle!$D$11,regle!$D$23,
IF(S153=regle!$E$11,regle!$E$23,
IF(S153=regle!$F$11,regle!$F$23,
IF(S153=regle!$G$11,regle!$G$23,
IF(S153=regle!$H$11,regle!$H$23,
IF(S153=regle!$I$11,regle!$I$23,
IF(S153=regle!$J$11,regle!$J$23,
IF(S153=regle!$K$11,regle!$K$23,0))))))))))))</f>
        <v>0</v>
      </c>
      <c r="AD153" s="17">
        <f>IF($A153,$J153*(IF(T153=regle!$B$11,regle!$B$23*IF(AM153=-2,1+regle!$B$35,1),
IF(T153=regle!$C$11,regle!$C$23,
IF(T153=regle!$D$11,regle!$D$23,
IF(T153=regle!$E$11,regle!$E$23,
IF(T153=regle!$F$11,regle!$F$23,
IF(T153=regle!$G$11,regle!$G$23,
IF(T153=regle!$H$11,regle!$H$23,
IF(T153=regle!$I$11,regle!$I$23,
IF(T153=regle!$J$11,regle!$J$23,
IF(T153=regle!$K$11,regle!$K$23,0))))))))))))</f>
        <v>0</v>
      </c>
      <c r="AE153" s="17">
        <f>IF($A153,$J153*(IF(U153=regle!$B$11,regle!$B$23*IF(AN153=-2,1+regle!$B$35,1),
IF(U153=regle!$C$11,regle!$C$23,
IF(U153=regle!$D$11,regle!$D$23,
IF(U153=regle!$E$11,regle!$E$23,
IF(U153=regle!$F$11,regle!$F$23,
IF(U153=regle!$G$11,regle!$G$23,
IF(U153=regle!$H$11,regle!$H$23,
IF(U153=regle!$I$11,regle!$I$23,
IF(U153=regle!$J$11,regle!$J$23,
IF(U153=regle!$K$11,regle!$K$23,0))))))))))))</f>
        <v>0</v>
      </c>
      <c r="AF153" s="17">
        <f>IF($A153,$J153*(IF(V153=regle!$B$11,regle!$B$23*IF(AO153=-2,1+regle!$B$35,1),
IF(V153=regle!$C$11,regle!$C$23,
IF(V153=regle!$D$11,regle!$D$23,
IF(V153=regle!$E$11,regle!$E$23,
IF(V153=regle!$F$11,regle!$F$23,
IF(V153=regle!$G$11,regle!$G$23,
IF(V153=regle!$H$11,regle!$H$23,
IF(V153=regle!$I$11,regle!$I$23,
IF(V153=regle!$J$11,regle!$J$23,
IF(V153=regle!$K$11,regle!$K$23,0))))))))))))</f>
        <v>122.8608</v>
      </c>
      <c r="AG153" s="17">
        <f>IF($A153,$J153*(IF(W153=regle!$B$11,regle!$B$23*IF(AP153=-2,1+regle!$B$35,1),
IF(W153=regle!$C$11,regle!$C$23,
IF(W153=regle!$D$11,regle!$D$23,
IF(W153=regle!$E$11,regle!$E$23,
IF(W153=regle!$F$11,regle!$F$23,
IF(W153=regle!$G$11,regle!$G$23,
IF(W153=regle!$H$11,regle!$H$23,
IF(W153=regle!$I$11,regle!$I$23,
IF(W153=regle!$J$11,regle!$J$23,
IF(W153=regle!$K$11,regle!$K$23,0))))))))))))</f>
        <v>0</v>
      </c>
      <c r="AH153" s="17">
        <f>IF($A153,$J153*(IF(X153=regle!$B$11,regle!$B$23*IF(AQ153=-2,1+regle!$B$35,1),
IF(X153=regle!$C$11,regle!$C$23,
IF(X153=regle!$D$11,regle!$D$23,
IF(X153=regle!$E$11,regle!$E$23,
IF(X153=regle!$F$11,regle!$F$23,
IF(X153=regle!$G$11,regle!$G$23,
IF(X153=regle!$H$11,regle!$H$23,
IF(X153=regle!$I$11,regle!$I$23,
IF(X153=regle!$J$11,regle!$J$23,
IF(X153=regle!$K$11,regle!$K$23,0))))))))))))</f>
        <v>0</v>
      </c>
      <c r="AI153" s="17">
        <f>IF($A153,$J153*(IF(Y153=regle!$B$11,regle!$B$23*IF(AR153=-2,1+regle!$B$35,1),
IF(Y153=regle!$C$11,regle!$C$23,
IF(Y153=regle!$D$11,regle!$D$23,
IF(Y153=regle!$E$11,regle!$E$23,
IF(Y153=regle!$F$11,regle!$F$23,
IF(Y153=regle!$G$11,regle!$G$23,
IF(Y153=regle!$H$11,regle!$H$23,
IF(Y153=regle!$I$11,regle!$I$23,
IF(Y153=regle!$J$11,regle!$J$23,
IF(Y153=regle!$K$11,regle!$K$23,0))))))))))))</f>
        <v>0</v>
      </c>
      <c r="AJ153" s="17">
        <f>IF($A153,$J153*(IF(Z153=regle!$B$11,regle!$B$23*IF(AS153=-2,1+regle!$B$35,1),
IF(Z153=regle!$C$11,regle!$C$23,
IF(Z153=regle!$D$11,regle!$D$23,
IF(Z153=regle!$E$11,regle!$E$23,
IF(Z153=regle!$F$11,regle!$F$23,
IF(Z153=regle!$G$11,regle!$G$23,
IF(Z153=regle!$H$11,regle!$H$23,
IF(Z153=regle!$I$11,regle!$I$23,
IF(Z153=regle!$J$11,regle!$J$23,
IF(Z153=regle!$K$11,regle!$K$23,0))))))))))))</f>
        <v>0</v>
      </c>
      <c r="AK153" s="16">
        <f>IF(OR(Q153=regle!$J$11,Q153=regle!$K$11),-2,IF(Q153=regle!$B$11,0,IF(AK$1=$AK$1,IF($O153,-1,regle!$B$2-$M153),IF(AJ153=-1,-1,AJ153+1))))</f>
        <v>7</v>
      </c>
      <c r="AL153" s="16">
        <f>IF(OR(R153=regle!$J$11,R153=regle!$K$11),-2,IF(R153=regle!$B$11,0,IF(AL$1=$AK$1,IF($O153,-1,regle!$B$2-$M153),IF(AK153=-1,-1,AK153+1))))</f>
        <v>8</v>
      </c>
      <c r="AM153" s="16">
        <f>IF(OR(S153=regle!$J$11,S153=regle!$K$11),-2,IF(S153=regle!$B$11,0,IF(AM$1=$AK$1,IF($O153,-1,regle!$B$2-$M153),IF(AL153=-1,-1,AL153+1))))</f>
        <v>9</v>
      </c>
      <c r="AN153" s="16">
        <f>IF(OR(T153=regle!$J$11,T153=regle!$K$11),-2,IF(T153=regle!$B$11,0,IF(AN$1=$AK$1,IF($O153,-1,regle!$B$2-$M153),IF(AM153=-1,-1,AM153+1))))</f>
        <v>10</v>
      </c>
      <c r="AO153" s="16">
        <f>IF(OR(U153=regle!$J$11,U153=regle!$K$11),-2,IF(U153=regle!$B$11,0,IF(AO$1=$AK$1,IF($O153,-1,regle!$B$2-$M153),IF(AN153=-1,-1,AN153+1))))</f>
        <v>11</v>
      </c>
      <c r="AP153" s="16">
        <f>IF(OR(V153=regle!$J$11,V153=regle!$K$11),-2,IF(V153=regle!$B$11,0,IF(AP$1=$AK$1,IF($O153,-1,regle!$B$2-$M153),IF(AO153=-1,-1,AO153+1))))</f>
        <v>12</v>
      </c>
      <c r="AQ153" s="16">
        <f>IF(OR(W153=regle!$J$11,W153=regle!$K$11),-2,IF(W153=regle!$B$11,0,IF(AQ$1=$AK$1,IF($O153,-1,regle!$B$2-$M153),IF(AP153=-1,-1,AP153+1))))</f>
        <v>13</v>
      </c>
      <c r="AR153" s="16">
        <f>IF(OR(X153=regle!$J$11,X153=regle!$K$11),-2,IF(X153=regle!$B$11,0,IF(AR$1=$AK$1,IF($O153,-1,regle!$B$2-$M153),IF(AQ153=-1,-1,AQ153+1))))</f>
        <v>14</v>
      </c>
      <c r="AS153" s="16">
        <f>IF(OR(Y153=regle!$J$11,Y153=regle!$K$11),-2,IF(Y153=regle!$B$11,0,IF(AS$1=$AK$1,IF($O153,-1,regle!$B$2-$M153),IF(AR153=-1,-1,AR153+1))))</f>
        <v>15</v>
      </c>
      <c r="AT153" s="16">
        <f>IF(OR(Z153=regle!$J$11,Z153=regle!$K$11),-2,IF(Z153=regle!$B$11,0,IF(AT$1=$AK$1,IF($O153,-1,regle!$B$2-$M153),IF(AS153=-1,-1,AS153+1))))</f>
        <v>16</v>
      </c>
    </row>
    <row r="154" spans="1:46" x14ac:dyDescent="0.25">
      <c r="A154" t="b">
        <f>modif0!A52</f>
        <v>1</v>
      </c>
      <c r="B154">
        <f>ROW(modif0!B52)</f>
        <v>52</v>
      </c>
      <c r="C154" t="str">
        <f>modif0!D52</f>
        <v>536</v>
      </c>
      <c r="D154" t="str">
        <f>modif0!E52</f>
        <v>LE TUZAN</v>
      </c>
      <c r="E154">
        <f>modif0!F52</f>
        <v>21</v>
      </c>
      <c r="F154" t="str">
        <f>modif0!G52</f>
        <v>METAIRIES DE TABARTON</v>
      </c>
      <c r="G154" t="str">
        <f>modif0!I52</f>
        <v>0A</v>
      </c>
      <c r="H154">
        <f>modif0!J52</f>
        <v>462</v>
      </c>
      <c r="I154" t="str">
        <f>modif0!K52</f>
        <v>aj</v>
      </c>
      <c r="J154" s="11">
        <f>modif0!M52</f>
        <v>0.1409</v>
      </c>
      <c r="K154" s="11" t="str">
        <f>modif0!P52</f>
        <v>PLA</v>
      </c>
      <c r="L154" t="str">
        <f>modif0!N52</f>
        <v>PM</v>
      </c>
      <c r="M154">
        <f>modif0!Q52</f>
        <v>2017</v>
      </c>
      <c r="N154" t="str">
        <f>modif0!R52</f>
        <v>PLA-PM_2017</v>
      </c>
      <c r="O154" t="b">
        <f>modif0!S52</f>
        <v>0</v>
      </c>
      <c r="P154">
        <v>40</v>
      </c>
      <c r="Q154" t="s">
        <v>1871</v>
      </c>
      <c r="V154" t="s">
        <v>1803</v>
      </c>
      <c r="AA154" s="17">
        <f>IF($A154,$J154*(IF(Q154=regle!$B$11,regle!$B$23*IF(AJ154=-2,1+regle!$B$35,1),
IF(Q154=regle!$C$11,regle!$C$23,
IF(Q154=regle!$D$11,regle!$D$23,
IF(Q154=regle!$E$11,regle!$E$23,
IF(Q154=regle!$F$11,regle!$F$23,
IF(Q154=regle!$G$11,regle!$G$23,
IF(Q154=regle!$H$11,regle!$H$23,
IF(Q154=regle!$I$11,regle!$I$23,
IF(Q154=regle!$J$11,regle!$J$23,
IF(Q154=regle!$K$11,regle!$K$23,0))))))))))))</f>
        <v>-12.680999999999999</v>
      </c>
      <c r="AB154" s="17">
        <f>IF($A154,$J154*(IF(R154=regle!$B$11,regle!$B$23*IF(AK154=-2,1+regle!$B$35,1),
IF(R154=regle!$C$11,regle!$C$23,
IF(R154=regle!$D$11,regle!$D$23,
IF(R154=regle!$E$11,regle!$E$23,
IF(R154=regle!$F$11,regle!$F$23,
IF(R154=regle!$G$11,regle!$G$23,
IF(R154=regle!$H$11,regle!$H$23,
IF(R154=regle!$I$11,regle!$I$23,
IF(R154=regle!$J$11,regle!$J$23,
IF(R154=regle!$K$11,regle!$K$23,0))))))))))))</f>
        <v>0</v>
      </c>
      <c r="AC154" s="17">
        <f>IF($A154,$J154*(IF(S154=regle!$B$11,regle!$B$23*IF(AL154=-2,1+regle!$B$35,1),
IF(S154=regle!$C$11,regle!$C$23,
IF(S154=regle!$D$11,regle!$D$23,
IF(S154=regle!$E$11,regle!$E$23,
IF(S154=regle!$F$11,regle!$F$23,
IF(S154=regle!$G$11,regle!$G$23,
IF(S154=regle!$H$11,regle!$H$23,
IF(S154=regle!$I$11,regle!$I$23,
IF(S154=regle!$J$11,regle!$J$23,
IF(S154=regle!$K$11,regle!$K$23,0))))))))))))</f>
        <v>0</v>
      </c>
      <c r="AD154" s="17">
        <f>IF($A154,$J154*(IF(T154=regle!$B$11,regle!$B$23*IF(AM154=-2,1+regle!$B$35,1),
IF(T154=regle!$C$11,regle!$C$23,
IF(T154=regle!$D$11,regle!$D$23,
IF(T154=regle!$E$11,regle!$E$23,
IF(T154=regle!$F$11,regle!$F$23,
IF(T154=regle!$G$11,regle!$G$23,
IF(T154=regle!$H$11,regle!$H$23,
IF(T154=regle!$I$11,regle!$I$23,
IF(T154=regle!$J$11,regle!$J$23,
IF(T154=regle!$K$11,regle!$K$23,0))))))))))))</f>
        <v>0</v>
      </c>
      <c r="AE154" s="17">
        <f>IF($A154,$J154*(IF(U154=regle!$B$11,regle!$B$23*IF(AN154=-2,1+regle!$B$35,1),
IF(U154=regle!$C$11,regle!$C$23,
IF(U154=regle!$D$11,regle!$D$23,
IF(U154=regle!$E$11,regle!$E$23,
IF(U154=regle!$F$11,regle!$F$23,
IF(U154=regle!$G$11,regle!$G$23,
IF(U154=regle!$H$11,regle!$H$23,
IF(U154=regle!$I$11,regle!$I$23,
IF(U154=regle!$J$11,regle!$J$23,
IF(U154=regle!$K$11,regle!$K$23,0))))))))))))</f>
        <v>0</v>
      </c>
      <c r="AF154" s="17">
        <f>IF($A154,$J154*(IF(V154=regle!$B$11,regle!$B$23*IF(AO154=-2,1+regle!$B$35,1),
IF(V154=regle!$C$11,regle!$C$23,
IF(V154=regle!$D$11,regle!$D$23,
IF(V154=regle!$E$11,regle!$E$23,
IF(V154=regle!$F$11,regle!$F$23,
IF(V154=regle!$G$11,regle!$G$23,
IF(V154=regle!$H$11,regle!$H$23,
IF(V154=regle!$I$11,regle!$I$23,
IF(V154=regle!$J$11,regle!$J$23,
IF(V154=regle!$K$11,regle!$K$23,0))))))))))))</f>
        <v>81.1584</v>
      </c>
      <c r="AG154" s="17">
        <f>IF($A154,$J154*(IF(W154=regle!$B$11,regle!$B$23*IF(AP154=-2,1+regle!$B$35,1),
IF(W154=regle!$C$11,regle!$C$23,
IF(W154=regle!$D$11,regle!$D$23,
IF(W154=regle!$E$11,regle!$E$23,
IF(W154=regle!$F$11,regle!$F$23,
IF(W154=regle!$G$11,regle!$G$23,
IF(W154=regle!$H$11,regle!$H$23,
IF(W154=regle!$I$11,regle!$I$23,
IF(W154=regle!$J$11,regle!$J$23,
IF(W154=regle!$K$11,regle!$K$23,0))))))))))))</f>
        <v>0</v>
      </c>
      <c r="AH154" s="17">
        <f>IF($A154,$J154*(IF(X154=regle!$B$11,regle!$B$23*IF(AQ154=-2,1+regle!$B$35,1),
IF(X154=regle!$C$11,regle!$C$23,
IF(X154=regle!$D$11,regle!$D$23,
IF(X154=regle!$E$11,regle!$E$23,
IF(X154=regle!$F$11,regle!$F$23,
IF(X154=regle!$G$11,regle!$G$23,
IF(X154=regle!$H$11,regle!$H$23,
IF(X154=regle!$I$11,regle!$I$23,
IF(X154=regle!$J$11,regle!$J$23,
IF(X154=regle!$K$11,regle!$K$23,0))))))))))))</f>
        <v>0</v>
      </c>
      <c r="AI154" s="17">
        <f>IF($A154,$J154*(IF(Y154=regle!$B$11,regle!$B$23*IF(AR154=-2,1+regle!$B$35,1),
IF(Y154=regle!$C$11,regle!$C$23,
IF(Y154=regle!$D$11,regle!$D$23,
IF(Y154=regle!$E$11,regle!$E$23,
IF(Y154=regle!$F$11,regle!$F$23,
IF(Y154=regle!$G$11,regle!$G$23,
IF(Y154=regle!$H$11,regle!$H$23,
IF(Y154=regle!$I$11,regle!$I$23,
IF(Y154=regle!$J$11,regle!$J$23,
IF(Y154=regle!$K$11,regle!$K$23,0))))))))))))</f>
        <v>0</v>
      </c>
      <c r="AJ154" s="17">
        <f>IF($A154,$J154*(IF(Z154=regle!$B$11,regle!$B$23*IF(AS154=-2,1+regle!$B$35,1),
IF(Z154=regle!$C$11,regle!$C$23,
IF(Z154=regle!$D$11,regle!$D$23,
IF(Z154=regle!$E$11,regle!$E$23,
IF(Z154=regle!$F$11,regle!$F$23,
IF(Z154=regle!$G$11,regle!$G$23,
IF(Z154=regle!$H$11,regle!$H$23,
IF(Z154=regle!$I$11,regle!$I$23,
IF(Z154=regle!$J$11,regle!$J$23,
IF(Z154=regle!$K$11,regle!$K$23,0))))))))))))</f>
        <v>0</v>
      </c>
      <c r="AK154" s="16">
        <f>IF(OR(Q154=regle!$J$11,Q154=regle!$K$11),-2,IF(Q154=regle!$B$11,0,IF(AK$1=$AK$1,IF($O154,-1,regle!$B$2-$M154),IF(AJ154=-1,-1,AJ154+1))))</f>
        <v>7</v>
      </c>
      <c r="AL154" s="16">
        <f>IF(OR(R154=regle!$J$11,R154=regle!$K$11),-2,IF(R154=regle!$B$11,0,IF(AL$1=$AK$1,IF($O154,-1,regle!$B$2-$M154),IF(AK154=-1,-1,AK154+1))))</f>
        <v>8</v>
      </c>
      <c r="AM154" s="16">
        <f>IF(OR(S154=regle!$J$11,S154=regle!$K$11),-2,IF(S154=regle!$B$11,0,IF(AM$1=$AK$1,IF($O154,-1,regle!$B$2-$M154),IF(AL154=-1,-1,AL154+1))))</f>
        <v>9</v>
      </c>
      <c r="AN154" s="16">
        <f>IF(OR(T154=regle!$J$11,T154=regle!$K$11),-2,IF(T154=regle!$B$11,0,IF(AN$1=$AK$1,IF($O154,-1,regle!$B$2-$M154),IF(AM154=-1,-1,AM154+1))))</f>
        <v>10</v>
      </c>
      <c r="AO154" s="16">
        <f>IF(OR(U154=regle!$J$11,U154=regle!$K$11),-2,IF(U154=regle!$B$11,0,IF(AO$1=$AK$1,IF($O154,-1,regle!$B$2-$M154),IF(AN154=-1,-1,AN154+1))))</f>
        <v>11</v>
      </c>
      <c r="AP154" s="16">
        <f>IF(OR(V154=regle!$J$11,V154=regle!$K$11),-2,IF(V154=regle!$B$11,0,IF(AP$1=$AK$1,IF($O154,-1,regle!$B$2-$M154),IF(AO154=-1,-1,AO154+1))))</f>
        <v>12</v>
      </c>
      <c r="AQ154" s="16">
        <f>IF(OR(W154=regle!$J$11,W154=regle!$K$11),-2,IF(W154=regle!$B$11,0,IF(AQ$1=$AK$1,IF($O154,-1,regle!$B$2-$M154),IF(AP154=-1,-1,AP154+1))))</f>
        <v>13</v>
      </c>
      <c r="AR154" s="16">
        <f>IF(OR(X154=regle!$J$11,X154=regle!$K$11),-2,IF(X154=regle!$B$11,0,IF(AR$1=$AK$1,IF($O154,-1,regle!$B$2-$M154),IF(AQ154=-1,-1,AQ154+1))))</f>
        <v>14</v>
      </c>
      <c r="AS154" s="16">
        <f>IF(OR(Y154=regle!$J$11,Y154=regle!$K$11),-2,IF(Y154=regle!$B$11,0,IF(AS$1=$AK$1,IF($O154,-1,regle!$B$2-$M154),IF(AR154=-1,-1,AR154+1))))</f>
        <v>15</v>
      </c>
      <c r="AT154" s="16">
        <f>IF(OR(Z154=regle!$J$11,Z154=regle!$K$11),-2,IF(Z154=regle!$B$11,0,IF(AT$1=$AK$1,IF($O154,-1,regle!$B$2-$M154),IF(AS154=-1,-1,AS154+1))))</f>
        <v>16</v>
      </c>
    </row>
    <row r="155" spans="1:46" x14ac:dyDescent="0.25">
      <c r="A155" t="b">
        <f>modif0!A61</f>
        <v>1</v>
      </c>
      <c r="B155">
        <f>ROW(modif0!B61)</f>
        <v>61</v>
      </c>
      <c r="C155" t="str">
        <f>modif0!D61</f>
        <v>536</v>
      </c>
      <c r="D155" t="str">
        <f>modif0!E61</f>
        <v>LE TUZAN</v>
      </c>
      <c r="E155">
        <f>modif0!F61</f>
        <v>21</v>
      </c>
      <c r="F155" t="str">
        <f>modif0!G61</f>
        <v>METAIRIES DE TABARTON</v>
      </c>
      <c r="G155" t="str">
        <f>modif0!I61</f>
        <v>0A</v>
      </c>
      <c r="H155">
        <f>modif0!J61</f>
        <v>523</v>
      </c>
      <c r="I155" t="str">
        <f>modif0!K61</f>
        <v>j</v>
      </c>
      <c r="J155" s="11">
        <f>modif0!M61</f>
        <v>18.638999999999999</v>
      </c>
      <c r="K155" s="11" t="str">
        <f>modif0!P61</f>
        <v>PLA</v>
      </c>
      <c r="L155" t="str">
        <f>modif0!N61</f>
        <v>PM</v>
      </c>
      <c r="M155">
        <f>modif0!Q61</f>
        <v>2015</v>
      </c>
      <c r="N155" t="str">
        <f>modif0!R61</f>
        <v>PLA-PM_2015</v>
      </c>
      <c r="O155" t="b">
        <f>modif0!S61</f>
        <v>0</v>
      </c>
      <c r="P155">
        <v>40</v>
      </c>
      <c r="T155" t="s">
        <v>1803</v>
      </c>
      <c r="Y155" t="s">
        <v>1804</v>
      </c>
      <c r="AA155" s="17">
        <f>IF($A155,$J155*(IF(Q155=regle!$B$11,regle!$B$23*IF(AJ155=-2,1+regle!$B$35,1),
IF(Q155=regle!$C$11,regle!$C$23,
IF(Q155=regle!$D$11,regle!$D$23,
IF(Q155=regle!$E$11,regle!$E$23,
IF(Q155=regle!$F$11,regle!$F$23,
IF(Q155=regle!$G$11,regle!$G$23,
IF(Q155=regle!$H$11,regle!$H$23,
IF(Q155=regle!$I$11,regle!$I$23,
IF(Q155=regle!$J$11,regle!$J$23,
IF(Q155=regle!$K$11,regle!$K$23,0))))))))))))</f>
        <v>0</v>
      </c>
      <c r="AB155" s="17">
        <f>IF($A155,$J155*(IF(R155=regle!$B$11,regle!$B$23*IF(AK155=-2,1+regle!$B$35,1),
IF(R155=regle!$C$11,regle!$C$23,
IF(R155=regle!$D$11,regle!$D$23,
IF(R155=regle!$E$11,regle!$E$23,
IF(R155=regle!$F$11,regle!$F$23,
IF(R155=regle!$G$11,regle!$G$23,
IF(R155=regle!$H$11,regle!$H$23,
IF(R155=regle!$I$11,regle!$I$23,
IF(R155=regle!$J$11,regle!$J$23,
IF(R155=regle!$K$11,regle!$K$23,0))))))))))))</f>
        <v>0</v>
      </c>
      <c r="AC155" s="17">
        <f>IF($A155,$J155*(IF(S155=regle!$B$11,regle!$B$23*IF(AL155=-2,1+regle!$B$35,1),
IF(S155=regle!$C$11,regle!$C$23,
IF(S155=regle!$D$11,regle!$D$23,
IF(S155=regle!$E$11,regle!$E$23,
IF(S155=regle!$F$11,regle!$F$23,
IF(S155=regle!$G$11,regle!$G$23,
IF(S155=regle!$H$11,regle!$H$23,
IF(S155=regle!$I$11,regle!$I$23,
IF(S155=regle!$J$11,regle!$J$23,
IF(S155=regle!$K$11,regle!$K$23,0))))))))))))</f>
        <v>0</v>
      </c>
      <c r="AD155" s="17">
        <f>IF($A155,$J155*(IF(T155=regle!$B$11,regle!$B$23*IF(AM155=-2,1+regle!$B$35,1),
IF(T155=regle!$C$11,regle!$C$23,
IF(T155=regle!$D$11,regle!$D$23,
IF(T155=regle!$E$11,regle!$E$23,
IF(T155=regle!$F$11,regle!$F$23,
IF(T155=regle!$G$11,regle!$G$23,
IF(T155=regle!$H$11,regle!$H$23,
IF(T155=regle!$I$11,regle!$I$23,
IF(T155=regle!$J$11,regle!$J$23,
IF(T155=regle!$K$11,regle!$K$23,0))))))))))))</f>
        <v>10736.064</v>
      </c>
      <c r="AE155" s="17">
        <f>IF($A155,$J155*(IF(U155=regle!$B$11,regle!$B$23*IF(AN155=-2,1+regle!$B$35,1),
IF(U155=regle!$C$11,regle!$C$23,
IF(U155=regle!$D$11,regle!$D$23,
IF(U155=regle!$E$11,regle!$E$23,
IF(U155=regle!$F$11,regle!$F$23,
IF(U155=regle!$G$11,regle!$G$23,
IF(U155=regle!$H$11,regle!$H$23,
IF(U155=regle!$I$11,regle!$I$23,
IF(U155=regle!$J$11,regle!$J$23,
IF(U155=regle!$K$11,regle!$K$23,0))))))))))))</f>
        <v>0</v>
      </c>
      <c r="AF155" s="17">
        <f>IF($A155,$J155*(IF(V155=regle!$B$11,regle!$B$23*IF(AO155=-2,1+regle!$B$35,1),
IF(V155=regle!$C$11,regle!$C$23,
IF(V155=regle!$D$11,regle!$D$23,
IF(V155=regle!$E$11,regle!$E$23,
IF(V155=regle!$F$11,regle!$F$23,
IF(V155=regle!$G$11,regle!$G$23,
IF(V155=regle!$H$11,regle!$H$23,
IF(V155=regle!$I$11,regle!$I$23,
IF(V155=regle!$J$11,regle!$J$23,
IF(V155=regle!$K$11,regle!$K$23,0))))))))))))</f>
        <v>0</v>
      </c>
      <c r="AG155" s="17">
        <f>IF($A155,$J155*(IF(W155=regle!$B$11,regle!$B$23*IF(AP155=-2,1+regle!$B$35,1),
IF(W155=regle!$C$11,regle!$C$23,
IF(W155=regle!$D$11,regle!$D$23,
IF(W155=regle!$E$11,regle!$E$23,
IF(W155=regle!$F$11,regle!$F$23,
IF(W155=regle!$G$11,regle!$G$23,
IF(W155=regle!$H$11,regle!$H$23,
IF(W155=regle!$I$11,regle!$I$23,
IF(W155=regle!$J$11,regle!$J$23,
IF(W155=regle!$K$11,regle!$K$23,0))))))))))))</f>
        <v>0</v>
      </c>
      <c r="AH155" s="17">
        <f>IF($A155,$J155*(IF(X155=regle!$B$11,regle!$B$23*IF(AQ155=-2,1+regle!$B$35,1),
IF(X155=regle!$C$11,regle!$C$23,
IF(X155=regle!$D$11,regle!$D$23,
IF(X155=regle!$E$11,regle!$E$23,
IF(X155=regle!$F$11,regle!$F$23,
IF(X155=regle!$G$11,regle!$G$23,
IF(X155=regle!$H$11,regle!$H$23,
IF(X155=regle!$I$11,regle!$I$23,
IF(X155=regle!$J$11,regle!$J$23,
IF(X155=regle!$K$11,regle!$K$23,0))))))))))))</f>
        <v>0</v>
      </c>
      <c r="AI155" s="17">
        <f>IF($A155,$J155*(IF(Y155=regle!$B$11,regle!$B$23*IF(AR155=-2,1+regle!$B$35,1),
IF(Y155=regle!$C$11,regle!$C$23,
IF(Y155=regle!$D$11,regle!$D$23,
IF(Y155=regle!$E$11,regle!$E$23,
IF(Y155=regle!$F$11,regle!$F$23,
IF(Y155=regle!$G$11,regle!$G$23,
IF(Y155=regle!$H$11,regle!$H$23,
IF(Y155=regle!$I$11,regle!$I$23,
IF(Y155=regle!$J$11,regle!$J$23,
IF(Y155=regle!$K$11,regle!$K$23,0))))))))))))</f>
        <v>15656.76</v>
      </c>
      <c r="AJ155" s="17">
        <f>IF($A155,$J155*(IF(Z155=regle!$B$11,regle!$B$23*IF(AS155=-2,1+regle!$B$35,1),
IF(Z155=regle!$C$11,regle!$C$23,
IF(Z155=regle!$D$11,regle!$D$23,
IF(Z155=regle!$E$11,regle!$E$23,
IF(Z155=regle!$F$11,regle!$F$23,
IF(Z155=regle!$G$11,regle!$G$23,
IF(Z155=regle!$H$11,regle!$H$23,
IF(Z155=regle!$I$11,regle!$I$23,
IF(Z155=regle!$J$11,regle!$J$23,
IF(Z155=regle!$K$11,regle!$K$23,0))))))))))))</f>
        <v>0</v>
      </c>
      <c r="AK155" s="16">
        <f>IF(OR(Q155=regle!$J$11,Q155=regle!$K$11),-2,IF(Q155=regle!$B$11,0,IF(AK$1=$AK$1,IF($O155,-1,regle!$B$2-$M155),IF(AJ155=-1,-1,AJ155+1))))</f>
        <v>9</v>
      </c>
      <c r="AL155" s="16">
        <f>IF(OR(R155=regle!$J$11,R155=regle!$K$11),-2,IF(R155=regle!$B$11,0,IF(AL$1=$AK$1,IF($O155,-1,regle!$B$2-$M155),IF(AK155=-1,-1,AK155+1))))</f>
        <v>10</v>
      </c>
      <c r="AM155" s="16">
        <f>IF(OR(S155=regle!$J$11,S155=regle!$K$11),-2,IF(S155=regle!$B$11,0,IF(AM$1=$AK$1,IF($O155,-1,regle!$B$2-$M155),IF(AL155=-1,-1,AL155+1))))</f>
        <v>11</v>
      </c>
      <c r="AN155" s="16">
        <f>IF(OR(T155=regle!$J$11,T155=regle!$K$11),-2,IF(T155=regle!$B$11,0,IF(AN$1=$AK$1,IF($O155,-1,regle!$B$2-$M155),IF(AM155=-1,-1,AM155+1))))</f>
        <v>12</v>
      </c>
      <c r="AO155" s="16">
        <f>IF(OR(U155=regle!$J$11,U155=regle!$K$11),-2,IF(U155=regle!$B$11,0,IF(AO$1=$AK$1,IF($O155,-1,regle!$B$2-$M155),IF(AN155=-1,-1,AN155+1))))</f>
        <v>13</v>
      </c>
      <c r="AP155" s="16">
        <f>IF(OR(V155=regle!$J$11,V155=regle!$K$11),-2,IF(V155=regle!$B$11,0,IF(AP$1=$AK$1,IF($O155,-1,regle!$B$2-$M155),IF(AO155=-1,-1,AO155+1))))</f>
        <v>14</v>
      </c>
      <c r="AQ155" s="16">
        <f>IF(OR(W155=regle!$J$11,W155=regle!$K$11),-2,IF(W155=regle!$B$11,0,IF(AQ$1=$AK$1,IF($O155,-1,regle!$B$2-$M155),IF(AP155=-1,-1,AP155+1))))</f>
        <v>15</v>
      </c>
      <c r="AR155" s="16">
        <f>IF(OR(X155=regle!$J$11,X155=regle!$K$11),-2,IF(X155=regle!$B$11,0,IF(AR$1=$AK$1,IF($O155,-1,regle!$B$2-$M155),IF(AQ155=-1,-1,AQ155+1))))</f>
        <v>16</v>
      </c>
      <c r="AS155" s="16">
        <f>IF(OR(Y155=regle!$J$11,Y155=regle!$K$11),-2,IF(Y155=regle!$B$11,0,IF(AS$1=$AK$1,IF($O155,-1,regle!$B$2-$M155),IF(AR155=-1,-1,AR155+1))))</f>
        <v>17</v>
      </c>
      <c r="AT155" s="16">
        <f>IF(OR(Z155=regle!$J$11,Z155=regle!$K$11),-2,IF(Z155=regle!$B$11,0,IF(AT$1=$AK$1,IF($O155,-1,regle!$B$2-$M155),IF(AS155=-1,-1,AS155+1))))</f>
        <v>18</v>
      </c>
    </row>
    <row r="156" spans="1:46" x14ac:dyDescent="0.25">
      <c r="A156" t="b">
        <f>modif0!A166</f>
        <v>1</v>
      </c>
      <c r="B156">
        <f>ROW(modif0!B166)</f>
        <v>166</v>
      </c>
      <c r="C156" t="str">
        <f>modif0!D166</f>
        <v>202</v>
      </c>
      <c r="D156" t="str">
        <f>modif0!E166</f>
        <v>HOSTENS</v>
      </c>
      <c r="E156">
        <f>modif0!F166</f>
        <v>11</v>
      </c>
      <c r="F156" t="str">
        <f>modif0!G166</f>
        <v>LES CAZALAS</v>
      </c>
      <c r="G156" t="str">
        <f>modif0!I166</f>
        <v>0B</v>
      </c>
      <c r="H156">
        <f>modif0!J166</f>
        <v>1195</v>
      </c>
      <c r="I156" t="str">
        <f>modif0!K166</f>
        <v>j</v>
      </c>
      <c r="J156" s="11">
        <f>modif0!M166</f>
        <v>14.778</v>
      </c>
      <c r="K156" s="11" t="str">
        <f>modif0!P166</f>
        <v>PLA</v>
      </c>
      <c r="L156" t="str">
        <f>modif0!N166</f>
        <v>PM</v>
      </c>
      <c r="M156">
        <f>modif0!Q166</f>
        <v>2015</v>
      </c>
      <c r="N156" t="str">
        <f>modif0!R166</f>
        <v>PLA-PM_2015</v>
      </c>
      <c r="O156" t="b">
        <f>modif0!S166</f>
        <v>0</v>
      </c>
      <c r="P156">
        <v>40</v>
      </c>
      <c r="T156" t="s">
        <v>1803</v>
      </c>
      <c r="Y156" t="s">
        <v>1804</v>
      </c>
      <c r="AA156" s="17">
        <f>IF($A156,$J156*(IF(Q156=regle!$B$11,regle!$B$23*IF(AJ156=-2,1+regle!$B$35,1),
IF(Q156=regle!$C$11,regle!$C$23,
IF(Q156=regle!$D$11,regle!$D$23,
IF(Q156=regle!$E$11,regle!$E$23,
IF(Q156=regle!$F$11,regle!$F$23,
IF(Q156=regle!$G$11,regle!$G$23,
IF(Q156=regle!$H$11,regle!$H$23,
IF(Q156=regle!$I$11,regle!$I$23,
IF(Q156=regle!$J$11,regle!$J$23,
IF(Q156=regle!$K$11,regle!$K$23,0))))))))))))</f>
        <v>0</v>
      </c>
      <c r="AB156" s="17">
        <f>IF($A156,$J156*(IF(R156=regle!$B$11,regle!$B$23*IF(AK156=-2,1+regle!$B$35,1),
IF(R156=regle!$C$11,regle!$C$23,
IF(R156=regle!$D$11,regle!$D$23,
IF(R156=regle!$E$11,regle!$E$23,
IF(R156=regle!$F$11,regle!$F$23,
IF(R156=regle!$G$11,regle!$G$23,
IF(R156=regle!$H$11,regle!$H$23,
IF(R156=regle!$I$11,regle!$I$23,
IF(R156=regle!$J$11,regle!$J$23,
IF(R156=regle!$K$11,regle!$K$23,0))))))))))))</f>
        <v>0</v>
      </c>
      <c r="AC156" s="17">
        <f>IF($A156,$J156*(IF(S156=regle!$B$11,regle!$B$23*IF(AL156=-2,1+regle!$B$35,1),
IF(S156=regle!$C$11,regle!$C$23,
IF(S156=regle!$D$11,regle!$D$23,
IF(S156=regle!$E$11,regle!$E$23,
IF(S156=regle!$F$11,regle!$F$23,
IF(S156=regle!$G$11,regle!$G$23,
IF(S156=regle!$H$11,regle!$H$23,
IF(S156=regle!$I$11,regle!$I$23,
IF(S156=regle!$J$11,regle!$J$23,
IF(S156=regle!$K$11,regle!$K$23,0))))))))))))</f>
        <v>0</v>
      </c>
      <c r="AD156" s="17">
        <f>IF($A156,$J156*(IF(T156=regle!$B$11,regle!$B$23*IF(AM156=-2,1+regle!$B$35,1),
IF(T156=regle!$C$11,regle!$C$23,
IF(T156=regle!$D$11,regle!$D$23,
IF(T156=regle!$E$11,regle!$E$23,
IF(T156=regle!$F$11,regle!$F$23,
IF(T156=regle!$G$11,regle!$G$23,
IF(T156=regle!$H$11,regle!$H$23,
IF(T156=regle!$I$11,regle!$I$23,
IF(T156=regle!$J$11,regle!$J$23,
IF(T156=regle!$K$11,regle!$K$23,0))))))))))))</f>
        <v>8512.1280000000006</v>
      </c>
      <c r="AE156" s="17">
        <f>IF($A156,$J156*(IF(U156=regle!$B$11,regle!$B$23*IF(AN156=-2,1+regle!$B$35,1),
IF(U156=regle!$C$11,regle!$C$23,
IF(U156=regle!$D$11,regle!$D$23,
IF(U156=regle!$E$11,regle!$E$23,
IF(U156=regle!$F$11,regle!$F$23,
IF(U156=regle!$G$11,regle!$G$23,
IF(U156=regle!$H$11,regle!$H$23,
IF(U156=regle!$I$11,regle!$I$23,
IF(U156=regle!$J$11,regle!$J$23,
IF(U156=regle!$K$11,regle!$K$23,0))))))))))))</f>
        <v>0</v>
      </c>
      <c r="AF156" s="17">
        <f>IF($A156,$J156*(IF(V156=regle!$B$11,regle!$B$23*IF(AO156=-2,1+regle!$B$35,1),
IF(V156=regle!$C$11,regle!$C$23,
IF(V156=regle!$D$11,regle!$D$23,
IF(V156=regle!$E$11,regle!$E$23,
IF(V156=regle!$F$11,regle!$F$23,
IF(V156=regle!$G$11,regle!$G$23,
IF(V156=regle!$H$11,regle!$H$23,
IF(V156=regle!$I$11,regle!$I$23,
IF(V156=regle!$J$11,regle!$J$23,
IF(V156=regle!$K$11,regle!$K$23,0))))))))))))</f>
        <v>0</v>
      </c>
      <c r="AG156" s="17">
        <f>IF($A156,$J156*(IF(W156=regle!$B$11,regle!$B$23*IF(AP156=-2,1+regle!$B$35,1),
IF(W156=regle!$C$11,regle!$C$23,
IF(W156=regle!$D$11,regle!$D$23,
IF(W156=regle!$E$11,regle!$E$23,
IF(W156=regle!$F$11,regle!$F$23,
IF(W156=regle!$G$11,regle!$G$23,
IF(W156=regle!$H$11,regle!$H$23,
IF(W156=regle!$I$11,regle!$I$23,
IF(W156=regle!$J$11,regle!$J$23,
IF(W156=regle!$K$11,regle!$K$23,0))))))))))))</f>
        <v>0</v>
      </c>
      <c r="AH156" s="17">
        <f>IF($A156,$J156*(IF(X156=regle!$B$11,regle!$B$23*IF(AQ156=-2,1+regle!$B$35,1),
IF(X156=regle!$C$11,regle!$C$23,
IF(X156=regle!$D$11,regle!$D$23,
IF(X156=regle!$E$11,regle!$E$23,
IF(X156=regle!$F$11,regle!$F$23,
IF(X156=regle!$G$11,regle!$G$23,
IF(X156=regle!$H$11,regle!$H$23,
IF(X156=regle!$I$11,regle!$I$23,
IF(X156=regle!$J$11,regle!$J$23,
IF(X156=regle!$K$11,regle!$K$23,0))))))))))))</f>
        <v>0</v>
      </c>
      <c r="AI156" s="17">
        <f>IF($A156,$J156*(IF(Y156=regle!$B$11,regle!$B$23*IF(AR156=-2,1+regle!$B$35,1),
IF(Y156=regle!$C$11,regle!$C$23,
IF(Y156=regle!$D$11,regle!$D$23,
IF(Y156=regle!$E$11,regle!$E$23,
IF(Y156=regle!$F$11,regle!$F$23,
IF(Y156=regle!$G$11,regle!$G$23,
IF(Y156=regle!$H$11,regle!$H$23,
IF(Y156=regle!$I$11,regle!$I$23,
IF(Y156=regle!$J$11,regle!$J$23,
IF(Y156=regle!$K$11,regle!$K$23,0))))))))))))</f>
        <v>12413.52</v>
      </c>
      <c r="AJ156" s="17">
        <f>IF($A156,$J156*(IF(Z156=regle!$B$11,regle!$B$23*IF(AS156=-2,1+regle!$B$35,1),
IF(Z156=regle!$C$11,regle!$C$23,
IF(Z156=regle!$D$11,regle!$D$23,
IF(Z156=regle!$E$11,regle!$E$23,
IF(Z156=regle!$F$11,regle!$F$23,
IF(Z156=regle!$G$11,regle!$G$23,
IF(Z156=regle!$H$11,regle!$H$23,
IF(Z156=regle!$I$11,regle!$I$23,
IF(Z156=regle!$J$11,regle!$J$23,
IF(Z156=regle!$K$11,regle!$K$23,0))))))))))))</f>
        <v>0</v>
      </c>
      <c r="AK156" s="16">
        <f>IF(OR(Q156=regle!$J$11,Q156=regle!$K$11),-2,IF(Q156=regle!$B$11,0,IF(AK$1=$AK$1,IF($O156,-1,regle!$B$2-$M156),IF(AJ156=-1,-1,AJ156+1))))</f>
        <v>9</v>
      </c>
      <c r="AL156" s="16">
        <f>IF(OR(R156=regle!$J$11,R156=regle!$K$11),-2,IF(R156=regle!$B$11,0,IF(AL$1=$AK$1,IF($O156,-1,regle!$B$2-$M156),IF(AK156=-1,-1,AK156+1))))</f>
        <v>10</v>
      </c>
      <c r="AM156" s="16">
        <f>IF(OR(S156=regle!$J$11,S156=regle!$K$11),-2,IF(S156=regle!$B$11,0,IF(AM$1=$AK$1,IF($O156,-1,regle!$B$2-$M156),IF(AL156=-1,-1,AL156+1))))</f>
        <v>11</v>
      </c>
      <c r="AN156" s="16">
        <f>IF(OR(T156=regle!$J$11,T156=regle!$K$11),-2,IF(T156=regle!$B$11,0,IF(AN$1=$AK$1,IF($O156,-1,regle!$B$2-$M156),IF(AM156=-1,-1,AM156+1))))</f>
        <v>12</v>
      </c>
      <c r="AO156" s="16">
        <f>IF(OR(U156=regle!$J$11,U156=regle!$K$11),-2,IF(U156=regle!$B$11,0,IF(AO$1=$AK$1,IF($O156,-1,regle!$B$2-$M156),IF(AN156=-1,-1,AN156+1))))</f>
        <v>13</v>
      </c>
      <c r="AP156" s="16">
        <f>IF(OR(V156=regle!$J$11,V156=regle!$K$11),-2,IF(V156=regle!$B$11,0,IF(AP$1=$AK$1,IF($O156,-1,regle!$B$2-$M156),IF(AO156=-1,-1,AO156+1))))</f>
        <v>14</v>
      </c>
      <c r="AQ156" s="16">
        <f>IF(OR(W156=regle!$J$11,W156=regle!$K$11),-2,IF(W156=regle!$B$11,0,IF(AQ$1=$AK$1,IF($O156,-1,regle!$B$2-$M156),IF(AP156=-1,-1,AP156+1))))</f>
        <v>15</v>
      </c>
      <c r="AR156" s="16">
        <f>IF(OR(X156=regle!$J$11,X156=regle!$K$11),-2,IF(X156=regle!$B$11,0,IF(AR$1=$AK$1,IF($O156,-1,regle!$B$2-$M156),IF(AQ156=-1,-1,AQ156+1))))</f>
        <v>16</v>
      </c>
      <c r="AS156" s="16">
        <f>IF(OR(Y156=regle!$J$11,Y156=regle!$K$11),-2,IF(Y156=regle!$B$11,0,IF(AS$1=$AK$1,IF($O156,-1,regle!$B$2-$M156),IF(AR156=-1,-1,AR156+1))))</f>
        <v>17</v>
      </c>
      <c r="AT156" s="16">
        <f>IF(OR(Z156=regle!$J$11,Z156=regle!$K$11),-2,IF(Z156=regle!$B$11,0,IF(AT$1=$AK$1,IF($O156,-1,regle!$B$2-$M156),IF(AS156=-1,-1,AS156+1))))</f>
        <v>18</v>
      </c>
    </row>
    <row r="157" spans="1:46" x14ac:dyDescent="0.25">
      <c r="A157" t="b">
        <f>modif0!A161</f>
        <v>1</v>
      </c>
      <c r="B157">
        <f>ROW(modif0!B161)</f>
        <v>161</v>
      </c>
      <c r="C157" t="str">
        <f>modif0!D161</f>
        <v>202</v>
      </c>
      <c r="D157" t="str">
        <f>modif0!E161</f>
        <v>HOSTENS</v>
      </c>
      <c r="E157">
        <f>modif0!F161</f>
        <v>11</v>
      </c>
      <c r="F157" t="str">
        <f>modif0!G161</f>
        <v>LES CAZALAS</v>
      </c>
      <c r="G157" t="str">
        <f>modif0!I161</f>
        <v>0B</v>
      </c>
      <c r="H157">
        <f>modif0!J161</f>
        <v>1184</v>
      </c>
      <c r="I157" t="str">
        <f>modif0!K161</f>
        <v>k</v>
      </c>
      <c r="J157" s="11">
        <f>modif0!M161</f>
        <v>11.5527</v>
      </c>
      <c r="K157" s="11" t="str">
        <f>modif0!P161</f>
        <v>PLA</v>
      </c>
      <c r="L157" t="str">
        <f>modif0!N161</f>
        <v>PM</v>
      </c>
      <c r="M157">
        <f>modif0!Q161</f>
        <v>2015</v>
      </c>
      <c r="N157" t="str">
        <f>modif0!R161</f>
        <v>PLA-PM_2015</v>
      </c>
      <c r="O157" t="b">
        <f>modif0!S161</f>
        <v>0</v>
      </c>
      <c r="P157">
        <v>40</v>
      </c>
      <c r="T157" t="s">
        <v>1803</v>
      </c>
      <c r="Y157" t="s">
        <v>1804</v>
      </c>
      <c r="AA157" s="17">
        <f>IF($A157,$J157*(IF(Q157=regle!$B$11,regle!$B$23*IF(AJ157=-2,1+regle!$B$35,1),
IF(Q157=regle!$C$11,regle!$C$23,
IF(Q157=regle!$D$11,regle!$D$23,
IF(Q157=regle!$E$11,regle!$E$23,
IF(Q157=regle!$F$11,regle!$F$23,
IF(Q157=regle!$G$11,regle!$G$23,
IF(Q157=regle!$H$11,regle!$H$23,
IF(Q157=regle!$I$11,regle!$I$23,
IF(Q157=regle!$J$11,regle!$J$23,
IF(Q157=regle!$K$11,regle!$K$23,0))))))))))))</f>
        <v>0</v>
      </c>
      <c r="AB157" s="17">
        <f>IF($A157,$J157*(IF(R157=regle!$B$11,regle!$B$23*IF(AK157=-2,1+regle!$B$35,1),
IF(R157=regle!$C$11,regle!$C$23,
IF(R157=regle!$D$11,regle!$D$23,
IF(R157=regle!$E$11,regle!$E$23,
IF(R157=regle!$F$11,regle!$F$23,
IF(R157=regle!$G$11,regle!$G$23,
IF(R157=regle!$H$11,regle!$H$23,
IF(R157=regle!$I$11,regle!$I$23,
IF(R157=regle!$J$11,regle!$J$23,
IF(R157=regle!$K$11,regle!$K$23,0))))))))))))</f>
        <v>0</v>
      </c>
      <c r="AC157" s="17">
        <f>IF($A157,$J157*(IF(S157=regle!$B$11,regle!$B$23*IF(AL157=-2,1+regle!$B$35,1),
IF(S157=regle!$C$11,regle!$C$23,
IF(S157=regle!$D$11,regle!$D$23,
IF(S157=regle!$E$11,regle!$E$23,
IF(S157=regle!$F$11,regle!$F$23,
IF(S157=regle!$G$11,regle!$G$23,
IF(S157=regle!$H$11,regle!$H$23,
IF(S157=regle!$I$11,regle!$I$23,
IF(S157=regle!$J$11,regle!$J$23,
IF(S157=regle!$K$11,regle!$K$23,0))))))))))))</f>
        <v>0</v>
      </c>
      <c r="AD157" s="17">
        <f>IF($A157,$J157*(IF(T157=regle!$B$11,regle!$B$23*IF(AM157=-2,1+regle!$B$35,1),
IF(T157=regle!$C$11,regle!$C$23,
IF(T157=regle!$D$11,regle!$D$23,
IF(T157=regle!$E$11,regle!$E$23,
IF(T157=regle!$F$11,regle!$F$23,
IF(T157=regle!$G$11,regle!$G$23,
IF(T157=regle!$H$11,regle!$H$23,
IF(T157=regle!$I$11,regle!$I$23,
IF(T157=regle!$J$11,regle!$J$23,
IF(T157=regle!$K$11,regle!$K$23,0))))))))))))</f>
        <v>6654.3552</v>
      </c>
      <c r="AE157" s="17">
        <f>IF($A157,$J157*(IF(U157=regle!$B$11,regle!$B$23*IF(AN157=-2,1+regle!$B$35,1),
IF(U157=regle!$C$11,regle!$C$23,
IF(U157=regle!$D$11,regle!$D$23,
IF(U157=regle!$E$11,regle!$E$23,
IF(U157=regle!$F$11,regle!$F$23,
IF(U157=regle!$G$11,regle!$G$23,
IF(U157=regle!$H$11,regle!$H$23,
IF(U157=regle!$I$11,regle!$I$23,
IF(U157=regle!$J$11,regle!$J$23,
IF(U157=regle!$K$11,regle!$K$23,0))))))))))))</f>
        <v>0</v>
      </c>
      <c r="AF157" s="17">
        <f>IF($A157,$J157*(IF(V157=regle!$B$11,regle!$B$23*IF(AO157=-2,1+regle!$B$35,1),
IF(V157=regle!$C$11,regle!$C$23,
IF(V157=regle!$D$11,regle!$D$23,
IF(V157=regle!$E$11,regle!$E$23,
IF(V157=regle!$F$11,regle!$F$23,
IF(V157=regle!$G$11,regle!$G$23,
IF(V157=regle!$H$11,regle!$H$23,
IF(V157=regle!$I$11,regle!$I$23,
IF(V157=regle!$J$11,regle!$J$23,
IF(V157=regle!$K$11,regle!$K$23,0))))))))))))</f>
        <v>0</v>
      </c>
      <c r="AG157" s="17">
        <f>IF($A157,$J157*(IF(W157=regle!$B$11,regle!$B$23*IF(AP157=-2,1+regle!$B$35,1),
IF(W157=regle!$C$11,regle!$C$23,
IF(W157=regle!$D$11,regle!$D$23,
IF(W157=regle!$E$11,regle!$E$23,
IF(W157=regle!$F$11,regle!$F$23,
IF(W157=regle!$G$11,regle!$G$23,
IF(W157=regle!$H$11,regle!$H$23,
IF(W157=regle!$I$11,regle!$I$23,
IF(W157=regle!$J$11,regle!$J$23,
IF(W157=regle!$K$11,regle!$K$23,0))))))))))))</f>
        <v>0</v>
      </c>
      <c r="AH157" s="17">
        <f>IF($A157,$J157*(IF(X157=regle!$B$11,regle!$B$23*IF(AQ157=-2,1+regle!$B$35,1),
IF(X157=regle!$C$11,regle!$C$23,
IF(X157=regle!$D$11,regle!$D$23,
IF(X157=regle!$E$11,regle!$E$23,
IF(X157=regle!$F$11,regle!$F$23,
IF(X157=regle!$G$11,regle!$G$23,
IF(X157=regle!$H$11,regle!$H$23,
IF(X157=regle!$I$11,regle!$I$23,
IF(X157=regle!$J$11,regle!$J$23,
IF(X157=regle!$K$11,regle!$K$23,0))))))))))))</f>
        <v>0</v>
      </c>
      <c r="AI157" s="17">
        <f>IF($A157,$J157*(IF(Y157=regle!$B$11,regle!$B$23*IF(AR157=-2,1+regle!$B$35,1),
IF(Y157=regle!$C$11,regle!$C$23,
IF(Y157=regle!$D$11,regle!$D$23,
IF(Y157=regle!$E$11,regle!$E$23,
IF(Y157=regle!$F$11,regle!$F$23,
IF(Y157=regle!$G$11,regle!$G$23,
IF(Y157=regle!$H$11,regle!$H$23,
IF(Y157=regle!$I$11,regle!$I$23,
IF(Y157=regle!$J$11,regle!$J$23,
IF(Y157=regle!$K$11,regle!$K$23,0))))))))))))</f>
        <v>9704.268</v>
      </c>
      <c r="AJ157" s="17">
        <f>IF($A157,$J157*(IF(Z157=regle!$B$11,regle!$B$23*IF(AS157=-2,1+regle!$B$35,1),
IF(Z157=regle!$C$11,regle!$C$23,
IF(Z157=regle!$D$11,regle!$D$23,
IF(Z157=regle!$E$11,regle!$E$23,
IF(Z157=regle!$F$11,regle!$F$23,
IF(Z157=regle!$G$11,regle!$G$23,
IF(Z157=regle!$H$11,regle!$H$23,
IF(Z157=regle!$I$11,regle!$I$23,
IF(Z157=regle!$J$11,regle!$J$23,
IF(Z157=regle!$K$11,regle!$K$23,0))))))))))))</f>
        <v>0</v>
      </c>
      <c r="AK157" s="16">
        <f>IF(OR(Q157=regle!$J$11,Q157=regle!$K$11),-2,IF(Q157=regle!$B$11,0,IF(AK$1=$AK$1,IF($O157,-1,regle!$B$2-$M157),IF(AJ157=-1,-1,AJ157+1))))</f>
        <v>9</v>
      </c>
      <c r="AL157" s="16">
        <f>IF(OR(R157=regle!$J$11,R157=regle!$K$11),-2,IF(R157=regle!$B$11,0,IF(AL$1=$AK$1,IF($O157,-1,regle!$B$2-$M157),IF(AK157=-1,-1,AK157+1))))</f>
        <v>10</v>
      </c>
      <c r="AM157" s="16">
        <f>IF(OR(S157=regle!$J$11,S157=regle!$K$11),-2,IF(S157=regle!$B$11,0,IF(AM$1=$AK$1,IF($O157,-1,regle!$B$2-$M157),IF(AL157=-1,-1,AL157+1))))</f>
        <v>11</v>
      </c>
      <c r="AN157" s="16">
        <f>IF(OR(T157=regle!$J$11,T157=regle!$K$11),-2,IF(T157=regle!$B$11,0,IF(AN$1=$AK$1,IF($O157,-1,regle!$B$2-$M157),IF(AM157=-1,-1,AM157+1))))</f>
        <v>12</v>
      </c>
      <c r="AO157" s="16">
        <f>IF(OR(U157=regle!$J$11,U157=regle!$K$11),-2,IF(U157=regle!$B$11,0,IF(AO$1=$AK$1,IF($O157,-1,regle!$B$2-$M157),IF(AN157=-1,-1,AN157+1))))</f>
        <v>13</v>
      </c>
      <c r="AP157" s="16">
        <f>IF(OR(V157=regle!$J$11,V157=regle!$K$11),-2,IF(V157=regle!$B$11,0,IF(AP$1=$AK$1,IF($O157,-1,regle!$B$2-$M157),IF(AO157=-1,-1,AO157+1))))</f>
        <v>14</v>
      </c>
      <c r="AQ157" s="16">
        <f>IF(OR(W157=regle!$J$11,W157=regle!$K$11),-2,IF(W157=regle!$B$11,0,IF(AQ$1=$AK$1,IF($O157,-1,regle!$B$2-$M157),IF(AP157=-1,-1,AP157+1))))</f>
        <v>15</v>
      </c>
      <c r="AR157" s="16">
        <f>IF(OR(X157=regle!$J$11,X157=regle!$K$11),-2,IF(X157=regle!$B$11,0,IF(AR$1=$AK$1,IF($O157,-1,regle!$B$2-$M157),IF(AQ157=-1,-1,AQ157+1))))</f>
        <v>16</v>
      </c>
      <c r="AS157" s="16">
        <f>IF(OR(Y157=regle!$J$11,Y157=regle!$K$11),-2,IF(Y157=regle!$B$11,0,IF(AS$1=$AK$1,IF($O157,-1,regle!$B$2-$M157),IF(AR157=-1,-1,AR157+1))))</f>
        <v>17</v>
      </c>
      <c r="AT157" s="16">
        <f>IF(OR(Z157=regle!$J$11,Z157=regle!$K$11),-2,IF(Z157=regle!$B$11,0,IF(AT$1=$AK$1,IF($O157,-1,regle!$B$2-$M157),IF(AS157=-1,-1,AS157+1))))</f>
        <v>18</v>
      </c>
    </row>
    <row r="158" spans="1:46" x14ac:dyDescent="0.25">
      <c r="A158" t="b">
        <f>modif0!A60</f>
        <v>1</v>
      </c>
      <c r="B158">
        <f>ROW(modif0!B60)</f>
        <v>60</v>
      </c>
      <c r="C158" t="str">
        <f>modif0!D60</f>
        <v>536</v>
      </c>
      <c r="D158" t="str">
        <f>modif0!E60</f>
        <v>LE TUZAN</v>
      </c>
      <c r="E158">
        <f>modif0!F60</f>
        <v>21</v>
      </c>
      <c r="F158" t="str">
        <f>modif0!G60</f>
        <v>METAIRIES DE TABARTON</v>
      </c>
      <c r="G158" t="str">
        <f>modif0!I60</f>
        <v>0A</v>
      </c>
      <c r="H158">
        <f>modif0!J60</f>
        <v>523</v>
      </c>
      <c r="I158" t="str">
        <f>modif0!K60</f>
        <v>d</v>
      </c>
      <c r="J158" s="11">
        <f>modif0!M60</f>
        <v>10.603</v>
      </c>
      <c r="K158" s="11" t="str">
        <f>modif0!P60</f>
        <v>PLA</v>
      </c>
      <c r="L158" t="str">
        <f>modif0!N60</f>
        <v>PM</v>
      </c>
      <c r="M158">
        <f>modif0!Q60</f>
        <v>2015</v>
      </c>
      <c r="N158" t="str">
        <f>modif0!R60</f>
        <v>PLA-PM_2015</v>
      </c>
      <c r="O158" t="b">
        <f>modif0!S60</f>
        <v>0</v>
      </c>
      <c r="P158">
        <v>40</v>
      </c>
      <c r="T158" t="s">
        <v>1803</v>
      </c>
      <c r="Y158" t="s">
        <v>1804</v>
      </c>
      <c r="AA158" s="17">
        <f>IF($A158,$J158*(IF(Q158=regle!$B$11,regle!$B$23*IF(AJ158=-2,1+regle!$B$35,1),
IF(Q158=regle!$C$11,regle!$C$23,
IF(Q158=regle!$D$11,regle!$D$23,
IF(Q158=regle!$E$11,regle!$E$23,
IF(Q158=regle!$F$11,regle!$F$23,
IF(Q158=regle!$G$11,regle!$G$23,
IF(Q158=regle!$H$11,regle!$H$23,
IF(Q158=regle!$I$11,regle!$I$23,
IF(Q158=regle!$J$11,regle!$J$23,
IF(Q158=regle!$K$11,regle!$K$23,0))))))))))))</f>
        <v>0</v>
      </c>
      <c r="AB158" s="17">
        <f>IF($A158,$J158*(IF(R158=regle!$B$11,regle!$B$23*IF(AK158=-2,1+regle!$B$35,1),
IF(R158=regle!$C$11,regle!$C$23,
IF(R158=regle!$D$11,regle!$D$23,
IF(R158=regle!$E$11,regle!$E$23,
IF(R158=regle!$F$11,regle!$F$23,
IF(R158=regle!$G$11,regle!$G$23,
IF(R158=regle!$H$11,regle!$H$23,
IF(R158=regle!$I$11,regle!$I$23,
IF(R158=regle!$J$11,regle!$J$23,
IF(R158=regle!$K$11,regle!$K$23,0))))))))))))</f>
        <v>0</v>
      </c>
      <c r="AC158" s="17">
        <f>IF($A158,$J158*(IF(S158=regle!$B$11,regle!$B$23*IF(AL158=-2,1+regle!$B$35,1),
IF(S158=regle!$C$11,regle!$C$23,
IF(S158=regle!$D$11,regle!$D$23,
IF(S158=regle!$E$11,regle!$E$23,
IF(S158=regle!$F$11,regle!$F$23,
IF(S158=regle!$G$11,regle!$G$23,
IF(S158=regle!$H$11,regle!$H$23,
IF(S158=regle!$I$11,regle!$I$23,
IF(S158=regle!$J$11,regle!$J$23,
IF(S158=regle!$K$11,regle!$K$23,0))))))))))))</f>
        <v>0</v>
      </c>
      <c r="AD158" s="17">
        <f>IF($A158,$J158*(IF(T158=regle!$B$11,regle!$B$23*IF(AM158=-2,1+regle!$B$35,1),
IF(T158=regle!$C$11,regle!$C$23,
IF(T158=regle!$D$11,regle!$D$23,
IF(T158=regle!$E$11,regle!$E$23,
IF(T158=regle!$F$11,regle!$F$23,
IF(T158=regle!$G$11,regle!$G$23,
IF(T158=regle!$H$11,regle!$H$23,
IF(T158=regle!$I$11,regle!$I$23,
IF(T158=regle!$J$11,regle!$J$23,
IF(T158=regle!$K$11,regle!$K$23,0))))))))))))</f>
        <v>6107.3279999999995</v>
      </c>
      <c r="AE158" s="17">
        <f>IF($A158,$J158*(IF(U158=regle!$B$11,regle!$B$23*IF(AN158=-2,1+regle!$B$35,1),
IF(U158=regle!$C$11,regle!$C$23,
IF(U158=regle!$D$11,regle!$D$23,
IF(U158=regle!$E$11,regle!$E$23,
IF(U158=regle!$F$11,regle!$F$23,
IF(U158=regle!$G$11,regle!$G$23,
IF(U158=regle!$H$11,regle!$H$23,
IF(U158=regle!$I$11,regle!$I$23,
IF(U158=regle!$J$11,regle!$J$23,
IF(U158=regle!$K$11,regle!$K$23,0))))))))))))</f>
        <v>0</v>
      </c>
      <c r="AF158" s="17">
        <f>IF($A158,$J158*(IF(V158=regle!$B$11,regle!$B$23*IF(AO158=-2,1+regle!$B$35,1),
IF(V158=regle!$C$11,regle!$C$23,
IF(V158=regle!$D$11,regle!$D$23,
IF(V158=regle!$E$11,regle!$E$23,
IF(V158=regle!$F$11,regle!$F$23,
IF(V158=regle!$G$11,regle!$G$23,
IF(V158=regle!$H$11,regle!$H$23,
IF(V158=regle!$I$11,regle!$I$23,
IF(V158=regle!$J$11,regle!$J$23,
IF(V158=regle!$K$11,regle!$K$23,0))))))))))))</f>
        <v>0</v>
      </c>
      <c r="AG158" s="17">
        <f>IF($A158,$J158*(IF(W158=regle!$B$11,regle!$B$23*IF(AP158=-2,1+regle!$B$35,1),
IF(W158=regle!$C$11,regle!$C$23,
IF(W158=regle!$D$11,regle!$D$23,
IF(W158=regle!$E$11,regle!$E$23,
IF(W158=regle!$F$11,regle!$F$23,
IF(W158=regle!$G$11,regle!$G$23,
IF(W158=regle!$H$11,regle!$H$23,
IF(W158=regle!$I$11,regle!$I$23,
IF(W158=regle!$J$11,regle!$J$23,
IF(W158=regle!$K$11,regle!$K$23,0))))))))))))</f>
        <v>0</v>
      </c>
      <c r="AH158" s="17">
        <f>IF($A158,$J158*(IF(X158=regle!$B$11,regle!$B$23*IF(AQ158=-2,1+regle!$B$35,1),
IF(X158=regle!$C$11,regle!$C$23,
IF(X158=regle!$D$11,regle!$D$23,
IF(X158=regle!$E$11,regle!$E$23,
IF(X158=regle!$F$11,regle!$F$23,
IF(X158=regle!$G$11,regle!$G$23,
IF(X158=regle!$H$11,regle!$H$23,
IF(X158=regle!$I$11,regle!$I$23,
IF(X158=regle!$J$11,regle!$J$23,
IF(X158=regle!$K$11,regle!$K$23,0))))))))))))</f>
        <v>0</v>
      </c>
      <c r="AI158" s="17">
        <f>IF($A158,$J158*(IF(Y158=regle!$B$11,regle!$B$23*IF(AR158=-2,1+regle!$B$35,1),
IF(Y158=regle!$C$11,regle!$C$23,
IF(Y158=regle!$D$11,regle!$D$23,
IF(Y158=regle!$E$11,regle!$E$23,
IF(Y158=regle!$F$11,regle!$F$23,
IF(Y158=regle!$G$11,regle!$G$23,
IF(Y158=regle!$H$11,regle!$H$23,
IF(Y158=regle!$I$11,regle!$I$23,
IF(Y158=regle!$J$11,regle!$J$23,
IF(Y158=regle!$K$11,regle!$K$23,0))))))))))))</f>
        <v>8906.52</v>
      </c>
      <c r="AJ158" s="17">
        <f>IF($A158,$J158*(IF(Z158=regle!$B$11,regle!$B$23*IF(AS158=-2,1+regle!$B$35,1),
IF(Z158=regle!$C$11,regle!$C$23,
IF(Z158=regle!$D$11,regle!$D$23,
IF(Z158=regle!$E$11,regle!$E$23,
IF(Z158=regle!$F$11,regle!$F$23,
IF(Z158=regle!$G$11,regle!$G$23,
IF(Z158=regle!$H$11,regle!$H$23,
IF(Z158=regle!$I$11,regle!$I$23,
IF(Z158=regle!$J$11,regle!$J$23,
IF(Z158=regle!$K$11,regle!$K$23,0))))))))))))</f>
        <v>0</v>
      </c>
      <c r="AK158" s="16">
        <f>IF(OR(Q158=regle!$J$11,Q158=regle!$K$11),-2,IF(Q158=regle!$B$11,0,IF(AK$1=$AK$1,IF($O158,-1,regle!$B$2-$M158),IF(AJ158=-1,-1,AJ158+1))))</f>
        <v>9</v>
      </c>
      <c r="AL158" s="16">
        <f>IF(OR(R158=regle!$J$11,R158=regle!$K$11),-2,IF(R158=regle!$B$11,0,IF(AL$1=$AK$1,IF($O158,-1,regle!$B$2-$M158),IF(AK158=-1,-1,AK158+1))))</f>
        <v>10</v>
      </c>
      <c r="AM158" s="16">
        <f>IF(OR(S158=regle!$J$11,S158=regle!$K$11),-2,IF(S158=regle!$B$11,0,IF(AM$1=$AK$1,IF($O158,-1,regle!$B$2-$M158),IF(AL158=-1,-1,AL158+1))))</f>
        <v>11</v>
      </c>
      <c r="AN158" s="16">
        <f>IF(OR(T158=regle!$J$11,T158=regle!$K$11),-2,IF(T158=regle!$B$11,0,IF(AN$1=$AK$1,IF($O158,-1,regle!$B$2-$M158),IF(AM158=-1,-1,AM158+1))))</f>
        <v>12</v>
      </c>
      <c r="AO158" s="16">
        <f>IF(OR(U158=regle!$J$11,U158=regle!$K$11),-2,IF(U158=regle!$B$11,0,IF(AO$1=$AK$1,IF($O158,-1,regle!$B$2-$M158),IF(AN158=-1,-1,AN158+1))))</f>
        <v>13</v>
      </c>
      <c r="AP158" s="16">
        <f>IF(OR(V158=regle!$J$11,V158=regle!$K$11),-2,IF(V158=regle!$B$11,0,IF(AP$1=$AK$1,IF($O158,-1,regle!$B$2-$M158),IF(AO158=-1,-1,AO158+1))))</f>
        <v>14</v>
      </c>
      <c r="AQ158" s="16">
        <f>IF(OR(W158=regle!$J$11,W158=regle!$K$11),-2,IF(W158=regle!$B$11,0,IF(AQ$1=$AK$1,IF($O158,-1,regle!$B$2-$M158),IF(AP158=-1,-1,AP158+1))))</f>
        <v>15</v>
      </c>
      <c r="AR158" s="16">
        <f>IF(OR(X158=regle!$J$11,X158=regle!$K$11),-2,IF(X158=regle!$B$11,0,IF(AR$1=$AK$1,IF($O158,-1,regle!$B$2-$M158),IF(AQ158=-1,-1,AQ158+1))))</f>
        <v>16</v>
      </c>
      <c r="AS158" s="16">
        <f>IF(OR(Y158=regle!$J$11,Y158=regle!$K$11),-2,IF(Y158=regle!$B$11,0,IF(AS$1=$AK$1,IF($O158,-1,regle!$B$2-$M158),IF(AR158=-1,-1,AR158+1))))</f>
        <v>17</v>
      </c>
      <c r="AT158" s="16">
        <f>IF(OR(Z158=regle!$J$11,Z158=regle!$K$11),-2,IF(Z158=regle!$B$11,0,IF(AT$1=$AK$1,IF($O158,-1,regle!$B$2-$M158),IF(AS158=-1,-1,AS158+1))))</f>
        <v>18</v>
      </c>
    </row>
    <row r="159" spans="1:46" x14ac:dyDescent="0.25">
      <c r="A159" t="b">
        <f>modif0!A325</f>
        <v>1</v>
      </c>
      <c r="B159">
        <f>ROW(modif0!B325)</f>
        <v>325</v>
      </c>
      <c r="C159" t="str">
        <f>modif0!D325</f>
        <v>077</v>
      </c>
      <c r="D159" t="str">
        <f>modif0!E325</f>
        <v>CABANAC-ET-VILLAGRAINS</v>
      </c>
      <c r="E159">
        <f>modif0!F325</f>
        <v>13</v>
      </c>
      <c r="F159" t="str">
        <f>modif0!G325</f>
        <v>LAGUNE LONGUE</v>
      </c>
      <c r="G159" t="str">
        <f>modif0!I325</f>
        <v>0D</v>
      </c>
      <c r="H159">
        <f>modif0!J325</f>
        <v>1511</v>
      </c>
      <c r="I159" t="str">
        <f>modif0!K325</f>
        <v>l</v>
      </c>
      <c r="J159" s="11">
        <f>modif0!M325</f>
        <v>4.649</v>
      </c>
      <c r="K159" s="11" t="str">
        <f>modif0!P325</f>
        <v>PLA</v>
      </c>
      <c r="L159" t="str">
        <f>modif0!N325</f>
        <v>PM</v>
      </c>
      <c r="M159">
        <f>modif0!Q325</f>
        <v>2015</v>
      </c>
      <c r="N159" t="str">
        <f>modif0!R325</f>
        <v>PLA-PM_2015</v>
      </c>
      <c r="O159" t="b">
        <f>modif0!S325</f>
        <v>0</v>
      </c>
      <c r="P159">
        <v>40</v>
      </c>
      <c r="T159" t="s">
        <v>1803</v>
      </c>
      <c r="Y159" t="s">
        <v>1804</v>
      </c>
      <c r="AA159" s="17">
        <f>IF($A159,$J159*(IF(Q159=regle!$B$11,regle!$B$23*IF(AJ159=-2,1+regle!$B$35,1),
IF(Q159=regle!$C$11,regle!$C$23,
IF(Q159=regle!$D$11,regle!$D$23,
IF(Q159=regle!$E$11,regle!$E$23,
IF(Q159=regle!$F$11,regle!$F$23,
IF(Q159=regle!$G$11,regle!$G$23,
IF(Q159=regle!$H$11,regle!$H$23,
IF(Q159=regle!$I$11,regle!$I$23,
IF(Q159=regle!$J$11,regle!$J$23,
IF(Q159=regle!$K$11,regle!$K$23,0))))))))))))</f>
        <v>0</v>
      </c>
      <c r="AB159" s="17">
        <f>IF($A159,$J159*(IF(R159=regle!$B$11,regle!$B$23*IF(AK159=-2,1+regle!$B$35,1),
IF(R159=regle!$C$11,regle!$C$23,
IF(R159=regle!$D$11,regle!$D$23,
IF(R159=regle!$E$11,regle!$E$23,
IF(R159=regle!$F$11,regle!$F$23,
IF(R159=regle!$G$11,regle!$G$23,
IF(R159=regle!$H$11,regle!$H$23,
IF(R159=regle!$I$11,regle!$I$23,
IF(R159=regle!$J$11,regle!$J$23,
IF(R159=regle!$K$11,regle!$K$23,0))))))))))))</f>
        <v>0</v>
      </c>
      <c r="AC159" s="17">
        <f>IF($A159,$J159*(IF(S159=regle!$B$11,regle!$B$23*IF(AL159=-2,1+regle!$B$35,1),
IF(S159=regle!$C$11,regle!$C$23,
IF(S159=regle!$D$11,regle!$D$23,
IF(S159=regle!$E$11,regle!$E$23,
IF(S159=regle!$F$11,regle!$F$23,
IF(S159=regle!$G$11,regle!$G$23,
IF(S159=regle!$H$11,regle!$H$23,
IF(S159=regle!$I$11,regle!$I$23,
IF(S159=regle!$J$11,regle!$J$23,
IF(S159=regle!$K$11,regle!$K$23,0))))))))))))</f>
        <v>0</v>
      </c>
      <c r="AD159" s="17">
        <f>IF($A159,$J159*(IF(T159=regle!$B$11,regle!$B$23*IF(AM159=-2,1+regle!$B$35,1),
IF(T159=regle!$C$11,regle!$C$23,
IF(T159=regle!$D$11,regle!$D$23,
IF(T159=regle!$E$11,regle!$E$23,
IF(T159=regle!$F$11,regle!$F$23,
IF(T159=regle!$G$11,regle!$G$23,
IF(T159=regle!$H$11,regle!$H$23,
IF(T159=regle!$I$11,regle!$I$23,
IF(T159=regle!$J$11,regle!$J$23,
IF(T159=regle!$K$11,regle!$K$23,0))))))))))))</f>
        <v>2677.8240000000001</v>
      </c>
      <c r="AE159" s="17">
        <f>IF($A159,$J159*(IF(U159=regle!$B$11,regle!$B$23*IF(AN159=-2,1+regle!$B$35,1),
IF(U159=regle!$C$11,regle!$C$23,
IF(U159=regle!$D$11,regle!$D$23,
IF(U159=regle!$E$11,regle!$E$23,
IF(U159=regle!$F$11,regle!$F$23,
IF(U159=regle!$G$11,regle!$G$23,
IF(U159=regle!$H$11,regle!$H$23,
IF(U159=regle!$I$11,regle!$I$23,
IF(U159=regle!$J$11,regle!$J$23,
IF(U159=regle!$K$11,regle!$K$23,0))))))))))))</f>
        <v>0</v>
      </c>
      <c r="AF159" s="17">
        <f>IF($A159,$J159*(IF(V159=regle!$B$11,regle!$B$23*IF(AO159=-2,1+regle!$B$35,1),
IF(V159=regle!$C$11,regle!$C$23,
IF(V159=regle!$D$11,regle!$D$23,
IF(V159=regle!$E$11,regle!$E$23,
IF(V159=regle!$F$11,regle!$F$23,
IF(V159=regle!$G$11,regle!$G$23,
IF(V159=regle!$H$11,regle!$H$23,
IF(V159=regle!$I$11,regle!$I$23,
IF(V159=regle!$J$11,regle!$J$23,
IF(V159=regle!$K$11,regle!$K$23,0))))))))))))</f>
        <v>0</v>
      </c>
      <c r="AG159" s="17">
        <f>IF($A159,$J159*(IF(W159=regle!$B$11,regle!$B$23*IF(AP159=-2,1+regle!$B$35,1),
IF(W159=regle!$C$11,regle!$C$23,
IF(W159=regle!$D$11,regle!$D$23,
IF(W159=regle!$E$11,regle!$E$23,
IF(W159=regle!$F$11,regle!$F$23,
IF(W159=regle!$G$11,regle!$G$23,
IF(W159=regle!$H$11,regle!$H$23,
IF(W159=regle!$I$11,regle!$I$23,
IF(W159=regle!$J$11,regle!$J$23,
IF(W159=regle!$K$11,regle!$K$23,0))))))))))))</f>
        <v>0</v>
      </c>
      <c r="AH159" s="17">
        <f>IF($A159,$J159*(IF(X159=regle!$B$11,regle!$B$23*IF(AQ159=-2,1+regle!$B$35,1),
IF(X159=regle!$C$11,regle!$C$23,
IF(X159=regle!$D$11,regle!$D$23,
IF(X159=regle!$E$11,regle!$E$23,
IF(X159=regle!$F$11,regle!$F$23,
IF(X159=regle!$G$11,regle!$G$23,
IF(X159=regle!$H$11,regle!$H$23,
IF(X159=regle!$I$11,regle!$I$23,
IF(X159=regle!$J$11,regle!$J$23,
IF(X159=regle!$K$11,regle!$K$23,0))))))))))))</f>
        <v>0</v>
      </c>
      <c r="AI159" s="17">
        <f>IF($A159,$J159*(IF(Y159=regle!$B$11,regle!$B$23*IF(AR159=-2,1+regle!$B$35,1),
IF(Y159=regle!$C$11,regle!$C$23,
IF(Y159=regle!$D$11,regle!$D$23,
IF(Y159=regle!$E$11,regle!$E$23,
IF(Y159=regle!$F$11,regle!$F$23,
IF(Y159=regle!$G$11,regle!$G$23,
IF(Y159=regle!$H$11,regle!$H$23,
IF(Y159=regle!$I$11,regle!$I$23,
IF(Y159=regle!$J$11,regle!$J$23,
IF(Y159=regle!$K$11,regle!$K$23,0))))))))))))</f>
        <v>3905.16</v>
      </c>
      <c r="AJ159" s="17">
        <f>IF($A159,$J159*(IF(Z159=regle!$B$11,regle!$B$23*IF(AS159=-2,1+regle!$B$35,1),
IF(Z159=regle!$C$11,regle!$C$23,
IF(Z159=regle!$D$11,regle!$D$23,
IF(Z159=regle!$E$11,regle!$E$23,
IF(Z159=regle!$F$11,regle!$F$23,
IF(Z159=regle!$G$11,regle!$G$23,
IF(Z159=regle!$H$11,regle!$H$23,
IF(Z159=regle!$I$11,regle!$I$23,
IF(Z159=regle!$J$11,regle!$J$23,
IF(Z159=regle!$K$11,regle!$K$23,0))))))))))))</f>
        <v>0</v>
      </c>
      <c r="AK159" s="16">
        <f>IF(OR(Q159=regle!$J$11,Q159=regle!$K$11),-2,IF(Q159=regle!$B$11,0,IF(AK$1=$AK$1,IF($O159,-1,regle!$B$2-$M159),IF(AJ159=-1,-1,AJ159+1))))</f>
        <v>9</v>
      </c>
      <c r="AL159" s="16">
        <f>IF(OR(R159=regle!$J$11,R159=regle!$K$11),-2,IF(R159=regle!$B$11,0,IF(AL$1=$AK$1,IF($O159,-1,regle!$B$2-$M159),IF(AK159=-1,-1,AK159+1))))</f>
        <v>10</v>
      </c>
      <c r="AM159" s="16">
        <f>IF(OR(S159=regle!$J$11,S159=regle!$K$11),-2,IF(S159=regle!$B$11,0,IF(AM$1=$AK$1,IF($O159,-1,regle!$B$2-$M159),IF(AL159=-1,-1,AL159+1))))</f>
        <v>11</v>
      </c>
      <c r="AN159" s="16">
        <f>IF(OR(T159=regle!$J$11,T159=regle!$K$11),-2,IF(T159=regle!$B$11,0,IF(AN$1=$AK$1,IF($O159,-1,regle!$B$2-$M159),IF(AM159=-1,-1,AM159+1))))</f>
        <v>12</v>
      </c>
      <c r="AO159" s="16">
        <f>IF(OR(U159=regle!$J$11,U159=regle!$K$11),-2,IF(U159=regle!$B$11,0,IF(AO$1=$AK$1,IF($O159,-1,regle!$B$2-$M159),IF(AN159=-1,-1,AN159+1))))</f>
        <v>13</v>
      </c>
      <c r="AP159" s="16">
        <f>IF(OR(V159=regle!$J$11,V159=regle!$K$11),-2,IF(V159=regle!$B$11,0,IF(AP$1=$AK$1,IF($O159,-1,regle!$B$2-$M159),IF(AO159=-1,-1,AO159+1))))</f>
        <v>14</v>
      </c>
      <c r="AQ159" s="16">
        <f>IF(OR(W159=regle!$J$11,W159=regle!$K$11),-2,IF(W159=regle!$B$11,0,IF(AQ$1=$AK$1,IF($O159,-1,regle!$B$2-$M159),IF(AP159=-1,-1,AP159+1))))</f>
        <v>15</v>
      </c>
      <c r="AR159" s="16">
        <f>IF(OR(X159=regle!$J$11,X159=regle!$K$11),-2,IF(X159=regle!$B$11,0,IF(AR$1=$AK$1,IF($O159,-1,regle!$B$2-$M159),IF(AQ159=-1,-1,AQ159+1))))</f>
        <v>16</v>
      </c>
      <c r="AS159" s="16">
        <f>IF(OR(Y159=regle!$J$11,Y159=regle!$K$11),-2,IF(Y159=regle!$B$11,0,IF(AS$1=$AK$1,IF($O159,-1,regle!$B$2-$M159),IF(AR159=-1,-1,AR159+1))))</f>
        <v>17</v>
      </c>
      <c r="AT159" s="16">
        <f>IF(OR(Z159=regle!$J$11,Z159=regle!$K$11),-2,IF(Z159=regle!$B$11,0,IF(AT$1=$AK$1,IF($O159,-1,regle!$B$2-$M159),IF(AS159=-1,-1,AS159+1))))</f>
        <v>18</v>
      </c>
    </row>
    <row r="160" spans="1:46" x14ac:dyDescent="0.25">
      <c r="A160" t="b">
        <f>modif0!A326</f>
        <v>1</v>
      </c>
      <c r="B160">
        <f>ROW(modif0!B326)</f>
        <v>326</v>
      </c>
      <c r="C160" t="str">
        <f>modif0!D326</f>
        <v>077</v>
      </c>
      <c r="D160" t="str">
        <f>modif0!E326</f>
        <v>CABANAC-ET-VILLAGRAINS</v>
      </c>
      <c r="E160">
        <f>modif0!F326</f>
        <v>13</v>
      </c>
      <c r="F160" t="str">
        <f>modif0!G326</f>
        <v>LAGUNE LONGUE</v>
      </c>
      <c r="G160" t="str">
        <f>modif0!I326</f>
        <v>0D</v>
      </c>
      <c r="H160">
        <f>modif0!J326</f>
        <v>1511</v>
      </c>
      <c r="I160" t="str">
        <f>modif0!K326</f>
        <v>m</v>
      </c>
      <c r="J160" s="11">
        <f>modif0!M326</f>
        <v>3.1265999999999998</v>
      </c>
      <c r="K160" s="11" t="str">
        <f>modif0!P326</f>
        <v>PLA</v>
      </c>
      <c r="L160" t="str">
        <f>modif0!N326</f>
        <v>PM</v>
      </c>
      <c r="M160">
        <f>modif0!Q326</f>
        <v>2015</v>
      </c>
      <c r="N160" t="str">
        <f>modif0!R326</f>
        <v>PLA-PM_2015</v>
      </c>
      <c r="O160" t="b">
        <f>modif0!S326</f>
        <v>0</v>
      </c>
      <c r="P160">
        <v>40</v>
      </c>
      <c r="T160" t="s">
        <v>1803</v>
      </c>
      <c r="Y160" t="s">
        <v>1804</v>
      </c>
      <c r="AA160" s="17">
        <f>IF($A160,$J160*(IF(Q160=regle!$B$11,regle!$B$23*IF(AJ160=-2,1+regle!$B$35,1),
IF(Q160=regle!$C$11,regle!$C$23,
IF(Q160=regle!$D$11,regle!$D$23,
IF(Q160=regle!$E$11,regle!$E$23,
IF(Q160=regle!$F$11,regle!$F$23,
IF(Q160=regle!$G$11,regle!$G$23,
IF(Q160=regle!$H$11,regle!$H$23,
IF(Q160=regle!$I$11,regle!$I$23,
IF(Q160=regle!$J$11,regle!$J$23,
IF(Q160=regle!$K$11,regle!$K$23,0))))))))))))</f>
        <v>0</v>
      </c>
      <c r="AB160" s="17">
        <f>IF($A160,$J160*(IF(R160=regle!$B$11,regle!$B$23*IF(AK160=-2,1+regle!$B$35,1),
IF(R160=regle!$C$11,regle!$C$23,
IF(R160=regle!$D$11,regle!$D$23,
IF(R160=regle!$E$11,regle!$E$23,
IF(R160=regle!$F$11,regle!$F$23,
IF(R160=regle!$G$11,regle!$G$23,
IF(R160=regle!$H$11,regle!$H$23,
IF(R160=regle!$I$11,regle!$I$23,
IF(R160=regle!$J$11,regle!$J$23,
IF(R160=regle!$K$11,regle!$K$23,0))))))))))))</f>
        <v>0</v>
      </c>
      <c r="AC160" s="17">
        <f>IF($A160,$J160*(IF(S160=regle!$B$11,regle!$B$23*IF(AL160=-2,1+regle!$B$35,1),
IF(S160=regle!$C$11,regle!$C$23,
IF(S160=regle!$D$11,regle!$D$23,
IF(S160=regle!$E$11,regle!$E$23,
IF(S160=regle!$F$11,regle!$F$23,
IF(S160=regle!$G$11,regle!$G$23,
IF(S160=regle!$H$11,regle!$H$23,
IF(S160=regle!$I$11,regle!$I$23,
IF(S160=regle!$J$11,regle!$J$23,
IF(S160=regle!$K$11,regle!$K$23,0))))))))))))</f>
        <v>0</v>
      </c>
      <c r="AD160" s="17">
        <f>IF($A160,$J160*(IF(T160=regle!$B$11,regle!$B$23*IF(AM160=-2,1+regle!$B$35,1),
IF(T160=regle!$C$11,regle!$C$23,
IF(T160=regle!$D$11,regle!$D$23,
IF(T160=regle!$E$11,regle!$E$23,
IF(T160=regle!$F$11,regle!$F$23,
IF(T160=regle!$G$11,regle!$G$23,
IF(T160=regle!$H$11,regle!$H$23,
IF(T160=regle!$I$11,regle!$I$23,
IF(T160=regle!$J$11,regle!$J$23,
IF(T160=regle!$K$11,regle!$K$23,0))))))))))))</f>
        <v>1800.9215999999999</v>
      </c>
      <c r="AE160" s="17">
        <f>IF($A160,$J160*(IF(U160=regle!$B$11,regle!$B$23*IF(AN160=-2,1+regle!$B$35,1),
IF(U160=regle!$C$11,regle!$C$23,
IF(U160=regle!$D$11,regle!$D$23,
IF(U160=regle!$E$11,regle!$E$23,
IF(U160=regle!$F$11,regle!$F$23,
IF(U160=regle!$G$11,regle!$G$23,
IF(U160=regle!$H$11,regle!$H$23,
IF(U160=regle!$I$11,regle!$I$23,
IF(U160=regle!$J$11,regle!$J$23,
IF(U160=regle!$K$11,regle!$K$23,0))))))))))))</f>
        <v>0</v>
      </c>
      <c r="AF160" s="17">
        <f>IF($A160,$J160*(IF(V160=regle!$B$11,regle!$B$23*IF(AO160=-2,1+regle!$B$35,1),
IF(V160=regle!$C$11,regle!$C$23,
IF(V160=regle!$D$11,regle!$D$23,
IF(V160=regle!$E$11,regle!$E$23,
IF(V160=regle!$F$11,regle!$F$23,
IF(V160=regle!$G$11,regle!$G$23,
IF(V160=regle!$H$11,regle!$H$23,
IF(V160=regle!$I$11,regle!$I$23,
IF(V160=regle!$J$11,regle!$J$23,
IF(V160=regle!$K$11,regle!$K$23,0))))))))))))</f>
        <v>0</v>
      </c>
      <c r="AG160" s="17">
        <f>IF($A160,$J160*(IF(W160=regle!$B$11,regle!$B$23*IF(AP160=-2,1+regle!$B$35,1),
IF(W160=regle!$C$11,regle!$C$23,
IF(W160=regle!$D$11,regle!$D$23,
IF(W160=regle!$E$11,regle!$E$23,
IF(W160=regle!$F$11,regle!$F$23,
IF(W160=regle!$G$11,regle!$G$23,
IF(W160=regle!$H$11,regle!$H$23,
IF(W160=regle!$I$11,regle!$I$23,
IF(W160=regle!$J$11,regle!$J$23,
IF(W160=regle!$K$11,regle!$K$23,0))))))))))))</f>
        <v>0</v>
      </c>
      <c r="AH160" s="17">
        <f>IF($A160,$J160*(IF(X160=regle!$B$11,regle!$B$23*IF(AQ160=-2,1+regle!$B$35,1),
IF(X160=regle!$C$11,regle!$C$23,
IF(X160=regle!$D$11,regle!$D$23,
IF(X160=regle!$E$11,regle!$E$23,
IF(X160=regle!$F$11,regle!$F$23,
IF(X160=regle!$G$11,regle!$G$23,
IF(X160=regle!$H$11,regle!$H$23,
IF(X160=regle!$I$11,regle!$I$23,
IF(X160=regle!$J$11,regle!$J$23,
IF(X160=regle!$K$11,regle!$K$23,0))))))))))))</f>
        <v>0</v>
      </c>
      <c r="AI160" s="17">
        <f>IF($A160,$J160*(IF(Y160=regle!$B$11,regle!$B$23*IF(AR160=-2,1+regle!$B$35,1),
IF(Y160=regle!$C$11,regle!$C$23,
IF(Y160=regle!$D$11,regle!$D$23,
IF(Y160=regle!$E$11,regle!$E$23,
IF(Y160=regle!$F$11,regle!$F$23,
IF(Y160=regle!$G$11,regle!$G$23,
IF(Y160=regle!$H$11,regle!$H$23,
IF(Y160=regle!$I$11,regle!$I$23,
IF(Y160=regle!$J$11,regle!$J$23,
IF(Y160=regle!$K$11,regle!$K$23,0))))))))))))</f>
        <v>2626.3440000000001</v>
      </c>
      <c r="AJ160" s="17">
        <f>IF($A160,$J160*(IF(Z160=regle!$B$11,regle!$B$23*IF(AS160=-2,1+regle!$B$35,1),
IF(Z160=regle!$C$11,regle!$C$23,
IF(Z160=regle!$D$11,regle!$D$23,
IF(Z160=regle!$E$11,regle!$E$23,
IF(Z160=regle!$F$11,regle!$F$23,
IF(Z160=regle!$G$11,regle!$G$23,
IF(Z160=regle!$H$11,regle!$H$23,
IF(Z160=regle!$I$11,regle!$I$23,
IF(Z160=regle!$J$11,regle!$J$23,
IF(Z160=regle!$K$11,regle!$K$23,0))))))))))))</f>
        <v>0</v>
      </c>
      <c r="AK160" s="16">
        <f>IF(OR(Q160=regle!$J$11,Q160=regle!$K$11),-2,IF(Q160=regle!$B$11,0,IF(AK$1=$AK$1,IF($O160,-1,regle!$B$2-$M160),IF(AJ160=-1,-1,AJ160+1))))</f>
        <v>9</v>
      </c>
      <c r="AL160" s="16">
        <f>IF(OR(R160=regle!$J$11,R160=regle!$K$11),-2,IF(R160=regle!$B$11,0,IF(AL$1=$AK$1,IF($O160,-1,regle!$B$2-$M160),IF(AK160=-1,-1,AK160+1))))</f>
        <v>10</v>
      </c>
      <c r="AM160" s="16">
        <f>IF(OR(S160=regle!$J$11,S160=regle!$K$11),-2,IF(S160=regle!$B$11,0,IF(AM$1=$AK$1,IF($O160,-1,regle!$B$2-$M160),IF(AL160=-1,-1,AL160+1))))</f>
        <v>11</v>
      </c>
      <c r="AN160" s="16">
        <f>IF(OR(T160=regle!$J$11,T160=regle!$K$11),-2,IF(T160=regle!$B$11,0,IF(AN$1=$AK$1,IF($O160,-1,regle!$B$2-$M160),IF(AM160=-1,-1,AM160+1))))</f>
        <v>12</v>
      </c>
      <c r="AO160" s="16">
        <f>IF(OR(U160=regle!$J$11,U160=regle!$K$11),-2,IF(U160=regle!$B$11,0,IF(AO$1=$AK$1,IF($O160,-1,regle!$B$2-$M160),IF(AN160=-1,-1,AN160+1))))</f>
        <v>13</v>
      </c>
      <c r="AP160" s="16">
        <f>IF(OR(V160=regle!$J$11,V160=regle!$K$11),-2,IF(V160=regle!$B$11,0,IF(AP$1=$AK$1,IF($O160,-1,regle!$B$2-$M160),IF(AO160=-1,-1,AO160+1))))</f>
        <v>14</v>
      </c>
      <c r="AQ160" s="16">
        <f>IF(OR(W160=regle!$J$11,W160=regle!$K$11),-2,IF(W160=regle!$B$11,0,IF(AQ$1=$AK$1,IF($O160,-1,regle!$B$2-$M160),IF(AP160=-1,-1,AP160+1))))</f>
        <v>15</v>
      </c>
      <c r="AR160" s="16">
        <f>IF(OR(X160=regle!$J$11,X160=regle!$K$11),-2,IF(X160=regle!$B$11,0,IF(AR$1=$AK$1,IF($O160,-1,regle!$B$2-$M160),IF(AQ160=-1,-1,AQ160+1))))</f>
        <v>16</v>
      </c>
      <c r="AS160" s="16">
        <f>IF(OR(Y160=regle!$J$11,Y160=regle!$K$11),-2,IF(Y160=regle!$B$11,0,IF(AS$1=$AK$1,IF($O160,-1,regle!$B$2-$M160),IF(AR160=-1,-1,AR160+1))))</f>
        <v>17</v>
      </c>
      <c r="AT160" s="16">
        <f>IF(OR(Z160=regle!$J$11,Z160=regle!$K$11),-2,IF(Z160=regle!$B$11,0,IF(AT$1=$AK$1,IF($O160,-1,regle!$B$2-$M160),IF(AS160=-1,-1,AS160+1))))</f>
        <v>18</v>
      </c>
    </row>
    <row r="161" spans="1:46" x14ac:dyDescent="0.25">
      <c r="A161" t="b">
        <f>modif0!A129</f>
        <v>1</v>
      </c>
      <c r="B161">
        <f>ROW(modif0!B129)</f>
        <v>129</v>
      </c>
      <c r="C161" t="str">
        <f>modif0!D129</f>
        <v>202</v>
      </c>
      <c r="D161" t="str">
        <f>modif0!E129</f>
        <v>HOSTENS</v>
      </c>
      <c r="E161">
        <f>modif0!F129</f>
        <v>11</v>
      </c>
      <c r="F161" t="str">
        <f>modif0!G129</f>
        <v>LES CAZALAS</v>
      </c>
      <c r="G161" t="str">
        <f>modif0!I129</f>
        <v>0B</v>
      </c>
      <c r="H161">
        <f>modif0!J129</f>
        <v>1155</v>
      </c>
      <c r="I161" t="str">
        <f>modif0!K129</f>
        <v>k</v>
      </c>
      <c r="J161" s="11">
        <f>modif0!M129</f>
        <v>2.2566999999999999</v>
      </c>
      <c r="K161" s="11" t="str">
        <f>modif0!P129</f>
        <v>PLA</v>
      </c>
      <c r="L161" t="str">
        <f>modif0!N129</f>
        <v>PM</v>
      </c>
      <c r="M161">
        <f>modif0!Q129</f>
        <v>2015</v>
      </c>
      <c r="N161" t="str">
        <f>modif0!R129</f>
        <v>PLA-PM_2015</v>
      </c>
      <c r="O161" t="b">
        <f>modif0!S129</f>
        <v>0</v>
      </c>
      <c r="P161">
        <v>40</v>
      </c>
      <c r="T161" t="s">
        <v>1803</v>
      </c>
      <c r="Y161" t="s">
        <v>1804</v>
      </c>
      <c r="AA161" s="17">
        <f>IF($A161,$J161*(IF(Q161=regle!$B$11,regle!$B$23*IF(AJ161=-2,1+regle!$B$35,1),
IF(Q161=regle!$C$11,regle!$C$23,
IF(Q161=regle!$D$11,regle!$D$23,
IF(Q161=regle!$E$11,regle!$E$23,
IF(Q161=regle!$F$11,regle!$F$23,
IF(Q161=regle!$G$11,regle!$G$23,
IF(Q161=regle!$H$11,regle!$H$23,
IF(Q161=regle!$I$11,regle!$I$23,
IF(Q161=regle!$J$11,regle!$J$23,
IF(Q161=regle!$K$11,regle!$K$23,0))))))))))))</f>
        <v>0</v>
      </c>
      <c r="AB161" s="17">
        <f>IF($A161,$J161*(IF(R161=regle!$B$11,regle!$B$23*IF(AK161=-2,1+regle!$B$35,1),
IF(R161=regle!$C$11,regle!$C$23,
IF(R161=regle!$D$11,regle!$D$23,
IF(R161=regle!$E$11,regle!$E$23,
IF(R161=regle!$F$11,regle!$F$23,
IF(R161=regle!$G$11,regle!$G$23,
IF(R161=regle!$H$11,regle!$H$23,
IF(R161=regle!$I$11,regle!$I$23,
IF(R161=regle!$J$11,regle!$J$23,
IF(R161=regle!$K$11,regle!$K$23,0))))))))))))</f>
        <v>0</v>
      </c>
      <c r="AC161" s="17">
        <f>IF($A161,$J161*(IF(S161=regle!$B$11,regle!$B$23*IF(AL161=-2,1+regle!$B$35,1),
IF(S161=regle!$C$11,regle!$C$23,
IF(S161=regle!$D$11,regle!$D$23,
IF(S161=regle!$E$11,regle!$E$23,
IF(S161=regle!$F$11,regle!$F$23,
IF(S161=regle!$G$11,regle!$G$23,
IF(S161=regle!$H$11,regle!$H$23,
IF(S161=regle!$I$11,regle!$I$23,
IF(S161=regle!$J$11,regle!$J$23,
IF(S161=regle!$K$11,regle!$K$23,0))))))))))))</f>
        <v>0</v>
      </c>
      <c r="AD161" s="17">
        <f>IF($A161,$J161*(IF(T161=regle!$B$11,regle!$B$23*IF(AM161=-2,1+regle!$B$35,1),
IF(T161=regle!$C$11,regle!$C$23,
IF(T161=regle!$D$11,regle!$D$23,
IF(T161=regle!$E$11,regle!$E$23,
IF(T161=regle!$F$11,regle!$F$23,
IF(T161=regle!$G$11,regle!$G$23,
IF(T161=regle!$H$11,regle!$H$23,
IF(T161=regle!$I$11,regle!$I$23,
IF(T161=regle!$J$11,regle!$J$23,
IF(T161=regle!$K$11,regle!$K$23,0))))))))))))</f>
        <v>1299.8591999999999</v>
      </c>
      <c r="AE161" s="17">
        <f>IF($A161,$J161*(IF(U161=regle!$B$11,regle!$B$23*IF(AN161=-2,1+regle!$B$35,1),
IF(U161=regle!$C$11,regle!$C$23,
IF(U161=regle!$D$11,regle!$D$23,
IF(U161=regle!$E$11,regle!$E$23,
IF(U161=regle!$F$11,regle!$F$23,
IF(U161=regle!$G$11,regle!$G$23,
IF(U161=regle!$H$11,regle!$H$23,
IF(U161=regle!$I$11,regle!$I$23,
IF(U161=regle!$J$11,regle!$J$23,
IF(U161=regle!$K$11,regle!$K$23,0))))))))))))</f>
        <v>0</v>
      </c>
      <c r="AF161" s="17">
        <f>IF($A161,$J161*(IF(V161=regle!$B$11,regle!$B$23*IF(AO161=-2,1+regle!$B$35,1),
IF(V161=regle!$C$11,regle!$C$23,
IF(V161=regle!$D$11,regle!$D$23,
IF(V161=regle!$E$11,regle!$E$23,
IF(V161=regle!$F$11,regle!$F$23,
IF(V161=regle!$G$11,regle!$G$23,
IF(V161=regle!$H$11,regle!$H$23,
IF(V161=regle!$I$11,regle!$I$23,
IF(V161=regle!$J$11,regle!$J$23,
IF(V161=regle!$K$11,regle!$K$23,0))))))))))))</f>
        <v>0</v>
      </c>
      <c r="AG161" s="17">
        <f>IF($A161,$J161*(IF(W161=regle!$B$11,regle!$B$23*IF(AP161=-2,1+regle!$B$35,1),
IF(W161=regle!$C$11,regle!$C$23,
IF(W161=regle!$D$11,regle!$D$23,
IF(W161=regle!$E$11,regle!$E$23,
IF(W161=regle!$F$11,regle!$F$23,
IF(W161=regle!$G$11,regle!$G$23,
IF(W161=regle!$H$11,regle!$H$23,
IF(W161=regle!$I$11,regle!$I$23,
IF(W161=regle!$J$11,regle!$J$23,
IF(W161=regle!$K$11,regle!$K$23,0))))))))))))</f>
        <v>0</v>
      </c>
      <c r="AH161" s="17">
        <f>IF($A161,$J161*(IF(X161=regle!$B$11,regle!$B$23*IF(AQ161=-2,1+regle!$B$35,1),
IF(X161=regle!$C$11,regle!$C$23,
IF(X161=regle!$D$11,regle!$D$23,
IF(X161=regle!$E$11,regle!$E$23,
IF(X161=regle!$F$11,regle!$F$23,
IF(X161=regle!$G$11,regle!$G$23,
IF(X161=regle!$H$11,regle!$H$23,
IF(X161=regle!$I$11,regle!$I$23,
IF(X161=regle!$J$11,regle!$J$23,
IF(X161=regle!$K$11,regle!$K$23,0))))))))))))</f>
        <v>0</v>
      </c>
      <c r="AI161" s="17">
        <f>IF($A161,$J161*(IF(Y161=regle!$B$11,regle!$B$23*IF(AR161=-2,1+regle!$B$35,1),
IF(Y161=regle!$C$11,regle!$C$23,
IF(Y161=regle!$D$11,regle!$D$23,
IF(Y161=regle!$E$11,regle!$E$23,
IF(Y161=regle!$F$11,regle!$F$23,
IF(Y161=regle!$G$11,regle!$G$23,
IF(Y161=regle!$H$11,regle!$H$23,
IF(Y161=regle!$I$11,regle!$I$23,
IF(Y161=regle!$J$11,regle!$J$23,
IF(Y161=regle!$K$11,regle!$K$23,0))))))))))))</f>
        <v>1895.6279999999999</v>
      </c>
      <c r="AJ161" s="17">
        <f>IF($A161,$J161*(IF(Z161=regle!$B$11,regle!$B$23*IF(AS161=-2,1+regle!$B$35,1),
IF(Z161=regle!$C$11,regle!$C$23,
IF(Z161=regle!$D$11,regle!$D$23,
IF(Z161=regle!$E$11,regle!$E$23,
IF(Z161=regle!$F$11,regle!$F$23,
IF(Z161=regle!$G$11,regle!$G$23,
IF(Z161=regle!$H$11,regle!$H$23,
IF(Z161=regle!$I$11,regle!$I$23,
IF(Z161=regle!$J$11,regle!$J$23,
IF(Z161=regle!$K$11,regle!$K$23,0))))))))))))</f>
        <v>0</v>
      </c>
      <c r="AK161" s="16">
        <f>IF(OR(Q161=regle!$J$11,Q161=regle!$K$11),-2,IF(Q161=regle!$B$11,0,IF(AK$1=$AK$1,IF($O161,-1,regle!$B$2-$M161),IF(AJ161=-1,-1,AJ161+1))))</f>
        <v>9</v>
      </c>
      <c r="AL161" s="16">
        <f>IF(OR(R161=regle!$J$11,R161=regle!$K$11),-2,IF(R161=regle!$B$11,0,IF(AL$1=$AK$1,IF($O161,-1,regle!$B$2-$M161),IF(AK161=-1,-1,AK161+1))))</f>
        <v>10</v>
      </c>
      <c r="AM161" s="16">
        <f>IF(OR(S161=regle!$J$11,S161=regle!$K$11),-2,IF(S161=regle!$B$11,0,IF(AM$1=$AK$1,IF($O161,-1,regle!$B$2-$M161),IF(AL161=-1,-1,AL161+1))))</f>
        <v>11</v>
      </c>
      <c r="AN161" s="16">
        <f>IF(OR(T161=regle!$J$11,T161=regle!$K$11),-2,IF(T161=regle!$B$11,0,IF(AN$1=$AK$1,IF($O161,-1,regle!$B$2-$M161),IF(AM161=-1,-1,AM161+1))))</f>
        <v>12</v>
      </c>
      <c r="AO161" s="16">
        <f>IF(OR(U161=regle!$J$11,U161=regle!$K$11),-2,IF(U161=regle!$B$11,0,IF(AO$1=$AK$1,IF($O161,-1,regle!$B$2-$M161),IF(AN161=-1,-1,AN161+1))))</f>
        <v>13</v>
      </c>
      <c r="AP161" s="16">
        <f>IF(OR(V161=regle!$J$11,V161=regle!$K$11),-2,IF(V161=regle!$B$11,0,IF(AP$1=$AK$1,IF($O161,-1,regle!$B$2-$M161),IF(AO161=-1,-1,AO161+1))))</f>
        <v>14</v>
      </c>
      <c r="AQ161" s="16">
        <f>IF(OR(W161=regle!$J$11,W161=regle!$K$11),-2,IF(W161=regle!$B$11,0,IF(AQ$1=$AK$1,IF($O161,-1,regle!$B$2-$M161),IF(AP161=-1,-1,AP161+1))))</f>
        <v>15</v>
      </c>
      <c r="AR161" s="16">
        <f>IF(OR(X161=regle!$J$11,X161=regle!$K$11),-2,IF(X161=regle!$B$11,0,IF(AR$1=$AK$1,IF($O161,-1,regle!$B$2-$M161),IF(AQ161=-1,-1,AQ161+1))))</f>
        <v>16</v>
      </c>
      <c r="AS161" s="16">
        <f>IF(OR(Y161=regle!$J$11,Y161=regle!$K$11),-2,IF(Y161=regle!$B$11,0,IF(AS$1=$AK$1,IF($O161,-1,regle!$B$2-$M161),IF(AR161=-1,-1,AR161+1))))</f>
        <v>17</v>
      </c>
      <c r="AT161" s="16">
        <f>IF(OR(Z161=regle!$J$11,Z161=regle!$K$11),-2,IF(Z161=regle!$B$11,0,IF(AT$1=$AK$1,IF($O161,-1,regle!$B$2-$M161),IF(AS161=-1,-1,AS161+1))))</f>
        <v>18</v>
      </c>
    </row>
    <row r="162" spans="1:46" x14ac:dyDescent="0.25">
      <c r="A162" t="b">
        <f>modif0!A195</f>
        <v>1</v>
      </c>
      <c r="B162">
        <f>ROW(modif0!B195)</f>
        <v>195</v>
      </c>
      <c r="C162" t="str">
        <f>modif0!D195</f>
        <v>202</v>
      </c>
      <c r="D162" t="str">
        <f>modif0!E195</f>
        <v>HOSTENS</v>
      </c>
      <c r="E162">
        <f>modif0!F195</f>
        <v>8</v>
      </c>
      <c r="F162" t="str">
        <f>modif0!G195</f>
        <v>LES BECS</v>
      </c>
      <c r="G162" t="str">
        <f>modif0!I195</f>
        <v>0B</v>
      </c>
      <c r="H162">
        <f>modif0!J195</f>
        <v>1221</v>
      </c>
      <c r="I162" t="str">
        <f>modif0!K195</f>
        <v/>
      </c>
      <c r="J162" s="11">
        <f>modif0!M195</f>
        <v>1.9770000000000001</v>
      </c>
      <c r="K162" s="11" t="str">
        <f>modif0!P195</f>
        <v>PLA</v>
      </c>
      <c r="L162" t="str">
        <f>modif0!N195</f>
        <v>PM</v>
      </c>
      <c r="M162">
        <f>modif0!Q195</f>
        <v>2015</v>
      </c>
      <c r="N162" t="str">
        <f>modif0!R195</f>
        <v>PLA-PM_2015</v>
      </c>
      <c r="O162" t="b">
        <f>modif0!S195</f>
        <v>0</v>
      </c>
      <c r="P162">
        <v>40</v>
      </c>
      <c r="T162" t="s">
        <v>1803</v>
      </c>
      <c r="Y162" t="s">
        <v>1804</v>
      </c>
      <c r="AA162" s="17">
        <f>IF($A162,$J162*(IF(Q162=regle!$B$11,regle!$B$23*IF(AJ162=-2,1+regle!$B$35,1),
IF(Q162=regle!$C$11,regle!$C$23,
IF(Q162=regle!$D$11,regle!$D$23,
IF(Q162=regle!$E$11,regle!$E$23,
IF(Q162=regle!$F$11,regle!$F$23,
IF(Q162=regle!$G$11,regle!$G$23,
IF(Q162=regle!$H$11,regle!$H$23,
IF(Q162=regle!$I$11,regle!$I$23,
IF(Q162=regle!$J$11,regle!$J$23,
IF(Q162=regle!$K$11,regle!$K$23,0))))))))))))</f>
        <v>0</v>
      </c>
      <c r="AB162" s="17">
        <f>IF($A162,$J162*(IF(R162=regle!$B$11,regle!$B$23*IF(AK162=-2,1+regle!$B$35,1),
IF(R162=regle!$C$11,regle!$C$23,
IF(R162=regle!$D$11,regle!$D$23,
IF(R162=regle!$E$11,regle!$E$23,
IF(R162=regle!$F$11,regle!$F$23,
IF(R162=regle!$G$11,regle!$G$23,
IF(R162=regle!$H$11,regle!$H$23,
IF(R162=regle!$I$11,regle!$I$23,
IF(R162=regle!$J$11,regle!$J$23,
IF(R162=regle!$K$11,regle!$K$23,0))))))))))))</f>
        <v>0</v>
      </c>
      <c r="AC162" s="17">
        <f>IF($A162,$J162*(IF(S162=regle!$B$11,regle!$B$23*IF(AL162=-2,1+regle!$B$35,1),
IF(S162=regle!$C$11,regle!$C$23,
IF(S162=regle!$D$11,regle!$D$23,
IF(S162=regle!$E$11,regle!$E$23,
IF(S162=regle!$F$11,regle!$F$23,
IF(S162=regle!$G$11,regle!$G$23,
IF(S162=regle!$H$11,regle!$H$23,
IF(S162=regle!$I$11,regle!$I$23,
IF(S162=regle!$J$11,regle!$J$23,
IF(S162=regle!$K$11,regle!$K$23,0))))))))))))</f>
        <v>0</v>
      </c>
      <c r="AD162" s="17">
        <f>IF($A162,$J162*(IF(T162=regle!$B$11,regle!$B$23*IF(AM162=-2,1+regle!$B$35,1),
IF(T162=regle!$C$11,regle!$C$23,
IF(T162=regle!$D$11,regle!$D$23,
IF(T162=regle!$E$11,regle!$E$23,
IF(T162=regle!$F$11,regle!$F$23,
IF(T162=regle!$G$11,regle!$G$23,
IF(T162=regle!$H$11,regle!$H$23,
IF(T162=regle!$I$11,regle!$I$23,
IF(T162=regle!$J$11,regle!$J$23,
IF(T162=regle!$K$11,regle!$K$23,0))))))))))))</f>
        <v>1138.752</v>
      </c>
      <c r="AE162" s="17">
        <f>IF($A162,$J162*(IF(U162=regle!$B$11,regle!$B$23*IF(AN162=-2,1+regle!$B$35,1),
IF(U162=regle!$C$11,regle!$C$23,
IF(U162=regle!$D$11,regle!$D$23,
IF(U162=regle!$E$11,regle!$E$23,
IF(U162=regle!$F$11,regle!$F$23,
IF(U162=regle!$G$11,regle!$G$23,
IF(U162=regle!$H$11,regle!$H$23,
IF(U162=regle!$I$11,regle!$I$23,
IF(U162=regle!$J$11,regle!$J$23,
IF(U162=regle!$K$11,regle!$K$23,0))))))))))))</f>
        <v>0</v>
      </c>
      <c r="AF162" s="17">
        <f>IF($A162,$J162*(IF(V162=regle!$B$11,regle!$B$23*IF(AO162=-2,1+regle!$B$35,1),
IF(V162=regle!$C$11,regle!$C$23,
IF(V162=regle!$D$11,regle!$D$23,
IF(V162=regle!$E$11,regle!$E$23,
IF(V162=regle!$F$11,regle!$F$23,
IF(V162=regle!$G$11,regle!$G$23,
IF(V162=regle!$H$11,regle!$H$23,
IF(V162=regle!$I$11,regle!$I$23,
IF(V162=regle!$J$11,regle!$J$23,
IF(V162=regle!$K$11,regle!$K$23,0))))))))))))</f>
        <v>0</v>
      </c>
      <c r="AG162" s="17">
        <f>IF($A162,$J162*(IF(W162=regle!$B$11,regle!$B$23*IF(AP162=-2,1+regle!$B$35,1),
IF(W162=regle!$C$11,regle!$C$23,
IF(W162=regle!$D$11,regle!$D$23,
IF(W162=regle!$E$11,regle!$E$23,
IF(W162=regle!$F$11,regle!$F$23,
IF(W162=regle!$G$11,regle!$G$23,
IF(W162=regle!$H$11,regle!$H$23,
IF(W162=regle!$I$11,regle!$I$23,
IF(W162=regle!$J$11,regle!$J$23,
IF(W162=regle!$K$11,regle!$K$23,0))))))))))))</f>
        <v>0</v>
      </c>
      <c r="AH162" s="17">
        <f>IF($A162,$J162*(IF(X162=regle!$B$11,regle!$B$23*IF(AQ162=-2,1+regle!$B$35,1),
IF(X162=regle!$C$11,regle!$C$23,
IF(X162=regle!$D$11,regle!$D$23,
IF(X162=regle!$E$11,regle!$E$23,
IF(X162=regle!$F$11,regle!$F$23,
IF(X162=regle!$G$11,regle!$G$23,
IF(X162=regle!$H$11,regle!$H$23,
IF(X162=regle!$I$11,regle!$I$23,
IF(X162=regle!$J$11,regle!$J$23,
IF(X162=regle!$K$11,regle!$K$23,0))))))))))))</f>
        <v>0</v>
      </c>
      <c r="AI162" s="17">
        <f>IF($A162,$J162*(IF(Y162=regle!$B$11,regle!$B$23*IF(AR162=-2,1+regle!$B$35,1),
IF(Y162=regle!$C$11,regle!$C$23,
IF(Y162=regle!$D$11,regle!$D$23,
IF(Y162=regle!$E$11,regle!$E$23,
IF(Y162=regle!$F$11,regle!$F$23,
IF(Y162=regle!$G$11,regle!$G$23,
IF(Y162=regle!$H$11,regle!$H$23,
IF(Y162=regle!$I$11,regle!$I$23,
IF(Y162=regle!$J$11,regle!$J$23,
IF(Y162=regle!$K$11,regle!$K$23,0))))))))))))</f>
        <v>1660.68</v>
      </c>
      <c r="AJ162" s="17">
        <f>IF($A162,$J162*(IF(Z162=regle!$B$11,regle!$B$23*IF(AS162=-2,1+regle!$B$35,1),
IF(Z162=regle!$C$11,regle!$C$23,
IF(Z162=regle!$D$11,regle!$D$23,
IF(Z162=regle!$E$11,regle!$E$23,
IF(Z162=regle!$F$11,regle!$F$23,
IF(Z162=regle!$G$11,regle!$G$23,
IF(Z162=regle!$H$11,regle!$H$23,
IF(Z162=regle!$I$11,regle!$I$23,
IF(Z162=regle!$J$11,regle!$J$23,
IF(Z162=regle!$K$11,regle!$K$23,0))))))))))))</f>
        <v>0</v>
      </c>
      <c r="AK162" s="16">
        <f>IF(OR(Q162=regle!$J$11,Q162=regle!$K$11),-2,IF(Q162=regle!$B$11,0,IF(AK$1=$AK$1,IF($O162,-1,regle!$B$2-$M162),IF(AJ162=-1,-1,AJ162+1))))</f>
        <v>9</v>
      </c>
      <c r="AL162" s="16">
        <f>IF(OR(R162=regle!$J$11,R162=regle!$K$11),-2,IF(R162=regle!$B$11,0,IF(AL$1=$AK$1,IF($O162,-1,regle!$B$2-$M162),IF(AK162=-1,-1,AK162+1))))</f>
        <v>10</v>
      </c>
      <c r="AM162" s="16">
        <f>IF(OR(S162=regle!$J$11,S162=regle!$K$11),-2,IF(S162=regle!$B$11,0,IF(AM$1=$AK$1,IF($O162,-1,regle!$B$2-$M162),IF(AL162=-1,-1,AL162+1))))</f>
        <v>11</v>
      </c>
      <c r="AN162" s="16">
        <f>IF(OR(T162=regle!$J$11,T162=regle!$K$11),-2,IF(T162=regle!$B$11,0,IF(AN$1=$AK$1,IF($O162,-1,regle!$B$2-$M162),IF(AM162=-1,-1,AM162+1))))</f>
        <v>12</v>
      </c>
      <c r="AO162" s="16">
        <f>IF(OR(U162=regle!$J$11,U162=regle!$K$11),-2,IF(U162=regle!$B$11,0,IF(AO$1=$AK$1,IF($O162,-1,regle!$B$2-$M162),IF(AN162=-1,-1,AN162+1))))</f>
        <v>13</v>
      </c>
      <c r="AP162" s="16">
        <f>IF(OR(V162=regle!$J$11,V162=regle!$K$11),-2,IF(V162=regle!$B$11,0,IF(AP$1=$AK$1,IF($O162,-1,regle!$B$2-$M162),IF(AO162=-1,-1,AO162+1))))</f>
        <v>14</v>
      </c>
      <c r="AQ162" s="16">
        <f>IF(OR(W162=regle!$J$11,W162=regle!$K$11),-2,IF(W162=regle!$B$11,0,IF(AQ$1=$AK$1,IF($O162,-1,regle!$B$2-$M162),IF(AP162=-1,-1,AP162+1))))</f>
        <v>15</v>
      </c>
      <c r="AR162" s="16">
        <f>IF(OR(X162=regle!$J$11,X162=regle!$K$11),-2,IF(X162=regle!$B$11,0,IF(AR$1=$AK$1,IF($O162,-1,regle!$B$2-$M162),IF(AQ162=-1,-1,AQ162+1))))</f>
        <v>16</v>
      </c>
      <c r="AS162" s="16">
        <f>IF(OR(Y162=regle!$J$11,Y162=regle!$K$11),-2,IF(Y162=regle!$B$11,0,IF(AS$1=$AK$1,IF($O162,-1,regle!$B$2-$M162),IF(AR162=-1,-1,AR162+1))))</f>
        <v>17</v>
      </c>
      <c r="AT162" s="16">
        <f>IF(OR(Z162=regle!$J$11,Z162=regle!$K$11),-2,IF(Z162=regle!$B$11,0,IF(AT$1=$AK$1,IF($O162,-1,regle!$B$2-$M162),IF(AS162=-1,-1,AS162+1))))</f>
        <v>18</v>
      </c>
    </row>
    <row r="163" spans="1:46" x14ac:dyDescent="0.25">
      <c r="A163" t="b">
        <f>modif0!A313</f>
        <v>1</v>
      </c>
      <c r="B163">
        <f>ROW(modif0!B313)</f>
        <v>313</v>
      </c>
      <c r="C163" t="str">
        <f>modif0!D313</f>
        <v>077</v>
      </c>
      <c r="D163" t="str">
        <f>modif0!E313</f>
        <v>CABANAC-ET-VILLAGRAINS</v>
      </c>
      <c r="E163">
        <f>modif0!F313</f>
        <v>10</v>
      </c>
      <c r="F163" t="str">
        <f>modif0!G313</f>
        <v>CABAT MORT</v>
      </c>
      <c r="G163" t="str">
        <f>modif0!I313</f>
        <v>0D</v>
      </c>
      <c r="H163">
        <f>modif0!J313</f>
        <v>1381</v>
      </c>
      <c r="I163" t="str">
        <f>modif0!K313</f>
        <v>k</v>
      </c>
      <c r="J163" s="11">
        <f>modif0!M313</f>
        <v>1.8059000000000001</v>
      </c>
      <c r="K163" s="11" t="str">
        <f>modif0!P313</f>
        <v>PLA</v>
      </c>
      <c r="L163" t="str">
        <f>modif0!N313</f>
        <v>PM</v>
      </c>
      <c r="M163">
        <f>modif0!Q313</f>
        <v>2015</v>
      </c>
      <c r="N163" t="str">
        <f>modif0!R313</f>
        <v>PLA-PM_2015</v>
      </c>
      <c r="O163" t="b">
        <f>modif0!S313</f>
        <v>0</v>
      </c>
      <c r="P163">
        <v>40</v>
      </c>
      <c r="T163" t="s">
        <v>1803</v>
      </c>
      <c r="Y163" t="s">
        <v>1804</v>
      </c>
      <c r="AA163" s="17">
        <f>IF($A163,$J163*(IF(Q163=regle!$B$11,regle!$B$23*IF(AJ163=-2,1+regle!$B$35,1),
IF(Q163=regle!$C$11,regle!$C$23,
IF(Q163=regle!$D$11,regle!$D$23,
IF(Q163=regle!$E$11,regle!$E$23,
IF(Q163=regle!$F$11,regle!$F$23,
IF(Q163=regle!$G$11,regle!$G$23,
IF(Q163=regle!$H$11,regle!$H$23,
IF(Q163=regle!$I$11,regle!$I$23,
IF(Q163=regle!$J$11,regle!$J$23,
IF(Q163=regle!$K$11,regle!$K$23,0))))))))))))</f>
        <v>0</v>
      </c>
      <c r="AB163" s="17">
        <f>IF($A163,$J163*(IF(R163=regle!$B$11,regle!$B$23*IF(AK163=-2,1+regle!$B$35,1),
IF(R163=regle!$C$11,regle!$C$23,
IF(R163=regle!$D$11,regle!$D$23,
IF(R163=regle!$E$11,regle!$E$23,
IF(R163=regle!$F$11,regle!$F$23,
IF(R163=regle!$G$11,regle!$G$23,
IF(R163=regle!$H$11,regle!$H$23,
IF(R163=regle!$I$11,regle!$I$23,
IF(R163=regle!$J$11,regle!$J$23,
IF(R163=regle!$K$11,regle!$K$23,0))))))))))))</f>
        <v>0</v>
      </c>
      <c r="AC163" s="17">
        <f>IF($A163,$J163*(IF(S163=regle!$B$11,regle!$B$23*IF(AL163=-2,1+regle!$B$35,1),
IF(S163=regle!$C$11,regle!$C$23,
IF(S163=regle!$D$11,regle!$D$23,
IF(S163=regle!$E$11,regle!$E$23,
IF(S163=regle!$F$11,regle!$F$23,
IF(S163=regle!$G$11,regle!$G$23,
IF(S163=regle!$H$11,regle!$H$23,
IF(S163=regle!$I$11,regle!$I$23,
IF(S163=regle!$J$11,regle!$J$23,
IF(S163=regle!$K$11,regle!$K$23,0))))))))))))</f>
        <v>0</v>
      </c>
      <c r="AD163" s="17">
        <f>IF($A163,$J163*(IF(T163=regle!$B$11,regle!$B$23*IF(AM163=-2,1+regle!$B$35,1),
IF(T163=regle!$C$11,regle!$C$23,
IF(T163=regle!$D$11,regle!$D$23,
IF(T163=regle!$E$11,regle!$E$23,
IF(T163=regle!$F$11,regle!$F$23,
IF(T163=regle!$G$11,regle!$G$23,
IF(T163=regle!$H$11,regle!$H$23,
IF(T163=regle!$I$11,regle!$I$23,
IF(T163=regle!$J$11,regle!$J$23,
IF(T163=regle!$K$11,regle!$K$23,0))))))))))))</f>
        <v>1040.1984</v>
      </c>
      <c r="AE163" s="17">
        <f>IF($A163,$J163*(IF(U163=regle!$B$11,regle!$B$23*IF(AN163=-2,1+regle!$B$35,1),
IF(U163=regle!$C$11,regle!$C$23,
IF(U163=regle!$D$11,regle!$D$23,
IF(U163=regle!$E$11,regle!$E$23,
IF(U163=regle!$F$11,regle!$F$23,
IF(U163=regle!$G$11,regle!$G$23,
IF(U163=regle!$H$11,regle!$H$23,
IF(U163=regle!$I$11,regle!$I$23,
IF(U163=regle!$J$11,regle!$J$23,
IF(U163=regle!$K$11,regle!$K$23,0))))))))))))</f>
        <v>0</v>
      </c>
      <c r="AF163" s="17">
        <f>IF($A163,$J163*(IF(V163=regle!$B$11,regle!$B$23*IF(AO163=-2,1+regle!$B$35,1),
IF(V163=regle!$C$11,regle!$C$23,
IF(V163=regle!$D$11,regle!$D$23,
IF(V163=regle!$E$11,regle!$E$23,
IF(V163=regle!$F$11,regle!$F$23,
IF(V163=regle!$G$11,regle!$G$23,
IF(V163=regle!$H$11,regle!$H$23,
IF(V163=regle!$I$11,regle!$I$23,
IF(V163=regle!$J$11,regle!$J$23,
IF(V163=regle!$K$11,regle!$K$23,0))))))))))))</f>
        <v>0</v>
      </c>
      <c r="AG163" s="17">
        <f>IF($A163,$J163*(IF(W163=regle!$B$11,regle!$B$23*IF(AP163=-2,1+regle!$B$35,1),
IF(W163=regle!$C$11,regle!$C$23,
IF(W163=regle!$D$11,regle!$D$23,
IF(W163=regle!$E$11,regle!$E$23,
IF(W163=regle!$F$11,regle!$F$23,
IF(W163=regle!$G$11,regle!$G$23,
IF(W163=regle!$H$11,regle!$H$23,
IF(W163=regle!$I$11,regle!$I$23,
IF(W163=regle!$J$11,regle!$J$23,
IF(W163=regle!$K$11,regle!$K$23,0))))))))))))</f>
        <v>0</v>
      </c>
      <c r="AH163" s="17">
        <f>IF($A163,$J163*(IF(X163=regle!$B$11,regle!$B$23*IF(AQ163=-2,1+regle!$B$35,1),
IF(X163=regle!$C$11,regle!$C$23,
IF(X163=regle!$D$11,regle!$D$23,
IF(X163=regle!$E$11,regle!$E$23,
IF(X163=regle!$F$11,regle!$F$23,
IF(X163=regle!$G$11,regle!$G$23,
IF(X163=regle!$H$11,regle!$H$23,
IF(X163=regle!$I$11,regle!$I$23,
IF(X163=regle!$J$11,regle!$J$23,
IF(X163=regle!$K$11,regle!$K$23,0))))))))))))</f>
        <v>0</v>
      </c>
      <c r="AI163" s="17">
        <f>IF($A163,$J163*(IF(Y163=regle!$B$11,regle!$B$23*IF(AR163=-2,1+regle!$B$35,1),
IF(Y163=regle!$C$11,regle!$C$23,
IF(Y163=regle!$D$11,regle!$D$23,
IF(Y163=regle!$E$11,regle!$E$23,
IF(Y163=regle!$F$11,regle!$F$23,
IF(Y163=regle!$G$11,regle!$G$23,
IF(Y163=regle!$H$11,regle!$H$23,
IF(Y163=regle!$I$11,regle!$I$23,
IF(Y163=regle!$J$11,regle!$J$23,
IF(Y163=regle!$K$11,regle!$K$23,0))))))))))))</f>
        <v>1516.9560000000001</v>
      </c>
      <c r="AJ163" s="17">
        <f>IF($A163,$J163*(IF(Z163=regle!$B$11,regle!$B$23*IF(AS163=-2,1+regle!$B$35,1),
IF(Z163=regle!$C$11,regle!$C$23,
IF(Z163=regle!$D$11,regle!$D$23,
IF(Z163=regle!$E$11,regle!$E$23,
IF(Z163=regle!$F$11,regle!$F$23,
IF(Z163=regle!$G$11,regle!$G$23,
IF(Z163=regle!$H$11,regle!$H$23,
IF(Z163=regle!$I$11,regle!$I$23,
IF(Z163=regle!$J$11,regle!$J$23,
IF(Z163=regle!$K$11,regle!$K$23,0))))))))))))</f>
        <v>0</v>
      </c>
      <c r="AK163" s="16">
        <f>IF(OR(Q163=regle!$J$11,Q163=regle!$K$11),-2,IF(Q163=regle!$B$11,0,IF(AK$1=$AK$1,IF($O163,-1,regle!$B$2-$M163),IF(AJ163=-1,-1,AJ163+1))))</f>
        <v>9</v>
      </c>
      <c r="AL163" s="16">
        <f>IF(OR(R163=regle!$J$11,R163=regle!$K$11),-2,IF(R163=regle!$B$11,0,IF(AL$1=$AK$1,IF($O163,-1,regle!$B$2-$M163),IF(AK163=-1,-1,AK163+1))))</f>
        <v>10</v>
      </c>
      <c r="AM163" s="16">
        <f>IF(OR(S163=regle!$J$11,S163=regle!$K$11),-2,IF(S163=regle!$B$11,0,IF(AM$1=$AK$1,IF($O163,-1,regle!$B$2-$M163),IF(AL163=-1,-1,AL163+1))))</f>
        <v>11</v>
      </c>
      <c r="AN163" s="16">
        <f>IF(OR(T163=regle!$J$11,T163=regle!$K$11),-2,IF(T163=regle!$B$11,0,IF(AN$1=$AK$1,IF($O163,-1,regle!$B$2-$M163),IF(AM163=-1,-1,AM163+1))))</f>
        <v>12</v>
      </c>
      <c r="AO163" s="16">
        <f>IF(OR(U163=regle!$J$11,U163=regle!$K$11),-2,IF(U163=regle!$B$11,0,IF(AO$1=$AK$1,IF($O163,-1,regle!$B$2-$M163),IF(AN163=-1,-1,AN163+1))))</f>
        <v>13</v>
      </c>
      <c r="AP163" s="16">
        <f>IF(OR(V163=regle!$J$11,V163=regle!$K$11),-2,IF(V163=regle!$B$11,0,IF(AP$1=$AK$1,IF($O163,-1,regle!$B$2-$M163),IF(AO163=-1,-1,AO163+1))))</f>
        <v>14</v>
      </c>
      <c r="AQ163" s="16">
        <f>IF(OR(W163=regle!$J$11,W163=regle!$K$11),-2,IF(W163=regle!$B$11,0,IF(AQ$1=$AK$1,IF($O163,-1,regle!$B$2-$M163),IF(AP163=-1,-1,AP163+1))))</f>
        <v>15</v>
      </c>
      <c r="AR163" s="16">
        <f>IF(OR(X163=regle!$J$11,X163=regle!$K$11),-2,IF(X163=regle!$B$11,0,IF(AR$1=$AK$1,IF($O163,-1,regle!$B$2-$M163),IF(AQ163=-1,-1,AQ163+1))))</f>
        <v>16</v>
      </c>
      <c r="AS163" s="16">
        <f>IF(OR(Y163=regle!$J$11,Y163=regle!$K$11),-2,IF(Y163=regle!$B$11,0,IF(AS$1=$AK$1,IF($O163,-1,regle!$B$2-$M163),IF(AR163=-1,-1,AR163+1))))</f>
        <v>17</v>
      </c>
      <c r="AT163" s="16">
        <f>IF(OR(Z163=regle!$J$11,Z163=regle!$K$11),-2,IF(Z163=regle!$B$11,0,IF(AT$1=$AK$1,IF($O163,-1,regle!$B$2-$M163),IF(AS163=-1,-1,AS163+1))))</f>
        <v>18</v>
      </c>
    </row>
    <row r="164" spans="1:46" x14ac:dyDescent="0.25">
      <c r="A164" t="b">
        <f>modif0!A58</f>
        <v>1</v>
      </c>
      <c r="B164">
        <f>ROW(modif0!B58)</f>
        <v>58</v>
      </c>
      <c r="C164" t="str">
        <f>modif0!D58</f>
        <v>536</v>
      </c>
      <c r="D164" t="str">
        <f>modif0!E58</f>
        <v>LE TUZAN</v>
      </c>
      <c r="E164">
        <f>modif0!F58</f>
        <v>21</v>
      </c>
      <c r="F164" t="str">
        <f>modif0!G58</f>
        <v>METAIRIES DE TABARTON</v>
      </c>
      <c r="G164" t="str">
        <f>modif0!I58</f>
        <v>0A</v>
      </c>
      <c r="H164">
        <f>modif0!J58</f>
        <v>523</v>
      </c>
      <c r="I164" t="str">
        <f>modif0!K58</f>
        <v>b</v>
      </c>
      <c r="J164" s="11">
        <f>modif0!M58</f>
        <v>1.6520999999999999</v>
      </c>
      <c r="K164" s="11" t="str">
        <f>modif0!P58</f>
        <v>PLA</v>
      </c>
      <c r="L164" t="str">
        <f>modif0!N58</f>
        <v>PM</v>
      </c>
      <c r="M164">
        <f>modif0!Q58</f>
        <v>2015</v>
      </c>
      <c r="N164" t="str">
        <f>modif0!R58</f>
        <v>PLA-PM_2015</v>
      </c>
      <c r="O164" t="b">
        <f>modif0!S58</f>
        <v>0</v>
      </c>
      <c r="P164">
        <v>40</v>
      </c>
      <c r="T164" t="s">
        <v>1803</v>
      </c>
      <c r="Y164" t="s">
        <v>1804</v>
      </c>
      <c r="AA164" s="17">
        <f>IF($A164,$J164*(IF(Q164=regle!$B$11,regle!$B$23*IF(AJ164=-2,1+regle!$B$35,1),
IF(Q164=regle!$C$11,regle!$C$23,
IF(Q164=regle!$D$11,regle!$D$23,
IF(Q164=regle!$E$11,regle!$E$23,
IF(Q164=regle!$F$11,regle!$F$23,
IF(Q164=regle!$G$11,regle!$G$23,
IF(Q164=regle!$H$11,regle!$H$23,
IF(Q164=regle!$I$11,regle!$I$23,
IF(Q164=regle!$J$11,regle!$J$23,
IF(Q164=regle!$K$11,regle!$K$23,0))))))))))))</f>
        <v>0</v>
      </c>
      <c r="AB164" s="17">
        <f>IF($A164,$J164*(IF(R164=regle!$B$11,regle!$B$23*IF(AK164=-2,1+regle!$B$35,1),
IF(R164=regle!$C$11,regle!$C$23,
IF(R164=regle!$D$11,regle!$D$23,
IF(R164=regle!$E$11,regle!$E$23,
IF(R164=regle!$F$11,regle!$F$23,
IF(R164=regle!$G$11,regle!$G$23,
IF(R164=regle!$H$11,regle!$H$23,
IF(R164=regle!$I$11,regle!$I$23,
IF(R164=regle!$J$11,regle!$J$23,
IF(R164=regle!$K$11,regle!$K$23,0))))))))))))</f>
        <v>0</v>
      </c>
      <c r="AC164" s="17">
        <f>IF($A164,$J164*(IF(S164=regle!$B$11,regle!$B$23*IF(AL164=-2,1+regle!$B$35,1),
IF(S164=regle!$C$11,regle!$C$23,
IF(S164=regle!$D$11,regle!$D$23,
IF(S164=regle!$E$11,regle!$E$23,
IF(S164=regle!$F$11,regle!$F$23,
IF(S164=regle!$G$11,regle!$G$23,
IF(S164=regle!$H$11,regle!$H$23,
IF(S164=regle!$I$11,regle!$I$23,
IF(S164=regle!$J$11,regle!$J$23,
IF(S164=regle!$K$11,regle!$K$23,0))))))))))))</f>
        <v>0</v>
      </c>
      <c r="AD164" s="17">
        <f>IF($A164,$J164*(IF(T164=regle!$B$11,regle!$B$23*IF(AM164=-2,1+regle!$B$35,1),
IF(T164=regle!$C$11,regle!$C$23,
IF(T164=regle!$D$11,regle!$D$23,
IF(T164=regle!$E$11,regle!$E$23,
IF(T164=regle!$F$11,regle!$F$23,
IF(T164=regle!$G$11,regle!$G$23,
IF(T164=regle!$H$11,regle!$H$23,
IF(T164=regle!$I$11,regle!$I$23,
IF(T164=regle!$J$11,regle!$J$23,
IF(T164=regle!$K$11,regle!$K$23,0))))))))))))</f>
        <v>951.6096</v>
      </c>
      <c r="AE164" s="17">
        <f>IF($A164,$J164*(IF(U164=regle!$B$11,regle!$B$23*IF(AN164=-2,1+regle!$B$35,1),
IF(U164=regle!$C$11,regle!$C$23,
IF(U164=regle!$D$11,regle!$D$23,
IF(U164=regle!$E$11,regle!$E$23,
IF(U164=regle!$F$11,regle!$F$23,
IF(U164=regle!$G$11,regle!$G$23,
IF(U164=regle!$H$11,regle!$H$23,
IF(U164=regle!$I$11,regle!$I$23,
IF(U164=regle!$J$11,regle!$J$23,
IF(U164=regle!$K$11,regle!$K$23,0))))))))))))</f>
        <v>0</v>
      </c>
      <c r="AF164" s="17">
        <f>IF($A164,$J164*(IF(V164=regle!$B$11,regle!$B$23*IF(AO164=-2,1+regle!$B$35,1),
IF(V164=regle!$C$11,regle!$C$23,
IF(V164=regle!$D$11,regle!$D$23,
IF(V164=regle!$E$11,regle!$E$23,
IF(V164=regle!$F$11,regle!$F$23,
IF(V164=regle!$G$11,regle!$G$23,
IF(V164=regle!$H$11,regle!$H$23,
IF(V164=regle!$I$11,regle!$I$23,
IF(V164=regle!$J$11,regle!$J$23,
IF(V164=regle!$K$11,regle!$K$23,0))))))))))))</f>
        <v>0</v>
      </c>
      <c r="AG164" s="17">
        <f>IF($A164,$J164*(IF(W164=regle!$B$11,regle!$B$23*IF(AP164=-2,1+regle!$B$35,1),
IF(W164=regle!$C$11,regle!$C$23,
IF(W164=regle!$D$11,regle!$D$23,
IF(W164=regle!$E$11,regle!$E$23,
IF(W164=regle!$F$11,regle!$F$23,
IF(W164=regle!$G$11,regle!$G$23,
IF(W164=regle!$H$11,regle!$H$23,
IF(W164=regle!$I$11,regle!$I$23,
IF(W164=regle!$J$11,regle!$J$23,
IF(W164=regle!$K$11,regle!$K$23,0))))))))))))</f>
        <v>0</v>
      </c>
      <c r="AH164" s="17">
        <f>IF($A164,$J164*(IF(X164=regle!$B$11,regle!$B$23*IF(AQ164=-2,1+regle!$B$35,1),
IF(X164=regle!$C$11,regle!$C$23,
IF(X164=regle!$D$11,regle!$D$23,
IF(X164=regle!$E$11,regle!$E$23,
IF(X164=regle!$F$11,regle!$F$23,
IF(X164=regle!$G$11,regle!$G$23,
IF(X164=regle!$H$11,regle!$H$23,
IF(X164=regle!$I$11,regle!$I$23,
IF(X164=regle!$J$11,regle!$J$23,
IF(X164=regle!$K$11,regle!$K$23,0))))))))))))</f>
        <v>0</v>
      </c>
      <c r="AI164" s="17">
        <f>IF($A164,$J164*(IF(Y164=regle!$B$11,regle!$B$23*IF(AR164=-2,1+regle!$B$35,1),
IF(Y164=regle!$C$11,regle!$C$23,
IF(Y164=regle!$D$11,regle!$D$23,
IF(Y164=regle!$E$11,regle!$E$23,
IF(Y164=regle!$F$11,regle!$F$23,
IF(Y164=regle!$G$11,regle!$G$23,
IF(Y164=regle!$H$11,regle!$H$23,
IF(Y164=regle!$I$11,regle!$I$23,
IF(Y164=regle!$J$11,regle!$J$23,
IF(Y164=regle!$K$11,regle!$K$23,0))))))))))))</f>
        <v>1387.7639999999999</v>
      </c>
      <c r="AJ164" s="17">
        <f>IF($A164,$J164*(IF(Z164=regle!$B$11,regle!$B$23*IF(AS164=-2,1+regle!$B$35,1),
IF(Z164=regle!$C$11,regle!$C$23,
IF(Z164=regle!$D$11,regle!$D$23,
IF(Z164=regle!$E$11,regle!$E$23,
IF(Z164=regle!$F$11,regle!$F$23,
IF(Z164=regle!$G$11,regle!$G$23,
IF(Z164=regle!$H$11,regle!$H$23,
IF(Z164=regle!$I$11,regle!$I$23,
IF(Z164=regle!$J$11,regle!$J$23,
IF(Z164=regle!$K$11,regle!$K$23,0))))))))))))</f>
        <v>0</v>
      </c>
      <c r="AK164" s="16">
        <f>IF(OR(Q164=regle!$J$11,Q164=regle!$K$11),-2,IF(Q164=regle!$B$11,0,IF(AK$1=$AK$1,IF($O164,-1,regle!$B$2-$M164),IF(AJ164=-1,-1,AJ164+1))))</f>
        <v>9</v>
      </c>
      <c r="AL164" s="16">
        <f>IF(OR(R164=regle!$J$11,R164=regle!$K$11),-2,IF(R164=regle!$B$11,0,IF(AL$1=$AK$1,IF($O164,-1,regle!$B$2-$M164),IF(AK164=-1,-1,AK164+1))))</f>
        <v>10</v>
      </c>
      <c r="AM164" s="16">
        <f>IF(OR(S164=regle!$J$11,S164=regle!$K$11),-2,IF(S164=regle!$B$11,0,IF(AM$1=$AK$1,IF($O164,-1,regle!$B$2-$M164),IF(AL164=-1,-1,AL164+1))))</f>
        <v>11</v>
      </c>
      <c r="AN164" s="16">
        <f>IF(OR(T164=regle!$J$11,T164=regle!$K$11),-2,IF(T164=regle!$B$11,0,IF(AN$1=$AK$1,IF($O164,-1,regle!$B$2-$M164),IF(AM164=-1,-1,AM164+1))))</f>
        <v>12</v>
      </c>
      <c r="AO164" s="16">
        <f>IF(OR(U164=regle!$J$11,U164=regle!$K$11),-2,IF(U164=regle!$B$11,0,IF(AO$1=$AK$1,IF($O164,-1,regle!$B$2-$M164),IF(AN164=-1,-1,AN164+1))))</f>
        <v>13</v>
      </c>
      <c r="AP164" s="16">
        <f>IF(OR(V164=regle!$J$11,V164=regle!$K$11),-2,IF(V164=regle!$B$11,0,IF(AP$1=$AK$1,IF($O164,-1,regle!$B$2-$M164),IF(AO164=-1,-1,AO164+1))))</f>
        <v>14</v>
      </c>
      <c r="AQ164" s="16">
        <f>IF(OR(W164=regle!$J$11,W164=regle!$K$11),-2,IF(W164=regle!$B$11,0,IF(AQ$1=$AK$1,IF($O164,-1,regle!$B$2-$M164),IF(AP164=-1,-1,AP164+1))))</f>
        <v>15</v>
      </c>
      <c r="AR164" s="16">
        <f>IF(OR(X164=regle!$J$11,X164=regle!$K$11),-2,IF(X164=regle!$B$11,0,IF(AR$1=$AK$1,IF($O164,-1,regle!$B$2-$M164),IF(AQ164=-1,-1,AQ164+1))))</f>
        <v>16</v>
      </c>
      <c r="AS164" s="16">
        <f>IF(OR(Y164=regle!$J$11,Y164=regle!$K$11),-2,IF(Y164=regle!$B$11,0,IF(AS$1=$AK$1,IF($O164,-1,regle!$B$2-$M164),IF(AR164=-1,-1,AR164+1))))</f>
        <v>17</v>
      </c>
      <c r="AT164" s="16">
        <f>IF(OR(Z164=regle!$J$11,Z164=regle!$K$11),-2,IF(Z164=regle!$B$11,0,IF(AT$1=$AK$1,IF($O164,-1,regle!$B$2-$M164),IF(AS164=-1,-1,AS164+1))))</f>
        <v>18</v>
      </c>
    </row>
    <row r="165" spans="1:46" x14ac:dyDescent="0.25">
      <c r="A165" t="b">
        <f>modif0!A311</f>
        <v>1</v>
      </c>
      <c r="B165">
        <f>ROW(modif0!B311)</f>
        <v>311</v>
      </c>
      <c r="C165" t="str">
        <f>modif0!D311</f>
        <v>077</v>
      </c>
      <c r="D165" t="str">
        <f>modif0!E311</f>
        <v>CABANAC-ET-VILLAGRAINS</v>
      </c>
      <c r="E165">
        <f>modif0!F311</f>
        <v>10</v>
      </c>
      <c r="F165" t="str">
        <f>modif0!G311</f>
        <v>CABAT MORT</v>
      </c>
      <c r="G165" t="str">
        <f>modif0!I311</f>
        <v>0D</v>
      </c>
      <c r="H165">
        <f>modif0!J311</f>
        <v>1379</v>
      </c>
      <c r="I165" t="str">
        <f>modif0!K311</f>
        <v/>
      </c>
      <c r="J165" s="11">
        <f>modif0!M311</f>
        <v>1.44</v>
      </c>
      <c r="K165" s="11" t="str">
        <f>modif0!P311</f>
        <v>PLA</v>
      </c>
      <c r="L165" t="str">
        <f>modif0!N311</f>
        <v>PM</v>
      </c>
      <c r="M165">
        <f>modif0!Q311</f>
        <v>2015</v>
      </c>
      <c r="N165" t="str">
        <f>modif0!R311</f>
        <v>PLA-PM_2015</v>
      </c>
      <c r="O165" t="b">
        <f>modif0!S311</f>
        <v>0</v>
      </c>
      <c r="P165">
        <v>40</v>
      </c>
      <c r="T165" t="s">
        <v>1803</v>
      </c>
      <c r="Y165" t="s">
        <v>1804</v>
      </c>
      <c r="AA165" s="17">
        <f>IF($A165,$J165*(IF(Q165=regle!$B$11,regle!$B$23*IF(AJ165=-2,1+regle!$B$35,1),
IF(Q165=regle!$C$11,regle!$C$23,
IF(Q165=regle!$D$11,regle!$D$23,
IF(Q165=regle!$E$11,regle!$E$23,
IF(Q165=regle!$F$11,regle!$F$23,
IF(Q165=regle!$G$11,regle!$G$23,
IF(Q165=regle!$H$11,regle!$H$23,
IF(Q165=regle!$I$11,regle!$I$23,
IF(Q165=regle!$J$11,regle!$J$23,
IF(Q165=regle!$K$11,regle!$K$23,0))))))))))))</f>
        <v>0</v>
      </c>
      <c r="AB165" s="17">
        <f>IF($A165,$J165*(IF(R165=regle!$B$11,regle!$B$23*IF(AK165=-2,1+regle!$B$35,1),
IF(R165=regle!$C$11,regle!$C$23,
IF(R165=regle!$D$11,regle!$D$23,
IF(R165=regle!$E$11,regle!$E$23,
IF(R165=regle!$F$11,regle!$F$23,
IF(R165=regle!$G$11,regle!$G$23,
IF(R165=regle!$H$11,regle!$H$23,
IF(R165=regle!$I$11,regle!$I$23,
IF(R165=regle!$J$11,regle!$J$23,
IF(R165=regle!$K$11,regle!$K$23,0))))))))))))</f>
        <v>0</v>
      </c>
      <c r="AC165" s="17">
        <f>IF($A165,$J165*(IF(S165=regle!$B$11,regle!$B$23*IF(AL165=-2,1+regle!$B$35,1),
IF(S165=regle!$C$11,regle!$C$23,
IF(S165=regle!$D$11,regle!$D$23,
IF(S165=regle!$E$11,regle!$E$23,
IF(S165=regle!$F$11,regle!$F$23,
IF(S165=regle!$G$11,regle!$G$23,
IF(S165=regle!$H$11,regle!$H$23,
IF(S165=regle!$I$11,regle!$I$23,
IF(S165=regle!$J$11,regle!$J$23,
IF(S165=regle!$K$11,regle!$K$23,0))))))))))))</f>
        <v>0</v>
      </c>
      <c r="AD165" s="17">
        <f>IF($A165,$J165*(IF(T165=regle!$B$11,regle!$B$23*IF(AM165=-2,1+regle!$B$35,1),
IF(T165=regle!$C$11,regle!$C$23,
IF(T165=regle!$D$11,regle!$D$23,
IF(T165=regle!$E$11,regle!$E$23,
IF(T165=regle!$F$11,regle!$F$23,
IF(T165=regle!$G$11,regle!$G$23,
IF(T165=regle!$H$11,regle!$H$23,
IF(T165=regle!$I$11,regle!$I$23,
IF(T165=regle!$J$11,regle!$J$23,
IF(T165=regle!$K$11,regle!$K$23,0))))))))))))</f>
        <v>829.43999999999994</v>
      </c>
      <c r="AE165" s="17">
        <f>IF($A165,$J165*(IF(U165=regle!$B$11,regle!$B$23*IF(AN165=-2,1+regle!$B$35,1),
IF(U165=regle!$C$11,regle!$C$23,
IF(U165=regle!$D$11,regle!$D$23,
IF(U165=regle!$E$11,regle!$E$23,
IF(U165=regle!$F$11,regle!$F$23,
IF(U165=regle!$G$11,regle!$G$23,
IF(U165=regle!$H$11,regle!$H$23,
IF(U165=regle!$I$11,regle!$I$23,
IF(U165=regle!$J$11,regle!$J$23,
IF(U165=regle!$K$11,regle!$K$23,0))))))))))))</f>
        <v>0</v>
      </c>
      <c r="AF165" s="17">
        <f>IF($A165,$J165*(IF(V165=regle!$B$11,regle!$B$23*IF(AO165=-2,1+regle!$B$35,1),
IF(V165=regle!$C$11,regle!$C$23,
IF(V165=regle!$D$11,regle!$D$23,
IF(V165=regle!$E$11,regle!$E$23,
IF(V165=regle!$F$11,regle!$F$23,
IF(V165=regle!$G$11,regle!$G$23,
IF(V165=regle!$H$11,regle!$H$23,
IF(V165=regle!$I$11,regle!$I$23,
IF(V165=regle!$J$11,regle!$J$23,
IF(V165=regle!$K$11,regle!$K$23,0))))))))))))</f>
        <v>0</v>
      </c>
      <c r="AG165" s="17">
        <f>IF($A165,$J165*(IF(W165=regle!$B$11,regle!$B$23*IF(AP165=-2,1+regle!$B$35,1),
IF(W165=regle!$C$11,regle!$C$23,
IF(W165=regle!$D$11,regle!$D$23,
IF(W165=regle!$E$11,regle!$E$23,
IF(W165=regle!$F$11,regle!$F$23,
IF(W165=regle!$G$11,regle!$G$23,
IF(W165=regle!$H$11,regle!$H$23,
IF(W165=regle!$I$11,regle!$I$23,
IF(W165=regle!$J$11,regle!$J$23,
IF(W165=regle!$K$11,regle!$K$23,0))))))))))))</f>
        <v>0</v>
      </c>
      <c r="AH165" s="17">
        <f>IF($A165,$J165*(IF(X165=regle!$B$11,regle!$B$23*IF(AQ165=-2,1+regle!$B$35,1),
IF(X165=regle!$C$11,regle!$C$23,
IF(X165=regle!$D$11,regle!$D$23,
IF(X165=regle!$E$11,regle!$E$23,
IF(X165=regle!$F$11,regle!$F$23,
IF(X165=regle!$G$11,regle!$G$23,
IF(X165=regle!$H$11,regle!$H$23,
IF(X165=regle!$I$11,regle!$I$23,
IF(X165=regle!$J$11,regle!$J$23,
IF(X165=regle!$K$11,regle!$K$23,0))))))))))))</f>
        <v>0</v>
      </c>
      <c r="AI165" s="17">
        <f>IF($A165,$J165*(IF(Y165=regle!$B$11,regle!$B$23*IF(AR165=-2,1+regle!$B$35,1),
IF(Y165=regle!$C$11,regle!$C$23,
IF(Y165=regle!$D$11,regle!$D$23,
IF(Y165=regle!$E$11,regle!$E$23,
IF(Y165=regle!$F$11,regle!$F$23,
IF(Y165=regle!$G$11,regle!$G$23,
IF(Y165=regle!$H$11,regle!$H$23,
IF(Y165=regle!$I$11,regle!$I$23,
IF(Y165=regle!$J$11,regle!$J$23,
IF(Y165=regle!$K$11,regle!$K$23,0))))))))))))</f>
        <v>1209.5999999999999</v>
      </c>
      <c r="AJ165" s="17">
        <f>IF($A165,$J165*(IF(Z165=regle!$B$11,regle!$B$23*IF(AS165=-2,1+regle!$B$35,1),
IF(Z165=regle!$C$11,regle!$C$23,
IF(Z165=regle!$D$11,regle!$D$23,
IF(Z165=regle!$E$11,regle!$E$23,
IF(Z165=regle!$F$11,regle!$F$23,
IF(Z165=regle!$G$11,regle!$G$23,
IF(Z165=regle!$H$11,regle!$H$23,
IF(Z165=regle!$I$11,regle!$I$23,
IF(Z165=regle!$J$11,regle!$J$23,
IF(Z165=regle!$K$11,regle!$K$23,0))))))))))))</f>
        <v>0</v>
      </c>
      <c r="AK165" s="16">
        <f>IF(OR(Q165=regle!$J$11,Q165=regle!$K$11),-2,IF(Q165=regle!$B$11,0,IF(AK$1=$AK$1,IF($O165,-1,regle!$B$2-$M165),IF(AJ165=-1,-1,AJ165+1))))</f>
        <v>9</v>
      </c>
      <c r="AL165" s="16">
        <f>IF(OR(R165=regle!$J$11,R165=regle!$K$11),-2,IF(R165=regle!$B$11,0,IF(AL$1=$AK$1,IF($O165,-1,regle!$B$2-$M165),IF(AK165=-1,-1,AK165+1))))</f>
        <v>10</v>
      </c>
      <c r="AM165" s="16">
        <f>IF(OR(S165=regle!$J$11,S165=regle!$K$11),-2,IF(S165=regle!$B$11,0,IF(AM$1=$AK$1,IF($O165,-1,regle!$B$2-$M165),IF(AL165=-1,-1,AL165+1))))</f>
        <v>11</v>
      </c>
      <c r="AN165" s="16">
        <f>IF(OR(T165=regle!$J$11,T165=regle!$K$11),-2,IF(T165=regle!$B$11,0,IF(AN$1=$AK$1,IF($O165,-1,regle!$B$2-$M165),IF(AM165=-1,-1,AM165+1))))</f>
        <v>12</v>
      </c>
      <c r="AO165" s="16">
        <f>IF(OR(U165=regle!$J$11,U165=regle!$K$11),-2,IF(U165=regle!$B$11,0,IF(AO$1=$AK$1,IF($O165,-1,regle!$B$2-$M165),IF(AN165=-1,-1,AN165+1))))</f>
        <v>13</v>
      </c>
      <c r="AP165" s="16">
        <f>IF(OR(V165=regle!$J$11,V165=regle!$K$11),-2,IF(V165=regle!$B$11,0,IF(AP$1=$AK$1,IF($O165,-1,regle!$B$2-$M165),IF(AO165=-1,-1,AO165+1))))</f>
        <v>14</v>
      </c>
      <c r="AQ165" s="16">
        <f>IF(OR(W165=regle!$J$11,W165=regle!$K$11),-2,IF(W165=regle!$B$11,0,IF(AQ$1=$AK$1,IF($O165,-1,regle!$B$2-$M165),IF(AP165=-1,-1,AP165+1))))</f>
        <v>15</v>
      </c>
      <c r="AR165" s="16">
        <f>IF(OR(X165=regle!$J$11,X165=regle!$K$11),-2,IF(X165=regle!$B$11,0,IF(AR$1=$AK$1,IF($O165,-1,regle!$B$2-$M165),IF(AQ165=-1,-1,AQ165+1))))</f>
        <v>16</v>
      </c>
      <c r="AS165" s="16">
        <f>IF(OR(Y165=regle!$J$11,Y165=regle!$K$11),-2,IF(Y165=regle!$B$11,0,IF(AS$1=$AK$1,IF($O165,-1,regle!$B$2-$M165),IF(AR165=-1,-1,AR165+1))))</f>
        <v>17</v>
      </c>
      <c r="AT165" s="16">
        <f>IF(OR(Z165=regle!$J$11,Z165=regle!$K$11),-2,IF(Z165=regle!$B$11,0,IF(AT$1=$AK$1,IF($O165,-1,regle!$B$2-$M165),IF(AS165=-1,-1,AS165+1))))</f>
        <v>18</v>
      </c>
    </row>
    <row r="166" spans="1:46" x14ac:dyDescent="0.25">
      <c r="A166" t="b">
        <f>modif0!A164</f>
        <v>1</v>
      </c>
      <c r="B166">
        <f>ROW(modif0!B164)</f>
        <v>164</v>
      </c>
      <c r="C166" t="str">
        <f>modif0!D164</f>
        <v>202</v>
      </c>
      <c r="D166" t="str">
        <f>modif0!E164</f>
        <v>HOSTENS</v>
      </c>
      <c r="E166">
        <f>modif0!F164</f>
        <v>11</v>
      </c>
      <c r="F166" t="str">
        <f>modif0!G164</f>
        <v>LES CAZALAS</v>
      </c>
      <c r="G166" t="str">
        <f>modif0!I164</f>
        <v>0B</v>
      </c>
      <c r="H166">
        <f>modif0!J164</f>
        <v>1187</v>
      </c>
      <c r="I166" t="str">
        <f>modif0!K164</f>
        <v>j</v>
      </c>
      <c r="J166" s="11">
        <f>modif0!M164</f>
        <v>1.4271</v>
      </c>
      <c r="K166" s="11" t="str">
        <f>modif0!P164</f>
        <v>PLA</v>
      </c>
      <c r="L166" t="str">
        <f>modif0!N164</f>
        <v>PM</v>
      </c>
      <c r="M166">
        <f>modif0!Q164</f>
        <v>2015</v>
      </c>
      <c r="N166" t="str">
        <f>modif0!R164</f>
        <v>PLA-PM_2015</v>
      </c>
      <c r="O166" t="b">
        <f>modif0!S164</f>
        <v>0</v>
      </c>
      <c r="P166">
        <v>40</v>
      </c>
      <c r="T166" t="s">
        <v>1803</v>
      </c>
      <c r="Y166" t="s">
        <v>1804</v>
      </c>
      <c r="AA166" s="17">
        <f>IF($A166,$J166*(IF(Q166=regle!$B$11,regle!$B$23*IF(AJ166=-2,1+regle!$B$35,1),
IF(Q166=regle!$C$11,regle!$C$23,
IF(Q166=regle!$D$11,regle!$D$23,
IF(Q166=regle!$E$11,regle!$E$23,
IF(Q166=regle!$F$11,regle!$F$23,
IF(Q166=regle!$G$11,regle!$G$23,
IF(Q166=regle!$H$11,regle!$H$23,
IF(Q166=regle!$I$11,regle!$I$23,
IF(Q166=regle!$J$11,regle!$J$23,
IF(Q166=regle!$K$11,regle!$K$23,0))))))))))))</f>
        <v>0</v>
      </c>
      <c r="AB166" s="17">
        <f>IF($A166,$J166*(IF(R166=regle!$B$11,regle!$B$23*IF(AK166=-2,1+regle!$B$35,1),
IF(R166=regle!$C$11,regle!$C$23,
IF(R166=regle!$D$11,regle!$D$23,
IF(R166=regle!$E$11,regle!$E$23,
IF(R166=regle!$F$11,regle!$F$23,
IF(R166=regle!$G$11,regle!$G$23,
IF(R166=regle!$H$11,regle!$H$23,
IF(R166=regle!$I$11,regle!$I$23,
IF(R166=regle!$J$11,regle!$J$23,
IF(R166=regle!$K$11,regle!$K$23,0))))))))))))</f>
        <v>0</v>
      </c>
      <c r="AC166" s="17">
        <f>IF($A166,$J166*(IF(S166=regle!$B$11,regle!$B$23*IF(AL166=-2,1+regle!$B$35,1),
IF(S166=regle!$C$11,regle!$C$23,
IF(S166=regle!$D$11,regle!$D$23,
IF(S166=regle!$E$11,regle!$E$23,
IF(S166=regle!$F$11,regle!$F$23,
IF(S166=regle!$G$11,regle!$G$23,
IF(S166=regle!$H$11,regle!$H$23,
IF(S166=regle!$I$11,regle!$I$23,
IF(S166=regle!$J$11,regle!$J$23,
IF(S166=regle!$K$11,regle!$K$23,0))))))))))))</f>
        <v>0</v>
      </c>
      <c r="AD166" s="17">
        <f>IF($A166,$J166*(IF(T166=regle!$B$11,regle!$B$23*IF(AM166=-2,1+regle!$B$35,1),
IF(T166=regle!$C$11,regle!$C$23,
IF(T166=regle!$D$11,regle!$D$23,
IF(T166=regle!$E$11,regle!$E$23,
IF(T166=regle!$F$11,regle!$F$23,
IF(T166=regle!$G$11,regle!$G$23,
IF(T166=regle!$H$11,regle!$H$23,
IF(T166=regle!$I$11,regle!$I$23,
IF(T166=regle!$J$11,regle!$J$23,
IF(T166=regle!$K$11,regle!$K$23,0))))))))))))</f>
        <v>822.00959999999998</v>
      </c>
      <c r="AE166" s="17">
        <f>IF($A166,$J166*(IF(U166=regle!$B$11,regle!$B$23*IF(AN166=-2,1+regle!$B$35,1),
IF(U166=regle!$C$11,regle!$C$23,
IF(U166=regle!$D$11,regle!$D$23,
IF(U166=regle!$E$11,regle!$E$23,
IF(U166=regle!$F$11,regle!$F$23,
IF(U166=regle!$G$11,regle!$G$23,
IF(U166=regle!$H$11,regle!$H$23,
IF(U166=regle!$I$11,regle!$I$23,
IF(U166=regle!$J$11,regle!$J$23,
IF(U166=regle!$K$11,regle!$K$23,0))))))))))))</f>
        <v>0</v>
      </c>
      <c r="AF166" s="17">
        <f>IF($A166,$J166*(IF(V166=regle!$B$11,regle!$B$23*IF(AO166=-2,1+regle!$B$35,1),
IF(V166=regle!$C$11,regle!$C$23,
IF(V166=regle!$D$11,regle!$D$23,
IF(V166=regle!$E$11,regle!$E$23,
IF(V166=regle!$F$11,regle!$F$23,
IF(V166=regle!$G$11,regle!$G$23,
IF(V166=regle!$H$11,regle!$H$23,
IF(V166=regle!$I$11,regle!$I$23,
IF(V166=regle!$J$11,regle!$J$23,
IF(V166=regle!$K$11,regle!$K$23,0))))))))))))</f>
        <v>0</v>
      </c>
      <c r="AG166" s="17">
        <f>IF($A166,$J166*(IF(W166=regle!$B$11,regle!$B$23*IF(AP166=-2,1+regle!$B$35,1),
IF(W166=regle!$C$11,regle!$C$23,
IF(W166=regle!$D$11,regle!$D$23,
IF(W166=regle!$E$11,regle!$E$23,
IF(W166=regle!$F$11,regle!$F$23,
IF(W166=regle!$G$11,regle!$G$23,
IF(W166=regle!$H$11,regle!$H$23,
IF(W166=regle!$I$11,regle!$I$23,
IF(W166=regle!$J$11,regle!$J$23,
IF(W166=regle!$K$11,regle!$K$23,0))))))))))))</f>
        <v>0</v>
      </c>
      <c r="AH166" s="17">
        <f>IF($A166,$J166*(IF(X166=regle!$B$11,regle!$B$23*IF(AQ166=-2,1+regle!$B$35,1),
IF(X166=regle!$C$11,regle!$C$23,
IF(X166=regle!$D$11,regle!$D$23,
IF(X166=regle!$E$11,regle!$E$23,
IF(X166=regle!$F$11,regle!$F$23,
IF(X166=regle!$G$11,regle!$G$23,
IF(X166=regle!$H$11,regle!$H$23,
IF(X166=regle!$I$11,regle!$I$23,
IF(X166=regle!$J$11,regle!$J$23,
IF(X166=regle!$K$11,regle!$K$23,0))))))))))))</f>
        <v>0</v>
      </c>
      <c r="AI166" s="17">
        <f>IF($A166,$J166*(IF(Y166=regle!$B$11,regle!$B$23*IF(AR166=-2,1+regle!$B$35,1),
IF(Y166=regle!$C$11,regle!$C$23,
IF(Y166=regle!$D$11,regle!$D$23,
IF(Y166=regle!$E$11,regle!$E$23,
IF(Y166=regle!$F$11,regle!$F$23,
IF(Y166=regle!$G$11,regle!$G$23,
IF(Y166=regle!$H$11,regle!$H$23,
IF(Y166=regle!$I$11,regle!$I$23,
IF(Y166=regle!$J$11,regle!$J$23,
IF(Y166=regle!$K$11,regle!$K$23,0))))))))))))</f>
        <v>1198.7640000000001</v>
      </c>
      <c r="AJ166" s="17">
        <f>IF($A166,$J166*(IF(Z166=regle!$B$11,regle!$B$23*IF(AS166=-2,1+regle!$B$35,1),
IF(Z166=regle!$C$11,regle!$C$23,
IF(Z166=regle!$D$11,regle!$D$23,
IF(Z166=regle!$E$11,regle!$E$23,
IF(Z166=regle!$F$11,regle!$F$23,
IF(Z166=regle!$G$11,regle!$G$23,
IF(Z166=regle!$H$11,regle!$H$23,
IF(Z166=regle!$I$11,regle!$I$23,
IF(Z166=regle!$J$11,regle!$J$23,
IF(Z166=regle!$K$11,regle!$K$23,0))))))))))))</f>
        <v>0</v>
      </c>
      <c r="AK166" s="16">
        <f>IF(OR(Q166=regle!$J$11,Q166=regle!$K$11),-2,IF(Q166=regle!$B$11,0,IF(AK$1=$AK$1,IF($O166,-1,regle!$B$2-$M166),IF(AJ166=-1,-1,AJ166+1))))</f>
        <v>9</v>
      </c>
      <c r="AL166" s="16">
        <f>IF(OR(R166=regle!$J$11,R166=regle!$K$11),-2,IF(R166=regle!$B$11,0,IF(AL$1=$AK$1,IF($O166,-1,regle!$B$2-$M166),IF(AK166=-1,-1,AK166+1))))</f>
        <v>10</v>
      </c>
      <c r="AM166" s="16">
        <f>IF(OR(S166=regle!$J$11,S166=regle!$K$11),-2,IF(S166=regle!$B$11,0,IF(AM$1=$AK$1,IF($O166,-1,regle!$B$2-$M166),IF(AL166=-1,-1,AL166+1))))</f>
        <v>11</v>
      </c>
      <c r="AN166" s="16">
        <f>IF(OR(T166=regle!$J$11,T166=regle!$K$11),-2,IF(T166=regle!$B$11,0,IF(AN$1=$AK$1,IF($O166,-1,regle!$B$2-$M166),IF(AM166=-1,-1,AM166+1))))</f>
        <v>12</v>
      </c>
      <c r="AO166" s="16">
        <f>IF(OR(U166=regle!$J$11,U166=regle!$K$11),-2,IF(U166=regle!$B$11,0,IF(AO$1=$AK$1,IF($O166,-1,regle!$B$2-$M166),IF(AN166=-1,-1,AN166+1))))</f>
        <v>13</v>
      </c>
      <c r="AP166" s="16">
        <f>IF(OR(V166=regle!$J$11,V166=regle!$K$11),-2,IF(V166=regle!$B$11,0,IF(AP$1=$AK$1,IF($O166,-1,regle!$B$2-$M166),IF(AO166=-1,-1,AO166+1))))</f>
        <v>14</v>
      </c>
      <c r="AQ166" s="16">
        <f>IF(OR(W166=regle!$J$11,W166=regle!$K$11),-2,IF(W166=regle!$B$11,0,IF(AQ$1=$AK$1,IF($O166,-1,regle!$B$2-$M166),IF(AP166=-1,-1,AP166+1))))</f>
        <v>15</v>
      </c>
      <c r="AR166" s="16">
        <f>IF(OR(X166=regle!$J$11,X166=regle!$K$11),-2,IF(X166=regle!$B$11,0,IF(AR$1=$AK$1,IF($O166,-1,regle!$B$2-$M166),IF(AQ166=-1,-1,AQ166+1))))</f>
        <v>16</v>
      </c>
      <c r="AS166" s="16">
        <f>IF(OR(Y166=regle!$J$11,Y166=regle!$K$11),-2,IF(Y166=regle!$B$11,0,IF(AS$1=$AK$1,IF($O166,-1,regle!$B$2-$M166),IF(AR166=-1,-1,AR166+1))))</f>
        <v>17</v>
      </c>
      <c r="AT166" s="16">
        <f>IF(OR(Z166=regle!$J$11,Z166=regle!$K$11),-2,IF(Z166=regle!$B$11,0,IF(AT$1=$AK$1,IF($O166,-1,regle!$B$2-$M166),IF(AS166=-1,-1,AS166+1))))</f>
        <v>18</v>
      </c>
    </row>
    <row r="167" spans="1:46" x14ac:dyDescent="0.25">
      <c r="A167" t="b">
        <f>modif0!A244</f>
        <v>1</v>
      </c>
      <c r="B167">
        <f>ROW(modif0!B244)</f>
        <v>244</v>
      </c>
      <c r="C167" t="str">
        <f>modif0!D244</f>
        <v>202</v>
      </c>
      <c r="D167" t="str">
        <f>modif0!E244</f>
        <v>HOSTENS</v>
      </c>
      <c r="E167">
        <f>modif0!F244</f>
        <v>8</v>
      </c>
      <c r="F167" t="str">
        <f>modif0!G244</f>
        <v>LES BECS</v>
      </c>
      <c r="G167" t="str">
        <f>modif0!I244</f>
        <v>0B</v>
      </c>
      <c r="H167">
        <f>modif0!J244</f>
        <v>2472</v>
      </c>
      <c r="I167" t="str">
        <f>modif0!K244</f>
        <v>l</v>
      </c>
      <c r="J167" s="11">
        <f>modif0!M244</f>
        <v>1.1595</v>
      </c>
      <c r="K167" s="11" t="str">
        <f>modif0!P244</f>
        <v>PLA</v>
      </c>
      <c r="L167" t="str">
        <f>modif0!N244</f>
        <v>PM</v>
      </c>
      <c r="M167">
        <f>modif0!Q244</f>
        <v>2015</v>
      </c>
      <c r="N167" t="str">
        <f>modif0!R244</f>
        <v>PLA-PM_2015</v>
      </c>
      <c r="O167" t="b">
        <f>modif0!S244</f>
        <v>0</v>
      </c>
      <c r="P167">
        <v>40</v>
      </c>
      <c r="T167" t="s">
        <v>1803</v>
      </c>
      <c r="Y167" t="s">
        <v>1804</v>
      </c>
      <c r="AA167" s="17">
        <f>IF($A167,$J167*(IF(Q167=regle!$B$11,regle!$B$23*IF(AJ167=-2,1+regle!$B$35,1),
IF(Q167=regle!$C$11,regle!$C$23,
IF(Q167=regle!$D$11,regle!$D$23,
IF(Q167=regle!$E$11,regle!$E$23,
IF(Q167=regle!$F$11,regle!$F$23,
IF(Q167=regle!$G$11,regle!$G$23,
IF(Q167=regle!$H$11,regle!$H$23,
IF(Q167=regle!$I$11,regle!$I$23,
IF(Q167=regle!$J$11,regle!$J$23,
IF(Q167=regle!$K$11,regle!$K$23,0))))))))))))</f>
        <v>0</v>
      </c>
      <c r="AB167" s="17">
        <f>IF($A167,$J167*(IF(R167=regle!$B$11,regle!$B$23*IF(AK167=-2,1+regle!$B$35,1),
IF(R167=regle!$C$11,regle!$C$23,
IF(R167=regle!$D$11,regle!$D$23,
IF(R167=regle!$E$11,regle!$E$23,
IF(R167=regle!$F$11,regle!$F$23,
IF(R167=regle!$G$11,regle!$G$23,
IF(R167=regle!$H$11,regle!$H$23,
IF(R167=regle!$I$11,regle!$I$23,
IF(R167=regle!$J$11,regle!$J$23,
IF(R167=regle!$K$11,regle!$K$23,0))))))))))))</f>
        <v>0</v>
      </c>
      <c r="AC167" s="17">
        <f>IF($A167,$J167*(IF(S167=regle!$B$11,regle!$B$23*IF(AL167=-2,1+regle!$B$35,1),
IF(S167=regle!$C$11,regle!$C$23,
IF(S167=regle!$D$11,regle!$D$23,
IF(S167=regle!$E$11,regle!$E$23,
IF(S167=regle!$F$11,regle!$F$23,
IF(S167=regle!$G$11,regle!$G$23,
IF(S167=regle!$H$11,regle!$H$23,
IF(S167=regle!$I$11,regle!$I$23,
IF(S167=regle!$J$11,regle!$J$23,
IF(S167=regle!$K$11,regle!$K$23,0))))))))))))</f>
        <v>0</v>
      </c>
      <c r="AD167" s="17">
        <f>IF($A167,$J167*(IF(T167=regle!$B$11,regle!$B$23*IF(AM167=-2,1+regle!$B$35,1),
IF(T167=regle!$C$11,regle!$C$23,
IF(T167=regle!$D$11,regle!$D$23,
IF(T167=regle!$E$11,regle!$E$23,
IF(T167=regle!$F$11,regle!$F$23,
IF(T167=regle!$G$11,regle!$G$23,
IF(T167=regle!$H$11,regle!$H$23,
IF(T167=regle!$I$11,regle!$I$23,
IF(T167=regle!$J$11,regle!$J$23,
IF(T167=regle!$K$11,regle!$K$23,0))))))))))))</f>
        <v>667.87199999999996</v>
      </c>
      <c r="AE167" s="17">
        <f>IF($A167,$J167*(IF(U167=regle!$B$11,regle!$B$23*IF(AN167=-2,1+regle!$B$35,1),
IF(U167=regle!$C$11,regle!$C$23,
IF(U167=regle!$D$11,regle!$D$23,
IF(U167=regle!$E$11,regle!$E$23,
IF(U167=regle!$F$11,regle!$F$23,
IF(U167=regle!$G$11,regle!$G$23,
IF(U167=regle!$H$11,regle!$H$23,
IF(U167=regle!$I$11,regle!$I$23,
IF(U167=regle!$J$11,regle!$J$23,
IF(U167=regle!$K$11,regle!$K$23,0))))))))))))</f>
        <v>0</v>
      </c>
      <c r="AF167" s="17">
        <f>IF($A167,$J167*(IF(V167=regle!$B$11,regle!$B$23*IF(AO167=-2,1+regle!$B$35,1),
IF(V167=regle!$C$11,regle!$C$23,
IF(V167=regle!$D$11,regle!$D$23,
IF(V167=regle!$E$11,regle!$E$23,
IF(V167=regle!$F$11,regle!$F$23,
IF(V167=regle!$G$11,regle!$G$23,
IF(V167=regle!$H$11,regle!$H$23,
IF(V167=regle!$I$11,regle!$I$23,
IF(V167=regle!$J$11,regle!$J$23,
IF(V167=regle!$K$11,regle!$K$23,0))))))))))))</f>
        <v>0</v>
      </c>
      <c r="AG167" s="17">
        <f>IF($A167,$J167*(IF(W167=regle!$B$11,regle!$B$23*IF(AP167=-2,1+regle!$B$35,1),
IF(W167=regle!$C$11,regle!$C$23,
IF(W167=regle!$D$11,regle!$D$23,
IF(W167=regle!$E$11,regle!$E$23,
IF(W167=regle!$F$11,regle!$F$23,
IF(W167=regle!$G$11,regle!$G$23,
IF(W167=regle!$H$11,regle!$H$23,
IF(W167=regle!$I$11,regle!$I$23,
IF(W167=regle!$J$11,regle!$J$23,
IF(W167=regle!$K$11,regle!$K$23,0))))))))))))</f>
        <v>0</v>
      </c>
      <c r="AH167" s="17">
        <f>IF($A167,$J167*(IF(X167=regle!$B$11,regle!$B$23*IF(AQ167=-2,1+regle!$B$35,1),
IF(X167=regle!$C$11,regle!$C$23,
IF(X167=regle!$D$11,regle!$D$23,
IF(X167=regle!$E$11,regle!$E$23,
IF(X167=regle!$F$11,regle!$F$23,
IF(X167=regle!$G$11,regle!$G$23,
IF(X167=regle!$H$11,regle!$H$23,
IF(X167=regle!$I$11,regle!$I$23,
IF(X167=regle!$J$11,regle!$J$23,
IF(X167=regle!$K$11,regle!$K$23,0))))))))))))</f>
        <v>0</v>
      </c>
      <c r="AI167" s="17">
        <f>IF($A167,$J167*(IF(Y167=regle!$B$11,regle!$B$23*IF(AR167=-2,1+regle!$B$35,1),
IF(Y167=regle!$C$11,regle!$C$23,
IF(Y167=regle!$D$11,regle!$D$23,
IF(Y167=regle!$E$11,regle!$E$23,
IF(Y167=regle!$F$11,regle!$F$23,
IF(Y167=regle!$G$11,regle!$G$23,
IF(Y167=regle!$H$11,regle!$H$23,
IF(Y167=regle!$I$11,regle!$I$23,
IF(Y167=regle!$J$11,regle!$J$23,
IF(Y167=regle!$K$11,regle!$K$23,0))))))))))))</f>
        <v>973.98</v>
      </c>
      <c r="AJ167" s="17">
        <f>IF($A167,$J167*(IF(Z167=regle!$B$11,regle!$B$23*IF(AS167=-2,1+regle!$B$35,1),
IF(Z167=regle!$C$11,regle!$C$23,
IF(Z167=regle!$D$11,regle!$D$23,
IF(Z167=regle!$E$11,regle!$E$23,
IF(Z167=regle!$F$11,regle!$F$23,
IF(Z167=regle!$G$11,regle!$G$23,
IF(Z167=regle!$H$11,regle!$H$23,
IF(Z167=regle!$I$11,regle!$I$23,
IF(Z167=regle!$J$11,regle!$J$23,
IF(Z167=regle!$K$11,regle!$K$23,0))))))))))))</f>
        <v>0</v>
      </c>
      <c r="AK167" s="16">
        <f>IF(OR(Q167=regle!$J$11,Q167=regle!$K$11),-2,IF(Q167=regle!$B$11,0,IF(AK$1=$AK$1,IF($O167,-1,regle!$B$2-$M167),IF(AJ167=-1,-1,AJ167+1))))</f>
        <v>9</v>
      </c>
      <c r="AL167" s="16">
        <f>IF(OR(R167=regle!$J$11,R167=regle!$K$11),-2,IF(R167=regle!$B$11,0,IF(AL$1=$AK$1,IF($O167,-1,regle!$B$2-$M167),IF(AK167=-1,-1,AK167+1))))</f>
        <v>10</v>
      </c>
      <c r="AM167" s="16">
        <f>IF(OR(S167=regle!$J$11,S167=regle!$K$11),-2,IF(S167=regle!$B$11,0,IF(AM$1=$AK$1,IF($O167,-1,regle!$B$2-$M167),IF(AL167=-1,-1,AL167+1))))</f>
        <v>11</v>
      </c>
      <c r="AN167" s="16">
        <f>IF(OR(T167=regle!$J$11,T167=regle!$K$11),-2,IF(T167=regle!$B$11,0,IF(AN$1=$AK$1,IF($O167,-1,regle!$B$2-$M167),IF(AM167=-1,-1,AM167+1))))</f>
        <v>12</v>
      </c>
      <c r="AO167" s="16">
        <f>IF(OR(U167=regle!$J$11,U167=regle!$K$11),-2,IF(U167=regle!$B$11,0,IF(AO$1=$AK$1,IF($O167,-1,regle!$B$2-$M167),IF(AN167=-1,-1,AN167+1))))</f>
        <v>13</v>
      </c>
      <c r="AP167" s="16">
        <f>IF(OR(V167=regle!$J$11,V167=regle!$K$11),-2,IF(V167=regle!$B$11,0,IF(AP$1=$AK$1,IF($O167,-1,regle!$B$2-$M167),IF(AO167=-1,-1,AO167+1))))</f>
        <v>14</v>
      </c>
      <c r="AQ167" s="16">
        <f>IF(OR(W167=regle!$J$11,W167=regle!$K$11),-2,IF(W167=regle!$B$11,0,IF(AQ$1=$AK$1,IF($O167,-1,regle!$B$2-$M167),IF(AP167=-1,-1,AP167+1))))</f>
        <v>15</v>
      </c>
      <c r="AR167" s="16">
        <f>IF(OR(X167=regle!$J$11,X167=regle!$K$11),-2,IF(X167=regle!$B$11,0,IF(AR$1=$AK$1,IF($O167,-1,regle!$B$2-$M167),IF(AQ167=-1,-1,AQ167+1))))</f>
        <v>16</v>
      </c>
      <c r="AS167" s="16">
        <f>IF(OR(Y167=regle!$J$11,Y167=regle!$K$11),-2,IF(Y167=regle!$B$11,0,IF(AS$1=$AK$1,IF($O167,-1,regle!$B$2-$M167),IF(AR167=-1,-1,AR167+1))))</f>
        <v>17</v>
      </c>
      <c r="AT167" s="16">
        <f>IF(OR(Z167=regle!$J$11,Z167=regle!$K$11),-2,IF(Z167=regle!$B$11,0,IF(AT$1=$AK$1,IF($O167,-1,regle!$B$2-$M167),IF(AS167=-1,-1,AS167+1))))</f>
        <v>18</v>
      </c>
    </row>
    <row r="168" spans="1:46" x14ac:dyDescent="0.25">
      <c r="A168" t="b">
        <f>modif0!A192</f>
        <v>1</v>
      </c>
      <c r="B168">
        <f>ROW(modif0!B192)</f>
        <v>192</v>
      </c>
      <c r="C168" t="str">
        <f>modif0!D192</f>
        <v>202</v>
      </c>
      <c r="D168" t="str">
        <f>modif0!E192</f>
        <v>HOSTENS</v>
      </c>
      <c r="E168">
        <f>modif0!F192</f>
        <v>8</v>
      </c>
      <c r="F168" t="str">
        <f>modif0!G192</f>
        <v>LES BECS</v>
      </c>
      <c r="G168" t="str">
        <f>modif0!I192</f>
        <v>0B</v>
      </c>
      <c r="H168">
        <f>modif0!J192</f>
        <v>1220</v>
      </c>
      <c r="I168" t="str">
        <f>modif0!K192</f>
        <v>k</v>
      </c>
      <c r="J168" s="11">
        <f>modif0!M192</f>
        <v>1.0684</v>
      </c>
      <c r="K168" s="11" t="str">
        <f>modif0!P192</f>
        <v>PLA</v>
      </c>
      <c r="L168" t="str">
        <f>modif0!N192</f>
        <v>PM</v>
      </c>
      <c r="M168">
        <f>modif0!Q192</f>
        <v>2015</v>
      </c>
      <c r="N168" t="str">
        <f>modif0!R192</f>
        <v>PLA-PM_2015</v>
      </c>
      <c r="O168" t="b">
        <f>modif0!S192</f>
        <v>0</v>
      </c>
      <c r="P168">
        <v>40</v>
      </c>
      <c r="T168" t="s">
        <v>1803</v>
      </c>
      <c r="Y168" t="s">
        <v>1804</v>
      </c>
      <c r="AA168" s="17">
        <f>IF($A168,$J168*(IF(Q168=regle!$B$11,regle!$B$23*IF(AJ168=-2,1+regle!$B$35,1),
IF(Q168=regle!$C$11,regle!$C$23,
IF(Q168=regle!$D$11,regle!$D$23,
IF(Q168=regle!$E$11,regle!$E$23,
IF(Q168=regle!$F$11,regle!$F$23,
IF(Q168=regle!$G$11,regle!$G$23,
IF(Q168=regle!$H$11,regle!$H$23,
IF(Q168=regle!$I$11,regle!$I$23,
IF(Q168=regle!$J$11,regle!$J$23,
IF(Q168=regle!$K$11,regle!$K$23,0))))))))))))</f>
        <v>0</v>
      </c>
      <c r="AB168" s="17">
        <f>IF($A168,$J168*(IF(R168=regle!$B$11,regle!$B$23*IF(AK168=-2,1+regle!$B$35,1),
IF(R168=regle!$C$11,regle!$C$23,
IF(R168=regle!$D$11,regle!$D$23,
IF(R168=regle!$E$11,regle!$E$23,
IF(R168=regle!$F$11,regle!$F$23,
IF(R168=regle!$G$11,regle!$G$23,
IF(R168=regle!$H$11,regle!$H$23,
IF(R168=regle!$I$11,regle!$I$23,
IF(R168=regle!$J$11,regle!$J$23,
IF(R168=regle!$K$11,regle!$K$23,0))))))))))))</f>
        <v>0</v>
      </c>
      <c r="AC168" s="17">
        <f>IF($A168,$J168*(IF(S168=regle!$B$11,regle!$B$23*IF(AL168=-2,1+regle!$B$35,1),
IF(S168=regle!$C$11,regle!$C$23,
IF(S168=regle!$D$11,regle!$D$23,
IF(S168=regle!$E$11,regle!$E$23,
IF(S168=regle!$F$11,regle!$F$23,
IF(S168=regle!$G$11,regle!$G$23,
IF(S168=regle!$H$11,regle!$H$23,
IF(S168=regle!$I$11,regle!$I$23,
IF(S168=regle!$J$11,regle!$J$23,
IF(S168=regle!$K$11,regle!$K$23,0))))))))))))</f>
        <v>0</v>
      </c>
      <c r="AD168" s="17">
        <f>IF($A168,$J168*(IF(T168=regle!$B$11,regle!$B$23*IF(AM168=-2,1+regle!$B$35,1),
IF(T168=regle!$C$11,regle!$C$23,
IF(T168=regle!$D$11,regle!$D$23,
IF(T168=regle!$E$11,regle!$E$23,
IF(T168=regle!$F$11,regle!$F$23,
IF(T168=regle!$G$11,regle!$G$23,
IF(T168=regle!$H$11,regle!$H$23,
IF(T168=regle!$I$11,regle!$I$23,
IF(T168=regle!$J$11,regle!$J$23,
IF(T168=regle!$K$11,regle!$K$23,0))))))))))))</f>
        <v>615.39840000000004</v>
      </c>
      <c r="AE168" s="17">
        <f>IF($A168,$J168*(IF(U168=regle!$B$11,regle!$B$23*IF(AN168=-2,1+regle!$B$35,1),
IF(U168=regle!$C$11,regle!$C$23,
IF(U168=regle!$D$11,regle!$D$23,
IF(U168=regle!$E$11,regle!$E$23,
IF(U168=regle!$F$11,regle!$F$23,
IF(U168=regle!$G$11,regle!$G$23,
IF(U168=regle!$H$11,regle!$H$23,
IF(U168=regle!$I$11,regle!$I$23,
IF(U168=regle!$J$11,regle!$J$23,
IF(U168=regle!$K$11,regle!$K$23,0))))))))))))</f>
        <v>0</v>
      </c>
      <c r="AF168" s="17">
        <f>IF($A168,$J168*(IF(V168=regle!$B$11,regle!$B$23*IF(AO168=-2,1+regle!$B$35,1),
IF(V168=regle!$C$11,regle!$C$23,
IF(V168=regle!$D$11,regle!$D$23,
IF(V168=regle!$E$11,regle!$E$23,
IF(V168=regle!$F$11,regle!$F$23,
IF(V168=regle!$G$11,regle!$G$23,
IF(V168=regle!$H$11,regle!$H$23,
IF(V168=regle!$I$11,regle!$I$23,
IF(V168=regle!$J$11,regle!$J$23,
IF(V168=regle!$K$11,regle!$K$23,0))))))))))))</f>
        <v>0</v>
      </c>
      <c r="AG168" s="17">
        <f>IF($A168,$J168*(IF(W168=regle!$B$11,regle!$B$23*IF(AP168=-2,1+regle!$B$35,1),
IF(W168=regle!$C$11,regle!$C$23,
IF(W168=regle!$D$11,regle!$D$23,
IF(W168=regle!$E$11,regle!$E$23,
IF(W168=regle!$F$11,regle!$F$23,
IF(W168=regle!$G$11,regle!$G$23,
IF(W168=regle!$H$11,regle!$H$23,
IF(W168=regle!$I$11,regle!$I$23,
IF(W168=regle!$J$11,regle!$J$23,
IF(W168=regle!$K$11,regle!$K$23,0))))))))))))</f>
        <v>0</v>
      </c>
      <c r="AH168" s="17">
        <f>IF($A168,$J168*(IF(X168=regle!$B$11,regle!$B$23*IF(AQ168=-2,1+regle!$B$35,1),
IF(X168=regle!$C$11,regle!$C$23,
IF(X168=regle!$D$11,regle!$D$23,
IF(X168=regle!$E$11,regle!$E$23,
IF(X168=regle!$F$11,regle!$F$23,
IF(X168=regle!$G$11,regle!$G$23,
IF(X168=regle!$H$11,regle!$H$23,
IF(X168=regle!$I$11,regle!$I$23,
IF(X168=regle!$J$11,regle!$J$23,
IF(X168=regle!$K$11,regle!$K$23,0))))))))))))</f>
        <v>0</v>
      </c>
      <c r="AI168" s="17">
        <f>IF($A168,$J168*(IF(Y168=regle!$B$11,regle!$B$23*IF(AR168=-2,1+regle!$B$35,1),
IF(Y168=regle!$C$11,regle!$C$23,
IF(Y168=regle!$D$11,regle!$D$23,
IF(Y168=regle!$E$11,regle!$E$23,
IF(Y168=regle!$F$11,regle!$F$23,
IF(Y168=regle!$G$11,regle!$G$23,
IF(Y168=regle!$H$11,regle!$H$23,
IF(Y168=regle!$I$11,regle!$I$23,
IF(Y168=regle!$J$11,regle!$J$23,
IF(Y168=regle!$K$11,regle!$K$23,0))))))))))))</f>
        <v>897.45600000000002</v>
      </c>
      <c r="AJ168" s="17">
        <f>IF($A168,$J168*(IF(Z168=regle!$B$11,regle!$B$23*IF(AS168=-2,1+regle!$B$35,1),
IF(Z168=regle!$C$11,regle!$C$23,
IF(Z168=regle!$D$11,regle!$D$23,
IF(Z168=regle!$E$11,regle!$E$23,
IF(Z168=regle!$F$11,regle!$F$23,
IF(Z168=regle!$G$11,regle!$G$23,
IF(Z168=regle!$H$11,regle!$H$23,
IF(Z168=regle!$I$11,regle!$I$23,
IF(Z168=regle!$J$11,regle!$J$23,
IF(Z168=regle!$K$11,regle!$K$23,0))))))))))))</f>
        <v>0</v>
      </c>
      <c r="AK168" s="16">
        <f>IF(OR(Q168=regle!$J$11,Q168=regle!$K$11),-2,IF(Q168=regle!$B$11,0,IF(AK$1=$AK$1,IF($O168,-1,regle!$B$2-$M168),IF(AJ168=-1,-1,AJ168+1))))</f>
        <v>9</v>
      </c>
      <c r="AL168" s="16">
        <f>IF(OR(R168=regle!$J$11,R168=regle!$K$11),-2,IF(R168=regle!$B$11,0,IF(AL$1=$AK$1,IF($O168,-1,regle!$B$2-$M168),IF(AK168=-1,-1,AK168+1))))</f>
        <v>10</v>
      </c>
      <c r="AM168" s="16">
        <f>IF(OR(S168=regle!$J$11,S168=regle!$K$11),-2,IF(S168=regle!$B$11,0,IF(AM$1=$AK$1,IF($O168,-1,regle!$B$2-$M168),IF(AL168=-1,-1,AL168+1))))</f>
        <v>11</v>
      </c>
      <c r="AN168" s="16">
        <f>IF(OR(T168=regle!$J$11,T168=regle!$K$11),-2,IF(T168=regle!$B$11,0,IF(AN$1=$AK$1,IF($O168,-1,regle!$B$2-$M168),IF(AM168=-1,-1,AM168+1))))</f>
        <v>12</v>
      </c>
      <c r="AO168" s="16">
        <f>IF(OR(U168=regle!$J$11,U168=regle!$K$11),-2,IF(U168=regle!$B$11,0,IF(AO$1=$AK$1,IF($O168,-1,regle!$B$2-$M168),IF(AN168=-1,-1,AN168+1))))</f>
        <v>13</v>
      </c>
      <c r="AP168" s="16">
        <f>IF(OR(V168=regle!$J$11,V168=regle!$K$11),-2,IF(V168=regle!$B$11,0,IF(AP$1=$AK$1,IF($O168,-1,regle!$B$2-$M168),IF(AO168=-1,-1,AO168+1))))</f>
        <v>14</v>
      </c>
      <c r="AQ168" s="16">
        <f>IF(OR(W168=regle!$J$11,W168=regle!$K$11),-2,IF(W168=regle!$B$11,0,IF(AQ$1=$AK$1,IF($O168,-1,regle!$B$2-$M168),IF(AP168=-1,-1,AP168+1))))</f>
        <v>15</v>
      </c>
      <c r="AR168" s="16">
        <f>IF(OR(X168=regle!$J$11,X168=regle!$K$11),-2,IF(X168=regle!$B$11,0,IF(AR$1=$AK$1,IF($O168,-1,regle!$B$2-$M168),IF(AQ168=-1,-1,AQ168+1))))</f>
        <v>16</v>
      </c>
      <c r="AS168" s="16">
        <f>IF(OR(Y168=regle!$J$11,Y168=regle!$K$11),-2,IF(Y168=regle!$B$11,0,IF(AS$1=$AK$1,IF($O168,-1,regle!$B$2-$M168),IF(AR168=-1,-1,AR168+1))))</f>
        <v>17</v>
      </c>
      <c r="AT168" s="16">
        <f>IF(OR(Z168=regle!$J$11,Z168=regle!$K$11),-2,IF(Z168=regle!$B$11,0,IF(AT$1=$AK$1,IF($O168,-1,regle!$B$2-$M168),IF(AS168=-1,-1,AS168+1))))</f>
        <v>18</v>
      </c>
    </row>
    <row r="169" spans="1:46" x14ac:dyDescent="0.25">
      <c r="A169" t="b">
        <f>modif0!A134</f>
        <v>1</v>
      </c>
      <c r="B169">
        <f>ROW(modif0!B134)</f>
        <v>134</v>
      </c>
      <c r="C169" t="str">
        <f>modif0!D134</f>
        <v>202</v>
      </c>
      <c r="D169" t="str">
        <f>modif0!E134</f>
        <v>HOSTENS</v>
      </c>
      <c r="E169">
        <f>modif0!F134</f>
        <v>11</v>
      </c>
      <c r="F169" t="str">
        <f>modif0!G134</f>
        <v>LES CAZALAS</v>
      </c>
      <c r="G169" t="str">
        <f>modif0!I134</f>
        <v>0B</v>
      </c>
      <c r="H169">
        <f>modif0!J134</f>
        <v>1158</v>
      </c>
      <c r="I169" t="str">
        <f>modif0!K134</f>
        <v>k</v>
      </c>
      <c r="J169" s="11">
        <f>modif0!M134</f>
        <v>1.0414000000000001</v>
      </c>
      <c r="K169" s="11" t="str">
        <f>modif0!P134</f>
        <v>PLA</v>
      </c>
      <c r="L169" t="str">
        <f>modif0!N134</f>
        <v>PM</v>
      </c>
      <c r="M169">
        <f>modif0!Q134</f>
        <v>2015</v>
      </c>
      <c r="N169" t="str">
        <f>modif0!R134</f>
        <v>PLA-PM_2015</v>
      </c>
      <c r="O169" t="b">
        <f>modif0!S134</f>
        <v>0</v>
      </c>
      <c r="P169">
        <v>40</v>
      </c>
      <c r="T169" t="s">
        <v>1803</v>
      </c>
      <c r="Y169" t="s">
        <v>1804</v>
      </c>
      <c r="AA169" s="17">
        <f>IF($A169,$J169*(IF(Q169=regle!$B$11,regle!$B$23*IF(AJ169=-2,1+regle!$B$35,1),
IF(Q169=regle!$C$11,regle!$C$23,
IF(Q169=regle!$D$11,regle!$D$23,
IF(Q169=regle!$E$11,regle!$E$23,
IF(Q169=regle!$F$11,regle!$F$23,
IF(Q169=regle!$G$11,regle!$G$23,
IF(Q169=regle!$H$11,regle!$H$23,
IF(Q169=regle!$I$11,regle!$I$23,
IF(Q169=regle!$J$11,regle!$J$23,
IF(Q169=regle!$K$11,regle!$K$23,0))))))))))))</f>
        <v>0</v>
      </c>
      <c r="AB169" s="17">
        <f>IF($A169,$J169*(IF(R169=regle!$B$11,regle!$B$23*IF(AK169=-2,1+regle!$B$35,1),
IF(R169=regle!$C$11,regle!$C$23,
IF(R169=regle!$D$11,regle!$D$23,
IF(R169=regle!$E$11,regle!$E$23,
IF(R169=regle!$F$11,regle!$F$23,
IF(R169=regle!$G$11,regle!$G$23,
IF(R169=regle!$H$11,regle!$H$23,
IF(R169=regle!$I$11,regle!$I$23,
IF(R169=regle!$J$11,regle!$J$23,
IF(R169=regle!$K$11,regle!$K$23,0))))))))))))</f>
        <v>0</v>
      </c>
      <c r="AC169" s="17">
        <f>IF($A169,$J169*(IF(S169=regle!$B$11,regle!$B$23*IF(AL169=-2,1+regle!$B$35,1),
IF(S169=regle!$C$11,regle!$C$23,
IF(S169=regle!$D$11,regle!$D$23,
IF(S169=regle!$E$11,regle!$E$23,
IF(S169=regle!$F$11,regle!$F$23,
IF(S169=regle!$G$11,regle!$G$23,
IF(S169=regle!$H$11,regle!$H$23,
IF(S169=regle!$I$11,regle!$I$23,
IF(S169=regle!$J$11,regle!$J$23,
IF(S169=regle!$K$11,regle!$K$23,0))))))))))))</f>
        <v>0</v>
      </c>
      <c r="AD169" s="17">
        <f>IF($A169,$J169*(IF(T169=regle!$B$11,regle!$B$23*IF(AM169=-2,1+regle!$B$35,1),
IF(T169=regle!$C$11,regle!$C$23,
IF(T169=regle!$D$11,regle!$D$23,
IF(T169=regle!$E$11,regle!$E$23,
IF(T169=regle!$F$11,regle!$F$23,
IF(T169=regle!$G$11,regle!$G$23,
IF(T169=regle!$H$11,regle!$H$23,
IF(T169=regle!$I$11,regle!$I$23,
IF(T169=regle!$J$11,regle!$J$23,
IF(T169=regle!$K$11,regle!$K$23,0))))))))))))</f>
        <v>599.84640000000002</v>
      </c>
      <c r="AE169" s="17">
        <f>IF($A169,$J169*(IF(U169=regle!$B$11,regle!$B$23*IF(AN169=-2,1+regle!$B$35,1),
IF(U169=regle!$C$11,regle!$C$23,
IF(U169=regle!$D$11,regle!$D$23,
IF(U169=regle!$E$11,regle!$E$23,
IF(U169=regle!$F$11,regle!$F$23,
IF(U169=regle!$G$11,regle!$G$23,
IF(U169=regle!$H$11,regle!$H$23,
IF(U169=regle!$I$11,regle!$I$23,
IF(U169=regle!$J$11,regle!$J$23,
IF(U169=regle!$K$11,regle!$K$23,0))))))))))))</f>
        <v>0</v>
      </c>
      <c r="AF169" s="17">
        <f>IF($A169,$J169*(IF(V169=regle!$B$11,regle!$B$23*IF(AO169=-2,1+regle!$B$35,1),
IF(V169=regle!$C$11,regle!$C$23,
IF(V169=regle!$D$11,regle!$D$23,
IF(V169=regle!$E$11,regle!$E$23,
IF(V169=regle!$F$11,regle!$F$23,
IF(V169=regle!$G$11,regle!$G$23,
IF(V169=regle!$H$11,regle!$H$23,
IF(V169=regle!$I$11,regle!$I$23,
IF(V169=regle!$J$11,regle!$J$23,
IF(V169=regle!$K$11,regle!$K$23,0))))))))))))</f>
        <v>0</v>
      </c>
      <c r="AG169" s="17">
        <f>IF($A169,$J169*(IF(W169=regle!$B$11,regle!$B$23*IF(AP169=-2,1+regle!$B$35,1),
IF(W169=regle!$C$11,regle!$C$23,
IF(W169=regle!$D$11,regle!$D$23,
IF(W169=regle!$E$11,regle!$E$23,
IF(W169=regle!$F$11,regle!$F$23,
IF(W169=regle!$G$11,regle!$G$23,
IF(W169=regle!$H$11,regle!$H$23,
IF(W169=regle!$I$11,regle!$I$23,
IF(W169=regle!$J$11,regle!$J$23,
IF(W169=regle!$K$11,regle!$K$23,0))))))))))))</f>
        <v>0</v>
      </c>
      <c r="AH169" s="17">
        <f>IF($A169,$J169*(IF(X169=regle!$B$11,regle!$B$23*IF(AQ169=-2,1+regle!$B$35,1),
IF(X169=regle!$C$11,regle!$C$23,
IF(X169=regle!$D$11,regle!$D$23,
IF(X169=regle!$E$11,regle!$E$23,
IF(X169=regle!$F$11,regle!$F$23,
IF(X169=regle!$G$11,regle!$G$23,
IF(X169=regle!$H$11,regle!$H$23,
IF(X169=regle!$I$11,regle!$I$23,
IF(X169=regle!$J$11,regle!$J$23,
IF(X169=regle!$K$11,regle!$K$23,0))))))))))))</f>
        <v>0</v>
      </c>
      <c r="AI169" s="17">
        <f>IF($A169,$J169*(IF(Y169=regle!$B$11,regle!$B$23*IF(AR169=-2,1+regle!$B$35,1),
IF(Y169=regle!$C$11,regle!$C$23,
IF(Y169=regle!$D$11,regle!$D$23,
IF(Y169=regle!$E$11,regle!$E$23,
IF(Y169=regle!$F$11,regle!$F$23,
IF(Y169=regle!$G$11,regle!$G$23,
IF(Y169=regle!$H$11,regle!$H$23,
IF(Y169=regle!$I$11,regle!$I$23,
IF(Y169=regle!$J$11,regle!$J$23,
IF(Y169=regle!$K$11,regle!$K$23,0))))))))))))</f>
        <v>874.77600000000007</v>
      </c>
      <c r="AJ169" s="17">
        <f>IF($A169,$J169*(IF(Z169=regle!$B$11,regle!$B$23*IF(AS169=-2,1+regle!$B$35,1),
IF(Z169=regle!$C$11,regle!$C$23,
IF(Z169=regle!$D$11,regle!$D$23,
IF(Z169=regle!$E$11,regle!$E$23,
IF(Z169=regle!$F$11,regle!$F$23,
IF(Z169=regle!$G$11,regle!$G$23,
IF(Z169=regle!$H$11,regle!$H$23,
IF(Z169=regle!$I$11,regle!$I$23,
IF(Z169=regle!$J$11,regle!$J$23,
IF(Z169=regle!$K$11,regle!$K$23,0))))))))))))</f>
        <v>0</v>
      </c>
      <c r="AK169" s="16">
        <f>IF(OR(Q169=regle!$J$11,Q169=regle!$K$11),-2,IF(Q169=regle!$B$11,0,IF(AK$1=$AK$1,IF($O169,-1,regle!$B$2-$M169),IF(AJ169=-1,-1,AJ169+1))))</f>
        <v>9</v>
      </c>
      <c r="AL169" s="16">
        <f>IF(OR(R169=regle!$J$11,R169=regle!$K$11),-2,IF(R169=regle!$B$11,0,IF(AL$1=$AK$1,IF($O169,-1,regle!$B$2-$M169),IF(AK169=-1,-1,AK169+1))))</f>
        <v>10</v>
      </c>
      <c r="AM169" s="16">
        <f>IF(OR(S169=regle!$J$11,S169=regle!$K$11),-2,IF(S169=regle!$B$11,0,IF(AM$1=$AK$1,IF($O169,-1,regle!$B$2-$M169),IF(AL169=-1,-1,AL169+1))))</f>
        <v>11</v>
      </c>
      <c r="AN169" s="16">
        <f>IF(OR(T169=regle!$J$11,T169=regle!$K$11),-2,IF(T169=regle!$B$11,0,IF(AN$1=$AK$1,IF($O169,-1,regle!$B$2-$M169),IF(AM169=-1,-1,AM169+1))))</f>
        <v>12</v>
      </c>
      <c r="AO169" s="16">
        <f>IF(OR(U169=regle!$J$11,U169=regle!$K$11),-2,IF(U169=regle!$B$11,0,IF(AO$1=$AK$1,IF($O169,-1,regle!$B$2-$M169),IF(AN169=-1,-1,AN169+1))))</f>
        <v>13</v>
      </c>
      <c r="AP169" s="16">
        <f>IF(OR(V169=regle!$J$11,V169=regle!$K$11),-2,IF(V169=regle!$B$11,0,IF(AP$1=$AK$1,IF($O169,-1,regle!$B$2-$M169),IF(AO169=-1,-1,AO169+1))))</f>
        <v>14</v>
      </c>
      <c r="AQ169" s="16">
        <f>IF(OR(W169=regle!$J$11,W169=regle!$K$11),-2,IF(W169=regle!$B$11,0,IF(AQ$1=$AK$1,IF($O169,-1,regle!$B$2-$M169),IF(AP169=-1,-1,AP169+1))))</f>
        <v>15</v>
      </c>
      <c r="AR169" s="16">
        <f>IF(OR(X169=regle!$J$11,X169=regle!$K$11),-2,IF(X169=regle!$B$11,0,IF(AR$1=$AK$1,IF($O169,-1,regle!$B$2-$M169),IF(AQ169=-1,-1,AQ169+1))))</f>
        <v>16</v>
      </c>
      <c r="AS169" s="16">
        <f>IF(OR(Y169=regle!$J$11,Y169=regle!$K$11),-2,IF(Y169=regle!$B$11,0,IF(AS$1=$AK$1,IF($O169,-1,regle!$B$2-$M169),IF(AR169=-1,-1,AR169+1))))</f>
        <v>17</v>
      </c>
      <c r="AT169" s="16">
        <f>IF(OR(Z169=regle!$J$11,Z169=regle!$K$11),-2,IF(Z169=regle!$B$11,0,IF(AT$1=$AK$1,IF($O169,-1,regle!$B$2-$M169),IF(AS169=-1,-1,AS169+1))))</f>
        <v>18</v>
      </c>
    </row>
    <row r="170" spans="1:46" x14ac:dyDescent="0.25">
      <c r="A170" t="b">
        <f>modif0!A194</f>
        <v>1</v>
      </c>
      <c r="B170">
        <f>ROW(modif0!B194)</f>
        <v>194</v>
      </c>
      <c r="C170" t="str">
        <f>modif0!D194</f>
        <v>202</v>
      </c>
      <c r="D170" t="str">
        <f>modif0!E194</f>
        <v>HOSTENS</v>
      </c>
      <c r="E170">
        <f>modif0!F194</f>
        <v>8</v>
      </c>
      <c r="F170" t="str">
        <f>modif0!G194</f>
        <v>LES BECS</v>
      </c>
      <c r="G170" t="str">
        <f>modif0!I194</f>
        <v>0B</v>
      </c>
      <c r="H170">
        <f>modif0!J194</f>
        <v>1220</v>
      </c>
      <c r="I170" t="str">
        <f>modif0!K194</f>
        <v>m</v>
      </c>
      <c r="J170" s="11">
        <f>modif0!M194</f>
        <v>0.88880000000000003</v>
      </c>
      <c r="K170" s="11" t="str">
        <f>modif0!P194</f>
        <v>PLA</v>
      </c>
      <c r="L170" t="str">
        <f>modif0!N194</f>
        <v>PM</v>
      </c>
      <c r="M170">
        <f>modif0!Q194</f>
        <v>2015</v>
      </c>
      <c r="N170" t="str">
        <f>modif0!R194</f>
        <v>PLA-PM_2015</v>
      </c>
      <c r="O170" t="b">
        <f>modif0!S194</f>
        <v>0</v>
      </c>
      <c r="P170">
        <v>40</v>
      </c>
      <c r="T170" t="s">
        <v>1803</v>
      </c>
      <c r="Y170" t="s">
        <v>1804</v>
      </c>
      <c r="AA170" s="17">
        <f>IF($A170,$J170*(IF(Q170=regle!$B$11,regle!$B$23*IF(AJ170=-2,1+regle!$B$35,1),
IF(Q170=regle!$C$11,regle!$C$23,
IF(Q170=regle!$D$11,regle!$D$23,
IF(Q170=regle!$E$11,regle!$E$23,
IF(Q170=regle!$F$11,regle!$F$23,
IF(Q170=regle!$G$11,regle!$G$23,
IF(Q170=regle!$H$11,regle!$H$23,
IF(Q170=regle!$I$11,regle!$I$23,
IF(Q170=regle!$J$11,regle!$J$23,
IF(Q170=regle!$K$11,regle!$K$23,0))))))))))))</f>
        <v>0</v>
      </c>
      <c r="AB170" s="17">
        <f>IF($A170,$J170*(IF(R170=regle!$B$11,regle!$B$23*IF(AK170=-2,1+regle!$B$35,1),
IF(R170=regle!$C$11,regle!$C$23,
IF(R170=regle!$D$11,regle!$D$23,
IF(R170=regle!$E$11,regle!$E$23,
IF(R170=regle!$F$11,regle!$F$23,
IF(R170=regle!$G$11,regle!$G$23,
IF(R170=regle!$H$11,regle!$H$23,
IF(R170=regle!$I$11,regle!$I$23,
IF(R170=regle!$J$11,regle!$J$23,
IF(R170=regle!$K$11,regle!$K$23,0))))))))))))</f>
        <v>0</v>
      </c>
      <c r="AC170" s="17">
        <f>IF($A170,$J170*(IF(S170=regle!$B$11,regle!$B$23*IF(AL170=-2,1+regle!$B$35,1),
IF(S170=regle!$C$11,regle!$C$23,
IF(S170=regle!$D$11,regle!$D$23,
IF(S170=regle!$E$11,regle!$E$23,
IF(S170=regle!$F$11,regle!$F$23,
IF(S170=regle!$G$11,regle!$G$23,
IF(S170=regle!$H$11,regle!$H$23,
IF(S170=regle!$I$11,regle!$I$23,
IF(S170=regle!$J$11,regle!$J$23,
IF(S170=regle!$K$11,regle!$K$23,0))))))))))))</f>
        <v>0</v>
      </c>
      <c r="AD170" s="17">
        <f>IF($A170,$J170*(IF(T170=regle!$B$11,regle!$B$23*IF(AM170=-2,1+regle!$B$35,1),
IF(T170=regle!$C$11,regle!$C$23,
IF(T170=regle!$D$11,regle!$D$23,
IF(T170=regle!$E$11,regle!$E$23,
IF(T170=regle!$F$11,regle!$F$23,
IF(T170=regle!$G$11,regle!$G$23,
IF(T170=regle!$H$11,regle!$H$23,
IF(T170=regle!$I$11,regle!$I$23,
IF(T170=regle!$J$11,regle!$J$23,
IF(T170=regle!$K$11,regle!$K$23,0))))))))))))</f>
        <v>511.94880000000001</v>
      </c>
      <c r="AE170" s="17">
        <f>IF($A170,$J170*(IF(U170=regle!$B$11,regle!$B$23*IF(AN170=-2,1+regle!$B$35,1),
IF(U170=regle!$C$11,regle!$C$23,
IF(U170=regle!$D$11,regle!$D$23,
IF(U170=regle!$E$11,regle!$E$23,
IF(U170=regle!$F$11,regle!$F$23,
IF(U170=regle!$G$11,regle!$G$23,
IF(U170=regle!$H$11,regle!$H$23,
IF(U170=regle!$I$11,regle!$I$23,
IF(U170=regle!$J$11,regle!$J$23,
IF(U170=regle!$K$11,regle!$K$23,0))))))))))))</f>
        <v>0</v>
      </c>
      <c r="AF170" s="17">
        <f>IF($A170,$J170*(IF(V170=regle!$B$11,regle!$B$23*IF(AO170=-2,1+regle!$B$35,1),
IF(V170=regle!$C$11,regle!$C$23,
IF(V170=regle!$D$11,regle!$D$23,
IF(V170=regle!$E$11,regle!$E$23,
IF(V170=regle!$F$11,regle!$F$23,
IF(V170=regle!$G$11,regle!$G$23,
IF(V170=regle!$H$11,regle!$H$23,
IF(V170=regle!$I$11,regle!$I$23,
IF(V170=regle!$J$11,regle!$J$23,
IF(V170=regle!$K$11,regle!$K$23,0))))))))))))</f>
        <v>0</v>
      </c>
      <c r="AG170" s="17">
        <f>IF($A170,$J170*(IF(W170=regle!$B$11,regle!$B$23*IF(AP170=-2,1+regle!$B$35,1),
IF(W170=regle!$C$11,regle!$C$23,
IF(W170=regle!$D$11,regle!$D$23,
IF(W170=regle!$E$11,regle!$E$23,
IF(W170=regle!$F$11,regle!$F$23,
IF(W170=regle!$G$11,regle!$G$23,
IF(W170=regle!$H$11,regle!$H$23,
IF(W170=regle!$I$11,regle!$I$23,
IF(W170=regle!$J$11,regle!$J$23,
IF(W170=regle!$K$11,regle!$K$23,0))))))))))))</f>
        <v>0</v>
      </c>
      <c r="AH170" s="17">
        <f>IF($A170,$J170*(IF(X170=regle!$B$11,regle!$B$23*IF(AQ170=-2,1+regle!$B$35,1),
IF(X170=regle!$C$11,regle!$C$23,
IF(X170=regle!$D$11,regle!$D$23,
IF(X170=regle!$E$11,regle!$E$23,
IF(X170=regle!$F$11,regle!$F$23,
IF(X170=regle!$G$11,regle!$G$23,
IF(X170=regle!$H$11,regle!$H$23,
IF(X170=regle!$I$11,regle!$I$23,
IF(X170=regle!$J$11,regle!$J$23,
IF(X170=regle!$K$11,regle!$K$23,0))))))))))))</f>
        <v>0</v>
      </c>
      <c r="AI170" s="17">
        <f>IF($A170,$J170*(IF(Y170=regle!$B$11,regle!$B$23*IF(AR170=-2,1+regle!$B$35,1),
IF(Y170=regle!$C$11,regle!$C$23,
IF(Y170=regle!$D$11,regle!$D$23,
IF(Y170=regle!$E$11,regle!$E$23,
IF(Y170=regle!$F$11,regle!$F$23,
IF(Y170=regle!$G$11,regle!$G$23,
IF(Y170=regle!$H$11,regle!$H$23,
IF(Y170=regle!$I$11,regle!$I$23,
IF(Y170=regle!$J$11,regle!$J$23,
IF(Y170=regle!$K$11,regle!$K$23,0))))))))))))</f>
        <v>746.59199999999998</v>
      </c>
      <c r="AJ170" s="17">
        <f>IF($A170,$J170*(IF(Z170=regle!$B$11,regle!$B$23*IF(AS170=-2,1+regle!$B$35,1),
IF(Z170=regle!$C$11,regle!$C$23,
IF(Z170=regle!$D$11,regle!$D$23,
IF(Z170=regle!$E$11,regle!$E$23,
IF(Z170=regle!$F$11,regle!$F$23,
IF(Z170=regle!$G$11,regle!$G$23,
IF(Z170=regle!$H$11,regle!$H$23,
IF(Z170=regle!$I$11,regle!$I$23,
IF(Z170=regle!$J$11,regle!$J$23,
IF(Z170=regle!$K$11,regle!$K$23,0))))))))))))</f>
        <v>0</v>
      </c>
      <c r="AK170" s="16">
        <f>IF(OR(Q170=regle!$J$11,Q170=regle!$K$11),-2,IF(Q170=regle!$B$11,0,IF(AK$1=$AK$1,IF($O170,-1,regle!$B$2-$M170),IF(AJ170=-1,-1,AJ170+1))))</f>
        <v>9</v>
      </c>
      <c r="AL170" s="16">
        <f>IF(OR(R170=regle!$J$11,R170=regle!$K$11),-2,IF(R170=regle!$B$11,0,IF(AL$1=$AK$1,IF($O170,-1,regle!$B$2-$M170),IF(AK170=-1,-1,AK170+1))))</f>
        <v>10</v>
      </c>
      <c r="AM170" s="16">
        <f>IF(OR(S170=regle!$J$11,S170=regle!$K$11),-2,IF(S170=regle!$B$11,0,IF(AM$1=$AK$1,IF($O170,-1,regle!$B$2-$M170),IF(AL170=-1,-1,AL170+1))))</f>
        <v>11</v>
      </c>
      <c r="AN170" s="16">
        <f>IF(OR(T170=regle!$J$11,T170=regle!$K$11),-2,IF(T170=regle!$B$11,0,IF(AN$1=$AK$1,IF($O170,-1,regle!$B$2-$M170),IF(AM170=-1,-1,AM170+1))))</f>
        <v>12</v>
      </c>
      <c r="AO170" s="16">
        <f>IF(OR(U170=regle!$J$11,U170=regle!$K$11),-2,IF(U170=regle!$B$11,0,IF(AO$1=$AK$1,IF($O170,-1,regle!$B$2-$M170),IF(AN170=-1,-1,AN170+1))))</f>
        <v>13</v>
      </c>
      <c r="AP170" s="16">
        <f>IF(OR(V170=regle!$J$11,V170=regle!$K$11),-2,IF(V170=regle!$B$11,0,IF(AP$1=$AK$1,IF($O170,-1,regle!$B$2-$M170),IF(AO170=-1,-1,AO170+1))))</f>
        <v>14</v>
      </c>
      <c r="AQ170" s="16">
        <f>IF(OR(W170=regle!$J$11,W170=regle!$K$11),-2,IF(W170=regle!$B$11,0,IF(AQ$1=$AK$1,IF($O170,-1,regle!$B$2-$M170),IF(AP170=-1,-1,AP170+1))))</f>
        <v>15</v>
      </c>
      <c r="AR170" s="16">
        <f>IF(OR(X170=regle!$J$11,X170=regle!$K$11),-2,IF(X170=regle!$B$11,0,IF(AR$1=$AK$1,IF($O170,-1,regle!$B$2-$M170),IF(AQ170=-1,-1,AQ170+1))))</f>
        <v>16</v>
      </c>
      <c r="AS170" s="16">
        <f>IF(OR(Y170=regle!$J$11,Y170=regle!$K$11),-2,IF(Y170=regle!$B$11,0,IF(AS$1=$AK$1,IF($O170,-1,regle!$B$2-$M170),IF(AR170=-1,-1,AR170+1))))</f>
        <v>17</v>
      </c>
      <c r="AT170" s="16">
        <f>IF(OR(Z170=regle!$J$11,Z170=regle!$K$11),-2,IF(Z170=regle!$B$11,0,IF(AT$1=$AK$1,IF($O170,-1,regle!$B$2-$M170),IF(AS170=-1,-1,AS170+1))))</f>
        <v>18</v>
      </c>
    </row>
    <row r="171" spans="1:46" x14ac:dyDescent="0.25">
      <c r="A171" t="b">
        <f>modif0!A141</f>
        <v>1</v>
      </c>
      <c r="B171">
        <f>ROW(modif0!B141)</f>
        <v>141</v>
      </c>
      <c r="C171" t="str">
        <f>modif0!D141</f>
        <v>202</v>
      </c>
      <c r="D171" t="str">
        <f>modif0!E141</f>
        <v>HOSTENS</v>
      </c>
      <c r="E171">
        <f>modif0!F141</f>
        <v>11</v>
      </c>
      <c r="F171" t="str">
        <f>modif0!G141</f>
        <v>LES CAZALAS</v>
      </c>
      <c r="G171" t="str">
        <f>modif0!I141</f>
        <v>0B</v>
      </c>
      <c r="H171">
        <f>modif0!J141</f>
        <v>1164</v>
      </c>
      <c r="I171" t="str">
        <f>modif0!K141</f>
        <v/>
      </c>
      <c r="J171" s="11">
        <f>modif0!M141</f>
        <v>0.76900000000000002</v>
      </c>
      <c r="K171" s="11" t="str">
        <f>modif0!P141</f>
        <v>PLA</v>
      </c>
      <c r="L171" t="str">
        <f>modif0!N141</f>
        <v>PM</v>
      </c>
      <c r="M171">
        <f>modif0!Q141</f>
        <v>2015</v>
      </c>
      <c r="N171" t="str">
        <f>modif0!R141</f>
        <v>PLA-PM_2015</v>
      </c>
      <c r="O171" t="b">
        <f>modif0!S141</f>
        <v>0</v>
      </c>
      <c r="P171">
        <v>40</v>
      </c>
      <c r="T171" t="s">
        <v>1803</v>
      </c>
      <c r="Y171" t="s">
        <v>1804</v>
      </c>
      <c r="AA171" s="17">
        <f>IF($A171,$J171*(IF(Q171=regle!$B$11,regle!$B$23*IF(AJ171=-2,1+regle!$B$35,1),
IF(Q171=regle!$C$11,regle!$C$23,
IF(Q171=regle!$D$11,regle!$D$23,
IF(Q171=regle!$E$11,regle!$E$23,
IF(Q171=regle!$F$11,regle!$F$23,
IF(Q171=regle!$G$11,regle!$G$23,
IF(Q171=regle!$H$11,regle!$H$23,
IF(Q171=regle!$I$11,regle!$I$23,
IF(Q171=regle!$J$11,regle!$J$23,
IF(Q171=regle!$K$11,regle!$K$23,0))))))))))))</f>
        <v>0</v>
      </c>
      <c r="AB171" s="17">
        <f>IF($A171,$J171*(IF(R171=regle!$B$11,regle!$B$23*IF(AK171=-2,1+regle!$B$35,1),
IF(R171=regle!$C$11,regle!$C$23,
IF(R171=regle!$D$11,regle!$D$23,
IF(R171=regle!$E$11,regle!$E$23,
IF(R171=regle!$F$11,regle!$F$23,
IF(R171=regle!$G$11,regle!$G$23,
IF(R171=regle!$H$11,regle!$H$23,
IF(R171=regle!$I$11,regle!$I$23,
IF(R171=regle!$J$11,regle!$J$23,
IF(R171=regle!$K$11,regle!$K$23,0))))))))))))</f>
        <v>0</v>
      </c>
      <c r="AC171" s="17">
        <f>IF($A171,$J171*(IF(S171=regle!$B$11,regle!$B$23*IF(AL171=-2,1+regle!$B$35,1),
IF(S171=regle!$C$11,regle!$C$23,
IF(S171=regle!$D$11,regle!$D$23,
IF(S171=regle!$E$11,regle!$E$23,
IF(S171=regle!$F$11,regle!$F$23,
IF(S171=regle!$G$11,regle!$G$23,
IF(S171=regle!$H$11,regle!$H$23,
IF(S171=regle!$I$11,regle!$I$23,
IF(S171=regle!$J$11,regle!$J$23,
IF(S171=regle!$K$11,regle!$K$23,0))))))))))))</f>
        <v>0</v>
      </c>
      <c r="AD171" s="17">
        <f>IF($A171,$J171*(IF(T171=regle!$B$11,regle!$B$23*IF(AM171=-2,1+regle!$B$35,1),
IF(T171=regle!$C$11,regle!$C$23,
IF(T171=regle!$D$11,regle!$D$23,
IF(T171=regle!$E$11,regle!$E$23,
IF(T171=regle!$F$11,regle!$F$23,
IF(T171=regle!$G$11,regle!$G$23,
IF(T171=regle!$H$11,regle!$H$23,
IF(T171=regle!$I$11,regle!$I$23,
IF(T171=regle!$J$11,regle!$J$23,
IF(T171=regle!$K$11,regle!$K$23,0))))))))))))</f>
        <v>442.94400000000002</v>
      </c>
      <c r="AE171" s="17">
        <f>IF($A171,$J171*(IF(U171=regle!$B$11,regle!$B$23*IF(AN171=-2,1+regle!$B$35,1),
IF(U171=regle!$C$11,regle!$C$23,
IF(U171=regle!$D$11,regle!$D$23,
IF(U171=regle!$E$11,regle!$E$23,
IF(U171=regle!$F$11,regle!$F$23,
IF(U171=regle!$G$11,regle!$G$23,
IF(U171=regle!$H$11,regle!$H$23,
IF(U171=regle!$I$11,regle!$I$23,
IF(U171=regle!$J$11,regle!$J$23,
IF(U171=regle!$K$11,regle!$K$23,0))))))))))))</f>
        <v>0</v>
      </c>
      <c r="AF171" s="17">
        <f>IF($A171,$J171*(IF(V171=regle!$B$11,regle!$B$23*IF(AO171=-2,1+regle!$B$35,1),
IF(V171=regle!$C$11,regle!$C$23,
IF(V171=regle!$D$11,regle!$D$23,
IF(V171=regle!$E$11,regle!$E$23,
IF(V171=regle!$F$11,regle!$F$23,
IF(V171=regle!$G$11,regle!$G$23,
IF(V171=regle!$H$11,regle!$H$23,
IF(V171=regle!$I$11,regle!$I$23,
IF(V171=regle!$J$11,regle!$J$23,
IF(V171=regle!$K$11,regle!$K$23,0))))))))))))</f>
        <v>0</v>
      </c>
      <c r="AG171" s="17">
        <f>IF($A171,$J171*(IF(W171=regle!$B$11,regle!$B$23*IF(AP171=-2,1+regle!$B$35,1),
IF(W171=regle!$C$11,regle!$C$23,
IF(W171=regle!$D$11,regle!$D$23,
IF(W171=regle!$E$11,regle!$E$23,
IF(W171=regle!$F$11,regle!$F$23,
IF(W171=regle!$G$11,regle!$G$23,
IF(W171=regle!$H$11,regle!$H$23,
IF(W171=regle!$I$11,regle!$I$23,
IF(W171=regle!$J$11,regle!$J$23,
IF(W171=regle!$K$11,regle!$K$23,0))))))))))))</f>
        <v>0</v>
      </c>
      <c r="AH171" s="17">
        <f>IF($A171,$J171*(IF(X171=regle!$B$11,regle!$B$23*IF(AQ171=-2,1+regle!$B$35,1),
IF(X171=regle!$C$11,regle!$C$23,
IF(X171=regle!$D$11,regle!$D$23,
IF(X171=regle!$E$11,regle!$E$23,
IF(X171=regle!$F$11,regle!$F$23,
IF(X171=regle!$G$11,regle!$G$23,
IF(X171=regle!$H$11,regle!$H$23,
IF(X171=regle!$I$11,regle!$I$23,
IF(X171=regle!$J$11,regle!$J$23,
IF(X171=regle!$K$11,regle!$K$23,0))))))))))))</f>
        <v>0</v>
      </c>
      <c r="AI171" s="17">
        <f>IF($A171,$J171*(IF(Y171=regle!$B$11,regle!$B$23*IF(AR171=-2,1+regle!$B$35,1),
IF(Y171=regle!$C$11,regle!$C$23,
IF(Y171=regle!$D$11,regle!$D$23,
IF(Y171=regle!$E$11,regle!$E$23,
IF(Y171=regle!$F$11,regle!$F$23,
IF(Y171=regle!$G$11,regle!$G$23,
IF(Y171=regle!$H$11,regle!$H$23,
IF(Y171=regle!$I$11,regle!$I$23,
IF(Y171=regle!$J$11,regle!$J$23,
IF(Y171=regle!$K$11,regle!$K$23,0))))))))))))</f>
        <v>645.96</v>
      </c>
      <c r="AJ171" s="17">
        <f>IF($A171,$J171*(IF(Z171=regle!$B$11,regle!$B$23*IF(AS171=-2,1+regle!$B$35,1),
IF(Z171=regle!$C$11,regle!$C$23,
IF(Z171=regle!$D$11,regle!$D$23,
IF(Z171=regle!$E$11,regle!$E$23,
IF(Z171=regle!$F$11,regle!$F$23,
IF(Z171=regle!$G$11,regle!$G$23,
IF(Z171=regle!$H$11,regle!$H$23,
IF(Z171=regle!$I$11,regle!$I$23,
IF(Z171=regle!$J$11,regle!$J$23,
IF(Z171=regle!$K$11,regle!$K$23,0))))))))))))</f>
        <v>0</v>
      </c>
      <c r="AK171" s="16">
        <f>IF(OR(Q171=regle!$J$11,Q171=regle!$K$11),-2,IF(Q171=regle!$B$11,0,IF(AK$1=$AK$1,IF($O171,-1,regle!$B$2-$M171),IF(AJ171=-1,-1,AJ171+1))))</f>
        <v>9</v>
      </c>
      <c r="AL171" s="16">
        <f>IF(OR(R171=regle!$J$11,R171=regle!$K$11),-2,IF(R171=regle!$B$11,0,IF(AL$1=$AK$1,IF($O171,-1,regle!$B$2-$M171),IF(AK171=-1,-1,AK171+1))))</f>
        <v>10</v>
      </c>
      <c r="AM171" s="16">
        <f>IF(OR(S171=regle!$J$11,S171=regle!$K$11),-2,IF(S171=regle!$B$11,0,IF(AM$1=$AK$1,IF($O171,-1,regle!$B$2-$M171),IF(AL171=-1,-1,AL171+1))))</f>
        <v>11</v>
      </c>
      <c r="AN171" s="16">
        <f>IF(OR(T171=regle!$J$11,T171=regle!$K$11),-2,IF(T171=regle!$B$11,0,IF(AN$1=$AK$1,IF($O171,-1,regle!$B$2-$M171),IF(AM171=-1,-1,AM171+1))))</f>
        <v>12</v>
      </c>
      <c r="AO171" s="16">
        <f>IF(OR(U171=regle!$J$11,U171=regle!$K$11),-2,IF(U171=regle!$B$11,0,IF(AO$1=$AK$1,IF($O171,-1,regle!$B$2-$M171),IF(AN171=-1,-1,AN171+1))))</f>
        <v>13</v>
      </c>
      <c r="AP171" s="16">
        <f>IF(OR(V171=regle!$J$11,V171=regle!$K$11),-2,IF(V171=regle!$B$11,0,IF(AP$1=$AK$1,IF($O171,-1,regle!$B$2-$M171),IF(AO171=-1,-1,AO171+1))))</f>
        <v>14</v>
      </c>
      <c r="AQ171" s="16">
        <f>IF(OR(W171=regle!$J$11,W171=regle!$K$11),-2,IF(W171=regle!$B$11,0,IF(AQ$1=$AK$1,IF($O171,-1,regle!$B$2-$M171),IF(AP171=-1,-1,AP171+1))))</f>
        <v>15</v>
      </c>
      <c r="AR171" s="16">
        <f>IF(OR(X171=regle!$J$11,X171=regle!$K$11),-2,IF(X171=regle!$B$11,0,IF(AR$1=$AK$1,IF($O171,-1,regle!$B$2-$M171),IF(AQ171=-1,-1,AQ171+1))))</f>
        <v>16</v>
      </c>
      <c r="AS171" s="16">
        <f>IF(OR(Y171=regle!$J$11,Y171=regle!$K$11),-2,IF(Y171=regle!$B$11,0,IF(AS$1=$AK$1,IF($O171,-1,regle!$B$2-$M171),IF(AR171=-1,-1,AR171+1))))</f>
        <v>17</v>
      </c>
      <c r="AT171" s="16">
        <f>IF(OR(Z171=regle!$J$11,Z171=regle!$K$11),-2,IF(Z171=regle!$B$11,0,IF(AT$1=$AK$1,IF($O171,-1,regle!$B$2-$M171),IF(AS171=-1,-1,AS171+1))))</f>
        <v>18</v>
      </c>
    </row>
    <row r="172" spans="1:46" x14ac:dyDescent="0.25">
      <c r="A172" t="b">
        <f>modif0!A243</f>
        <v>1</v>
      </c>
      <c r="B172">
        <f>ROW(modif0!B243)</f>
        <v>243</v>
      </c>
      <c r="C172" t="str">
        <f>modif0!D243</f>
        <v>202</v>
      </c>
      <c r="D172" t="str">
        <f>modif0!E243</f>
        <v>HOSTENS</v>
      </c>
      <c r="E172">
        <f>modif0!F243</f>
        <v>8</v>
      </c>
      <c r="F172" t="str">
        <f>modif0!G243</f>
        <v>LES BECS</v>
      </c>
      <c r="G172" t="str">
        <f>modif0!I243</f>
        <v>0B</v>
      </c>
      <c r="H172">
        <f>modif0!J243</f>
        <v>2472</v>
      </c>
      <c r="I172" t="str">
        <f>modif0!K243</f>
        <v>k</v>
      </c>
      <c r="J172" s="11">
        <f>modif0!M243</f>
        <v>0.73219999999999996</v>
      </c>
      <c r="K172" s="11" t="str">
        <f>modif0!P243</f>
        <v>PLA</v>
      </c>
      <c r="L172" t="str">
        <f>modif0!N243</f>
        <v>PM</v>
      </c>
      <c r="M172">
        <f>modif0!Q243</f>
        <v>2015</v>
      </c>
      <c r="N172" t="str">
        <f>modif0!R243</f>
        <v>PLA-PM_2015</v>
      </c>
      <c r="O172" t="b">
        <f>modif0!S243</f>
        <v>0</v>
      </c>
      <c r="P172">
        <v>40</v>
      </c>
      <c r="T172" t="s">
        <v>1803</v>
      </c>
      <c r="Y172" t="s">
        <v>1804</v>
      </c>
      <c r="AA172" s="17">
        <f>IF($A172,$J172*(IF(Q172=regle!$B$11,regle!$B$23*IF(AJ172=-2,1+regle!$B$35,1),
IF(Q172=regle!$C$11,regle!$C$23,
IF(Q172=regle!$D$11,regle!$D$23,
IF(Q172=regle!$E$11,regle!$E$23,
IF(Q172=regle!$F$11,regle!$F$23,
IF(Q172=regle!$G$11,regle!$G$23,
IF(Q172=regle!$H$11,regle!$H$23,
IF(Q172=regle!$I$11,regle!$I$23,
IF(Q172=regle!$J$11,regle!$J$23,
IF(Q172=regle!$K$11,regle!$K$23,0))))))))))))</f>
        <v>0</v>
      </c>
      <c r="AB172" s="17">
        <f>IF($A172,$J172*(IF(R172=regle!$B$11,regle!$B$23*IF(AK172=-2,1+regle!$B$35,1),
IF(R172=regle!$C$11,regle!$C$23,
IF(R172=regle!$D$11,regle!$D$23,
IF(R172=regle!$E$11,regle!$E$23,
IF(R172=regle!$F$11,regle!$F$23,
IF(R172=regle!$G$11,regle!$G$23,
IF(R172=regle!$H$11,regle!$H$23,
IF(R172=regle!$I$11,regle!$I$23,
IF(R172=regle!$J$11,regle!$J$23,
IF(R172=regle!$K$11,regle!$K$23,0))))))))))))</f>
        <v>0</v>
      </c>
      <c r="AC172" s="17">
        <f>IF($A172,$J172*(IF(S172=regle!$B$11,regle!$B$23*IF(AL172=-2,1+regle!$B$35,1),
IF(S172=regle!$C$11,regle!$C$23,
IF(S172=regle!$D$11,regle!$D$23,
IF(S172=regle!$E$11,regle!$E$23,
IF(S172=regle!$F$11,regle!$F$23,
IF(S172=regle!$G$11,regle!$G$23,
IF(S172=regle!$H$11,regle!$H$23,
IF(S172=regle!$I$11,regle!$I$23,
IF(S172=regle!$J$11,regle!$J$23,
IF(S172=regle!$K$11,regle!$K$23,0))))))))))))</f>
        <v>0</v>
      </c>
      <c r="AD172" s="17">
        <f>IF($A172,$J172*(IF(T172=regle!$B$11,regle!$B$23*IF(AM172=-2,1+regle!$B$35,1),
IF(T172=regle!$C$11,regle!$C$23,
IF(T172=regle!$D$11,regle!$D$23,
IF(T172=regle!$E$11,regle!$E$23,
IF(T172=regle!$F$11,regle!$F$23,
IF(T172=regle!$G$11,regle!$G$23,
IF(T172=regle!$H$11,regle!$H$23,
IF(T172=regle!$I$11,regle!$I$23,
IF(T172=regle!$J$11,regle!$J$23,
IF(T172=regle!$K$11,regle!$K$23,0))))))))))))</f>
        <v>421.74719999999996</v>
      </c>
      <c r="AE172" s="17">
        <f>IF($A172,$J172*(IF(U172=regle!$B$11,regle!$B$23*IF(AN172=-2,1+regle!$B$35,1),
IF(U172=regle!$C$11,regle!$C$23,
IF(U172=regle!$D$11,regle!$D$23,
IF(U172=regle!$E$11,regle!$E$23,
IF(U172=regle!$F$11,regle!$F$23,
IF(U172=regle!$G$11,regle!$G$23,
IF(U172=regle!$H$11,regle!$H$23,
IF(U172=regle!$I$11,regle!$I$23,
IF(U172=regle!$J$11,regle!$J$23,
IF(U172=regle!$K$11,regle!$K$23,0))))))))))))</f>
        <v>0</v>
      </c>
      <c r="AF172" s="17">
        <f>IF($A172,$J172*(IF(V172=regle!$B$11,regle!$B$23*IF(AO172=-2,1+regle!$B$35,1),
IF(V172=regle!$C$11,regle!$C$23,
IF(V172=regle!$D$11,regle!$D$23,
IF(V172=regle!$E$11,regle!$E$23,
IF(V172=regle!$F$11,regle!$F$23,
IF(V172=regle!$G$11,regle!$G$23,
IF(V172=regle!$H$11,regle!$H$23,
IF(V172=regle!$I$11,regle!$I$23,
IF(V172=regle!$J$11,regle!$J$23,
IF(V172=regle!$K$11,regle!$K$23,0))))))))))))</f>
        <v>0</v>
      </c>
      <c r="AG172" s="17">
        <f>IF($A172,$J172*(IF(W172=regle!$B$11,regle!$B$23*IF(AP172=-2,1+regle!$B$35,1),
IF(W172=regle!$C$11,regle!$C$23,
IF(W172=regle!$D$11,regle!$D$23,
IF(W172=regle!$E$11,regle!$E$23,
IF(W172=regle!$F$11,regle!$F$23,
IF(W172=regle!$G$11,regle!$G$23,
IF(W172=regle!$H$11,regle!$H$23,
IF(W172=regle!$I$11,regle!$I$23,
IF(W172=regle!$J$11,regle!$J$23,
IF(W172=regle!$K$11,regle!$K$23,0))))))))))))</f>
        <v>0</v>
      </c>
      <c r="AH172" s="17">
        <f>IF($A172,$J172*(IF(X172=regle!$B$11,regle!$B$23*IF(AQ172=-2,1+regle!$B$35,1),
IF(X172=regle!$C$11,regle!$C$23,
IF(X172=regle!$D$11,regle!$D$23,
IF(X172=regle!$E$11,regle!$E$23,
IF(X172=regle!$F$11,regle!$F$23,
IF(X172=regle!$G$11,regle!$G$23,
IF(X172=regle!$H$11,regle!$H$23,
IF(X172=regle!$I$11,regle!$I$23,
IF(X172=regle!$J$11,regle!$J$23,
IF(X172=regle!$K$11,regle!$K$23,0))))))))))))</f>
        <v>0</v>
      </c>
      <c r="AI172" s="17">
        <f>IF($A172,$J172*(IF(Y172=regle!$B$11,regle!$B$23*IF(AR172=-2,1+regle!$B$35,1),
IF(Y172=regle!$C$11,regle!$C$23,
IF(Y172=regle!$D$11,regle!$D$23,
IF(Y172=regle!$E$11,regle!$E$23,
IF(Y172=regle!$F$11,regle!$F$23,
IF(Y172=regle!$G$11,regle!$G$23,
IF(Y172=regle!$H$11,regle!$H$23,
IF(Y172=regle!$I$11,regle!$I$23,
IF(Y172=regle!$J$11,regle!$J$23,
IF(Y172=regle!$K$11,regle!$K$23,0))))))))))))</f>
        <v>615.048</v>
      </c>
      <c r="AJ172" s="17">
        <f>IF($A172,$J172*(IF(Z172=regle!$B$11,regle!$B$23*IF(AS172=-2,1+regle!$B$35,1),
IF(Z172=regle!$C$11,regle!$C$23,
IF(Z172=regle!$D$11,regle!$D$23,
IF(Z172=regle!$E$11,regle!$E$23,
IF(Z172=regle!$F$11,regle!$F$23,
IF(Z172=regle!$G$11,regle!$G$23,
IF(Z172=regle!$H$11,regle!$H$23,
IF(Z172=regle!$I$11,regle!$I$23,
IF(Z172=regle!$J$11,regle!$J$23,
IF(Z172=regle!$K$11,regle!$K$23,0))))))))))))</f>
        <v>0</v>
      </c>
      <c r="AK172" s="16">
        <f>IF(OR(Q172=regle!$J$11,Q172=regle!$K$11),-2,IF(Q172=regle!$B$11,0,IF(AK$1=$AK$1,IF($O172,-1,regle!$B$2-$M172),IF(AJ172=-1,-1,AJ172+1))))</f>
        <v>9</v>
      </c>
      <c r="AL172" s="16">
        <f>IF(OR(R172=regle!$J$11,R172=regle!$K$11),-2,IF(R172=regle!$B$11,0,IF(AL$1=$AK$1,IF($O172,-1,regle!$B$2-$M172),IF(AK172=-1,-1,AK172+1))))</f>
        <v>10</v>
      </c>
      <c r="AM172" s="16">
        <f>IF(OR(S172=regle!$J$11,S172=regle!$K$11),-2,IF(S172=regle!$B$11,0,IF(AM$1=$AK$1,IF($O172,-1,regle!$B$2-$M172),IF(AL172=-1,-1,AL172+1))))</f>
        <v>11</v>
      </c>
      <c r="AN172" s="16">
        <f>IF(OR(T172=regle!$J$11,T172=regle!$K$11),-2,IF(T172=regle!$B$11,0,IF(AN$1=$AK$1,IF($O172,-1,regle!$B$2-$M172),IF(AM172=-1,-1,AM172+1))))</f>
        <v>12</v>
      </c>
      <c r="AO172" s="16">
        <f>IF(OR(U172=regle!$J$11,U172=regle!$K$11),-2,IF(U172=regle!$B$11,0,IF(AO$1=$AK$1,IF($O172,-1,regle!$B$2-$M172),IF(AN172=-1,-1,AN172+1))))</f>
        <v>13</v>
      </c>
      <c r="AP172" s="16">
        <f>IF(OR(V172=regle!$J$11,V172=regle!$K$11),-2,IF(V172=regle!$B$11,0,IF(AP$1=$AK$1,IF($O172,-1,regle!$B$2-$M172),IF(AO172=-1,-1,AO172+1))))</f>
        <v>14</v>
      </c>
      <c r="AQ172" s="16">
        <f>IF(OR(W172=regle!$J$11,W172=regle!$K$11),-2,IF(W172=regle!$B$11,0,IF(AQ$1=$AK$1,IF($O172,-1,regle!$B$2-$M172),IF(AP172=-1,-1,AP172+1))))</f>
        <v>15</v>
      </c>
      <c r="AR172" s="16">
        <f>IF(OR(X172=regle!$J$11,X172=regle!$K$11),-2,IF(X172=regle!$B$11,0,IF(AR$1=$AK$1,IF($O172,-1,regle!$B$2-$M172),IF(AQ172=-1,-1,AQ172+1))))</f>
        <v>16</v>
      </c>
      <c r="AS172" s="16">
        <f>IF(OR(Y172=regle!$J$11,Y172=regle!$K$11),-2,IF(Y172=regle!$B$11,0,IF(AS$1=$AK$1,IF($O172,-1,regle!$B$2-$M172),IF(AR172=-1,-1,AR172+1))))</f>
        <v>17</v>
      </c>
      <c r="AT172" s="16">
        <f>IF(OR(Z172=regle!$J$11,Z172=regle!$K$11),-2,IF(Z172=regle!$B$11,0,IF(AT$1=$AK$1,IF($O172,-1,regle!$B$2-$M172),IF(AS172=-1,-1,AS172+1))))</f>
        <v>18</v>
      </c>
    </row>
    <row r="173" spans="1:46" x14ac:dyDescent="0.25">
      <c r="A173" t="b">
        <f>modif0!A324</f>
        <v>1</v>
      </c>
      <c r="B173">
        <f>ROW(modif0!B324)</f>
        <v>324</v>
      </c>
      <c r="C173" t="str">
        <f>modif0!D324</f>
        <v>077</v>
      </c>
      <c r="D173" t="str">
        <f>modif0!E324</f>
        <v>CABANAC-ET-VILLAGRAINS</v>
      </c>
      <c r="E173">
        <f>modif0!F324</f>
        <v>13</v>
      </c>
      <c r="F173" t="str">
        <f>modif0!G324</f>
        <v>LAGUNE LONGUE</v>
      </c>
      <c r="G173" t="str">
        <f>modif0!I324</f>
        <v>0D</v>
      </c>
      <c r="H173">
        <f>modif0!J324</f>
        <v>1511</v>
      </c>
      <c r="I173" t="str">
        <f>modif0!K324</f>
        <v>k</v>
      </c>
      <c r="J173" s="11">
        <f>modif0!M324</f>
        <v>0.7006</v>
      </c>
      <c r="K173" s="11" t="str">
        <f>modif0!P324</f>
        <v>PLA</v>
      </c>
      <c r="L173" t="str">
        <f>modif0!N324</f>
        <v>PM</v>
      </c>
      <c r="M173">
        <f>modif0!Q324</f>
        <v>2015</v>
      </c>
      <c r="N173" t="str">
        <f>modif0!R324</f>
        <v>PLA-PM_2015</v>
      </c>
      <c r="O173" t="b">
        <f>modif0!S324</f>
        <v>0</v>
      </c>
      <c r="P173">
        <v>40</v>
      </c>
      <c r="T173" t="s">
        <v>1803</v>
      </c>
      <c r="Y173" t="s">
        <v>1804</v>
      </c>
      <c r="AA173" s="17">
        <f>IF($A173,$J173*(IF(Q173=regle!$B$11,regle!$B$23*IF(AJ173=-2,1+regle!$B$35,1),
IF(Q173=regle!$C$11,regle!$C$23,
IF(Q173=regle!$D$11,regle!$D$23,
IF(Q173=regle!$E$11,regle!$E$23,
IF(Q173=regle!$F$11,regle!$F$23,
IF(Q173=regle!$G$11,regle!$G$23,
IF(Q173=regle!$H$11,regle!$H$23,
IF(Q173=regle!$I$11,regle!$I$23,
IF(Q173=regle!$J$11,regle!$J$23,
IF(Q173=regle!$K$11,regle!$K$23,0))))))))))))</f>
        <v>0</v>
      </c>
      <c r="AB173" s="17">
        <f>IF($A173,$J173*(IF(R173=regle!$B$11,regle!$B$23*IF(AK173=-2,1+regle!$B$35,1),
IF(R173=regle!$C$11,regle!$C$23,
IF(R173=regle!$D$11,regle!$D$23,
IF(R173=regle!$E$11,regle!$E$23,
IF(R173=regle!$F$11,regle!$F$23,
IF(R173=regle!$G$11,regle!$G$23,
IF(R173=regle!$H$11,regle!$H$23,
IF(R173=regle!$I$11,regle!$I$23,
IF(R173=regle!$J$11,regle!$J$23,
IF(R173=regle!$K$11,regle!$K$23,0))))))))))))</f>
        <v>0</v>
      </c>
      <c r="AC173" s="17">
        <f>IF($A173,$J173*(IF(S173=regle!$B$11,regle!$B$23*IF(AL173=-2,1+regle!$B$35,1),
IF(S173=regle!$C$11,regle!$C$23,
IF(S173=regle!$D$11,regle!$D$23,
IF(S173=regle!$E$11,regle!$E$23,
IF(S173=regle!$F$11,regle!$F$23,
IF(S173=regle!$G$11,regle!$G$23,
IF(S173=regle!$H$11,regle!$H$23,
IF(S173=regle!$I$11,regle!$I$23,
IF(S173=regle!$J$11,regle!$J$23,
IF(S173=regle!$K$11,regle!$K$23,0))))))))))))</f>
        <v>0</v>
      </c>
      <c r="AD173" s="17">
        <f>IF($A173,$J173*(IF(T173=regle!$B$11,regle!$B$23*IF(AM173=-2,1+regle!$B$35,1),
IF(T173=regle!$C$11,regle!$C$23,
IF(T173=regle!$D$11,regle!$D$23,
IF(T173=regle!$E$11,regle!$E$23,
IF(T173=regle!$F$11,regle!$F$23,
IF(T173=regle!$G$11,regle!$G$23,
IF(T173=regle!$H$11,regle!$H$23,
IF(T173=regle!$I$11,regle!$I$23,
IF(T173=regle!$J$11,regle!$J$23,
IF(T173=regle!$K$11,regle!$K$23,0))))))))))))</f>
        <v>403.54559999999998</v>
      </c>
      <c r="AE173" s="17">
        <f>IF($A173,$J173*(IF(U173=regle!$B$11,regle!$B$23*IF(AN173=-2,1+regle!$B$35,1),
IF(U173=regle!$C$11,regle!$C$23,
IF(U173=regle!$D$11,regle!$D$23,
IF(U173=regle!$E$11,regle!$E$23,
IF(U173=regle!$F$11,regle!$F$23,
IF(U173=regle!$G$11,regle!$G$23,
IF(U173=regle!$H$11,regle!$H$23,
IF(U173=regle!$I$11,regle!$I$23,
IF(U173=regle!$J$11,regle!$J$23,
IF(U173=regle!$K$11,regle!$K$23,0))))))))))))</f>
        <v>0</v>
      </c>
      <c r="AF173" s="17">
        <f>IF($A173,$J173*(IF(V173=regle!$B$11,regle!$B$23*IF(AO173=-2,1+regle!$B$35,1),
IF(V173=regle!$C$11,regle!$C$23,
IF(V173=regle!$D$11,regle!$D$23,
IF(V173=regle!$E$11,regle!$E$23,
IF(V173=regle!$F$11,regle!$F$23,
IF(V173=regle!$G$11,regle!$G$23,
IF(V173=regle!$H$11,regle!$H$23,
IF(V173=regle!$I$11,regle!$I$23,
IF(V173=regle!$J$11,regle!$J$23,
IF(V173=regle!$K$11,regle!$K$23,0))))))))))))</f>
        <v>0</v>
      </c>
      <c r="AG173" s="17">
        <f>IF($A173,$J173*(IF(W173=regle!$B$11,regle!$B$23*IF(AP173=-2,1+regle!$B$35,1),
IF(W173=regle!$C$11,regle!$C$23,
IF(W173=regle!$D$11,regle!$D$23,
IF(W173=regle!$E$11,regle!$E$23,
IF(W173=regle!$F$11,regle!$F$23,
IF(W173=regle!$G$11,regle!$G$23,
IF(W173=regle!$H$11,regle!$H$23,
IF(W173=regle!$I$11,regle!$I$23,
IF(W173=regle!$J$11,regle!$J$23,
IF(W173=regle!$K$11,regle!$K$23,0))))))))))))</f>
        <v>0</v>
      </c>
      <c r="AH173" s="17">
        <f>IF($A173,$J173*(IF(X173=regle!$B$11,regle!$B$23*IF(AQ173=-2,1+regle!$B$35,1),
IF(X173=regle!$C$11,regle!$C$23,
IF(X173=regle!$D$11,regle!$D$23,
IF(X173=regle!$E$11,regle!$E$23,
IF(X173=regle!$F$11,regle!$F$23,
IF(X173=regle!$G$11,regle!$G$23,
IF(X173=regle!$H$11,regle!$H$23,
IF(X173=regle!$I$11,regle!$I$23,
IF(X173=regle!$J$11,regle!$J$23,
IF(X173=regle!$K$11,regle!$K$23,0))))))))))))</f>
        <v>0</v>
      </c>
      <c r="AI173" s="17">
        <f>IF($A173,$J173*(IF(Y173=regle!$B$11,regle!$B$23*IF(AR173=-2,1+regle!$B$35,1),
IF(Y173=regle!$C$11,regle!$C$23,
IF(Y173=regle!$D$11,regle!$D$23,
IF(Y173=regle!$E$11,regle!$E$23,
IF(Y173=regle!$F$11,regle!$F$23,
IF(Y173=regle!$G$11,regle!$G$23,
IF(Y173=regle!$H$11,regle!$H$23,
IF(Y173=regle!$I$11,regle!$I$23,
IF(Y173=regle!$J$11,regle!$J$23,
IF(Y173=regle!$K$11,regle!$K$23,0))))))))))))</f>
        <v>588.50400000000002</v>
      </c>
      <c r="AJ173" s="17">
        <f>IF($A173,$J173*(IF(Z173=regle!$B$11,regle!$B$23*IF(AS173=-2,1+regle!$B$35,1),
IF(Z173=regle!$C$11,regle!$C$23,
IF(Z173=regle!$D$11,regle!$D$23,
IF(Z173=regle!$E$11,regle!$E$23,
IF(Z173=regle!$F$11,regle!$F$23,
IF(Z173=regle!$G$11,regle!$G$23,
IF(Z173=regle!$H$11,regle!$H$23,
IF(Z173=regle!$I$11,regle!$I$23,
IF(Z173=regle!$J$11,regle!$J$23,
IF(Z173=regle!$K$11,regle!$K$23,0))))))))))))</f>
        <v>0</v>
      </c>
      <c r="AK173" s="16">
        <f>IF(OR(Q173=regle!$J$11,Q173=regle!$K$11),-2,IF(Q173=regle!$B$11,0,IF(AK$1=$AK$1,IF($O173,-1,regle!$B$2-$M173),IF(AJ173=-1,-1,AJ173+1))))</f>
        <v>9</v>
      </c>
      <c r="AL173" s="16">
        <f>IF(OR(R173=regle!$J$11,R173=regle!$K$11),-2,IF(R173=regle!$B$11,0,IF(AL$1=$AK$1,IF($O173,-1,regle!$B$2-$M173),IF(AK173=-1,-1,AK173+1))))</f>
        <v>10</v>
      </c>
      <c r="AM173" s="16">
        <f>IF(OR(S173=regle!$J$11,S173=regle!$K$11),-2,IF(S173=regle!$B$11,0,IF(AM$1=$AK$1,IF($O173,-1,regle!$B$2-$M173),IF(AL173=-1,-1,AL173+1))))</f>
        <v>11</v>
      </c>
      <c r="AN173" s="16">
        <f>IF(OR(T173=regle!$J$11,T173=regle!$K$11),-2,IF(T173=regle!$B$11,0,IF(AN$1=$AK$1,IF($O173,-1,regle!$B$2-$M173),IF(AM173=-1,-1,AM173+1))))</f>
        <v>12</v>
      </c>
      <c r="AO173" s="16">
        <f>IF(OR(U173=regle!$J$11,U173=regle!$K$11),-2,IF(U173=regle!$B$11,0,IF(AO$1=$AK$1,IF($O173,-1,regle!$B$2-$M173),IF(AN173=-1,-1,AN173+1))))</f>
        <v>13</v>
      </c>
      <c r="AP173" s="16">
        <f>IF(OR(V173=regle!$J$11,V173=regle!$K$11),-2,IF(V173=regle!$B$11,0,IF(AP$1=$AK$1,IF($O173,-1,regle!$B$2-$M173),IF(AO173=-1,-1,AO173+1))))</f>
        <v>14</v>
      </c>
      <c r="AQ173" s="16">
        <f>IF(OR(W173=regle!$J$11,W173=regle!$K$11),-2,IF(W173=regle!$B$11,0,IF(AQ$1=$AK$1,IF($O173,-1,regle!$B$2-$M173),IF(AP173=-1,-1,AP173+1))))</f>
        <v>15</v>
      </c>
      <c r="AR173" s="16">
        <f>IF(OR(X173=regle!$J$11,X173=regle!$K$11),-2,IF(X173=regle!$B$11,0,IF(AR$1=$AK$1,IF($O173,-1,regle!$B$2-$M173),IF(AQ173=-1,-1,AQ173+1))))</f>
        <v>16</v>
      </c>
      <c r="AS173" s="16">
        <f>IF(OR(Y173=regle!$J$11,Y173=regle!$K$11),-2,IF(Y173=regle!$B$11,0,IF(AS$1=$AK$1,IF($O173,-1,regle!$B$2-$M173),IF(AR173=-1,-1,AR173+1))))</f>
        <v>17</v>
      </c>
      <c r="AT173" s="16">
        <f>IF(OR(Z173=regle!$J$11,Z173=regle!$K$11),-2,IF(Z173=regle!$B$11,0,IF(AT$1=$AK$1,IF($O173,-1,regle!$B$2-$M173),IF(AS173=-1,-1,AS173+1))))</f>
        <v>18</v>
      </c>
    </row>
    <row r="174" spans="1:46" x14ac:dyDescent="0.25">
      <c r="A174" t="b">
        <f>modif0!A171</f>
        <v>1</v>
      </c>
      <c r="B174">
        <f>ROW(modif0!B171)</f>
        <v>171</v>
      </c>
      <c r="C174" t="str">
        <f>modif0!D171</f>
        <v>202</v>
      </c>
      <c r="D174" t="str">
        <f>modif0!E171</f>
        <v>HOSTENS</v>
      </c>
      <c r="E174">
        <f>modif0!F171</f>
        <v>11</v>
      </c>
      <c r="F174" t="str">
        <f>modif0!G171</f>
        <v>LES CAZALAS</v>
      </c>
      <c r="G174" t="str">
        <f>modif0!I171</f>
        <v>0B</v>
      </c>
      <c r="H174">
        <f>modif0!J171</f>
        <v>1198</v>
      </c>
      <c r="I174" t="str">
        <f>modif0!K171</f>
        <v/>
      </c>
      <c r="J174" s="11">
        <f>modif0!M171</f>
        <v>0.68799999999999994</v>
      </c>
      <c r="K174" s="11" t="str">
        <f>modif0!P171</f>
        <v>PLA</v>
      </c>
      <c r="L174" t="str">
        <f>modif0!N171</f>
        <v>PM</v>
      </c>
      <c r="M174">
        <f>modif0!Q171</f>
        <v>2015</v>
      </c>
      <c r="N174" t="str">
        <f>modif0!R171</f>
        <v>PLA-PM_2015</v>
      </c>
      <c r="O174" t="b">
        <f>modif0!S171</f>
        <v>0</v>
      </c>
      <c r="P174">
        <v>40</v>
      </c>
      <c r="T174" t="s">
        <v>1803</v>
      </c>
      <c r="Y174" t="s">
        <v>1804</v>
      </c>
      <c r="AA174" s="17">
        <f>IF($A174,$J174*(IF(Q174=regle!$B$11,regle!$B$23*IF(AJ174=-2,1+regle!$B$35,1),
IF(Q174=regle!$C$11,regle!$C$23,
IF(Q174=regle!$D$11,regle!$D$23,
IF(Q174=regle!$E$11,regle!$E$23,
IF(Q174=regle!$F$11,regle!$F$23,
IF(Q174=regle!$G$11,regle!$G$23,
IF(Q174=regle!$H$11,regle!$H$23,
IF(Q174=regle!$I$11,regle!$I$23,
IF(Q174=regle!$J$11,regle!$J$23,
IF(Q174=regle!$K$11,regle!$K$23,0))))))))))))</f>
        <v>0</v>
      </c>
      <c r="AB174" s="17">
        <f>IF($A174,$J174*(IF(R174=regle!$B$11,regle!$B$23*IF(AK174=-2,1+regle!$B$35,1),
IF(R174=regle!$C$11,regle!$C$23,
IF(R174=regle!$D$11,regle!$D$23,
IF(R174=regle!$E$11,regle!$E$23,
IF(R174=regle!$F$11,regle!$F$23,
IF(R174=regle!$G$11,regle!$G$23,
IF(R174=regle!$H$11,regle!$H$23,
IF(R174=regle!$I$11,regle!$I$23,
IF(R174=regle!$J$11,regle!$J$23,
IF(R174=regle!$K$11,regle!$K$23,0))))))))))))</f>
        <v>0</v>
      </c>
      <c r="AC174" s="17">
        <f>IF($A174,$J174*(IF(S174=regle!$B$11,regle!$B$23*IF(AL174=-2,1+regle!$B$35,1),
IF(S174=regle!$C$11,regle!$C$23,
IF(S174=regle!$D$11,regle!$D$23,
IF(S174=regle!$E$11,regle!$E$23,
IF(S174=regle!$F$11,regle!$F$23,
IF(S174=regle!$G$11,regle!$G$23,
IF(S174=regle!$H$11,regle!$H$23,
IF(S174=regle!$I$11,regle!$I$23,
IF(S174=regle!$J$11,regle!$J$23,
IF(S174=regle!$K$11,regle!$K$23,0))))))))))))</f>
        <v>0</v>
      </c>
      <c r="AD174" s="17">
        <f>IF($A174,$J174*(IF(T174=regle!$B$11,regle!$B$23*IF(AM174=-2,1+regle!$B$35,1),
IF(T174=regle!$C$11,regle!$C$23,
IF(T174=regle!$D$11,regle!$D$23,
IF(T174=regle!$E$11,regle!$E$23,
IF(T174=regle!$F$11,regle!$F$23,
IF(T174=regle!$G$11,regle!$G$23,
IF(T174=regle!$H$11,regle!$H$23,
IF(T174=regle!$I$11,regle!$I$23,
IF(T174=regle!$J$11,regle!$J$23,
IF(T174=regle!$K$11,regle!$K$23,0))))))))))))</f>
        <v>396.28799999999995</v>
      </c>
      <c r="AE174" s="17">
        <f>IF($A174,$J174*(IF(U174=regle!$B$11,regle!$B$23*IF(AN174=-2,1+regle!$B$35,1),
IF(U174=regle!$C$11,regle!$C$23,
IF(U174=regle!$D$11,regle!$D$23,
IF(U174=regle!$E$11,regle!$E$23,
IF(U174=regle!$F$11,regle!$F$23,
IF(U174=regle!$G$11,regle!$G$23,
IF(U174=regle!$H$11,regle!$H$23,
IF(U174=regle!$I$11,regle!$I$23,
IF(U174=regle!$J$11,regle!$J$23,
IF(U174=regle!$K$11,regle!$K$23,0))))))))))))</f>
        <v>0</v>
      </c>
      <c r="AF174" s="17">
        <f>IF($A174,$J174*(IF(V174=regle!$B$11,regle!$B$23*IF(AO174=-2,1+regle!$B$35,1),
IF(V174=regle!$C$11,regle!$C$23,
IF(V174=regle!$D$11,regle!$D$23,
IF(V174=regle!$E$11,regle!$E$23,
IF(V174=regle!$F$11,regle!$F$23,
IF(V174=regle!$G$11,regle!$G$23,
IF(V174=regle!$H$11,regle!$H$23,
IF(V174=regle!$I$11,regle!$I$23,
IF(V174=regle!$J$11,regle!$J$23,
IF(V174=regle!$K$11,regle!$K$23,0))))))))))))</f>
        <v>0</v>
      </c>
      <c r="AG174" s="17">
        <f>IF($A174,$J174*(IF(W174=regle!$B$11,regle!$B$23*IF(AP174=-2,1+regle!$B$35,1),
IF(W174=regle!$C$11,regle!$C$23,
IF(W174=regle!$D$11,regle!$D$23,
IF(W174=regle!$E$11,regle!$E$23,
IF(W174=regle!$F$11,regle!$F$23,
IF(W174=regle!$G$11,regle!$G$23,
IF(W174=regle!$H$11,regle!$H$23,
IF(W174=regle!$I$11,regle!$I$23,
IF(W174=regle!$J$11,regle!$J$23,
IF(W174=regle!$K$11,regle!$K$23,0))))))))))))</f>
        <v>0</v>
      </c>
      <c r="AH174" s="17">
        <f>IF($A174,$J174*(IF(X174=regle!$B$11,regle!$B$23*IF(AQ174=-2,1+regle!$B$35,1),
IF(X174=regle!$C$11,regle!$C$23,
IF(X174=regle!$D$11,regle!$D$23,
IF(X174=regle!$E$11,regle!$E$23,
IF(X174=regle!$F$11,regle!$F$23,
IF(X174=regle!$G$11,regle!$G$23,
IF(X174=regle!$H$11,regle!$H$23,
IF(X174=regle!$I$11,regle!$I$23,
IF(X174=regle!$J$11,regle!$J$23,
IF(X174=regle!$K$11,regle!$K$23,0))))))))))))</f>
        <v>0</v>
      </c>
      <c r="AI174" s="17">
        <f>IF($A174,$J174*(IF(Y174=regle!$B$11,regle!$B$23*IF(AR174=-2,1+regle!$B$35,1),
IF(Y174=regle!$C$11,regle!$C$23,
IF(Y174=regle!$D$11,regle!$D$23,
IF(Y174=regle!$E$11,regle!$E$23,
IF(Y174=regle!$F$11,regle!$F$23,
IF(Y174=regle!$G$11,regle!$G$23,
IF(Y174=regle!$H$11,regle!$H$23,
IF(Y174=regle!$I$11,regle!$I$23,
IF(Y174=regle!$J$11,regle!$J$23,
IF(Y174=regle!$K$11,regle!$K$23,0))))))))))))</f>
        <v>577.91999999999996</v>
      </c>
      <c r="AJ174" s="17">
        <f>IF($A174,$J174*(IF(Z174=regle!$B$11,regle!$B$23*IF(AS174=-2,1+regle!$B$35,1),
IF(Z174=regle!$C$11,regle!$C$23,
IF(Z174=regle!$D$11,regle!$D$23,
IF(Z174=regle!$E$11,regle!$E$23,
IF(Z174=regle!$F$11,regle!$F$23,
IF(Z174=regle!$G$11,regle!$G$23,
IF(Z174=regle!$H$11,regle!$H$23,
IF(Z174=regle!$I$11,regle!$I$23,
IF(Z174=regle!$J$11,regle!$J$23,
IF(Z174=regle!$K$11,regle!$K$23,0))))))))))))</f>
        <v>0</v>
      </c>
      <c r="AK174" s="16">
        <f>IF(OR(Q174=regle!$J$11,Q174=regle!$K$11),-2,IF(Q174=regle!$B$11,0,IF(AK$1=$AK$1,IF($O174,-1,regle!$B$2-$M174),IF(AJ174=-1,-1,AJ174+1))))</f>
        <v>9</v>
      </c>
      <c r="AL174" s="16">
        <f>IF(OR(R174=regle!$J$11,R174=regle!$K$11),-2,IF(R174=regle!$B$11,0,IF(AL$1=$AK$1,IF($O174,-1,regle!$B$2-$M174),IF(AK174=-1,-1,AK174+1))))</f>
        <v>10</v>
      </c>
      <c r="AM174" s="16">
        <f>IF(OR(S174=regle!$J$11,S174=regle!$K$11),-2,IF(S174=regle!$B$11,0,IF(AM$1=$AK$1,IF($O174,-1,regle!$B$2-$M174),IF(AL174=-1,-1,AL174+1))))</f>
        <v>11</v>
      </c>
      <c r="AN174" s="16">
        <f>IF(OR(T174=regle!$J$11,T174=regle!$K$11),-2,IF(T174=regle!$B$11,0,IF(AN$1=$AK$1,IF($O174,-1,regle!$B$2-$M174),IF(AM174=-1,-1,AM174+1))))</f>
        <v>12</v>
      </c>
      <c r="AO174" s="16">
        <f>IF(OR(U174=regle!$J$11,U174=regle!$K$11),-2,IF(U174=regle!$B$11,0,IF(AO$1=$AK$1,IF($O174,-1,regle!$B$2-$M174),IF(AN174=-1,-1,AN174+1))))</f>
        <v>13</v>
      </c>
      <c r="AP174" s="16">
        <f>IF(OR(V174=regle!$J$11,V174=regle!$K$11),-2,IF(V174=regle!$B$11,0,IF(AP$1=$AK$1,IF($O174,-1,regle!$B$2-$M174),IF(AO174=-1,-1,AO174+1))))</f>
        <v>14</v>
      </c>
      <c r="AQ174" s="16">
        <f>IF(OR(W174=regle!$J$11,W174=regle!$K$11),-2,IF(W174=regle!$B$11,0,IF(AQ$1=$AK$1,IF($O174,-1,regle!$B$2-$M174),IF(AP174=-1,-1,AP174+1))))</f>
        <v>15</v>
      </c>
      <c r="AR174" s="16">
        <f>IF(OR(X174=regle!$J$11,X174=regle!$K$11),-2,IF(X174=regle!$B$11,0,IF(AR$1=$AK$1,IF($O174,-1,regle!$B$2-$M174),IF(AQ174=-1,-1,AQ174+1))))</f>
        <v>16</v>
      </c>
      <c r="AS174" s="16">
        <f>IF(OR(Y174=regle!$J$11,Y174=regle!$K$11),-2,IF(Y174=regle!$B$11,0,IF(AS$1=$AK$1,IF($O174,-1,regle!$B$2-$M174),IF(AR174=-1,-1,AR174+1))))</f>
        <v>17</v>
      </c>
      <c r="AT174" s="16">
        <f>IF(OR(Z174=regle!$J$11,Z174=regle!$K$11),-2,IF(Z174=regle!$B$11,0,IF(AT$1=$AK$1,IF($O174,-1,regle!$B$2-$M174),IF(AS174=-1,-1,AS174+1))))</f>
        <v>18</v>
      </c>
    </row>
    <row r="175" spans="1:46" x14ac:dyDescent="0.25">
      <c r="A175" t="b">
        <f>modif0!A193</f>
        <v>1</v>
      </c>
      <c r="B175">
        <f>ROW(modif0!B193)</f>
        <v>193</v>
      </c>
      <c r="C175" t="str">
        <f>modif0!D193</f>
        <v>202</v>
      </c>
      <c r="D175" t="str">
        <f>modif0!E193</f>
        <v>HOSTENS</v>
      </c>
      <c r="E175">
        <f>modif0!F193</f>
        <v>8</v>
      </c>
      <c r="F175" t="str">
        <f>modif0!G193</f>
        <v>LES BECS</v>
      </c>
      <c r="G175" t="str">
        <f>modif0!I193</f>
        <v>0B</v>
      </c>
      <c r="H175">
        <f>modif0!J193</f>
        <v>1220</v>
      </c>
      <c r="I175" t="str">
        <f>modif0!K193</f>
        <v>l</v>
      </c>
      <c r="J175" s="11">
        <f>modif0!M193</f>
        <v>0.68149999999999999</v>
      </c>
      <c r="K175" s="11" t="str">
        <f>modif0!P193</f>
        <v>PLA</v>
      </c>
      <c r="L175" t="str">
        <f>modif0!N193</f>
        <v>PM</v>
      </c>
      <c r="M175">
        <f>modif0!Q193</f>
        <v>2015</v>
      </c>
      <c r="N175" t="str">
        <f>modif0!R193</f>
        <v>PLA-PM_2015</v>
      </c>
      <c r="O175" t="b">
        <f>modif0!S193</f>
        <v>0</v>
      </c>
      <c r="P175">
        <v>40</v>
      </c>
      <c r="T175" t="s">
        <v>1803</v>
      </c>
      <c r="Y175" t="s">
        <v>1804</v>
      </c>
      <c r="AA175" s="17">
        <f>IF($A175,$J175*(IF(Q175=regle!$B$11,regle!$B$23*IF(AJ175=-2,1+regle!$B$35,1),
IF(Q175=regle!$C$11,regle!$C$23,
IF(Q175=regle!$D$11,regle!$D$23,
IF(Q175=regle!$E$11,regle!$E$23,
IF(Q175=regle!$F$11,regle!$F$23,
IF(Q175=regle!$G$11,regle!$G$23,
IF(Q175=regle!$H$11,regle!$H$23,
IF(Q175=regle!$I$11,regle!$I$23,
IF(Q175=regle!$J$11,regle!$J$23,
IF(Q175=regle!$K$11,regle!$K$23,0))))))))))))</f>
        <v>0</v>
      </c>
      <c r="AB175" s="17">
        <f>IF($A175,$J175*(IF(R175=regle!$B$11,regle!$B$23*IF(AK175=-2,1+regle!$B$35,1),
IF(R175=regle!$C$11,regle!$C$23,
IF(R175=regle!$D$11,regle!$D$23,
IF(R175=regle!$E$11,regle!$E$23,
IF(R175=regle!$F$11,regle!$F$23,
IF(R175=regle!$G$11,regle!$G$23,
IF(R175=regle!$H$11,regle!$H$23,
IF(R175=regle!$I$11,regle!$I$23,
IF(R175=regle!$J$11,regle!$J$23,
IF(R175=regle!$K$11,regle!$K$23,0))))))))))))</f>
        <v>0</v>
      </c>
      <c r="AC175" s="17">
        <f>IF($A175,$J175*(IF(S175=regle!$B$11,regle!$B$23*IF(AL175=-2,1+regle!$B$35,1),
IF(S175=regle!$C$11,regle!$C$23,
IF(S175=regle!$D$11,regle!$D$23,
IF(S175=regle!$E$11,regle!$E$23,
IF(S175=regle!$F$11,regle!$F$23,
IF(S175=regle!$G$11,regle!$G$23,
IF(S175=regle!$H$11,regle!$H$23,
IF(S175=regle!$I$11,regle!$I$23,
IF(S175=regle!$J$11,regle!$J$23,
IF(S175=regle!$K$11,regle!$K$23,0))))))))))))</f>
        <v>0</v>
      </c>
      <c r="AD175" s="17">
        <f>IF($A175,$J175*(IF(T175=regle!$B$11,regle!$B$23*IF(AM175=-2,1+regle!$B$35,1),
IF(T175=regle!$C$11,regle!$C$23,
IF(T175=regle!$D$11,regle!$D$23,
IF(T175=regle!$E$11,regle!$E$23,
IF(T175=regle!$F$11,regle!$F$23,
IF(T175=regle!$G$11,regle!$G$23,
IF(T175=regle!$H$11,regle!$H$23,
IF(T175=regle!$I$11,regle!$I$23,
IF(T175=regle!$J$11,regle!$J$23,
IF(T175=regle!$K$11,regle!$K$23,0))))))))))))</f>
        <v>392.54399999999998</v>
      </c>
      <c r="AE175" s="17">
        <f>IF($A175,$J175*(IF(U175=regle!$B$11,regle!$B$23*IF(AN175=-2,1+regle!$B$35,1),
IF(U175=regle!$C$11,regle!$C$23,
IF(U175=regle!$D$11,regle!$D$23,
IF(U175=regle!$E$11,regle!$E$23,
IF(U175=regle!$F$11,regle!$F$23,
IF(U175=regle!$G$11,regle!$G$23,
IF(U175=regle!$H$11,regle!$H$23,
IF(U175=regle!$I$11,regle!$I$23,
IF(U175=regle!$J$11,regle!$J$23,
IF(U175=regle!$K$11,regle!$K$23,0))))))))))))</f>
        <v>0</v>
      </c>
      <c r="AF175" s="17">
        <f>IF($A175,$J175*(IF(V175=regle!$B$11,regle!$B$23*IF(AO175=-2,1+regle!$B$35,1),
IF(V175=regle!$C$11,regle!$C$23,
IF(V175=regle!$D$11,regle!$D$23,
IF(V175=regle!$E$11,regle!$E$23,
IF(V175=regle!$F$11,regle!$F$23,
IF(V175=regle!$G$11,regle!$G$23,
IF(V175=regle!$H$11,regle!$H$23,
IF(V175=regle!$I$11,regle!$I$23,
IF(V175=regle!$J$11,regle!$J$23,
IF(V175=regle!$K$11,regle!$K$23,0))))))))))))</f>
        <v>0</v>
      </c>
      <c r="AG175" s="17">
        <f>IF($A175,$J175*(IF(W175=regle!$B$11,regle!$B$23*IF(AP175=-2,1+regle!$B$35,1),
IF(W175=regle!$C$11,regle!$C$23,
IF(W175=regle!$D$11,regle!$D$23,
IF(W175=regle!$E$11,regle!$E$23,
IF(W175=regle!$F$11,regle!$F$23,
IF(W175=regle!$G$11,regle!$G$23,
IF(W175=regle!$H$11,regle!$H$23,
IF(W175=regle!$I$11,regle!$I$23,
IF(W175=regle!$J$11,regle!$J$23,
IF(W175=regle!$K$11,regle!$K$23,0))))))))))))</f>
        <v>0</v>
      </c>
      <c r="AH175" s="17">
        <f>IF($A175,$J175*(IF(X175=regle!$B$11,regle!$B$23*IF(AQ175=-2,1+regle!$B$35,1),
IF(X175=regle!$C$11,regle!$C$23,
IF(X175=regle!$D$11,regle!$D$23,
IF(X175=regle!$E$11,regle!$E$23,
IF(X175=regle!$F$11,regle!$F$23,
IF(X175=regle!$G$11,regle!$G$23,
IF(X175=regle!$H$11,regle!$H$23,
IF(X175=regle!$I$11,regle!$I$23,
IF(X175=regle!$J$11,regle!$J$23,
IF(X175=regle!$K$11,regle!$K$23,0))))))))))))</f>
        <v>0</v>
      </c>
      <c r="AI175" s="17">
        <f>IF($A175,$J175*(IF(Y175=regle!$B$11,regle!$B$23*IF(AR175=-2,1+regle!$B$35,1),
IF(Y175=regle!$C$11,regle!$C$23,
IF(Y175=regle!$D$11,regle!$D$23,
IF(Y175=regle!$E$11,regle!$E$23,
IF(Y175=regle!$F$11,regle!$F$23,
IF(Y175=regle!$G$11,regle!$G$23,
IF(Y175=regle!$H$11,regle!$H$23,
IF(Y175=regle!$I$11,regle!$I$23,
IF(Y175=regle!$J$11,regle!$J$23,
IF(Y175=regle!$K$11,regle!$K$23,0))))))))))))</f>
        <v>572.46</v>
      </c>
      <c r="AJ175" s="17">
        <f>IF($A175,$J175*(IF(Z175=regle!$B$11,regle!$B$23*IF(AS175=-2,1+regle!$B$35,1),
IF(Z175=regle!$C$11,regle!$C$23,
IF(Z175=regle!$D$11,regle!$D$23,
IF(Z175=regle!$E$11,regle!$E$23,
IF(Z175=regle!$F$11,regle!$F$23,
IF(Z175=regle!$G$11,regle!$G$23,
IF(Z175=regle!$H$11,regle!$H$23,
IF(Z175=regle!$I$11,regle!$I$23,
IF(Z175=regle!$J$11,regle!$J$23,
IF(Z175=regle!$K$11,regle!$K$23,0))))))))))))</f>
        <v>0</v>
      </c>
      <c r="AK175" s="16">
        <f>IF(OR(Q175=regle!$J$11,Q175=regle!$K$11),-2,IF(Q175=regle!$B$11,0,IF(AK$1=$AK$1,IF($O175,-1,regle!$B$2-$M175),IF(AJ175=-1,-1,AJ175+1))))</f>
        <v>9</v>
      </c>
      <c r="AL175" s="16">
        <f>IF(OR(R175=regle!$J$11,R175=regle!$K$11),-2,IF(R175=regle!$B$11,0,IF(AL$1=$AK$1,IF($O175,-1,regle!$B$2-$M175),IF(AK175=-1,-1,AK175+1))))</f>
        <v>10</v>
      </c>
      <c r="AM175" s="16">
        <f>IF(OR(S175=regle!$J$11,S175=regle!$K$11),-2,IF(S175=regle!$B$11,0,IF(AM$1=$AK$1,IF($O175,-1,regle!$B$2-$M175),IF(AL175=-1,-1,AL175+1))))</f>
        <v>11</v>
      </c>
      <c r="AN175" s="16">
        <f>IF(OR(T175=regle!$J$11,T175=regle!$K$11),-2,IF(T175=regle!$B$11,0,IF(AN$1=$AK$1,IF($O175,-1,regle!$B$2-$M175),IF(AM175=-1,-1,AM175+1))))</f>
        <v>12</v>
      </c>
      <c r="AO175" s="16">
        <f>IF(OR(U175=regle!$J$11,U175=regle!$K$11),-2,IF(U175=regle!$B$11,0,IF(AO$1=$AK$1,IF($O175,-1,regle!$B$2-$M175),IF(AN175=-1,-1,AN175+1))))</f>
        <v>13</v>
      </c>
      <c r="AP175" s="16">
        <f>IF(OR(V175=regle!$J$11,V175=regle!$K$11),-2,IF(V175=regle!$B$11,0,IF(AP$1=$AK$1,IF($O175,-1,regle!$B$2-$M175),IF(AO175=-1,-1,AO175+1))))</f>
        <v>14</v>
      </c>
      <c r="AQ175" s="16">
        <f>IF(OR(W175=regle!$J$11,W175=regle!$K$11),-2,IF(W175=regle!$B$11,0,IF(AQ$1=$AK$1,IF($O175,-1,regle!$B$2-$M175),IF(AP175=-1,-1,AP175+1))))</f>
        <v>15</v>
      </c>
      <c r="AR175" s="16">
        <f>IF(OR(X175=regle!$J$11,X175=regle!$K$11),-2,IF(X175=regle!$B$11,0,IF(AR$1=$AK$1,IF($O175,-1,regle!$B$2-$M175),IF(AQ175=-1,-1,AQ175+1))))</f>
        <v>16</v>
      </c>
      <c r="AS175" s="16">
        <f>IF(OR(Y175=regle!$J$11,Y175=regle!$K$11),-2,IF(Y175=regle!$B$11,0,IF(AS$1=$AK$1,IF($O175,-1,regle!$B$2-$M175),IF(AR175=-1,-1,AR175+1))))</f>
        <v>17</v>
      </c>
      <c r="AT175" s="16">
        <f>IF(OR(Z175=regle!$J$11,Z175=regle!$K$11),-2,IF(Z175=regle!$B$11,0,IF(AT$1=$AK$1,IF($O175,-1,regle!$B$2-$M175),IF(AS175=-1,-1,AS175+1))))</f>
        <v>18</v>
      </c>
    </row>
    <row r="176" spans="1:46" x14ac:dyDescent="0.25">
      <c r="A176" t="b">
        <f>modif0!A186</f>
        <v>1</v>
      </c>
      <c r="B176">
        <f>ROW(modif0!B186)</f>
        <v>186</v>
      </c>
      <c r="C176" t="str">
        <f>modif0!D186</f>
        <v>202</v>
      </c>
      <c r="D176" t="str">
        <f>modif0!E186</f>
        <v>HOSTENS</v>
      </c>
      <c r="E176">
        <f>modif0!F186</f>
        <v>8</v>
      </c>
      <c r="F176" t="str">
        <f>modif0!G186</f>
        <v>LES BECS</v>
      </c>
      <c r="G176" t="str">
        <f>modif0!I186</f>
        <v>0B</v>
      </c>
      <c r="H176">
        <f>modif0!J186</f>
        <v>1214</v>
      </c>
      <c r="I176" t="str">
        <f>modif0!K186</f>
        <v>j</v>
      </c>
      <c r="J176" s="11">
        <f>modif0!M186</f>
        <v>0.64390000000000003</v>
      </c>
      <c r="K176" s="11" t="str">
        <f>modif0!P186</f>
        <v>PLA</v>
      </c>
      <c r="L176" t="str">
        <f>modif0!N186</f>
        <v>PM</v>
      </c>
      <c r="M176">
        <f>modif0!Q186</f>
        <v>2015</v>
      </c>
      <c r="N176" t="str">
        <f>modif0!R186</f>
        <v>PLA-PM_2015</v>
      </c>
      <c r="O176" t="b">
        <f>modif0!S186</f>
        <v>0</v>
      </c>
      <c r="P176">
        <v>40</v>
      </c>
      <c r="T176" t="s">
        <v>1803</v>
      </c>
      <c r="Y176" t="s">
        <v>1804</v>
      </c>
      <c r="AA176" s="17">
        <f>IF($A176,$J176*(IF(Q176=regle!$B$11,regle!$B$23*IF(AJ176=-2,1+regle!$B$35,1),
IF(Q176=regle!$C$11,regle!$C$23,
IF(Q176=regle!$D$11,regle!$D$23,
IF(Q176=regle!$E$11,regle!$E$23,
IF(Q176=regle!$F$11,regle!$F$23,
IF(Q176=regle!$G$11,regle!$G$23,
IF(Q176=regle!$H$11,regle!$H$23,
IF(Q176=regle!$I$11,regle!$I$23,
IF(Q176=regle!$J$11,regle!$J$23,
IF(Q176=regle!$K$11,regle!$K$23,0))))))))))))</f>
        <v>0</v>
      </c>
      <c r="AB176" s="17">
        <f>IF($A176,$J176*(IF(R176=regle!$B$11,regle!$B$23*IF(AK176=-2,1+regle!$B$35,1),
IF(R176=regle!$C$11,regle!$C$23,
IF(R176=regle!$D$11,regle!$D$23,
IF(R176=regle!$E$11,regle!$E$23,
IF(R176=regle!$F$11,regle!$F$23,
IF(R176=regle!$G$11,regle!$G$23,
IF(R176=regle!$H$11,regle!$H$23,
IF(R176=regle!$I$11,regle!$I$23,
IF(R176=regle!$J$11,regle!$J$23,
IF(R176=regle!$K$11,regle!$K$23,0))))))))))))</f>
        <v>0</v>
      </c>
      <c r="AC176" s="17">
        <f>IF($A176,$J176*(IF(S176=regle!$B$11,regle!$B$23*IF(AL176=-2,1+regle!$B$35,1),
IF(S176=regle!$C$11,regle!$C$23,
IF(S176=regle!$D$11,regle!$D$23,
IF(S176=regle!$E$11,regle!$E$23,
IF(S176=regle!$F$11,regle!$F$23,
IF(S176=regle!$G$11,regle!$G$23,
IF(S176=regle!$H$11,regle!$H$23,
IF(S176=regle!$I$11,regle!$I$23,
IF(S176=regle!$J$11,regle!$J$23,
IF(S176=regle!$K$11,regle!$K$23,0))))))))))))</f>
        <v>0</v>
      </c>
      <c r="AD176" s="17">
        <f>IF($A176,$J176*(IF(T176=regle!$B$11,regle!$B$23*IF(AM176=-2,1+regle!$B$35,1),
IF(T176=regle!$C$11,regle!$C$23,
IF(T176=regle!$D$11,regle!$D$23,
IF(T176=regle!$E$11,regle!$E$23,
IF(T176=regle!$F$11,regle!$F$23,
IF(T176=regle!$G$11,regle!$G$23,
IF(T176=regle!$H$11,regle!$H$23,
IF(T176=regle!$I$11,regle!$I$23,
IF(T176=regle!$J$11,regle!$J$23,
IF(T176=regle!$K$11,regle!$K$23,0))))))))))))</f>
        <v>370.88640000000004</v>
      </c>
      <c r="AE176" s="17">
        <f>IF($A176,$J176*(IF(U176=regle!$B$11,regle!$B$23*IF(AN176=-2,1+regle!$B$35,1),
IF(U176=regle!$C$11,regle!$C$23,
IF(U176=regle!$D$11,regle!$D$23,
IF(U176=regle!$E$11,regle!$E$23,
IF(U176=regle!$F$11,regle!$F$23,
IF(U176=regle!$G$11,regle!$G$23,
IF(U176=regle!$H$11,regle!$H$23,
IF(U176=regle!$I$11,regle!$I$23,
IF(U176=regle!$J$11,regle!$J$23,
IF(U176=regle!$K$11,regle!$K$23,0))))))))))))</f>
        <v>0</v>
      </c>
      <c r="AF176" s="17">
        <f>IF($A176,$J176*(IF(V176=regle!$B$11,regle!$B$23*IF(AO176=-2,1+regle!$B$35,1),
IF(V176=regle!$C$11,regle!$C$23,
IF(V176=regle!$D$11,regle!$D$23,
IF(V176=regle!$E$11,regle!$E$23,
IF(V176=regle!$F$11,regle!$F$23,
IF(V176=regle!$G$11,regle!$G$23,
IF(V176=regle!$H$11,regle!$H$23,
IF(V176=regle!$I$11,regle!$I$23,
IF(V176=regle!$J$11,regle!$J$23,
IF(V176=regle!$K$11,regle!$K$23,0))))))))))))</f>
        <v>0</v>
      </c>
      <c r="AG176" s="17">
        <f>IF($A176,$J176*(IF(W176=regle!$B$11,regle!$B$23*IF(AP176=-2,1+regle!$B$35,1),
IF(W176=regle!$C$11,regle!$C$23,
IF(W176=regle!$D$11,regle!$D$23,
IF(W176=regle!$E$11,regle!$E$23,
IF(W176=regle!$F$11,regle!$F$23,
IF(W176=regle!$G$11,regle!$G$23,
IF(W176=regle!$H$11,regle!$H$23,
IF(W176=regle!$I$11,regle!$I$23,
IF(W176=regle!$J$11,regle!$J$23,
IF(W176=regle!$K$11,regle!$K$23,0))))))))))))</f>
        <v>0</v>
      </c>
      <c r="AH176" s="17">
        <f>IF($A176,$J176*(IF(X176=regle!$B$11,regle!$B$23*IF(AQ176=-2,1+regle!$B$35,1),
IF(X176=regle!$C$11,regle!$C$23,
IF(X176=regle!$D$11,regle!$D$23,
IF(X176=regle!$E$11,regle!$E$23,
IF(X176=regle!$F$11,regle!$F$23,
IF(X176=regle!$G$11,regle!$G$23,
IF(X176=regle!$H$11,regle!$H$23,
IF(X176=regle!$I$11,regle!$I$23,
IF(X176=regle!$J$11,regle!$J$23,
IF(X176=regle!$K$11,regle!$K$23,0))))))))))))</f>
        <v>0</v>
      </c>
      <c r="AI176" s="17">
        <f>IF($A176,$J176*(IF(Y176=regle!$B$11,regle!$B$23*IF(AR176=-2,1+regle!$B$35,1),
IF(Y176=regle!$C$11,regle!$C$23,
IF(Y176=regle!$D$11,regle!$D$23,
IF(Y176=regle!$E$11,regle!$E$23,
IF(Y176=regle!$F$11,regle!$F$23,
IF(Y176=regle!$G$11,regle!$G$23,
IF(Y176=regle!$H$11,regle!$H$23,
IF(Y176=regle!$I$11,regle!$I$23,
IF(Y176=regle!$J$11,regle!$J$23,
IF(Y176=regle!$K$11,regle!$K$23,0))))))))))))</f>
        <v>540.87599999999998</v>
      </c>
      <c r="AJ176" s="17">
        <f>IF($A176,$J176*(IF(Z176=regle!$B$11,regle!$B$23*IF(AS176=-2,1+regle!$B$35,1),
IF(Z176=regle!$C$11,regle!$C$23,
IF(Z176=regle!$D$11,regle!$D$23,
IF(Z176=regle!$E$11,regle!$E$23,
IF(Z176=regle!$F$11,regle!$F$23,
IF(Z176=regle!$G$11,regle!$G$23,
IF(Z176=regle!$H$11,regle!$H$23,
IF(Z176=regle!$I$11,regle!$I$23,
IF(Z176=regle!$J$11,regle!$J$23,
IF(Z176=regle!$K$11,regle!$K$23,0))))))))))))</f>
        <v>0</v>
      </c>
      <c r="AK176" s="16">
        <f>IF(OR(Q176=regle!$J$11,Q176=regle!$K$11),-2,IF(Q176=regle!$B$11,0,IF(AK$1=$AK$1,IF($O176,-1,regle!$B$2-$M176),IF(AJ176=-1,-1,AJ176+1))))</f>
        <v>9</v>
      </c>
      <c r="AL176" s="16">
        <f>IF(OR(R176=regle!$J$11,R176=regle!$K$11),-2,IF(R176=regle!$B$11,0,IF(AL$1=$AK$1,IF($O176,-1,regle!$B$2-$M176),IF(AK176=-1,-1,AK176+1))))</f>
        <v>10</v>
      </c>
      <c r="AM176" s="16">
        <f>IF(OR(S176=regle!$J$11,S176=regle!$K$11),-2,IF(S176=regle!$B$11,0,IF(AM$1=$AK$1,IF($O176,-1,regle!$B$2-$M176),IF(AL176=-1,-1,AL176+1))))</f>
        <v>11</v>
      </c>
      <c r="AN176" s="16">
        <f>IF(OR(T176=regle!$J$11,T176=regle!$K$11),-2,IF(T176=regle!$B$11,0,IF(AN$1=$AK$1,IF($O176,-1,regle!$B$2-$M176),IF(AM176=-1,-1,AM176+1))))</f>
        <v>12</v>
      </c>
      <c r="AO176" s="16">
        <f>IF(OR(U176=regle!$J$11,U176=regle!$K$11),-2,IF(U176=regle!$B$11,0,IF(AO$1=$AK$1,IF($O176,-1,regle!$B$2-$M176),IF(AN176=-1,-1,AN176+1))))</f>
        <v>13</v>
      </c>
      <c r="AP176" s="16">
        <f>IF(OR(V176=regle!$J$11,V176=regle!$K$11),-2,IF(V176=regle!$B$11,0,IF(AP$1=$AK$1,IF($O176,-1,regle!$B$2-$M176),IF(AO176=-1,-1,AO176+1))))</f>
        <v>14</v>
      </c>
      <c r="AQ176" s="16">
        <f>IF(OR(W176=regle!$J$11,W176=regle!$K$11),-2,IF(W176=regle!$B$11,0,IF(AQ$1=$AK$1,IF($O176,-1,regle!$B$2-$M176),IF(AP176=-1,-1,AP176+1))))</f>
        <v>15</v>
      </c>
      <c r="AR176" s="16">
        <f>IF(OR(X176=regle!$J$11,X176=regle!$K$11),-2,IF(X176=regle!$B$11,0,IF(AR$1=$AK$1,IF($O176,-1,regle!$B$2-$M176),IF(AQ176=-1,-1,AQ176+1))))</f>
        <v>16</v>
      </c>
      <c r="AS176" s="16">
        <f>IF(OR(Y176=regle!$J$11,Y176=regle!$K$11),-2,IF(Y176=regle!$B$11,0,IF(AS$1=$AK$1,IF($O176,-1,regle!$B$2-$M176),IF(AR176=-1,-1,AR176+1))))</f>
        <v>17</v>
      </c>
      <c r="AT176" s="16">
        <f>IF(OR(Z176=regle!$J$11,Z176=regle!$K$11),-2,IF(Z176=regle!$B$11,0,IF(AT$1=$AK$1,IF($O176,-1,regle!$B$2-$M176),IF(AS176=-1,-1,AS176+1))))</f>
        <v>18</v>
      </c>
    </row>
    <row r="177" spans="1:46" x14ac:dyDescent="0.25">
      <c r="A177" t="b">
        <f>modif0!A191</f>
        <v>1</v>
      </c>
      <c r="B177">
        <f>ROW(modif0!B191)</f>
        <v>191</v>
      </c>
      <c r="C177" t="str">
        <f>modif0!D191</f>
        <v>202</v>
      </c>
      <c r="D177" t="str">
        <f>modif0!E191</f>
        <v>HOSTENS</v>
      </c>
      <c r="E177">
        <f>modif0!F191</f>
        <v>8</v>
      </c>
      <c r="F177" t="str">
        <f>modif0!G191</f>
        <v>LES BECS</v>
      </c>
      <c r="G177" t="str">
        <f>modif0!I191</f>
        <v>0B</v>
      </c>
      <c r="H177">
        <f>modif0!J191</f>
        <v>1220</v>
      </c>
      <c r="I177" t="str">
        <f>modif0!K191</f>
        <v>j</v>
      </c>
      <c r="J177" s="11">
        <f>modif0!M191</f>
        <v>0.64119999999999999</v>
      </c>
      <c r="K177" s="11" t="str">
        <f>modif0!P191</f>
        <v>PLA</v>
      </c>
      <c r="L177" t="str">
        <f>modif0!N191</f>
        <v>PM</v>
      </c>
      <c r="M177">
        <f>modif0!Q191</f>
        <v>2015</v>
      </c>
      <c r="N177" t="str">
        <f>modif0!R191</f>
        <v>PLA-PM_2015</v>
      </c>
      <c r="O177" t="b">
        <f>modif0!S191</f>
        <v>0</v>
      </c>
      <c r="P177">
        <v>40</v>
      </c>
      <c r="T177" t="s">
        <v>1803</v>
      </c>
      <c r="Y177" t="s">
        <v>1804</v>
      </c>
      <c r="AA177" s="17">
        <f>IF($A177,$J177*(IF(Q177=regle!$B$11,regle!$B$23*IF(AJ177=-2,1+regle!$B$35,1),
IF(Q177=regle!$C$11,regle!$C$23,
IF(Q177=regle!$D$11,regle!$D$23,
IF(Q177=regle!$E$11,regle!$E$23,
IF(Q177=regle!$F$11,regle!$F$23,
IF(Q177=regle!$G$11,regle!$G$23,
IF(Q177=regle!$H$11,regle!$H$23,
IF(Q177=regle!$I$11,regle!$I$23,
IF(Q177=regle!$J$11,regle!$J$23,
IF(Q177=regle!$K$11,regle!$K$23,0))))))))))))</f>
        <v>0</v>
      </c>
      <c r="AB177" s="17">
        <f>IF($A177,$J177*(IF(R177=regle!$B$11,regle!$B$23*IF(AK177=-2,1+regle!$B$35,1),
IF(R177=regle!$C$11,regle!$C$23,
IF(R177=regle!$D$11,regle!$D$23,
IF(R177=regle!$E$11,regle!$E$23,
IF(R177=regle!$F$11,regle!$F$23,
IF(R177=regle!$G$11,regle!$G$23,
IF(R177=regle!$H$11,regle!$H$23,
IF(R177=regle!$I$11,regle!$I$23,
IF(R177=regle!$J$11,regle!$J$23,
IF(R177=regle!$K$11,regle!$K$23,0))))))))))))</f>
        <v>0</v>
      </c>
      <c r="AC177" s="17">
        <f>IF($A177,$J177*(IF(S177=regle!$B$11,regle!$B$23*IF(AL177=-2,1+regle!$B$35,1),
IF(S177=regle!$C$11,regle!$C$23,
IF(S177=regle!$D$11,regle!$D$23,
IF(S177=regle!$E$11,regle!$E$23,
IF(S177=regle!$F$11,regle!$F$23,
IF(S177=regle!$G$11,regle!$G$23,
IF(S177=regle!$H$11,regle!$H$23,
IF(S177=regle!$I$11,regle!$I$23,
IF(S177=regle!$J$11,regle!$J$23,
IF(S177=regle!$K$11,regle!$K$23,0))))))))))))</f>
        <v>0</v>
      </c>
      <c r="AD177" s="17">
        <f>IF($A177,$J177*(IF(T177=regle!$B$11,regle!$B$23*IF(AM177=-2,1+regle!$B$35,1),
IF(T177=regle!$C$11,regle!$C$23,
IF(T177=regle!$D$11,regle!$D$23,
IF(T177=regle!$E$11,regle!$E$23,
IF(T177=regle!$F$11,regle!$F$23,
IF(T177=regle!$G$11,regle!$G$23,
IF(T177=regle!$H$11,regle!$H$23,
IF(T177=regle!$I$11,regle!$I$23,
IF(T177=regle!$J$11,regle!$J$23,
IF(T177=regle!$K$11,regle!$K$23,0))))))))))))</f>
        <v>369.33119999999997</v>
      </c>
      <c r="AE177" s="17">
        <f>IF($A177,$J177*(IF(U177=regle!$B$11,regle!$B$23*IF(AN177=-2,1+regle!$B$35,1),
IF(U177=regle!$C$11,regle!$C$23,
IF(U177=regle!$D$11,regle!$D$23,
IF(U177=regle!$E$11,regle!$E$23,
IF(U177=regle!$F$11,regle!$F$23,
IF(U177=regle!$G$11,regle!$G$23,
IF(U177=regle!$H$11,regle!$H$23,
IF(U177=regle!$I$11,regle!$I$23,
IF(U177=regle!$J$11,regle!$J$23,
IF(U177=regle!$K$11,regle!$K$23,0))))))))))))</f>
        <v>0</v>
      </c>
      <c r="AF177" s="17">
        <f>IF($A177,$J177*(IF(V177=regle!$B$11,regle!$B$23*IF(AO177=-2,1+regle!$B$35,1),
IF(V177=regle!$C$11,regle!$C$23,
IF(V177=regle!$D$11,regle!$D$23,
IF(V177=regle!$E$11,regle!$E$23,
IF(V177=regle!$F$11,regle!$F$23,
IF(V177=regle!$G$11,regle!$G$23,
IF(V177=regle!$H$11,regle!$H$23,
IF(V177=regle!$I$11,regle!$I$23,
IF(V177=regle!$J$11,regle!$J$23,
IF(V177=regle!$K$11,regle!$K$23,0))))))))))))</f>
        <v>0</v>
      </c>
      <c r="AG177" s="17">
        <f>IF($A177,$J177*(IF(W177=regle!$B$11,regle!$B$23*IF(AP177=-2,1+regle!$B$35,1),
IF(W177=regle!$C$11,regle!$C$23,
IF(W177=regle!$D$11,regle!$D$23,
IF(W177=regle!$E$11,regle!$E$23,
IF(W177=regle!$F$11,regle!$F$23,
IF(W177=regle!$G$11,regle!$G$23,
IF(W177=regle!$H$11,regle!$H$23,
IF(W177=regle!$I$11,regle!$I$23,
IF(W177=regle!$J$11,regle!$J$23,
IF(W177=regle!$K$11,regle!$K$23,0))))))))))))</f>
        <v>0</v>
      </c>
      <c r="AH177" s="17">
        <f>IF($A177,$J177*(IF(X177=regle!$B$11,regle!$B$23*IF(AQ177=-2,1+regle!$B$35,1),
IF(X177=regle!$C$11,regle!$C$23,
IF(X177=regle!$D$11,regle!$D$23,
IF(X177=regle!$E$11,regle!$E$23,
IF(X177=regle!$F$11,regle!$F$23,
IF(X177=regle!$G$11,regle!$G$23,
IF(X177=regle!$H$11,regle!$H$23,
IF(X177=regle!$I$11,regle!$I$23,
IF(X177=regle!$J$11,regle!$J$23,
IF(X177=regle!$K$11,regle!$K$23,0))))))))))))</f>
        <v>0</v>
      </c>
      <c r="AI177" s="17">
        <f>IF($A177,$J177*(IF(Y177=regle!$B$11,regle!$B$23*IF(AR177=-2,1+regle!$B$35,1),
IF(Y177=regle!$C$11,regle!$C$23,
IF(Y177=regle!$D$11,regle!$D$23,
IF(Y177=regle!$E$11,regle!$E$23,
IF(Y177=regle!$F$11,regle!$F$23,
IF(Y177=regle!$G$11,regle!$G$23,
IF(Y177=regle!$H$11,regle!$H$23,
IF(Y177=regle!$I$11,regle!$I$23,
IF(Y177=regle!$J$11,regle!$J$23,
IF(Y177=regle!$K$11,regle!$K$23,0))))))))))))</f>
        <v>538.60799999999995</v>
      </c>
      <c r="AJ177" s="17">
        <f>IF($A177,$J177*(IF(Z177=regle!$B$11,regle!$B$23*IF(AS177=-2,1+regle!$B$35,1),
IF(Z177=regle!$C$11,regle!$C$23,
IF(Z177=regle!$D$11,regle!$D$23,
IF(Z177=regle!$E$11,regle!$E$23,
IF(Z177=regle!$F$11,regle!$F$23,
IF(Z177=regle!$G$11,regle!$G$23,
IF(Z177=regle!$H$11,regle!$H$23,
IF(Z177=regle!$I$11,regle!$I$23,
IF(Z177=regle!$J$11,regle!$J$23,
IF(Z177=regle!$K$11,regle!$K$23,0))))))))))))</f>
        <v>0</v>
      </c>
      <c r="AK177" s="16">
        <f>IF(OR(Q177=regle!$J$11,Q177=regle!$K$11),-2,IF(Q177=regle!$B$11,0,IF(AK$1=$AK$1,IF($O177,-1,regle!$B$2-$M177),IF(AJ177=-1,-1,AJ177+1))))</f>
        <v>9</v>
      </c>
      <c r="AL177" s="16">
        <f>IF(OR(R177=regle!$J$11,R177=regle!$K$11),-2,IF(R177=regle!$B$11,0,IF(AL$1=$AK$1,IF($O177,-1,regle!$B$2-$M177),IF(AK177=-1,-1,AK177+1))))</f>
        <v>10</v>
      </c>
      <c r="AM177" s="16">
        <f>IF(OR(S177=regle!$J$11,S177=regle!$K$11),-2,IF(S177=regle!$B$11,0,IF(AM$1=$AK$1,IF($O177,-1,regle!$B$2-$M177),IF(AL177=-1,-1,AL177+1))))</f>
        <v>11</v>
      </c>
      <c r="AN177" s="16">
        <f>IF(OR(T177=regle!$J$11,T177=regle!$K$11),-2,IF(T177=regle!$B$11,0,IF(AN$1=$AK$1,IF($O177,-1,regle!$B$2-$M177),IF(AM177=-1,-1,AM177+1))))</f>
        <v>12</v>
      </c>
      <c r="AO177" s="16">
        <f>IF(OR(U177=regle!$J$11,U177=regle!$K$11),-2,IF(U177=regle!$B$11,0,IF(AO$1=$AK$1,IF($O177,-1,regle!$B$2-$M177),IF(AN177=-1,-1,AN177+1))))</f>
        <v>13</v>
      </c>
      <c r="AP177" s="16">
        <f>IF(OR(V177=regle!$J$11,V177=regle!$K$11),-2,IF(V177=regle!$B$11,0,IF(AP$1=$AK$1,IF($O177,-1,regle!$B$2-$M177),IF(AO177=-1,-1,AO177+1))))</f>
        <v>14</v>
      </c>
      <c r="AQ177" s="16">
        <f>IF(OR(W177=regle!$J$11,W177=regle!$K$11),-2,IF(W177=regle!$B$11,0,IF(AQ$1=$AK$1,IF($O177,-1,regle!$B$2-$M177),IF(AP177=-1,-1,AP177+1))))</f>
        <v>15</v>
      </c>
      <c r="AR177" s="16">
        <f>IF(OR(X177=regle!$J$11,X177=regle!$K$11),-2,IF(X177=regle!$B$11,0,IF(AR$1=$AK$1,IF($O177,-1,regle!$B$2-$M177),IF(AQ177=-1,-1,AQ177+1))))</f>
        <v>16</v>
      </c>
      <c r="AS177" s="16">
        <f>IF(OR(Y177=regle!$J$11,Y177=regle!$K$11),-2,IF(Y177=regle!$B$11,0,IF(AS$1=$AK$1,IF($O177,-1,regle!$B$2-$M177),IF(AR177=-1,-1,AR177+1))))</f>
        <v>17</v>
      </c>
      <c r="AT177" s="16">
        <f>IF(OR(Z177=regle!$J$11,Z177=regle!$K$11),-2,IF(Z177=regle!$B$11,0,IF(AT$1=$AK$1,IF($O177,-1,regle!$B$2-$M177),IF(AS177=-1,-1,AS177+1))))</f>
        <v>18</v>
      </c>
    </row>
    <row r="178" spans="1:46" x14ac:dyDescent="0.25">
      <c r="A178" t="b">
        <f>modif0!A227</f>
        <v>1</v>
      </c>
      <c r="B178">
        <f>ROW(modif0!B227)</f>
        <v>227</v>
      </c>
      <c r="C178" t="str">
        <f>modif0!D227</f>
        <v>202</v>
      </c>
      <c r="D178" t="str">
        <f>modif0!E227</f>
        <v>HOSTENS</v>
      </c>
      <c r="E178">
        <f>modif0!F227</f>
        <v>11</v>
      </c>
      <c r="F178" t="str">
        <f>modif0!G227</f>
        <v>LES CAZALAS</v>
      </c>
      <c r="G178" t="str">
        <f>modif0!I227</f>
        <v>0B</v>
      </c>
      <c r="H178">
        <f>modif0!J227</f>
        <v>1573</v>
      </c>
      <c r="I178" t="str">
        <f>modif0!K227</f>
        <v/>
      </c>
      <c r="J178" s="11">
        <f>modif0!M227</f>
        <v>0.60750000000000004</v>
      </c>
      <c r="K178" s="11" t="str">
        <f>modif0!P227</f>
        <v>PLA</v>
      </c>
      <c r="L178" t="str">
        <f>modif0!N227</f>
        <v>PM</v>
      </c>
      <c r="M178">
        <f>modif0!Q227</f>
        <v>2015</v>
      </c>
      <c r="N178" t="str">
        <f>modif0!R227</f>
        <v>PLA-PM_2015</v>
      </c>
      <c r="O178" t="b">
        <f>modif0!S227</f>
        <v>0</v>
      </c>
      <c r="P178">
        <v>40</v>
      </c>
      <c r="T178" t="s">
        <v>1803</v>
      </c>
      <c r="Y178" t="s">
        <v>1804</v>
      </c>
      <c r="AA178" s="17">
        <f>IF($A178,$J178*(IF(Q178=regle!$B$11,regle!$B$23*IF(AJ178=-2,1+regle!$B$35,1),
IF(Q178=regle!$C$11,regle!$C$23,
IF(Q178=regle!$D$11,regle!$D$23,
IF(Q178=regle!$E$11,regle!$E$23,
IF(Q178=regle!$F$11,regle!$F$23,
IF(Q178=regle!$G$11,regle!$G$23,
IF(Q178=regle!$H$11,regle!$H$23,
IF(Q178=regle!$I$11,regle!$I$23,
IF(Q178=regle!$J$11,regle!$J$23,
IF(Q178=regle!$K$11,regle!$K$23,0))))))))))))</f>
        <v>0</v>
      </c>
      <c r="AB178" s="17">
        <f>IF($A178,$J178*(IF(R178=regle!$B$11,regle!$B$23*IF(AK178=-2,1+regle!$B$35,1),
IF(R178=regle!$C$11,regle!$C$23,
IF(R178=regle!$D$11,regle!$D$23,
IF(R178=regle!$E$11,regle!$E$23,
IF(R178=regle!$F$11,regle!$F$23,
IF(R178=regle!$G$11,regle!$G$23,
IF(R178=regle!$H$11,regle!$H$23,
IF(R178=regle!$I$11,regle!$I$23,
IF(R178=regle!$J$11,regle!$J$23,
IF(R178=regle!$K$11,regle!$K$23,0))))))))))))</f>
        <v>0</v>
      </c>
      <c r="AC178" s="17">
        <f>IF($A178,$J178*(IF(S178=regle!$B$11,regle!$B$23*IF(AL178=-2,1+regle!$B$35,1),
IF(S178=regle!$C$11,regle!$C$23,
IF(S178=regle!$D$11,regle!$D$23,
IF(S178=regle!$E$11,regle!$E$23,
IF(S178=regle!$F$11,regle!$F$23,
IF(S178=regle!$G$11,regle!$G$23,
IF(S178=regle!$H$11,regle!$H$23,
IF(S178=regle!$I$11,regle!$I$23,
IF(S178=regle!$J$11,regle!$J$23,
IF(S178=regle!$K$11,regle!$K$23,0))))))))))))</f>
        <v>0</v>
      </c>
      <c r="AD178" s="17">
        <f>IF($A178,$J178*(IF(T178=regle!$B$11,regle!$B$23*IF(AM178=-2,1+regle!$B$35,1),
IF(T178=regle!$C$11,regle!$C$23,
IF(T178=regle!$D$11,regle!$D$23,
IF(T178=regle!$E$11,regle!$E$23,
IF(T178=regle!$F$11,regle!$F$23,
IF(T178=regle!$G$11,regle!$G$23,
IF(T178=regle!$H$11,regle!$H$23,
IF(T178=regle!$I$11,regle!$I$23,
IF(T178=regle!$J$11,regle!$J$23,
IF(T178=regle!$K$11,regle!$K$23,0))))))))))))</f>
        <v>349.92</v>
      </c>
      <c r="AE178" s="17">
        <f>IF($A178,$J178*(IF(U178=regle!$B$11,regle!$B$23*IF(AN178=-2,1+regle!$B$35,1),
IF(U178=regle!$C$11,regle!$C$23,
IF(U178=regle!$D$11,regle!$D$23,
IF(U178=regle!$E$11,regle!$E$23,
IF(U178=regle!$F$11,regle!$F$23,
IF(U178=regle!$G$11,regle!$G$23,
IF(U178=regle!$H$11,regle!$H$23,
IF(U178=regle!$I$11,regle!$I$23,
IF(U178=regle!$J$11,regle!$J$23,
IF(U178=regle!$K$11,regle!$K$23,0))))))))))))</f>
        <v>0</v>
      </c>
      <c r="AF178" s="17">
        <f>IF($A178,$J178*(IF(V178=regle!$B$11,regle!$B$23*IF(AO178=-2,1+regle!$B$35,1),
IF(V178=regle!$C$11,regle!$C$23,
IF(V178=regle!$D$11,regle!$D$23,
IF(V178=regle!$E$11,regle!$E$23,
IF(V178=regle!$F$11,regle!$F$23,
IF(V178=regle!$G$11,regle!$G$23,
IF(V178=regle!$H$11,regle!$H$23,
IF(V178=regle!$I$11,regle!$I$23,
IF(V178=regle!$J$11,regle!$J$23,
IF(V178=regle!$K$11,regle!$K$23,0))))))))))))</f>
        <v>0</v>
      </c>
      <c r="AG178" s="17">
        <f>IF($A178,$J178*(IF(W178=regle!$B$11,regle!$B$23*IF(AP178=-2,1+regle!$B$35,1),
IF(W178=regle!$C$11,regle!$C$23,
IF(W178=regle!$D$11,regle!$D$23,
IF(W178=regle!$E$11,regle!$E$23,
IF(W178=regle!$F$11,regle!$F$23,
IF(W178=regle!$G$11,regle!$G$23,
IF(W178=regle!$H$11,regle!$H$23,
IF(W178=regle!$I$11,regle!$I$23,
IF(W178=regle!$J$11,regle!$J$23,
IF(W178=regle!$K$11,regle!$K$23,0))))))))))))</f>
        <v>0</v>
      </c>
      <c r="AH178" s="17">
        <f>IF($A178,$J178*(IF(X178=regle!$B$11,regle!$B$23*IF(AQ178=-2,1+regle!$B$35,1),
IF(X178=regle!$C$11,regle!$C$23,
IF(X178=regle!$D$11,regle!$D$23,
IF(X178=regle!$E$11,regle!$E$23,
IF(X178=regle!$F$11,regle!$F$23,
IF(X178=regle!$G$11,regle!$G$23,
IF(X178=regle!$H$11,regle!$H$23,
IF(X178=regle!$I$11,regle!$I$23,
IF(X178=regle!$J$11,regle!$J$23,
IF(X178=regle!$K$11,regle!$K$23,0))))))))))))</f>
        <v>0</v>
      </c>
      <c r="AI178" s="17">
        <f>IF($A178,$J178*(IF(Y178=regle!$B$11,regle!$B$23*IF(AR178=-2,1+regle!$B$35,1),
IF(Y178=regle!$C$11,regle!$C$23,
IF(Y178=regle!$D$11,regle!$D$23,
IF(Y178=regle!$E$11,regle!$E$23,
IF(Y178=regle!$F$11,regle!$F$23,
IF(Y178=regle!$G$11,regle!$G$23,
IF(Y178=regle!$H$11,regle!$H$23,
IF(Y178=regle!$I$11,regle!$I$23,
IF(Y178=regle!$J$11,regle!$J$23,
IF(Y178=regle!$K$11,regle!$K$23,0))))))))))))</f>
        <v>510.3</v>
      </c>
      <c r="AJ178" s="17">
        <f>IF($A178,$J178*(IF(Z178=regle!$B$11,regle!$B$23*IF(AS178=-2,1+regle!$B$35,1),
IF(Z178=regle!$C$11,regle!$C$23,
IF(Z178=regle!$D$11,regle!$D$23,
IF(Z178=regle!$E$11,regle!$E$23,
IF(Z178=regle!$F$11,regle!$F$23,
IF(Z178=regle!$G$11,regle!$G$23,
IF(Z178=regle!$H$11,regle!$H$23,
IF(Z178=regle!$I$11,regle!$I$23,
IF(Z178=regle!$J$11,regle!$J$23,
IF(Z178=regle!$K$11,regle!$K$23,0))))))))))))</f>
        <v>0</v>
      </c>
      <c r="AK178" s="16">
        <f>IF(OR(Q178=regle!$J$11,Q178=regle!$K$11),-2,IF(Q178=regle!$B$11,0,IF(AK$1=$AK$1,IF($O178,-1,regle!$B$2-$M178),IF(AJ178=-1,-1,AJ178+1))))</f>
        <v>9</v>
      </c>
      <c r="AL178" s="16">
        <f>IF(OR(R178=regle!$J$11,R178=regle!$K$11),-2,IF(R178=regle!$B$11,0,IF(AL$1=$AK$1,IF($O178,-1,regle!$B$2-$M178),IF(AK178=-1,-1,AK178+1))))</f>
        <v>10</v>
      </c>
      <c r="AM178" s="16">
        <f>IF(OR(S178=regle!$J$11,S178=regle!$K$11),-2,IF(S178=regle!$B$11,0,IF(AM$1=$AK$1,IF($O178,-1,regle!$B$2-$M178),IF(AL178=-1,-1,AL178+1))))</f>
        <v>11</v>
      </c>
      <c r="AN178" s="16">
        <f>IF(OR(T178=regle!$J$11,T178=regle!$K$11),-2,IF(T178=regle!$B$11,0,IF(AN$1=$AK$1,IF($O178,-1,regle!$B$2-$M178),IF(AM178=-1,-1,AM178+1))))</f>
        <v>12</v>
      </c>
      <c r="AO178" s="16">
        <f>IF(OR(U178=regle!$J$11,U178=regle!$K$11),-2,IF(U178=regle!$B$11,0,IF(AO$1=$AK$1,IF($O178,-1,regle!$B$2-$M178),IF(AN178=-1,-1,AN178+1))))</f>
        <v>13</v>
      </c>
      <c r="AP178" s="16">
        <f>IF(OR(V178=regle!$J$11,V178=regle!$K$11),-2,IF(V178=regle!$B$11,0,IF(AP$1=$AK$1,IF($O178,-1,regle!$B$2-$M178),IF(AO178=-1,-1,AO178+1))))</f>
        <v>14</v>
      </c>
      <c r="AQ178" s="16">
        <f>IF(OR(W178=regle!$J$11,W178=regle!$K$11),-2,IF(W178=regle!$B$11,0,IF(AQ$1=$AK$1,IF($O178,-1,regle!$B$2-$M178),IF(AP178=-1,-1,AP178+1))))</f>
        <v>15</v>
      </c>
      <c r="AR178" s="16">
        <f>IF(OR(X178=regle!$J$11,X178=regle!$K$11),-2,IF(X178=regle!$B$11,0,IF(AR$1=$AK$1,IF($O178,-1,regle!$B$2-$M178),IF(AQ178=-1,-1,AQ178+1))))</f>
        <v>16</v>
      </c>
      <c r="AS178" s="16">
        <f>IF(OR(Y178=regle!$J$11,Y178=regle!$K$11),-2,IF(Y178=regle!$B$11,0,IF(AS$1=$AK$1,IF($O178,-1,regle!$B$2-$M178),IF(AR178=-1,-1,AR178+1))))</f>
        <v>17</v>
      </c>
      <c r="AT178" s="16">
        <f>IF(OR(Z178=regle!$J$11,Z178=regle!$K$11),-2,IF(Z178=regle!$B$11,0,IF(AT$1=$AK$1,IF($O178,-1,regle!$B$2-$M178),IF(AS178=-1,-1,AS178+1))))</f>
        <v>18</v>
      </c>
    </row>
    <row r="179" spans="1:46" x14ac:dyDescent="0.25">
      <c r="A179" t="b">
        <f>modif0!A174</f>
        <v>1</v>
      </c>
      <c r="B179">
        <f>ROW(modif0!B174)</f>
        <v>174</v>
      </c>
      <c r="C179" t="str">
        <f>modif0!D174</f>
        <v>202</v>
      </c>
      <c r="D179" t="str">
        <f>modif0!E174</f>
        <v>HOSTENS</v>
      </c>
      <c r="E179">
        <f>modif0!F174</f>
        <v>11</v>
      </c>
      <c r="F179" t="str">
        <f>modif0!G174</f>
        <v>LES CAZALAS</v>
      </c>
      <c r="G179" t="str">
        <f>modif0!I174</f>
        <v>0B</v>
      </c>
      <c r="H179">
        <f>modif0!J174</f>
        <v>1200</v>
      </c>
      <c r="I179" t="str">
        <f>modif0!K174</f>
        <v>j</v>
      </c>
      <c r="J179" s="11">
        <f>modif0!M174</f>
        <v>0.60719999999999996</v>
      </c>
      <c r="K179" s="11" t="str">
        <f>modif0!P174</f>
        <v>PLA</v>
      </c>
      <c r="L179" t="str">
        <f>modif0!N174</f>
        <v>PM</v>
      </c>
      <c r="M179">
        <f>modif0!Q174</f>
        <v>2015</v>
      </c>
      <c r="N179" t="str">
        <f>modif0!R174</f>
        <v>PLA-PM_2015</v>
      </c>
      <c r="O179" t="b">
        <f>modif0!S174</f>
        <v>0</v>
      </c>
      <c r="P179">
        <v>40</v>
      </c>
      <c r="T179" t="s">
        <v>1803</v>
      </c>
      <c r="Y179" t="s">
        <v>1804</v>
      </c>
      <c r="AA179" s="17">
        <f>IF($A179,$J179*(IF(Q179=regle!$B$11,regle!$B$23*IF(AJ179=-2,1+regle!$B$35,1),
IF(Q179=regle!$C$11,regle!$C$23,
IF(Q179=regle!$D$11,regle!$D$23,
IF(Q179=regle!$E$11,regle!$E$23,
IF(Q179=regle!$F$11,regle!$F$23,
IF(Q179=regle!$G$11,regle!$G$23,
IF(Q179=regle!$H$11,regle!$H$23,
IF(Q179=regle!$I$11,regle!$I$23,
IF(Q179=regle!$J$11,regle!$J$23,
IF(Q179=regle!$K$11,regle!$K$23,0))))))))))))</f>
        <v>0</v>
      </c>
      <c r="AB179" s="17">
        <f>IF($A179,$J179*(IF(R179=regle!$B$11,regle!$B$23*IF(AK179=-2,1+regle!$B$35,1),
IF(R179=regle!$C$11,regle!$C$23,
IF(R179=regle!$D$11,regle!$D$23,
IF(R179=regle!$E$11,regle!$E$23,
IF(R179=regle!$F$11,regle!$F$23,
IF(R179=regle!$G$11,regle!$G$23,
IF(R179=regle!$H$11,regle!$H$23,
IF(R179=regle!$I$11,regle!$I$23,
IF(R179=regle!$J$11,regle!$J$23,
IF(R179=regle!$K$11,regle!$K$23,0))))))))))))</f>
        <v>0</v>
      </c>
      <c r="AC179" s="17">
        <f>IF($A179,$J179*(IF(S179=regle!$B$11,regle!$B$23*IF(AL179=-2,1+regle!$B$35,1),
IF(S179=regle!$C$11,regle!$C$23,
IF(S179=regle!$D$11,regle!$D$23,
IF(S179=regle!$E$11,regle!$E$23,
IF(S179=regle!$F$11,regle!$F$23,
IF(S179=regle!$G$11,regle!$G$23,
IF(S179=regle!$H$11,regle!$H$23,
IF(S179=regle!$I$11,regle!$I$23,
IF(S179=regle!$J$11,regle!$J$23,
IF(S179=regle!$K$11,regle!$K$23,0))))))))))))</f>
        <v>0</v>
      </c>
      <c r="AD179" s="17">
        <f>IF($A179,$J179*(IF(T179=regle!$B$11,regle!$B$23*IF(AM179=-2,1+regle!$B$35,1),
IF(T179=regle!$C$11,regle!$C$23,
IF(T179=regle!$D$11,regle!$D$23,
IF(T179=regle!$E$11,regle!$E$23,
IF(T179=regle!$F$11,regle!$F$23,
IF(T179=regle!$G$11,regle!$G$23,
IF(T179=regle!$H$11,regle!$H$23,
IF(T179=regle!$I$11,regle!$I$23,
IF(T179=regle!$J$11,regle!$J$23,
IF(T179=regle!$K$11,regle!$K$23,0))))))))))))</f>
        <v>349.74719999999996</v>
      </c>
      <c r="AE179" s="17">
        <f>IF($A179,$J179*(IF(U179=regle!$B$11,regle!$B$23*IF(AN179=-2,1+regle!$B$35,1),
IF(U179=regle!$C$11,regle!$C$23,
IF(U179=regle!$D$11,regle!$D$23,
IF(U179=regle!$E$11,regle!$E$23,
IF(U179=regle!$F$11,regle!$F$23,
IF(U179=regle!$G$11,regle!$G$23,
IF(U179=regle!$H$11,regle!$H$23,
IF(U179=regle!$I$11,regle!$I$23,
IF(U179=regle!$J$11,regle!$J$23,
IF(U179=regle!$K$11,regle!$K$23,0))))))))))))</f>
        <v>0</v>
      </c>
      <c r="AF179" s="17">
        <f>IF($A179,$J179*(IF(V179=regle!$B$11,regle!$B$23*IF(AO179=-2,1+regle!$B$35,1),
IF(V179=regle!$C$11,regle!$C$23,
IF(V179=regle!$D$11,regle!$D$23,
IF(V179=regle!$E$11,regle!$E$23,
IF(V179=regle!$F$11,regle!$F$23,
IF(V179=regle!$G$11,regle!$G$23,
IF(V179=regle!$H$11,regle!$H$23,
IF(V179=regle!$I$11,regle!$I$23,
IF(V179=regle!$J$11,regle!$J$23,
IF(V179=regle!$K$11,regle!$K$23,0))))))))))))</f>
        <v>0</v>
      </c>
      <c r="AG179" s="17">
        <f>IF($A179,$J179*(IF(W179=regle!$B$11,regle!$B$23*IF(AP179=-2,1+regle!$B$35,1),
IF(W179=regle!$C$11,regle!$C$23,
IF(W179=regle!$D$11,regle!$D$23,
IF(W179=regle!$E$11,regle!$E$23,
IF(W179=regle!$F$11,regle!$F$23,
IF(W179=regle!$G$11,regle!$G$23,
IF(W179=regle!$H$11,regle!$H$23,
IF(W179=regle!$I$11,regle!$I$23,
IF(W179=regle!$J$11,regle!$J$23,
IF(W179=regle!$K$11,regle!$K$23,0))))))))))))</f>
        <v>0</v>
      </c>
      <c r="AH179" s="17">
        <f>IF($A179,$J179*(IF(X179=regle!$B$11,regle!$B$23*IF(AQ179=-2,1+regle!$B$35,1),
IF(X179=regle!$C$11,regle!$C$23,
IF(X179=regle!$D$11,regle!$D$23,
IF(X179=regle!$E$11,regle!$E$23,
IF(X179=regle!$F$11,regle!$F$23,
IF(X179=regle!$G$11,regle!$G$23,
IF(X179=regle!$H$11,regle!$H$23,
IF(X179=regle!$I$11,regle!$I$23,
IF(X179=regle!$J$11,regle!$J$23,
IF(X179=regle!$K$11,regle!$K$23,0))))))))))))</f>
        <v>0</v>
      </c>
      <c r="AI179" s="17">
        <f>IF($A179,$J179*(IF(Y179=regle!$B$11,regle!$B$23*IF(AR179=-2,1+regle!$B$35,1),
IF(Y179=regle!$C$11,regle!$C$23,
IF(Y179=regle!$D$11,regle!$D$23,
IF(Y179=regle!$E$11,regle!$E$23,
IF(Y179=regle!$F$11,regle!$F$23,
IF(Y179=regle!$G$11,regle!$G$23,
IF(Y179=regle!$H$11,regle!$H$23,
IF(Y179=regle!$I$11,regle!$I$23,
IF(Y179=regle!$J$11,regle!$J$23,
IF(Y179=regle!$K$11,regle!$K$23,0))))))))))))</f>
        <v>510.04799999999994</v>
      </c>
      <c r="AJ179" s="17">
        <f>IF($A179,$J179*(IF(Z179=regle!$B$11,regle!$B$23*IF(AS179=-2,1+regle!$B$35,1),
IF(Z179=regle!$C$11,regle!$C$23,
IF(Z179=regle!$D$11,regle!$D$23,
IF(Z179=regle!$E$11,regle!$E$23,
IF(Z179=regle!$F$11,regle!$F$23,
IF(Z179=regle!$G$11,regle!$G$23,
IF(Z179=regle!$H$11,regle!$H$23,
IF(Z179=regle!$I$11,regle!$I$23,
IF(Z179=regle!$J$11,regle!$J$23,
IF(Z179=regle!$K$11,regle!$K$23,0))))))))))))</f>
        <v>0</v>
      </c>
      <c r="AK179" s="16">
        <f>IF(OR(Q179=regle!$J$11,Q179=regle!$K$11),-2,IF(Q179=regle!$B$11,0,IF(AK$1=$AK$1,IF($O179,-1,regle!$B$2-$M179),IF(AJ179=-1,-1,AJ179+1))))</f>
        <v>9</v>
      </c>
      <c r="AL179" s="16">
        <f>IF(OR(R179=regle!$J$11,R179=regle!$K$11),-2,IF(R179=regle!$B$11,0,IF(AL$1=$AK$1,IF($O179,-1,regle!$B$2-$M179),IF(AK179=-1,-1,AK179+1))))</f>
        <v>10</v>
      </c>
      <c r="AM179" s="16">
        <f>IF(OR(S179=regle!$J$11,S179=regle!$K$11),-2,IF(S179=regle!$B$11,0,IF(AM$1=$AK$1,IF($O179,-1,regle!$B$2-$M179),IF(AL179=-1,-1,AL179+1))))</f>
        <v>11</v>
      </c>
      <c r="AN179" s="16">
        <f>IF(OR(T179=regle!$J$11,T179=regle!$K$11),-2,IF(T179=regle!$B$11,0,IF(AN$1=$AK$1,IF($O179,-1,regle!$B$2-$M179),IF(AM179=-1,-1,AM179+1))))</f>
        <v>12</v>
      </c>
      <c r="AO179" s="16">
        <f>IF(OR(U179=regle!$J$11,U179=regle!$K$11),-2,IF(U179=regle!$B$11,0,IF(AO$1=$AK$1,IF($O179,-1,regle!$B$2-$M179),IF(AN179=-1,-1,AN179+1))))</f>
        <v>13</v>
      </c>
      <c r="AP179" s="16">
        <f>IF(OR(V179=regle!$J$11,V179=regle!$K$11),-2,IF(V179=regle!$B$11,0,IF(AP$1=$AK$1,IF($O179,-1,regle!$B$2-$M179),IF(AO179=-1,-1,AO179+1))))</f>
        <v>14</v>
      </c>
      <c r="AQ179" s="16">
        <f>IF(OR(W179=regle!$J$11,W179=regle!$K$11),-2,IF(W179=regle!$B$11,0,IF(AQ$1=$AK$1,IF($O179,-1,regle!$B$2-$M179),IF(AP179=-1,-1,AP179+1))))</f>
        <v>15</v>
      </c>
      <c r="AR179" s="16">
        <f>IF(OR(X179=regle!$J$11,X179=regle!$K$11),-2,IF(X179=regle!$B$11,0,IF(AR$1=$AK$1,IF($O179,-1,regle!$B$2-$M179),IF(AQ179=-1,-1,AQ179+1))))</f>
        <v>16</v>
      </c>
      <c r="AS179" s="16">
        <f>IF(OR(Y179=regle!$J$11,Y179=regle!$K$11),-2,IF(Y179=regle!$B$11,0,IF(AS$1=$AK$1,IF($O179,-1,regle!$B$2-$M179),IF(AR179=-1,-1,AR179+1))))</f>
        <v>17</v>
      </c>
      <c r="AT179" s="16">
        <f>IF(OR(Z179=regle!$J$11,Z179=regle!$K$11),-2,IF(Z179=regle!$B$11,0,IF(AT$1=$AK$1,IF($O179,-1,regle!$B$2-$M179),IF(AS179=-1,-1,AS179+1))))</f>
        <v>18</v>
      </c>
    </row>
    <row r="180" spans="1:46" x14ac:dyDescent="0.25">
      <c r="A180" t="b">
        <f>modif0!A182</f>
        <v>1</v>
      </c>
      <c r="B180">
        <f>ROW(modif0!B182)</f>
        <v>182</v>
      </c>
      <c r="C180" t="str">
        <f>modif0!D182</f>
        <v>202</v>
      </c>
      <c r="D180" t="str">
        <f>modif0!E182</f>
        <v>HOSTENS</v>
      </c>
      <c r="E180">
        <f>modif0!F182</f>
        <v>8</v>
      </c>
      <c r="F180" t="str">
        <f>modif0!G182</f>
        <v>LES BECS</v>
      </c>
      <c r="G180" t="str">
        <f>modif0!I182</f>
        <v>0B</v>
      </c>
      <c r="H180">
        <f>modif0!J182</f>
        <v>1213</v>
      </c>
      <c r="I180" t="str">
        <f>modif0!K182</f>
        <v>j</v>
      </c>
      <c r="J180" s="11">
        <f>modif0!M182</f>
        <v>0.40200000000000002</v>
      </c>
      <c r="K180" s="11" t="str">
        <f>modif0!P182</f>
        <v>PLA</v>
      </c>
      <c r="L180" t="str">
        <f>modif0!N182</f>
        <v>PM</v>
      </c>
      <c r="M180">
        <f>modif0!Q182</f>
        <v>2015</v>
      </c>
      <c r="N180" t="str">
        <f>modif0!R182</f>
        <v>PLA-PM_2015</v>
      </c>
      <c r="O180" t="b">
        <f>modif0!S182</f>
        <v>0</v>
      </c>
      <c r="P180">
        <v>40</v>
      </c>
      <c r="T180" t="s">
        <v>1803</v>
      </c>
      <c r="Y180" t="s">
        <v>1804</v>
      </c>
      <c r="AA180" s="17">
        <f>IF($A180,$J180*(IF(Q180=regle!$B$11,regle!$B$23*IF(AJ180=-2,1+regle!$B$35,1),
IF(Q180=regle!$C$11,regle!$C$23,
IF(Q180=regle!$D$11,regle!$D$23,
IF(Q180=regle!$E$11,regle!$E$23,
IF(Q180=regle!$F$11,regle!$F$23,
IF(Q180=regle!$G$11,regle!$G$23,
IF(Q180=regle!$H$11,regle!$H$23,
IF(Q180=regle!$I$11,regle!$I$23,
IF(Q180=regle!$J$11,regle!$J$23,
IF(Q180=regle!$K$11,regle!$K$23,0))))))))))))</f>
        <v>0</v>
      </c>
      <c r="AB180" s="17">
        <f>IF($A180,$J180*(IF(R180=regle!$B$11,regle!$B$23*IF(AK180=-2,1+regle!$B$35,1),
IF(R180=regle!$C$11,regle!$C$23,
IF(R180=regle!$D$11,regle!$D$23,
IF(R180=regle!$E$11,regle!$E$23,
IF(R180=regle!$F$11,regle!$F$23,
IF(R180=regle!$G$11,regle!$G$23,
IF(R180=regle!$H$11,regle!$H$23,
IF(R180=regle!$I$11,regle!$I$23,
IF(R180=regle!$J$11,regle!$J$23,
IF(R180=regle!$K$11,regle!$K$23,0))))))))))))</f>
        <v>0</v>
      </c>
      <c r="AC180" s="17">
        <f>IF($A180,$J180*(IF(S180=regle!$B$11,regle!$B$23*IF(AL180=-2,1+regle!$B$35,1),
IF(S180=regle!$C$11,regle!$C$23,
IF(S180=regle!$D$11,regle!$D$23,
IF(S180=regle!$E$11,regle!$E$23,
IF(S180=regle!$F$11,regle!$F$23,
IF(S180=regle!$G$11,regle!$G$23,
IF(S180=regle!$H$11,regle!$H$23,
IF(S180=regle!$I$11,regle!$I$23,
IF(S180=regle!$J$11,regle!$J$23,
IF(S180=regle!$K$11,regle!$K$23,0))))))))))))</f>
        <v>0</v>
      </c>
      <c r="AD180" s="17">
        <f>IF($A180,$J180*(IF(T180=regle!$B$11,regle!$B$23*IF(AM180=-2,1+regle!$B$35,1),
IF(T180=regle!$C$11,regle!$C$23,
IF(T180=regle!$D$11,regle!$D$23,
IF(T180=regle!$E$11,regle!$E$23,
IF(T180=regle!$F$11,regle!$F$23,
IF(T180=regle!$G$11,regle!$G$23,
IF(T180=regle!$H$11,regle!$H$23,
IF(T180=regle!$I$11,regle!$I$23,
IF(T180=regle!$J$11,regle!$J$23,
IF(T180=regle!$K$11,regle!$K$23,0))))))))))))</f>
        <v>231.55200000000002</v>
      </c>
      <c r="AE180" s="17">
        <f>IF($A180,$J180*(IF(U180=regle!$B$11,regle!$B$23*IF(AN180=-2,1+regle!$B$35,1),
IF(U180=regle!$C$11,regle!$C$23,
IF(U180=regle!$D$11,regle!$D$23,
IF(U180=regle!$E$11,regle!$E$23,
IF(U180=regle!$F$11,regle!$F$23,
IF(U180=regle!$G$11,regle!$G$23,
IF(U180=regle!$H$11,regle!$H$23,
IF(U180=regle!$I$11,regle!$I$23,
IF(U180=regle!$J$11,regle!$J$23,
IF(U180=regle!$K$11,regle!$K$23,0))))))))))))</f>
        <v>0</v>
      </c>
      <c r="AF180" s="17">
        <f>IF($A180,$J180*(IF(V180=regle!$B$11,regle!$B$23*IF(AO180=-2,1+regle!$B$35,1),
IF(V180=regle!$C$11,regle!$C$23,
IF(V180=regle!$D$11,regle!$D$23,
IF(V180=regle!$E$11,regle!$E$23,
IF(V180=regle!$F$11,regle!$F$23,
IF(V180=regle!$G$11,regle!$G$23,
IF(V180=regle!$H$11,regle!$H$23,
IF(V180=regle!$I$11,regle!$I$23,
IF(V180=regle!$J$11,regle!$J$23,
IF(V180=regle!$K$11,regle!$K$23,0))))))))))))</f>
        <v>0</v>
      </c>
      <c r="AG180" s="17">
        <f>IF($A180,$J180*(IF(W180=regle!$B$11,regle!$B$23*IF(AP180=-2,1+regle!$B$35,1),
IF(W180=regle!$C$11,regle!$C$23,
IF(W180=regle!$D$11,regle!$D$23,
IF(W180=regle!$E$11,regle!$E$23,
IF(W180=regle!$F$11,regle!$F$23,
IF(W180=regle!$G$11,regle!$G$23,
IF(W180=regle!$H$11,regle!$H$23,
IF(W180=regle!$I$11,regle!$I$23,
IF(W180=regle!$J$11,regle!$J$23,
IF(W180=regle!$K$11,regle!$K$23,0))))))))))))</f>
        <v>0</v>
      </c>
      <c r="AH180" s="17">
        <f>IF($A180,$J180*(IF(X180=regle!$B$11,regle!$B$23*IF(AQ180=-2,1+regle!$B$35,1),
IF(X180=regle!$C$11,regle!$C$23,
IF(X180=regle!$D$11,regle!$D$23,
IF(X180=regle!$E$11,regle!$E$23,
IF(X180=regle!$F$11,regle!$F$23,
IF(X180=regle!$G$11,regle!$G$23,
IF(X180=regle!$H$11,regle!$H$23,
IF(X180=regle!$I$11,regle!$I$23,
IF(X180=regle!$J$11,regle!$J$23,
IF(X180=regle!$K$11,regle!$K$23,0))))))))))))</f>
        <v>0</v>
      </c>
      <c r="AI180" s="17">
        <f>IF($A180,$J180*(IF(Y180=regle!$B$11,regle!$B$23*IF(AR180=-2,1+regle!$B$35,1),
IF(Y180=regle!$C$11,regle!$C$23,
IF(Y180=regle!$D$11,regle!$D$23,
IF(Y180=regle!$E$11,regle!$E$23,
IF(Y180=regle!$F$11,regle!$F$23,
IF(Y180=regle!$G$11,regle!$G$23,
IF(Y180=regle!$H$11,regle!$H$23,
IF(Y180=regle!$I$11,regle!$I$23,
IF(Y180=regle!$J$11,regle!$J$23,
IF(Y180=regle!$K$11,regle!$K$23,0))))))))))))</f>
        <v>337.68</v>
      </c>
      <c r="AJ180" s="17">
        <f>IF($A180,$J180*(IF(Z180=regle!$B$11,regle!$B$23*IF(AS180=-2,1+regle!$B$35,1),
IF(Z180=regle!$C$11,regle!$C$23,
IF(Z180=regle!$D$11,regle!$D$23,
IF(Z180=regle!$E$11,regle!$E$23,
IF(Z180=regle!$F$11,regle!$F$23,
IF(Z180=regle!$G$11,regle!$G$23,
IF(Z180=regle!$H$11,regle!$H$23,
IF(Z180=regle!$I$11,regle!$I$23,
IF(Z180=regle!$J$11,regle!$J$23,
IF(Z180=regle!$K$11,regle!$K$23,0))))))))))))</f>
        <v>0</v>
      </c>
      <c r="AK180" s="16">
        <f>IF(OR(Q180=regle!$J$11,Q180=regle!$K$11),-2,IF(Q180=regle!$B$11,0,IF(AK$1=$AK$1,IF($O180,-1,regle!$B$2-$M180),IF(AJ180=-1,-1,AJ180+1))))</f>
        <v>9</v>
      </c>
      <c r="AL180" s="16">
        <f>IF(OR(R180=regle!$J$11,R180=regle!$K$11),-2,IF(R180=regle!$B$11,0,IF(AL$1=$AK$1,IF($O180,-1,regle!$B$2-$M180),IF(AK180=-1,-1,AK180+1))))</f>
        <v>10</v>
      </c>
      <c r="AM180" s="16">
        <f>IF(OR(S180=regle!$J$11,S180=regle!$K$11),-2,IF(S180=regle!$B$11,0,IF(AM$1=$AK$1,IF($O180,-1,regle!$B$2-$M180),IF(AL180=-1,-1,AL180+1))))</f>
        <v>11</v>
      </c>
      <c r="AN180" s="16">
        <f>IF(OR(T180=regle!$J$11,T180=regle!$K$11),-2,IF(T180=regle!$B$11,0,IF(AN$1=$AK$1,IF($O180,-1,regle!$B$2-$M180),IF(AM180=-1,-1,AM180+1))))</f>
        <v>12</v>
      </c>
      <c r="AO180" s="16">
        <f>IF(OR(U180=regle!$J$11,U180=regle!$K$11),-2,IF(U180=regle!$B$11,0,IF(AO$1=$AK$1,IF($O180,-1,regle!$B$2-$M180),IF(AN180=-1,-1,AN180+1))))</f>
        <v>13</v>
      </c>
      <c r="AP180" s="16">
        <f>IF(OR(V180=regle!$J$11,V180=regle!$K$11),-2,IF(V180=regle!$B$11,0,IF(AP$1=$AK$1,IF($O180,-1,regle!$B$2-$M180),IF(AO180=-1,-1,AO180+1))))</f>
        <v>14</v>
      </c>
      <c r="AQ180" s="16">
        <f>IF(OR(W180=regle!$J$11,W180=regle!$K$11),-2,IF(W180=regle!$B$11,0,IF(AQ$1=$AK$1,IF($O180,-1,regle!$B$2-$M180),IF(AP180=-1,-1,AP180+1))))</f>
        <v>15</v>
      </c>
      <c r="AR180" s="16">
        <f>IF(OR(X180=regle!$J$11,X180=regle!$K$11),-2,IF(X180=regle!$B$11,0,IF(AR$1=$AK$1,IF($O180,-1,regle!$B$2-$M180),IF(AQ180=-1,-1,AQ180+1))))</f>
        <v>16</v>
      </c>
      <c r="AS180" s="16">
        <f>IF(OR(Y180=regle!$J$11,Y180=regle!$K$11),-2,IF(Y180=regle!$B$11,0,IF(AS$1=$AK$1,IF($O180,-1,regle!$B$2-$M180),IF(AR180=-1,-1,AR180+1))))</f>
        <v>17</v>
      </c>
      <c r="AT180" s="16">
        <f>IF(OR(Z180=regle!$J$11,Z180=regle!$K$11),-2,IF(Z180=regle!$B$11,0,IF(AT$1=$AK$1,IF($O180,-1,regle!$B$2-$M180),IF(AS180=-1,-1,AS180+1))))</f>
        <v>18</v>
      </c>
    </row>
    <row r="181" spans="1:46" x14ac:dyDescent="0.25">
      <c r="A181" t="b">
        <f>modif0!A91</f>
        <v>1</v>
      </c>
      <c r="B181">
        <f>ROW(modif0!B91)</f>
        <v>91</v>
      </c>
      <c r="C181" t="str">
        <f>modif0!D91</f>
        <v>536</v>
      </c>
      <c r="D181" t="str">
        <f>modif0!E91</f>
        <v>LE TUZAN</v>
      </c>
      <c r="E181">
        <f>modif0!F91</f>
        <v>21</v>
      </c>
      <c r="F181" t="str">
        <f>modif0!G91</f>
        <v>METAIRIES DE TABARTON</v>
      </c>
      <c r="G181" t="str">
        <f>modif0!I91</f>
        <v>0A</v>
      </c>
      <c r="H181">
        <f>modif0!J91</f>
        <v>847</v>
      </c>
      <c r="I181" t="str">
        <f>modif0!K91</f>
        <v>m</v>
      </c>
      <c r="J181" s="11">
        <f>modif0!M91</f>
        <v>0.3906</v>
      </c>
      <c r="K181" s="11" t="str">
        <f>modif0!P91</f>
        <v>PLA</v>
      </c>
      <c r="L181" t="str">
        <f>modif0!N91</f>
        <v>PM</v>
      </c>
      <c r="M181">
        <f>modif0!Q91</f>
        <v>2015</v>
      </c>
      <c r="N181" t="str">
        <f>modif0!R91</f>
        <v>PLA-PM_2015</v>
      </c>
      <c r="O181" t="b">
        <f>modif0!S91</f>
        <v>0</v>
      </c>
      <c r="P181">
        <v>40</v>
      </c>
      <c r="T181" t="s">
        <v>1803</v>
      </c>
      <c r="Y181" t="s">
        <v>1804</v>
      </c>
      <c r="AA181" s="17">
        <f>IF($A181,$J181*(IF(Q181=regle!$B$11,regle!$B$23*IF(AJ181=-2,1+regle!$B$35,1),
IF(Q181=regle!$C$11,regle!$C$23,
IF(Q181=regle!$D$11,regle!$D$23,
IF(Q181=regle!$E$11,regle!$E$23,
IF(Q181=regle!$F$11,regle!$F$23,
IF(Q181=regle!$G$11,regle!$G$23,
IF(Q181=regle!$H$11,regle!$H$23,
IF(Q181=regle!$I$11,regle!$I$23,
IF(Q181=regle!$J$11,regle!$J$23,
IF(Q181=regle!$K$11,regle!$K$23,0))))))))))))</f>
        <v>0</v>
      </c>
      <c r="AB181" s="17">
        <f>IF($A181,$J181*(IF(R181=regle!$B$11,regle!$B$23*IF(AK181=-2,1+regle!$B$35,1),
IF(R181=regle!$C$11,regle!$C$23,
IF(R181=regle!$D$11,regle!$D$23,
IF(R181=regle!$E$11,regle!$E$23,
IF(R181=regle!$F$11,regle!$F$23,
IF(R181=regle!$G$11,regle!$G$23,
IF(R181=regle!$H$11,regle!$H$23,
IF(R181=regle!$I$11,regle!$I$23,
IF(R181=regle!$J$11,regle!$J$23,
IF(R181=regle!$K$11,regle!$K$23,0))))))))))))</f>
        <v>0</v>
      </c>
      <c r="AC181" s="17">
        <f>IF($A181,$J181*(IF(S181=regle!$B$11,regle!$B$23*IF(AL181=-2,1+regle!$B$35,1),
IF(S181=regle!$C$11,regle!$C$23,
IF(S181=regle!$D$11,regle!$D$23,
IF(S181=regle!$E$11,regle!$E$23,
IF(S181=regle!$F$11,regle!$F$23,
IF(S181=regle!$G$11,regle!$G$23,
IF(S181=regle!$H$11,regle!$H$23,
IF(S181=regle!$I$11,regle!$I$23,
IF(S181=regle!$J$11,regle!$J$23,
IF(S181=regle!$K$11,regle!$K$23,0))))))))))))</f>
        <v>0</v>
      </c>
      <c r="AD181" s="17">
        <f>IF($A181,$J181*(IF(T181=regle!$B$11,regle!$B$23*IF(AM181=-2,1+regle!$B$35,1),
IF(T181=regle!$C$11,regle!$C$23,
IF(T181=regle!$D$11,regle!$D$23,
IF(T181=regle!$E$11,regle!$E$23,
IF(T181=regle!$F$11,regle!$F$23,
IF(T181=regle!$G$11,regle!$G$23,
IF(T181=regle!$H$11,regle!$H$23,
IF(T181=regle!$I$11,regle!$I$23,
IF(T181=regle!$J$11,regle!$J$23,
IF(T181=regle!$K$11,regle!$K$23,0))))))))))))</f>
        <v>224.98560000000001</v>
      </c>
      <c r="AE181" s="17">
        <f>IF($A181,$J181*(IF(U181=regle!$B$11,regle!$B$23*IF(AN181=-2,1+regle!$B$35,1),
IF(U181=regle!$C$11,regle!$C$23,
IF(U181=regle!$D$11,regle!$D$23,
IF(U181=regle!$E$11,regle!$E$23,
IF(U181=regle!$F$11,regle!$F$23,
IF(U181=regle!$G$11,regle!$G$23,
IF(U181=regle!$H$11,regle!$H$23,
IF(U181=regle!$I$11,regle!$I$23,
IF(U181=regle!$J$11,regle!$J$23,
IF(U181=regle!$K$11,regle!$K$23,0))))))))))))</f>
        <v>0</v>
      </c>
      <c r="AF181" s="17">
        <f>IF($A181,$J181*(IF(V181=regle!$B$11,regle!$B$23*IF(AO181=-2,1+regle!$B$35,1),
IF(V181=regle!$C$11,regle!$C$23,
IF(V181=regle!$D$11,regle!$D$23,
IF(V181=regle!$E$11,regle!$E$23,
IF(V181=regle!$F$11,regle!$F$23,
IF(V181=regle!$G$11,regle!$G$23,
IF(V181=regle!$H$11,regle!$H$23,
IF(V181=regle!$I$11,regle!$I$23,
IF(V181=regle!$J$11,regle!$J$23,
IF(V181=regle!$K$11,regle!$K$23,0))))))))))))</f>
        <v>0</v>
      </c>
      <c r="AG181" s="17">
        <f>IF($A181,$J181*(IF(W181=regle!$B$11,regle!$B$23*IF(AP181=-2,1+regle!$B$35,1),
IF(W181=regle!$C$11,regle!$C$23,
IF(W181=regle!$D$11,regle!$D$23,
IF(W181=regle!$E$11,regle!$E$23,
IF(W181=regle!$F$11,regle!$F$23,
IF(W181=regle!$G$11,regle!$G$23,
IF(W181=regle!$H$11,regle!$H$23,
IF(W181=regle!$I$11,regle!$I$23,
IF(W181=regle!$J$11,regle!$J$23,
IF(W181=regle!$K$11,regle!$K$23,0))))))))))))</f>
        <v>0</v>
      </c>
      <c r="AH181" s="17">
        <f>IF($A181,$J181*(IF(X181=regle!$B$11,regle!$B$23*IF(AQ181=-2,1+regle!$B$35,1),
IF(X181=regle!$C$11,regle!$C$23,
IF(X181=regle!$D$11,regle!$D$23,
IF(X181=regle!$E$11,regle!$E$23,
IF(X181=regle!$F$11,regle!$F$23,
IF(X181=regle!$G$11,regle!$G$23,
IF(X181=regle!$H$11,regle!$H$23,
IF(X181=regle!$I$11,regle!$I$23,
IF(X181=regle!$J$11,regle!$J$23,
IF(X181=regle!$K$11,regle!$K$23,0))))))))))))</f>
        <v>0</v>
      </c>
      <c r="AI181" s="17">
        <f>IF($A181,$J181*(IF(Y181=regle!$B$11,regle!$B$23*IF(AR181=-2,1+regle!$B$35,1),
IF(Y181=regle!$C$11,regle!$C$23,
IF(Y181=regle!$D$11,regle!$D$23,
IF(Y181=regle!$E$11,regle!$E$23,
IF(Y181=regle!$F$11,regle!$F$23,
IF(Y181=regle!$G$11,regle!$G$23,
IF(Y181=regle!$H$11,regle!$H$23,
IF(Y181=regle!$I$11,regle!$I$23,
IF(Y181=regle!$J$11,regle!$J$23,
IF(Y181=regle!$K$11,regle!$K$23,0))))))))))))</f>
        <v>328.10399999999998</v>
      </c>
      <c r="AJ181" s="17">
        <f>IF($A181,$J181*(IF(Z181=regle!$B$11,regle!$B$23*IF(AS181=-2,1+regle!$B$35,1),
IF(Z181=regle!$C$11,regle!$C$23,
IF(Z181=regle!$D$11,regle!$D$23,
IF(Z181=regle!$E$11,regle!$E$23,
IF(Z181=regle!$F$11,regle!$F$23,
IF(Z181=regle!$G$11,regle!$G$23,
IF(Z181=regle!$H$11,regle!$H$23,
IF(Z181=regle!$I$11,regle!$I$23,
IF(Z181=regle!$J$11,regle!$J$23,
IF(Z181=regle!$K$11,regle!$K$23,0))))))))))))</f>
        <v>0</v>
      </c>
      <c r="AK181" s="16">
        <f>IF(OR(Q181=regle!$J$11,Q181=regle!$K$11),-2,IF(Q181=regle!$B$11,0,IF(AK$1=$AK$1,IF($O181,-1,regle!$B$2-$M181),IF(AJ181=-1,-1,AJ181+1))))</f>
        <v>9</v>
      </c>
      <c r="AL181" s="16">
        <f>IF(OR(R181=regle!$J$11,R181=regle!$K$11),-2,IF(R181=regle!$B$11,0,IF(AL$1=$AK$1,IF($O181,-1,regle!$B$2-$M181),IF(AK181=-1,-1,AK181+1))))</f>
        <v>10</v>
      </c>
      <c r="AM181" s="16">
        <f>IF(OR(S181=regle!$J$11,S181=regle!$K$11),-2,IF(S181=regle!$B$11,0,IF(AM$1=$AK$1,IF($O181,-1,regle!$B$2-$M181),IF(AL181=-1,-1,AL181+1))))</f>
        <v>11</v>
      </c>
      <c r="AN181" s="16">
        <f>IF(OR(T181=regle!$J$11,T181=regle!$K$11),-2,IF(T181=regle!$B$11,0,IF(AN$1=$AK$1,IF($O181,-1,regle!$B$2-$M181),IF(AM181=-1,-1,AM181+1))))</f>
        <v>12</v>
      </c>
      <c r="AO181" s="16">
        <f>IF(OR(U181=regle!$J$11,U181=regle!$K$11),-2,IF(U181=regle!$B$11,0,IF(AO$1=$AK$1,IF($O181,-1,regle!$B$2-$M181),IF(AN181=-1,-1,AN181+1))))</f>
        <v>13</v>
      </c>
      <c r="AP181" s="16">
        <f>IF(OR(V181=regle!$J$11,V181=regle!$K$11),-2,IF(V181=regle!$B$11,0,IF(AP$1=$AK$1,IF($O181,-1,regle!$B$2-$M181),IF(AO181=-1,-1,AO181+1))))</f>
        <v>14</v>
      </c>
      <c r="AQ181" s="16">
        <f>IF(OR(W181=regle!$J$11,W181=regle!$K$11),-2,IF(W181=regle!$B$11,0,IF(AQ$1=$AK$1,IF($O181,-1,regle!$B$2-$M181),IF(AP181=-1,-1,AP181+1))))</f>
        <v>15</v>
      </c>
      <c r="AR181" s="16">
        <f>IF(OR(X181=regle!$J$11,X181=regle!$K$11),-2,IF(X181=regle!$B$11,0,IF(AR$1=$AK$1,IF($O181,-1,regle!$B$2-$M181),IF(AQ181=-1,-1,AQ181+1))))</f>
        <v>16</v>
      </c>
      <c r="AS181" s="16">
        <f>IF(OR(Y181=regle!$J$11,Y181=regle!$K$11),-2,IF(Y181=regle!$B$11,0,IF(AS$1=$AK$1,IF($O181,-1,regle!$B$2-$M181),IF(AR181=-1,-1,AR181+1))))</f>
        <v>17</v>
      </c>
      <c r="AT181" s="16">
        <f>IF(OR(Z181=regle!$J$11,Z181=regle!$K$11),-2,IF(Z181=regle!$B$11,0,IF(AT$1=$AK$1,IF($O181,-1,regle!$B$2-$M181),IF(AS181=-1,-1,AS181+1))))</f>
        <v>18</v>
      </c>
    </row>
    <row r="182" spans="1:46" x14ac:dyDescent="0.25">
      <c r="A182" t="b">
        <f>modif0!A180</f>
        <v>1</v>
      </c>
      <c r="B182">
        <f>ROW(modif0!B180)</f>
        <v>180</v>
      </c>
      <c r="C182" t="str">
        <f>modif0!D180</f>
        <v>202</v>
      </c>
      <c r="D182" t="str">
        <f>modif0!E180</f>
        <v>HOSTENS</v>
      </c>
      <c r="E182">
        <f>modif0!F180</f>
        <v>8</v>
      </c>
      <c r="F182" t="str">
        <f>modif0!G180</f>
        <v>LES BECS</v>
      </c>
      <c r="G182" t="str">
        <f>modif0!I180</f>
        <v>0B</v>
      </c>
      <c r="H182">
        <f>modif0!J180</f>
        <v>1210</v>
      </c>
      <c r="I182" t="str">
        <f>modif0!K180</f>
        <v/>
      </c>
      <c r="J182" s="11">
        <f>modif0!M180</f>
        <v>0.36399999999999999</v>
      </c>
      <c r="K182" s="11" t="str">
        <f>modif0!P180</f>
        <v>PLA</v>
      </c>
      <c r="L182" t="str">
        <f>modif0!N180</f>
        <v>PM</v>
      </c>
      <c r="M182">
        <f>modif0!Q180</f>
        <v>2015</v>
      </c>
      <c r="N182" t="str">
        <f>modif0!R180</f>
        <v>PLA-PM_2015</v>
      </c>
      <c r="O182" t="b">
        <f>modif0!S180</f>
        <v>0</v>
      </c>
      <c r="P182">
        <v>40</v>
      </c>
      <c r="T182" t="s">
        <v>1803</v>
      </c>
      <c r="Y182" t="s">
        <v>1804</v>
      </c>
      <c r="AA182" s="17">
        <f>IF($A182,$J182*(IF(Q182=regle!$B$11,regle!$B$23*IF(AJ182=-2,1+regle!$B$35,1),
IF(Q182=regle!$C$11,regle!$C$23,
IF(Q182=regle!$D$11,regle!$D$23,
IF(Q182=regle!$E$11,regle!$E$23,
IF(Q182=regle!$F$11,regle!$F$23,
IF(Q182=regle!$G$11,regle!$G$23,
IF(Q182=regle!$H$11,regle!$H$23,
IF(Q182=regle!$I$11,regle!$I$23,
IF(Q182=regle!$J$11,regle!$J$23,
IF(Q182=regle!$K$11,regle!$K$23,0))))))))))))</f>
        <v>0</v>
      </c>
      <c r="AB182" s="17">
        <f>IF($A182,$J182*(IF(R182=regle!$B$11,regle!$B$23*IF(AK182=-2,1+regle!$B$35,1),
IF(R182=regle!$C$11,regle!$C$23,
IF(R182=regle!$D$11,regle!$D$23,
IF(R182=regle!$E$11,regle!$E$23,
IF(R182=regle!$F$11,regle!$F$23,
IF(R182=regle!$G$11,regle!$G$23,
IF(R182=regle!$H$11,regle!$H$23,
IF(R182=regle!$I$11,regle!$I$23,
IF(R182=regle!$J$11,regle!$J$23,
IF(R182=regle!$K$11,regle!$K$23,0))))))))))))</f>
        <v>0</v>
      </c>
      <c r="AC182" s="17">
        <f>IF($A182,$J182*(IF(S182=regle!$B$11,regle!$B$23*IF(AL182=-2,1+regle!$B$35,1),
IF(S182=regle!$C$11,regle!$C$23,
IF(S182=regle!$D$11,regle!$D$23,
IF(S182=regle!$E$11,regle!$E$23,
IF(S182=regle!$F$11,regle!$F$23,
IF(S182=regle!$G$11,regle!$G$23,
IF(S182=regle!$H$11,regle!$H$23,
IF(S182=regle!$I$11,regle!$I$23,
IF(S182=regle!$J$11,regle!$J$23,
IF(S182=regle!$K$11,regle!$K$23,0))))))))))))</f>
        <v>0</v>
      </c>
      <c r="AD182" s="17">
        <f>IF($A182,$J182*(IF(T182=regle!$B$11,regle!$B$23*IF(AM182=-2,1+regle!$B$35,1),
IF(T182=regle!$C$11,regle!$C$23,
IF(T182=regle!$D$11,regle!$D$23,
IF(T182=regle!$E$11,regle!$E$23,
IF(T182=regle!$F$11,regle!$F$23,
IF(T182=regle!$G$11,regle!$G$23,
IF(T182=regle!$H$11,regle!$H$23,
IF(T182=regle!$I$11,regle!$I$23,
IF(T182=regle!$J$11,regle!$J$23,
IF(T182=regle!$K$11,regle!$K$23,0))))))))))))</f>
        <v>209.66399999999999</v>
      </c>
      <c r="AE182" s="17">
        <f>IF($A182,$J182*(IF(U182=regle!$B$11,regle!$B$23*IF(AN182=-2,1+regle!$B$35,1),
IF(U182=regle!$C$11,regle!$C$23,
IF(U182=regle!$D$11,regle!$D$23,
IF(U182=regle!$E$11,regle!$E$23,
IF(U182=regle!$F$11,regle!$F$23,
IF(U182=regle!$G$11,regle!$G$23,
IF(U182=regle!$H$11,regle!$H$23,
IF(U182=regle!$I$11,regle!$I$23,
IF(U182=regle!$J$11,regle!$J$23,
IF(U182=regle!$K$11,regle!$K$23,0))))))))))))</f>
        <v>0</v>
      </c>
      <c r="AF182" s="17">
        <f>IF($A182,$J182*(IF(V182=regle!$B$11,regle!$B$23*IF(AO182=-2,1+regle!$B$35,1),
IF(V182=regle!$C$11,regle!$C$23,
IF(V182=regle!$D$11,regle!$D$23,
IF(V182=regle!$E$11,regle!$E$23,
IF(V182=regle!$F$11,regle!$F$23,
IF(V182=regle!$G$11,regle!$G$23,
IF(V182=regle!$H$11,regle!$H$23,
IF(V182=regle!$I$11,regle!$I$23,
IF(V182=regle!$J$11,regle!$J$23,
IF(V182=regle!$K$11,regle!$K$23,0))))))))))))</f>
        <v>0</v>
      </c>
      <c r="AG182" s="17">
        <f>IF($A182,$J182*(IF(W182=regle!$B$11,regle!$B$23*IF(AP182=-2,1+regle!$B$35,1),
IF(W182=regle!$C$11,regle!$C$23,
IF(W182=regle!$D$11,regle!$D$23,
IF(W182=regle!$E$11,regle!$E$23,
IF(W182=regle!$F$11,regle!$F$23,
IF(W182=regle!$G$11,regle!$G$23,
IF(W182=regle!$H$11,regle!$H$23,
IF(W182=regle!$I$11,regle!$I$23,
IF(W182=regle!$J$11,regle!$J$23,
IF(W182=regle!$K$11,regle!$K$23,0))))))))))))</f>
        <v>0</v>
      </c>
      <c r="AH182" s="17">
        <f>IF($A182,$J182*(IF(X182=regle!$B$11,regle!$B$23*IF(AQ182=-2,1+regle!$B$35,1),
IF(X182=regle!$C$11,regle!$C$23,
IF(X182=regle!$D$11,regle!$D$23,
IF(X182=regle!$E$11,regle!$E$23,
IF(X182=regle!$F$11,regle!$F$23,
IF(X182=regle!$G$11,regle!$G$23,
IF(X182=regle!$H$11,regle!$H$23,
IF(X182=regle!$I$11,regle!$I$23,
IF(X182=regle!$J$11,regle!$J$23,
IF(X182=regle!$K$11,regle!$K$23,0))))))))))))</f>
        <v>0</v>
      </c>
      <c r="AI182" s="17">
        <f>IF($A182,$J182*(IF(Y182=regle!$B$11,regle!$B$23*IF(AR182=-2,1+regle!$B$35,1),
IF(Y182=regle!$C$11,regle!$C$23,
IF(Y182=regle!$D$11,regle!$D$23,
IF(Y182=regle!$E$11,regle!$E$23,
IF(Y182=regle!$F$11,regle!$F$23,
IF(Y182=regle!$G$11,regle!$G$23,
IF(Y182=regle!$H$11,regle!$H$23,
IF(Y182=regle!$I$11,regle!$I$23,
IF(Y182=regle!$J$11,regle!$J$23,
IF(Y182=regle!$K$11,regle!$K$23,0))))))))))))</f>
        <v>305.76</v>
      </c>
      <c r="AJ182" s="17">
        <f>IF($A182,$J182*(IF(Z182=regle!$B$11,regle!$B$23*IF(AS182=-2,1+regle!$B$35,1),
IF(Z182=regle!$C$11,regle!$C$23,
IF(Z182=regle!$D$11,regle!$D$23,
IF(Z182=regle!$E$11,regle!$E$23,
IF(Z182=regle!$F$11,regle!$F$23,
IF(Z182=regle!$G$11,regle!$G$23,
IF(Z182=regle!$H$11,regle!$H$23,
IF(Z182=regle!$I$11,regle!$I$23,
IF(Z182=regle!$J$11,regle!$J$23,
IF(Z182=regle!$K$11,regle!$K$23,0))))))))))))</f>
        <v>0</v>
      </c>
      <c r="AK182" s="16">
        <f>IF(OR(Q182=regle!$J$11,Q182=regle!$K$11),-2,IF(Q182=regle!$B$11,0,IF(AK$1=$AK$1,IF($O182,-1,regle!$B$2-$M182),IF(AJ182=-1,-1,AJ182+1))))</f>
        <v>9</v>
      </c>
      <c r="AL182" s="16">
        <f>IF(OR(R182=regle!$J$11,R182=regle!$K$11),-2,IF(R182=regle!$B$11,0,IF(AL$1=$AK$1,IF($O182,-1,regle!$B$2-$M182),IF(AK182=-1,-1,AK182+1))))</f>
        <v>10</v>
      </c>
      <c r="AM182" s="16">
        <f>IF(OR(S182=regle!$J$11,S182=regle!$K$11),-2,IF(S182=regle!$B$11,0,IF(AM$1=$AK$1,IF($O182,-1,regle!$B$2-$M182),IF(AL182=-1,-1,AL182+1))))</f>
        <v>11</v>
      </c>
      <c r="AN182" s="16">
        <f>IF(OR(T182=regle!$J$11,T182=regle!$K$11),-2,IF(T182=regle!$B$11,0,IF(AN$1=$AK$1,IF($O182,-1,regle!$B$2-$M182),IF(AM182=-1,-1,AM182+1))))</f>
        <v>12</v>
      </c>
      <c r="AO182" s="16">
        <f>IF(OR(U182=regle!$J$11,U182=regle!$K$11),-2,IF(U182=regle!$B$11,0,IF(AO$1=$AK$1,IF($O182,-1,regle!$B$2-$M182),IF(AN182=-1,-1,AN182+1))))</f>
        <v>13</v>
      </c>
      <c r="AP182" s="16">
        <f>IF(OR(V182=regle!$J$11,V182=regle!$K$11),-2,IF(V182=regle!$B$11,0,IF(AP$1=$AK$1,IF($O182,-1,regle!$B$2-$M182),IF(AO182=-1,-1,AO182+1))))</f>
        <v>14</v>
      </c>
      <c r="AQ182" s="16">
        <f>IF(OR(W182=regle!$J$11,W182=regle!$K$11),-2,IF(W182=regle!$B$11,0,IF(AQ$1=$AK$1,IF($O182,-1,regle!$B$2-$M182),IF(AP182=-1,-1,AP182+1))))</f>
        <v>15</v>
      </c>
      <c r="AR182" s="16">
        <f>IF(OR(X182=regle!$J$11,X182=regle!$K$11),-2,IF(X182=regle!$B$11,0,IF(AR$1=$AK$1,IF($O182,-1,regle!$B$2-$M182),IF(AQ182=-1,-1,AQ182+1))))</f>
        <v>16</v>
      </c>
      <c r="AS182" s="16">
        <f>IF(OR(Y182=regle!$J$11,Y182=regle!$K$11),-2,IF(Y182=regle!$B$11,0,IF(AS$1=$AK$1,IF($O182,-1,regle!$B$2-$M182),IF(AR182=-1,-1,AR182+1))))</f>
        <v>17</v>
      </c>
      <c r="AT182" s="16">
        <f>IF(OR(Z182=regle!$J$11,Z182=regle!$K$11),-2,IF(Z182=regle!$B$11,0,IF(AT$1=$AK$1,IF($O182,-1,regle!$B$2-$M182),IF(AS182=-1,-1,AS182+1))))</f>
        <v>18</v>
      </c>
    </row>
    <row r="183" spans="1:46" x14ac:dyDescent="0.25">
      <c r="A183" t="b">
        <f>modif0!A135</f>
        <v>1</v>
      </c>
      <c r="B183">
        <f>ROW(modif0!B135)</f>
        <v>135</v>
      </c>
      <c r="C183" t="str">
        <f>modif0!D135</f>
        <v>202</v>
      </c>
      <c r="D183" t="str">
        <f>modif0!E135</f>
        <v>HOSTENS</v>
      </c>
      <c r="E183">
        <f>modif0!F135</f>
        <v>11</v>
      </c>
      <c r="F183" t="str">
        <f>modif0!G135</f>
        <v>LES CAZALAS</v>
      </c>
      <c r="G183" t="str">
        <f>modif0!I135</f>
        <v>0B</v>
      </c>
      <c r="H183">
        <f>modif0!J135</f>
        <v>1159</v>
      </c>
      <c r="I183" t="str">
        <f>modif0!K135</f>
        <v/>
      </c>
      <c r="J183" s="11">
        <f>modif0!M135</f>
        <v>0.35</v>
      </c>
      <c r="K183" s="11" t="str">
        <f>modif0!P135</f>
        <v>PLA</v>
      </c>
      <c r="L183" t="str">
        <f>modif0!N135</f>
        <v>PM</v>
      </c>
      <c r="M183">
        <f>modif0!Q135</f>
        <v>2015</v>
      </c>
      <c r="N183" t="str">
        <f>modif0!R135</f>
        <v>PLA-PM_2015</v>
      </c>
      <c r="O183" t="b">
        <f>modif0!S135</f>
        <v>0</v>
      </c>
      <c r="P183">
        <v>40</v>
      </c>
      <c r="T183" t="s">
        <v>1803</v>
      </c>
      <c r="Y183" t="s">
        <v>1804</v>
      </c>
      <c r="AA183" s="17">
        <f>IF($A183,$J183*(IF(Q183=regle!$B$11,regle!$B$23*IF(AJ183=-2,1+regle!$B$35,1),
IF(Q183=regle!$C$11,regle!$C$23,
IF(Q183=regle!$D$11,regle!$D$23,
IF(Q183=regle!$E$11,regle!$E$23,
IF(Q183=regle!$F$11,regle!$F$23,
IF(Q183=regle!$G$11,regle!$G$23,
IF(Q183=regle!$H$11,regle!$H$23,
IF(Q183=regle!$I$11,regle!$I$23,
IF(Q183=regle!$J$11,regle!$J$23,
IF(Q183=regle!$K$11,regle!$K$23,0))))))))))))</f>
        <v>0</v>
      </c>
      <c r="AB183" s="17">
        <f>IF($A183,$J183*(IF(R183=regle!$B$11,regle!$B$23*IF(AK183=-2,1+regle!$B$35,1),
IF(R183=regle!$C$11,regle!$C$23,
IF(R183=regle!$D$11,regle!$D$23,
IF(R183=regle!$E$11,regle!$E$23,
IF(R183=regle!$F$11,regle!$F$23,
IF(R183=regle!$G$11,regle!$G$23,
IF(R183=regle!$H$11,regle!$H$23,
IF(R183=regle!$I$11,regle!$I$23,
IF(R183=regle!$J$11,regle!$J$23,
IF(R183=regle!$K$11,regle!$K$23,0))))))))))))</f>
        <v>0</v>
      </c>
      <c r="AC183" s="17">
        <f>IF($A183,$J183*(IF(S183=regle!$B$11,regle!$B$23*IF(AL183=-2,1+regle!$B$35,1),
IF(S183=regle!$C$11,regle!$C$23,
IF(S183=regle!$D$11,regle!$D$23,
IF(S183=regle!$E$11,regle!$E$23,
IF(S183=regle!$F$11,regle!$F$23,
IF(S183=regle!$G$11,regle!$G$23,
IF(S183=regle!$H$11,regle!$H$23,
IF(S183=regle!$I$11,regle!$I$23,
IF(S183=regle!$J$11,regle!$J$23,
IF(S183=regle!$K$11,regle!$K$23,0))))))))))))</f>
        <v>0</v>
      </c>
      <c r="AD183" s="17">
        <f>IF($A183,$J183*(IF(T183=regle!$B$11,regle!$B$23*IF(AM183=-2,1+regle!$B$35,1),
IF(T183=regle!$C$11,regle!$C$23,
IF(T183=regle!$D$11,regle!$D$23,
IF(T183=regle!$E$11,regle!$E$23,
IF(T183=regle!$F$11,regle!$F$23,
IF(T183=regle!$G$11,regle!$G$23,
IF(T183=regle!$H$11,regle!$H$23,
IF(T183=regle!$I$11,regle!$I$23,
IF(T183=regle!$J$11,regle!$J$23,
IF(T183=regle!$K$11,regle!$K$23,0))))))))))))</f>
        <v>201.6</v>
      </c>
      <c r="AE183" s="17">
        <f>IF($A183,$J183*(IF(U183=regle!$B$11,regle!$B$23*IF(AN183=-2,1+regle!$B$35,1),
IF(U183=regle!$C$11,regle!$C$23,
IF(U183=regle!$D$11,regle!$D$23,
IF(U183=regle!$E$11,regle!$E$23,
IF(U183=regle!$F$11,regle!$F$23,
IF(U183=regle!$G$11,regle!$G$23,
IF(U183=regle!$H$11,regle!$H$23,
IF(U183=regle!$I$11,regle!$I$23,
IF(U183=regle!$J$11,regle!$J$23,
IF(U183=regle!$K$11,regle!$K$23,0))))))))))))</f>
        <v>0</v>
      </c>
      <c r="AF183" s="17">
        <f>IF($A183,$J183*(IF(V183=regle!$B$11,regle!$B$23*IF(AO183=-2,1+regle!$B$35,1),
IF(V183=regle!$C$11,regle!$C$23,
IF(V183=regle!$D$11,regle!$D$23,
IF(V183=regle!$E$11,regle!$E$23,
IF(V183=regle!$F$11,regle!$F$23,
IF(V183=regle!$G$11,regle!$G$23,
IF(V183=regle!$H$11,regle!$H$23,
IF(V183=regle!$I$11,regle!$I$23,
IF(V183=regle!$J$11,regle!$J$23,
IF(V183=regle!$K$11,regle!$K$23,0))))))))))))</f>
        <v>0</v>
      </c>
      <c r="AG183" s="17">
        <f>IF($A183,$J183*(IF(W183=regle!$B$11,regle!$B$23*IF(AP183=-2,1+regle!$B$35,1),
IF(W183=regle!$C$11,regle!$C$23,
IF(W183=regle!$D$11,regle!$D$23,
IF(W183=regle!$E$11,regle!$E$23,
IF(W183=regle!$F$11,regle!$F$23,
IF(W183=regle!$G$11,regle!$G$23,
IF(W183=regle!$H$11,regle!$H$23,
IF(W183=regle!$I$11,regle!$I$23,
IF(W183=regle!$J$11,regle!$J$23,
IF(W183=regle!$K$11,regle!$K$23,0))))))))))))</f>
        <v>0</v>
      </c>
      <c r="AH183" s="17">
        <f>IF($A183,$J183*(IF(X183=regle!$B$11,regle!$B$23*IF(AQ183=-2,1+regle!$B$35,1),
IF(X183=regle!$C$11,regle!$C$23,
IF(X183=regle!$D$11,regle!$D$23,
IF(X183=regle!$E$11,regle!$E$23,
IF(X183=regle!$F$11,regle!$F$23,
IF(X183=regle!$G$11,regle!$G$23,
IF(X183=regle!$H$11,regle!$H$23,
IF(X183=regle!$I$11,regle!$I$23,
IF(X183=regle!$J$11,regle!$J$23,
IF(X183=regle!$K$11,regle!$K$23,0))))))))))))</f>
        <v>0</v>
      </c>
      <c r="AI183" s="17">
        <f>IF($A183,$J183*(IF(Y183=regle!$B$11,regle!$B$23*IF(AR183=-2,1+regle!$B$35,1),
IF(Y183=regle!$C$11,regle!$C$23,
IF(Y183=regle!$D$11,regle!$D$23,
IF(Y183=regle!$E$11,regle!$E$23,
IF(Y183=regle!$F$11,regle!$F$23,
IF(Y183=regle!$G$11,regle!$G$23,
IF(Y183=regle!$H$11,regle!$H$23,
IF(Y183=regle!$I$11,regle!$I$23,
IF(Y183=regle!$J$11,regle!$J$23,
IF(Y183=regle!$K$11,regle!$K$23,0))))))))))))</f>
        <v>294</v>
      </c>
      <c r="AJ183" s="17">
        <f>IF($A183,$J183*(IF(Z183=regle!$B$11,regle!$B$23*IF(AS183=-2,1+regle!$B$35,1),
IF(Z183=regle!$C$11,regle!$C$23,
IF(Z183=regle!$D$11,regle!$D$23,
IF(Z183=regle!$E$11,regle!$E$23,
IF(Z183=regle!$F$11,regle!$F$23,
IF(Z183=regle!$G$11,regle!$G$23,
IF(Z183=regle!$H$11,regle!$H$23,
IF(Z183=regle!$I$11,regle!$I$23,
IF(Z183=regle!$J$11,regle!$J$23,
IF(Z183=regle!$K$11,regle!$K$23,0))))))))))))</f>
        <v>0</v>
      </c>
      <c r="AK183" s="16">
        <f>IF(OR(Q183=regle!$J$11,Q183=regle!$K$11),-2,IF(Q183=regle!$B$11,0,IF(AK$1=$AK$1,IF($O183,-1,regle!$B$2-$M183),IF(AJ183=-1,-1,AJ183+1))))</f>
        <v>9</v>
      </c>
      <c r="AL183" s="16">
        <f>IF(OR(R183=regle!$J$11,R183=regle!$K$11),-2,IF(R183=regle!$B$11,0,IF(AL$1=$AK$1,IF($O183,-1,regle!$B$2-$M183),IF(AK183=-1,-1,AK183+1))))</f>
        <v>10</v>
      </c>
      <c r="AM183" s="16">
        <f>IF(OR(S183=regle!$J$11,S183=regle!$K$11),-2,IF(S183=regle!$B$11,0,IF(AM$1=$AK$1,IF($O183,-1,regle!$B$2-$M183),IF(AL183=-1,-1,AL183+1))))</f>
        <v>11</v>
      </c>
      <c r="AN183" s="16">
        <f>IF(OR(T183=regle!$J$11,T183=regle!$K$11),-2,IF(T183=regle!$B$11,0,IF(AN$1=$AK$1,IF($O183,-1,regle!$B$2-$M183),IF(AM183=-1,-1,AM183+1))))</f>
        <v>12</v>
      </c>
      <c r="AO183" s="16">
        <f>IF(OR(U183=regle!$J$11,U183=regle!$K$11),-2,IF(U183=regle!$B$11,0,IF(AO$1=$AK$1,IF($O183,-1,regle!$B$2-$M183),IF(AN183=-1,-1,AN183+1))))</f>
        <v>13</v>
      </c>
      <c r="AP183" s="16">
        <f>IF(OR(V183=regle!$J$11,V183=regle!$K$11),-2,IF(V183=regle!$B$11,0,IF(AP$1=$AK$1,IF($O183,-1,regle!$B$2-$M183),IF(AO183=-1,-1,AO183+1))))</f>
        <v>14</v>
      </c>
      <c r="AQ183" s="16">
        <f>IF(OR(W183=regle!$J$11,W183=regle!$K$11),-2,IF(W183=regle!$B$11,0,IF(AQ$1=$AK$1,IF($O183,-1,regle!$B$2-$M183),IF(AP183=-1,-1,AP183+1))))</f>
        <v>15</v>
      </c>
      <c r="AR183" s="16">
        <f>IF(OR(X183=regle!$J$11,X183=regle!$K$11),-2,IF(X183=regle!$B$11,0,IF(AR$1=$AK$1,IF($O183,-1,regle!$B$2-$M183),IF(AQ183=-1,-1,AQ183+1))))</f>
        <v>16</v>
      </c>
      <c r="AS183" s="16">
        <f>IF(OR(Y183=regle!$J$11,Y183=regle!$K$11),-2,IF(Y183=regle!$B$11,0,IF(AS$1=$AK$1,IF($O183,-1,regle!$B$2-$M183),IF(AR183=-1,-1,AR183+1))))</f>
        <v>17</v>
      </c>
      <c r="AT183" s="16">
        <f>IF(OR(Z183=regle!$J$11,Z183=regle!$K$11),-2,IF(Z183=regle!$B$11,0,IF(AT$1=$AK$1,IF($O183,-1,regle!$B$2-$M183),IF(AS183=-1,-1,AS183+1))))</f>
        <v>18</v>
      </c>
    </row>
    <row r="184" spans="1:46" x14ac:dyDescent="0.25">
      <c r="A184" t="b">
        <f>modif0!A230</f>
        <v>1</v>
      </c>
      <c r="B184">
        <f>ROW(modif0!B230)</f>
        <v>230</v>
      </c>
      <c r="C184" t="str">
        <f>modif0!D230</f>
        <v>202</v>
      </c>
      <c r="D184" t="str">
        <f>modif0!E230</f>
        <v>HOSTENS</v>
      </c>
      <c r="E184">
        <f>modif0!F230</f>
        <v>11</v>
      </c>
      <c r="F184" t="str">
        <f>modif0!G230</f>
        <v>LES CAZALAS</v>
      </c>
      <c r="G184" t="str">
        <f>modif0!I230</f>
        <v>0B</v>
      </c>
      <c r="H184">
        <f>modif0!J230</f>
        <v>1576</v>
      </c>
      <c r="I184" t="str">
        <f>modif0!K230</f>
        <v/>
      </c>
      <c r="J184" s="11">
        <f>modif0!M230</f>
        <v>0.31879999999999997</v>
      </c>
      <c r="K184" s="11" t="str">
        <f>modif0!P230</f>
        <v>PLA</v>
      </c>
      <c r="L184" t="str">
        <f>modif0!N230</f>
        <v>PM</v>
      </c>
      <c r="M184">
        <f>modif0!Q230</f>
        <v>2015</v>
      </c>
      <c r="N184" t="str">
        <f>modif0!R230</f>
        <v>PLA-PM_2015</v>
      </c>
      <c r="O184" t="b">
        <f>modif0!S230</f>
        <v>0</v>
      </c>
      <c r="P184">
        <v>40</v>
      </c>
      <c r="T184" t="s">
        <v>1803</v>
      </c>
      <c r="Y184" t="s">
        <v>1804</v>
      </c>
      <c r="AA184" s="17">
        <f>IF($A184,$J184*(IF(Q184=regle!$B$11,regle!$B$23*IF(AJ184=-2,1+regle!$B$35,1),
IF(Q184=regle!$C$11,regle!$C$23,
IF(Q184=regle!$D$11,regle!$D$23,
IF(Q184=regle!$E$11,regle!$E$23,
IF(Q184=regle!$F$11,regle!$F$23,
IF(Q184=regle!$G$11,regle!$G$23,
IF(Q184=regle!$H$11,regle!$H$23,
IF(Q184=regle!$I$11,regle!$I$23,
IF(Q184=regle!$J$11,regle!$J$23,
IF(Q184=regle!$K$11,regle!$K$23,0))))))))))))</f>
        <v>0</v>
      </c>
      <c r="AB184" s="17">
        <f>IF($A184,$J184*(IF(R184=regle!$B$11,regle!$B$23*IF(AK184=-2,1+regle!$B$35,1),
IF(R184=regle!$C$11,regle!$C$23,
IF(R184=regle!$D$11,regle!$D$23,
IF(R184=regle!$E$11,regle!$E$23,
IF(R184=regle!$F$11,regle!$F$23,
IF(R184=regle!$G$11,regle!$G$23,
IF(R184=regle!$H$11,regle!$H$23,
IF(R184=regle!$I$11,regle!$I$23,
IF(R184=regle!$J$11,regle!$J$23,
IF(R184=regle!$K$11,regle!$K$23,0))))))))))))</f>
        <v>0</v>
      </c>
      <c r="AC184" s="17">
        <f>IF($A184,$J184*(IF(S184=regle!$B$11,regle!$B$23*IF(AL184=-2,1+regle!$B$35,1),
IF(S184=regle!$C$11,regle!$C$23,
IF(S184=regle!$D$11,regle!$D$23,
IF(S184=regle!$E$11,regle!$E$23,
IF(S184=regle!$F$11,regle!$F$23,
IF(S184=regle!$G$11,regle!$G$23,
IF(S184=regle!$H$11,regle!$H$23,
IF(S184=regle!$I$11,regle!$I$23,
IF(S184=regle!$J$11,regle!$J$23,
IF(S184=regle!$K$11,regle!$K$23,0))))))))))))</f>
        <v>0</v>
      </c>
      <c r="AD184" s="17">
        <f>IF($A184,$J184*(IF(T184=regle!$B$11,regle!$B$23*IF(AM184=-2,1+regle!$B$35,1),
IF(T184=regle!$C$11,regle!$C$23,
IF(T184=regle!$D$11,regle!$D$23,
IF(T184=regle!$E$11,regle!$E$23,
IF(T184=regle!$F$11,regle!$F$23,
IF(T184=regle!$G$11,regle!$G$23,
IF(T184=regle!$H$11,regle!$H$23,
IF(T184=regle!$I$11,regle!$I$23,
IF(T184=regle!$J$11,regle!$J$23,
IF(T184=regle!$K$11,regle!$K$23,0))))))))))))</f>
        <v>183.62879999999998</v>
      </c>
      <c r="AE184" s="17">
        <f>IF($A184,$J184*(IF(U184=regle!$B$11,regle!$B$23*IF(AN184=-2,1+regle!$B$35,1),
IF(U184=regle!$C$11,regle!$C$23,
IF(U184=regle!$D$11,regle!$D$23,
IF(U184=regle!$E$11,regle!$E$23,
IF(U184=regle!$F$11,regle!$F$23,
IF(U184=regle!$G$11,regle!$G$23,
IF(U184=regle!$H$11,regle!$H$23,
IF(U184=regle!$I$11,regle!$I$23,
IF(U184=regle!$J$11,regle!$J$23,
IF(U184=regle!$K$11,regle!$K$23,0))))))))))))</f>
        <v>0</v>
      </c>
      <c r="AF184" s="17">
        <f>IF($A184,$J184*(IF(V184=regle!$B$11,regle!$B$23*IF(AO184=-2,1+regle!$B$35,1),
IF(V184=regle!$C$11,regle!$C$23,
IF(V184=regle!$D$11,regle!$D$23,
IF(V184=regle!$E$11,regle!$E$23,
IF(V184=regle!$F$11,regle!$F$23,
IF(V184=regle!$G$11,regle!$G$23,
IF(V184=regle!$H$11,regle!$H$23,
IF(V184=regle!$I$11,regle!$I$23,
IF(V184=regle!$J$11,regle!$J$23,
IF(V184=regle!$K$11,regle!$K$23,0))))))))))))</f>
        <v>0</v>
      </c>
      <c r="AG184" s="17">
        <f>IF($A184,$J184*(IF(W184=regle!$B$11,regle!$B$23*IF(AP184=-2,1+regle!$B$35,1),
IF(W184=regle!$C$11,regle!$C$23,
IF(W184=regle!$D$11,regle!$D$23,
IF(W184=regle!$E$11,regle!$E$23,
IF(W184=regle!$F$11,regle!$F$23,
IF(W184=regle!$G$11,regle!$G$23,
IF(W184=regle!$H$11,regle!$H$23,
IF(W184=regle!$I$11,regle!$I$23,
IF(W184=regle!$J$11,regle!$J$23,
IF(W184=regle!$K$11,regle!$K$23,0))))))))))))</f>
        <v>0</v>
      </c>
      <c r="AH184" s="17">
        <f>IF($A184,$J184*(IF(X184=regle!$B$11,regle!$B$23*IF(AQ184=-2,1+regle!$B$35,1),
IF(X184=regle!$C$11,regle!$C$23,
IF(X184=regle!$D$11,regle!$D$23,
IF(X184=regle!$E$11,regle!$E$23,
IF(X184=regle!$F$11,regle!$F$23,
IF(X184=regle!$G$11,regle!$G$23,
IF(X184=regle!$H$11,regle!$H$23,
IF(X184=regle!$I$11,regle!$I$23,
IF(X184=regle!$J$11,regle!$J$23,
IF(X184=regle!$K$11,regle!$K$23,0))))))))))))</f>
        <v>0</v>
      </c>
      <c r="AI184" s="17">
        <f>IF($A184,$J184*(IF(Y184=regle!$B$11,regle!$B$23*IF(AR184=-2,1+regle!$B$35,1),
IF(Y184=regle!$C$11,regle!$C$23,
IF(Y184=regle!$D$11,regle!$D$23,
IF(Y184=regle!$E$11,regle!$E$23,
IF(Y184=regle!$F$11,regle!$F$23,
IF(Y184=regle!$G$11,regle!$G$23,
IF(Y184=regle!$H$11,regle!$H$23,
IF(Y184=regle!$I$11,regle!$I$23,
IF(Y184=regle!$J$11,regle!$J$23,
IF(Y184=regle!$K$11,regle!$K$23,0))))))))))))</f>
        <v>267.79199999999997</v>
      </c>
      <c r="AJ184" s="17">
        <f>IF($A184,$J184*(IF(Z184=regle!$B$11,regle!$B$23*IF(AS184=-2,1+regle!$B$35,1),
IF(Z184=regle!$C$11,regle!$C$23,
IF(Z184=regle!$D$11,regle!$D$23,
IF(Z184=regle!$E$11,regle!$E$23,
IF(Z184=regle!$F$11,regle!$F$23,
IF(Z184=regle!$G$11,regle!$G$23,
IF(Z184=regle!$H$11,regle!$H$23,
IF(Z184=regle!$I$11,regle!$I$23,
IF(Z184=regle!$J$11,regle!$J$23,
IF(Z184=regle!$K$11,regle!$K$23,0))))))))))))</f>
        <v>0</v>
      </c>
      <c r="AK184" s="16">
        <f>IF(OR(Q184=regle!$J$11,Q184=regle!$K$11),-2,IF(Q184=regle!$B$11,0,IF(AK$1=$AK$1,IF($O184,-1,regle!$B$2-$M184),IF(AJ184=-1,-1,AJ184+1))))</f>
        <v>9</v>
      </c>
      <c r="AL184" s="16">
        <f>IF(OR(R184=regle!$J$11,R184=regle!$K$11),-2,IF(R184=regle!$B$11,0,IF(AL$1=$AK$1,IF($O184,-1,regle!$B$2-$M184),IF(AK184=-1,-1,AK184+1))))</f>
        <v>10</v>
      </c>
      <c r="AM184" s="16">
        <f>IF(OR(S184=regle!$J$11,S184=regle!$K$11),-2,IF(S184=regle!$B$11,0,IF(AM$1=$AK$1,IF($O184,-1,regle!$B$2-$M184),IF(AL184=-1,-1,AL184+1))))</f>
        <v>11</v>
      </c>
      <c r="AN184" s="16">
        <f>IF(OR(T184=regle!$J$11,T184=regle!$K$11),-2,IF(T184=regle!$B$11,0,IF(AN$1=$AK$1,IF($O184,-1,regle!$B$2-$M184),IF(AM184=-1,-1,AM184+1))))</f>
        <v>12</v>
      </c>
      <c r="AO184" s="16">
        <f>IF(OR(U184=regle!$J$11,U184=regle!$K$11),-2,IF(U184=regle!$B$11,0,IF(AO$1=$AK$1,IF($O184,-1,regle!$B$2-$M184),IF(AN184=-1,-1,AN184+1))))</f>
        <v>13</v>
      </c>
      <c r="AP184" s="16">
        <f>IF(OR(V184=regle!$J$11,V184=regle!$K$11),-2,IF(V184=regle!$B$11,0,IF(AP$1=$AK$1,IF($O184,-1,regle!$B$2-$M184),IF(AO184=-1,-1,AO184+1))))</f>
        <v>14</v>
      </c>
      <c r="AQ184" s="16">
        <f>IF(OR(W184=regle!$J$11,W184=regle!$K$11),-2,IF(W184=regle!$B$11,0,IF(AQ$1=$AK$1,IF($O184,-1,regle!$B$2-$M184),IF(AP184=-1,-1,AP184+1))))</f>
        <v>15</v>
      </c>
      <c r="AR184" s="16">
        <f>IF(OR(X184=regle!$J$11,X184=regle!$K$11),-2,IF(X184=regle!$B$11,0,IF(AR$1=$AK$1,IF($O184,-1,regle!$B$2-$M184),IF(AQ184=-1,-1,AQ184+1))))</f>
        <v>16</v>
      </c>
      <c r="AS184" s="16">
        <f>IF(OR(Y184=regle!$J$11,Y184=regle!$K$11),-2,IF(Y184=regle!$B$11,0,IF(AS$1=$AK$1,IF($O184,-1,regle!$B$2-$M184),IF(AR184=-1,-1,AR184+1))))</f>
        <v>17</v>
      </c>
      <c r="AT184" s="16">
        <f>IF(OR(Z184=regle!$J$11,Z184=regle!$K$11),-2,IF(Z184=regle!$B$11,0,IF(AT$1=$AK$1,IF($O184,-1,regle!$B$2-$M184),IF(AS184=-1,-1,AS184+1))))</f>
        <v>18</v>
      </c>
    </row>
    <row r="185" spans="1:46" x14ac:dyDescent="0.25">
      <c r="A185" t="b">
        <f>modif0!A184</f>
        <v>1</v>
      </c>
      <c r="B185">
        <f>ROW(modif0!B184)</f>
        <v>184</v>
      </c>
      <c r="C185" t="str">
        <f>modif0!D184</f>
        <v>202</v>
      </c>
      <c r="D185" t="str">
        <f>modif0!E184</f>
        <v>HOSTENS</v>
      </c>
      <c r="E185">
        <f>modif0!F184</f>
        <v>8</v>
      </c>
      <c r="F185" t="str">
        <f>modif0!G184</f>
        <v>LES BECS</v>
      </c>
      <c r="G185" t="str">
        <f>modif0!I184</f>
        <v>0B</v>
      </c>
      <c r="H185">
        <f>modif0!J184</f>
        <v>1213</v>
      </c>
      <c r="I185" t="str">
        <f>modif0!K184</f>
        <v>l</v>
      </c>
      <c r="J185" s="11">
        <f>modif0!M184</f>
        <v>0.2596</v>
      </c>
      <c r="K185" s="11" t="str">
        <f>modif0!P184</f>
        <v>PLA</v>
      </c>
      <c r="L185" t="str">
        <f>modif0!N184</f>
        <v>PM</v>
      </c>
      <c r="M185">
        <f>modif0!Q184</f>
        <v>2015</v>
      </c>
      <c r="N185" t="str">
        <f>modif0!R184</f>
        <v>PLA-PM_2015</v>
      </c>
      <c r="O185" t="b">
        <f>modif0!S184</f>
        <v>0</v>
      </c>
      <c r="P185">
        <v>40</v>
      </c>
      <c r="T185" t="s">
        <v>1803</v>
      </c>
      <c r="Y185" t="s">
        <v>1804</v>
      </c>
      <c r="AA185" s="17">
        <f>IF($A185,$J185*(IF(Q185=regle!$B$11,regle!$B$23*IF(AJ185=-2,1+regle!$B$35,1),
IF(Q185=regle!$C$11,regle!$C$23,
IF(Q185=regle!$D$11,regle!$D$23,
IF(Q185=regle!$E$11,regle!$E$23,
IF(Q185=regle!$F$11,regle!$F$23,
IF(Q185=regle!$G$11,regle!$G$23,
IF(Q185=regle!$H$11,regle!$H$23,
IF(Q185=regle!$I$11,regle!$I$23,
IF(Q185=regle!$J$11,regle!$J$23,
IF(Q185=regle!$K$11,regle!$K$23,0))))))))))))</f>
        <v>0</v>
      </c>
      <c r="AB185" s="17">
        <f>IF($A185,$J185*(IF(R185=regle!$B$11,regle!$B$23*IF(AK185=-2,1+regle!$B$35,1),
IF(R185=regle!$C$11,regle!$C$23,
IF(R185=regle!$D$11,regle!$D$23,
IF(R185=regle!$E$11,regle!$E$23,
IF(R185=regle!$F$11,regle!$F$23,
IF(R185=regle!$G$11,regle!$G$23,
IF(R185=regle!$H$11,regle!$H$23,
IF(R185=regle!$I$11,regle!$I$23,
IF(R185=regle!$J$11,regle!$J$23,
IF(R185=regle!$K$11,regle!$K$23,0))))))))))))</f>
        <v>0</v>
      </c>
      <c r="AC185" s="17">
        <f>IF($A185,$J185*(IF(S185=regle!$B$11,regle!$B$23*IF(AL185=-2,1+regle!$B$35,1),
IF(S185=regle!$C$11,regle!$C$23,
IF(S185=regle!$D$11,regle!$D$23,
IF(S185=regle!$E$11,regle!$E$23,
IF(S185=regle!$F$11,regle!$F$23,
IF(S185=regle!$G$11,regle!$G$23,
IF(S185=regle!$H$11,regle!$H$23,
IF(S185=regle!$I$11,regle!$I$23,
IF(S185=regle!$J$11,regle!$J$23,
IF(S185=regle!$K$11,regle!$K$23,0))))))))))))</f>
        <v>0</v>
      </c>
      <c r="AD185" s="17">
        <f>IF($A185,$J185*(IF(T185=regle!$B$11,regle!$B$23*IF(AM185=-2,1+regle!$B$35,1),
IF(T185=regle!$C$11,regle!$C$23,
IF(T185=regle!$D$11,regle!$D$23,
IF(T185=regle!$E$11,regle!$E$23,
IF(T185=regle!$F$11,regle!$F$23,
IF(T185=regle!$G$11,regle!$G$23,
IF(T185=regle!$H$11,regle!$H$23,
IF(T185=regle!$I$11,regle!$I$23,
IF(T185=regle!$J$11,regle!$J$23,
IF(T185=regle!$K$11,regle!$K$23,0))))))))))))</f>
        <v>149.52959999999999</v>
      </c>
      <c r="AE185" s="17">
        <f>IF($A185,$J185*(IF(U185=regle!$B$11,regle!$B$23*IF(AN185=-2,1+regle!$B$35,1),
IF(U185=regle!$C$11,regle!$C$23,
IF(U185=regle!$D$11,regle!$D$23,
IF(U185=regle!$E$11,regle!$E$23,
IF(U185=regle!$F$11,regle!$F$23,
IF(U185=regle!$G$11,regle!$G$23,
IF(U185=regle!$H$11,regle!$H$23,
IF(U185=regle!$I$11,regle!$I$23,
IF(U185=regle!$J$11,regle!$J$23,
IF(U185=regle!$K$11,regle!$K$23,0))))))))))))</f>
        <v>0</v>
      </c>
      <c r="AF185" s="17">
        <f>IF($A185,$J185*(IF(V185=regle!$B$11,regle!$B$23*IF(AO185=-2,1+regle!$B$35,1),
IF(V185=regle!$C$11,regle!$C$23,
IF(V185=regle!$D$11,regle!$D$23,
IF(V185=regle!$E$11,regle!$E$23,
IF(V185=regle!$F$11,regle!$F$23,
IF(V185=regle!$G$11,regle!$G$23,
IF(V185=regle!$H$11,regle!$H$23,
IF(V185=regle!$I$11,regle!$I$23,
IF(V185=regle!$J$11,regle!$J$23,
IF(V185=regle!$K$11,regle!$K$23,0))))))))))))</f>
        <v>0</v>
      </c>
      <c r="AG185" s="17">
        <f>IF($A185,$J185*(IF(W185=regle!$B$11,regle!$B$23*IF(AP185=-2,1+regle!$B$35,1),
IF(W185=regle!$C$11,regle!$C$23,
IF(W185=regle!$D$11,regle!$D$23,
IF(W185=regle!$E$11,regle!$E$23,
IF(W185=regle!$F$11,regle!$F$23,
IF(W185=regle!$G$11,regle!$G$23,
IF(W185=regle!$H$11,regle!$H$23,
IF(W185=regle!$I$11,regle!$I$23,
IF(W185=regle!$J$11,regle!$J$23,
IF(W185=regle!$K$11,regle!$K$23,0))))))))))))</f>
        <v>0</v>
      </c>
      <c r="AH185" s="17">
        <f>IF($A185,$J185*(IF(X185=regle!$B$11,regle!$B$23*IF(AQ185=-2,1+regle!$B$35,1),
IF(X185=regle!$C$11,regle!$C$23,
IF(X185=regle!$D$11,regle!$D$23,
IF(X185=regle!$E$11,regle!$E$23,
IF(X185=regle!$F$11,regle!$F$23,
IF(X185=regle!$G$11,regle!$G$23,
IF(X185=regle!$H$11,regle!$H$23,
IF(X185=regle!$I$11,regle!$I$23,
IF(X185=regle!$J$11,regle!$J$23,
IF(X185=regle!$K$11,regle!$K$23,0))))))))))))</f>
        <v>0</v>
      </c>
      <c r="AI185" s="17">
        <f>IF($A185,$J185*(IF(Y185=regle!$B$11,regle!$B$23*IF(AR185=-2,1+regle!$B$35,1),
IF(Y185=regle!$C$11,regle!$C$23,
IF(Y185=regle!$D$11,regle!$D$23,
IF(Y185=regle!$E$11,regle!$E$23,
IF(Y185=regle!$F$11,regle!$F$23,
IF(Y185=regle!$G$11,regle!$G$23,
IF(Y185=regle!$H$11,regle!$H$23,
IF(Y185=regle!$I$11,regle!$I$23,
IF(Y185=regle!$J$11,regle!$J$23,
IF(Y185=regle!$K$11,regle!$K$23,0))))))))))))</f>
        <v>218.06399999999999</v>
      </c>
      <c r="AJ185" s="17">
        <f>IF($A185,$J185*(IF(Z185=regle!$B$11,regle!$B$23*IF(AS185=-2,1+regle!$B$35,1),
IF(Z185=regle!$C$11,regle!$C$23,
IF(Z185=regle!$D$11,regle!$D$23,
IF(Z185=regle!$E$11,regle!$E$23,
IF(Z185=regle!$F$11,regle!$F$23,
IF(Z185=regle!$G$11,regle!$G$23,
IF(Z185=regle!$H$11,regle!$H$23,
IF(Z185=regle!$I$11,regle!$I$23,
IF(Z185=regle!$J$11,regle!$J$23,
IF(Z185=regle!$K$11,regle!$K$23,0))))))))))))</f>
        <v>0</v>
      </c>
      <c r="AK185" s="16">
        <f>IF(OR(Q185=regle!$J$11,Q185=regle!$K$11),-2,IF(Q185=regle!$B$11,0,IF(AK$1=$AK$1,IF($O185,-1,regle!$B$2-$M185),IF(AJ185=-1,-1,AJ185+1))))</f>
        <v>9</v>
      </c>
      <c r="AL185" s="16">
        <f>IF(OR(R185=regle!$J$11,R185=regle!$K$11),-2,IF(R185=regle!$B$11,0,IF(AL$1=$AK$1,IF($O185,-1,regle!$B$2-$M185),IF(AK185=-1,-1,AK185+1))))</f>
        <v>10</v>
      </c>
      <c r="AM185" s="16">
        <f>IF(OR(S185=regle!$J$11,S185=regle!$K$11),-2,IF(S185=regle!$B$11,0,IF(AM$1=$AK$1,IF($O185,-1,regle!$B$2-$M185),IF(AL185=-1,-1,AL185+1))))</f>
        <v>11</v>
      </c>
      <c r="AN185" s="16">
        <f>IF(OR(T185=regle!$J$11,T185=regle!$K$11),-2,IF(T185=regle!$B$11,0,IF(AN$1=$AK$1,IF($O185,-1,regle!$B$2-$M185),IF(AM185=-1,-1,AM185+1))))</f>
        <v>12</v>
      </c>
      <c r="AO185" s="16">
        <f>IF(OR(U185=regle!$J$11,U185=regle!$K$11),-2,IF(U185=regle!$B$11,0,IF(AO$1=$AK$1,IF($O185,-1,regle!$B$2-$M185),IF(AN185=-1,-1,AN185+1))))</f>
        <v>13</v>
      </c>
      <c r="AP185" s="16">
        <f>IF(OR(V185=regle!$J$11,V185=regle!$K$11),-2,IF(V185=regle!$B$11,0,IF(AP$1=$AK$1,IF($O185,-1,regle!$B$2-$M185),IF(AO185=-1,-1,AO185+1))))</f>
        <v>14</v>
      </c>
      <c r="AQ185" s="16">
        <f>IF(OR(W185=regle!$J$11,W185=regle!$K$11),-2,IF(W185=regle!$B$11,0,IF(AQ$1=$AK$1,IF($O185,-1,regle!$B$2-$M185),IF(AP185=-1,-1,AP185+1))))</f>
        <v>15</v>
      </c>
      <c r="AR185" s="16">
        <f>IF(OR(X185=regle!$J$11,X185=regle!$K$11),-2,IF(X185=regle!$B$11,0,IF(AR$1=$AK$1,IF($O185,-1,regle!$B$2-$M185),IF(AQ185=-1,-1,AQ185+1))))</f>
        <v>16</v>
      </c>
      <c r="AS185" s="16">
        <f>IF(OR(Y185=regle!$J$11,Y185=regle!$K$11),-2,IF(Y185=regle!$B$11,0,IF(AS$1=$AK$1,IF($O185,-1,regle!$B$2-$M185),IF(AR185=-1,-1,AR185+1))))</f>
        <v>17</v>
      </c>
      <c r="AT185" s="16">
        <f>IF(OR(Z185=regle!$J$11,Z185=regle!$K$11),-2,IF(Z185=regle!$B$11,0,IF(AT$1=$AK$1,IF($O185,-1,regle!$B$2-$M185),IF(AS185=-1,-1,AS185+1))))</f>
        <v>18</v>
      </c>
    </row>
    <row r="186" spans="1:46" x14ac:dyDescent="0.25">
      <c r="A186" t="b">
        <f>modif0!A247</f>
        <v>1</v>
      </c>
      <c r="B186">
        <f>ROW(modif0!B247)</f>
        <v>247</v>
      </c>
      <c r="C186" t="str">
        <f>modif0!D247</f>
        <v>202</v>
      </c>
      <c r="D186" t="str">
        <f>modif0!E247</f>
        <v>HOSTENS</v>
      </c>
      <c r="E186">
        <f>modif0!F247</f>
        <v>8</v>
      </c>
      <c r="F186" t="str">
        <f>modif0!G247</f>
        <v>LES BECS</v>
      </c>
      <c r="G186" t="str">
        <f>modif0!I247</f>
        <v>0B</v>
      </c>
      <c r="H186">
        <f>modif0!J247</f>
        <v>2472</v>
      </c>
      <c r="I186" t="str">
        <f>modif0!K247</f>
        <v>o</v>
      </c>
      <c r="J186" s="11">
        <f>modif0!M247</f>
        <v>0.2477</v>
      </c>
      <c r="K186" s="11" t="str">
        <f>modif0!P247</f>
        <v>PLA</v>
      </c>
      <c r="L186" t="str">
        <f>modif0!N247</f>
        <v>PM</v>
      </c>
      <c r="M186">
        <f>modif0!Q247</f>
        <v>2015</v>
      </c>
      <c r="N186" t="str">
        <f>modif0!R247</f>
        <v>PLA-PM_2015</v>
      </c>
      <c r="O186" t="b">
        <f>modif0!S247</f>
        <v>0</v>
      </c>
      <c r="P186">
        <v>40</v>
      </c>
      <c r="T186" t="s">
        <v>1803</v>
      </c>
      <c r="Y186" t="s">
        <v>1804</v>
      </c>
      <c r="AA186" s="17">
        <f>IF($A186,$J186*(IF(Q186=regle!$B$11,regle!$B$23*IF(AJ186=-2,1+regle!$B$35,1),
IF(Q186=regle!$C$11,regle!$C$23,
IF(Q186=regle!$D$11,regle!$D$23,
IF(Q186=regle!$E$11,regle!$E$23,
IF(Q186=regle!$F$11,regle!$F$23,
IF(Q186=regle!$G$11,regle!$G$23,
IF(Q186=regle!$H$11,regle!$H$23,
IF(Q186=regle!$I$11,regle!$I$23,
IF(Q186=regle!$J$11,regle!$J$23,
IF(Q186=regle!$K$11,regle!$K$23,0))))))))))))</f>
        <v>0</v>
      </c>
      <c r="AB186" s="17">
        <f>IF($A186,$J186*(IF(R186=regle!$B$11,regle!$B$23*IF(AK186=-2,1+regle!$B$35,1),
IF(R186=regle!$C$11,regle!$C$23,
IF(R186=regle!$D$11,regle!$D$23,
IF(R186=regle!$E$11,regle!$E$23,
IF(R186=regle!$F$11,regle!$F$23,
IF(R186=regle!$G$11,regle!$G$23,
IF(R186=regle!$H$11,regle!$H$23,
IF(R186=regle!$I$11,regle!$I$23,
IF(R186=regle!$J$11,regle!$J$23,
IF(R186=regle!$K$11,regle!$K$23,0))))))))))))</f>
        <v>0</v>
      </c>
      <c r="AC186" s="17">
        <f>IF($A186,$J186*(IF(S186=regle!$B$11,regle!$B$23*IF(AL186=-2,1+regle!$B$35,1),
IF(S186=regle!$C$11,regle!$C$23,
IF(S186=regle!$D$11,regle!$D$23,
IF(S186=regle!$E$11,regle!$E$23,
IF(S186=regle!$F$11,regle!$F$23,
IF(S186=regle!$G$11,regle!$G$23,
IF(S186=regle!$H$11,regle!$H$23,
IF(S186=regle!$I$11,regle!$I$23,
IF(S186=regle!$J$11,regle!$J$23,
IF(S186=regle!$K$11,regle!$K$23,0))))))))))))</f>
        <v>0</v>
      </c>
      <c r="AD186" s="17">
        <f>IF($A186,$J186*(IF(T186=regle!$B$11,regle!$B$23*IF(AM186=-2,1+regle!$B$35,1),
IF(T186=regle!$C$11,regle!$C$23,
IF(T186=regle!$D$11,regle!$D$23,
IF(T186=regle!$E$11,regle!$E$23,
IF(T186=regle!$F$11,regle!$F$23,
IF(T186=regle!$G$11,regle!$G$23,
IF(T186=regle!$H$11,regle!$H$23,
IF(T186=regle!$I$11,regle!$I$23,
IF(T186=regle!$J$11,regle!$J$23,
IF(T186=regle!$K$11,regle!$K$23,0))))))))))))</f>
        <v>142.67519999999999</v>
      </c>
      <c r="AE186" s="17">
        <f>IF($A186,$J186*(IF(U186=regle!$B$11,regle!$B$23*IF(AN186=-2,1+regle!$B$35,1),
IF(U186=regle!$C$11,regle!$C$23,
IF(U186=regle!$D$11,regle!$D$23,
IF(U186=regle!$E$11,regle!$E$23,
IF(U186=regle!$F$11,regle!$F$23,
IF(U186=regle!$G$11,regle!$G$23,
IF(U186=regle!$H$11,regle!$H$23,
IF(U186=regle!$I$11,regle!$I$23,
IF(U186=regle!$J$11,regle!$J$23,
IF(U186=regle!$K$11,regle!$K$23,0))))))))))))</f>
        <v>0</v>
      </c>
      <c r="AF186" s="17">
        <f>IF($A186,$J186*(IF(V186=regle!$B$11,regle!$B$23*IF(AO186=-2,1+regle!$B$35,1),
IF(V186=regle!$C$11,regle!$C$23,
IF(V186=regle!$D$11,regle!$D$23,
IF(V186=regle!$E$11,regle!$E$23,
IF(V186=regle!$F$11,regle!$F$23,
IF(V186=regle!$G$11,regle!$G$23,
IF(V186=regle!$H$11,regle!$H$23,
IF(V186=regle!$I$11,regle!$I$23,
IF(V186=regle!$J$11,regle!$J$23,
IF(V186=regle!$K$11,regle!$K$23,0))))))))))))</f>
        <v>0</v>
      </c>
      <c r="AG186" s="17">
        <f>IF($A186,$J186*(IF(W186=regle!$B$11,regle!$B$23*IF(AP186=-2,1+regle!$B$35,1),
IF(W186=regle!$C$11,regle!$C$23,
IF(W186=regle!$D$11,regle!$D$23,
IF(W186=regle!$E$11,regle!$E$23,
IF(W186=regle!$F$11,regle!$F$23,
IF(W186=regle!$G$11,regle!$G$23,
IF(W186=regle!$H$11,regle!$H$23,
IF(W186=regle!$I$11,regle!$I$23,
IF(W186=regle!$J$11,regle!$J$23,
IF(W186=regle!$K$11,regle!$K$23,0))))))))))))</f>
        <v>0</v>
      </c>
      <c r="AH186" s="17">
        <f>IF($A186,$J186*(IF(X186=regle!$B$11,regle!$B$23*IF(AQ186=-2,1+regle!$B$35,1),
IF(X186=regle!$C$11,regle!$C$23,
IF(X186=regle!$D$11,regle!$D$23,
IF(X186=regle!$E$11,regle!$E$23,
IF(X186=regle!$F$11,regle!$F$23,
IF(X186=regle!$G$11,regle!$G$23,
IF(X186=regle!$H$11,regle!$H$23,
IF(X186=regle!$I$11,regle!$I$23,
IF(X186=regle!$J$11,regle!$J$23,
IF(X186=regle!$K$11,regle!$K$23,0))))))))))))</f>
        <v>0</v>
      </c>
      <c r="AI186" s="17">
        <f>IF($A186,$J186*(IF(Y186=regle!$B$11,regle!$B$23*IF(AR186=-2,1+regle!$B$35,1),
IF(Y186=regle!$C$11,regle!$C$23,
IF(Y186=regle!$D$11,regle!$D$23,
IF(Y186=regle!$E$11,regle!$E$23,
IF(Y186=regle!$F$11,regle!$F$23,
IF(Y186=regle!$G$11,regle!$G$23,
IF(Y186=regle!$H$11,regle!$H$23,
IF(Y186=regle!$I$11,regle!$I$23,
IF(Y186=regle!$J$11,regle!$J$23,
IF(Y186=regle!$K$11,regle!$K$23,0))))))))))))</f>
        <v>208.06800000000001</v>
      </c>
      <c r="AJ186" s="17">
        <f>IF($A186,$J186*(IF(Z186=regle!$B$11,regle!$B$23*IF(AS186=-2,1+regle!$B$35,1),
IF(Z186=regle!$C$11,regle!$C$23,
IF(Z186=regle!$D$11,regle!$D$23,
IF(Z186=regle!$E$11,regle!$E$23,
IF(Z186=regle!$F$11,regle!$F$23,
IF(Z186=regle!$G$11,regle!$G$23,
IF(Z186=regle!$H$11,regle!$H$23,
IF(Z186=regle!$I$11,regle!$I$23,
IF(Z186=regle!$J$11,regle!$J$23,
IF(Z186=regle!$K$11,regle!$K$23,0))))))))))))</f>
        <v>0</v>
      </c>
      <c r="AK186" s="16">
        <f>IF(OR(Q186=regle!$J$11,Q186=regle!$K$11),-2,IF(Q186=regle!$B$11,0,IF(AK$1=$AK$1,IF($O186,-1,regle!$B$2-$M186),IF(AJ186=-1,-1,AJ186+1))))</f>
        <v>9</v>
      </c>
      <c r="AL186" s="16">
        <f>IF(OR(R186=regle!$J$11,R186=regle!$K$11),-2,IF(R186=regle!$B$11,0,IF(AL$1=$AK$1,IF($O186,-1,regle!$B$2-$M186),IF(AK186=-1,-1,AK186+1))))</f>
        <v>10</v>
      </c>
      <c r="AM186" s="16">
        <f>IF(OR(S186=regle!$J$11,S186=regle!$K$11),-2,IF(S186=regle!$B$11,0,IF(AM$1=$AK$1,IF($O186,-1,regle!$B$2-$M186),IF(AL186=-1,-1,AL186+1))))</f>
        <v>11</v>
      </c>
      <c r="AN186" s="16">
        <f>IF(OR(T186=regle!$J$11,T186=regle!$K$11),-2,IF(T186=regle!$B$11,0,IF(AN$1=$AK$1,IF($O186,-1,regle!$B$2-$M186),IF(AM186=-1,-1,AM186+1))))</f>
        <v>12</v>
      </c>
      <c r="AO186" s="16">
        <f>IF(OR(U186=regle!$J$11,U186=regle!$K$11),-2,IF(U186=regle!$B$11,0,IF(AO$1=$AK$1,IF($O186,-1,regle!$B$2-$M186),IF(AN186=-1,-1,AN186+1))))</f>
        <v>13</v>
      </c>
      <c r="AP186" s="16">
        <f>IF(OR(V186=regle!$J$11,V186=regle!$K$11),-2,IF(V186=regle!$B$11,0,IF(AP$1=$AK$1,IF($O186,-1,regle!$B$2-$M186),IF(AO186=-1,-1,AO186+1))))</f>
        <v>14</v>
      </c>
      <c r="AQ186" s="16">
        <f>IF(OR(W186=regle!$J$11,W186=regle!$K$11),-2,IF(W186=regle!$B$11,0,IF(AQ$1=$AK$1,IF($O186,-1,regle!$B$2-$M186),IF(AP186=-1,-1,AP186+1))))</f>
        <v>15</v>
      </c>
      <c r="AR186" s="16">
        <f>IF(OR(X186=regle!$J$11,X186=regle!$K$11),-2,IF(X186=regle!$B$11,0,IF(AR$1=$AK$1,IF($O186,-1,regle!$B$2-$M186),IF(AQ186=-1,-1,AQ186+1))))</f>
        <v>16</v>
      </c>
      <c r="AS186" s="16">
        <f>IF(OR(Y186=regle!$J$11,Y186=regle!$K$11),-2,IF(Y186=regle!$B$11,0,IF(AS$1=$AK$1,IF($O186,-1,regle!$B$2-$M186),IF(AR186=-1,-1,AR186+1))))</f>
        <v>17</v>
      </c>
      <c r="AT186" s="16">
        <f>IF(OR(Z186=regle!$J$11,Z186=regle!$K$11),-2,IF(Z186=regle!$B$11,0,IF(AT$1=$AK$1,IF($O186,-1,regle!$B$2-$M186),IF(AS186=-1,-1,AS186+1))))</f>
        <v>18</v>
      </c>
    </row>
    <row r="187" spans="1:46" x14ac:dyDescent="0.25">
      <c r="A187" t="b">
        <f>modif0!A181</f>
        <v>1</v>
      </c>
      <c r="B187">
        <f>ROW(modif0!B181)</f>
        <v>181</v>
      </c>
      <c r="C187" t="str">
        <f>modif0!D181</f>
        <v>202</v>
      </c>
      <c r="D187" t="str">
        <f>modif0!E181</f>
        <v>HOSTENS</v>
      </c>
      <c r="E187">
        <f>modif0!F181</f>
        <v>8</v>
      </c>
      <c r="F187" t="str">
        <f>modif0!G181</f>
        <v>LES BECS</v>
      </c>
      <c r="G187" t="str">
        <f>modif0!I181</f>
        <v>0B</v>
      </c>
      <c r="H187">
        <f>modif0!J181</f>
        <v>1211</v>
      </c>
      <c r="I187" t="str">
        <f>modif0!K181</f>
        <v/>
      </c>
      <c r="J187" s="11">
        <f>modif0!M181</f>
        <v>0.2145</v>
      </c>
      <c r="K187" s="11" t="str">
        <f>modif0!P181</f>
        <v>PLA</v>
      </c>
      <c r="L187" t="str">
        <f>modif0!N181</f>
        <v>PM</v>
      </c>
      <c r="M187">
        <f>modif0!Q181</f>
        <v>2015</v>
      </c>
      <c r="N187" t="str">
        <f>modif0!R181</f>
        <v>PLA-PM_2015</v>
      </c>
      <c r="O187" t="b">
        <f>modif0!S181</f>
        <v>0</v>
      </c>
      <c r="P187">
        <v>40</v>
      </c>
      <c r="T187" t="s">
        <v>1803</v>
      </c>
      <c r="Y187" t="s">
        <v>1804</v>
      </c>
      <c r="AA187" s="17">
        <f>IF($A187,$J187*(IF(Q187=regle!$B$11,regle!$B$23*IF(AJ187=-2,1+regle!$B$35,1),
IF(Q187=regle!$C$11,regle!$C$23,
IF(Q187=regle!$D$11,regle!$D$23,
IF(Q187=regle!$E$11,regle!$E$23,
IF(Q187=regle!$F$11,regle!$F$23,
IF(Q187=regle!$G$11,regle!$G$23,
IF(Q187=regle!$H$11,regle!$H$23,
IF(Q187=regle!$I$11,regle!$I$23,
IF(Q187=regle!$J$11,regle!$J$23,
IF(Q187=regle!$K$11,regle!$K$23,0))))))))))))</f>
        <v>0</v>
      </c>
      <c r="AB187" s="17">
        <f>IF($A187,$J187*(IF(R187=regle!$B$11,regle!$B$23*IF(AK187=-2,1+regle!$B$35,1),
IF(R187=regle!$C$11,regle!$C$23,
IF(R187=regle!$D$11,regle!$D$23,
IF(R187=regle!$E$11,regle!$E$23,
IF(R187=regle!$F$11,regle!$F$23,
IF(R187=regle!$G$11,regle!$G$23,
IF(R187=regle!$H$11,regle!$H$23,
IF(R187=regle!$I$11,regle!$I$23,
IF(R187=regle!$J$11,regle!$J$23,
IF(R187=regle!$K$11,regle!$K$23,0))))))))))))</f>
        <v>0</v>
      </c>
      <c r="AC187" s="17">
        <f>IF($A187,$J187*(IF(S187=regle!$B$11,regle!$B$23*IF(AL187=-2,1+regle!$B$35,1),
IF(S187=regle!$C$11,regle!$C$23,
IF(S187=regle!$D$11,regle!$D$23,
IF(S187=regle!$E$11,regle!$E$23,
IF(S187=regle!$F$11,regle!$F$23,
IF(S187=regle!$G$11,regle!$G$23,
IF(S187=regle!$H$11,regle!$H$23,
IF(S187=regle!$I$11,regle!$I$23,
IF(S187=regle!$J$11,regle!$J$23,
IF(S187=regle!$K$11,regle!$K$23,0))))))))))))</f>
        <v>0</v>
      </c>
      <c r="AD187" s="17">
        <f>IF($A187,$J187*(IF(T187=regle!$B$11,regle!$B$23*IF(AM187=-2,1+regle!$B$35,1),
IF(T187=regle!$C$11,regle!$C$23,
IF(T187=regle!$D$11,regle!$D$23,
IF(T187=regle!$E$11,regle!$E$23,
IF(T187=regle!$F$11,regle!$F$23,
IF(T187=regle!$G$11,regle!$G$23,
IF(T187=regle!$H$11,regle!$H$23,
IF(T187=regle!$I$11,regle!$I$23,
IF(T187=regle!$J$11,regle!$J$23,
IF(T187=regle!$K$11,regle!$K$23,0))))))))))))</f>
        <v>123.55199999999999</v>
      </c>
      <c r="AE187" s="17">
        <f>IF($A187,$J187*(IF(U187=regle!$B$11,regle!$B$23*IF(AN187=-2,1+regle!$B$35,1),
IF(U187=regle!$C$11,regle!$C$23,
IF(U187=regle!$D$11,regle!$D$23,
IF(U187=regle!$E$11,regle!$E$23,
IF(U187=regle!$F$11,regle!$F$23,
IF(U187=regle!$G$11,regle!$G$23,
IF(U187=regle!$H$11,regle!$H$23,
IF(U187=regle!$I$11,regle!$I$23,
IF(U187=regle!$J$11,regle!$J$23,
IF(U187=regle!$K$11,regle!$K$23,0))))))))))))</f>
        <v>0</v>
      </c>
      <c r="AF187" s="17">
        <f>IF($A187,$J187*(IF(V187=regle!$B$11,regle!$B$23*IF(AO187=-2,1+regle!$B$35,1),
IF(V187=regle!$C$11,regle!$C$23,
IF(V187=regle!$D$11,regle!$D$23,
IF(V187=regle!$E$11,regle!$E$23,
IF(V187=regle!$F$11,regle!$F$23,
IF(V187=regle!$G$11,regle!$G$23,
IF(V187=regle!$H$11,regle!$H$23,
IF(V187=regle!$I$11,regle!$I$23,
IF(V187=regle!$J$11,regle!$J$23,
IF(V187=regle!$K$11,regle!$K$23,0))))))))))))</f>
        <v>0</v>
      </c>
      <c r="AG187" s="17">
        <f>IF($A187,$J187*(IF(W187=regle!$B$11,regle!$B$23*IF(AP187=-2,1+regle!$B$35,1),
IF(W187=regle!$C$11,regle!$C$23,
IF(W187=regle!$D$11,regle!$D$23,
IF(W187=regle!$E$11,regle!$E$23,
IF(W187=regle!$F$11,regle!$F$23,
IF(W187=regle!$G$11,regle!$G$23,
IF(W187=regle!$H$11,regle!$H$23,
IF(W187=regle!$I$11,regle!$I$23,
IF(W187=regle!$J$11,regle!$J$23,
IF(W187=regle!$K$11,regle!$K$23,0))))))))))))</f>
        <v>0</v>
      </c>
      <c r="AH187" s="17">
        <f>IF($A187,$J187*(IF(X187=regle!$B$11,regle!$B$23*IF(AQ187=-2,1+regle!$B$35,1),
IF(X187=regle!$C$11,regle!$C$23,
IF(X187=regle!$D$11,regle!$D$23,
IF(X187=regle!$E$11,regle!$E$23,
IF(X187=regle!$F$11,regle!$F$23,
IF(X187=regle!$G$11,regle!$G$23,
IF(X187=regle!$H$11,regle!$H$23,
IF(X187=regle!$I$11,regle!$I$23,
IF(X187=regle!$J$11,regle!$J$23,
IF(X187=regle!$K$11,regle!$K$23,0))))))))))))</f>
        <v>0</v>
      </c>
      <c r="AI187" s="17">
        <f>IF($A187,$J187*(IF(Y187=regle!$B$11,regle!$B$23*IF(AR187=-2,1+regle!$B$35,1),
IF(Y187=regle!$C$11,regle!$C$23,
IF(Y187=regle!$D$11,regle!$D$23,
IF(Y187=regle!$E$11,regle!$E$23,
IF(Y187=regle!$F$11,regle!$F$23,
IF(Y187=regle!$G$11,regle!$G$23,
IF(Y187=regle!$H$11,regle!$H$23,
IF(Y187=regle!$I$11,regle!$I$23,
IF(Y187=regle!$J$11,regle!$J$23,
IF(Y187=regle!$K$11,regle!$K$23,0))))))))))))</f>
        <v>180.18</v>
      </c>
      <c r="AJ187" s="17">
        <f>IF($A187,$J187*(IF(Z187=regle!$B$11,regle!$B$23*IF(AS187=-2,1+regle!$B$35,1),
IF(Z187=regle!$C$11,regle!$C$23,
IF(Z187=regle!$D$11,regle!$D$23,
IF(Z187=regle!$E$11,regle!$E$23,
IF(Z187=regle!$F$11,regle!$F$23,
IF(Z187=regle!$G$11,regle!$G$23,
IF(Z187=regle!$H$11,regle!$H$23,
IF(Z187=regle!$I$11,regle!$I$23,
IF(Z187=regle!$J$11,regle!$J$23,
IF(Z187=regle!$K$11,regle!$K$23,0))))))))))))</f>
        <v>0</v>
      </c>
      <c r="AK187" s="16">
        <f>IF(OR(Q187=regle!$J$11,Q187=regle!$K$11),-2,IF(Q187=regle!$B$11,0,IF(AK$1=$AK$1,IF($O187,-1,regle!$B$2-$M187),IF(AJ187=-1,-1,AJ187+1))))</f>
        <v>9</v>
      </c>
      <c r="AL187" s="16">
        <f>IF(OR(R187=regle!$J$11,R187=regle!$K$11),-2,IF(R187=regle!$B$11,0,IF(AL$1=$AK$1,IF($O187,-1,regle!$B$2-$M187),IF(AK187=-1,-1,AK187+1))))</f>
        <v>10</v>
      </c>
      <c r="AM187" s="16">
        <f>IF(OR(S187=regle!$J$11,S187=regle!$K$11),-2,IF(S187=regle!$B$11,0,IF(AM$1=$AK$1,IF($O187,-1,regle!$B$2-$M187),IF(AL187=-1,-1,AL187+1))))</f>
        <v>11</v>
      </c>
      <c r="AN187" s="16">
        <f>IF(OR(T187=regle!$J$11,T187=regle!$K$11),-2,IF(T187=regle!$B$11,0,IF(AN$1=$AK$1,IF($O187,-1,regle!$B$2-$M187),IF(AM187=-1,-1,AM187+1))))</f>
        <v>12</v>
      </c>
      <c r="AO187" s="16">
        <f>IF(OR(U187=regle!$J$11,U187=regle!$K$11),-2,IF(U187=regle!$B$11,0,IF(AO$1=$AK$1,IF($O187,-1,regle!$B$2-$M187),IF(AN187=-1,-1,AN187+1))))</f>
        <v>13</v>
      </c>
      <c r="AP187" s="16">
        <f>IF(OR(V187=regle!$J$11,V187=regle!$K$11),-2,IF(V187=regle!$B$11,0,IF(AP$1=$AK$1,IF($O187,-1,regle!$B$2-$M187),IF(AO187=-1,-1,AO187+1))))</f>
        <v>14</v>
      </c>
      <c r="AQ187" s="16">
        <f>IF(OR(W187=regle!$J$11,W187=regle!$K$11),-2,IF(W187=regle!$B$11,0,IF(AQ$1=$AK$1,IF($O187,-1,regle!$B$2-$M187),IF(AP187=-1,-1,AP187+1))))</f>
        <v>15</v>
      </c>
      <c r="AR187" s="16">
        <f>IF(OR(X187=regle!$J$11,X187=regle!$K$11),-2,IF(X187=regle!$B$11,0,IF(AR$1=$AK$1,IF($O187,-1,regle!$B$2-$M187),IF(AQ187=-1,-1,AQ187+1))))</f>
        <v>16</v>
      </c>
      <c r="AS187" s="16">
        <f>IF(OR(Y187=regle!$J$11,Y187=regle!$K$11),-2,IF(Y187=regle!$B$11,0,IF(AS$1=$AK$1,IF($O187,-1,regle!$B$2-$M187),IF(AR187=-1,-1,AR187+1))))</f>
        <v>17</v>
      </c>
      <c r="AT187" s="16">
        <f>IF(OR(Z187=regle!$J$11,Z187=regle!$K$11),-2,IF(Z187=regle!$B$11,0,IF(AT$1=$AK$1,IF($O187,-1,regle!$B$2-$M187),IF(AS187=-1,-1,AS187+1))))</f>
        <v>18</v>
      </c>
    </row>
    <row r="188" spans="1:46" x14ac:dyDescent="0.25">
      <c r="A188" t="b">
        <f>modif0!A92</f>
        <v>1</v>
      </c>
      <c r="B188">
        <f>ROW(modif0!B92)</f>
        <v>92</v>
      </c>
      <c r="C188" t="str">
        <f>modif0!D92</f>
        <v>536</v>
      </c>
      <c r="D188" t="str">
        <f>modif0!E92</f>
        <v>LE TUZAN</v>
      </c>
      <c r="E188">
        <f>modif0!F92</f>
        <v>21</v>
      </c>
      <c r="F188" t="str">
        <f>modif0!G92</f>
        <v>METAIRIES DE TABARTON</v>
      </c>
      <c r="G188" t="str">
        <f>modif0!I92</f>
        <v>0A</v>
      </c>
      <c r="H188">
        <f>modif0!J92</f>
        <v>848</v>
      </c>
      <c r="I188" t="str">
        <f>modif0!K92</f>
        <v>j</v>
      </c>
      <c r="J188" s="11">
        <f>modif0!M92</f>
        <v>0.2114</v>
      </c>
      <c r="K188" s="11" t="str">
        <f>modif0!P92</f>
        <v>PLA</v>
      </c>
      <c r="L188" t="str">
        <f>modif0!N92</f>
        <v>PM</v>
      </c>
      <c r="M188">
        <f>modif0!Q92</f>
        <v>2015</v>
      </c>
      <c r="N188" t="str">
        <f>modif0!R92</f>
        <v>PLA-PM_2015</v>
      </c>
      <c r="O188" t="b">
        <f>modif0!S92</f>
        <v>0</v>
      </c>
      <c r="P188">
        <v>40</v>
      </c>
      <c r="T188" t="s">
        <v>1803</v>
      </c>
      <c r="Y188" t="s">
        <v>1804</v>
      </c>
      <c r="AA188" s="17">
        <f>IF($A188,$J188*(IF(Q188=regle!$B$11,regle!$B$23*IF(AJ188=-2,1+regle!$B$35,1),
IF(Q188=regle!$C$11,regle!$C$23,
IF(Q188=regle!$D$11,regle!$D$23,
IF(Q188=regle!$E$11,regle!$E$23,
IF(Q188=regle!$F$11,regle!$F$23,
IF(Q188=regle!$G$11,regle!$G$23,
IF(Q188=regle!$H$11,regle!$H$23,
IF(Q188=regle!$I$11,regle!$I$23,
IF(Q188=regle!$J$11,regle!$J$23,
IF(Q188=regle!$K$11,regle!$K$23,0))))))))))))</f>
        <v>0</v>
      </c>
      <c r="AB188" s="17">
        <f>IF($A188,$J188*(IF(R188=regle!$B$11,regle!$B$23*IF(AK188=-2,1+regle!$B$35,1),
IF(R188=regle!$C$11,regle!$C$23,
IF(R188=regle!$D$11,regle!$D$23,
IF(R188=regle!$E$11,regle!$E$23,
IF(R188=regle!$F$11,regle!$F$23,
IF(R188=regle!$G$11,regle!$G$23,
IF(R188=regle!$H$11,regle!$H$23,
IF(R188=regle!$I$11,regle!$I$23,
IF(R188=regle!$J$11,regle!$J$23,
IF(R188=regle!$K$11,regle!$K$23,0))))))))))))</f>
        <v>0</v>
      </c>
      <c r="AC188" s="17">
        <f>IF($A188,$J188*(IF(S188=regle!$B$11,regle!$B$23*IF(AL188=-2,1+regle!$B$35,1),
IF(S188=regle!$C$11,regle!$C$23,
IF(S188=regle!$D$11,regle!$D$23,
IF(S188=regle!$E$11,regle!$E$23,
IF(S188=regle!$F$11,regle!$F$23,
IF(S188=regle!$G$11,regle!$G$23,
IF(S188=regle!$H$11,regle!$H$23,
IF(S188=regle!$I$11,regle!$I$23,
IF(S188=regle!$J$11,regle!$J$23,
IF(S188=regle!$K$11,regle!$K$23,0))))))))))))</f>
        <v>0</v>
      </c>
      <c r="AD188" s="17">
        <f>IF($A188,$J188*(IF(T188=regle!$B$11,regle!$B$23*IF(AM188=-2,1+regle!$B$35,1),
IF(T188=regle!$C$11,regle!$C$23,
IF(T188=regle!$D$11,regle!$D$23,
IF(T188=regle!$E$11,regle!$E$23,
IF(T188=regle!$F$11,regle!$F$23,
IF(T188=regle!$G$11,regle!$G$23,
IF(T188=regle!$H$11,regle!$H$23,
IF(T188=regle!$I$11,regle!$I$23,
IF(T188=regle!$J$11,regle!$J$23,
IF(T188=regle!$K$11,regle!$K$23,0))))))))))))</f>
        <v>121.7664</v>
      </c>
      <c r="AE188" s="17">
        <f>IF($A188,$J188*(IF(U188=regle!$B$11,regle!$B$23*IF(AN188=-2,1+regle!$B$35,1),
IF(U188=regle!$C$11,regle!$C$23,
IF(U188=regle!$D$11,regle!$D$23,
IF(U188=regle!$E$11,regle!$E$23,
IF(U188=regle!$F$11,regle!$F$23,
IF(U188=regle!$G$11,regle!$G$23,
IF(U188=regle!$H$11,regle!$H$23,
IF(U188=regle!$I$11,regle!$I$23,
IF(U188=regle!$J$11,regle!$J$23,
IF(U188=regle!$K$11,regle!$K$23,0))))))))))))</f>
        <v>0</v>
      </c>
      <c r="AF188" s="17">
        <f>IF($A188,$J188*(IF(V188=regle!$B$11,regle!$B$23*IF(AO188=-2,1+regle!$B$35,1),
IF(V188=regle!$C$11,regle!$C$23,
IF(V188=regle!$D$11,regle!$D$23,
IF(V188=regle!$E$11,regle!$E$23,
IF(V188=regle!$F$11,regle!$F$23,
IF(V188=regle!$G$11,regle!$G$23,
IF(V188=regle!$H$11,regle!$H$23,
IF(V188=regle!$I$11,regle!$I$23,
IF(V188=regle!$J$11,regle!$J$23,
IF(V188=regle!$K$11,regle!$K$23,0))))))))))))</f>
        <v>0</v>
      </c>
      <c r="AG188" s="17">
        <f>IF($A188,$J188*(IF(W188=regle!$B$11,regle!$B$23*IF(AP188=-2,1+regle!$B$35,1),
IF(W188=regle!$C$11,regle!$C$23,
IF(W188=regle!$D$11,regle!$D$23,
IF(W188=regle!$E$11,regle!$E$23,
IF(W188=regle!$F$11,regle!$F$23,
IF(W188=regle!$G$11,regle!$G$23,
IF(W188=regle!$H$11,regle!$H$23,
IF(W188=regle!$I$11,regle!$I$23,
IF(W188=regle!$J$11,regle!$J$23,
IF(W188=regle!$K$11,regle!$K$23,0))))))))))))</f>
        <v>0</v>
      </c>
      <c r="AH188" s="17">
        <f>IF($A188,$J188*(IF(X188=regle!$B$11,regle!$B$23*IF(AQ188=-2,1+regle!$B$35,1),
IF(X188=regle!$C$11,regle!$C$23,
IF(X188=regle!$D$11,regle!$D$23,
IF(X188=regle!$E$11,regle!$E$23,
IF(X188=regle!$F$11,regle!$F$23,
IF(X188=regle!$G$11,regle!$G$23,
IF(X188=regle!$H$11,regle!$H$23,
IF(X188=regle!$I$11,regle!$I$23,
IF(X188=regle!$J$11,regle!$J$23,
IF(X188=regle!$K$11,regle!$K$23,0))))))))))))</f>
        <v>0</v>
      </c>
      <c r="AI188" s="17">
        <f>IF($A188,$J188*(IF(Y188=regle!$B$11,regle!$B$23*IF(AR188=-2,1+regle!$B$35,1),
IF(Y188=regle!$C$11,regle!$C$23,
IF(Y188=regle!$D$11,regle!$D$23,
IF(Y188=regle!$E$11,regle!$E$23,
IF(Y188=regle!$F$11,regle!$F$23,
IF(Y188=regle!$G$11,regle!$G$23,
IF(Y188=regle!$H$11,regle!$H$23,
IF(Y188=regle!$I$11,regle!$I$23,
IF(Y188=regle!$J$11,regle!$J$23,
IF(Y188=regle!$K$11,regle!$K$23,0))))))))))))</f>
        <v>177.57599999999999</v>
      </c>
      <c r="AJ188" s="17">
        <f>IF($A188,$J188*(IF(Z188=regle!$B$11,regle!$B$23*IF(AS188=-2,1+regle!$B$35,1),
IF(Z188=regle!$C$11,regle!$C$23,
IF(Z188=regle!$D$11,regle!$D$23,
IF(Z188=regle!$E$11,regle!$E$23,
IF(Z188=regle!$F$11,regle!$F$23,
IF(Z188=regle!$G$11,regle!$G$23,
IF(Z188=regle!$H$11,regle!$H$23,
IF(Z188=regle!$I$11,regle!$I$23,
IF(Z188=regle!$J$11,regle!$J$23,
IF(Z188=regle!$K$11,regle!$K$23,0))))))))))))</f>
        <v>0</v>
      </c>
      <c r="AK188" s="16">
        <f>IF(OR(Q188=regle!$J$11,Q188=regle!$K$11),-2,IF(Q188=regle!$B$11,0,IF(AK$1=$AK$1,IF($O188,-1,regle!$B$2-$M188),IF(AJ188=-1,-1,AJ188+1))))</f>
        <v>9</v>
      </c>
      <c r="AL188" s="16">
        <f>IF(OR(R188=regle!$J$11,R188=regle!$K$11),-2,IF(R188=regle!$B$11,0,IF(AL$1=$AK$1,IF($O188,-1,regle!$B$2-$M188),IF(AK188=-1,-1,AK188+1))))</f>
        <v>10</v>
      </c>
      <c r="AM188" s="16">
        <f>IF(OR(S188=regle!$J$11,S188=regle!$K$11),-2,IF(S188=regle!$B$11,0,IF(AM$1=$AK$1,IF($O188,-1,regle!$B$2-$M188),IF(AL188=-1,-1,AL188+1))))</f>
        <v>11</v>
      </c>
      <c r="AN188" s="16">
        <f>IF(OR(T188=regle!$J$11,T188=regle!$K$11),-2,IF(T188=regle!$B$11,0,IF(AN$1=$AK$1,IF($O188,-1,regle!$B$2-$M188),IF(AM188=-1,-1,AM188+1))))</f>
        <v>12</v>
      </c>
      <c r="AO188" s="16">
        <f>IF(OR(U188=regle!$J$11,U188=regle!$K$11),-2,IF(U188=regle!$B$11,0,IF(AO$1=$AK$1,IF($O188,-1,regle!$B$2-$M188),IF(AN188=-1,-1,AN188+1))))</f>
        <v>13</v>
      </c>
      <c r="AP188" s="16">
        <f>IF(OR(V188=regle!$J$11,V188=regle!$K$11),-2,IF(V188=regle!$B$11,0,IF(AP$1=$AK$1,IF($O188,-1,regle!$B$2-$M188),IF(AO188=-1,-1,AO188+1))))</f>
        <v>14</v>
      </c>
      <c r="AQ188" s="16">
        <f>IF(OR(W188=regle!$J$11,W188=regle!$K$11),-2,IF(W188=regle!$B$11,0,IF(AQ$1=$AK$1,IF($O188,-1,regle!$B$2-$M188),IF(AP188=-1,-1,AP188+1))))</f>
        <v>15</v>
      </c>
      <c r="AR188" s="16">
        <f>IF(OR(X188=regle!$J$11,X188=regle!$K$11),-2,IF(X188=regle!$B$11,0,IF(AR$1=$AK$1,IF($O188,-1,regle!$B$2-$M188),IF(AQ188=-1,-1,AQ188+1))))</f>
        <v>16</v>
      </c>
      <c r="AS188" s="16">
        <f>IF(OR(Y188=regle!$J$11,Y188=regle!$K$11),-2,IF(Y188=regle!$B$11,0,IF(AS$1=$AK$1,IF($O188,-1,regle!$B$2-$M188),IF(AR188=-1,-1,AR188+1))))</f>
        <v>17</v>
      </c>
      <c r="AT188" s="16">
        <f>IF(OR(Z188=regle!$J$11,Z188=regle!$K$11),-2,IF(Z188=regle!$B$11,0,IF(AT$1=$AK$1,IF($O188,-1,regle!$B$2-$M188),IF(AS188=-1,-1,AS188+1))))</f>
        <v>18</v>
      </c>
    </row>
    <row r="189" spans="1:46" x14ac:dyDescent="0.25">
      <c r="A189" t="b">
        <f>modif0!A137</f>
        <v>1</v>
      </c>
      <c r="B189">
        <f>ROW(modif0!B137)</f>
        <v>137</v>
      </c>
      <c r="C189" t="str">
        <f>modif0!D137</f>
        <v>202</v>
      </c>
      <c r="D189" t="str">
        <f>modif0!E137</f>
        <v>HOSTENS</v>
      </c>
      <c r="E189">
        <f>modif0!F137</f>
        <v>11</v>
      </c>
      <c r="F189" t="str">
        <f>modif0!G137</f>
        <v>LES CAZALAS</v>
      </c>
      <c r="G189" t="str">
        <f>modif0!I137</f>
        <v>0B</v>
      </c>
      <c r="H189">
        <f>modif0!J137</f>
        <v>1160</v>
      </c>
      <c r="I189" t="str">
        <f>modif0!K137</f>
        <v>k</v>
      </c>
      <c r="J189" s="11">
        <f>modif0!M137</f>
        <v>0.21010000000000001</v>
      </c>
      <c r="K189" s="11" t="str">
        <f>modif0!P137</f>
        <v>PLA</v>
      </c>
      <c r="L189" t="str">
        <f>modif0!N137</f>
        <v>PM</v>
      </c>
      <c r="M189">
        <f>modif0!Q137</f>
        <v>2015</v>
      </c>
      <c r="N189" t="str">
        <f>modif0!R137</f>
        <v>PLA-PM_2015</v>
      </c>
      <c r="O189" t="b">
        <f>modif0!S137</f>
        <v>0</v>
      </c>
      <c r="P189">
        <v>40</v>
      </c>
      <c r="T189" t="s">
        <v>1803</v>
      </c>
      <c r="Y189" t="s">
        <v>1804</v>
      </c>
      <c r="AA189" s="17">
        <f>IF($A189,$J189*(IF(Q189=regle!$B$11,regle!$B$23*IF(AJ189=-2,1+regle!$B$35,1),
IF(Q189=regle!$C$11,regle!$C$23,
IF(Q189=regle!$D$11,regle!$D$23,
IF(Q189=regle!$E$11,regle!$E$23,
IF(Q189=regle!$F$11,regle!$F$23,
IF(Q189=regle!$G$11,regle!$G$23,
IF(Q189=regle!$H$11,regle!$H$23,
IF(Q189=regle!$I$11,regle!$I$23,
IF(Q189=regle!$J$11,regle!$J$23,
IF(Q189=regle!$K$11,regle!$K$23,0))))))))))))</f>
        <v>0</v>
      </c>
      <c r="AB189" s="17">
        <f>IF($A189,$J189*(IF(R189=regle!$B$11,regle!$B$23*IF(AK189=-2,1+regle!$B$35,1),
IF(R189=regle!$C$11,regle!$C$23,
IF(R189=regle!$D$11,regle!$D$23,
IF(R189=regle!$E$11,regle!$E$23,
IF(R189=regle!$F$11,regle!$F$23,
IF(R189=regle!$G$11,regle!$G$23,
IF(R189=regle!$H$11,regle!$H$23,
IF(R189=regle!$I$11,regle!$I$23,
IF(R189=regle!$J$11,regle!$J$23,
IF(R189=regle!$K$11,regle!$K$23,0))))))))))))</f>
        <v>0</v>
      </c>
      <c r="AC189" s="17">
        <f>IF($A189,$J189*(IF(S189=regle!$B$11,regle!$B$23*IF(AL189=-2,1+regle!$B$35,1),
IF(S189=regle!$C$11,regle!$C$23,
IF(S189=regle!$D$11,regle!$D$23,
IF(S189=regle!$E$11,regle!$E$23,
IF(S189=regle!$F$11,regle!$F$23,
IF(S189=regle!$G$11,regle!$G$23,
IF(S189=regle!$H$11,regle!$H$23,
IF(S189=regle!$I$11,regle!$I$23,
IF(S189=regle!$J$11,regle!$J$23,
IF(S189=regle!$K$11,regle!$K$23,0))))))))))))</f>
        <v>0</v>
      </c>
      <c r="AD189" s="17">
        <f>IF($A189,$J189*(IF(T189=regle!$B$11,regle!$B$23*IF(AM189=-2,1+regle!$B$35,1),
IF(T189=regle!$C$11,regle!$C$23,
IF(T189=regle!$D$11,regle!$D$23,
IF(T189=regle!$E$11,regle!$E$23,
IF(T189=regle!$F$11,regle!$F$23,
IF(T189=regle!$G$11,regle!$G$23,
IF(T189=regle!$H$11,regle!$H$23,
IF(T189=regle!$I$11,regle!$I$23,
IF(T189=regle!$J$11,regle!$J$23,
IF(T189=regle!$K$11,regle!$K$23,0))))))))))))</f>
        <v>121.0176</v>
      </c>
      <c r="AE189" s="17">
        <f>IF($A189,$J189*(IF(U189=regle!$B$11,regle!$B$23*IF(AN189=-2,1+regle!$B$35,1),
IF(U189=regle!$C$11,regle!$C$23,
IF(U189=regle!$D$11,regle!$D$23,
IF(U189=regle!$E$11,regle!$E$23,
IF(U189=regle!$F$11,regle!$F$23,
IF(U189=regle!$G$11,regle!$G$23,
IF(U189=regle!$H$11,regle!$H$23,
IF(U189=regle!$I$11,regle!$I$23,
IF(U189=regle!$J$11,regle!$J$23,
IF(U189=regle!$K$11,regle!$K$23,0))))))))))))</f>
        <v>0</v>
      </c>
      <c r="AF189" s="17">
        <f>IF($A189,$J189*(IF(V189=regle!$B$11,regle!$B$23*IF(AO189=-2,1+regle!$B$35,1),
IF(V189=regle!$C$11,regle!$C$23,
IF(V189=regle!$D$11,regle!$D$23,
IF(V189=regle!$E$11,regle!$E$23,
IF(V189=regle!$F$11,regle!$F$23,
IF(V189=regle!$G$11,regle!$G$23,
IF(V189=regle!$H$11,regle!$H$23,
IF(V189=regle!$I$11,regle!$I$23,
IF(V189=regle!$J$11,regle!$J$23,
IF(V189=regle!$K$11,regle!$K$23,0))))))))))))</f>
        <v>0</v>
      </c>
      <c r="AG189" s="17">
        <f>IF($A189,$J189*(IF(W189=regle!$B$11,regle!$B$23*IF(AP189=-2,1+regle!$B$35,1),
IF(W189=regle!$C$11,regle!$C$23,
IF(W189=regle!$D$11,regle!$D$23,
IF(W189=regle!$E$11,regle!$E$23,
IF(W189=regle!$F$11,regle!$F$23,
IF(W189=regle!$G$11,regle!$G$23,
IF(W189=regle!$H$11,regle!$H$23,
IF(W189=regle!$I$11,regle!$I$23,
IF(W189=regle!$J$11,regle!$J$23,
IF(W189=regle!$K$11,regle!$K$23,0))))))))))))</f>
        <v>0</v>
      </c>
      <c r="AH189" s="17">
        <f>IF($A189,$J189*(IF(X189=regle!$B$11,regle!$B$23*IF(AQ189=-2,1+regle!$B$35,1),
IF(X189=regle!$C$11,regle!$C$23,
IF(X189=regle!$D$11,regle!$D$23,
IF(X189=regle!$E$11,regle!$E$23,
IF(X189=regle!$F$11,regle!$F$23,
IF(X189=regle!$G$11,regle!$G$23,
IF(X189=regle!$H$11,regle!$H$23,
IF(X189=regle!$I$11,regle!$I$23,
IF(X189=regle!$J$11,regle!$J$23,
IF(X189=regle!$K$11,regle!$K$23,0))))))))))))</f>
        <v>0</v>
      </c>
      <c r="AI189" s="17">
        <f>IF($A189,$J189*(IF(Y189=regle!$B$11,regle!$B$23*IF(AR189=-2,1+regle!$B$35,1),
IF(Y189=regle!$C$11,regle!$C$23,
IF(Y189=regle!$D$11,regle!$D$23,
IF(Y189=regle!$E$11,regle!$E$23,
IF(Y189=regle!$F$11,regle!$F$23,
IF(Y189=regle!$G$11,regle!$G$23,
IF(Y189=regle!$H$11,regle!$H$23,
IF(Y189=regle!$I$11,regle!$I$23,
IF(Y189=regle!$J$11,regle!$J$23,
IF(Y189=regle!$K$11,regle!$K$23,0))))))))))))</f>
        <v>176.48400000000001</v>
      </c>
      <c r="AJ189" s="17">
        <f>IF($A189,$J189*(IF(Z189=regle!$B$11,regle!$B$23*IF(AS189=-2,1+regle!$B$35,1),
IF(Z189=regle!$C$11,regle!$C$23,
IF(Z189=regle!$D$11,regle!$D$23,
IF(Z189=regle!$E$11,regle!$E$23,
IF(Z189=regle!$F$11,regle!$F$23,
IF(Z189=regle!$G$11,regle!$G$23,
IF(Z189=regle!$H$11,regle!$H$23,
IF(Z189=regle!$I$11,regle!$I$23,
IF(Z189=regle!$J$11,regle!$J$23,
IF(Z189=regle!$K$11,regle!$K$23,0))))))))))))</f>
        <v>0</v>
      </c>
      <c r="AK189" s="16">
        <f>IF(OR(Q189=regle!$J$11,Q189=regle!$K$11),-2,IF(Q189=regle!$B$11,0,IF(AK$1=$AK$1,IF($O189,-1,regle!$B$2-$M189),IF(AJ189=-1,-1,AJ189+1))))</f>
        <v>9</v>
      </c>
      <c r="AL189" s="16">
        <f>IF(OR(R189=regle!$J$11,R189=regle!$K$11),-2,IF(R189=regle!$B$11,0,IF(AL$1=$AK$1,IF($O189,-1,regle!$B$2-$M189),IF(AK189=-1,-1,AK189+1))))</f>
        <v>10</v>
      </c>
      <c r="AM189" s="16">
        <f>IF(OR(S189=regle!$J$11,S189=regle!$K$11),-2,IF(S189=regle!$B$11,0,IF(AM$1=$AK$1,IF($O189,-1,regle!$B$2-$M189),IF(AL189=-1,-1,AL189+1))))</f>
        <v>11</v>
      </c>
      <c r="AN189" s="16">
        <f>IF(OR(T189=regle!$J$11,T189=regle!$K$11),-2,IF(T189=regle!$B$11,0,IF(AN$1=$AK$1,IF($O189,-1,regle!$B$2-$M189),IF(AM189=-1,-1,AM189+1))))</f>
        <v>12</v>
      </c>
      <c r="AO189" s="16">
        <f>IF(OR(U189=regle!$J$11,U189=regle!$K$11),-2,IF(U189=regle!$B$11,0,IF(AO$1=$AK$1,IF($O189,-1,regle!$B$2-$M189),IF(AN189=-1,-1,AN189+1))))</f>
        <v>13</v>
      </c>
      <c r="AP189" s="16">
        <f>IF(OR(V189=regle!$J$11,V189=regle!$K$11),-2,IF(V189=regle!$B$11,0,IF(AP$1=$AK$1,IF($O189,-1,regle!$B$2-$M189),IF(AO189=-1,-1,AO189+1))))</f>
        <v>14</v>
      </c>
      <c r="AQ189" s="16">
        <f>IF(OR(W189=regle!$J$11,W189=regle!$K$11),-2,IF(W189=regle!$B$11,0,IF(AQ$1=$AK$1,IF($O189,-1,regle!$B$2-$M189),IF(AP189=-1,-1,AP189+1))))</f>
        <v>15</v>
      </c>
      <c r="AR189" s="16">
        <f>IF(OR(X189=regle!$J$11,X189=regle!$K$11),-2,IF(X189=regle!$B$11,0,IF(AR$1=$AK$1,IF($O189,-1,regle!$B$2-$M189),IF(AQ189=-1,-1,AQ189+1))))</f>
        <v>16</v>
      </c>
      <c r="AS189" s="16">
        <f>IF(OR(Y189=regle!$J$11,Y189=regle!$K$11),-2,IF(Y189=regle!$B$11,0,IF(AS$1=$AK$1,IF($O189,-1,regle!$B$2-$M189),IF(AR189=-1,-1,AR189+1))))</f>
        <v>17</v>
      </c>
      <c r="AT189" s="16">
        <f>IF(OR(Z189=regle!$J$11,Z189=regle!$K$11),-2,IF(Z189=regle!$B$11,0,IF(AT$1=$AK$1,IF($O189,-1,regle!$B$2-$M189),IF(AS189=-1,-1,AS189+1))))</f>
        <v>18</v>
      </c>
    </row>
    <row r="190" spans="1:46" x14ac:dyDescent="0.25">
      <c r="A190" t="b">
        <f>modif0!A312</f>
        <v>1</v>
      </c>
      <c r="B190">
        <f>ROW(modif0!B312)</f>
        <v>312</v>
      </c>
      <c r="C190" t="str">
        <f>modif0!D312</f>
        <v>077</v>
      </c>
      <c r="D190" t="str">
        <f>modif0!E312</f>
        <v>CABANAC-ET-VILLAGRAINS</v>
      </c>
      <c r="E190">
        <f>modif0!F312</f>
        <v>10</v>
      </c>
      <c r="F190" t="str">
        <f>modif0!G312</f>
        <v>CABAT MORT</v>
      </c>
      <c r="G190" t="str">
        <f>modif0!I312</f>
        <v>0D</v>
      </c>
      <c r="H190">
        <f>modif0!J312</f>
        <v>1381</v>
      </c>
      <c r="I190" t="str">
        <f>modif0!K312</f>
        <v>j</v>
      </c>
      <c r="J190" s="11">
        <f>modif0!M312</f>
        <v>0.18609999999999999</v>
      </c>
      <c r="K190" s="11" t="str">
        <f>modif0!P312</f>
        <v>PLA</v>
      </c>
      <c r="L190" t="str">
        <f>modif0!N312</f>
        <v>PM</v>
      </c>
      <c r="M190">
        <f>modif0!Q312</f>
        <v>2015</v>
      </c>
      <c r="N190" t="str">
        <f>modif0!R312</f>
        <v>PLA-PM_2015</v>
      </c>
      <c r="O190" t="b">
        <f>modif0!S312</f>
        <v>0</v>
      </c>
      <c r="P190">
        <v>40</v>
      </c>
      <c r="T190" t="s">
        <v>1803</v>
      </c>
      <c r="Y190" t="s">
        <v>1804</v>
      </c>
      <c r="AA190" s="17">
        <f>IF($A190,$J190*(IF(Q190=regle!$B$11,regle!$B$23*IF(AJ190=-2,1+regle!$B$35,1),
IF(Q190=regle!$C$11,regle!$C$23,
IF(Q190=regle!$D$11,regle!$D$23,
IF(Q190=regle!$E$11,regle!$E$23,
IF(Q190=regle!$F$11,regle!$F$23,
IF(Q190=regle!$G$11,regle!$G$23,
IF(Q190=regle!$H$11,regle!$H$23,
IF(Q190=regle!$I$11,regle!$I$23,
IF(Q190=regle!$J$11,regle!$J$23,
IF(Q190=regle!$K$11,regle!$K$23,0))))))))))))</f>
        <v>0</v>
      </c>
      <c r="AB190" s="17">
        <f>IF($A190,$J190*(IF(R190=regle!$B$11,regle!$B$23*IF(AK190=-2,1+regle!$B$35,1),
IF(R190=regle!$C$11,regle!$C$23,
IF(R190=regle!$D$11,regle!$D$23,
IF(R190=regle!$E$11,regle!$E$23,
IF(R190=regle!$F$11,regle!$F$23,
IF(R190=regle!$G$11,regle!$G$23,
IF(R190=regle!$H$11,regle!$H$23,
IF(R190=regle!$I$11,regle!$I$23,
IF(R190=regle!$J$11,regle!$J$23,
IF(R190=regle!$K$11,regle!$K$23,0))))))))))))</f>
        <v>0</v>
      </c>
      <c r="AC190" s="17">
        <f>IF($A190,$J190*(IF(S190=regle!$B$11,regle!$B$23*IF(AL190=-2,1+regle!$B$35,1),
IF(S190=regle!$C$11,regle!$C$23,
IF(S190=regle!$D$11,regle!$D$23,
IF(S190=regle!$E$11,regle!$E$23,
IF(S190=regle!$F$11,regle!$F$23,
IF(S190=regle!$G$11,regle!$G$23,
IF(S190=regle!$H$11,regle!$H$23,
IF(S190=regle!$I$11,regle!$I$23,
IF(S190=regle!$J$11,regle!$J$23,
IF(S190=regle!$K$11,regle!$K$23,0))))))))))))</f>
        <v>0</v>
      </c>
      <c r="AD190" s="17">
        <f>IF($A190,$J190*(IF(T190=regle!$B$11,regle!$B$23*IF(AM190=-2,1+regle!$B$35,1),
IF(T190=regle!$C$11,regle!$C$23,
IF(T190=regle!$D$11,regle!$D$23,
IF(T190=regle!$E$11,regle!$E$23,
IF(T190=regle!$F$11,regle!$F$23,
IF(T190=regle!$G$11,regle!$G$23,
IF(T190=regle!$H$11,regle!$H$23,
IF(T190=regle!$I$11,regle!$I$23,
IF(T190=regle!$J$11,regle!$J$23,
IF(T190=regle!$K$11,regle!$K$23,0))))))))))))</f>
        <v>107.19359999999999</v>
      </c>
      <c r="AE190" s="17">
        <f>IF($A190,$J190*(IF(U190=regle!$B$11,regle!$B$23*IF(AN190=-2,1+regle!$B$35,1),
IF(U190=regle!$C$11,regle!$C$23,
IF(U190=regle!$D$11,regle!$D$23,
IF(U190=regle!$E$11,regle!$E$23,
IF(U190=regle!$F$11,regle!$F$23,
IF(U190=regle!$G$11,regle!$G$23,
IF(U190=regle!$H$11,regle!$H$23,
IF(U190=regle!$I$11,regle!$I$23,
IF(U190=regle!$J$11,regle!$J$23,
IF(U190=regle!$K$11,regle!$K$23,0))))))))))))</f>
        <v>0</v>
      </c>
      <c r="AF190" s="17">
        <f>IF($A190,$J190*(IF(V190=regle!$B$11,regle!$B$23*IF(AO190=-2,1+regle!$B$35,1),
IF(V190=regle!$C$11,regle!$C$23,
IF(V190=regle!$D$11,regle!$D$23,
IF(V190=regle!$E$11,regle!$E$23,
IF(V190=regle!$F$11,regle!$F$23,
IF(V190=regle!$G$11,regle!$G$23,
IF(V190=regle!$H$11,regle!$H$23,
IF(V190=regle!$I$11,regle!$I$23,
IF(V190=regle!$J$11,regle!$J$23,
IF(V190=regle!$K$11,regle!$K$23,0))))))))))))</f>
        <v>0</v>
      </c>
      <c r="AG190" s="17">
        <f>IF($A190,$J190*(IF(W190=regle!$B$11,regle!$B$23*IF(AP190=-2,1+regle!$B$35,1),
IF(W190=regle!$C$11,regle!$C$23,
IF(W190=regle!$D$11,regle!$D$23,
IF(W190=regle!$E$11,regle!$E$23,
IF(W190=regle!$F$11,regle!$F$23,
IF(W190=regle!$G$11,regle!$G$23,
IF(W190=regle!$H$11,regle!$H$23,
IF(W190=regle!$I$11,regle!$I$23,
IF(W190=regle!$J$11,regle!$J$23,
IF(W190=regle!$K$11,regle!$K$23,0))))))))))))</f>
        <v>0</v>
      </c>
      <c r="AH190" s="17">
        <f>IF($A190,$J190*(IF(X190=regle!$B$11,regle!$B$23*IF(AQ190=-2,1+regle!$B$35,1),
IF(X190=regle!$C$11,regle!$C$23,
IF(X190=regle!$D$11,regle!$D$23,
IF(X190=regle!$E$11,regle!$E$23,
IF(X190=regle!$F$11,regle!$F$23,
IF(X190=regle!$G$11,regle!$G$23,
IF(X190=regle!$H$11,regle!$H$23,
IF(X190=regle!$I$11,regle!$I$23,
IF(X190=regle!$J$11,regle!$J$23,
IF(X190=regle!$K$11,regle!$K$23,0))))))))))))</f>
        <v>0</v>
      </c>
      <c r="AI190" s="17">
        <f>IF($A190,$J190*(IF(Y190=regle!$B$11,regle!$B$23*IF(AR190=-2,1+regle!$B$35,1),
IF(Y190=regle!$C$11,regle!$C$23,
IF(Y190=regle!$D$11,regle!$D$23,
IF(Y190=regle!$E$11,regle!$E$23,
IF(Y190=regle!$F$11,regle!$F$23,
IF(Y190=regle!$G$11,regle!$G$23,
IF(Y190=regle!$H$11,regle!$H$23,
IF(Y190=regle!$I$11,regle!$I$23,
IF(Y190=regle!$J$11,regle!$J$23,
IF(Y190=regle!$K$11,regle!$K$23,0))))))))))))</f>
        <v>156.32399999999998</v>
      </c>
      <c r="AJ190" s="17">
        <f>IF($A190,$J190*(IF(Z190=regle!$B$11,regle!$B$23*IF(AS190=-2,1+regle!$B$35,1),
IF(Z190=regle!$C$11,regle!$C$23,
IF(Z190=regle!$D$11,regle!$D$23,
IF(Z190=regle!$E$11,regle!$E$23,
IF(Z190=regle!$F$11,regle!$F$23,
IF(Z190=regle!$G$11,regle!$G$23,
IF(Z190=regle!$H$11,regle!$H$23,
IF(Z190=regle!$I$11,regle!$I$23,
IF(Z190=regle!$J$11,regle!$J$23,
IF(Z190=regle!$K$11,regle!$K$23,0))))))))))))</f>
        <v>0</v>
      </c>
      <c r="AK190" s="16">
        <f>IF(OR(Q190=regle!$J$11,Q190=regle!$K$11),-2,IF(Q190=regle!$B$11,0,IF(AK$1=$AK$1,IF($O190,-1,regle!$B$2-$M190),IF(AJ190=-1,-1,AJ190+1))))</f>
        <v>9</v>
      </c>
      <c r="AL190" s="16">
        <f>IF(OR(R190=regle!$J$11,R190=regle!$K$11),-2,IF(R190=regle!$B$11,0,IF(AL$1=$AK$1,IF($O190,-1,regle!$B$2-$M190),IF(AK190=-1,-1,AK190+1))))</f>
        <v>10</v>
      </c>
      <c r="AM190" s="16">
        <f>IF(OR(S190=regle!$J$11,S190=regle!$K$11),-2,IF(S190=regle!$B$11,0,IF(AM$1=$AK$1,IF($O190,-1,regle!$B$2-$M190),IF(AL190=-1,-1,AL190+1))))</f>
        <v>11</v>
      </c>
      <c r="AN190" s="16">
        <f>IF(OR(T190=regle!$J$11,T190=regle!$K$11),-2,IF(T190=regle!$B$11,0,IF(AN$1=$AK$1,IF($O190,-1,regle!$B$2-$M190),IF(AM190=-1,-1,AM190+1))))</f>
        <v>12</v>
      </c>
      <c r="AO190" s="16">
        <f>IF(OR(U190=regle!$J$11,U190=regle!$K$11),-2,IF(U190=regle!$B$11,0,IF(AO$1=$AK$1,IF($O190,-1,regle!$B$2-$M190),IF(AN190=-1,-1,AN190+1))))</f>
        <v>13</v>
      </c>
      <c r="AP190" s="16">
        <f>IF(OR(V190=regle!$J$11,V190=regle!$K$11),-2,IF(V190=regle!$B$11,0,IF(AP$1=$AK$1,IF($O190,-1,regle!$B$2-$M190),IF(AO190=-1,-1,AO190+1))))</f>
        <v>14</v>
      </c>
      <c r="AQ190" s="16">
        <f>IF(OR(W190=regle!$J$11,W190=regle!$K$11),-2,IF(W190=regle!$B$11,0,IF(AQ$1=$AK$1,IF($O190,-1,regle!$B$2-$M190),IF(AP190=-1,-1,AP190+1))))</f>
        <v>15</v>
      </c>
      <c r="AR190" s="16">
        <f>IF(OR(X190=regle!$J$11,X190=regle!$K$11),-2,IF(X190=regle!$B$11,0,IF(AR$1=$AK$1,IF($O190,-1,regle!$B$2-$M190),IF(AQ190=-1,-1,AQ190+1))))</f>
        <v>16</v>
      </c>
      <c r="AS190" s="16">
        <f>IF(OR(Y190=regle!$J$11,Y190=regle!$K$11),-2,IF(Y190=regle!$B$11,0,IF(AS$1=$AK$1,IF($O190,-1,regle!$B$2-$M190),IF(AR190=-1,-1,AR190+1))))</f>
        <v>17</v>
      </c>
      <c r="AT190" s="16">
        <f>IF(OR(Z190=regle!$J$11,Z190=regle!$K$11),-2,IF(Z190=regle!$B$11,0,IF(AT$1=$AK$1,IF($O190,-1,regle!$B$2-$M190),IF(AS190=-1,-1,AS190+1))))</f>
        <v>18</v>
      </c>
    </row>
    <row r="191" spans="1:46" x14ac:dyDescent="0.25">
      <c r="A191" t="b">
        <f>modif0!A132</f>
        <v>1</v>
      </c>
      <c r="B191">
        <f>ROW(modif0!B132)</f>
        <v>132</v>
      </c>
      <c r="C191" t="str">
        <f>modif0!D132</f>
        <v>202</v>
      </c>
      <c r="D191" t="str">
        <f>modif0!E132</f>
        <v>HOSTENS</v>
      </c>
      <c r="E191">
        <f>modif0!F132</f>
        <v>11</v>
      </c>
      <c r="F191" t="str">
        <f>modif0!G132</f>
        <v>LES CAZALAS</v>
      </c>
      <c r="G191" t="str">
        <f>modif0!I132</f>
        <v>0B</v>
      </c>
      <c r="H191">
        <f>modif0!J132</f>
        <v>1157</v>
      </c>
      <c r="I191" t="str">
        <f>modif0!K132</f>
        <v/>
      </c>
      <c r="J191" s="11">
        <f>modif0!M132</f>
        <v>0.18</v>
      </c>
      <c r="K191" s="11" t="str">
        <f>modif0!P132</f>
        <v>PLA</v>
      </c>
      <c r="L191" t="str">
        <f>modif0!N132</f>
        <v>PM</v>
      </c>
      <c r="M191">
        <f>modif0!Q132</f>
        <v>2015</v>
      </c>
      <c r="N191" t="str">
        <f>modif0!R132</f>
        <v>PLA-PM_2015</v>
      </c>
      <c r="O191" t="b">
        <f>modif0!S132</f>
        <v>0</v>
      </c>
      <c r="P191">
        <v>40</v>
      </c>
      <c r="T191" t="s">
        <v>1803</v>
      </c>
      <c r="Y191" t="s">
        <v>1804</v>
      </c>
      <c r="AA191" s="17">
        <f>IF($A191,$J191*(IF(Q191=regle!$B$11,regle!$B$23*IF(AJ191=-2,1+regle!$B$35,1),
IF(Q191=regle!$C$11,regle!$C$23,
IF(Q191=regle!$D$11,regle!$D$23,
IF(Q191=regle!$E$11,regle!$E$23,
IF(Q191=regle!$F$11,regle!$F$23,
IF(Q191=regle!$G$11,regle!$G$23,
IF(Q191=regle!$H$11,regle!$H$23,
IF(Q191=regle!$I$11,regle!$I$23,
IF(Q191=regle!$J$11,regle!$J$23,
IF(Q191=regle!$K$11,regle!$K$23,0))))))))))))</f>
        <v>0</v>
      </c>
      <c r="AB191" s="17">
        <f>IF($A191,$J191*(IF(R191=regle!$B$11,regle!$B$23*IF(AK191=-2,1+regle!$B$35,1),
IF(R191=regle!$C$11,regle!$C$23,
IF(R191=regle!$D$11,regle!$D$23,
IF(R191=regle!$E$11,regle!$E$23,
IF(R191=regle!$F$11,regle!$F$23,
IF(R191=regle!$G$11,regle!$G$23,
IF(R191=regle!$H$11,regle!$H$23,
IF(R191=regle!$I$11,regle!$I$23,
IF(R191=regle!$J$11,regle!$J$23,
IF(R191=regle!$K$11,regle!$K$23,0))))))))))))</f>
        <v>0</v>
      </c>
      <c r="AC191" s="17">
        <f>IF($A191,$J191*(IF(S191=regle!$B$11,regle!$B$23*IF(AL191=-2,1+regle!$B$35,1),
IF(S191=regle!$C$11,regle!$C$23,
IF(S191=regle!$D$11,regle!$D$23,
IF(S191=regle!$E$11,regle!$E$23,
IF(S191=regle!$F$11,regle!$F$23,
IF(S191=regle!$G$11,regle!$G$23,
IF(S191=regle!$H$11,regle!$H$23,
IF(S191=regle!$I$11,regle!$I$23,
IF(S191=regle!$J$11,regle!$J$23,
IF(S191=regle!$K$11,regle!$K$23,0))))))))))))</f>
        <v>0</v>
      </c>
      <c r="AD191" s="17">
        <f>IF($A191,$J191*(IF(T191=regle!$B$11,regle!$B$23*IF(AM191=-2,1+regle!$B$35,1),
IF(T191=regle!$C$11,regle!$C$23,
IF(T191=regle!$D$11,regle!$D$23,
IF(T191=regle!$E$11,regle!$E$23,
IF(T191=regle!$F$11,regle!$F$23,
IF(T191=regle!$G$11,regle!$G$23,
IF(T191=regle!$H$11,regle!$H$23,
IF(T191=regle!$I$11,regle!$I$23,
IF(T191=regle!$J$11,regle!$J$23,
IF(T191=regle!$K$11,regle!$K$23,0))))))))))))</f>
        <v>103.67999999999999</v>
      </c>
      <c r="AE191" s="17">
        <f>IF($A191,$J191*(IF(U191=regle!$B$11,regle!$B$23*IF(AN191=-2,1+regle!$B$35,1),
IF(U191=regle!$C$11,regle!$C$23,
IF(U191=regle!$D$11,regle!$D$23,
IF(U191=regle!$E$11,regle!$E$23,
IF(U191=regle!$F$11,regle!$F$23,
IF(U191=regle!$G$11,regle!$G$23,
IF(U191=regle!$H$11,regle!$H$23,
IF(U191=regle!$I$11,regle!$I$23,
IF(U191=regle!$J$11,regle!$J$23,
IF(U191=regle!$K$11,regle!$K$23,0))))))))))))</f>
        <v>0</v>
      </c>
      <c r="AF191" s="17">
        <f>IF($A191,$J191*(IF(V191=regle!$B$11,regle!$B$23*IF(AO191=-2,1+regle!$B$35,1),
IF(V191=regle!$C$11,regle!$C$23,
IF(V191=regle!$D$11,regle!$D$23,
IF(V191=regle!$E$11,regle!$E$23,
IF(V191=regle!$F$11,regle!$F$23,
IF(V191=regle!$G$11,regle!$G$23,
IF(V191=regle!$H$11,regle!$H$23,
IF(V191=regle!$I$11,regle!$I$23,
IF(V191=regle!$J$11,regle!$J$23,
IF(V191=regle!$K$11,regle!$K$23,0))))))))))))</f>
        <v>0</v>
      </c>
      <c r="AG191" s="17">
        <f>IF($A191,$J191*(IF(W191=regle!$B$11,regle!$B$23*IF(AP191=-2,1+regle!$B$35,1),
IF(W191=regle!$C$11,regle!$C$23,
IF(W191=regle!$D$11,regle!$D$23,
IF(W191=regle!$E$11,regle!$E$23,
IF(W191=regle!$F$11,regle!$F$23,
IF(W191=regle!$G$11,regle!$G$23,
IF(W191=regle!$H$11,regle!$H$23,
IF(W191=regle!$I$11,regle!$I$23,
IF(W191=regle!$J$11,regle!$J$23,
IF(W191=regle!$K$11,regle!$K$23,0))))))))))))</f>
        <v>0</v>
      </c>
      <c r="AH191" s="17">
        <f>IF($A191,$J191*(IF(X191=regle!$B$11,regle!$B$23*IF(AQ191=-2,1+regle!$B$35,1),
IF(X191=regle!$C$11,regle!$C$23,
IF(X191=regle!$D$11,regle!$D$23,
IF(X191=regle!$E$11,regle!$E$23,
IF(X191=regle!$F$11,regle!$F$23,
IF(X191=regle!$G$11,regle!$G$23,
IF(X191=regle!$H$11,regle!$H$23,
IF(X191=regle!$I$11,regle!$I$23,
IF(X191=regle!$J$11,regle!$J$23,
IF(X191=regle!$K$11,regle!$K$23,0))))))))))))</f>
        <v>0</v>
      </c>
      <c r="AI191" s="17">
        <f>IF($A191,$J191*(IF(Y191=regle!$B$11,regle!$B$23*IF(AR191=-2,1+regle!$B$35,1),
IF(Y191=regle!$C$11,regle!$C$23,
IF(Y191=regle!$D$11,regle!$D$23,
IF(Y191=regle!$E$11,regle!$E$23,
IF(Y191=regle!$F$11,regle!$F$23,
IF(Y191=regle!$G$11,regle!$G$23,
IF(Y191=regle!$H$11,regle!$H$23,
IF(Y191=regle!$I$11,regle!$I$23,
IF(Y191=regle!$J$11,regle!$J$23,
IF(Y191=regle!$K$11,regle!$K$23,0))))))))))))</f>
        <v>151.19999999999999</v>
      </c>
      <c r="AJ191" s="17">
        <f>IF($A191,$J191*(IF(Z191=regle!$B$11,regle!$B$23*IF(AS191=-2,1+regle!$B$35,1),
IF(Z191=regle!$C$11,regle!$C$23,
IF(Z191=regle!$D$11,regle!$D$23,
IF(Z191=regle!$E$11,regle!$E$23,
IF(Z191=regle!$F$11,regle!$F$23,
IF(Z191=regle!$G$11,regle!$G$23,
IF(Z191=regle!$H$11,regle!$H$23,
IF(Z191=regle!$I$11,regle!$I$23,
IF(Z191=regle!$J$11,regle!$J$23,
IF(Z191=regle!$K$11,regle!$K$23,0))))))))))))</f>
        <v>0</v>
      </c>
      <c r="AK191" s="16">
        <f>IF(OR(Q191=regle!$J$11,Q191=regle!$K$11),-2,IF(Q191=regle!$B$11,0,IF(AK$1=$AK$1,IF($O191,-1,regle!$B$2-$M191),IF(AJ191=-1,-1,AJ191+1))))</f>
        <v>9</v>
      </c>
      <c r="AL191" s="16">
        <f>IF(OR(R191=regle!$J$11,R191=regle!$K$11),-2,IF(R191=regle!$B$11,0,IF(AL$1=$AK$1,IF($O191,-1,regle!$B$2-$M191),IF(AK191=-1,-1,AK191+1))))</f>
        <v>10</v>
      </c>
      <c r="AM191" s="16">
        <f>IF(OR(S191=regle!$J$11,S191=regle!$K$11),-2,IF(S191=regle!$B$11,0,IF(AM$1=$AK$1,IF($O191,-1,regle!$B$2-$M191),IF(AL191=-1,-1,AL191+1))))</f>
        <v>11</v>
      </c>
      <c r="AN191" s="16">
        <f>IF(OR(T191=regle!$J$11,T191=regle!$K$11),-2,IF(T191=regle!$B$11,0,IF(AN$1=$AK$1,IF($O191,-1,regle!$B$2-$M191),IF(AM191=-1,-1,AM191+1))))</f>
        <v>12</v>
      </c>
      <c r="AO191" s="16">
        <f>IF(OR(U191=regle!$J$11,U191=regle!$K$11),-2,IF(U191=regle!$B$11,0,IF(AO$1=$AK$1,IF($O191,-1,regle!$B$2-$M191),IF(AN191=-1,-1,AN191+1))))</f>
        <v>13</v>
      </c>
      <c r="AP191" s="16">
        <f>IF(OR(V191=regle!$J$11,V191=regle!$K$11),-2,IF(V191=regle!$B$11,0,IF(AP$1=$AK$1,IF($O191,-1,regle!$B$2-$M191),IF(AO191=-1,-1,AO191+1))))</f>
        <v>14</v>
      </c>
      <c r="AQ191" s="16">
        <f>IF(OR(W191=regle!$J$11,W191=regle!$K$11),-2,IF(W191=regle!$B$11,0,IF(AQ$1=$AK$1,IF($O191,-1,regle!$B$2-$M191),IF(AP191=-1,-1,AP191+1))))</f>
        <v>15</v>
      </c>
      <c r="AR191" s="16">
        <f>IF(OR(X191=regle!$J$11,X191=regle!$K$11),-2,IF(X191=regle!$B$11,0,IF(AR$1=$AK$1,IF($O191,-1,regle!$B$2-$M191),IF(AQ191=-1,-1,AQ191+1))))</f>
        <v>16</v>
      </c>
      <c r="AS191" s="16">
        <f>IF(OR(Y191=regle!$J$11,Y191=regle!$K$11),-2,IF(Y191=regle!$B$11,0,IF(AS$1=$AK$1,IF($O191,-1,regle!$B$2-$M191),IF(AR191=-1,-1,AR191+1))))</f>
        <v>17</v>
      </c>
      <c r="AT191" s="16">
        <f>IF(OR(Z191=regle!$J$11,Z191=regle!$K$11),-2,IF(Z191=regle!$B$11,0,IF(AT$1=$AK$1,IF($O191,-1,regle!$B$2-$M191),IF(AS191=-1,-1,AS191+1))))</f>
        <v>18</v>
      </c>
    </row>
    <row r="192" spans="1:46" x14ac:dyDescent="0.25">
      <c r="A192" t="b">
        <f>modif0!A183</f>
        <v>1</v>
      </c>
      <c r="B192">
        <f>ROW(modif0!B183)</f>
        <v>183</v>
      </c>
      <c r="C192" t="str">
        <f>modif0!D183</f>
        <v>202</v>
      </c>
      <c r="D192" t="str">
        <f>modif0!E183</f>
        <v>HOSTENS</v>
      </c>
      <c r="E192">
        <f>modif0!F183</f>
        <v>8</v>
      </c>
      <c r="F192" t="str">
        <f>modif0!G183</f>
        <v>LES BECS</v>
      </c>
      <c r="G192" t="str">
        <f>modif0!I183</f>
        <v>0B</v>
      </c>
      <c r="H192">
        <f>modif0!J183</f>
        <v>1213</v>
      </c>
      <c r="I192" t="str">
        <f>modif0!K183</f>
        <v>k</v>
      </c>
      <c r="J192" s="11">
        <f>modif0!M183</f>
        <v>0.1444</v>
      </c>
      <c r="K192" s="11" t="str">
        <f>modif0!P183</f>
        <v>PLA</v>
      </c>
      <c r="L192" t="str">
        <f>modif0!N183</f>
        <v>PM</v>
      </c>
      <c r="M192">
        <f>modif0!Q183</f>
        <v>2015</v>
      </c>
      <c r="N192" t="str">
        <f>modif0!R183</f>
        <v>PLA-PM_2015</v>
      </c>
      <c r="O192" t="b">
        <f>modif0!S183</f>
        <v>0</v>
      </c>
      <c r="P192">
        <v>40</v>
      </c>
      <c r="T192" t="s">
        <v>1803</v>
      </c>
      <c r="Y192" t="s">
        <v>1804</v>
      </c>
      <c r="AA192" s="17">
        <f>IF($A192,$J192*(IF(Q192=regle!$B$11,regle!$B$23*IF(AJ192=-2,1+regle!$B$35,1),
IF(Q192=regle!$C$11,regle!$C$23,
IF(Q192=regle!$D$11,regle!$D$23,
IF(Q192=regle!$E$11,regle!$E$23,
IF(Q192=regle!$F$11,regle!$F$23,
IF(Q192=regle!$G$11,regle!$G$23,
IF(Q192=regle!$H$11,regle!$H$23,
IF(Q192=regle!$I$11,regle!$I$23,
IF(Q192=regle!$J$11,regle!$J$23,
IF(Q192=regle!$K$11,regle!$K$23,0))))))))))))</f>
        <v>0</v>
      </c>
      <c r="AB192" s="17">
        <f>IF($A192,$J192*(IF(R192=regle!$B$11,regle!$B$23*IF(AK192=-2,1+regle!$B$35,1),
IF(R192=regle!$C$11,regle!$C$23,
IF(R192=regle!$D$11,regle!$D$23,
IF(R192=regle!$E$11,regle!$E$23,
IF(R192=regle!$F$11,regle!$F$23,
IF(R192=regle!$G$11,regle!$G$23,
IF(R192=regle!$H$11,regle!$H$23,
IF(R192=regle!$I$11,regle!$I$23,
IF(R192=regle!$J$11,regle!$J$23,
IF(R192=regle!$K$11,regle!$K$23,0))))))))))))</f>
        <v>0</v>
      </c>
      <c r="AC192" s="17">
        <f>IF($A192,$J192*(IF(S192=regle!$B$11,regle!$B$23*IF(AL192=-2,1+regle!$B$35,1),
IF(S192=regle!$C$11,regle!$C$23,
IF(S192=regle!$D$11,regle!$D$23,
IF(S192=regle!$E$11,regle!$E$23,
IF(S192=regle!$F$11,regle!$F$23,
IF(S192=regle!$G$11,regle!$G$23,
IF(S192=regle!$H$11,regle!$H$23,
IF(S192=regle!$I$11,regle!$I$23,
IF(S192=regle!$J$11,regle!$J$23,
IF(S192=regle!$K$11,regle!$K$23,0))))))))))))</f>
        <v>0</v>
      </c>
      <c r="AD192" s="17">
        <f>IF($A192,$J192*(IF(T192=regle!$B$11,regle!$B$23*IF(AM192=-2,1+regle!$B$35,1),
IF(T192=regle!$C$11,regle!$C$23,
IF(T192=regle!$D$11,regle!$D$23,
IF(T192=regle!$E$11,regle!$E$23,
IF(T192=regle!$F$11,regle!$F$23,
IF(T192=regle!$G$11,regle!$G$23,
IF(T192=regle!$H$11,regle!$H$23,
IF(T192=regle!$I$11,regle!$I$23,
IF(T192=regle!$J$11,regle!$J$23,
IF(T192=regle!$K$11,regle!$K$23,0))))))))))))</f>
        <v>83.174400000000006</v>
      </c>
      <c r="AE192" s="17">
        <f>IF($A192,$J192*(IF(U192=regle!$B$11,regle!$B$23*IF(AN192=-2,1+regle!$B$35,1),
IF(U192=regle!$C$11,regle!$C$23,
IF(U192=regle!$D$11,regle!$D$23,
IF(U192=regle!$E$11,regle!$E$23,
IF(U192=regle!$F$11,regle!$F$23,
IF(U192=regle!$G$11,regle!$G$23,
IF(U192=regle!$H$11,regle!$H$23,
IF(U192=regle!$I$11,regle!$I$23,
IF(U192=regle!$J$11,regle!$J$23,
IF(U192=regle!$K$11,regle!$K$23,0))))))))))))</f>
        <v>0</v>
      </c>
      <c r="AF192" s="17">
        <f>IF($A192,$J192*(IF(V192=regle!$B$11,regle!$B$23*IF(AO192=-2,1+regle!$B$35,1),
IF(V192=regle!$C$11,regle!$C$23,
IF(V192=regle!$D$11,regle!$D$23,
IF(V192=regle!$E$11,regle!$E$23,
IF(V192=regle!$F$11,regle!$F$23,
IF(V192=regle!$G$11,regle!$G$23,
IF(V192=regle!$H$11,regle!$H$23,
IF(V192=regle!$I$11,regle!$I$23,
IF(V192=regle!$J$11,regle!$J$23,
IF(V192=regle!$K$11,regle!$K$23,0))))))))))))</f>
        <v>0</v>
      </c>
      <c r="AG192" s="17">
        <f>IF($A192,$J192*(IF(W192=regle!$B$11,regle!$B$23*IF(AP192=-2,1+regle!$B$35,1),
IF(W192=regle!$C$11,regle!$C$23,
IF(W192=regle!$D$11,regle!$D$23,
IF(W192=regle!$E$11,regle!$E$23,
IF(W192=regle!$F$11,regle!$F$23,
IF(W192=regle!$G$11,regle!$G$23,
IF(W192=regle!$H$11,regle!$H$23,
IF(W192=regle!$I$11,regle!$I$23,
IF(W192=regle!$J$11,regle!$J$23,
IF(W192=regle!$K$11,regle!$K$23,0))))))))))))</f>
        <v>0</v>
      </c>
      <c r="AH192" s="17">
        <f>IF($A192,$J192*(IF(X192=regle!$B$11,regle!$B$23*IF(AQ192=-2,1+regle!$B$35,1),
IF(X192=regle!$C$11,regle!$C$23,
IF(X192=regle!$D$11,regle!$D$23,
IF(X192=regle!$E$11,regle!$E$23,
IF(X192=regle!$F$11,regle!$F$23,
IF(X192=regle!$G$11,regle!$G$23,
IF(X192=regle!$H$11,regle!$H$23,
IF(X192=regle!$I$11,regle!$I$23,
IF(X192=regle!$J$11,regle!$J$23,
IF(X192=regle!$K$11,regle!$K$23,0))))))))))))</f>
        <v>0</v>
      </c>
      <c r="AI192" s="17">
        <f>IF($A192,$J192*(IF(Y192=regle!$B$11,regle!$B$23*IF(AR192=-2,1+regle!$B$35,1),
IF(Y192=regle!$C$11,regle!$C$23,
IF(Y192=regle!$D$11,regle!$D$23,
IF(Y192=regle!$E$11,regle!$E$23,
IF(Y192=regle!$F$11,regle!$F$23,
IF(Y192=regle!$G$11,regle!$G$23,
IF(Y192=regle!$H$11,regle!$H$23,
IF(Y192=regle!$I$11,regle!$I$23,
IF(Y192=regle!$J$11,regle!$J$23,
IF(Y192=regle!$K$11,regle!$K$23,0))))))))))))</f>
        <v>121.29600000000001</v>
      </c>
      <c r="AJ192" s="17">
        <f>IF($A192,$J192*(IF(Z192=regle!$B$11,regle!$B$23*IF(AS192=-2,1+regle!$B$35,1),
IF(Z192=regle!$C$11,regle!$C$23,
IF(Z192=regle!$D$11,regle!$D$23,
IF(Z192=regle!$E$11,regle!$E$23,
IF(Z192=regle!$F$11,regle!$F$23,
IF(Z192=regle!$G$11,regle!$G$23,
IF(Z192=regle!$H$11,regle!$H$23,
IF(Z192=regle!$I$11,regle!$I$23,
IF(Z192=regle!$J$11,regle!$J$23,
IF(Z192=regle!$K$11,regle!$K$23,0))))))))))))</f>
        <v>0</v>
      </c>
      <c r="AK192" s="16">
        <f>IF(OR(Q192=regle!$J$11,Q192=regle!$K$11),-2,IF(Q192=regle!$B$11,0,IF(AK$1=$AK$1,IF($O192,-1,regle!$B$2-$M192),IF(AJ192=-1,-1,AJ192+1))))</f>
        <v>9</v>
      </c>
      <c r="AL192" s="16">
        <f>IF(OR(R192=regle!$J$11,R192=regle!$K$11),-2,IF(R192=regle!$B$11,0,IF(AL$1=$AK$1,IF($O192,-1,regle!$B$2-$M192),IF(AK192=-1,-1,AK192+1))))</f>
        <v>10</v>
      </c>
      <c r="AM192" s="16">
        <f>IF(OR(S192=regle!$J$11,S192=regle!$K$11),-2,IF(S192=regle!$B$11,0,IF(AM$1=$AK$1,IF($O192,-1,regle!$B$2-$M192),IF(AL192=-1,-1,AL192+1))))</f>
        <v>11</v>
      </c>
      <c r="AN192" s="16">
        <f>IF(OR(T192=regle!$J$11,T192=regle!$K$11),-2,IF(T192=regle!$B$11,0,IF(AN$1=$AK$1,IF($O192,-1,regle!$B$2-$M192),IF(AM192=-1,-1,AM192+1))))</f>
        <v>12</v>
      </c>
      <c r="AO192" s="16">
        <f>IF(OR(U192=regle!$J$11,U192=regle!$K$11),-2,IF(U192=regle!$B$11,0,IF(AO$1=$AK$1,IF($O192,-1,regle!$B$2-$M192),IF(AN192=-1,-1,AN192+1))))</f>
        <v>13</v>
      </c>
      <c r="AP192" s="16">
        <f>IF(OR(V192=regle!$J$11,V192=regle!$K$11),-2,IF(V192=regle!$B$11,0,IF(AP$1=$AK$1,IF($O192,-1,regle!$B$2-$M192),IF(AO192=-1,-1,AO192+1))))</f>
        <v>14</v>
      </c>
      <c r="AQ192" s="16">
        <f>IF(OR(W192=regle!$J$11,W192=regle!$K$11),-2,IF(W192=regle!$B$11,0,IF(AQ$1=$AK$1,IF($O192,-1,regle!$B$2-$M192),IF(AP192=-1,-1,AP192+1))))</f>
        <v>15</v>
      </c>
      <c r="AR192" s="16">
        <f>IF(OR(X192=regle!$J$11,X192=regle!$K$11),-2,IF(X192=regle!$B$11,0,IF(AR$1=$AK$1,IF($O192,-1,regle!$B$2-$M192),IF(AQ192=-1,-1,AQ192+1))))</f>
        <v>16</v>
      </c>
      <c r="AS192" s="16">
        <f>IF(OR(Y192=regle!$J$11,Y192=regle!$K$11),-2,IF(Y192=regle!$B$11,0,IF(AS$1=$AK$1,IF($O192,-1,regle!$B$2-$M192),IF(AR192=-1,-1,AR192+1))))</f>
        <v>17</v>
      </c>
      <c r="AT192" s="16">
        <f>IF(OR(Z192=regle!$J$11,Z192=regle!$K$11),-2,IF(Z192=regle!$B$11,0,IF(AT$1=$AK$1,IF($O192,-1,regle!$B$2-$M192),IF(AS192=-1,-1,AS192+1))))</f>
        <v>18</v>
      </c>
    </row>
    <row r="193" spans="1:46" x14ac:dyDescent="0.25">
      <c r="A193" t="b">
        <f>modif0!A169</f>
        <v>1</v>
      </c>
      <c r="B193">
        <f>ROW(modif0!B169)</f>
        <v>169</v>
      </c>
      <c r="C193" t="str">
        <f>modif0!D169</f>
        <v>202</v>
      </c>
      <c r="D193" t="str">
        <f>modif0!E169</f>
        <v>HOSTENS</v>
      </c>
      <c r="E193">
        <f>modif0!F169</f>
        <v>11</v>
      </c>
      <c r="F193" t="str">
        <f>modif0!G169</f>
        <v>LES CAZALAS</v>
      </c>
      <c r="G193" t="str">
        <f>modif0!I169</f>
        <v>0B</v>
      </c>
      <c r="H193">
        <f>modif0!J169</f>
        <v>1196</v>
      </c>
      <c r="I193" t="str">
        <f>modif0!K169</f>
        <v/>
      </c>
      <c r="J193" s="11">
        <f>modif0!M169</f>
        <v>0.14299999999999999</v>
      </c>
      <c r="K193" s="11" t="str">
        <f>modif0!P169</f>
        <v>PLA</v>
      </c>
      <c r="L193" t="str">
        <f>modif0!N169</f>
        <v>PM</v>
      </c>
      <c r="M193">
        <f>modif0!Q169</f>
        <v>2015</v>
      </c>
      <c r="N193" t="str">
        <f>modif0!R169</f>
        <v>PLA-PM_2015</v>
      </c>
      <c r="O193" t="b">
        <f>modif0!S169</f>
        <v>0</v>
      </c>
      <c r="P193">
        <v>40</v>
      </c>
      <c r="T193" t="s">
        <v>1803</v>
      </c>
      <c r="Y193" t="s">
        <v>1804</v>
      </c>
      <c r="AA193" s="17">
        <f>IF($A193,$J193*(IF(Q193=regle!$B$11,regle!$B$23*IF(AJ193=-2,1+regle!$B$35,1),
IF(Q193=regle!$C$11,regle!$C$23,
IF(Q193=regle!$D$11,regle!$D$23,
IF(Q193=regle!$E$11,regle!$E$23,
IF(Q193=regle!$F$11,regle!$F$23,
IF(Q193=regle!$G$11,regle!$G$23,
IF(Q193=regle!$H$11,regle!$H$23,
IF(Q193=regle!$I$11,regle!$I$23,
IF(Q193=regle!$J$11,regle!$J$23,
IF(Q193=regle!$K$11,regle!$K$23,0))))))))))))</f>
        <v>0</v>
      </c>
      <c r="AB193" s="17">
        <f>IF($A193,$J193*(IF(R193=regle!$B$11,regle!$B$23*IF(AK193=-2,1+regle!$B$35,1),
IF(R193=regle!$C$11,regle!$C$23,
IF(R193=regle!$D$11,regle!$D$23,
IF(R193=regle!$E$11,regle!$E$23,
IF(R193=regle!$F$11,regle!$F$23,
IF(R193=regle!$G$11,regle!$G$23,
IF(R193=regle!$H$11,regle!$H$23,
IF(R193=regle!$I$11,regle!$I$23,
IF(R193=regle!$J$11,regle!$J$23,
IF(R193=regle!$K$11,regle!$K$23,0))))))))))))</f>
        <v>0</v>
      </c>
      <c r="AC193" s="17">
        <f>IF($A193,$J193*(IF(S193=regle!$B$11,regle!$B$23*IF(AL193=-2,1+regle!$B$35,1),
IF(S193=regle!$C$11,regle!$C$23,
IF(S193=regle!$D$11,regle!$D$23,
IF(S193=regle!$E$11,regle!$E$23,
IF(S193=regle!$F$11,regle!$F$23,
IF(S193=regle!$G$11,regle!$G$23,
IF(S193=regle!$H$11,regle!$H$23,
IF(S193=regle!$I$11,regle!$I$23,
IF(S193=regle!$J$11,regle!$J$23,
IF(S193=regle!$K$11,regle!$K$23,0))))))))))))</f>
        <v>0</v>
      </c>
      <c r="AD193" s="17">
        <f>IF($A193,$J193*(IF(T193=regle!$B$11,regle!$B$23*IF(AM193=-2,1+regle!$B$35,1),
IF(T193=regle!$C$11,regle!$C$23,
IF(T193=regle!$D$11,regle!$D$23,
IF(T193=regle!$E$11,regle!$E$23,
IF(T193=regle!$F$11,regle!$F$23,
IF(T193=regle!$G$11,regle!$G$23,
IF(T193=regle!$H$11,regle!$H$23,
IF(T193=regle!$I$11,regle!$I$23,
IF(T193=regle!$J$11,regle!$J$23,
IF(T193=regle!$K$11,regle!$K$23,0))))))))))))</f>
        <v>82.367999999999995</v>
      </c>
      <c r="AE193" s="17">
        <f>IF($A193,$J193*(IF(U193=regle!$B$11,regle!$B$23*IF(AN193=-2,1+regle!$B$35,1),
IF(U193=regle!$C$11,regle!$C$23,
IF(U193=regle!$D$11,regle!$D$23,
IF(U193=regle!$E$11,regle!$E$23,
IF(U193=regle!$F$11,regle!$F$23,
IF(U193=regle!$G$11,regle!$G$23,
IF(U193=regle!$H$11,regle!$H$23,
IF(U193=regle!$I$11,regle!$I$23,
IF(U193=regle!$J$11,regle!$J$23,
IF(U193=regle!$K$11,regle!$K$23,0))))))))))))</f>
        <v>0</v>
      </c>
      <c r="AF193" s="17">
        <f>IF($A193,$J193*(IF(V193=regle!$B$11,regle!$B$23*IF(AO193=-2,1+regle!$B$35,1),
IF(V193=regle!$C$11,regle!$C$23,
IF(V193=regle!$D$11,regle!$D$23,
IF(V193=regle!$E$11,regle!$E$23,
IF(V193=regle!$F$11,regle!$F$23,
IF(V193=regle!$G$11,regle!$G$23,
IF(V193=regle!$H$11,regle!$H$23,
IF(V193=regle!$I$11,regle!$I$23,
IF(V193=regle!$J$11,regle!$J$23,
IF(V193=regle!$K$11,regle!$K$23,0))))))))))))</f>
        <v>0</v>
      </c>
      <c r="AG193" s="17">
        <f>IF($A193,$J193*(IF(W193=regle!$B$11,regle!$B$23*IF(AP193=-2,1+regle!$B$35,1),
IF(W193=regle!$C$11,regle!$C$23,
IF(W193=regle!$D$11,regle!$D$23,
IF(W193=regle!$E$11,regle!$E$23,
IF(W193=regle!$F$11,regle!$F$23,
IF(W193=regle!$G$11,regle!$G$23,
IF(W193=regle!$H$11,regle!$H$23,
IF(W193=regle!$I$11,regle!$I$23,
IF(W193=regle!$J$11,regle!$J$23,
IF(W193=regle!$K$11,regle!$K$23,0))))))))))))</f>
        <v>0</v>
      </c>
      <c r="AH193" s="17">
        <f>IF($A193,$J193*(IF(X193=regle!$B$11,regle!$B$23*IF(AQ193=-2,1+regle!$B$35,1),
IF(X193=regle!$C$11,regle!$C$23,
IF(X193=regle!$D$11,regle!$D$23,
IF(X193=regle!$E$11,regle!$E$23,
IF(X193=regle!$F$11,regle!$F$23,
IF(X193=regle!$G$11,regle!$G$23,
IF(X193=regle!$H$11,regle!$H$23,
IF(X193=regle!$I$11,regle!$I$23,
IF(X193=regle!$J$11,regle!$J$23,
IF(X193=regle!$K$11,regle!$K$23,0))))))))))))</f>
        <v>0</v>
      </c>
      <c r="AI193" s="17">
        <f>IF($A193,$J193*(IF(Y193=regle!$B$11,regle!$B$23*IF(AR193=-2,1+regle!$B$35,1),
IF(Y193=regle!$C$11,regle!$C$23,
IF(Y193=regle!$D$11,regle!$D$23,
IF(Y193=regle!$E$11,regle!$E$23,
IF(Y193=regle!$F$11,regle!$F$23,
IF(Y193=regle!$G$11,regle!$G$23,
IF(Y193=regle!$H$11,regle!$H$23,
IF(Y193=regle!$I$11,regle!$I$23,
IF(Y193=regle!$J$11,regle!$J$23,
IF(Y193=regle!$K$11,regle!$K$23,0))))))))))))</f>
        <v>120.11999999999999</v>
      </c>
      <c r="AJ193" s="17">
        <f>IF($A193,$J193*(IF(Z193=regle!$B$11,regle!$B$23*IF(AS193=-2,1+regle!$B$35,1),
IF(Z193=regle!$C$11,regle!$C$23,
IF(Z193=regle!$D$11,regle!$D$23,
IF(Z193=regle!$E$11,regle!$E$23,
IF(Z193=regle!$F$11,regle!$F$23,
IF(Z193=regle!$G$11,regle!$G$23,
IF(Z193=regle!$H$11,regle!$H$23,
IF(Z193=regle!$I$11,regle!$I$23,
IF(Z193=regle!$J$11,regle!$J$23,
IF(Z193=regle!$K$11,regle!$K$23,0))))))))))))</f>
        <v>0</v>
      </c>
      <c r="AK193" s="16">
        <f>IF(OR(Q193=regle!$J$11,Q193=regle!$K$11),-2,IF(Q193=regle!$B$11,0,IF(AK$1=$AK$1,IF($O193,-1,regle!$B$2-$M193),IF(AJ193=-1,-1,AJ193+1))))</f>
        <v>9</v>
      </c>
      <c r="AL193" s="16">
        <f>IF(OR(R193=regle!$J$11,R193=regle!$K$11),-2,IF(R193=regle!$B$11,0,IF(AL$1=$AK$1,IF($O193,-1,regle!$B$2-$M193),IF(AK193=-1,-1,AK193+1))))</f>
        <v>10</v>
      </c>
      <c r="AM193" s="16">
        <f>IF(OR(S193=regle!$J$11,S193=regle!$K$11),-2,IF(S193=regle!$B$11,0,IF(AM$1=$AK$1,IF($O193,-1,regle!$B$2-$M193),IF(AL193=-1,-1,AL193+1))))</f>
        <v>11</v>
      </c>
      <c r="AN193" s="16">
        <f>IF(OR(T193=regle!$J$11,T193=regle!$K$11),-2,IF(T193=regle!$B$11,0,IF(AN$1=$AK$1,IF($O193,-1,regle!$B$2-$M193),IF(AM193=-1,-1,AM193+1))))</f>
        <v>12</v>
      </c>
      <c r="AO193" s="16">
        <f>IF(OR(U193=regle!$J$11,U193=regle!$K$11),-2,IF(U193=regle!$B$11,0,IF(AO$1=$AK$1,IF($O193,-1,regle!$B$2-$M193),IF(AN193=-1,-1,AN193+1))))</f>
        <v>13</v>
      </c>
      <c r="AP193" s="16">
        <f>IF(OR(V193=regle!$J$11,V193=regle!$K$11),-2,IF(V193=regle!$B$11,0,IF(AP$1=$AK$1,IF($O193,-1,regle!$B$2-$M193),IF(AO193=-1,-1,AO193+1))))</f>
        <v>14</v>
      </c>
      <c r="AQ193" s="16">
        <f>IF(OR(W193=regle!$J$11,W193=regle!$K$11),-2,IF(W193=regle!$B$11,0,IF(AQ$1=$AK$1,IF($O193,-1,regle!$B$2-$M193),IF(AP193=-1,-1,AP193+1))))</f>
        <v>15</v>
      </c>
      <c r="AR193" s="16">
        <f>IF(OR(X193=regle!$J$11,X193=regle!$K$11),-2,IF(X193=regle!$B$11,0,IF(AR$1=$AK$1,IF($O193,-1,regle!$B$2-$M193),IF(AQ193=-1,-1,AQ193+1))))</f>
        <v>16</v>
      </c>
      <c r="AS193" s="16">
        <f>IF(OR(Y193=regle!$J$11,Y193=regle!$K$11),-2,IF(Y193=regle!$B$11,0,IF(AS$1=$AK$1,IF($O193,-1,regle!$B$2-$M193),IF(AR193=-1,-1,AR193+1))))</f>
        <v>17</v>
      </c>
      <c r="AT193" s="16">
        <f>IF(OR(Z193=regle!$J$11,Z193=regle!$K$11),-2,IF(Z193=regle!$B$11,0,IF(AT$1=$AK$1,IF($O193,-1,regle!$B$2-$M193),IF(AS193=-1,-1,AS193+1))))</f>
        <v>18</v>
      </c>
    </row>
    <row r="194" spans="1:46" x14ac:dyDescent="0.25">
      <c r="A194" t="b">
        <f>modif0!A140</f>
        <v>1</v>
      </c>
      <c r="B194">
        <f>ROW(modif0!B140)</f>
        <v>140</v>
      </c>
      <c r="C194" t="str">
        <f>modif0!D140</f>
        <v>202</v>
      </c>
      <c r="D194" t="str">
        <f>modif0!E140</f>
        <v>HOSTENS</v>
      </c>
      <c r="E194">
        <f>modif0!F140</f>
        <v>11</v>
      </c>
      <c r="F194" t="str">
        <f>modif0!G140</f>
        <v>LES CAZALAS</v>
      </c>
      <c r="G194" t="str">
        <f>modif0!I140</f>
        <v>0B</v>
      </c>
      <c r="H194">
        <f>modif0!J140</f>
        <v>1163</v>
      </c>
      <c r="I194" t="str">
        <f>modif0!K140</f>
        <v/>
      </c>
      <c r="J194" s="11">
        <f>modif0!M140</f>
        <v>0.14000000000000001</v>
      </c>
      <c r="K194" s="11" t="str">
        <f>modif0!P140</f>
        <v>PLA</v>
      </c>
      <c r="L194" t="str">
        <f>modif0!N140</f>
        <v>PM</v>
      </c>
      <c r="M194">
        <f>modif0!Q140</f>
        <v>2015</v>
      </c>
      <c r="N194" t="str">
        <f>modif0!R140</f>
        <v>PLA-PM_2015</v>
      </c>
      <c r="O194" t="b">
        <f>modif0!S140</f>
        <v>0</v>
      </c>
      <c r="P194">
        <v>40</v>
      </c>
      <c r="T194" t="s">
        <v>1803</v>
      </c>
      <c r="Y194" t="s">
        <v>1804</v>
      </c>
      <c r="AA194" s="17">
        <f>IF($A194,$J194*(IF(Q194=regle!$B$11,regle!$B$23*IF(AJ194=-2,1+regle!$B$35,1),
IF(Q194=regle!$C$11,regle!$C$23,
IF(Q194=regle!$D$11,regle!$D$23,
IF(Q194=regle!$E$11,regle!$E$23,
IF(Q194=regle!$F$11,regle!$F$23,
IF(Q194=regle!$G$11,regle!$G$23,
IF(Q194=regle!$H$11,regle!$H$23,
IF(Q194=regle!$I$11,regle!$I$23,
IF(Q194=regle!$J$11,regle!$J$23,
IF(Q194=regle!$K$11,regle!$K$23,0))))))))))))</f>
        <v>0</v>
      </c>
      <c r="AB194" s="17">
        <f>IF($A194,$J194*(IF(R194=regle!$B$11,regle!$B$23*IF(AK194=-2,1+regle!$B$35,1),
IF(R194=regle!$C$11,regle!$C$23,
IF(R194=regle!$D$11,regle!$D$23,
IF(R194=regle!$E$11,regle!$E$23,
IF(R194=regle!$F$11,regle!$F$23,
IF(R194=regle!$G$11,regle!$G$23,
IF(R194=regle!$H$11,regle!$H$23,
IF(R194=regle!$I$11,regle!$I$23,
IF(R194=regle!$J$11,regle!$J$23,
IF(R194=regle!$K$11,regle!$K$23,0))))))))))))</f>
        <v>0</v>
      </c>
      <c r="AC194" s="17">
        <f>IF($A194,$J194*(IF(S194=regle!$B$11,regle!$B$23*IF(AL194=-2,1+regle!$B$35,1),
IF(S194=regle!$C$11,regle!$C$23,
IF(S194=regle!$D$11,regle!$D$23,
IF(S194=regle!$E$11,regle!$E$23,
IF(S194=regle!$F$11,regle!$F$23,
IF(S194=regle!$G$11,regle!$G$23,
IF(S194=regle!$H$11,regle!$H$23,
IF(S194=regle!$I$11,regle!$I$23,
IF(S194=regle!$J$11,regle!$J$23,
IF(S194=regle!$K$11,regle!$K$23,0))))))))))))</f>
        <v>0</v>
      </c>
      <c r="AD194" s="17">
        <f>IF($A194,$J194*(IF(T194=regle!$B$11,regle!$B$23*IF(AM194=-2,1+regle!$B$35,1),
IF(T194=regle!$C$11,regle!$C$23,
IF(T194=regle!$D$11,regle!$D$23,
IF(T194=regle!$E$11,regle!$E$23,
IF(T194=regle!$F$11,regle!$F$23,
IF(T194=regle!$G$11,regle!$G$23,
IF(T194=regle!$H$11,regle!$H$23,
IF(T194=regle!$I$11,regle!$I$23,
IF(T194=regle!$J$11,regle!$J$23,
IF(T194=regle!$K$11,regle!$K$23,0))))))))))))</f>
        <v>80.640000000000015</v>
      </c>
      <c r="AE194" s="17">
        <f>IF($A194,$J194*(IF(U194=regle!$B$11,regle!$B$23*IF(AN194=-2,1+regle!$B$35,1),
IF(U194=regle!$C$11,regle!$C$23,
IF(U194=regle!$D$11,regle!$D$23,
IF(U194=regle!$E$11,regle!$E$23,
IF(U194=regle!$F$11,regle!$F$23,
IF(U194=regle!$G$11,regle!$G$23,
IF(U194=regle!$H$11,regle!$H$23,
IF(U194=regle!$I$11,regle!$I$23,
IF(U194=regle!$J$11,regle!$J$23,
IF(U194=regle!$K$11,regle!$K$23,0))))))))))))</f>
        <v>0</v>
      </c>
      <c r="AF194" s="17">
        <f>IF($A194,$J194*(IF(V194=regle!$B$11,regle!$B$23*IF(AO194=-2,1+regle!$B$35,1),
IF(V194=regle!$C$11,regle!$C$23,
IF(V194=regle!$D$11,regle!$D$23,
IF(V194=regle!$E$11,regle!$E$23,
IF(V194=regle!$F$11,regle!$F$23,
IF(V194=regle!$G$11,regle!$G$23,
IF(V194=regle!$H$11,regle!$H$23,
IF(V194=regle!$I$11,regle!$I$23,
IF(V194=regle!$J$11,regle!$J$23,
IF(V194=regle!$K$11,regle!$K$23,0))))))))))))</f>
        <v>0</v>
      </c>
      <c r="AG194" s="17">
        <f>IF($A194,$J194*(IF(W194=regle!$B$11,regle!$B$23*IF(AP194=-2,1+regle!$B$35,1),
IF(W194=regle!$C$11,regle!$C$23,
IF(W194=regle!$D$11,regle!$D$23,
IF(W194=regle!$E$11,regle!$E$23,
IF(W194=regle!$F$11,regle!$F$23,
IF(W194=regle!$G$11,regle!$G$23,
IF(W194=regle!$H$11,regle!$H$23,
IF(W194=regle!$I$11,regle!$I$23,
IF(W194=regle!$J$11,regle!$J$23,
IF(W194=regle!$K$11,regle!$K$23,0))))))))))))</f>
        <v>0</v>
      </c>
      <c r="AH194" s="17">
        <f>IF($A194,$J194*(IF(X194=regle!$B$11,regle!$B$23*IF(AQ194=-2,1+regle!$B$35,1),
IF(X194=regle!$C$11,regle!$C$23,
IF(X194=regle!$D$11,regle!$D$23,
IF(X194=regle!$E$11,regle!$E$23,
IF(X194=regle!$F$11,regle!$F$23,
IF(X194=regle!$G$11,regle!$G$23,
IF(X194=regle!$H$11,regle!$H$23,
IF(X194=regle!$I$11,regle!$I$23,
IF(X194=regle!$J$11,regle!$J$23,
IF(X194=regle!$K$11,regle!$K$23,0))))))))))))</f>
        <v>0</v>
      </c>
      <c r="AI194" s="17">
        <f>IF($A194,$J194*(IF(Y194=regle!$B$11,regle!$B$23*IF(AR194=-2,1+regle!$B$35,1),
IF(Y194=regle!$C$11,regle!$C$23,
IF(Y194=regle!$D$11,regle!$D$23,
IF(Y194=regle!$E$11,regle!$E$23,
IF(Y194=regle!$F$11,regle!$F$23,
IF(Y194=regle!$G$11,regle!$G$23,
IF(Y194=regle!$H$11,regle!$H$23,
IF(Y194=regle!$I$11,regle!$I$23,
IF(Y194=regle!$J$11,regle!$J$23,
IF(Y194=regle!$K$11,regle!$K$23,0))))))))))))</f>
        <v>117.60000000000001</v>
      </c>
      <c r="AJ194" s="17">
        <f>IF($A194,$J194*(IF(Z194=regle!$B$11,regle!$B$23*IF(AS194=-2,1+regle!$B$35,1),
IF(Z194=regle!$C$11,regle!$C$23,
IF(Z194=regle!$D$11,regle!$D$23,
IF(Z194=regle!$E$11,regle!$E$23,
IF(Z194=regle!$F$11,regle!$F$23,
IF(Z194=regle!$G$11,regle!$G$23,
IF(Z194=regle!$H$11,regle!$H$23,
IF(Z194=regle!$I$11,regle!$I$23,
IF(Z194=regle!$J$11,regle!$J$23,
IF(Z194=regle!$K$11,regle!$K$23,0))))))))))))</f>
        <v>0</v>
      </c>
      <c r="AK194" s="16">
        <f>IF(OR(Q194=regle!$J$11,Q194=regle!$K$11),-2,IF(Q194=regle!$B$11,0,IF(AK$1=$AK$1,IF($O194,-1,regle!$B$2-$M194),IF(AJ194=-1,-1,AJ194+1))))</f>
        <v>9</v>
      </c>
      <c r="AL194" s="16">
        <f>IF(OR(R194=regle!$J$11,R194=regle!$K$11),-2,IF(R194=regle!$B$11,0,IF(AL$1=$AK$1,IF($O194,-1,regle!$B$2-$M194),IF(AK194=-1,-1,AK194+1))))</f>
        <v>10</v>
      </c>
      <c r="AM194" s="16">
        <f>IF(OR(S194=regle!$J$11,S194=regle!$K$11),-2,IF(S194=regle!$B$11,0,IF(AM$1=$AK$1,IF($O194,-1,regle!$B$2-$M194),IF(AL194=-1,-1,AL194+1))))</f>
        <v>11</v>
      </c>
      <c r="AN194" s="16">
        <f>IF(OR(T194=regle!$J$11,T194=regle!$K$11),-2,IF(T194=regle!$B$11,0,IF(AN$1=$AK$1,IF($O194,-1,regle!$B$2-$M194),IF(AM194=-1,-1,AM194+1))))</f>
        <v>12</v>
      </c>
      <c r="AO194" s="16">
        <f>IF(OR(U194=regle!$J$11,U194=regle!$K$11),-2,IF(U194=regle!$B$11,0,IF(AO$1=$AK$1,IF($O194,-1,regle!$B$2-$M194),IF(AN194=-1,-1,AN194+1))))</f>
        <v>13</v>
      </c>
      <c r="AP194" s="16">
        <f>IF(OR(V194=regle!$J$11,V194=regle!$K$11),-2,IF(V194=regle!$B$11,0,IF(AP$1=$AK$1,IF($O194,-1,regle!$B$2-$M194),IF(AO194=-1,-1,AO194+1))))</f>
        <v>14</v>
      </c>
      <c r="AQ194" s="16">
        <f>IF(OR(W194=regle!$J$11,W194=regle!$K$11),-2,IF(W194=regle!$B$11,0,IF(AQ$1=$AK$1,IF($O194,-1,regle!$B$2-$M194),IF(AP194=-1,-1,AP194+1))))</f>
        <v>15</v>
      </c>
      <c r="AR194" s="16">
        <f>IF(OR(X194=regle!$J$11,X194=regle!$K$11),-2,IF(X194=regle!$B$11,0,IF(AR$1=$AK$1,IF($O194,-1,regle!$B$2-$M194),IF(AQ194=-1,-1,AQ194+1))))</f>
        <v>16</v>
      </c>
      <c r="AS194" s="16">
        <f>IF(OR(Y194=regle!$J$11,Y194=regle!$K$11),-2,IF(Y194=regle!$B$11,0,IF(AS$1=$AK$1,IF($O194,-1,regle!$B$2-$M194),IF(AR194=-1,-1,AR194+1))))</f>
        <v>17</v>
      </c>
      <c r="AT194" s="16">
        <f>IF(OR(Z194=regle!$J$11,Z194=regle!$K$11),-2,IF(Z194=regle!$B$11,0,IF(AT$1=$AK$1,IF($O194,-1,regle!$B$2-$M194),IF(AS194=-1,-1,AS194+1))))</f>
        <v>18</v>
      </c>
    </row>
    <row r="195" spans="1:46" x14ac:dyDescent="0.25">
      <c r="A195" t="b">
        <f>modif0!A245</f>
        <v>1</v>
      </c>
      <c r="B195">
        <f>ROW(modif0!B245)</f>
        <v>245</v>
      </c>
      <c r="C195" t="str">
        <f>modif0!D245</f>
        <v>202</v>
      </c>
      <c r="D195" t="str">
        <f>modif0!E245</f>
        <v>HOSTENS</v>
      </c>
      <c r="E195">
        <f>modif0!F245</f>
        <v>8</v>
      </c>
      <c r="F195" t="str">
        <f>modif0!G245</f>
        <v>LES BECS</v>
      </c>
      <c r="G195" t="str">
        <f>modif0!I245</f>
        <v>0B</v>
      </c>
      <c r="H195">
        <f>modif0!J245</f>
        <v>2472</v>
      </c>
      <c r="I195" t="str">
        <f>modif0!K245</f>
        <v>m</v>
      </c>
      <c r="J195" s="11">
        <f>modif0!M245</f>
        <v>0.13389999999999999</v>
      </c>
      <c r="K195" s="11" t="str">
        <f>modif0!P245</f>
        <v>PLA</v>
      </c>
      <c r="L195" t="str">
        <f>modif0!N245</f>
        <v>PM</v>
      </c>
      <c r="M195">
        <f>modif0!Q245</f>
        <v>2015</v>
      </c>
      <c r="N195" t="str">
        <f>modif0!R245</f>
        <v>PLA-PM_2015</v>
      </c>
      <c r="O195" t="b">
        <f>modif0!S245</f>
        <v>0</v>
      </c>
      <c r="P195">
        <v>40</v>
      </c>
      <c r="T195" t="s">
        <v>1803</v>
      </c>
      <c r="Y195" t="s">
        <v>1804</v>
      </c>
      <c r="AA195" s="17">
        <f>IF($A195,$J195*(IF(Q195=regle!$B$11,regle!$B$23*IF(AJ195=-2,1+regle!$B$35,1),
IF(Q195=regle!$C$11,regle!$C$23,
IF(Q195=regle!$D$11,regle!$D$23,
IF(Q195=regle!$E$11,regle!$E$23,
IF(Q195=regle!$F$11,regle!$F$23,
IF(Q195=regle!$G$11,regle!$G$23,
IF(Q195=regle!$H$11,regle!$H$23,
IF(Q195=regle!$I$11,regle!$I$23,
IF(Q195=regle!$J$11,regle!$J$23,
IF(Q195=regle!$K$11,regle!$K$23,0))))))))))))</f>
        <v>0</v>
      </c>
      <c r="AB195" s="17">
        <f>IF($A195,$J195*(IF(R195=regle!$B$11,regle!$B$23*IF(AK195=-2,1+regle!$B$35,1),
IF(R195=regle!$C$11,regle!$C$23,
IF(R195=regle!$D$11,regle!$D$23,
IF(R195=regle!$E$11,regle!$E$23,
IF(R195=regle!$F$11,regle!$F$23,
IF(R195=regle!$G$11,regle!$G$23,
IF(R195=regle!$H$11,regle!$H$23,
IF(R195=regle!$I$11,regle!$I$23,
IF(R195=regle!$J$11,regle!$J$23,
IF(R195=regle!$K$11,regle!$K$23,0))))))))))))</f>
        <v>0</v>
      </c>
      <c r="AC195" s="17">
        <f>IF($A195,$J195*(IF(S195=regle!$B$11,regle!$B$23*IF(AL195=-2,1+regle!$B$35,1),
IF(S195=regle!$C$11,regle!$C$23,
IF(S195=regle!$D$11,regle!$D$23,
IF(S195=regle!$E$11,regle!$E$23,
IF(S195=regle!$F$11,regle!$F$23,
IF(S195=regle!$G$11,regle!$G$23,
IF(S195=regle!$H$11,regle!$H$23,
IF(S195=regle!$I$11,regle!$I$23,
IF(S195=regle!$J$11,regle!$J$23,
IF(S195=regle!$K$11,regle!$K$23,0))))))))))))</f>
        <v>0</v>
      </c>
      <c r="AD195" s="17">
        <f>IF($A195,$J195*(IF(T195=regle!$B$11,regle!$B$23*IF(AM195=-2,1+regle!$B$35,1),
IF(T195=regle!$C$11,regle!$C$23,
IF(T195=regle!$D$11,regle!$D$23,
IF(T195=regle!$E$11,regle!$E$23,
IF(T195=regle!$F$11,regle!$F$23,
IF(T195=regle!$G$11,regle!$G$23,
IF(T195=regle!$H$11,regle!$H$23,
IF(T195=regle!$I$11,regle!$I$23,
IF(T195=regle!$J$11,regle!$J$23,
IF(T195=regle!$K$11,regle!$K$23,0))))))))))))</f>
        <v>77.12639999999999</v>
      </c>
      <c r="AE195" s="17">
        <f>IF($A195,$J195*(IF(U195=regle!$B$11,regle!$B$23*IF(AN195=-2,1+regle!$B$35,1),
IF(U195=regle!$C$11,regle!$C$23,
IF(U195=regle!$D$11,regle!$D$23,
IF(U195=regle!$E$11,regle!$E$23,
IF(U195=regle!$F$11,regle!$F$23,
IF(U195=regle!$G$11,regle!$G$23,
IF(U195=regle!$H$11,regle!$H$23,
IF(U195=regle!$I$11,regle!$I$23,
IF(U195=regle!$J$11,regle!$J$23,
IF(U195=regle!$K$11,regle!$K$23,0))))))))))))</f>
        <v>0</v>
      </c>
      <c r="AF195" s="17">
        <f>IF($A195,$J195*(IF(V195=regle!$B$11,regle!$B$23*IF(AO195=-2,1+regle!$B$35,1),
IF(V195=regle!$C$11,regle!$C$23,
IF(V195=regle!$D$11,regle!$D$23,
IF(V195=regle!$E$11,regle!$E$23,
IF(V195=regle!$F$11,regle!$F$23,
IF(V195=regle!$G$11,regle!$G$23,
IF(V195=regle!$H$11,regle!$H$23,
IF(V195=regle!$I$11,regle!$I$23,
IF(V195=regle!$J$11,regle!$J$23,
IF(V195=regle!$K$11,regle!$K$23,0))))))))))))</f>
        <v>0</v>
      </c>
      <c r="AG195" s="17">
        <f>IF($A195,$J195*(IF(W195=regle!$B$11,regle!$B$23*IF(AP195=-2,1+regle!$B$35,1),
IF(W195=regle!$C$11,regle!$C$23,
IF(W195=regle!$D$11,regle!$D$23,
IF(W195=regle!$E$11,regle!$E$23,
IF(W195=regle!$F$11,regle!$F$23,
IF(W195=regle!$G$11,regle!$G$23,
IF(W195=regle!$H$11,regle!$H$23,
IF(W195=regle!$I$11,regle!$I$23,
IF(W195=regle!$J$11,regle!$J$23,
IF(W195=regle!$K$11,regle!$K$23,0))))))))))))</f>
        <v>0</v>
      </c>
      <c r="AH195" s="17">
        <f>IF($A195,$J195*(IF(X195=regle!$B$11,regle!$B$23*IF(AQ195=-2,1+regle!$B$35,1),
IF(X195=regle!$C$11,regle!$C$23,
IF(X195=regle!$D$11,regle!$D$23,
IF(X195=regle!$E$11,regle!$E$23,
IF(X195=regle!$F$11,regle!$F$23,
IF(X195=regle!$G$11,regle!$G$23,
IF(X195=regle!$H$11,regle!$H$23,
IF(X195=regle!$I$11,regle!$I$23,
IF(X195=regle!$J$11,regle!$J$23,
IF(X195=regle!$K$11,regle!$K$23,0))))))))))))</f>
        <v>0</v>
      </c>
      <c r="AI195" s="17">
        <f>IF($A195,$J195*(IF(Y195=regle!$B$11,regle!$B$23*IF(AR195=-2,1+regle!$B$35,1),
IF(Y195=regle!$C$11,regle!$C$23,
IF(Y195=regle!$D$11,regle!$D$23,
IF(Y195=regle!$E$11,regle!$E$23,
IF(Y195=regle!$F$11,regle!$F$23,
IF(Y195=regle!$G$11,regle!$G$23,
IF(Y195=regle!$H$11,regle!$H$23,
IF(Y195=regle!$I$11,regle!$I$23,
IF(Y195=regle!$J$11,regle!$J$23,
IF(Y195=regle!$K$11,regle!$K$23,0))))))))))))</f>
        <v>112.476</v>
      </c>
      <c r="AJ195" s="17">
        <f>IF($A195,$J195*(IF(Z195=regle!$B$11,regle!$B$23*IF(AS195=-2,1+regle!$B$35,1),
IF(Z195=regle!$C$11,regle!$C$23,
IF(Z195=regle!$D$11,regle!$D$23,
IF(Z195=regle!$E$11,regle!$E$23,
IF(Z195=regle!$F$11,regle!$F$23,
IF(Z195=regle!$G$11,regle!$G$23,
IF(Z195=regle!$H$11,regle!$H$23,
IF(Z195=regle!$I$11,regle!$I$23,
IF(Z195=regle!$J$11,regle!$J$23,
IF(Z195=regle!$K$11,regle!$K$23,0))))))))))))</f>
        <v>0</v>
      </c>
      <c r="AK195" s="16">
        <f>IF(OR(Q195=regle!$J$11,Q195=regle!$K$11),-2,IF(Q195=regle!$B$11,0,IF(AK$1=$AK$1,IF($O195,-1,regle!$B$2-$M195),IF(AJ195=-1,-1,AJ195+1))))</f>
        <v>9</v>
      </c>
      <c r="AL195" s="16">
        <f>IF(OR(R195=regle!$J$11,R195=regle!$K$11),-2,IF(R195=regle!$B$11,0,IF(AL$1=$AK$1,IF($O195,-1,regle!$B$2-$M195),IF(AK195=-1,-1,AK195+1))))</f>
        <v>10</v>
      </c>
      <c r="AM195" s="16">
        <f>IF(OR(S195=regle!$J$11,S195=regle!$K$11),-2,IF(S195=regle!$B$11,0,IF(AM$1=$AK$1,IF($O195,-1,regle!$B$2-$M195),IF(AL195=-1,-1,AL195+1))))</f>
        <v>11</v>
      </c>
      <c r="AN195" s="16">
        <f>IF(OR(T195=regle!$J$11,T195=regle!$K$11),-2,IF(T195=regle!$B$11,0,IF(AN$1=$AK$1,IF($O195,-1,regle!$B$2-$M195),IF(AM195=-1,-1,AM195+1))))</f>
        <v>12</v>
      </c>
      <c r="AO195" s="16">
        <f>IF(OR(U195=regle!$J$11,U195=regle!$K$11),-2,IF(U195=regle!$B$11,0,IF(AO$1=$AK$1,IF($O195,-1,regle!$B$2-$M195),IF(AN195=-1,-1,AN195+1))))</f>
        <v>13</v>
      </c>
      <c r="AP195" s="16">
        <f>IF(OR(V195=regle!$J$11,V195=regle!$K$11),-2,IF(V195=regle!$B$11,0,IF(AP$1=$AK$1,IF($O195,-1,regle!$B$2-$M195),IF(AO195=-1,-1,AO195+1))))</f>
        <v>14</v>
      </c>
      <c r="AQ195" s="16">
        <f>IF(OR(W195=regle!$J$11,W195=regle!$K$11),-2,IF(W195=regle!$B$11,0,IF(AQ$1=$AK$1,IF($O195,-1,regle!$B$2-$M195),IF(AP195=-1,-1,AP195+1))))</f>
        <v>15</v>
      </c>
      <c r="AR195" s="16">
        <f>IF(OR(X195=regle!$J$11,X195=regle!$K$11),-2,IF(X195=regle!$B$11,0,IF(AR$1=$AK$1,IF($O195,-1,regle!$B$2-$M195),IF(AQ195=-1,-1,AQ195+1))))</f>
        <v>16</v>
      </c>
      <c r="AS195" s="16">
        <f>IF(OR(Y195=regle!$J$11,Y195=regle!$K$11),-2,IF(Y195=regle!$B$11,0,IF(AS$1=$AK$1,IF($O195,-1,regle!$B$2-$M195),IF(AR195=-1,-1,AR195+1))))</f>
        <v>17</v>
      </c>
      <c r="AT195" s="16">
        <f>IF(OR(Z195=regle!$J$11,Z195=regle!$K$11),-2,IF(Z195=regle!$B$11,0,IF(AT$1=$AK$1,IF($O195,-1,regle!$B$2-$M195),IF(AS195=-1,-1,AS195+1))))</f>
        <v>18</v>
      </c>
    </row>
    <row r="196" spans="1:46" x14ac:dyDescent="0.25">
      <c r="A196" t="b">
        <f>modif0!A170</f>
        <v>1</v>
      </c>
      <c r="B196">
        <f>ROW(modif0!B170)</f>
        <v>170</v>
      </c>
      <c r="C196" t="str">
        <f>modif0!D170</f>
        <v>202</v>
      </c>
      <c r="D196" t="str">
        <f>modif0!E170</f>
        <v>HOSTENS</v>
      </c>
      <c r="E196">
        <f>modif0!F170</f>
        <v>11</v>
      </c>
      <c r="F196" t="str">
        <f>modif0!G170</f>
        <v>LES CAZALAS</v>
      </c>
      <c r="G196" t="str">
        <f>modif0!I170</f>
        <v>0B</v>
      </c>
      <c r="H196">
        <f>modif0!J170</f>
        <v>1197</v>
      </c>
      <c r="I196" t="str">
        <f>modif0!K170</f>
        <v/>
      </c>
      <c r="J196" s="11">
        <f>modif0!M170</f>
        <v>0.13250000000000001</v>
      </c>
      <c r="K196" s="11" t="str">
        <f>modif0!P170</f>
        <v>PLA</v>
      </c>
      <c r="L196" t="str">
        <f>modif0!N170</f>
        <v>PM</v>
      </c>
      <c r="M196">
        <f>modif0!Q170</f>
        <v>2015</v>
      </c>
      <c r="N196" t="str">
        <f>modif0!R170</f>
        <v>PLA-PM_2015</v>
      </c>
      <c r="O196" t="b">
        <f>modif0!S170</f>
        <v>0</v>
      </c>
      <c r="P196">
        <v>40</v>
      </c>
      <c r="T196" t="s">
        <v>1803</v>
      </c>
      <c r="Y196" t="s">
        <v>1804</v>
      </c>
      <c r="AA196" s="17">
        <f>IF($A196,$J196*(IF(Q196=regle!$B$11,regle!$B$23*IF(AJ196=-2,1+regle!$B$35,1),
IF(Q196=regle!$C$11,regle!$C$23,
IF(Q196=regle!$D$11,regle!$D$23,
IF(Q196=regle!$E$11,regle!$E$23,
IF(Q196=regle!$F$11,regle!$F$23,
IF(Q196=regle!$G$11,regle!$G$23,
IF(Q196=regle!$H$11,regle!$H$23,
IF(Q196=regle!$I$11,regle!$I$23,
IF(Q196=regle!$J$11,regle!$J$23,
IF(Q196=regle!$K$11,regle!$K$23,0))))))))))))</f>
        <v>0</v>
      </c>
      <c r="AB196" s="17">
        <f>IF($A196,$J196*(IF(R196=regle!$B$11,regle!$B$23*IF(AK196=-2,1+regle!$B$35,1),
IF(R196=regle!$C$11,regle!$C$23,
IF(R196=regle!$D$11,regle!$D$23,
IF(R196=regle!$E$11,regle!$E$23,
IF(R196=regle!$F$11,regle!$F$23,
IF(R196=regle!$G$11,regle!$G$23,
IF(R196=regle!$H$11,regle!$H$23,
IF(R196=regle!$I$11,regle!$I$23,
IF(R196=regle!$J$11,regle!$J$23,
IF(R196=regle!$K$11,regle!$K$23,0))))))))))))</f>
        <v>0</v>
      </c>
      <c r="AC196" s="17">
        <f>IF($A196,$J196*(IF(S196=regle!$B$11,regle!$B$23*IF(AL196=-2,1+regle!$B$35,1),
IF(S196=regle!$C$11,regle!$C$23,
IF(S196=regle!$D$11,regle!$D$23,
IF(S196=regle!$E$11,regle!$E$23,
IF(S196=regle!$F$11,regle!$F$23,
IF(S196=regle!$G$11,regle!$G$23,
IF(S196=regle!$H$11,regle!$H$23,
IF(S196=regle!$I$11,regle!$I$23,
IF(S196=regle!$J$11,regle!$J$23,
IF(S196=regle!$K$11,regle!$K$23,0))))))))))))</f>
        <v>0</v>
      </c>
      <c r="AD196" s="17">
        <f>IF($A196,$J196*(IF(T196=regle!$B$11,regle!$B$23*IF(AM196=-2,1+regle!$B$35,1),
IF(T196=regle!$C$11,regle!$C$23,
IF(T196=regle!$D$11,regle!$D$23,
IF(T196=regle!$E$11,regle!$E$23,
IF(T196=regle!$F$11,regle!$F$23,
IF(T196=regle!$G$11,regle!$G$23,
IF(T196=regle!$H$11,regle!$H$23,
IF(T196=regle!$I$11,regle!$I$23,
IF(T196=regle!$J$11,regle!$J$23,
IF(T196=regle!$K$11,regle!$K$23,0))))))))))))</f>
        <v>76.320000000000007</v>
      </c>
      <c r="AE196" s="17">
        <f>IF($A196,$J196*(IF(U196=regle!$B$11,regle!$B$23*IF(AN196=-2,1+regle!$B$35,1),
IF(U196=regle!$C$11,regle!$C$23,
IF(U196=regle!$D$11,regle!$D$23,
IF(U196=regle!$E$11,regle!$E$23,
IF(U196=regle!$F$11,regle!$F$23,
IF(U196=regle!$G$11,regle!$G$23,
IF(U196=regle!$H$11,regle!$H$23,
IF(U196=regle!$I$11,regle!$I$23,
IF(U196=regle!$J$11,regle!$J$23,
IF(U196=regle!$K$11,regle!$K$23,0))))))))))))</f>
        <v>0</v>
      </c>
      <c r="AF196" s="17">
        <f>IF($A196,$J196*(IF(V196=regle!$B$11,regle!$B$23*IF(AO196=-2,1+regle!$B$35,1),
IF(V196=regle!$C$11,regle!$C$23,
IF(V196=regle!$D$11,regle!$D$23,
IF(V196=regle!$E$11,regle!$E$23,
IF(V196=regle!$F$11,regle!$F$23,
IF(V196=regle!$G$11,regle!$G$23,
IF(V196=regle!$H$11,regle!$H$23,
IF(V196=regle!$I$11,regle!$I$23,
IF(V196=regle!$J$11,regle!$J$23,
IF(V196=regle!$K$11,regle!$K$23,0))))))))))))</f>
        <v>0</v>
      </c>
      <c r="AG196" s="17">
        <f>IF($A196,$J196*(IF(W196=regle!$B$11,regle!$B$23*IF(AP196=-2,1+regle!$B$35,1),
IF(W196=regle!$C$11,regle!$C$23,
IF(W196=regle!$D$11,regle!$D$23,
IF(W196=regle!$E$11,regle!$E$23,
IF(W196=regle!$F$11,regle!$F$23,
IF(W196=regle!$G$11,regle!$G$23,
IF(W196=regle!$H$11,regle!$H$23,
IF(W196=regle!$I$11,regle!$I$23,
IF(W196=regle!$J$11,regle!$J$23,
IF(W196=regle!$K$11,regle!$K$23,0))))))))))))</f>
        <v>0</v>
      </c>
      <c r="AH196" s="17">
        <f>IF($A196,$J196*(IF(X196=regle!$B$11,regle!$B$23*IF(AQ196=-2,1+regle!$B$35,1),
IF(X196=regle!$C$11,regle!$C$23,
IF(X196=regle!$D$11,regle!$D$23,
IF(X196=regle!$E$11,regle!$E$23,
IF(X196=regle!$F$11,regle!$F$23,
IF(X196=regle!$G$11,regle!$G$23,
IF(X196=regle!$H$11,regle!$H$23,
IF(X196=regle!$I$11,regle!$I$23,
IF(X196=regle!$J$11,regle!$J$23,
IF(X196=regle!$K$11,regle!$K$23,0))))))))))))</f>
        <v>0</v>
      </c>
      <c r="AI196" s="17">
        <f>IF($A196,$J196*(IF(Y196=regle!$B$11,regle!$B$23*IF(AR196=-2,1+regle!$B$35,1),
IF(Y196=regle!$C$11,regle!$C$23,
IF(Y196=regle!$D$11,regle!$D$23,
IF(Y196=regle!$E$11,regle!$E$23,
IF(Y196=regle!$F$11,regle!$F$23,
IF(Y196=regle!$G$11,regle!$G$23,
IF(Y196=regle!$H$11,regle!$H$23,
IF(Y196=regle!$I$11,regle!$I$23,
IF(Y196=regle!$J$11,regle!$J$23,
IF(Y196=regle!$K$11,regle!$K$23,0))))))))))))</f>
        <v>111.30000000000001</v>
      </c>
      <c r="AJ196" s="17">
        <f>IF($A196,$J196*(IF(Z196=regle!$B$11,regle!$B$23*IF(AS196=-2,1+regle!$B$35,1),
IF(Z196=regle!$C$11,regle!$C$23,
IF(Z196=regle!$D$11,regle!$D$23,
IF(Z196=regle!$E$11,regle!$E$23,
IF(Z196=regle!$F$11,regle!$F$23,
IF(Z196=regle!$G$11,regle!$G$23,
IF(Z196=regle!$H$11,regle!$H$23,
IF(Z196=regle!$I$11,regle!$I$23,
IF(Z196=regle!$J$11,regle!$J$23,
IF(Z196=regle!$K$11,regle!$K$23,0))))))))))))</f>
        <v>0</v>
      </c>
      <c r="AK196" s="16">
        <f>IF(OR(Q196=regle!$J$11,Q196=regle!$K$11),-2,IF(Q196=regle!$B$11,0,IF(AK$1=$AK$1,IF($O196,-1,regle!$B$2-$M196),IF(AJ196=-1,-1,AJ196+1))))</f>
        <v>9</v>
      </c>
      <c r="AL196" s="16">
        <f>IF(OR(R196=regle!$J$11,R196=regle!$K$11),-2,IF(R196=regle!$B$11,0,IF(AL$1=$AK$1,IF($O196,-1,regle!$B$2-$M196),IF(AK196=-1,-1,AK196+1))))</f>
        <v>10</v>
      </c>
      <c r="AM196" s="16">
        <f>IF(OR(S196=regle!$J$11,S196=regle!$K$11),-2,IF(S196=regle!$B$11,0,IF(AM$1=$AK$1,IF($O196,-1,regle!$B$2-$M196),IF(AL196=-1,-1,AL196+1))))</f>
        <v>11</v>
      </c>
      <c r="AN196" s="16">
        <f>IF(OR(T196=regle!$J$11,T196=regle!$K$11),-2,IF(T196=regle!$B$11,0,IF(AN$1=$AK$1,IF($O196,-1,regle!$B$2-$M196),IF(AM196=-1,-1,AM196+1))))</f>
        <v>12</v>
      </c>
      <c r="AO196" s="16">
        <f>IF(OR(U196=regle!$J$11,U196=regle!$K$11),-2,IF(U196=regle!$B$11,0,IF(AO$1=$AK$1,IF($O196,-1,regle!$B$2-$M196),IF(AN196=-1,-1,AN196+1))))</f>
        <v>13</v>
      </c>
      <c r="AP196" s="16">
        <f>IF(OR(V196=regle!$J$11,V196=regle!$K$11),-2,IF(V196=regle!$B$11,0,IF(AP$1=$AK$1,IF($O196,-1,regle!$B$2-$M196),IF(AO196=-1,-1,AO196+1))))</f>
        <v>14</v>
      </c>
      <c r="AQ196" s="16">
        <f>IF(OR(W196=regle!$J$11,W196=regle!$K$11),-2,IF(W196=regle!$B$11,0,IF(AQ$1=$AK$1,IF($O196,-1,regle!$B$2-$M196),IF(AP196=-1,-1,AP196+1))))</f>
        <v>15</v>
      </c>
      <c r="AR196" s="16">
        <f>IF(OR(X196=regle!$J$11,X196=regle!$K$11),-2,IF(X196=regle!$B$11,0,IF(AR$1=$AK$1,IF($O196,-1,regle!$B$2-$M196),IF(AQ196=-1,-1,AQ196+1))))</f>
        <v>16</v>
      </c>
      <c r="AS196" s="16">
        <f>IF(OR(Y196=regle!$J$11,Y196=regle!$K$11),-2,IF(Y196=regle!$B$11,0,IF(AS$1=$AK$1,IF($O196,-1,regle!$B$2-$M196),IF(AR196=-1,-1,AR196+1))))</f>
        <v>17</v>
      </c>
      <c r="AT196" s="16">
        <f>IF(OR(Z196=regle!$J$11,Z196=regle!$K$11),-2,IF(Z196=regle!$B$11,0,IF(AT$1=$AK$1,IF($O196,-1,regle!$B$2-$M196),IF(AS196=-1,-1,AS196+1))))</f>
        <v>18</v>
      </c>
    </row>
    <row r="197" spans="1:46" x14ac:dyDescent="0.25">
      <c r="A197" t="b">
        <f>modif0!A133</f>
        <v>1</v>
      </c>
      <c r="B197">
        <f>ROW(modif0!B133)</f>
        <v>133</v>
      </c>
      <c r="C197" t="str">
        <f>modif0!D133</f>
        <v>202</v>
      </c>
      <c r="D197" t="str">
        <f>modif0!E133</f>
        <v>HOSTENS</v>
      </c>
      <c r="E197">
        <f>modif0!F133</f>
        <v>11</v>
      </c>
      <c r="F197" t="str">
        <f>modif0!G133</f>
        <v>LES CAZALAS</v>
      </c>
      <c r="G197" t="str">
        <f>modif0!I133</f>
        <v>0B</v>
      </c>
      <c r="H197">
        <f>modif0!J133</f>
        <v>1158</v>
      </c>
      <c r="I197" t="str">
        <f>modif0!K133</f>
        <v>j</v>
      </c>
      <c r="J197" s="11">
        <f>modif0!M133</f>
        <v>0.1246</v>
      </c>
      <c r="K197" s="11" t="str">
        <f>modif0!P133</f>
        <v>PLA</v>
      </c>
      <c r="L197" t="str">
        <f>modif0!N133</f>
        <v>PM</v>
      </c>
      <c r="M197">
        <f>modif0!Q133</f>
        <v>2015</v>
      </c>
      <c r="N197" t="str">
        <f>modif0!R133</f>
        <v>PLA-PM_2015</v>
      </c>
      <c r="O197" t="b">
        <f>modif0!S133</f>
        <v>0</v>
      </c>
      <c r="P197">
        <v>40</v>
      </c>
      <c r="T197" t="s">
        <v>1803</v>
      </c>
      <c r="Y197" t="s">
        <v>1804</v>
      </c>
      <c r="AA197" s="17">
        <f>IF($A197,$J197*(IF(Q197=regle!$B$11,regle!$B$23*IF(AJ197=-2,1+regle!$B$35,1),
IF(Q197=regle!$C$11,regle!$C$23,
IF(Q197=regle!$D$11,regle!$D$23,
IF(Q197=regle!$E$11,regle!$E$23,
IF(Q197=regle!$F$11,regle!$F$23,
IF(Q197=regle!$G$11,regle!$G$23,
IF(Q197=regle!$H$11,regle!$H$23,
IF(Q197=regle!$I$11,regle!$I$23,
IF(Q197=regle!$J$11,regle!$J$23,
IF(Q197=regle!$K$11,regle!$K$23,0))))))))))))</f>
        <v>0</v>
      </c>
      <c r="AB197" s="17">
        <f>IF($A197,$J197*(IF(R197=regle!$B$11,regle!$B$23*IF(AK197=-2,1+regle!$B$35,1),
IF(R197=regle!$C$11,regle!$C$23,
IF(R197=regle!$D$11,regle!$D$23,
IF(R197=regle!$E$11,regle!$E$23,
IF(R197=regle!$F$11,regle!$F$23,
IF(R197=regle!$G$11,regle!$G$23,
IF(R197=regle!$H$11,regle!$H$23,
IF(R197=regle!$I$11,regle!$I$23,
IF(R197=regle!$J$11,regle!$J$23,
IF(R197=regle!$K$11,regle!$K$23,0))))))))))))</f>
        <v>0</v>
      </c>
      <c r="AC197" s="17">
        <f>IF($A197,$J197*(IF(S197=regle!$B$11,regle!$B$23*IF(AL197=-2,1+regle!$B$35,1),
IF(S197=regle!$C$11,regle!$C$23,
IF(S197=regle!$D$11,regle!$D$23,
IF(S197=regle!$E$11,regle!$E$23,
IF(S197=regle!$F$11,regle!$F$23,
IF(S197=regle!$G$11,regle!$G$23,
IF(S197=regle!$H$11,regle!$H$23,
IF(S197=regle!$I$11,regle!$I$23,
IF(S197=regle!$J$11,regle!$J$23,
IF(S197=regle!$K$11,regle!$K$23,0))))))))))))</f>
        <v>0</v>
      </c>
      <c r="AD197" s="17">
        <f>IF($A197,$J197*(IF(T197=regle!$B$11,regle!$B$23*IF(AM197=-2,1+regle!$B$35,1),
IF(T197=regle!$C$11,regle!$C$23,
IF(T197=regle!$D$11,regle!$D$23,
IF(T197=regle!$E$11,regle!$E$23,
IF(T197=regle!$F$11,regle!$F$23,
IF(T197=regle!$G$11,regle!$G$23,
IF(T197=regle!$H$11,regle!$H$23,
IF(T197=regle!$I$11,regle!$I$23,
IF(T197=regle!$J$11,regle!$J$23,
IF(T197=regle!$K$11,regle!$K$23,0))))))))))))</f>
        <v>71.769599999999997</v>
      </c>
      <c r="AE197" s="17">
        <f>IF($A197,$J197*(IF(U197=regle!$B$11,regle!$B$23*IF(AN197=-2,1+regle!$B$35,1),
IF(U197=regle!$C$11,regle!$C$23,
IF(U197=regle!$D$11,regle!$D$23,
IF(U197=regle!$E$11,regle!$E$23,
IF(U197=regle!$F$11,regle!$F$23,
IF(U197=regle!$G$11,regle!$G$23,
IF(U197=regle!$H$11,regle!$H$23,
IF(U197=regle!$I$11,regle!$I$23,
IF(U197=regle!$J$11,regle!$J$23,
IF(U197=regle!$K$11,regle!$K$23,0))))))))))))</f>
        <v>0</v>
      </c>
      <c r="AF197" s="17">
        <f>IF($A197,$J197*(IF(V197=regle!$B$11,regle!$B$23*IF(AO197=-2,1+regle!$B$35,1),
IF(V197=regle!$C$11,regle!$C$23,
IF(V197=regle!$D$11,regle!$D$23,
IF(V197=regle!$E$11,regle!$E$23,
IF(V197=regle!$F$11,regle!$F$23,
IF(V197=regle!$G$11,regle!$G$23,
IF(V197=regle!$H$11,regle!$H$23,
IF(V197=regle!$I$11,regle!$I$23,
IF(V197=regle!$J$11,regle!$J$23,
IF(V197=regle!$K$11,regle!$K$23,0))))))))))))</f>
        <v>0</v>
      </c>
      <c r="AG197" s="17">
        <f>IF($A197,$J197*(IF(W197=regle!$B$11,regle!$B$23*IF(AP197=-2,1+regle!$B$35,1),
IF(W197=regle!$C$11,regle!$C$23,
IF(W197=regle!$D$11,regle!$D$23,
IF(W197=regle!$E$11,regle!$E$23,
IF(W197=regle!$F$11,regle!$F$23,
IF(W197=regle!$G$11,regle!$G$23,
IF(W197=regle!$H$11,regle!$H$23,
IF(W197=regle!$I$11,regle!$I$23,
IF(W197=regle!$J$11,regle!$J$23,
IF(W197=regle!$K$11,regle!$K$23,0))))))))))))</f>
        <v>0</v>
      </c>
      <c r="AH197" s="17">
        <f>IF($A197,$J197*(IF(X197=regle!$B$11,regle!$B$23*IF(AQ197=-2,1+regle!$B$35,1),
IF(X197=regle!$C$11,regle!$C$23,
IF(X197=regle!$D$11,regle!$D$23,
IF(X197=regle!$E$11,regle!$E$23,
IF(X197=regle!$F$11,regle!$F$23,
IF(X197=regle!$G$11,regle!$G$23,
IF(X197=regle!$H$11,regle!$H$23,
IF(X197=regle!$I$11,regle!$I$23,
IF(X197=regle!$J$11,regle!$J$23,
IF(X197=regle!$K$11,regle!$K$23,0))))))))))))</f>
        <v>0</v>
      </c>
      <c r="AI197" s="17">
        <f>IF($A197,$J197*(IF(Y197=regle!$B$11,regle!$B$23*IF(AR197=-2,1+regle!$B$35,1),
IF(Y197=regle!$C$11,regle!$C$23,
IF(Y197=regle!$D$11,regle!$D$23,
IF(Y197=regle!$E$11,regle!$E$23,
IF(Y197=regle!$F$11,regle!$F$23,
IF(Y197=regle!$G$11,regle!$G$23,
IF(Y197=regle!$H$11,regle!$H$23,
IF(Y197=regle!$I$11,regle!$I$23,
IF(Y197=regle!$J$11,regle!$J$23,
IF(Y197=regle!$K$11,regle!$K$23,0))))))))))))</f>
        <v>104.664</v>
      </c>
      <c r="AJ197" s="17">
        <f>IF($A197,$J197*(IF(Z197=regle!$B$11,regle!$B$23*IF(AS197=-2,1+regle!$B$35,1),
IF(Z197=regle!$C$11,regle!$C$23,
IF(Z197=regle!$D$11,regle!$D$23,
IF(Z197=regle!$E$11,regle!$E$23,
IF(Z197=regle!$F$11,regle!$F$23,
IF(Z197=regle!$G$11,regle!$G$23,
IF(Z197=regle!$H$11,regle!$H$23,
IF(Z197=regle!$I$11,regle!$I$23,
IF(Z197=regle!$J$11,regle!$J$23,
IF(Z197=regle!$K$11,regle!$K$23,0))))))))))))</f>
        <v>0</v>
      </c>
      <c r="AK197" s="16">
        <f>IF(OR(Q197=regle!$J$11,Q197=regle!$K$11),-2,IF(Q197=regle!$B$11,0,IF(AK$1=$AK$1,IF($O197,-1,regle!$B$2-$M197),IF(AJ197=-1,-1,AJ197+1))))</f>
        <v>9</v>
      </c>
      <c r="AL197" s="16">
        <f>IF(OR(R197=regle!$J$11,R197=regle!$K$11),-2,IF(R197=regle!$B$11,0,IF(AL$1=$AK$1,IF($O197,-1,regle!$B$2-$M197),IF(AK197=-1,-1,AK197+1))))</f>
        <v>10</v>
      </c>
      <c r="AM197" s="16">
        <f>IF(OR(S197=regle!$J$11,S197=regle!$K$11),-2,IF(S197=regle!$B$11,0,IF(AM$1=$AK$1,IF($O197,-1,regle!$B$2-$M197),IF(AL197=-1,-1,AL197+1))))</f>
        <v>11</v>
      </c>
      <c r="AN197" s="16">
        <f>IF(OR(T197=regle!$J$11,T197=regle!$K$11),-2,IF(T197=regle!$B$11,0,IF(AN$1=$AK$1,IF($O197,-1,regle!$B$2-$M197),IF(AM197=-1,-1,AM197+1))))</f>
        <v>12</v>
      </c>
      <c r="AO197" s="16">
        <f>IF(OR(U197=regle!$J$11,U197=regle!$K$11),-2,IF(U197=regle!$B$11,0,IF(AO$1=$AK$1,IF($O197,-1,regle!$B$2-$M197),IF(AN197=-1,-1,AN197+1))))</f>
        <v>13</v>
      </c>
      <c r="AP197" s="16">
        <f>IF(OR(V197=regle!$J$11,V197=regle!$K$11),-2,IF(V197=regle!$B$11,0,IF(AP$1=$AK$1,IF($O197,-1,regle!$B$2-$M197),IF(AO197=-1,-1,AO197+1))))</f>
        <v>14</v>
      </c>
      <c r="AQ197" s="16">
        <f>IF(OR(W197=regle!$J$11,W197=regle!$K$11),-2,IF(W197=regle!$B$11,0,IF(AQ$1=$AK$1,IF($O197,-1,regle!$B$2-$M197),IF(AP197=-1,-1,AP197+1))))</f>
        <v>15</v>
      </c>
      <c r="AR197" s="16">
        <f>IF(OR(X197=regle!$J$11,X197=regle!$K$11),-2,IF(X197=regle!$B$11,0,IF(AR$1=$AK$1,IF($O197,-1,regle!$B$2-$M197),IF(AQ197=-1,-1,AQ197+1))))</f>
        <v>16</v>
      </c>
      <c r="AS197" s="16">
        <f>IF(OR(Y197=regle!$J$11,Y197=regle!$K$11),-2,IF(Y197=regle!$B$11,0,IF(AS$1=$AK$1,IF($O197,-1,regle!$B$2-$M197),IF(AR197=-1,-1,AR197+1))))</f>
        <v>17</v>
      </c>
      <c r="AT197" s="16">
        <f>IF(OR(Z197=regle!$J$11,Z197=regle!$K$11),-2,IF(Z197=regle!$B$11,0,IF(AT$1=$AK$1,IF($O197,-1,regle!$B$2-$M197),IF(AS197=-1,-1,AS197+1))))</f>
        <v>18</v>
      </c>
    </row>
    <row r="198" spans="1:46" x14ac:dyDescent="0.25">
      <c r="A198" t="b">
        <f>modif0!A131</f>
        <v>1</v>
      </c>
      <c r="B198">
        <f>ROW(modif0!B131)</f>
        <v>131</v>
      </c>
      <c r="C198" t="str">
        <f>modif0!D131</f>
        <v>202</v>
      </c>
      <c r="D198" t="str">
        <f>modif0!E131</f>
        <v>HOSTENS</v>
      </c>
      <c r="E198">
        <f>modif0!F131</f>
        <v>11</v>
      </c>
      <c r="F198" t="str">
        <f>modif0!G131</f>
        <v>LES CAZALAS</v>
      </c>
      <c r="G198" t="str">
        <f>modif0!I131</f>
        <v>0B</v>
      </c>
      <c r="H198">
        <f>modif0!J131</f>
        <v>1156</v>
      </c>
      <c r="I198" t="str">
        <f>modif0!K131</f>
        <v>k</v>
      </c>
      <c r="J198" s="11">
        <f>modif0!M131</f>
        <v>0.1095</v>
      </c>
      <c r="K198" s="11" t="str">
        <f>modif0!P131</f>
        <v>PLA</v>
      </c>
      <c r="L198" t="str">
        <f>modif0!N131</f>
        <v>PM</v>
      </c>
      <c r="M198">
        <f>modif0!Q131</f>
        <v>2015</v>
      </c>
      <c r="N198" t="str">
        <f>modif0!R131</f>
        <v>PLA-PM_2015</v>
      </c>
      <c r="O198" t="b">
        <f>modif0!S131</f>
        <v>0</v>
      </c>
      <c r="P198">
        <v>40</v>
      </c>
      <c r="T198" t="s">
        <v>1803</v>
      </c>
      <c r="Y198" t="s">
        <v>1804</v>
      </c>
      <c r="AA198" s="17">
        <f>IF($A198,$J198*(IF(Q198=regle!$B$11,regle!$B$23*IF(AJ198=-2,1+regle!$B$35,1),
IF(Q198=regle!$C$11,regle!$C$23,
IF(Q198=regle!$D$11,regle!$D$23,
IF(Q198=regle!$E$11,regle!$E$23,
IF(Q198=regle!$F$11,regle!$F$23,
IF(Q198=regle!$G$11,regle!$G$23,
IF(Q198=regle!$H$11,regle!$H$23,
IF(Q198=regle!$I$11,regle!$I$23,
IF(Q198=regle!$J$11,regle!$J$23,
IF(Q198=regle!$K$11,regle!$K$23,0))))))))))))</f>
        <v>0</v>
      </c>
      <c r="AB198" s="17">
        <f>IF($A198,$J198*(IF(R198=regle!$B$11,regle!$B$23*IF(AK198=-2,1+regle!$B$35,1),
IF(R198=regle!$C$11,regle!$C$23,
IF(R198=regle!$D$11,regle!$D$23,
IF(R198=regle!$E$11,regle!$E$23,
IF(R198=regle!$F$11,regle!$F$23,
IF(R198=regle!$G$11,regle!$G$23,
IF(R198=regle!$H$11,regle!$H$23,
IF(R198=regle!$I$11,regle!$I$23,
IF(R198=regle!$J$11,regle!$J$23,
IF(R198=regle!$K$11,regle!$K$23,0))))))))))))</f>
        <v>0</v>
      </c>
      <c r="AC198" s="17">
        <f>IF($A198,$J198*(IF(S198=regle!$B$11,regle!$B$23*IF(AL198=-2,1+regle!$B$35,1),
IF(S198=regle!$C$11,regle!$C$23,
IF(S198=regle!$D$11,regle!$D$23,
IF(S198=regle!$E$11,regle!$E$23,
IF(S198=regle!$F$11,regle!$F$23,
IF(S198=regle!$G$11,regle!$G$23,
IF(S198=regle!$H$11,regle!$H$23,
IF(S198=regle!$I$11,regle!$I$23,
IF(S198=regle!$J$11,regle!$J$23,
IF(S198=regle!$K$11,regle!$K$23,0))))))))))))</f>
        <v>0</v>
      </c>
      <c r="AD198" s="17">
        <f>IF($A198,$J198*(IF(T198=regle!$B$11,regle!$B$23*IF(AM198=-2,1+regle!$B$35,1),
IF(T198=regle!$C$11,regle!$C$23,
IF(T198=regle!$D$11,regle!$D$23,
IF(T198=regle!$E$11,regle!$E$23,
IF(T198=regle!$F$11,regle!$F$23,
IF(T198=regle!$G$11,regle!$G$23,
IF(T198=regle!$H$11,regle!$H$23,
IF(T198=regle!$I$11,regle!$I$23,
IF(T198=regle!$J$11,regle!$J$23,
IF(T198=regle!$K$11,regle!$K$23,0))))))))))))</f>
        <v>63.072000000000003</v>
      </c>
      <c r="AE198" s="17">
        <f>IF($A198,$J198*(IF(U198=regle!$B$11,regle!$B$23*IF(AN198=-2,1+regle!$B$35,1),
IF(U198=regle!$C$11,regle!$C$23,
IF(U198=regle!$D$11,regle!$D$23,
IF(U198=regle!$E$11,regle!$E$23,
IF(U198=regle!$F$11,regle!$F$23,
IF(U198=regle!$G$11,regle!$G$23,
IF(U198=regle!$H$11,regle!$H$23,
IF(U198=regle!$I$11,regle!$I$23,
IF(U198=regle!$J$11,regle!$J$23,
IF(U198=regle!$K$11,regle!$K$23,0))))))))))))</f>
        <v>0</v>
      </c>
      <c r="AF198" s="17">
        <f>IF($A198,$J198*(IF(V198=regle!$B$11,regle!$B$23*IF(AO198=-2,1+regle!$B$35,1),
IF(V198=regle!$C$11,regle!$C$23,
IF(V198=regle!$D$11,regle!$D$23,
IF(V198=regle!$E$11,regle!$E$23,
IF(V198=regle!$F$11,regle!$F$23,
IF(V198=regle!$G$11,regle!$G$23,
IF(V198=regle!$H$11,regle!$H$23,
IF(V198=regle!$I$11,regle!$I$23,
IF(V198=regle!$J$11,regle!$J$23,
IF(V198=regle!$K$11,regle!$K$23,0))))))))))))</f>
        <v>0</v>
      </c>
      <c r="AG198" s="17">
        <f>IF($A198,$J198*(IF(W198=regle!$B$11,regle!$B$23*IF(AP198=-2,1+regle!$B$35,1),
IF(W198=regle!$C$11,regle!$C$23,
IF(W198=regle!$D$11,regle!$D$23,
IF(W198=regle!$E$11,regle!$E$23,
IF(W198=regle!$F$11,regle!$F$23,
IF(W198=regle!$G$11,regle!$G$23,
IF(W198=regle!$H$11,regle!$H$23,
IF(W198=regle!$I$11,regle!$I$23,
IF(W198=regle!$J$11,regle!$J$23,
IF(W198=regle!$K$11,regle!$K$23,0))))))))))))</f>
        <v>0</v>
      </c>
      <c r="AH198" s="17">
        <f>IF($A198,$J198*(IF(X198=regle!$B$11,regle!$B$23*IF(AQ198=-2,1+regle!$B$35,1),
IF(X198=regle!$C$11,regle!$C$23,
IF(X198=regle!$D$11,regle!$D$23,
IF(X198=regle!$E$11,regle!$E$23,
IF(X198=regle!$F$11,regle!$F$23,
IF(X198=regle!$G$11,regle!$G$23,
IF(X198=regle!$H$11,regle!$H$23,
IF(X198=regle!$I$11,regle!$I$23,
IF(X198=regle!$J$11,regle!$J$23,
IF(X198=regle!$K$11,regle!$K$23,0))))))))))))</f>
        <v>0</v>
      </c>
      <c r="AI198" s="17">
        <f>IF($A198,$J198*(IF(Y198=regle!$B$11,regle!$B$23*IF(AR198=-2,1+regle!$B$35,1),
IF(Y198=regle!$C$11,regle!$C$23,
IF(Y198=regle!$D$11,regle!$D$23,
IF(Y198=regle!$E$11,regle!$E$23,
IF(Y198=regle!$F$11,regle!$F$23,
IF(Y198=regle!$G$11,regle!$G$23,
IF(Y198=regle!$H$11,regle!$H$23,
IF(Y198=regle!$I$11,regle!$I$23,
IF(Y198=regle!$J$11,regle!$J$23,
IF(Y198=regle!$K$11,regle!$K$23,0))))))))))))</f>
        <v>91.98</v>
      </c>
      <c r="AJ198" s="17">
        <f>IF($A198,$J198*(IF(Z198=regle!$B$11,regle!$B$23*IF(AS198=-2,1+regle!$B$35,1),
IF(Z198=regle!$C$11,regle!$C$23,
IF(Z198=regle!$D$11,regle!$D$23,
IF(Z198=regle!$E$11,regle!$E$23,
IF(Z198=regle!$F$11,regle!$F$23,
IF(Z198=regle!$G$11,regle!$G$23,
IF(Z198=regle!$H$11,regle!$H$23,
IF(Z198=regle!$I$11,regle!$I$23,
IF(Z198=regle!$J$11,regle!$J$23,
IF(Z198=regle!$K$11,regle!$K$23,0))))))))))))</f>
        <v>0</v>
      </c>
      <c r="AK198" s="16">
        <f>IF(OR(Q198=regle!$J$11,Q198=regle!$K$11),-2,IF(Q198=regle!$B$11,0,IF(AK$1=$AK$1,IF($O198,-1,regle!$B$2-$M198),IF(AJ198=-1,-1,AJ198+1))))</f>
        <v>9</v>
      </c>
      <c r="AL198" s="16">
        <f>IF(OR(R198=regle!$J$11,R198=regle!$K$11),-2,IF(R198=regle!$B$11,0,IF(AL$1=$AK$1,IF($O198,-1,regle!$B$2-$M198),IF(AK198=-1,-1,AK198+1))))</f>
        <v>10</v>
      </c>
      <c r="AM198" s="16">
        <f>IF(OR(S198=regle!$J$11,S198=regle!$K$11),-2,IF(S198=regle!$B$11,0,IF(AM$1=$AK$1,IF($O198,-1,regle!$B$2-$M198),IF(AL198=-1,-1,AL198+1))))</f>
        <v>11</v>
      </c>
      <c r="AN198" s="16">
        <f>IF(OR(T198=regle!$J$11,T198=regle!$K$11),-2,IF(T198=regle!$B$11,0,IF(AN$1=$AK$1,IF($O198,-1,regle!$B$2-$M198),IF(AM198=-1,-1,AM198+1))))</f>
        <v>12</v>
      </c>
      <c r="AO198" s="16">
        <f>IF(OR(U198=regle!$J$11,U198=regle!$K$11),-2,IF(U198=regle!$B$11,0,IF(AO$1=$AK$1,IF($O198,-1,regle!$B$2-$M198),IF(AN198=-1,-1,AN198+1))))</f>
        <v>13</v>
      </c>
      <c r="AP198" s="16">
        <f>IF(OR(V198=regle!$J$11,V198=regle!$K$11),-2,IF(V198=regle!$B$11,0,IF(AP$1=$AK$1,IF($O198,-1,regle!$B$2-$M198),IF(AO198=-1,-1,AO198+1))))</f>
        <v>14</v>
      </c>
      <c r="AQ198" s="16">
        <f>IF(OR(W198=regle!$J$11,W198=regle!$K$11),-2,IF(W198=regle!$B$11,0,IF(AQ$1=$AK$1,IF($O198,-1,regle!$B$2-$M198),IF(AP198=-1,-1,AP198+1))))</f>
        <v>15</v>
      </c>
      <c r="AR198" s="16">
        <f>IF(OR(X198=regle!$J$11,X198=regle!$K$11),-2,IF(X198=regle!$B$11,0,IF(AR$1=$AK$1,IF($O198,-1,regle!$B$2-$M198),IF(AQ198=-1,-1,AQ198+1))))</f>
        <v>16</v>
      </c>
      <c r="AS198" s="16">
        <f>IF(OR(Y198=regle!$J$11,Y198=regle!$K$11),-2,IF(Y198=regle!$B$11,0,IF(AS$1=$AK$1,IF($O198,-1,regle!$B$2-$M198),IF(AR198=-1,-1,AR198+1))))</f>
        <v>17</v>
      </c>
      <c r="AT198" s="16">
        <f>IF(OR(Z198=regle!$J$11,Z198=regle!$K$11),-2,IF(Z198=regle!$B$11,0,IF(AT$1=$AK$1,IF($O198,-1,regle!$B$2-$M198),IF(AS198=-1,-1,AS198+1))))</f>
        <v>18</v>
      </c>
    </row>
    <row r="199" spans="1:46" x14ac:dyDescent="0.25">
      <c r="A199" t="b">
        <f>modif0!A172</f>
        <v>1</v>
      </c>
      <c r="B199">
        <f>ROW(modif0!B172)</f>
        <v>172</v>
      </c>
      <c r="C199" t="str">
        <f>modif0!D172</f>
        <v>202</v>
      </c>
      <c r="D199" t="str">
        <f>modif0!E172</f>
        <v>HOSTENS</v>
      </c>
      <c r="E199">
        <f>modif0!F172</f>
        <v>11</v>
      </c>
      <c r="F199" t="str">
        <f>modif0!G172</f>
        <v>LES CAZALAS</v>
      </c>
      <c r="G199" t="str">
        <f>modif0!I172</f>
        <v>0B</v>
      </c>
      <c r="H199">
        <f>modif0!J172</f>
        <v>1199</v>
      </c>
      <c r="I199" t="str">
        <f>modif0!K172</f>
        <v>j</v>
      </c>
      <c r="J199" s="11">
        <f>modif0!M172</f>
        <v>9.74E-2</v>
      </c>
      <c r="K199" s="11" t="str">
        <f>modif0!P172</f>
        <v>PLA</v>
      </c>
      <c r="L199" t="str">
        <f>modif0!N172</f>
        <v>PM</v>
      </c>
      <c r="M199">
        <f>modif0!Q172</f>
        <v>2015</v>
      </c>
      <c r="N199" t="str">
        <f>modif0!R172</f>
        <v>PLA-PM_2015</v>
      </c>
      <c r="O199" t="b">
        <f>modif0!S172</f>
        <v>0</v>
      </c>
      <c r="P199">
        <v>40</v>
      </c>
      <c r="T199" t="s">
        <v>1803</v>
      </c>
      <c r="Y199" t="s">
        <v>1804</v>
      </c>
      <c r="AA199" s="17">
        <f>IF($A199,$J199*(IF(Q199=regle!$B$11,regle!$B$23*IF(AJ199=-2,1+regle!$B$35,1),
IF(Q199=regle!$C$11,regle!$C$23,
IF(Q199=regle!$D$11,regle!$D$23,
IF(Q199=regle!$E$11,regle!$E$23,
IF(Q199=regle!$F$11,regle!$F$23,
IF(Q199=regle!$G$11,regle!$G$23,
IF(Q199=regle!$H$11,regle!$H$23,
IF(Q199=regle!$I$11,regle!$I$23,
IF(Q199=regle!$J$11,regle!$J$23,
IF(Q199=regle!$K$11,regle!$K$23,0))))))))))))</f>
        <v>0</v>
      </c>
      <c r="AB199" s="17">
        <f>IF($A199,$J199*(IF(R199=regle!$B$11,regle!$B$23*IF(AK199=-2,1+regle!$B$35,1),
IF(R199=regle!$C$11,regle!$C$23,
IF(R199=regle!$D$11,regle!$D$23,
IF(R199=regle!$E$11,regle!$E$23,
IF(R199=regle!$F$11,regle!$F$23,
IF(R199=regle!$G$11,regle!$G$23,
IF(R199=regle!$H$11,regle!$H$23,
IF(R199=regle!$I$11,regle!$I$23,
IF(R199=regle!$J$11,regle!$J$23,
IF(R199=regle!$K$11,regle!$K$23,0))))))))))))</f>
        <v>0</v>
      </c>
      <c r="AC199" s="17">
        <f>IF($A199,$J199*(IF(S199=regle!$B$11,regle!$B$23*IF(AL199=-2,1+regle!$B$35,1),
IF(S199=regle!$C$11,regle!$C$23,
IF(S199=regle!$D$11,regle!$D$23,
IF(S199=regle!$E$11,regle!$E$23,
IF(S199=regle!$F$11,regle!$F$23,
IF(S199=regle!$G$11,regle!$G$23,
IF(S199=regle!$H$11,regle!$H$23,
IF(S199=regle!$I$11,regle!$I$23,
IF(S199=regle!$J$11,regle!$J$23,
IF(S199=regle!$K$11,regle!$K$23,0))))))))))))</f>
        <v>0</v>
      </c>
      <c r="AD199" s="17">
        <f>IF($A199,$J199*(IF(T199=regle!$B$11,regle!$B$23*IF(AM199=-2,1+regle!$B$35,1),
IF(T199=regle!$C$11,regle!$C$23,
IF(T199=regle!$D$11,regle!$D$23,
IF(T199=regle!$E$11,regle!$E$23,
IF(T199=regle!$F$11,regle!$F$23,
IF(T199=regle!$G$11,regle!$G$23,
IF(T199=regle!$H$11,regle!$H$23,
IF(T199=regle!$I$11,regle!$I$23,
IF(T199=regle!$J$11,regle!$J$23,
IF(T199=regle!$K$11,regle!$K$23,0))))))))))))</f>
        <v>56.102400000000003</v>
      </c>
      <c r="AE199" s="17">
        <f>IF($A199,$J199*(IF(U199=regle!$B$11,regle!$B$23*IF(AN199=-2,1+regle!$B$35,1),
IF(U199=regle!$C$11,regle!$C$23,
IF(U199=regle!$D$11,regle!$D$23,
IF(U199=regle!$E$11,regle!$E$23,
IF(U199=regle!$F$11,regle!$F$23,
IF(U199=regle!$G$11,regle!$G$23,
IF(U199=regle!$H$11,regle!$H$23,
IF(U199=regle!$I$11,regle!$I$23,
IF(U199=regle!$J$11,regle!$J$23,
IF(U199=regle!$K$11,regle!$K$23,0))))))))))))</f>
        <v>0</v>
      </c>
      <c r="AF199" s="17">
        <f>IF($A199,$J199*(IF(V199=regle!$B$11,regle!$B$23*IF(AO199=-2,1+regle!$B$35,1),
IF(V199=regle!$C$11,regle!$C$23,
IF(V199=regle!$D$11,regle!$D$23,
IF(V199=regle!$E$11,regle!$E$23,
IF(V199=regle!$F$11,regle!$F$23,
IF(V199=regle!$G$11,regle!$G$23,
IF(V199=regle!$H$11,regle!$H$23,
IF(V199=regle!$I$11,regle!$I$23,
IF(V199=regle!$J$11,regle!$J$23,
IF(V199=regle!$K$11,regle!$K$23,0))))))))))))</f>
        <v>0</v>
      </c>
      <c r="AG199" s="17">
        <f>IF($A199,$J199*(IF(W199=regle!$B$11,regle!$B$23*IF(AP199=-2,1+regle!$B$35,1),
IF(W199=regle!$C$11,regle!$C$23,
IF(W199=regle!$D$11,regle!$D$23,
IF(W199=regle!$E$11,regle!$E$23,
IF(W199=regle!$F$11,regle!$F$23,
IF(W199=regle!$G$11,regle!$G$23,
IF(W199=regle!$H$11,regle!$H$23,
IF(W199=regle!$I$11,regle!$I$23,
IF(W199=regle!$J$11,regle!$J$23,
IF(W199=regle!$K$11,regle!$K$23,0))))))))))))</f>
        <v>0</v>
      </c>
      <c r="AH199" s="17">
        <f>IF($A199,$J199*(IF(X199=regle!$B$11,regle!$B$23*IF(AQ199=-2,1+regle!$B$35,1),
IF(X199=regle!$C$11,regle!$C$23,
IF(X199=regle!$D$11,regle!$D$23,
IF(X199=regle!$E$11,regle!$E$23,
IF(X199=regle!$F$11,regle!$F$23,
IF(X199=regle!$G$11,regle!$G$23,
IF(X199=regle!$H$11,regle!$H$23,
IF(X199=regle!$I$11,regle!$I$23,
IF(X199=regle!$J$11,regle!$J$23,
IF(X199=regle!$K$11,regle!$K$23,0))))))))))))</f>
        <v>0</v>
      </c>
      <c r="AI199" s="17">
        <f>IF($A199,$J199*(IF(Y199=regle!$B$11,regle!$B$23*IF(AR199=-2,1+regle!$B$35,1),
IF(Y199=regle!$C$11,regle!$C$23,
IF(Y199=regle!$D$11,regle!$D$23,
IF(Y199=regle!$E$11,regle!$E$23,
IF(Y199=regle!$F$11,regle!$F$23,
IF(Y199=regle!$G$11,regle!$G$23,
IF(Y199=regle!$H$11,regle!$H$23,
IF(Y199=regle!$I$11,regle!$I$23,
IF(Y199=regle!$J$11,regle!$J$23,
IF(Y199=regle!$K$11,regle!$K$23,0))))))))))))</f>
        <v>81.816000000000003</v>
      </c>
      <c r="AJ199" s="17">
        <f>IF($A199,$J199*(IF(Z199=regle!$B$11,regle!$B$23*IF(AS199=-2,1+regle!$B$35,1),
IF(Z199=regle!$C$11,regle!$C$23,
IF(Z199=regle!$D$11,regle!$D$23,
IF(Z199=regle!$E$11,regle!$E$23,
IF(Z199=regle!$F$11,regle!$F$23,
IF(Z199=regle!$G$11,regle!$G$23,
IF(Z199=regle!$H$11,regle!$H$23,
IF(Z199=regle!$I$11,regle!$I$23,
IF(Z199=regle!$J$11,regle!$J$23,
IF(Z199=regle!$K$11,regle!$K$23,0))))))))))))</f>
        <v>0</v>
      </c>
      <c r="AK199" s="16">
        <f>IF(OR(Q199=regle!$J$11,Q199=regle!$K$11),-2,IF(Q199=regle!$B$11,0,IF(AK$1=$AK$1,IF($O199,-1,regle!$B$2-$M199),IF(AJ199=-1,-1,AJ199+1))))</f>
        <v>9</v>
      </c>
      <c r="AL199" s="16">
        <f>IF(OR(R199=regle!$J$11,R199=regle!$K$11),-2,IF(R199=regle!$B$11,0,IF(AL$1=$AK$1,IF($O199,-1,regle!$B$2-$M199),IF(AK199=-1,-1,AK199+1))))</f>
        <v>10</v>
      </c>
      <c r="AM199" s="16">
        <f>IF(OR(S199=regle!$J$11,S199=regle!$K$11),-2,IF(S199=regle!$B$11,0,IF(AM$1=$AK$1,IF($O199,-1,regle!$B$2-$M199),IF(AL199=-1,-1,AL199+1))))</f>
        <v>11</v>
      </c>
      <c r="AN199" s="16">
        <f>IF(OR(T199=regle!$J$11,T199=regle!$K$11),-2,IF(T199=regle!$B$11,0,IF(AN$1=$AK$1,IF($O199,-1,regle!$B$2-$M199),IF(AM199=-1,-1,AM199+1))))</f>
        <v>12</v>
      </c>
      <c r="AO199" s="16">
        <f>IF(OR(U199=regle!$J$11,U199=regle!$K$11),-2,IF(U199=regle!$B$11,0,IF(AO$1=$AK$1,IF($O199,-1,regle!$B$2-$M199),IF(AN199=-1,-1,AN199+1))))</f>
        <v>13</v>
      </c>
      <c r="AP199" s="16">
        <f>IF(OR(V199=regle!$J$11,V199=regle!$K$11),-2,IF(V199=regle!$B$11,0,IF(AP$1=$AK$1,IF($O199,-1,regle!$B$2-$M199),IF(AO199=-1,-1,AO199+1))))</f>
        <v>14</v>
      </c>
      <c r="AQ199" s="16">
        <f>IF(OR(W199=regle!$J$11,W199=regle!$K$11),-2,IF(W199=regle!$B$11,0,IF(AQ$1=$AK$1,IF($O199,-1,regle!$B$2-$M199),IF(AP199=-1,-1,AP199+1))))</f>
        <v>15</v>
      </c>
      <c r="AR199" s="16">
        <f>IF(OR(X199=regle!$J$11,X199=regle!$K$11),-2,IF(X199=regle!$B$11,0,IF(AR$1=$AK$1,IF($O199,-1,regle!$B$2-$M199),IF(AQ199=-1,-1,AQ199+1))))</f>
        <v>16</v>
      </c>
      <c r="AS199" s="16">
        <f>IF(OR(Y199=regle!$J$11,Y199=regle!$K$11),-2,IF(Y199=regle!$B$11,0,IF(AS$1=$AK$1,IF($O199,-1,regle!$B$2-$M199),IF(AR199=-1,-1,AR199+1))))</f>
        <v>17</v>
      </c>
      <c r="AT199" s="16">
        <f>IF(OR(Z199=regle!$J$11,Z199=regle!$K$11),-2,IF(Z199=regle!$B$11,0,IF(AT$1=$AK$1,IF($O199,-1,regle!$B$2-$M199),IF(AS199=-1,-1,AS199+1))))</f>
        <v>18</v>
      </c>
    </row>
    <row r="200" spans="1:46" x14ac:dyDescent="0.25">
      <c r="A200" t="b">
        <f>modif0!A229</f>
        <v>1</v>
      </c>
      <c r="B200">
        <f>ROW(modif0!B229)</f>
        <v>229</v>
      </c>
      <c r="C200" t="str">
        <f>modif0!D229</f>
        <v>202</v>
      </c>
      <c r="D200" t="str">
        <f>modif0!E229</f>
        <v>HOSTENS</v>
      </c>
      <c r="E200">
        <f>modif0!F229</f>
        <v>11</v>
      </c>
      <c r="F200" t="str">
        <f>modif0!G229</f>
        <v>LES CAZALAS</v>
      </c>
      <c r="G200" t="str">
        <f>modif0!I229</f>
        <v>0B</v>
      </c>
      <c r="H200">
        <f>modif0!J229</f>
        <v>1575</v>
      </c>
      <c r="I200" t="str">
        <f>modif0!K229</f>
        <v/>
      </c>
      <c r="J200" s="11">
        <f>modif0!M229</f>
        <v>9.6100000000000005E-2</v>
      </c>
      <c r="K200" s="11" t="str">
        <f>modif0!P229</f>
        <v>PLA</v>
      </c>
      <c r="L200" t="str">
        <f>modif0!N229</f>
        <v>PM</v>
      </c>
      <c r="M200">
        <f>modif0!Q229</f>
        <v>2015</v>
      </c>
      <c r="N200" t="str">
        <f>modif0!R229</f>
        <v>PLA-PM_2015</v>
      </c>
      <c r="O200" t="b">
        <f>modif0!S229</f>
        <v>0</v>
      </c>
      <c r="P200">
        <v>40</v>
      </c>
      <c r="T200" t="s">
        <v>1803</v>
      </c>
      <c r="Y200" t="s">
        <v>1804</v>
      </c>
      <c r="AA200" s="17">
        <f>IF($A200,$J200*(IF(Q200=regle!$B$11,regle!$B$23*IF(AJ200=-2,1+regle!$B$35,1),
IF(Q200=regle!$C$11,regle!$C$23,
IF(Q200=regle!$D$11,regle!$D$23,
IF(Q200=regle!$E$11,regle!$E$23,
IF(Q200=regle!$F$11,regle!$F$23,
IF(Q200=regle!$G$11,regle!$G$23,
IF(Q200=regle!$H$11,regle!$H$23,
IF(Q200=regle!$I$11,regle!$I$23,
IF(Q200=regle!$J$11,regle!$J$23,
IF(Q200=regle!$K$11,regle!$K$23,0))))))))))))</f>
        <v>0</v>
      </c>
      <c r="AB200" s="17">
        <f>IF($A200,$J200*(IF(R200=regle!$B$11,regle!$B$23*IF(AK200=-2,1+regle!$B$35,1),
IF(R200=regle!$C$11,regle!$C$23,
IF(R200=regle!$D$11,regle!$D$23,
IF(R200=regle!$E$11,regle!$E$23,
IF(R200=regle!$F$11,regle!$F$23,
IF(R200=regle!$G$11,regle!$G$23,
IF(R200=regle!$H$11,regle!$H$23,
IF(R200=regle!$I$11,regle!$I$23,
IF(R200=regle!$J$11,regle!$J$23,
IF(R200=regle!$K$11,regle!$K$23,0))))))))))))</f>
        <v>0</v>
      </c>
      <c r="AC200" s="17">
        <f>IF($A200,$J200*(IF(S200=regle!$B$11,regle!$B$23*IF(AL200=-2,1+regle!$B$35,1),
IF(S200=regle!$C$11,regle!$C$23,
IF(S200=regle!$D$11,regle!$D$23,
IF(S200=regle!$E$11,regle!$E$23,
IF(S200=regle!$F$11,regle!$F$23,
IF(S200=regle!$G$11,regle!$G$23,
IF(S200=regle!$H$11,regle!$H$23,
IF(S200=regle!$I$11,regle!$I$23,
IF(S200=regle!$J$11,regle!$J$23,
IF(S200=regle!$K$11,regle!$K$23,0))))))))))))</f>
        <v>0</v>
      </c>
      <c r="AD200" s="17">
        <f>IF($A200,$J200*(IF(T200=regle!$B$11,regle!$B$23*IF(AM200=-2,1+regle!$B$35,1),
IF(T200=regle!$C$11,regle!$C$23,
IF(T200=regle!$D$11,regle!$D$23,
IF(T200=regle!$E$11,regle!$E$23,
IF(T200=regle!$F$11,regle!$F$23,
IF(T200=regle!$G$11,regle!$G$23,
IF(T200=regle!$H$11,regle!$H$23,
IF(T200=regle!$I$11,regle!$I$23,
IF(T200=regle!$J$11,regle!$J$23,
IF(T200=regle!$K$11,regle!$K$23,0))))))))))))</f>
        <v>55.3536</v>
      </c>
      <c r="AE200" s="17">
        <f>IF($A200,$J200*(IF(U200=regle!$B$11,regle!$B$23*IF(AN200=-2,1+regle!$B$35,1),
IF(U200=regle!$C$11,regle!$C$23,
IF(U200=regle!$D$11,regle!$D$23,
IF(U200=regle!$E$11,regle!$E$23,
IF(U200=regle!$F$11,regle!$F$23,
IF(U200=regle!$G$11,regle!$G$23,
IF(U200=regle!$H$11,regle!$H$23,
IF(U200=regle!$I$11,regle!$I$23,
IF(U200=regle!$J$11,regle!$J$23,
IF(U200=regle!$K$11,regle!$K$23,0))))))))))))</f>
        <v>0</v>
      </c>
      <c r="AF200" s="17">
        <f>IF($A200,$J200*(IF(V200=regle!$B$11,regle!$B$23*IF(AO200=-2,1+regle!$B$35,1),
IF(V200=regle!$C$11,regle!$C$23,
IF(V200=regle!$D$11,regle!$D$23,
IF(V200=regle!$E$11,regle!$E$23,
IF(V200=regle!$F$11,regle!$F$23,
IF(V200=regle!$G$11,regle!$G$23,
IF(V200=regle!$H$11,regle!$H$23,
IF(V200=regle!$I$11,regle!$I$23,
IF(V200=regle!$J$11,regle!$J$23,
IF(V200=regle!$K$11,regle!$K$23,0))))))))))))</f>
        <v>0</v>
      </c>
      <c r="AG200" s="17">
        <f>IF($A200,$J200*(IF(W200=regle!$B$11,regle!$B$23*IF(AP200=-2,1+regle!$B$35,1),
IF(W200=regle!$C$11,regle!$C$23,
IF(W200=regle!$D$11,regle!$D$23,
IF(W200=regle!$E$11,regle!$E$23,
IF(W200=regle!$F$11,regle!$F$23,
IF(W200=regle!$G$11,regle!$G$23,
IF(W200=regle!$H$11,regle!$H$23,
IF(W200=regle!$I$11,regle!$I$23,
IF(W200=regle!$J$11,regle!$J$23,
IF(W200=regle!$K$11,regle!$K$23,0))))))))))))</f>
        <v>0</v>
      </c>
      <c r="AH200" s="17">
        <f>IF($A200,$J200*(IF(X200=regle!$B$11,regle!$B$23*IF(AQ200=-2,1+regle!$B$35,1),
IF(X200=regle!$C$11,regle!$C$23,
IF(X200=regle!$D$11,regle!$D$23,
IF(X200=regle!$E$11,regle!$E$23,
IF(X200=regle!$F$11,regle!$F$23,
IF(X200=regle!$G$11,regle!$G$23,
IF(X200=regle!$H$11,regle!$H$23,
IF(X200=regle!$I$11,regle!$I$23,
IF(X200=regle!$J$11,regle!$J$23,
IF(X200=regle!$K$11,regle!$K$23,0))))))))))))</f>
        <v>0</v>
      </c>
      <c r="AI200" s="17">
        <f>IF($A200,$J200*(IF(Y200=regle!$B$11,regle!$B$23*IF(AR200=-2,1+regle!$B$35,1),
IF(Y200=regle!$C$11,regle!$C$23,
IF(Y200=regle!$D$11,regle!$D$23,
IF(Y200=regle!$E$11,regle!$E$23,
IF(Y200=regle!$F$11,regle!$F$23,
IF(Y200=regle!$G$11,regle!$G$23,
IF(Y200=regle!$H$11,regle!$H$23,
IF(Y200=regle!$I$11,regle!$I$23,
IF(Y200=regle!$J$11,regle!$J$23,
IF(Y200=regle!$K$11,regle!$K$23,0))))))))))))</f>
        <v>80.724000000000004</v>
      </c>
      <c r="AJ200" s="17">
        <f>IF($A200,$J200*(IF(Z200=regle!$B$11,regle!$B$23*IF(AS200=-2,1+regle!$B$35,1),
IF(Z200=regle!$C$11,regle!$C$23,
IF(Z200=regle!$D$11,regle!$D$23,
IF(Z200=regle!$E$11,regle!$E$23,
IF(Z200=regle!$F$11,regle!$F$23,
IF(Z200=regle!$G$11,regle!$G$23,
IF(Z200=regle!$H$11,regle!$H$23,
IF(Z200=regle!$I$11,regle!$I$23,
IF(Z200=regle!$J$11,regle!$J$23,
IF(Z200=regle!$K$11,regle!$K$23,0))))))))))))</f>
        <v>0</v>
      </c>
      <c r="AK200" s="16">
        <f>IF(OR(Q200=regle!$J$11,Q200=regle!$K$11),-2,IF(Q200=regle!$B$11,0,IF(AK$1=$AK$1,IF($O200,-1,regle!$B$2-$M200),IF(AJ200=-1,-1,AJ200+1))))</f>
        <v>9</v>
      </c>
      <c r="AL200" s="16">
        <f>IF(OR(R200=regle!$J$11,R200=regle!$K$11),-2,IF(R200=regle!$B$11,0,IF(AL$1=$AK$1,IF($O200,-1,regle!$B$2-$M200),IF(AK200=-1,-1,AK200+1))))</f>
        <v>10</v>
      </c>
      <c r="AM200" s="16">
        <f>IF(OR(S200=regle!$J$11,S200=regle!$K$11),-2,IF(S200=regle!$B$11,0,IF(AM$1=$AK$1,IF($O200,-1,regle!$B$2-$M200),IF(AL200=-1,-1,AL200+1))))</f>
        <v>11</v>
      </c>
      <c r="AN200" s="16">
        <f>IF(OR(T200=regle!$J$11,T200=regle!$K$11),-2,IF(T200=regle!$B$11,0,IF(AN$1=$AK$1,IF($O200,-1,regle!$B$2-$M200),IF(AM200=-1,-1,AM200+1))))</f>
        <v>12</v>
      </c>
      <c r="AO200" s="16">
        <f>IF(OR(U200=regle!$J$11,U200=regle!$K$11),-2,IF(U200=regle!$B$11,0,IF(AO$1=$AK$1,IF($O200,-1,regle!$B$2-$M200),IF(AN200=-1,-1,AN200+1))))</f>
        <v>13</v>
      </c>
      <c r="AP200" s="16">
        <f>IF(OR(V200=regle!$J$11,V200=regle!$K$11),-2,IF(V200=regle!$B$11,0,IF(AP$1=$AK$1,IF($O200,-1,regle!$B$2-$M200),IF(AO200=-1,-1,AO200+1))))</f>
        <v>14</v>
      </c>
      <c r="AQ200" s="16">
        <f>IF(OR(W200=regle!$J$11,W200=regle!$K$11),-2,IF(W200=regle!$B$11,0,IF(AQ$1=$AK$1,IF($O200,-1,regle!$B$2-$M200),IF(AP200=-1,-1,AP200+1))))</f>
        <v>15</v>
      </c>
      <c r="AR200" s="16">
        <f>IF(OR(X200=regle!$J$11,X200=regle!$K$11),-2,IF(X200=regle!$B$11,0,IF(AR$1=$AK$1,IF($O200,-1,regle!$B$2-$M200),IF(AQ200=-1,-1,AQ200+1))))</f>
        <v>16</v>
      </c>
      <c r="AS200" s="16">
        <f>IF(OR(Y200=regle!$J$11,Y200=regle!$K$11),-2,IF(Y200=regle!$B$11,0,IF(AS$1=$AK$1,IF($O200,-1,regle!$B$2-$M200),IF(AR200=-1,-1,AR200+1))))</f>
        <v>17</v>
      </c>
      <c r="AT200" s="16">
        <f>IF(OR(Z200=regle!$J$11,Z200=regle!$K$11),-2,IF(Z200=regle!$B$11,0,IF(AT$1=$AK$1,IF($O200,-1,regle!$B$2-$M200),IF(AS200=-1,-1,AS200+1))))</f>
        <v>18</v>
      </c>
    </row>
    <row r="201" spans="1:46" x14ac:dyDescent="0.25">
      <c r="A201" t="b">
        <f>modif0!A187</f>
        <v>1</v>
      </c>
      <c r="B201">
        <f>ROW(modif0!B187)</f>
        <v>187</v>
      </c>
      <c r="C201" t="str">
        <f>modif0!D187</f>
        <v>202</v>
      </c>
      <c r="D201" t="str">
        <f>modif0!E187</f>
        <v>HOSTENS</v>
      </c>
      <c r="E201">
        <f>modif0!F187</f>
        <v>8</v>
      </c>
      <c r="F201" t="str">
        <f>modif0!G187</f>
        <v>LES BECS</v>
      </c>
      <c r="G201" t="str">
        <f>modif0!I187</f>
        <v>0B</v>
      </c>
      <c r="H201">
        <f>modif0!J187</f>
        <v>1214</v>
      </c>
      <c r="I201" t="str">
        <f>modif0!K187</f>
        <v>l</v>
      </c>
      <c r="J201" s="11">
        <f>modif0!M187</f>
        <v>9.5200000000000007E-2</v>
      </c>
      <c r="K201" s="11" t="str">
        <f>modif0!P187</f>
        <v>PLA</v>
      </c>
      <c r="L201" t="str">
        <f>modif0!N187</f>
        <v>PM</v>
      </c>
      <c r="M201">
        <f>modif0!Q187</f>
        <v>2015</v>
      </c>
      <c r="N201" t="str">
        <f>modif0!R187</f>
        <v>PLA-PM_2015</v>
      </c>
      <c r="O201" t="b">
        <f>modif0!S187</f>
        <v>0</v>
      </c>
      <c r="P201">
        <v>40</v>
      </c>
      <c r="T201" t="s">
        <v>1803</v>
      </c>
      <c r="Y201" t="s">
        <v>1804</v>
      </c>
      <c r="AA201" s="17">
        <f>IF($A201,$J201*(IF(Q201=regle!$B$11,regle!$B$23*IF(AJ201=-2,1+regle!$B$35,1),
IF(Q201=regle!$C$11,regle!$C$23,
IF(Q201=regle!$D$11,regle!$D$23,
IF(Q201=regle!$E$11,regle!$E$23,
IF(Q201=regle!$F$11,regle!$F$23,
IF(Q201=regle!$G$11,regle!$G$23,
IF(Q201=regle!$H$11,regle!$H$23,
IF(Q201=regle!$I$11,regle!$I$23,
IF(Q201=regle!$J$11,regle!$J$23,
IF(Q201=regle!$K$11,regle!$K$23,0))))))))))))</f>
        <v>0</v>
      </c>
      <c r="AB201" s="17">
        <f>IF($A201,$J201*(IF(R201=regle!$B$11,regle!$B$23*IF(AK201=-2,1+regle!$B$35,1),
IF(R201=regle!$C$11,regle!$C$23,
IF(R201=regle!$D$11,regle!$D$23,
IF(R201=regle!$E$11,regle!$E$23,
IF(R201=regle!$F$11,regle!$F$23,
IF(R201=regle!$G$11,regle!$G$23,
IF(R201=regle!$H$11,regle!$H$23,
IF(R201=regle!$I$11,regle!$I$23,
IF(R201=regle!$J$11,regle!$J$23,
IF(R201=regle!$K$11,regle!$K$23,0))))))))))))</f>
        <v>0</v>
      </c>
      <c r="AC201" s="17">
        <f>IF($A201,$J201*(IF(S201=regle!$B$11,regle!$B$23*IF(AL201=-2,1+regle!$B$35,1),
IF(S201=regle!$C$11,regle!$C$23,
IF(S201=regle!$D$11,regle!$D$23,
IF(S201=regle!$E$11,regle!$E$23,
IF(S201=regle!$F$11,regle!$F$23,
IF(S201=regle!$G$11,regle!$G$23,
IF(S201=regle!$H$11,regle!$H$23,
IF(S201=regle!$I$11,regle!$I$23,
IF(S201=regle!$J$11,regle!$J$23,
IF(S201=regle!$K$11,regle!$K$23,0))))))))))))</f>
        <v>0</v>
      </c>
      <c r="AD201" s="17">
        <f>IF($A201,$J201*(IF(T201=regle!$B$11,regle!$B$23*IF(AM201=-2,1+regle!$B$35,1),
IF(T201=regle!$C$11,regle!$C$23,
IF(T201=regle!$D$11,regle!$D$23,
IF(T201=regle!$E$11,regle!$E$23,
IF(T201=regle!$F$11,regle!$F$23,
IF(T201=regle!$G$11,regle!$G$23,
IF(T201=regle!$H$11,regle!$H$23,
IF(T201=regle!$I$11,regle!$I$23,
IF(T201=regle!$J$11,regle!$J$23,
IF(T201=regle!$K$11,regle!$K$23,0))))))))))))</f>
        <v>54.8352</v>
      </c>
      <c r="AE201" s="17">
        <f>IF($A201,$J201*(IF(U201=regle!$B$11,regle!$B$23*IF(AN201=-2,1+regle!$B$35,1),
IF(U201=regle!$C$11,regle!$C$23,
IF(U201=regle!$D$11,regle!$D$23,
IF(U201=regle!$E$11,regle!$E$23,
IF(U201=regle!$F$11,regle!$F$23,
IF(U201=regle!$G$11,regle!$G$23,
IF(U201=regle!$H$11,regle!$H$23,
IF(U201=regle!$I$11,regle!$I$23,
IF(U201=regle!$J$11,regle!$J$23,
IF(U201=regle!$K$11,regle!$K$23,0))))))))))))</f>
        <v>0</v>
      </c>
      <c r="AF201" s="17">
        <f>IF($A201,$J201*(IF(V201=regle!$B$11,regle!$B$23*IF(AO201=-2,1+regle!$B$35,1),
IF(V201=regle!$C$11,regle!$C$23,
IF(V201=regle!$D$11,regle!$D$23,
IF(V201=regle!$E$11,regle!$E$23,
IF(V201=regle!$F$11,regle!$F$23,
IF(V201=regle!$G$11,regle!$G$23,
IF(V201=regle!$H$11,regle!$H$23,
IF(V201=regle!$I$11,regle!$I$23,
IF(V201=regle!$J$11,regle!$J$23,
IF(V201=regle!$K$11,regle!$K$23,0))))))))))))</f>
        <v>0</v>
      </c>
      <c r="AG201" s="17">
        <f>IF($A201,$J201*(IF(W201=regle!$B$11,regle!$B$23*IF(AP201=-2,1+regle!$B$35,1),
IF(W201=regle!$C$11,regle!$C$23,
IF(W201=regle!$D$11,regle!$D$23,
IF(W201=regle!$E$11,regle!$E$23,
IF(W201=regle!$F$11,regle!$F$23,
IF(W201=regle!$G$11,regle!$G$23,
IF(W201=regle!$H$11,regle!$H$23,
IF(W201=regle!$I$11,regle!$I$23,
IF(W201=regle!$J$11,regle!$J$23,
IF(W201=regle!$K$11,regle!$K$23,0))))))))))))</f>
        <v>0</v>
      </c>
      <c r="AH201" s="17">
        <f>IF($A201,$J201*(IF(X201=regle!$B$11,regle!$B$23*IF(AQ201=-2,1+regle!$B$35,1),
IF(X201=regle!$C$11,regle!$C$23,
IF(X201=regle!$D$11,regle!$D$23,
IF(X201=regle!$E$11,regle!$E$23,
IF(X201=regle!$F$11,regle!$F$23,
IF(X201=regle!$G$11,regle!$G$23,
IF(X201=regle!$H$11,regle!$H$23,
IF(X201=regle!$I$11,regle!$I$23,
IF(X201=regle!$J$11,regle!$J$23,
IF(X201=regle!$K$11,regle!$K$23,0))))))))))))</f>
        <v>0</v>
      </c>
      <c r="AI201" s="17">
        <f>IF($A201,$J201*(IF(Y201=regle!$B$11,regle!$B$23*IF(AR201=-2,1+regle!$B$35,1),
IF(Y201=regle!$C$11,regle!$C$23,
IF(Y201=regle!$D$11,regle!$D$23,
IF(Y201=regle!$E$11,regle!$E$23,
IF(Y201=regle!$F$11,regle!$F$23,
IF(Y201=regle!$G$11,regle!$G$23,
IF(Y201=regle!$H$11,regle!$H$23,
IF(Y201=regle!$I$11,regle!$I$23,
IF(Y201=regle!$J$11,regle!$J$23,
IF(Y201=regle!$K$11,regle!$K$23,0))))))))))))</f>
        <v>79.968000000000004</v>
      </c>
      <c r="AJ201" s="17">
        <f>IF($A201,$J201*(IF(Z201=regle!$B$11,regle!$B$23*IF(AS201=-2,1+regle!$B$35,1),
IF(Z201=regle!$C$11,regle!$C$23,
IF(Z201=regle!$D$11,regle!$D$23,
IF(Z201=regle!$E$11,regle!$E$23,
IF(Z201=regle!$F$11,regle!$F$23,
IF(Z201=regle!$G$11,regle!$G$23,
IF(Z201=regle!$H$11,regle!$H$23,
IF(Z201=regle!$I$11,regle!$I$23,
IF(Z201=regle!$J$11,regle!$J$23,
IF(Z201=regle!$K$11,regle!$K$23,0))))))))))))</f>
        <v>0</v>
      </c>
      <c r="AK201" s="16">
        <f>IF(OR(Q201=regle!$J$11,Q201=regle!$K$11),-2,IF(Q201=regle!$B$11,0,IF(AK$1=$AK$1,IF($O201,-1,regle!$B$2-$M201),IF(AJ201=-1,-1,AJ201+1))))</f>
        <v>9</v>
      </c>
      <c r="AL201" s="16">
        <f>IF(OR(R201=regle!$J$11,R201=regle!$K$11),-2,IF(R201=regle!$B$11,0,IF(AL$1=$AK$1,IF($O201,-1,regle!$B$2-$M201),IF(AK201=-1,-1,AK201+1))))</f>
        <v>10</v>
      </c>
      <c r="AM201" s="16">
        <f>IF(OR(S201=regle!$J$11,S201=regle!$K$11),-2,IF(S201=regle!$B$11,0,IF(AM$1=$AK$1,IF($O201,-1,regle!$B$2-$M201),IF(AL201=-1,-1,AL201+1))))</f>
        <v>11</v>
      </c>
      <c r="AN201" s="16">
        <f>IF(OR(T201=regle!$J$11,T201=regle!$K$11),-2,IF(T201=regle!$B$11,0,IF(AN$1=$AK$1,IF($O201,-1,regle!$B$2-$M201),IF(AM201=-1,-1,AM201+1))))</f>
        <v>12</v>
      </c>
      <c r="AO201" s="16">
        <f>IF(OR(U201=regle!$J$11,U201=regle!$K$11),-2,IF(U201=regle!$B$11,0,IF(AO$1=$AK$1,IF($O201,-1,regle!$B$2-$M201),IF(AN201=-1,-1,AN201+1))))</f>
        <v>13</v>
      </c>
      <c r="AP201" s="16">
        <f>IF(OR(V201=regle!$J$11,V201=regle!$K$11),-2,IF(V201=regle!$B$11,0,IF(AP$1=$AK$1,IF($O201,-1,regle!$B$2-$M201),IF(AO201=-1,-1,AO201+1))))</f>
        <v>14</v>
      </c>
      <c r="AQ201" s="16">
        <f>IF(OR(W201=regle!$J$11,W201=regle!$K$11),-2,IF(W201=regle!$B$11,0,IF(AQ$1=$AK$1,IF($O201,-1,regle!$B$2-$M201),IF(AP201=-1,-1,AP201+1))))</f>
        <v>15</v>
      </c>
      <c r="AR201" s="16">
        <f>IF(OR(X201=regle!$J$11,X201=regle!$K$11),-2,IF(X201=regle!$B$11,0,IF(AR$1=$AK$1,IF($O201,-1,regle!$B$2-$M201),IF(AQ201=-1,-1,AQ201+1))))</f>
        <v>16</v>
      </c>
      <c r="AS201" s="16">
        <f>IF(OR(Y201=regle!$J$11,Y201=regle!$K$11),-2,IF(Y201=regle!$B$11,0,IF(AS$1=$AK$1,IF($O201,-1,regle!$B$2-$M201),IF(AR201=-1,-1,AR201+1))))</f>
        <v>17</v>
      </c>
      <c r="AT201" s="16">
        <f>IF(OR(Z201=regle!$J$11,Z201=regle!$K$11),-2,IF(Z201=regle!$B$11,0,IF(AT$1=$AK$1,IF($O201,-1,regle!$B$2-$M201),IF(AS201=-1,-1,AS201+1))))</f>
        <v>18</v>
      </c>
    </row>
    <row r="202" spans="1:46" x14ac:dyDescent="0.25">
      <c r="A202" t="b">
        <f>modif0!A246</f>
        <v>1</v>
      </c>
      <c r="B202">
        <f>ROW(modif0!B246)</f>
        <v>246</v>
      </c>
      <c r="C202" t="str">
        <f>modif0!D246</f>
        <v>202</v>
      </c>
      <c r="D202" t="str">
        <f>modif0!E246</f>
        <v>HOSTENS</v>
      </c>
      <c r="E202">
        <f>modif0!F246</f>
        <v>8</v>
      </c>
      <c r="F202" t="str">
        <f>modif0!G246</f>
        <v>LES BECS</v>
      </c>
      <c r="G202" t="str">
        <f>modif0!I246</f>
        <v>0B</v>
      </c>
      <c r="H202">
        <f>modif0!J246</f>
        <v>2472</v>
      </c>
      <c r="I202" t="str">
        <f>modif0!K246</f>
        <v>n</v>
      </c>
      <c r="J202" s="11">
        <f>modif0!M246</f>
        <v>7.6899999999999996E-2</v>
      </c>
      <c r="K202" s="11" t="str">
        <f>modif0!P246</f>
        <v>PLA</v>
      </c>
      <c r="L202" t="str">
        <f>modif0!N246</f>
        <v>PM</v>
      </c>
      <c r="M202">
        <f>modif0!Q246</f>
        <v>2015</v>
      </c>
      <c r="N202" t="str">
        <f>modif0!R246</f>
        <v>PLA-PM_2015</v>
      </c>
      <c r="O202" t="b">
        <f>modif0!S246</f>
        <v>0</v>
      </c>
      <c r="P202">
        <v>40</v>
      </c>
      <c r="T202" t="s">
        <v>1803</v>
      </c>
      <c r="Y202" t="s">
        <v>1804</v>
      </c>
      <c r="AA202" s="17">
        <f>IF($A202,$J202*(IF(Q202=regle!$B$11,regle!$B$23*IF(AJ202=-2,1+regle!$B$35,1),
IF(Q202=regle!$C$11,regle!$C$23,
IF(Q202=regle!$D$11,regle!$D$23,
IF(Q202=regle!$E$11,regle!$E$23,
IF(Q202=regle!$F$11,regle!$F$23,
IF(Q202=regle!$G$11,regle!$G$23,
IF(Q202=regle!$H$11,regle!$H$23,
IF(Q202=regle!$I$11,regle!$I$23,
IF(Q202=regle!$J$11,regle!$J$23,
IF(Q202=regle!$K$11,regle!$K$23,0))))))))))))</f>
        <v>0</v>
      </c>
      <c r="AB202" s="17">
        <f>IF($A202,$J202*(IF(R202=regle!$B$11,regle!$B$23*IF(AK202=-2,1+regle!$B$35,1),
IF(R202=regle!$C$11,regle!$C$23,
IF(R202=regle!$D$11,regle!$D$23,
IF(R202=regle!$E$11,regle!$E$23,
IF(R202=regle!$F$11,regle!$F$23,
IF(R202=regle!$G$11,regle!$G$23,
IF(R202=regle!$H$11,regle!$H$23,
IF(R202=regle!$I$11,regle!$I$23,
IF(R202=regle!$J$11,regle!$J$23,
IF(R202=regle!$K$11,regle!$K$23,0))))))))))))</f>
        <v>0</v>
      </c>
      <c r="AC202" s="17">
        <f>IF($A202,$J202*(IF(S202=regle!$B$11,regle!$B$23*IF(AL202=-2,1+regle!$B$35,1),
IF(S202=regle!$C$11,regle!$C$23,
IF(S202=regle!$D$11,regle!$D$23,
IF(S202=regle!$E$11,regle!$E$23,
IF(S202=regle!$F$11,regle!$F$23,
IF(S202=regle!$G$11,regle!$G$23,
IF(S202=regle!$H$11,regle!$H$23,
IF(S202=regle!$I$11,regle!$I$23,
IF(S202=regle!$J$11,regle!$J$23,
IF(S202=regle!$K$11,regle!$K$23,0))))))))))))</f>
        <v>0</v>
      </c>
      <c r="AD202" s="17">
        <f>IF($A202,$J202*(IF(T202=regle!$B$11,regle!$B$23*IF(AM202=-2,1+regle!$B$35,1),
IF(T202=regle!$C$11,regle!$C$23,
IF(T202=regle!$D$11,regle!$D$23,
IF(T202=regle!$E$11,regle!$E$23,
IF(T202=regle!$F$11,regle!$F$23,
IF(T202=regle!$G$11,regle!$G$23,
IF(T202=regle!$H$11,regle!$H$23,
IF(T202=regle!$I$11,regle!$I$23,
IF(T202=regle!$J$11,regle!$J$23,
IF(T202=regle!$K$11,regle!$K$23,0))))))))))))</f>
        <v>44.294399999999996</v>
      </c>
      <c r="AE202" s="17">
        <f>IF($A202,$J202*(IF(U202=regle!$B$11,regle!$B$23*IF(AN202=-2,1+regle!$B$35,1),
IF(U202=regle!$C$11,regle!$C$23,
IF(U202=regle!$D$11,regle!$D$23,
IF(U202=regle!$E$11,regle!$E$23,
IF(U202=regle!$F$11,regle!$F$23,
IF(U202=regle!$G$11,regle!$G$23,
IF(U202=regle!$H$11,regle!$H$23,
IF(U202=regle!$I$11,regle!$I$23,
IF(U202=regle!$J$11,regle!$J$23,
IF(U202=regle!$K$11,regle!$K$23,0))))))))))))</f>
        <v>0</v>
      </c>
      <c r="AF202" s="17">
        <f>IF($A202,$J202*(IF(V202=regle!$B$11,regle!$B$23*IF(AO202=-2,1+regle!$B$35,1),
IF(V202=regle!$C$11,regle!$C$23,
IF(V202=regle!$D$11,regle!$D$23,
IF(V202=regle!$E$11,regle!$E$23,
IF(V202=regle!$F$11,regle!$F$23,
IF(V202=regle!$G$11,regle!$G$23,
IF(V202=regle!$H$11,regle!$H$23,
IF(V202=regle!$I$11,regle!$I$23,
IF(V202=regle!$J$11,regle!$J$23,
IF(V202=regle!$K$11,regle!$K$23,0))))))))))))</f>
        <v>0</v>
      </c>
      <c r="AG202" s="17">
        <f>IF($A202,$J202*(IF(W202=regle!$B$11,regle!$B$23*IF(AP202=-2,1+regle!$B$35,1),
IF(W202=regle!$C$11,regle!$C$23,
IF(W202=regle!$D$11,regle!$D$23,
IF(W202=regle!$E$11,regle!$E$23,
IF(W202=regle!$F$11,regle!$F$23,
IF(W202=regle!$G$11,regle!$G$23,
IF(W202=regle!$H$11,regle!$H$23,
IF(W202=regle!$I$11,regle!$I$23,
IF(W202=regle!$J$11,regle!$J$23,
IF(W202=regle!$K$11,regle!$K$23,0))))))))))))</f>
        <v>0</v>
      </c>
      <c r="AH202" s="17">
        <f>IF($A202,$J202*(IF(X202=regle!$B$11,regle!$B$23*IF(AQ202=-2,1+regle!$B$35,1),
IF(X202=regle!$C$11,regle!$C$23,
IF(X202=regle!$D$11,regle!$D$23,
IF(X202=regle!$E$11,regle!$E$23,
IF(X202=regle!$F$11,regle!$F$23,
IF(X202=regle!$G$11,regle!$G$23,
IF(X202=regle!$H$11,regle!$H$23,
IF(X202=regle!$I$11,regle!$I$23,
IF(X202=regle!$J$11,regle!$J$23,
IF(X202=regle!$K$11,regle!$K$23,0))))))))))))</f>
        <v>0</v>
      </c>
      <c r="AI202" s="17">
        <f>IF($A202,$J202*(IF(Y202=regle!$B$11,regle!$B$23*IF(AR202=-2,1+regle!$B$35,1),
IF(Y202=regle!$C$11,regle!$C$23,
IF(Y202=regle!$D$11,regle!$D$23,
IF(Y202=regle!$E$11,regle!$E$23,
IF(Y202=regle!$F$11,regle!$F$23,
IF(Y202=regle!$G$11,regle!$G$23,
IF(Y202=regle!$H$11,regle!$H$23,
IF(Y202=regle!$I$11,regle!$I$23,
IF(Y202=regle!$J$11,regle!$J$23,
IF(Y202=regle!$K$11,regle!$K$23,0))))))))))))</f>
        <v>64.596000000000004</v>
      </c>
      <c r="AJ202" s="17">
        <f>IF($A202,$J202*(IF(Z202=regle!$B$11,regle!$B$23*IF(AS202=-2,1+regle!$B$35,1),
IF(Z202=regle!$C$11,regle!$C$23,
IF(Z202=regle!$D$11,regle!$D$23,
IF(Z202=regle!$E$11,regle!$E$23,
IF(Z202=regle!$F$11,regle!$F$23,
IF(Z202=regle!$G$11,regle!$G$23,
IF(Z202=regle!$H$11,regle!$H$23,
IF(Z202=regle!$I$11,regle!$I$23,
IF(Z202=regle!$J$11,regle!$J$23,
IF(Z202=regle!$K$11,regle!$K$23,0))))))))))))</f>
        <v>0</v>
      </c>
      <c r="AK202" s="16">
        <f>IF(OR(Q202=regle!$J$11,Q202=regle!$K$11),-2,IF(Q202=regle!$B$11,0,IF(AK$1=$AK$1,IF($O202,-1,regle!$B$2-$M202),IF(AJ202=-1,-1,AJ202+1))))</f>
        <v>9</v>
      </c>
      <c r="AL202" s="16">
        <f>IF(OR(R202=regle!$J$11,R202=regle!$K$11),-2,IF(R202=regle!$B$11,0,IF(AL$1=$AK$1,IF($O202,-1,regle!$B$2-$M202),IF(AK202=-1,-1,AK202+1))))</f>
        <v>10</v>
      </c>
      <c r="AM202" s="16">
        <f>IF(OR(S202=regle!$J$11,S202=regle!$K$11),-2,IF(S202=regle!$B$11,0,IF(AM$1=$AK$1,IF($O202,-1,regle!$B$2-$M202),IF(AL202=-1,-1,AL202+1))))</f>
        <v>11</v>
      </c>
      <c r="AN202" s="16">
        <f>IF(OR(T202=regle!$J$11,T202=regle!$K$11),-2,IF(T202=regle!$B$11,0,IF(AN$1=$AK$1,IF($O202,-1,regle!$B$2-$M202),IF(AM202=-1,-1,AM202+1))))</f>
        <v>12</v>
      </c>
      <c r="AO202" s="16">
        <f>IF(OR(U202=regle!$J$11,U202=regle!$K$11),-2,IF(U202=regle!$B$11,0,IF(AO$1=$AK$1,IF($O202,-1,regle!$B$2-$M202),IF(AN202=-1,-1,AN202+1))))</f>
        <v>13</v>
      </c>
      <c r="AP202" s="16">
        <f>IF(OR(V202=regle!$J$11,V202=regle!$K$11),-2,IF(V202=regle!$B$11,0,IF(AP$1=$AK$1,IF($O202,-1,regle!$B$2-$M202),IF(AO202=-1,-1,AO202+1))))</f>
        <v>14</v>
      </c>
      <c r="AQ202" s="16">
        <f>IF(OR(W202=regle!$J$11,W202=regle!$K$11),-2,IF(W202=regle!$B$11,0,IF(AQ$1=$AK$1,IF($O202,-1,regle!$B$2-$M202),IF(AP202=-1,-1,AP202+1))))</f>
        <v>15</v>
      </c>
      <c r="AR202" s="16">
        <f>IF(OR(X202=regle!$J$11,X202=regle!$K$11),-2,IF(X202=regle!$B$11,0,IF(AR$1=$AK$1,IF($O202,-1,regle!$B$2-$M202),IF(AQ202=-1,-1,AQ202+1))))</f>
        <v>16</v>
      </c>
      <c r="AS202" s="16">
        <f>IF(OR(Y202=regle!$J$11,Y202=regle!$K$11),-2,IF(Y202=regle!$B$11,0,IF(AS$1=$AK$1,IF($O202,-1,regle!$B$2-$M202),IF(AR202=-1,-1,AR202+1))))</f>
        <v>17</v>
      </c>
      <c r="AT202" s="16">
        <f>IF(OR(Z202=regle!$J$11,Z202=regle!$K$11),-2,IF(Z202=regle!$B$11,0,IF(AT$1=$AK$1,IF($O202,-1,regle!$B$2-$M202),IF(AS202=-1,-1,AS202+1))))</f>
        <v>18</v>
      </c>
    </row>
    <row r="203" spans="1:46" x14ac:dyDescent="0.25">
      <c r="A203" t="b">
        <f>modif0!A168</f>
        <v>1</v>
      </c>
      <c r="B203">
        <f>ROW(modif0!B168)</f>
        <v>168</v>
      </c>
      <c r="C203" t="str">
        <f>modif0!D168</f>
        <v>202</v>
      </c>
      <c r="D203" t="str">
        <f>modif0!E168</f>
        <v>HOSTENS</v>
      </c>
      <c r="E203">
        <f>modif0!F168</f>
        <v>11</v>
      </c>
      <c r="F203" t="str">
        <f>modif0!G168</f>
        <v>LES CAZALAS</v>
      </c>
      <c r="G203" t="str">
        <f>modif0!I168</f>
        <v>0B</v>
      </c>
      <c r="H203">
        <f>modif0!J168</f>
        <v>1195</v>
      </c>
      <c r="I203" t="str">
        <f>modif0!K168</f>
        <v>l</v>
      </c>
      <c r="J203" s="11">
        <f>modif0!M168</f>
        <v>7.2599999999999998E-2</v>
      </c>
      <c r="K203" s="11" t="str">
        <f>modif0!P168</f>
        <v>PLA</v>
      </c>
      <c r="L203" t="str">
        <f>modif0!N168</f>
        <v>PM</v>
      </c>
      <c r="M203">
        <f>modif0!Q168</f>
        <v>2015</v>
      </c>
      <c r="N203" t="str">
        <f>modif0!R168</f>
        <v>PLA-PM_2015</v>
      </c>
      <c r="O203" t="b">
        <f>modif0!S168</f>
        <v>0</v>
      </c>
      <c r="P203">
        <v>40</v>
      </c>
      <c r="T203" t="s">
        <v>1803</v>
      </c>
      <c r="Y203" t="s">
        <v>1804</v>
      </c>
      <c r="AA203" s="17">
        <f>IF($A203,$J203*(IF(Q203=regle!$B$11,regle!$B$23*IF(AJ203=-2,1+regle!$B$35,1),
IF(Q203=regle!$C$11,regle!$C$23,
IF(Q203=regle!$D$11,regle!$D$23,
IF(Q203=regle!$E$11,regle!$E$23,
IF(Q203=regle!$F$11,regle!$F$23,
IF(Q203=regle!$G$11,regle!$G$23,
IF(Q203=regle!$H$11,regle!$H$23,
IF(Q203=regle!$I$11,regle!$I$23,
IF(Q203=regle!$J$11,regle!$J$23,
IF(Q203=regle!$K$11,regle!$K$23,0))))))))))))</f>
        <v>0</v>
      </c>
      <c r="AB203" s="17">
        <f>IF($A203,$J203*(IF(R203=regle!$B$11,regle!$B$23*IF(AK203=-2,1+regle!$B$35,1),
IF(R203=regle!$C$11,regle!$C$23,
IF(R203=regle!$D$11,regle!$D$23,
IF(R203=regle!$E$11,regle!$E$23,
IF(R203=regle!$F$11,regle!$F$23,
IF(R203=regle!$G$11,regle!$G$23,
IF(R203=regle!$H$11,regle!$H$23,
IF(R203=regle!$I$11,regle!$I$23,
IF(R203=regle!$J$11,regle!$J$23,
IF(R203=regle!$K$11,regle!$K$23,0))))))))))))</f>
        <v>0</v>
      </c>
      <c r="AC203" s="17">
        <f>IF($A203,$J203*(IF(S203=regle!$B$11,regle!$B$23*IF(AL203=-2,1+regle!$B$35,1),
IF(S203=regle!$C$11,regle!$C$23,
IF(S203=regle!$D$11,regle!$D$23,
IF(S203=regle!$E$11,regle!$E$23,
IF(S203=regle!$F$11,regle!$F$23,
IF(S203=regle!$G$11,regle!$G$23,
IF(S203=regle!$H$11,regle!$H$23,
IF(S203=regle!$I$11,regle!$I$23,
IF(S203=regle!$J$11,regle!$J$23,
IF(S203=regle!$K$11,regle!$K$23,0))))))))))))</f>
        <v>0</v>
      </c>
      <c r="AD203" s="17">
        <f>IF($A203,$J203*(IF(T203=regle!$B$11,regle!$B$23*IF(AM203=-2,1+regle!$B$35,1),
IF(T203=regle!$C$11,regle!$C$23,
IF(T203=regle!$D$11,regle!$D$23,
IF(T203=regle!$E$11,regle!$E$23,
IF(T203=regle!$F$11,regle!$F$23,
IF(T203=regle!$G$11,regle!$G$23,
IF(T203=regle!$H$11,regle!$H$23,
IF(T203=regle!$I$11,regle!$I$23,
IF(T203=regle!$J$11,regle!$J$23,
IF(T203=regle!$K$11,regle!$K$23,0))))))))))))</f>
        <v>41.817599999999999</v>
      </c>
      <c r="AE203" s="17">
        <f>IF($A203,$J203*(IF(U203=regle!$B$11,regle!$B$23*IF(AN203=-2,1+regle!$B$35,1),
IF(U203=regle!$C$11,regle!$C$23,
IF(U203=regle!$D$11,regle!$D$23,
IF(U203=regle!$E$11,regle!$E$23,
IF(U203=regle!$F$11,regle!$F$23,
IF(U203=regle!$G$11,regle!$G$23,
IF(U203=regle!$H$11,regle!$H$23,
IF(U203=regle!$I$11,regle!$I$23,
IF(U203=regle!$J$11,regle!$J$23,
IF(U203=regle!$K$11,regle!$K$23,0))))))))))))</f>
        <v>0</v>
      </c>
      <c r="AF203" s="17">
        <f>IF($A203,$J203*(IF(V203=regle!$B$11,regle!$B$23*IF(AO203=-2,1+regle!$B$35,1),
IF(V203=regle!$C$11,regle!$C$23,
IF(V203=regle!$D$11,regle!$D$23,
IF(V203=regle!$E$11,regle!$E$23,
IF(V203=regle!$F$11,regle!$F$23,
IF(V203=regle!$G$11,regle!$G$23,
IF(V203=regle!$H$11,regle!$H$23,
IF(V203=regle!$I$11,regle!$I$23,
IF(V203=regle!$J$11,regle!$J$23,
IF(V203=regle!$K$11,regle!$K$23,0))))))))))))</f>
        <v>0</v>
      </c>
      <c r="AG203" s="17">
        <f>IF($A203,$J203*(IF(W203=regle!$B$11,regle!$B$23*IF(AP203=-2,1+regle!$B$35,1),
IF(W203=regle!$C$11,regle!$C$23,
IF(W203=regle!$D$11,regle!$D$23,
IF(W203=regle!$E$11,regle!$E$23,
IF(W203=regle!$F$11,regle!$F$23,
IF(W203=regle!$G$11,regle!$G$23,
IF(W203=regle!$H$11,regle!$H$23,
IF(W203=regle!$I$11,regle!$I$23,
IF(W203=regle!$J$11,regle!$J$23,
IF(W203=regle!$K$11,regle!$K$23,0))))))))))))</f>
        <v>0</v>
      </c>
      <c r="AH203" s="17">
        <f>IF($A203,$J203*(IF(X203=regle!$B$11,regle!$B$23*IF(AQ203=-2,1+regle!$B$35,1),
IF(X203=regle!$C$11,regle!$C$23,
IF(X203=regle!$D$11,regle!$D$23,
IF(X203=regle!$E$11,regle!$E$23,
IF(X203=regle!$F$11,regle!$F$23,
IF(X203=regle!$G$11,regle!$G$23,
IF(X203=regle!$H$11,regle!$H$23,
IF(X203=regle!$I$11,regle!$I$23,
IF(X203=regle!$J$11,regle!$J$23,
IF(X203=regle!$K$11,regle!$K$23,0))))))))))))</f>
        <v>0</v>
      </c>
      <c r="AI203" s="17">
        <f>IF($A203,$J203*(IF(Y203=regle!$B$11,regle!$B$23*IF(AR203=-2,1+regle!$B$35,1),
IF(Y203=regle!$C$11,regle!$C$23,
IF(Y203=regle!$D$11,regle!$D$23,
IF(Y203=regle!$E$11,regle!$E$23,
IF(Y203=regle!$F$11,regle!$F$23,
IF(Y203=regle!$G$11,regle!$G$23,
IF(Y203=regle!$H$11,regle!$H$23,
IF(Y203=regle!$I$11,regle!$I$23,
IF(Y203=regle!$J$11,regle!$J$23,
IF(Y203=regle!$K$11,regle!$K$23,0))))))))))))</f>
        <v>60.983999999999995</v>
      </c>
      <c r="AJ203" s="17">
        <f>IF($A203,$J203*(IF(Z203=regle!$B$11,regle!$B$23*IF(AS203=-2,1+regle!$B$35,1),
IF(Z203=regle!$C$11,regle!$C$23,
IF(Z203=regle!$D$11,regle!$D$23,
IF(Z203=regle!$E$11,regle!$E$23,
IF(Z203=regle!$F$11,regle!$F$23,
IF(Z203=regle!$G$11,regle!$G$23,
IF(Z203=regle!$H$11,regle!$H$23,
IF(Z203=regle!$I$11,regle!$I$23,
IF(Z203=regle!$J$11,regle!$J$23,
IF(Z203=regle!$K$11,regle!$K$23,0))))))))))))</f>
        <v>0</v>
      </c>
      <c r="AK203" s="16">
        <f>IF(OR(Q203=regle!$J$11,Q203=regle!$K$11),-2,IF(Q203=regle!$B$11,0,IF(AK$1=$AK$1,IF($O203,-1,regle!$B$2-$M203),IF(AJ203=-1,-1,AJ203+1))))</f>
        <v>9</v>
      </c>
      <c r="AL203" s="16">
        <f>IF(OR(R203=regle!$J$11,R203=regle!$K$11),-2,IF(R203=regle!$B$11,0,IF(AL$1=$AK$1,IF($O203,-1,regle!$B$2-$M203),IF(AK203=-1,-1,AK203+1))))</f>
        <v>10</v>
      </c>
      <c r="AM203" s="16">
        <f>IF(OR(S203=regle!$J$11,S203=regle!$K$11),-2,IF(S203=regle!$B$11,0,IF(AM$1=$AK$1,IF($O203,-1,regle!$B$2-$M203),IF(AL203=-1,-1,AL203+1))))</f>
        <v>11</v>
      </c>
      <c r="AN203" s="16">
        <f>IF(OR(T203=regle!$J$11,T203=regle!$K$11),-2,IF(T203=regle!$B$11,0,IF(AN$1=$AK$1,IF($O203,-1,regle!$B$2-$M203),IF(AM203=-1,-1,AM203+1))))</f>
        <v>12</v>
      </c>
      <c r="AO203" s="16">
        <f>IF(OR(U203=regle!$J$11,U203=regle!$K$11),-2,IF(U203=regle!$B$11,0,IF(AO$1=$AK$1,IF($O203,-1,regle!$B$2-$M203),IF(AN203=-1,-1,AN203+1))))</f>
        <v>13</v>
      </c>
      <c r="AP203" s="16">
        <f>IF(OR(V203=regle!$J$11,V203=regle!$K$11),-2,IF(V203=regle!$B$11,0,IF(AP$1=$AK$1,IF($O203,-1,regle!$B$2-$M203),IF(AO203=-1,-1,AO203+1))))</f>
        <v>14</v>
      </c>
      <c r="AQ203" s="16">
        <f>IF(OR(W203=regle!$J$11,W203=regle!$K$11),-2,IF(W203=regle!$B$11,0,IF(AQ$1=$AK$1,IF($O203,-1,regle!$B$2-$M203),IF(AP203=-1,-1,AP203+1))))</f>
        <v>15</v>
      </c>
      <c r="AR203" s="16">
        <f>IF(OR(X203=regle!$J$11,X203=regle!$K$11),-2,IF(X203=regle!$B$11,0,IF(AR$1=$AK$1,IF($O203,-1,regle!$B$2-$M203),IF(AQ203=-1,-1,AQ203+1))))</f>
        <v>16</v>
      </c>
      <c r="AS203" s="16">
        <f>IF(OR(Y203=regle!$J$11,Y203=regle!$K$11),-2,IF(Y203=regle!$B$11,0,IF(AS$1=$AK$1,IF($O203,-1,regle!$B$2-$M203),IF(AR203=-1,-1,AR203+1))))</f>
        <v>17</v>
      </c>
      <c r="AT203" s="16">
        <f>IF(OR(Z203=regle!$J$11,Z203=regle!$K$11),-2,IF(Z203=regle!$B$11,0,IF(AT$1=$AK$1,IF($O203,-1,regle!$B$2-$M203),IF(AS203=-1,-1,AS203+1))))</f>
        <v>18</v>
      </c>
    </row>
    <row r="204" spans="1:46" x14ac:dyDescent="0.25">
      <c r="A204" t="b">
        <f>modif0!A228</f>
        <v>1</v>
      </c>
      <c r="B204">
        <f>ROW(modif0!B228)</f>
        <v>228</v>
      </c>
      <c r="C204" t="str">
        <f>modif0!D228</f>
        <v>202</v>
      </c>
      <c r="D204" t="str">
        <f>modif0!E228</f>
        <v>HOSTENS</v>
      </c>
      <c r="E204">
        <f>modif0!F228</f>
        <v>11</v>
      </c>
      <c r="F204" t="str">
        <f>modif0!G228</f>
        <v>LES CAZALAS</v>
      </c>
      <c r="G204" t="str">
        <f>modif0!I228</f>
        <v>0B</v>
      </c>
      <c r="H204">
        <f>modif0!J228</f>
        <v>1574</v>
      </c>
      <c r="I204" t="str">
        <f>modif0!K228</f>
        <v/>
      </c>
      <c r="J204" s="11">
        <f>modif0!M228</f>
        <v>6.59E-2</v>
      </c>
      <c r="K204" s="11" t="str">
        <f>modif0!P228</f>
        <v>PLA</v>
      </c>
      <c r="L204" t="str">
        <f>modif0!N228</f>
        <v>PM</v>
      </c>
      <c r="M204">
        <f>modif0!Q228</f>
        <v>2015</v>
      </c>
      <c r="N204" t="str">
        <f>modif0!R228</f>
        <v>PLA-PM_2015</v>
      </c>
      <c r="O204" t="b">
        <f>modif0!S228</f>
        <v>0</v>
      </c>
      <c r="P204">
        <v>40</v>
      </c>
      <c r="T204" t="s">
        <v>1803</v>
      </c>
      <c r="Y204" t="s">
        <v>1804</v>
      </c>
      <c r="AA204" s="17">
        <f>IF($A204,$J204*(IF(Q204=regle!$B$11,regle!$B$23*IF(AJ204=-2,1+regle!$B$35,1),
IF(Q204=regle!$C$11,regle!$C$23,
IF(Q204=regle!$D$11,regle!$D$23,
IF(Q204=regle!$E$11,regle!$E$23,
IF(Q204=regle!$F$11,regle!$F$23,
IF(Q204=regle!$G$11,regle!$G$23,
IF(Q204=regle!$H$11,regle!$H$23,
IF(Q204=regle!$I$11,regle!$I$23,
IF(Q204=regle!$J$11,regle!$J$23,
IF(Q204=regle!$K$11,regle!$K$23,0))))))))))))</f>
        <v>0</v>
      </c>
      <c r="AB204" s="17">
        <f>IF($A204,$J204*(IF(R204=regle!$B$11,regle!$B$23*IF(AK204=-2,1+regle!$B$35,1),
IF(R204=regle!$C$11,regle!$C$23,
IF(R204=regle!$D$11,regle!$D$23,
IF(R204=regle!$E$11,regle!$E$23,
IF(R204=regle!$F$11,regle!$F$23,
IF(R204=regle!$G$11,regle!$G$23,
IF(R204=regle!$H$11,regle!$H$23,
IF(R204=regle!$I$11,regle!$I$23,
IF(R204=regle!$J$11,regle!$J$23,
IF(R204=regle!$K$11,regle!$K$23,0))))))))))))</f>
        <v>0</v>
      </c>
      <c r="AC204" s="17">
        <f>IF($A204,$J204*(IF(S204=regle!$B$11,regle!$B$23*IF(AL204=-2,1+regle!$B$35,1),
IF(S204=regle!$C$11,regle!$C$23,
IF(S204=regle!$D$11,regle!$D$23,
IF(S204=regle!$E$11,regle!$E$23,
IF(S204=regle!$F$11,regle!$F$23,
IF(S204=regle!$G$11,regle!$G$23,
IF(S204=regle!$H$11,regle!$H$23,
IF(S204=regle!$I$11,regle!$I$23,
IF(S204=regle!$J$11,regle!$J$23,
IF(S204=regle!$K$11,regle!$K$23,0))))))))))))</f>
        <v>0</v>
      </c>
      <c r="AD204" s="17">
        <f>IF($A204,$J204*(IF(T204=regle!$B$11,regle!$B$23*IF(AM204=-2,1+regle!$B$35,1),
IF(T204=regle!$C$11,regle!$C$23,
IF(T204=regle!$D$11,regle!$D$23,
IF(T204=regle!$E$11,regle!$E$23,
IF(T204=regle!$F$11,regle!$F$23,
IF(T204=regle!$G$11,regle!$G$23,
IF(T204=regle!$H$11,regle!$H$23,
IF(T204=regle!$I$11,regle!$I$23,
IF(T204=regle!$J$11,regle!$J$23,
IF(T204=regle!$K$11,regle!$K$23,0))))))))))))</f>
        <v>37.958399999999997</v>
      </c>
      <c r="AE204" s="17">
        <f>IF($A204,$J204*(IF(U204=regle!$B$11,regle!$B$23*IF(AN204=-2,1+regle!$B$35,1),
IF(U204=regle!$C$11,regle!$C$23,
IF(U204=regle!$D$11,regle!$D$23,
IF(U204=regle!$E$11,regle!$E$23,
IF(U204=regle!$F$11,regle!$F$23,
IF(U204=regle!$G$11,regle!$G$23,
IF(U204=regle!$H$11,regle!$H$23,
IF(U204=regle!$I$11,regle!$I$23,
IF(U204=regle!$J$11,regle!$J$23,
IF(U204=regle!$K$11,regle!$K$23,0))))))))))))</f>
        <v>0</v>
      </c>
      <c r="AF204" s="17">
        <f>IF($A204,$J204*(IF(V204=regle!$B$11,regle!$B$23*IF(AO204=-2,1+regle!$B$35,1),
IF(V204=regle!$C$11,regle!$C$23,
IF(V204=regle!$D$11,regle!$D$23,
IF(V204=regle!$E$11,regle!$E$23,
IF(V204=regle!$F$11,regle!$F$23,
IF(V204=regle!$G$11,regle!$G$23,
IF(V204=regle!$H$11,regle!$H$23,
IF(V204=regle!$I$11,regle!$I$23,
IF(V204=regle!$J$11,regle!$J$23,
IF(V204=regle!$K$11,regle!$K$23,0))))))))))))</f>
        <v>0</v>
      </c>
      <c r="AG204" s="17">
        <f>IF($A204,$J204*(IF(W204=regle!$B$11,regle!$B$23*IF(AP204=-2,1+regle!$B$35,1),
IF(W204=regle!$C$11,regle!$C$23,
IF(W204=regle!$D$11,regle!$D$23,
IF(W204=regle!$E$11,regle!$E$23,
IF(W204=regle!$F$11,regle!$F$23,
IF(W204=regle!$G$11,regle!$G$23,
IF(W204=regle!$H$11,regle!$H$23,
IF(W204=regle!$I$11,regle!$I$23,
IF(W204=regle!$J$11,regle!$J$23,
IF(W204=regle!$K$11,regle!$K$23,0))))))))))))</f>
        <v>0</v>
      </c>
      <c r="AH204" s="17">
        <f>IF($A204,$J204*(IF(X204=regle!$B$11,regle!$B$23*IF(AQ204=-2,1+regle!$B$35,1),
IF(X204=regle!$C$11,regle!$C$23,
IF(X204=regle!$D$11,regle!$D$23,
IF(X204=regle!$E$11,regle!$E$23,
IF(X204=regle!$F$11,regle!$F$23,
IF(X204=regle!$G$11,regle!$G$23,
IF(X204=regle!$H$11,regle!$H$23,
IF(X204=regle!$I$11,regle!$I$23,
IF(X204=regle!$J$11,regle!$J$23,
IF(X204=regle!$K$11,regle!$K$23,0))))))))))))</f>
        <v>0</v>
      </c>
      <c r="AI204" s="17">
        <f>IF($A204,$J204*(IF(Y204=regle!$B$11,regle!$B$23*IF(AR204=-2,1+regle!$B$35,1),
IF(Y204=regle!$C$11,regle!$C$23,
IF(Y204=regle!$D$11,regle!$D$23,
IF(Y204=regle!$E$11,regle!$E$23,
IF(Y204=regle!$F$11,regle!$F$23,
IF(Y204=regle!$G$11,regle!$G$23,
IF(Y204=regle!$H$11,regle!$H$23,
IF(Y204=regle!$I$11,regle!$I$23,
IF(Y204=regle!$J$11,regle!$J$23,
IF(Y204=regle!$K$11,regle!$K$23,0))))))))))))</f>
        <v>55.356000000000002</v>
      </c>
      <c r="AJ204" s="17">
        <f>IF($A204,$J204*(IF(Z204=regle!$B$11,regle!$B$23*IF(AS204=-2,1+regle!$B$35,1),
IF(Z204=regle!$C$11,regle!$C$23,
IF(Z204=regle!$D$11,regle!$D$23,
IF(Z204=regle!$E$11,regle!$E$23,
IF(Z204=regle!$F$11,regle!$F$23,
IF(Z204=regle!$G$11,regle!$G$23,
IF(Z204=regle!$H$11,regle!$H$23,
IF(Z204=regle!$I$11,regle!$I$23,
IF(Z204=regle!$J$11,regle!$J$23,
IF(Z204=regle!$K$11,regle!$K$23,0))))))))))))</f>
        <v>0</v>
      </c>
      <c r="AK204" s="16">
        <f>IF(OR(Q204=regle!$J$11,Q204=regle!$K$11),-2,IF(Q204=regle!$B$11,0,IF(AK$1=$AK$1,IF($O204,-1,regle!$B$2-$M204),IF(AJ204=-1,-1,AJ204+1))))</f>
        <v>9</v>
      </c>
      <c r="AL204" s="16">
        <f>IF(OR(R204=regle!$J$11,R204=regle!$K$11),-2,IF(R204=regle!$B$11,0,IF(AL$1=$AK$1,IF($O204,-1,regle!$B$2-$M204),IF(AK204=-1,-1,AK204+1))))</f>
        <v>10</v>
      </c>
      <c r="AM204" s="16">
        <f>IF(OR(S204=regle!$J$11,S204=regle!$K$11),-2,IF(S204=regle!$B$11,0,IF(AM$1=$AK$1,IF($O204,-1,regle!$B$2-$M204),IF(AL204=-1,-1,AL204+1))))</f>
        <v>11</v>
      </c>
      <c r="AN204" s="16">
        <f>IF(OR(T204=regle!$J$11,T204=regle!$K$11),-2,IF(T204=regle!$B$11,0,IF(AN$1=$AK$1,IF($O204,-1,regle!$B$2-$M204),IF(AM204=-1,-1,AM204+1))))</f>
        <v>12</v>
      </c>
      <c r="AO204" s="16">
        <f>IF(OR(U204=regle!$J$11,U204=regle!$K$11),-2,IF(U204=regle!$B$11,0,IF(AO$1=$AK$1,IF($O204,-1,regle!$B$2-$M204),IF(AN204=-1,-1,AN204+1))))</f>
        <v>13</v>
      </c>
      <c r="AP204" s="16">
        <f>IF(OR(V204=regle!$J$11,V204=regle!$K$11),-2,IF(V204=regle!$B$11,0,IF(AP$1=$AK$1,IF($O204,-1,regle!$B$2-$M204),IF(AO204=-1,-1,AO204+1))))</f>
        <v>14</v>
      </c>
      <c r="AQ204" s="16">
        <f>IF(OR(W204=regle!$J$11,W204=regle!$K$11),-2,IF(W204=regle!$B$11,0,IF(AQ$1=$AK$1,IF($O204,-1,regle!$B$2-$M204),IF(AP204=-1,-1,AP204+1))))</f>
        <v>15</v>
      </c>
      <c r="AR204" s="16">
        <f>IF(OR(X204=regle!$J$11,X204=regle!$K$11),-2,IF(X204=regle!$B$11,0,IF(AR$1=$AK$1,IF($O204,-1,regle!$B$2-$M204),IF(AQ204=-1,-1,AQ204+1))))</f>
        <v>16</v>
      </c>
      <c r="AS204" s="16">
        <f>IF(OR(Y204=regle!$J$11,Y204=regle!$K$11),-2,IF(Y204=regle!$B$11,0,IF(AS$1=$AK$1,IF($O204,-1,regle!$B$2-$M204),IF(AR204=-1,-1,AR204+1))))</f>
        <v>17</v>
      </c>
      <c r="AT204" s="16">
        <f>IF(OR(Z204=regle!$J$11,Z204=regle!$K$11),-2,IF(Z204=regle!$B$11,0,IF(AT$1=$AK$1,IF($O204,-1,regle!$B$2-$M204),IF(AS204=-1,-1,AS204+1))))</f>
        <v>18</v>
      </c>
    </row>
    <row r="205" spans="1:46" x14ac:dyDescent="0.25">
      <c r="A205" t="b">
        <f>modif0!A310</f>
        <v>1</v>
      </c>
      <c r="B205">
        <f>ROW(modif0!B310)</f>
        <v>310</v>
      </c>
      <c r="C205" t="str">
        <f>modif0!D310</f>
        <v>077</v>
      </c>
      <c r="D205" t="str">
        <f>modif0!E310</f>
        <v>CABANAC-ET-VILLAGRAINS</v>
      </c>
      <c r="E205">
        <f>modif0!F310</f>
        <v>10</v>
      </c>
      <c r="F205" t="str">
        <f>modif0!G310</f>
        <v>CABAT MORT</v>
      </c>
      <c r="G205" t="str">
        <f>modif0!I310</f>
        <v>0D</v>
      </c>
      <c r="H205">
        <f>modif0!J310</f>
        <v>1362</v>
      </c>
      <c r="I205" t="str">
        <f>modif0!K310</f>
        <v/>
      </c>
      <c r="J205" s="11">
        <f>modif0!M310</f>
        <v>4.5100000000000001E-2</v>
      </c>
      <c r="K205" s="11" t="str">
        <f>modif0!P310</f>
        <v>PLA</v>
      </c>
      <c r="L205" t="str">
        <f>modif0!N310</f>
        <v>PM</v>
      </c>
      <c r="M205">
        <f>modif0!Q310</f>
        <v>2015</v>
      </c>
      <c r="N205" t="str">
        <f>modif0!R310</f>
        <v>PLA-PM_2015</v>
      </c>
      <c r="O205" t="b">
        <f>modif0!S310</f>
        <v>0</v>
      </c>
      <c r="P205">
        <v>40</v>
      </c>
      <c r="T205" t="s">
        <v>1803</v>
      </c>
      <c r="Y205" t="s">
        <v>1804</v>
      </c>
      <c r="AA205" s="17">
        <f>IF($A205,$J205*(IF(Q205=regle!$B$11,regle!$B$23*IF(AJ205=-2,1+regle!$B$35,1),
IF(Q205=regle!$C$11,regle!$C$23,
IF(Q205=regle!$D$11,regle!$D$23,
IF(Q205=regle!$E$11,regle!$E$23,
IF(Q205=regle!$F$11,regle!$F$23,
IF(Q205=regle!$G$11,regle!$G$23,
IF(Q205=regle!$H$11,regle!$H$23,
IF(Q205=regle!$I$11,regle!$I$23,
IF(Q205=regle!$J$11,regle!$J$23,
IF(Q205=regle!$K$11,regle!$K$23,0))))))))))))</f>
        <v>0</v>
      </c>
      <c r="AB205" s="17">
        <f>IF($A205,$J205*(IF(R205=regle!$B$11,regle!$B$23*IF(AK205=-2,1+regle!$B$35,1),
IF(R205=regle!$C$11,regle!$C$23,
IF(R205=regle!$D$11,regle!$D$23,
IF(R205=regle!$E$11,regle!$E$23,
IF(R205=regle!$F$11,regle!$F$23,
IF(R205=regle!$G$11,regle!$G$23,
IF(R205=regle!$H$11,regle!$H$23,
IF(R205=regle!$I$11,regle!$I$23,
IF(R205=regle!$J$11,regle!$J$23,
IF(R205=regle!$K$11,regle!$K$23,0))))))))))))</f>
        <v>0</v>
      </c>
      <c r="AC205" s="17">
        <f>IF($A205,$J205*(IF(S205=regle!$B$11,regle!$B$23*IF(AL205=-2,1+regle!$B$35,1),
IF(S205=regle!$C$11,regle!$C$23,
IF(S205=regle!$D$11,regle!$D$23,
IF(S205=regle!$E$11,regle!$E$23,
IF(S205=regle!$F$11,regle!$F$23,
IF(S205=regle!$G$11,regle!$G$23,
IF(S205=regle!$H$11,regle!$H$23,
IF(S205=regle!$I$11,regle!$I$23,
IF(S205=regle!$J$11,regle!$J$23,
IF(S205=regle!$K$11,regle!$K$23,0))))))))))))</f>
        <v>0</v>
      </c>
      <c r="AD205" s="17">
        <f>IF($A205,$J205*(IF(T205=regle!$B$11,regle!$B$23*IF(AM205=-2,1+regle!$B$35,1),
IF(T205=regle!$C$11,regle!$C$23,
IF(T205=regle!$D$11,regle!$D$23,
IF(T205=regle!$E$11,regle!$E$23,
IF(T205=regle!$F$11,regle!$F$23,
IF(T205=regle!$G$11,regle!$G$23,
IF(T205=regle!$H$11,regle!$H$23,
IF(T205=regle!$I$11,regle!$I$23,
IF(T205=regle!$J$11,regle!$J$23,
IF(T205=regle!$K$11,regle!$K$23,0))))))))))))</f>
        <v>25.977600000000002</v>
      </c>
      <c r="AE205" s="17">
        <f>IF($A205,$J205*(IF(U205=regle!$B$11,regle!$B$23*IF(AN205=-2,1+regle!$B$35,1),
IF(U205=regle!$C$11,regle!$C$23,
IF(U205=regle!$D$11,regle!$D$23,
IF(U205=regle!$E$11,regle!$E$23,
IF(U205=regle!$F$11,regle!$F$23,
IF(U205=regle!$G$11,regle!$G$23,
IF(U205=regle!$H$11,regle!$H$23,
IF(U205=regle!$I$11,regle!$I$23,
IF(U205=regle!$J$11,regle!$J$23,
IF(U205=regle!$K$11,regle!$K$23,0))))))))))))</f>
        <v>0</v>
      </c>
      <c r="AF205" s="17">
        <f>IF($A205,$J205*(IF(V205=regle!$B$11,regle!$B$23*IF(AO205=-2,1+regle!$B$35,1),
IF(V205=regle!$C$11,regle!$C$23,
IF(V205=regle!$D$11,regle!$D$23,
IF(V205=regle!$E$11,regle!$E$23,
IF(V205=regle!$F$11,regle!$F$23,
IF(V205=regle!$G$11,regle!$G$23,
IF(V205=regle!$H$11,regle!$H$23,
IF(V205=regle!$I$11,regle!$I$23,
IF(V205=regle!$J$11,regle!$J$23,
IF(V205=regle!$K$11,regle!$K$23,0))))))))))))</f>
        <v>0</v>
      </c>
      <c r="AG205" s="17">
        <f>IF($A205,$J205*(IF(W205=regle!$B$11,regle!$B$23*IF(AP205=-2,1+regle!$B$35,1),
IF(W205=regle!$C$11,regle!$C$23,
IF(W205=regle!$D$11,regle!$D$23,
IF(W205=regle!$E$11,regle!$E$23,
IF(W205=regle!$F$11,regle!$F$23,
IF(W205=regle!$G$11,regle!$G$23,
IF(W205=regle!$H$11,regle!$H$23,
IF(W205=regle!$I$11,regle!$I$23,
IF(W205=regle!$J$11,regle!$J$23,
IF(W205=regle!$K$11,regle!$K$23,0))))))))))))</f>
        <v>0</v>
      </c>
      <c r="AH205" s="17">
        <f>IF($A205,$J205*(IF(X205=regle!$B$11,regle!$B$23*IF(AQ205=-2,1+regle!$B$35,1),
IF(X205=regle!$C$11,regle!$C$23,
IF(X205=regle!$D$11,regle!$D$23,
IF(X205=regle!$E$11,regle!$E$23,
IF(X205=regle!$F$11,regle!$F$23,
IF(X205=regle!$G$11,regle!$G$23,
IF(X205=regle!$H$11,regle!$H$23,
IF(X205=regle!$I$11,regle!$I$23,
IF(X205=regle!$J$11,regle!$J$23,
IF(X205=regle!$K$11,regle!$K$23,0))))))))))))</f>
        <v>0</v>
      </c>
      <c r="AI205" s="17">
        <f>IF($A205,$J205*(IF(Y205=regle!$B$11,regle!$B$23*IF(AR205=-2,1+regle!$B$35,1),
IF(Y205=regle!$C$11,regle!$C$23,
IF(Y205=regle!$D$11,regle!$D$23,
IF(Y205=regle!$E$11,regle!$E$23,
IF(Y205=regle!$F$11,regle!$F$23,
IF(Y205=regle!$G$11,regle!$G$23,
IF(Y205=regle!$H$11,regle!$H$23,
IF(Y205=regle!$I$11,regle!$I$23,
IF(Y205=regle!$J$11,regle!$J$23,
IF(Y205=regle!$K$11,regle!$K$23,0))))))))))))</f>
        <v>37.884</v>
      </c>
      <c r="AJ205" s="17">
        <f>IF($A205,$J205*(IF(Z205=regle!$B$11,regle!$B$23*IF(AS205=-2,1+regle!$B$35,1),
IF(Z205=regle!$C$11,regle!$C$23,
IF(Z205=regle!$D$11,regle!$D$23,
IF(Z205=regle!$E$11,regle!$E$23,
IF(Z205=regle!$F$11,regle!$F$23,
IF(Z205=regle!$G$11,regle!$G$23,
IF(Z205=regle!$H$11,regle!$H$23,
IF(Z205=regle!$I$11,regle!$I$23,
IF(Z205=regle!$J$11,regle!$J$23,
IF(Z205=regle!$K$11,regle!$K$23,0))))))))))))</f>
        <v>0</v>
      </c>
      <c r="AK205" s="16">
        <f>IF(OR(Q205=regle!$J$11,Q205=regle!$K$11),-2,IF(Q205=regle!$B$11,0,IF(AK$1=$AK$1,IF($O205,-1,regle!$B$2-$M205),IF(AJ205=-1,-1,AJ205+1))))</f>
        <v>9</v>
      </c>
      <c r="AL205" s="16">
        <f>IF(OR(R205=regle!$J$11,R205=regle!$K$11),-2,IF(R205=regle!$B$11,0,IF(AL$1=$AK$1,IF($O205,-1,regle!$B$2-$M205),IF(AK205=-1,-1,AK205+1))))</f>
        <v>10</v>
      </c>
      <c r="AM205" s="16">
        <f>IF(OR(S205=regle!$J$11,S205=regle!$K$11),-2,IF(S205=regle!$B$11,0,IF(AM$1=$AK$1,IF($O205,-1,regle!$B$2-$M205),IF(AL205=-1,-1,AL205+1))))</f>
        <v>11</v>
      </c>
      <c r="AN205" s="16">
        <f>IF(OR(T205=regle!$J$11,T205=regle!$K$11),-2,IF(T205=regle!$B$11,0,IF(AN$1=$AK$1,IF($O205,-1,regle!$B$2-$M205),IF(AM205=-1,-1,AM205+1))))</f>
        <v>12</v>
      </c>
      <c r="AO205" s="16">
        <f>IF(OR(U205=regle!$J$11,U205=regle!$K$11),-2,IF(U205=regle!$B$11,0,IF(AO$1=$AK$1,IF($O205,-1,regle!$B$2-$M205),IF(AN205=-1,-1,AN205+1))))</f>
        <v>13</v>
      </c>
      <c r="AP205" s="16">
        <f>IF(OR(V205=regle!$J$11,V205=regle!$K$11),-2,IF(V205=regle!$B$11,0,IF(AP$1=$AK$1,IF($O205,-1,regle!$B$2-$M205),IF(AO205=-1,-1,AO205+1))))</f>
        <v>14</v>
      </c>
      <c r="AQ205" s="16">
        <f>IF(OR(W205=regle!$J$11,W205=regle!$K$11),-2,IF(W205=regle!$B$11,0,IF(AQ$1=$AK$1,IF($O205,-1,regle!$B$2-$M205),IF(AP205=-1,-1,AP205+1))))</f>
        <v>15</v>
      </c>
      <c r="AR205" s="16">
        <f>IF(OR(X205=regle!$J$11,X205=regle!$K$11),-2,IF(X205=regle!$B$11,0,IF(AR$1=$AK$1,IF($O205,-1,regle!$B$2-$M205),IF(AQ205=-1,-1,AQ205+1))))</f>
        <v>16</v>
      </c>
      <c r="AS205" s="16">
        <f>IF(OR(Y205=regle!$J$11,Y205=regle!$K$11),-2,IF(Y205=regle!$B$11,0,IF(AS$1=$AK$1,IF($O205,-1,regle!$B$2-$M205),IF(AR205=-1,-1,AR205+1))))</f>
        <v>17</v>
      </c>
      <c r="AT205" s="16">
        <f>IF(OR(Z205=regle!$J$11,Z205=regle!$K$11),-2,IF(Z205=regle!$B$11,0,IF(AT$1=$AK$1,IF($O205,-1,regle!$B$2-$M205),IF(AS205=-1,-1,AS205+1))))</f>
        <v>18</v>
      </c>
    </row>
    <row r="206" spans="1:46" x14ac:dyDescent="0.25">
      <c r="A206" t="b">
        <f>modif0!A185</f>
        <v>1</v>
      </c>
      <c r="B206">
        <f>ROW(modif0!B185)</f>
        <v>185</v>
      </c>
      <c r="C206" t="str">
        <f>modif0!D185</f>
        <v>202</v>
      </c>
      <c r="D206" t="str">
        <f>modif0!E185</f>
        <v>HOSTENS</v>
      </c>
      <c r="E206">
        <f>modif0!F185</f>
        <v>8</v>
      </c>
      <c r="F206" t="str">
        <f>modif0!G185</f>
        <v>LES BECS</v>
      </c>
      <c r="G206" t="str">
        <f>modif0!I185</f>
        <v>0B</v>
      </c>
      <c r="H206">
        <f>modif0!J185</f>
        <v>1213</v>
      </c>
      <c r="I206" t="str">
        <f>modif0!K185</f>
        <v>m</v>
      </c>
      <c r="J206" s="11">
        <f>modif0!M185</f>
        <v>3.9E-2</v>
      </c>
      <c r="K206" s="11" t="str">
        <f>modif0!P185</f>
        <v>PLA</v>
      </c>
      <c r="L206" t="str">
        <f>modif0!N185</f>
        <v>PM</v>
      </c>
      <c r="M206">
        <f>modif0!Q185</f>
        <v>2015</v>
      </c>
      <c r="N206" t="str">
        <f>modif0!R185</f>
        <v>PLA-PM_2015</v>
      </c>
      <c r="O206" t="b">
        <f>modif0!S185</f>
        <v>0</v>
      </c>
      <c r="P206">
        <v>40</v>
      </c>
      <c r="T206" t="s">
        <v>1803</v>
      </c>
      <c r="Y206" t="s">
        <v>1804</v>
      </c>
      <c r="AA206" s="17">
        <f>IF($A206,$J206*(IF(Q206=regle!$B$11,regle!$B$23*IF(AJ206=-2,1+regle!$B$35,1),
IF(Q206=regle!$C$11,regle!$C$23,
IF(Q206=regle!$D$11,regle!$D$23,
IF(Q206=regle!$E$11,regle!$E$23,
IF(Q206=regle!$F$11,regle!$F$23,
IF(Q206=regle!$G$11,regle!$G$23,
IF(Q206=regle!$H$11,regle!$H$23,
IF(Q206=regle!$I$11,regle!$I$23,
IF(Q206=regle!$J$11,regle!$J$23,
IF(Q206=regle!$K$11,regle!$K$23,0))))))))))))</f>
        <v>0</v>
      </c>
      <c r="AB206" s="17">
        <f>IF($A206,$J206*(IF(R206=regle!$B$11,regle!$B$23*IF(AK206=-2,1+regle!$B$35,1),
IF(R206=regle!$C$11,regle!$C$23,
IF(R206=regle!$D$11,regle!$D$23,
IF(R206=regle!$E$11,regle!$E$23,
IF(R206=regle!$F$11,regle!$F$23,
IF(R206=regle!$G$11,regle!$G$23,
IF(R206=regle!$H$11,regle!$H$23,
IF(R206=regle!$I$11,regle!$I$23,
IF(R206=regle!$J$11,regle!$J$23,
IF(R206=regle!$K$11,regle!$K$23,0))))))))))))</f>
        <v>0</v>
      </c>
      <c r="AC206" s="17">
        <f>IF($A206,$J206*(IF(S206=regle!$B$11,regle!$B$23*IF(AL206=-2,1+regle!$B$35,1),
IF(S206=regle!$C$11,regle!$C$23,
IF(S206=regle!$D$11,regle!$D$23,
IF(S206=regle!$E$11,regle!$E$23,
IF(S206=regle!$F$11,regle!$F$23,
IF(S206=regle!$G$11,regle!$G$23,
IF(S206=regle!$H$11,regle!$H$23,
IF(S206=regle!$I$11,regle!$I$23,
IF(S206=regle!$J$11,regle!$J$23,
IF(S206=regle!$K$11,regle!$K$23,0))))))))))))</f>
        <v>0</v>
      </c>
      <c r="AD206" s="17">
        <f>IF($A206,$J206*(IF(T206=regle!$B$11,regle!$B$23*IF(AM206=-2,1+regle!$B$35,1),
IF(T206=regle!$C$11,regle!$C$23,
IF(T206=regle!$D$11,regle!$D$23,
IF(T206=regle!$E$11,regle!$E$23,
IF(T206=regle!$F$11,regle!$F$23,
IF(T206=regle!$G$11,regle!$G$23,
IF(T206=regle!$H$11,regle!$H$23,
IF(T206=regle!$I$11,regle!$I$23,
IF(T206=regle!$J$11,regle!$J$23,
IF(T206=regle!$K$11,regle!$K$23,0))))))))))))</f>
        <v>22.463999999999999</v>
      </c>
      <c r="AE206" s="17">
        <f>IF($A206,$J206*(IF(U206=regle!$B$11,regle!$B$23*IF(AN206=-2,1+regle!$B$35,1),
IF(U206=regle!$C$11,regle!$C$23,
IF(U206=regle!$D$11,regle!$D$23,
IF(U206=regle!$E$11,regle!$E$23,
IF(U206=regle!$F$11,regle!$F$23,
IF(U206=regle!$G$11,regle!$G$23,
IF(U206=regle!$H$11,regle!$H$23,
IF(U206=regle!$I$11,regle!$I$23,
IF(U206=regle!$J$11,regle!$J$23,
IF(U206=regle!$K$11,regle!$K$23,0))))))))))))</f>
        <v>0</v>
      </c>
      <c r="AF206" s="17">
        <f>IF($A206,$J206*(IF(V206=regle!$B$11,regle!$B$23*IF(AO206=-2,1+regle!$B$35,1),
IF(V206=regle!$C$11,regle!$C$23,
IF(V206=regle!$D$11,regle!$D$23,
IF(V206=regle!$E$11,regle!$E$23,
IF(V206=regle!$F$11,regle!$F$23,
IF(V206=regle!$G$11,regle!$G$23,
IF(V206=regle!$H$11,regle!$H$23,
IF(V206=regle!$I$11,regle!$I$23,
IF(V206=regle!$J$11,regle!$J$23,
IF(V206=regle!$K$11,regle!$K$23,0))))))))))))</f>
        <v>0</v>
      </c>
      <c r="AG206" s="17">
        <f>IF($A206,$J206*(IF(W206=regle!$B$11,regle!$B$23*IF(AP206=-2,1+regle!$B$35,1),
IF(W206=regle!$C$11,regle!$C$23,
IF(W206=regle!$D$11,regle!$D$23,
IF(W206=regle!$E$11,regle!$E$23,
IF(W206=regle!$F$11,regle!$F$23,
IF(W206=regle!$G$11,regle!$G$23,
IF(W206=regle!$H$11,regle!$H$23,
IF(W206=regle!$I$11,regle!$I$23,
IF(W206=regle!$J$11,regle!$J$23,
IF(W206=regle!$K$11,regle!$K$23,0))))))))))))</f>
        <v>0</v>
      </c>
      <c r="AH206" s="17">
        <f>IF($A206,$J206*(IF(X206=regle!$B$11,regle!$B$23*IF(AQ206=-2,1+regle!$B$35,1),
IF(X206=regle!$C$11,regle!$C$23,
IF(X206=regle!$D$11,regle!$D$23,
IF(X206=regle!$E$11,regle!$E$23,
IF(X206=regle!$F$11,regle!$F$23,
IF(X206=regle!$G$11,regle!$G$23,
IF(X206=regle!$H$11,regle!$H$23,
IF(X206=regle!$I$11,regle!$I$23,
IF(X206=regle!$J$11,regle!$J$23,
IF(X206=regle!$K$11,regle!$K$23,0))))))))))))</f>
        <v>0</v>
      </c>
      <c r="AI206" s="17">
        <f>IF($A206,$J206*(IF(Y206=regle!$B$11,regle!$B$23*IF(AR206=-2,1+regle!$B$35,1),
IF(Y206=regle!$C$11,regle!$C$23,
IF(Y206=regle!$D$11,regle!$D$23,
IF(Y206=regle!$E$11,regle!$E$23,
IF(Y206=regle!$F$11,regle!$F$23,
IF(Y206=regle!$G$11,regle!$G$23,
IF(Y206=regle!$H$11,regle!$H$23,
IF(Y206=regle!$I$11,regle!$I$23,
IF(Y206=regle!$J$11,regle!$J$23,
IF(Y206=regle!$K$11,regle!$K$23,0))))))))))))</f>
        <v>32.76</v>
      </c>
      <c r="AJ206" s="17">
        <f>IF($A206,$J206*(IF(Z206=regle!$B$11,regle!$B$23*IF(AS206=-2,1+regle!$B$35,1),
IF(Z206=regle!$C$11,regle!$C$23,
IF(Z206=regle!$D$11,regle!$D$23,
IF(Z206=regle!$E$11,regle!$E$23,
IF(Z206=regle!$F$11,regle!$F$23,
IF(Z206=regle!$G$11,regle!$G$23,
IF(Z206=regle!$H$11,regle!$H$23,
IF(Z206=regle!$I$11,regle!$I$23,
IF(Z206=regle!$J$11,regle!$J$23,
IF(Z206=regle!$K$11,regle!$K$23,0))))))))))))</f>
        <v>0</v>
      </c>
      <c r="AK206" s="16">
        <f>IF(OR(Q206=regle!$J$11,Q206=regle!$K$11),-2,IF(Q206=regle!$B$11,0,IF(AK$1=$AK$1,IF($O206,-1,regle!$B$2-$M206),IF(AJ206=-1,-1,AJ206+1))))</f>
        <v>9</v>
      </c>
      <c r="AL206" s="16">
        <f>IF(OR(R206=regle!$J$11,R206=regle!$K$11),-2,IF(R206=regle!$B$11,0,IF(AL$1=$AK$1,IF($O206,-1,regle!$B$2-$M206),IF(AK206=-1,-1,AK206+1))))</f>
        <v>10</v>
      </c>
      <c r="AM206" s="16">
        <f>IF(OR(S206=regle!$J$11,S206=regle!$K$11),-2,IF(S206=regle!$B$11,0,IF(AM$1=$AK$1,IF($O206,-1,regle!$B$2-$M206),IF(AL206=-1,-1,AL206+1))))</f>
        <v>11</v>
      </c>
      <c r="AN206" s="16">
        <f>IF(OR(T206=regle!$J$11,T206=regle!$K$11),-2,IF(T206=regle!$B$11,0,IF(AN$1=$AK$1,IF($O206,-1,regle!$B$2-$M206),IF(AM206=-1,-1,AM206+1))))</f>
        <v>12</v>
      </c>
      <c r="AO206" s="16">
        <f>IF(OR(U206=regle!$J$11,U206=regle!$K$11),-2,IF(U206=regle!$B$11,0,IF(AO$1=$AK$1,IF($O206,-1,regle!$B$2-$M206),IF(AN206=-1,-1,AN206+1))))</f>
        <v>13</v>
      </c>
      <c r="AP206" s="16">
        <f>IF(OR(V206=regle!$J$11,V206=regle!$K$11),-2,IF(V206=regle!$B$11,0,IF(AP$1=$AK$1,IF($O206,-1,regle!$B$2-$M206),IF(AO206=-1,-1,AO206+1))))</f>
        <v>14</v>
      </c>
      <c r="AQ206" s="16">
        <f>IF(OR(W206=regle!$J$11,W206=regle!$K$11),-2,IF(W206=regle!$B$11,0,IF(AQ$1=$AK$1,IF($O206,-1,regle!$B$2-$M206),IF(AP206=-1,-1,AP206+1))))</f>
        <v>15</v>
      </c>
      <c r="AR206" s="16">
        <f>IF(OR(X206=regle!$J$11,X206=regle!$K$11),-2,IF(X206=regle!$B$11,0,IF(AR$1=$AK$1,IF($O206,-1,regle!$B$2-$M206),IF(AQ206=-1,-1,AQ206+1))))</f>
        <v>16</v>
      </c>
      <c r="AS206" s="16">
        <f>IF(OR(Y206=regle!$J$11,Y206=regle!$K$11),-2,IF(Y206=regle!$B$11,0,IF(AS$1=$AK$1,IF($O206,-1,regle!$B$2-$M206),IF(AR206=-1,-1,AR206+1))))</f>
        <v>17</v>
      </c>
      <c r="AT206" s="16">
        <f>IF(OR(Z206=regle!$J$11,Z206=regle!$K$11),-2,IF(Z206=regle!$B$11,0,IF(AT$1=$AK$1,IF($O206,-1,regle!$B$2-$M206),IF(AS206=-1,-1,AS206+1))))</f>
        <v>18</v>
      </c>
    </row>
    <row r="207" spans="1:46" x14ac:dyDescent="0.25">
      <c r="A207" t="b">
        <f>modif0!A173</f>
        <v>1</v>
      </c>
      <c r="B207">
        <f>ROW(modif0!B173)</f>
        <v>173</v>
      </c>
      <c r="C207" t="str">
        <f>modif0!D173</f>
        <v>202</v>
      </c>
      <c r="D207" t="str">
        <f>modif0!E173</f>
        <v>HOSTENS</v>
      </c>
      <c r="E207">
        <f>modif0!F173</f>
        <v>11</v>
      </c>
      <c r="F207" t="str">
        <f>modif0!G173</f>
        <v>LES CAZALAS</v>
      </c>
      <c r="G207" t="str">
        <f>modif0!I173</f>
        <v>0B</v>
      </c>
      <c r="H207">
        <f>modif0!J173</f>
        <v>1199</v>
      </c>
      <c r="I207" t="str">
        <f>modif0!K173</f>
        <v>k</v>
      </c>
      <c r="J207" s="11">
        <f>modif0!M173</f>
        <v>2.2599999999999999E-2</v>
      </c>
      <c r="K207" s="11" t="str">
        <f>modif0!P173</f>
        <v>PLA</v>
      </c>
      <c r="L207" t="str">
        <f>modif0!N173</f>
        <v>PM</v>
      </c>
      <c r="M207">
        <f>modif0!Q173</f>
        <v>2015</v>
      </c>
      <c r="N207" t="str">
        <f>modif0!R173</f>
        <v>PLA-PM_2015</v>
      </c>
      <c r="O207" t="b">
        <f>modif0!S173</f>
        <v>0</v>
      </c>
      <c r="P207">
        <v>40</v>
      </c>
      <c r="T207" t="s">
        <v>1803</v>
      </c>
      <c r="Y207" t="s">
        <v>1804</v>
      </c>
      <c r="AA207" s="17">
        <f>IF($A207,$J207*(IF(Q207=regle!$B$11,regle!$B$23*IF(AJ207=-2,1+regle!$B$35,1),
IF(Q207=regle!$C$11,regle!$C$23,
IF(Q207=regle!$D$11,regle!$D$23,
IF(Q207=regle!$E$11,regle!$E$23,
IF(Q207=regle!$F$11,regle!$F$23,
IF(Q207=regle!$G$11,regle!$G$23,
IF(Q207=regle!$H$11,regle!$H$23,
IF(Q207=regle!$I$11,regle!$I$23,
IF(Q207=regle!$J$11,regle!$J$23,
IF(Q207=regle!$K$11,regle!$K$23,0))))))))))))</f>
        <v>0</v>
      </c>
      <c r="AB207" s="17">
        <f>IF($A207,$J207*(IF(R207=regle!$B$11,regle!$B$23*IF(AK207=-2,1+regle!$B$35,1),
IF(R207=regle!$C$11,regle!$C$23,
IF(R207=regle!$D$11,regle!$D$23,
IF(R207=regle!$E$11,regle!$E$23,
IF(R207=regle!$F$11,regle!$F$23,
IF(R207=regle!$G$11,regle!$G$23,
IF(R207=regle!$H$11,regle!$H$23,
IF(R207=regle!$I$11,regle!$I$23,
IF(R207=regle!$J$11,regle!$J$23,
IF(R207=regle!$K$11,regle!$K$23,0))))))))))))</f>
        <v>0</v>
      </c>
      <c r="AC207" s="17">
        <f>IF($A207,$J207*(IF(S207=regle!$B$11,regle!$B$23*IF(AL207=-2,1+regle!$B$35,1),
IF(S207=regle!$C$11,regle!$C$23,
IF(S207=regle!$D$11,regle!$D$23,
IF(S207=regle!$E$11,regle!$E$23,
IF(S207=regle!$F$11,regle!$F$23,
IF(S207=regle!$G$11,regle!$G$23,
IF(S207=regle!$H$11,regle!$H$23,
IF(S207=regle!$I$11,regle!$I$23,
IF(S207=regle!$J$11,regle!$J$23,
IF(S207=regle!$K$11,regle!$K$23,0))))))))))))</f>
        <v>0</v>
      </c>
      <c r="AD207" s="17">
        <f>IF($A207,$J207*(IF(T207=regle!$B$11,regle!$B$23*IF(AM207=-2,1+regle!$B$35,1),
IF(T207=regle!$C$11,regle!$C$23,
IF(T207=regle!$D$11,regle!$D$23,
IF(T207=regle!$E$11,regle!$E$23,
IF(T207=regle!$F$11,regle!$F$23,
IF(T207=regle!$G$11,regle!$G$23,
IF(T207=regle!$H$11,regle!$H$23,
IF(T207=regle!$I$11,regle!$I$23,
IF(T207=regle!$J$11,regle!$J$23,
IF(T207=regle!$K$11,regle!$K$23,0))))))))))))</f>
        <v>13.0176</v>
      </c>
      <c r="AE207" s="17">
        <f>IF($A207,$J207*(IF(U207=regle!$B$11,regle!$B$23*IF(AN207=-2,1+regle!$B$35,1),
IF(U207=regle!$C$11,regle!$C$23,
IF(U207=regle!$D$11,regle!$D$23,
IF(U207=regle!$E$11,regle!$E$23,
IF(U207=regle!$F$11,regle!$F$23,
IF(U207=regle!$G$11,regle!$G$23,
IF(U207=regle!$H$11,regle!$H$23,
IF(U207=regle!$I$11,regle!$I$23,
IF(U207=regle!$J$11,regle!$J$23,
IF(U207=regle!$K$11,regle!$K$23,0))))))))))))</f>
        <v>0</v>
      </c>
      <c r="AF207" s="17">
        <f>IF($A207,$J207*(IF(V207=regle!$B$11,regle!$B$23*IF(AO207=-2,1+regle!$B$35,1),
IF(V207=regle!$C$11,regle!$C$23,
IF(V207=regle!$D$11,regle!$D$23,
IF(V207=regle!$E$11,regle!$E$23,
IF(V207=regle!$F$11,regle!$F$23,
IF(V207=regle!$G$11,regle!$G$23,
IF(V207=regle!$H$11,regle!$H$23,
IF(V207=regle!$I$11,regle!$I$23,
IF(V207=regle!$J$11,regle!$J$23,
IF(V207=regle!$K$11,regle!$K$23,0))))))))))))</f>
        <v>0</v>
      </c>
      <c r="AG207" s="17">
        <f>IF($A207,$J207*(IF(W207=regle!$B$11,regle!$B$23*IF(AP207=-2,1+regle!$B$35,1),
IF(W207=regle!$C$11,regle!$C$23,
IF(W207=regle!$D$11,regle!$D$23,
IF(W207=regle!$E$11,regle!$E$23,
IF(W207=regle!$F$11,regle!$F$23,
IF(W207=regle!$G$11,regle!$G$23,
IF(W207=regle!$H$11,regle!$H$23,
IF(W207=regle!$I$11,regle!$I$23,
IF(W207=regle!$J$11,regle!$J$23,
IF(W207=regle!$K$11,regle!$K$23,0))))))))))))</f>
        <v>0</v>
      </c>
      <c r="AH207" s="17">
        <f>IF($A207,$J207*(IF(X207=regle!$B$11,regle!$B$23*IF(AQ207=-2,1+regle!$B$35,1),
IF(X207=regle!$C$11,regle!$C$23,
IF(X207=regle!$D$11,regle!$D$23,
IF(X207=regle!$E$11,regle!$E$23,
IF(X207=regle!$F$11,regle!$F$23,
IF(X207=regle!$G$11,regle!$G$23,
IF(X207=regle!$H$11,regle!$H$23,
IF(X207=regle!$I$11,regle!$I$23,
IF(X207=regle!$J$11,regle!$J$23,
IF(X207=regle!$K$11,regle!$K$23,0))))))))))))</f>
        <v>0</v>
      </c>
      <c r="AI207" s="17">
        <f>IF($A207,$J207*(IF(Y207=regle!$B$11,regle!$B$23*IF(AR207=-2,1+regle!$B$35,1),
IF(Y207=regle!$C$11,regle!$C$23,
IF(Y207=regle!$D$11,regle!$D$23,
IF(Y207=regle!$E$11,regle!$E$23,
IF(Y207=regle!$F$11,regle!$F$23,
IF(Y207=regle!$G$11,regle!$G$23,
IF(Y207=regle!$H$11,regle!$H$23,
IF(Y207=regle!$I$11,regle!$I$23,
IF(Y207=regle!$J$11,regle!$J$23,
IF(Y207=regle!$K$11,regle!$K$23,0))))))))))))</f>
        <v>18.983999999999998</v>
      </c>
      <c r="AJ207" s="17">
        <f>IF($A207,$J207*(IF(Z207=regle!$B$11,regle!$B$23*IF(AS207=-2,1+regle!$B$35,1),
IF(Z207=regle!$C$11,regle!$C$23,
IF(Z207=regle!$D$11,regle!$D$23,
IF(Z207=regle!$E$11,regle!$E$23,
IF(Z207=regle!$F$11,regle!$F$23,
IF(Z207=regle!$G$11,regle!$G$23,
IF(Z207=regle!$H$11,regle!$H$23,
IF(Z207=regle!$I$11,regle!$I$23,
IF(Z207=regle!$J$11,regle!$J$23,
IF(Z207=regle!$K$11,regle!$K$23,0))))))))))))</f>
        <v>0</v>
      </c>
      <c r="AK207" s="16">
        <f>IF(OR(Q207=regle!$J$11,Q207=regle!$K$11),-2,IF(Q207=regle!$B$11,0,IF(AK$1=$AK$1,IF($O207,-1,regle!$B$2-$M207),IF(AJ207=-1,-1,AJ207+1))))</f>
        <v>9</v>
      </c>
      <c r="AL207" s="16">
        <f>IF(OR(R207=regle!$J$11,R207=regle!$K$11),-2,IF(R207=regle!$B$11,0,IF(AL$1=$AK$1,IF($O207,-1,regle!$B$2-$M207),IF(AK207=-1,-1,AK207+1))))</f>
        <v>10</v>
      </c>
      <c r="AM207" s="16">
        <f>IF(OR(S207=regle!$J$11,S207=regle!$K$11),-2,IF(S207=regle!$B$11,0,IF(AM$1=$AK$1,IF($O207,-1,regle!$B$2-$M207),IF(AL207=-1,-1,AL207+1))))</f>
        <v>11</v>
      </c>
      <c r="AN207" s="16">
        <f>IF(OR(T207=regle!$J$11,T207=regle!$K$11),-2,IF(T207=regle!$B$11,0,IF(AN$1=$AK$1,IF($O207,-1,regle!$B$2-$M207),IF(AM207=-1,-1,AM207+1))))</f>
        <v>12</v>
      </c>
      <c r="AO207" s="16">
        <f>IF(OR(U207=regle!$J$11,U207=regle!$K$11),-2,IF(U207=regle!$B$11,0,IF(AO$1=$AK$1,IF($O207,-1,regle!$B$2-$M207),IF(AN207=-1,-1,AN207+1))))</f>
        <v>13</v>
      </c>
      <c r="AP207" s="16">
        <f>IF(OR(V207=regle!$J$11,V207=regle!$K$11),-2,IF(V207=regle!$B$11,0,IF(AP$1=$AK$1,IF($O207,-1,regle!$B$2-$M207),IF(AO207=-1,-1,AO207+1))))</f>
        <v>14</v>
      </c>
      <c r="AQ207" s="16">
        <f>IF(OR(W207=regle!$J$11,W207=regle!$K$11),-2,IF(W207=regle!$B$11,0,IF(AQ$1=$AK$1,IF($O207,-1,regle!$B$2-$M207),IF(AP207=-1,-1,AP207+1))))</f>
        <v>15</v>
      </c>
      <c r="AR207" s="16">
        <f>IF(OR(X207=regle!$J$11,X207=regle!$K$11),-2,IF(X207=regle!$B$11,0,IF(AR$1=$AK$1,IF($O207,-1,regle!$B$2-$M207),IF(AQ207=-1,-1,AQ207+1))))</f>
        <v>16</v>
      </c>
      <c r="AS207" s="16">
        <f>IF(OR(Y207=regle!$J$11,Y207=regle!$K$11),-2,IF(Y207=regle!$B$11,0,IF(AS$1=$AK$1,IF($O207,-1,regle!$B$2-$M207),IF(AR207=-1,-1,AR207+1))))</f>
        <v>17</v>
      </c>
      <c r="AT207" s="16">
        <f>IF(OR(Z207=regle!$J$11,Z207=regle!$K$11),-2,IF(Z207=regle!$B$11,0,IF(AT$1=$AK$1,IF($O207,-1,regle!$B$2-$M207),IF(AS207=-1,-1,AS207+1))))</f>
        <v>18</v>
      </c>
    </row>
    <row r="208" spans="1:46" x14ac:dyDescent="0.25">
      <c r="A208" t="b">
        <f>modif0!A320</f>
        <v>1</v>
      </c>
      <c r="B208">
        <f>ROW(modif0!B320)</f>
        <v>320</v>
      </c>
      <c r="C208" t="str">
        <f>modif0!D320</f>
        <v>077</v>
      </c>
      <c r="D208" t="str">
        <f>modif0!E320</f>
        <v>CABANAC-ET-VILLAGRAINS</v>
      </c>
      <c r="E208">
        <f>modif0!F320</f>
        <v>13</v>
      </c>
      <c r="F208" t="str">
        <f>modif0!G320</f>
        <v>LAGUNE LONGUE</v>
      </c>
      <c r="G208" t="str">
        <f>modif0!I320</f>
        <v>0D</v>
      </c>
      <c r="H208">
        <f>modif0!J320</f>
        <v>1507</v>
      </c>
      <c r="I208" t="str">
        <f>modif0!K320</f>
        <v/>
      </c>
      <c r="J208" s="11">
        <f>modif0!M320</f>
        <v>2.24E-2</v>
      </c>
      <c r="K208" s="11" t="str">
        <f>modif0!P320</f>
        <v>PLA</v>
      </c>
      <c r="L208" t="str">
        <f>modif0!N320</f>
        <v>PM</v>
      </c>
      <c r="M208">
        <f>modif0!Q320</f>
        <v>2015</v>
      </c>
      <c r="N208" t="str">
        <f>modif0!R320</f>
        <v>PLA-PM_2015</v>
      </c>
      <c r="O208" t="b">
        <f>modif0!S320</f>
        <v>0</v>
      </c>
      <c r="P208">
        <v>40</v>
      </c>
      <c r="T208" t="s">
        <v>1803</v>
      </c>
      <c r="Y208" t="s">
        <v>1804</v>
      </c>
      <c r="AA208" s="17">
        <f>IF($A208,$J208*(IF(Q208=regle!$B$11,regle!$B$23*IF(AJ208=-2,1+regle!$B$35,1),
IF(Q208=regle!$C$11,regle!$C$23,
IF(Q208=regle!$D$11,regle!$D$23,
IF(Q208=regle!$E$11,regle!$E$23,
IF(Q208=regle!$F$11,regle!$F$23,
IF(Q208=regle!$G$11,regle!$G$23,
IF(Q208=regle!$H$11,regle!$H$23,
IF(Q208=regle!$I$11,regle!$I$23,
IF(Q208=regle!$J$11,regle!$J$23,
IF(Q208=regle!$K$11,regle!$K$23,0))))))))))))</f>
        <v>0</v>
      </c>
      <c r="AB208" s="17">
        <f>IF($A208,$J208*(IF(R208=regle!$B$11,regle!$B$23*IF(AK208=-2,1+regle!$B$35,1),
IF(R208=regle!$C$11,regle!$C$23,
IF(R208=regle!$D$11,regle!$D$23,
IF(R208=regle!$E$11,regle!$E$23,
IF(R208=regle!$F$11,regle!$F$23,
IF(R208=regle!$G$11,regle!$G$23,
IF(R208=regle!$H$11,regle!$H$23,
IF(R208=regle!$I$11,regle!$I$23,
IF(R208=regle!$J$11,regle!$J$23,
IF(R208=regle!$K$11,regle!$K$23,0))))))))))))</f>
        <v>0</v>
      </c>
      <c r="AC208" s="17">
        <f>IF($A208,$J208*(IF(S208=regle!$B$11,regle!$B$23*IF(AL208=-2,1+regle!$B$35,1),
IF(S208=regle!$C$11,regle!$C$23,
IF(S208=regle!$D$11,regle!$D$23,
IF(S208=regle!$E$11,regle!$E$23,
IF(S208=regle!$F$11,regle!$F$23,
IF(S208=regle!$G$11,regle!$G$23,
IF(S208=regle!$H$11,regle!$H$23,
IF(S208=regle!$I$11,regle!$I$23,
IF(S208=regle!$J$11,regle!$J$23,
IF(S208=regle!$K$11,regle!$K$23,0))))))))))))</f>
        <v>0</v>
      </c>
      <c r="AD208" s="17">
        <f>IF($A208,$J208*(IF(T208=regle!$B$11,regle!$B$23*IF(AM208=-2,1+regle!$B$35,1),
IF(T208=regle!$C$11,regle!$C$23,
IF(T208=regle!$D$11,regle!$D$23,
IF(T208=regle!$E$11,regle!$E$23,
IF(T208=regle!$F$11,regle!$F$23,
IF(T208=regle!$G$11,regle!$G$23,
IF(T208=regle!$H$11,regle!$H$23,
IF(T208=regle!$I$11,regle!$I$23,
IF(T208=regle!$J$11,regle!$J$23,
IF(T208=regle!$K$11,regle!$K$23,0))))))))))))</f>
        <v>12.9024</v>
      </c>
      <c r="AE208" s="17">
        <f>IF($A208,$J208*(IF(U208=regle!$B$11,regle!$B$23*IF(AN208=-2,1+regle!$B$35,1),
IF(U208=regle!$C$11,regle!$C$23,
IF(U208=regle!$D$11,regle!$D$23,
IF(U208=regle!$E$11,regle!$E$23,
IF(U208=regle!$F$11,regle!$F$23,
IF(U208=regle!$G$11,regle!$G$23,
IF(U208=regle!$H$11,regle!$H$23,
IF(U208=regle!$I$11,regle!$I$23,
IF(U208=regle!$J$11,regle!$J$23,
IF(U208=regle!$K$11,regle!$K$23,0))))))))))))</f>
        <v>0</v>
      </c>
      <c r="AF208" s="17">
        <f>IF($A208,$J208*(IF(V208=regle!$B$11,regle!$B$23*IF(AO208=-2,1+regle!$B$35,1),
IF(V208=regle!$C$11,regle!$C$23,
IF(V208=regle!$D$11,regle!$D$23,
IF(V208=regle!$E$11,regle!$E$23,
IF(V208=regle!$F$11,regle!$F$23,
IF(V208=regle!$G$11,regle!$G$23,
IF(V208=regle!$H$11,regle!$H$23,
IF(V208=regle!$I$11,regle!$I$23,
IF(V208=regle!$J$11,regle!$J$23,
IF(V208=regle!$K$11,regle!$K$23,0))))))))))))</f>
        <v>0</v>
      </c>
      <c r="AG208" s="17">
        <f>IF($A208,$J208*(IF(W208=regle!$B$11,regle!$B$23*IF(AP208=-2,1+regle!$B$35,1),
IF(W208=regle!$C$11,regle!$C$23,
IF(W208=regle!$D$11,regle!$D$23,
IF(W208=regle!$E$11,regle!$E$23,
IF(W208=regle!$F$11,regle!$F$23,
IF(W208=regle!$G$11,regle!$G$23,
IF(W208=regle!$H$11,regle!$H$23,
IF(W208=regle!$I$11,regle!$I$23,
IF(W208=regle!$J$11,regle!$J$23,
IF(W208=regle!$K$11,regle!$K$23,0))))))))))))</f>
        <v>0</v>
      </c>
      <c r="AH208" s="17">
        <f>IF($A208,$J208*(IF(X208=regle!$B$11,regle!$B$23*IF(AQ208=-2,1+regle!$B$35,1),
IF(X208=regle!$C$11,regle!$C$23,
IF(X208=regle!$D$11,regle!$D$23,
IF(X208=regle!$E$11,regle!$E$23,
IF(X208=regle!$F$11,regle!$F$23,
IF(X208=regle!$G$11,regle!$G$23,
IF(X208=regle!$H$11,regle!$H$23,
IF(X208=regle!$I$11,regle!$I$23,
IF(X208=regle!$J$11,regle!$J$23,
IF(X208=regle!$K$11,regle!$K$23,0))))))))))))</f>
        <v>0</v>
      </c>
      <c r="AI208" s="17">
        <f>IF($A208,$J208*(IF(Y208=regle!$B$11,regle!$B$23*IF(AR208=-2,1+regle!$B$35,1),
IF(Y208=regle!$C$11,regle!$C$23,
IF(Y208=regle!$D$11,regle!$D$23,
IF(Y208=regle!$E$11,regle!$E$23,
IF(Y208=regle!$F$11,regle!$F$23,
IF(Y208=regle!$G$11,regle!$G$23,
IF(Y208=regle!$H$11,regle!$H$23,
IF(Y208=regle!$I$11,regle!$I$23,
IF(Y208=regle!$J$11,regle!$J$23,
IF(Y208=regle!$K$11,regle!$K$23,0))))))))))))</f>
        <v>18.815999999999999</v>
      </c>
      <c r="AJ208" s="17">
        <f>IF($A208,$J208*(IF(Z208=regle!$B$11,regle!$B$23*IF(AS208=-2,1+regle!$B$35,1),
IF(Z208=regle!$C$11,regle!$C$23,
IF(Z208=regle!$D$11,regle!$D$23,
IF(Z208=regle!$E$11,regle!$E$23,
IF(Z208=regle!$F$11,regle!$F$23,
IF(Z208=regle!$G$11,regle!$G$23,
IF(Z208=regle!$H$11,regle!$H$23,
IF(Z208=regle!$I$11,regle!$I$23,
IF(Z208=regle!$J$11,regle!$J$23,
IF(Z208=regle!$K$11,regle!$K$23,0))))))))))))</f>
        <v>0</v>
      </c>
      <c r="AK208" s="16">
        <f>IF(OR(Q208=regle!$J$11,Q208=regle!$K$11),-2,IF(Q208=regle!$B$11,0,IF(AK$1=$AK$1,IF($O208,-1,regle!$B$2-$M208),IF(AJ208=-1,-1,AJ208+1))))</f>
        <v>9</v>
      </c>
      <c r="AL208" s="16">
        <f>IF(OR(R208=regle!$J$11,R208=regle!$K$11),-2,IF(R208=regle!$B$11,0,IF(AL$1=$AK$1,IF($O208,-1,regle!$B$2-$M208),IF(AK208=-1,-1,AK208+1))))</f>
        <v>10</v>
      </c>
      <c r="AM208" s="16">
        <f>IF(OR(S208=regle!$J$11,S208=regle!$K$11),-2,IF(S208=regle!$B$11,0,IF(AM$1=$AK$1,IF($O208,-1,regle!$B$2-$M208),IF(AL208=-1,-1,AL208+1))))</f>
        <v>11</v>
      </c>
      <c r="AN208" s="16">
        <f>IF(OR(T208=regle!$J$11,T208=regle!$K$11),-2,IF(T208=regle!$B$11,0,IF(AN$1=$AK$1,IF($O208,-1,regle!$B$2-$M208),IF(AM208=-1,-1,AM208+1))))</f>
        <v>12</v>
      </c>
      <c r="AO208" s="16">
        <f>IF(OR(U208=regle!$J$11,U208=regle!$K$11),-2,IF(U208=regle!$B$11,0,IF(AO$1=$AK$1,IF($O208,-1,regle!$B$2-$M208),IF(AN208=-1,-1,AN208+1))))</f>
        <v>13</v>
      </c>
      <c r="AP208" s="16">
        <f>IF(OR(V208=regle!$J$11,V208=regle!$K$11),-2,IF(V208=regle!$B$11,0,IF(AP$1=$AK$1,IF($O208,-1,regle!$B$2-$M208),IF(AO208=-1,-1,AO208+1))))</f>
        <v>14</v>
      </c>
      <c r="AQ208" s="16">
        <f>IF(OR(W208=regle!$J$11,W208=regle!$K$11),-2,IF(W208=regle!$B$11,0,IF(AQ$1=$AK$1,IF($O208,-1,regle!$B$2-$M208),IF(AP208=-1,-1,AP208+1))))</f>
        <v>15</v>
      </c>
      <c r="AR208" s="16">
        <f>IF(OR(X208=regle!$J$11,X208=regle!$K$11),-2,IF(X208=regle!$B$11,0,IF(AR$1=$AK$1,IF($O208,-1,regle!$B$2-$M208),IF(AQ208=-1,-1,AQ208+1))))</f>
        <v>16</v>
      </c>
      <c r="AS208" s="16">
        <f>IF(OR(Y208=regle!$J$11,Y208=regle!$K$11),-2,IF(Y208=regle!$B$11,0,IF(AS$1=$AK$1,IF($O208,-1,regle!$B$2-$M208),IF(AR208=-1,-1,AR208+1))))</f>
        <v>17</v>
      </c>
      <c r="AT208" s="16">
        <f>IF(OR(Z208=regle!$J$11,Z208=regle!$K$11),-2,IF(Z208=regle!$B$11,0,IF(AT$1=$AK$1,IF($O208,-1,regle!$B$2-$M208),IF(AS208=-1,-1,AS208+1))))</f>
        <v>18</v>
      </c>
    </row>
    <row r="209" spans="1:46" x14ac:dyDescent="0.25">
      <c r="A209" t="b">
        <f>modif0!A71</f>
        <v>1</v>
      </c>
      <c r="B209">
        <f>ROW(modif0!B71)</f>
        <v>71</v>
      </c>
      <c r="C209" t="str">
        <f>modif0!D71</f>
        <v>536</v>
      </c>
      <c r="D209" t="str">
        <f>modif0!E71</f>
        <v>LE TUZAN</v>
      </c>
      <c r="E209">
        <f>modif0!F71</f>
        <v>21</v>
      </c>
      <c r="F209" t="str">
        <f>modif0!G71</f>
        <v>METAIRIES DE TABARTON</v>
      </c>
      <c r="G209" t="str">
        <f>modif0!I71</f>
        <v>0A</v>
      </c>
      <c r="H209">
        <f>modif0!J71</f>
        <v>525</v>
      </c>
      <c r="I209" t="str">
        <f>modif0!K71</f>
        <v/>
      </c>
      <c r="J209" s="11">
        <f>modif0!M71</f>
        <v>7.7000000000000002E-3</v>
      </c>
      <c r="K209" s="11" t="str">
        <f>modif0!P71</f>
        <v>PLA</v>
      </c>
      <c r="L209" t="str">
        <f>modif0!N71</f>
        <v>PM</v>
      </c>
      <c r="M209">
        <f>modif0!Q71</f>
        <v>2015</v>
      </c>
      <c r="N209" t="str">
        <f>modif0!R71</f>
        <v>PLA-PM_2015</v>
      </c>
      <c r="O209" t="b">
        <f>modif0!S71</f>
        <v>0</v>
      </c>
      <c r="P209">
        <v>40</v>
      </c>
      <c r="T209" t="s">
        <v>1803</v>
      </c>
      <c r="Y209" t="s">
        <v>1804</v>
      </c>
      <c r="AA209" s="17">
        <f>IF($A209,$J209*(IF(Q209=regle!$B$11,regle!$B$23*IF(AJ209=-2,1+regle!$B$35,1),
IF(Q209=regle!$C$11,regle!$C$23,
IF(Q209=regle!$D$11,regle!$D$23,
IF(Q209=regle!$E$11,regle!$E$23,
IF(Q209=regle!$F$11,regle!$F$23,
IF(Q209=regle!$G$11,regle!$G$23,
IF(Q209=regle!$H$11,regle!$H$23,
IF(Q209=regle!$I$11,regle!$I$23,
IF(Q209=regle!$J$11,regle!$J$23,
IF(Q209=regle!$K$11,regle!$K$23,0))))))))))))</f>
        <v>0</v>
      </c>
      <c r="AB209" s="17">
        <f>IF($A209,$J209*(IF(R209=regle!$B$11,regle!$B$23*IF(AK209=-2,1+regle!$B$35,1),
IF(R209=regle!$C$11,regle!$C$23,
IF(R209=regle!$D$11,regle!$D$23,
IF(R209=regle!$E$11,regle!$E$23,
IF(R209=regle!$F$11,regle!$F$23,
IF(R209=regle!$G$11,regle!$G$23,
IF(R209=regle!$H$11,regle!$H$23,
IF(R209=regle!$I$11,regle!$I$23,
IF(R209=regle!$J$11,regle!$J$23,
IF(R209=regle!$K$11,regle!$K$23,0))))))))))))</f>
        <v>0</v>
      </c>
      <c r="AC209" s="17">
        <f>IF($A209,$J209*(IF(S209=regle!$B$11,regle!$B$23*IF(AL209=-2,1+regle!$B$35,1),
IF(S209=regle!$C$11,regle!$C$23,
IF(S209=regle!$D$11,regle!$D$23,
IF(S209=regle!$E$11,regle!$E$23,
IF(S209=regle!$F$11,regle!$F$23,
IF(S209=regle!$G$11,regle!$G$23,
IF(S209=regle!$H$11,regle!$H$23,
IF(S209=regle!$I$11,regle!$I$23,
IF(S209=regle!$J$11,regle!$J$23,
IF(S209=regle!$K$11,regle!$K$23,0))))))))))))</f>
        <v>0</v>
      </c>
      <c r="AD209" s="17">
        <f>IF($A209,$J209*(IF(T209=regle!$B$11,regle!$B$23*IF(AM209=-2,1+regle!$B$35,1),
IF(T209=regle!$C$11,regle!$C$23,
IF(T209=regle!$D$11,regle!$D$23,
IF(T209=regle!$E$11,regle!$E$23,
IF(T209=regle!$F$11,regle!$F$23,
IF(T209=regle!$G$11,regle!$G$23,
IF(T209=regle!$H$11,regle!$H$23,
IF(T209=regle!$I$11,regle!$I$23,
IF(T209=regle!$J$11,regle!$J$23,
IF(T209=regle!$K$11,regle!$K$23,0))))))))))))</f>
        <v>4.4352</v>
      </c>
      <c r="AE209" s="17">
        <f>IF($A209,$J209*(IF(U209=regle!$B$11,regle!$B$23*IF(AN209=-2,1+regle!$B$35,1),
IF(U209=regle!$C$11,regle!$C$23,
IF(U209=regle!$D$11,regle!$D$23,
IF(U209=regle!$E$11,regle!$E$23,
IF(U209=regle!$F$11,regle!$F$23,
IF(U209=regle!$G$11,regle!$G$23,
IF(U209=regle!$H$11,regle!$H$23,
IF(U209=regle!$I$11,regle!$I$23,
IF(U209=regle!$J$11,regle!$J$23,
IF(U209=regle!$K$11,regle!$K$23,0))))))))))))</f>
        <v>0</v>
      </c>
      <c r="AF209" s="17">
        <f>IF($A209,$J209*(IF(V209=regle!$B$11,regle!$B$23*IF(AO209=-2,1+regle!$B$35,1),
IF(V209=regle!$C$11,regle!$C$23,
IF(V209=regle!$D$11,regle!$D$23,
IF(V209=regle!$E$11,regle!$E$23,
IF(V209=regle!$F$11,regle!$F$23,
IF(V209=regle!$G$11,regle!$G$23,
IF(V209=regle!$H$11,regle!$H$23,
IF(V209=regle!$I$11,regle!$I$23,
IF(V209=regle!$J$11,regle!$J$23,
IF(V209=regle!$K$11,regle!$K$23,0))))))))))))</f>
        <v>0</v>
      </c>
      <c r="AG209" s="17">
        <f>IF($A209,$J209*(IF(W209=regle!$B$11,regle!$B$23*IF(AP209=-2,1+regle!$B$35,1),
IF(W209=regle!$C$11,regle!$C$23,
IF(W209=regle!$D$11,regle!$D$23,
IF(W209=regle!$E$11,regle!$E$23,
IF(W209=regle!$F$11,regle!$F$23,
IF(W209=regle!$G$11,regle!$G$23,
IF(W209=regle!$H$11,regle!$H$23,
IF(W209=regle!$I$11,regle!$I$23,
IF(W209=regle!$J$11,regle!$J$23,
IF(W209=regle!$K$11,regle!$K$23,0))))))))))))</f>
        <v>0</v>
      </c>
      <c r="AH209" s="17">
        <f>IF($A209,$J209*(IF(X209=regle!$B$11,regle!$B$23*IF(AQ209=-2,1+regle!$B$35,1),
IF(X209=regle!$C$11,regle!$C$23,
IF(X209=regle!$D$11,regle!$D$23,
IF(X209=regle!$E$11,regle!$E$23,
IF(X209=regle!$F$11,regle!$F$23,
IF(X209=regle!$G$11,regle!$G$23,
IF(X209=regle!$H$11,regle!$H$23,
IF(X209=regle!$I$11,regle!$I$23,
IF(X209=regle!$J$11,regle!$J$23,
IF(X209=regle!$K$11,regle!$K$23,0))))))))))))</f>
        <v>0</v>
      </c>
      <c r="AI209" s="17">
        <f>IF($A209,$J209*(IF(Y209=regle!$B$11,regle!$B$23*IF(AR209=-2,1+regle!$B$35,1),
IF(Y209=regle!$C$11,regle!$C$23,
IF(Y209=regle!$D$11,regle!$D$23,
IF(Y209=regle!$E$11,regle!$E$23,
IF(Y209=regle!$F$11,regle!$F$23,
IF(Y209=regle!$G$11,regle!$G$23,
IF(Y209=regle!$H$11,regle!$H$23,
IF(Y209=regle!$I$11,regle!$I$23,
IF(Y209=regle!$J$11,regle!$J$23,
IF(Y209=regle!$K$11,regle!$K$23,0))))))))))))</f>
        <v>6.468</v>
      </c>
      <c r="AJ209" s="17">
        <f>IF($A209,$J209*(IF(Z209=regle!$B$11,regle!$B$23*IF(AS209=-2,1+regle!$B$35,1),
IF(Z209=regle!$C$11,regle!$C$23,
IF(Z209=regle!$D$11,regle!$D$23,
IF(Z209=regle!$E$11,regle!$E$23,
IF(Z209=regle!$F$11,regle!$F$23,
IF(Z209=regle!$G$11,regle!$G$23,
IF(Z209=regle!$H$11,regle!$H$23,
IF(Z209=regle!$I$11,regle!$I$23,
IF(Z209=regle!$J$11,regle!$J$23,
IF(Z209=regle!$K$11,regle!$K$23,0))))))))))))</f>
        <v>0</v>
      </c>
      <c r="AK209" s="16">
        <f>IF(OR(Q209=regle!$J$11,Q209=regle!$K$11),-2,IF(Q209=regle!$B$11,0,IF(AK$1=$AK$1,IF($O209,-1,regle!$B$2-$M209),IF(AJ209=-1,-1,AJ209+1))))</f>
        <v>9</v>
      </c>
      <c r="AL209" s="16">
        <f>IF(OR(R209=regle!$J$11,R209=regle!$K$11),-2,IF(R209=regle!$B$11,0,IF(AL$1=$AK$1,IF($O209,-1,regle!$B$2-$M209),IF(AK209=-1,-1,AK209+1))))</f>
        <v>10</v>
      </c>
      <c r="AM209" s="16">
        <f>IF(OR(S209=regle!$J$11,S209=regle!$K$11),-2,IF(S209=regle!$B$11,0,IF(AM$1=$AK$1,IF($O209,-1,regle!$B$2-$M209),IF(AL209=-1,-1,AL209+1))))</f>
        <v>11</v>
      </c>
      <c r="AN209" s="16">
        <f>IF(OR(T209=regle!$J$11,T209=regle!$K$11),-2,IF(T209=regle!$B$11,0,IF(AN$1=$AK$1,IF($O209,-1,regle!$B$2-$M209),IF(AM209=-1,-1,AM209+1))))</f>
        <v>12</v>
      </c>
      <c r="AO209" s="16">
        <f>IF(OR(U209=regle!$J$11,U209=regle!$K$11),-2,IF(U209=regle!$B$11,0,IF(AO$1=$AK$1,IF($O209,-1,regle!$B$2-$M209),IF(AN209=-1,-1,AN209+1))))</f>
        <v>13</v>
      </c>
      <c r="AP209" s="16">
        <f>IF(OR(V209=regle!$J$11,V209=regle!$K$11),-2,IF(V209=regle!$B$11,0,IF(AP$1=$AK$1,IF($O209,-1,regle!$B$2-$M209),IF(AO209=-1,-1,AO209+1))))</f>
        <v>14</v>
      </c>
      <c r="AQ209" s="16">
        <f>IF(OR(W209=regle!$J$11,W209=regle!$K$11),-2,IF(W209=regle!$B$11,0,IF(AQ$1=$AK$1,IF($O209,-1,regle!$B$2-$M209),IF(AP209=-1,-1,AP209+1))))</f>
        <v>15</v>
      </c>
      <c r="AR209" s="16">
        <f>IF(OR(X209=regle!$J$11,X209=regle!$K$11),-2,IF(X209=regle!$B$11,0,IF(AR$1=$AK$1,IF($O209,-1,regle!$B$2-$M209),IF(AQ209=-1,-1,AQ209+1))))</f>
        <v>16</v>
      </c>
      <c r="AS209" s="16">
        <f>IF(OR(Y209=regle!$J$11,Y209=regle!$K$11),-2,IF(Y209=regle!$B$11,0,IF(AS$1=$AK$1,IF($O209,-1,regle!$B$2-$M209),IF(AR209=-1,-1,AR209+1))))</f>
        <v>17</v>
      </c>
      <c r="AT209" s="16">
        <f>IF(OR(Z209=regle!$J$11,Z209=regle!$K$11),-2,IF(Z209=regle!$B$11,0,IF(AT$1=$AK$1,IF($O209,-1,regle!$B$2-$M209),IF(AS209=-1,-1,AS209+1))))</f>
        <v>18</v>
      </c>
    </row>
    <row r="210" spans="1:46" x14ac:dyDescent="0.25">
      <c r="A210" t="b">
        <f>modif0!A363</f>
        <v>1</v>
      </c>
      <c r="B210">
        <f>ROW(modif0!B363)</f>
        <v>363</v>
      </c>
      <c r="C210" t="str">
        <f>modif0!D363</f>
        <v>200</v>
      </c>
      <c r="D210" t="str">
        <f>modif0!E363</f>
        <v>MOUSTEY</v>
      </c>
      <c r="E210">
        <f>modif0!F363</f>
        <v>4</v>
      </c>
      <c r="F210" t="str">
        <f>modif0!G363</f>
        <v>Kycs</v>
      </c>
      <c r="G210" t="str">
        <f>modif0!I363</f>
        <v>0M</v>
      </c>
      <c r="H210">
        <f>modif0!J363</f>
        <v>80</v>
      </c>
      <c r="I210" t="str">
        <f>modif0!K363</f>
        <v>n</v>
      </c>
      <c r="J210" s="11">
        <f>modif0!M363</f>
        <v>26.0778</v>
      </c>
      <c r="K210" s="11" t="str">
        <f>modif0!P363</f>
        <v>PLA</v>
      </c>
      <c r="L210" t="str">
        <f>modif0!N363</f>
        <v>PM</v>
      </c>
      <c r="M210">
        <f>modif0!Q363</f>
        <v>2014</v>
      </c>
      <c r="N210" t="str">
        <f>modif0!R363</f>
        <v>PLA-PM_2014</v>
      </c>
      <c r="O210" t="b">
        <f>modif0!S363</f>
        <v>0</v>
      </c>
      <c r="P210">
        <v>40</v>
      </c>
      <c r="S210" t="s">
        <v>1803</v>
      </c>
      <c r="X210" t="s">
        <v>1804</v>
      </c>
      <c r="AA210" s="17">
        <f>IF($A210,$J210*(IF(Q210=regle!$B$11,regle!$B$23*IF(AJ210=-2,1+regle!$B$35,1),
IF(Q210=regle!$C$11,regle!$C$23,
IF(Q210=regle!$D$11,regle!$D$23,
IF(Q210=regle!$E$11,regle!$E$23,
IF(Q210=regle!$F$11,regle!$F$23,
IF(Q210=regle!$G$11,regle!$G$23,
IF(Q210=regle!$H$11,regle!$H$23,
IF(Q210=regle!$I$11,regle!$I$23,
IF(Q210=regle!$J$11,regle!$J$23,
IF(Q210=regle!$K$11,regle!$K$23,0))))))))))))</f>
        <v>0</v>
      </c>
      <c r="AB210" s="17">
        <f>IF($A210,$J210*(IF(R210=regle!$B$11,regle!$B$23*IF(AK210=-2,1+regle!$B$35,1),
IF(R210=regle!$C$11,regle!$C$23,
IF(R210=regle!$D$11,regle!$D$23,
IF(R210=regle!$E$11,regle!$E$23,
IF(R210=regle!$F$11,regle!$F$23,
IF(R210=regle!$G$11,regle!$G$23,
IF(R210=regle!$H$11,regle!$H$23,
IF(R210=regle!$I$11,regle!$I$23,
IF(R210=regle!$J$11,regle!$J$23,
IF(R210=regle!$K$11,regle!$K$23,0))))))))))))</f>
        <v>0</v>
      </c>
      <c r="AC210" s="17">
        <f>IF($A210,$J210*(IF(S210=regle!$B$11,regle!$B$23*IF(AL210=-2,1+regle!$B$35,1),
IF(S210=regle!$C$11,regle!$C$23,
IF(S210=regle!$D$11,regle!$D$23,
IF(S210=regle!$E$11,regle!$E$23,
IF(S210=regle!$F$11,regle!$F$23,
IF(S210=regle!$G$11,regle!$G$23,
IF(S210=regle!$H$11,regle!$H$23,
IF(S210=regle!$I$11,regle!$I$23,
IF(S210=regle!$J$11,regle!$J$23,
IF(S210=regle!$K$11,regle!$K$23,0))))))))))))</f>
        <v>15020.8128</v>
      </c>
      <c r="AD210" s="17">
        <f>IF($A210,$J210*(IF(T210=regle!$B$11,regle!$B$23*IF(AM210=-2,1+regle!$B$35,1),
IF(T210=regle!$C$11,regle!$C$23,
IF(T210=regle!$D$11,regle!$D$23,
IF(T210=regle!$E$11,regle!$E$23,
IF(T210=regle!$F$11,regle!$F$23,
IF(T210=regle!$G$11,regle!$G$23,
IF(T210=regle!$H$11,regle!$H$23,
IF(T210=regle!$I$11,regle!$I$23,
IF(T210=regle!$J$11,regle!$J$23,
IF(T210=regle!$K$11,regle!$K$23,0))))))))))))</f>
        <v>0</v>
      </c>
      <c r="AE210" s="17">
        <f>IF($A210,$J210*(IF(U210=regle!$B$11,regle!$B$23*IF(AN210=-2,1+regle!$B$35,1),
IF(U210=regle!$C$11,regle!$C$23,
IF(U210=regle!$D$11,regle!$D$23,
IF(U210=regle!$E$11,regle!$E$23,
IF(U210=regle!$F$11,regle!$F$23,
IF(U210=regle!$G$11,regle!$G$23,
IF(U210=regle!$H$11,regle!$H$23,
IF(U210=regle!$I$11,regle!$I$23,
IF(U210=regle!$J$11,regle!$J$23,
IF(U210=regle!$K$11,regle!$K$23,0))))))))))))</f>
        <v>0</v>
      </c>
      <c r="AF210" s="17">
        <f>IF($A210,$J210*(IF(V210=regle!$B$11,regle!$B$23*IF(AO210=-2,1+regle!$B$35,1),
IF(V210=regle!$C$11,regle!$C$23,
IF(V210=regle!$D$11,regle!$D$23,
IF(V210=regle!$E$11,regle!$E$23,
IF(V210=regle!$F$11,regle!$F$23,
IF(V210=regle!$G$11,regle!$G$23,
IF(V210=regle!$H$11,regle!$H$23,
IF(V210=regle!$I$11,regle!$I$23,
IF(V210=regle!$J$11,regle!$J$23,
IF(V210=regle!$K$11,regle!$K$23,0))))))))))))</f>
        <v>0</v>
      </c>
      <c r="AG210" s="17">
        <f>IF($A210,$J210*(IF(W210=regle!$B$11,regle!$B$23*IF(AP210=-2,1+regle!$B$35,1),
IF(W210=regle!$C$11,regle!$C$23,
IF(W210=regle!$D$11,regle!$D$23,
IF(W210=regle!$E$11,regle!$E$23,
IF(W210=regle!$F$11,regle!$F$23,
IF(W210=regle!$G$11,regle!$G$23,
IF(W210=regle!$H$11,regle!$H$23,
IF(W210=regle!$I$11,regle!$I$23,
IF(W210=regle!$J$11,regle!$J$23,
IF(W210=regle!$K$11,regle!$K$23,0))))))))))))</f>
        <v>0</v>
      </c>
      <c r="AH210" s="17">
        <f>IF($A210,$J210*(IF(X210=regle!$B$11,regle!$B$23*IF(AQ210=-2,1+regle!$B$35,1),
IF(X210=regle!$C$11,regle!$C$23,
IF(X210=regle!$D$11,regle!$D$23,
IF(X210=regle!$E$11,regle!$E$23,
IF(X210=regle!$F$11,regle!$F$23,
IF(X210=regle!$G$11,regle!$G$23,
IF(X210=regle!$H$11,regle!$H$23,
IF(X210=regle!$I$11,regle!$I$23,
IF(X210=regle!$J$11,regle!$J$23,
IF(X210=regle!$K$11,regle!$K$23,0))))))))))))</f>
        <v>21905.351999999999</v>
      </c>
      <c r="AI210" s="17">
        <f>IF($A210,$J210*(IF(Y210=regle!$B$11,regle!$B$23*IF(AR210=-2,1+regle!$B$35,1),
IF(Y210=regle!$C$11,regle!$C$23,
IF(Y210=regle!$D$11,regle!$D$23,
IF(Y210=regle!$E$11,regle!$E$23,
IF(Y210=regle!$F$11,regle!$F$23,
IF(Y210=regle!$G$11,regle!$G$23,
IF(Y210=regle!$H$11,regle!$H$23,
IF(Y210=regle!$I$11,regle!$I$23,
IF(Y210=regle!$J$11,regle!$J$23,
IF(Y210=regle!$K$11,regle!$K$23,0))))))))))))</f>
        <v>0</v>
      </c>
      <c r="AJ210" s="17">
        <f>IF($A210,$J210*(IF(Z210=regle!$B$11,regle!$B$23*IF(AS210=-2,1+regle!$B$35,1),
IF(Z210=regle!$C$11,regle!$C$23,
IF(Z210=regle!$D$11,regle!$D$23,
IF(Z210=regle!$E$11,regle!$E$23,
IF(Z210=regle!$F$11,regle!$F$23,
IF(Z210=regle!$G$11,regle!$G$23,
IF(Z210=regle!$H$11,regle!$H$23,
IF(Z210=regle!$I$11,regle!$I$23,
IF(Z210=regle!$J$11,regle!$J$23,
IF(Z210=regle!$K$11,regle!$K$23,0))))))))))))</f>
        <v>0</v>
      </c>
      <c r="AK210" s="16">
        <f>IF(OR(Q210=regle!$J$11,Q210=regle!$K$11),-2,IF(Q210=regle!$B$11,0,IF(AK$1=$AK$1,IF($O210,-1,regle!$B$2-$M210),IF(AJ210=-1,-1,AJ210+1))))</f>
        <v>10</v>
      </c>
      <c r="AL210" s="16">
        <f>IF(OR(R210=regle!$J$11,R210=regle!$K$11),-2,IF(R210=regle!$B$11,0,IF(AL$1=$AK$1,IF($O210,-1,regle!$B$2-$M210),IF(AK210=-1,-1,AK210+1))))</f>
        <v>11</v>
      </c>
      <c r="AM210" s="16">
        <f>IF(OR(S210=regle!$J$11,S210=regle!$K$11),-2,IF(S210=regle!$B$11,0,IF(AM$1=$AK$1,IF($O210,-1,regle!$B$2-$M210),IF(AL210=-1,-1,AL210+1))))</f>
        <v>12</v>
      </c>
      <c r="AN210" s="16">
        <f>IF(OR(T210=regle!$J$11,T210=regle!$K$11),-2,IF(T210=regle!$B$11,0,IF(AN$1=$AK$1,IF($O210,-1,regle!$B$2-$M210),IF(AM210=-1,-1,AM210+1))))</f>
        <v>13</v>
      </c>
      <c r="AO210" s="16">
        <f>IF(OR(U210=regle!$J$11,U210=regle!$K$11),-2,IF(U210=regle!$B$11,0,IF(AO$1=$AK$1,IF($O210,-1,regle!$B$2-$M210),IF(AN210=-1,-1,AN210+1))))</f>
        <v>14</v>
      </c>
      <c r="AP210" s="16">
        <f>IF(OR(V210=regle!$J$11,V210=regle!$K$11),-2,IF(V210=regle!$B$11,0,IF(AP$1=$AK$1,IF($O210,-1,regle!$B$2-$M210),IF(AO210=-1,-1,AO210+1))))</f>
        <v>15</v>
      </c>
      <c r="AQ210" s="16">
        <f>IF(OR(W210=regle!$J$11,W210=regle!$K$11),-2,IF(W210=regle!$B$11,0,IF(AQ$1=$AK$1,IF($O210,-1,regle!$B$2-$M210),IF(AP210=-1,-1,AP210+1))))</f>
        <v>16</v>
      </c>
      <c r="AR210" s="16">
        <f>IF(OR(X210=regle!$J$11,X210=regle!$K$11),-2,IF(X210=regle!$B$11,0,IF(AR$1=$AK$1,IF($O210,-1,regle!$B$2-$M210),IF(AQ210=-1,-1,AQ210+1))))</f>
        <v>17</v>
      </c>
      <c r="AS210" s="16">
        <f>IF(OR(Y210=regle!$J$11,Y210=regle!$K$11),-2,IF(Y210=regle!$B$11,0,IF(AS$1=$AK$1,IF($O210,-1,regle!$B$2-$M210),IF(AR210=-1,-1,AR210+1))))</f>
        <v>18</v>
      </c>
      <c r="AT210" s="16">
        <f>IF(OR(Z210=regle!$J$11,Z210=regle!$K$11),-2,IF(Z210=regle!$B$11,0,IF(AT$1=$AK$1,IF($O210,-1,regle!$B$2-$M210),IF(AS210=-1,-1,AS210+1))))</f>
        <v>19</v>
      </c>
    </row>
    <row r="211" spans="1:46" x14ac:dyDescent="0.25">
      <c r="A211" t="b">
        <f>modif0!A294</f>
        <v>1</v>
      </c>
      <c r="B211">
        <f>ROW(modif0!B294)</f>
        <v>294</v>
      </c>
      <c r="C211" t="str">
        <f>modif0!D294</f>
        <v>536</v>
      </c>
      <c r="D211" t="str">
        <f>modif0!E294</f>
        <v>LE TUZAN</v>
      </c>
      <c r="E211">
        <f>modif0!F294</f>
        <v>14</v>
      </c>
      <c r="F211" t="str">
        <f>modif0!G294</f>
        <v>TABARTON-OUEST</v>
      </c>
      <c r="G211" t="str">
        <f>modif0!I294</f>
        <v>0B</v>
      </c>
      <c r="H211">
        <f>modif0!J294</f>
        <v>659</v>
      </c>
      <c r="I211" t="str">
        <f>modif0!K294</f>
        <v>m</v>
      </c>
      <c r="J211" s="11">
        <f>modif0!M294</f>
        <v>19.8888</v>
      </c>
      <c r="K211" s="11" t="str">
        <f>modif0!P294</f>
        <v>PLA</v>
      </c>
      <c r="L211" t="str">
        <f>modif0!N294</f>
        <v>PM</v>
      </c>
      <c r="M211">
        <f>modif0!Q294</f>
        <v>2014</v>
      </c>
      <c r="N211" t="str">
        <f>modif0!R294</f>
        <v>PLA-PM_2014</v>
      </c>
      <c r="O211" t="b">
        <f>modif0!S294</f>
        <v>0</v>
      </c>
      <c r="P211">
        <v>40</v>
      </c>
      <c r="S211" t="s">
        <v>1803</v>
      </c>
      <c r="X211" t="s">
        <v>1804</v>
      </c>
      <c r="AA211" s="17">
        <f>IF($A211,$J211*(IF(Q211=regle!$B$11,regle!$B$23*IF(AJ211=-2,1+regle!$B$35,1),
IF(Q211=regle!$C$11,regle!$C$23,
IF(Q211=regle!$D$11,regle!$D$23,
IF(Q211=regle!$E$11,regle!$E$23,
IF(Q211=regle!$F$11,regle!$F$23,
IF(Q211=regle!$G$11,regle!$G$23,
IF(Q211=regle!$H$11,regle!$H$23,
IF(Q211=regle!$I$11,regle!$I$23,
IF(Q211=regle!$J$11,regle!$J$23,
IF(Q211=regle!$K$11,regle!$K$23,0))))))))))))</f>
        <v>0</v>
      </c>
      <c r="AB211" s="17">
        <f>IF($A211,$J211*(IF(R211=regle!$B$11,regle!$B$23*IF(AK211=-2,1+regle!$B$35,1),
IF(R211=regle!$C$11,regle!$C$23,
IF(R211=regle!$D$11,regle!$D$23,
IF(R211=regle!$E$11,regle!$E$23,
IF(R211=regle!$F$11,regle!$F$23,
IF(R211=regle!$G$11,regle!$G$23,
IF(R211=regle!$H$11,regle!$H$23,
IF(R211=regle!$I$11,regle!$I$23,
IF(R211=regle!$J$11,regle!$J$23,
IF(R211=regle!$K$11,regle!$K$23,0))))))))))))</f>
        <v>0</v>
      </c>
      <c r="AC211" s="17">
        <f>IF($A211,$J211*(IF(S211=regle!$B$11,regle!$B$23*IF(AL211=-2,1+regle!$B$35,1),
IF(S211=regle!$C$11,regle!$C$23,
IF(S211=regle!$D$11,regle!$D$23,
IF(S211=regle!$E$11,regle!$E$23,
IF(S211=regle!$F$11,regle!$F$23,
IF(S211=regle!$G$11,regle!$G$23,
IF(S211=regle!$H$11,regle!$H$23,
IF(S211=regle!$I$11,regle!$I$23,
IF(S211=regle!$J$11,regle!$J$23,
IF(S211=regle!$K$11,regle!$K$23,0))))))))))))</f>
        <v>11455.9488</v>
      </c>
      <c r="AD211" s="17">
        <f>IF($A211,$J211*(IF(T211=regle!$B$11,regle!$B$23*IF(AM211=-2,1+regle!$B$35,1),
IF(T211=regle!$C$11,regle!$C$23,
IF(T211=regle!$D$11,regle!$D$23,
IF(T211=regle!$E$11,regle!$E$23,
IF(T211=regle!$F$11,regle!$F$23,
IF(T211=regle!$G$11,regle!$G$23,
IF(T211=regle!$H$11,regle!$H$23,
IF(T211=regle!$I$11,regle!$I$23,
IF(T211=regle!$J$11,regle!$J$23,
IF(T211=regle!$K$11,regle!$K$23,0))))))))))))</f>
        <v>0</v>
      </c>
      <c r="AE211" s="17">
        <f>IF($A211,$J211*(IF(U211=regle!$B$11,regle!$B$23*IF(AN211=-2,1+regle!$B$35,1),
IF(U211=regle!$C$11,regle!$C$23,
IF(U211=regle!$D$11,regle!$D$23,
IF(U211=regle!$E$11,regle!$E$23,
IF(U211=regle!$F$11,regle!$F$23,
IF(U211=regle!$G$11,regle!$G$23,
IF(U211=regle!$H$11,regle!$H$23,
IF(U211=regle!$I$11,regle!$I$23,
IF(U211=regle!$J$11,regle!$J$23,
IF(U211=regle!$K$11,regle!$K$23,0))))))))))))</f>
        <v>0</v>
      </c>
      <c r="AF211" s="17">
        <f>IF($A211,$J211*(IF(V211=regle!$B$11,regle!$B$23*IF(AO211=-2,1+regle!$B$35,1),
IF(V211=regle!$C$11,regle!$C$23,
IF(V211=regle!$D$11,regle!$D$23,
IF(V211=regle!$E$11,regle!$E$23,
IF(V211=regle!$F$11,regle!$F$23,
IF(V211=regle!$G$11,regle!$G$23,
IF(V211=regle!$H$11,regle!$H$23,
IF(V211=regle!$I$11,regle!$I$23,
IF(V211=regle!$J$11,regle!$J$23,
IF(V211=regle!$K$11,regle!$K$23,0))))))))))))</f>
        <v>0</v>
      </c>
      <c r="AG211" s="17">
        <f>IF($A211,$J211*(IF(W211=regle!$B$11,regle!$B$23*IF(AP211=-2,1+regle!$B$35,1),
IF(W211=regle!$C$11,regle!$C$23,
IF(W211=regle!$D$11,regle!$D$23,
IF(W211=regle!$E$11,regle!$E$23,
IF(W211=regle!$F$11,regle!$F$23,
IF(W211=regle!$G$11,regle!$G$23,
IF(W211=regle!$H$11,regle!$H$23,
IF(W211=regle!$I$11,regle!$I$23,
IF(W211=regle!$J$11,regle!$J$23,
IF(W211=regle!$K$11,regle!$K$23,0))))))))))))</f>
        <v>0</v>
      </c>
      <c r="AH211" s="17">
        <f>IF($A211,$J211*(IF(X211=regle!$B$11,regle!$B$23*IF(AQ211=-2,1+regle!$B$35,1),
IF(X211=regle!$C$11,regle!$C$23,
IF(X211=regle!$D$11,regle!$D$23,
IF(X211=regle!$E$11,regle!$E$23,
IF(X211=regle!$F$11,regle!$F$23,
IF(X211=regle!$G$11,regle!$G$23,
IF(X211=regle!$H$11,regle!$H$23,
IF(X211=regle!$I$11,regle!$I$23,
IF(X211=regle!$J$11,regle!$J$23,
IF(X211=regle!$K$11,regle!$K$23,0))))))))))))</f>
        <v>16706.592000000001</v>
      </c>
      <c r="AI211" s="17">
        <f>IF($A211,$J211*(IF(Y211=regle!$B$11,regle!$B$23*IF(AR211=-2,1+regle!$B$35,1),
IF(Y211=regle!$C$11,regle!$C$23,
IF(Y211=regle!$D$11,regle!$D$23,
IF(Y211=regle!$E$11,regle!$E$23,
IF(Y211=regle!$F$11,regle!$F$23,
IF(Y211=regle!$G$11,regle!$G$23,
IF(Y211=regle!$H$11,regle!$H$23,
IF(Y211=regle!$I$11,regle!$I$23,
IF(Y211=regle!$J$11,regle!$J$23,
IF(Y211=regle!$K$11,regle!$K$23,0))))))))))))</f>
        <v>0</v>
      </c>
      <c r="AJ211" s="17">
        <f>IF($A211,$J211*(IF(Z211=regle!$B$11,regle!$B$23*IF(AS211=-2,1+regle!$B$35,1),
IF(Z211=regle!$C$11,regle!$C$23,
IF(Z211=regle!$D$11,regle!$D$23,
IF(Z211=regle!$E$11,regle!$E$23,
IF(Z211=regle!$F$11,regle!$F$23,
IF(Z211=regle!$G$11,regle!$G$23,
IF(Z211=regle!$H$11,regle!$H$23,
IF(Z211=regle!$I$11,regle!$I$23,
IF(Z211=regle!$J$11,regle!$J$23,
IF(Z211=regle!$K$11,regle!$K$23,0))))))))))))</f>
        <v>0</v>
      </c>
      <c r="AK211" s="16">
        <f>IF(OR(Q211=regle!$J$11,Q211=regle!$K$11),-2,IF(Q211=regle!$B$11,0,IF(AK$1=$AK$1,IF($O211,-1,regle!$B$2-$M211),IF(AJ211=-1,-1,AJ211+1))))</f>
        <v>10</v>
      </c>
      <c r="AL211" s="16">
        <f>IF(OR(R211=regle!$J$11,R211=regle!$K$11),-2,IF(R211=regle!$B$11,0,IF(AL$1=$AK$1,IF($O211,-1,regle!$B$2-$M211),IF(AK211=-1,-1,AK211+1))))</f>
        <v>11</v>
      </c>
      <c r="AM211" s="16">
        <f>IF(OR(S211=regle!$J$11,S211=regle!$K$11),-2,IF(S211=regle!$B$11,0,IF(AM$1=$AK$1,IF($O211,-1,regle!$B$2-$M211),IF(AL211=-1,-1,AL211+1))))</f>
        <v>12</v>
      </c>
      <c r="AN211" s="16">
        <f>IF(OR(T211=regle!$J$11,T211=regle!$K$11),-2,IF(T211=regle!$B$11,0,IF(AN$1=$AK$1,IF($O211,-1,regle!$B$2-$M211),IF(AM211=-1,-1,AM211+1))))</f>
        <v>13</v>
      </c>
      <c r="AO211" s="16">
        <f>IF(OR(U211=regle!$J$11,U211=regle!$K$11),-2,IF(U211=regle!$B$11,0,IF(AO$1=$AK$1,IF($O211,-1,regle!$B$2-$M211),IF(AN211=-1,-1,AN211+1))))</f>
        <v>14</v>
      </c>
      <c r="AP211" s="16">
        <f>IF(OR(V211=regle!$J$11,V211=regle!$K$11),-2,IF(V211=regle!$B$11,0,IF(AP$1=$AK$1,IF($O211,-1,regle!$B$2-$M211),IF(AO211=-1,-1,AO211+1))))</f>
        <v>15</v>
      </c>
      <c r="AQ211" s="16">
        <f>IF(OR(W211=regle!$J$11,W211=regle!$K$11),-2,IF(W211=regle!$B$11,0,IF(AQ$1=$AK$1,IF($O211,-1,regle!$B$2-$M211),IF(AP211=-1,-1,AP211+1))))</f>
        <v>16</v>
      </c>
      <c r="AR211" s="16">
        <f>IF(OR(X211=regle!$J$11,X211=regle!$K$11),-2,IF(X211=regle!$B$11,0,IF(AR$1=$AK$1,IF($O211,-1,regle!$B$2-$M211),IF(AQ211=-1,-1,AQ211+1))))</f>
        <v>17</v>
      </c>
      <c r="AS211" s="16">
        <f>IF(OR(Y211=regle!$J$11,Y211=regle!$K$11),-2,IF(Y211=regle!$B$11,0,IF(AS$1=$AK$1,IF($O211,-1,regle!$B$2-$M211),IF(AR211=-1,-1,AR211+1))))</f>
        <v>18</v>
      </c>
      <c r="AT211" s="16">
        <f>IF(OR(Z211=regle!$J$11,Z211=regle!$K$11),-2,IF(Z211=regle!$B$11,0,IF(AT$1=$AK$1,IF($O211,-1,regle!$B$2-$M211),IF(AS211=-1,-1,AS211+1))))</f>
        <v>19</v>
      </c>
    </row>
    <row r="212" spans="1:46" x14ac:dyDescent="0.25">
      <c r="A212" t="b">
        <f>modif0!A361</f>
        <v>1</v>
      </c>
      <c r="B212">
        <f>ROW(modif0!B361)</f>
        <v>361</v>
      </c>
      <c r="C212" t="str">
        <f>modif0!D361</f>
        <v>200</v>
      </c>
      <c r="D212" t="str">
        <f>modif0!E361</f>
        <v>MOUSTEY</v>
      </c>
      <c r="E212">
        <f>modif0!F361</f>
        <v>4</v>
      </c>
      <c r="F212" t="str">
        <f>modif0!G361</f>
        <v>Kycs</v>
      </c>
      <c r="G212" t="str">
        <f>modif0!I361</f>
        <v>0M</v>
      </c>
      <c r="H212">
        <f>modif0!J361</f>
        <v>80</v>
      </c>
      <c r="I212" t="str">
        <f>modif0!K361</f>
        <v>l</v>
      </c>
      <c r="J212" s="11">
        <f>modif0!M361</f>
        <v>10.702500000000001</v>
      </c>
      <c r="K212" s="11" t="str">
        <f>modif0!P361</f>
        <v>PLA</v>
      </c>
      <c r="L212" t="str">
        <f>modif0!N361</f>
        <v>PM</v>
      </c>
      <c r="M212">
        <f>modif0!Q361</f>
        <v>2014</v>
      </c>
      <c r="N212" t="str">
        <f>modif0!R361</f>
        <v>PLA-PM_2014</v>
      </c>
      <c r="O212" t="b">
        <f>modif0!S361</f>
        <v>0</v>
      </c>
      <c r="P212">
        <v>40</v>
      </c>
      <c r="S212" t="s">
        <v>1803</v>
      </c>
      <c r="X212" t="s">
        <v>1804</v>
      </c>
      <c r="AA212" s="17">
        <f>IF($A212,$J212*(IF(Q212=regle!$B$11,regle!$B$23*IF(AJ212=-2,1+regle!$B$35,1),
IF(Q212=regle!$C$11,regle!$C$23,
IF(Q212=regle!$D$11,regle!$D$23,
IF(Q212=regle!$E$11,regle!$E$23,
IF(Q212=regle!$F$11,regle!$F$23,
IF(Q212=regle!$G$11,regle!$G$23,
IF(Q212=regle!$H$11,regle!$H$23,
IF(Q212=regle!$I$11,regle!$I$23,
IF(Q212=regle!$J$11,regle!$J$23,
IF(Q212=regle!$K$11,regle!$K$23,0))))))))))))</f>
        <v>0</v>
      </c>
      <c r="AB212" s="17">
        <f>IF($A212,$J212*(IF(R212=regle!$B$11,regle!$B$23*IF(AK212=-2,1+regle!$B$35,1),
IF(R212=regle!$C$11,regle!$C$23,
IF(R212=regle!$D$11,regle!$D$23,
IF(R212=regle!$E$11,regle!$E$23,
IF(R212=regle!$F$11,regle!$F$23,
IF(R212=regle!$G$11,regle!$G$23,
IF(R212=regle!$H$11,regle!$H$23,
IF(R212=regle!$I$11,regle!$I$23,
IF(R212=regle!$J$11,regle!$J$23,
IF(R212=regle!$K$11,regle!$K$23,0))))))))))))</f>
        <v>0</v>
      </c>
      <c r="AC212" s="17">
        <f>IF($A212,$J212*(IF(S212=regle!$B$11,regle!$B$23*IF(AL212=-2,1+regle!$B$35,1),
IF(S212=regle!$C$11,regle!$C$23,
IF(S212=regle!$D$11,regle!$D$23,
IF(S212=regle!$E$11,regle!$E$23,
IF(S212=regle!$F$11,regle!$F$23,
IF(S212=regle!$G$11,regle!$G$23,
IF(S212=regle!$H$11,regle!$H$23,
IF(S212=regle!$I$11,regle!$I$23,
IF(S212=regle!$J$11,regle!$J$23,
IF(S212=regle!$K$11,regle!$K$23,0))))))))))))</f>
        <v>6164.64</v>
      </c>
      <c r="AD212" s="17">
        <f>IF($A212,$J212*(IF(T212=regle!$B$11,regle!$B$23*IF(AM212=-2,1+regle!$B$35,1),
IF(T212=regle!$C$11,regle!$C$23,
IF(T212=regle!$D$11,regle!$D$23,
IF(T212=regle!$E$11,regle!$E$23,
IF(T212=regle!$F$11,regle!$F$23,
IF(T212=regle!$G$11,regle!$G$23,
IF(T212=regle!$H$11,regle!$H$23,
IF(T212=regle!$I$11,regle!$I$23,
IF(T212=regle!$J$11,regle!$J$23,
IF(T212=regle!$K$11,regle!$K$23,0))))))))))))</f>
        <v>0</v>
      </c>
      <c r="AE212" s="17">
        <f>IF($A212,$J212*(IF(U212=regle!$B$11,regle!$B$23*IF(AN212=-2,1+regle!$B$35,1),
IF(U212=regle!$C$11,regle!$C$23,
IF(U212=regle!$D$11,regle!$D$23,
IF(U212=regle!$E$11,regle!$E$23,
IF(U212=regle!$F$11,regle!$F$23,
IF(U212=regle!$G$11,regle!$G$23,
IF(U212=regle!$H$11,regle!$H$23,
IF(U212=regle!$I$11,regle!$I$23,
IF(U212=regle!$J$11,regle!$J$23,
IF(U212=regle!$K$11,regle!$K$23,0))))))))))))</f>
        <v>0</v>
      </c>
      <c r="AF212" s="17">
        <f>IF($A212,$J212*(IF(V212=regle!$B$11,regle!$B$23*IF(AO212=-2,1+regle!$B$35,1),
IF(V212=regle!$C$11,regle!$C$23,
IF(V212=regle!$D$11,regle!$D$23,
IF(V212=regle!$E$11,regle!$E$23,
IF(V212=regle!$F$11,regle!$F$23,
IF(V212=regle!$G$11,regle!$G$23,
IF(V212=regle!$H$11,regle!$H$23,
IF(V212=regle!$I$11,regle!$I$23,
IF(V212=regle!$J$11,regle!$J$23,
IF(V212=regle!$K$11,regle!$K$23,0))))))))))))</f>
        <v>0</v>
      </c>
      <c r="AG212" s="17">
        <f>IF($A212,$J212*(IF(W212=regle!$B$11,regle!$B$23*IF(AP212=-2,1+regle!$B$35,1),
IF(W212=regle!$C$11,regle!$C$23,
IF(W212=regle!$D$11,regle!$D$23,
IF(W212=regle!$E$11,regle!$E$23,
IF(W212=regle!$F$11,regle!$F$23,
IF(W212=regle!$G$11,regle!$G$23,
IF(W212=regle!$H$11,regle!$H$23,
IF(W212=regle!$I$11,regle!$I$23,
IF(W212=regle!$J$11,regle!$J$23,
IF(W212=regle!$K$11,regle!$K$23,0))))))))))))</f>
        <v>0</v>
      </c>
      <c r="AH212" s="17">
        <f>IF($A212,$J212*(IF(X212=regle!$B$11,regle!$B$23*IF(AQ212=-2,1+regle!$B$35,1),
IF(X212=regle!$C$11,regle!$C$23,
IF(X212=regle!$D$11,regle!$D$23,
IF(X212=regle!$E$11,regle!$E$23,
IF(X212=regle!$F$11,regle!$F$23,
IF(X212=regle!$G$11,regle!$G$23,
IF(X212=regle!$H$11,regle!$H$23,
IF(X212=regle!$I$11,regle!$I$23,
IF(X212=regle!$J$11,regle!$J$23,
IF(X212=regle!$K$11,regle!$K$23,0))))))))))))</f>
        <v>8990.1</v>
      </c>
      <c r="AI212" s="17">
        <f>IF($A212,$J212*(IF(Y212=regle!$B$11,regle!$B$23*IF(AR212=-2,1+regle!$B$35,1),
IF(Y212=regle!$C$11,regle!$C$23,
IF(Y212=regle!$D$11,regle!$D$23,
IF(Y212=regle!$E$11,regle!$E$23,
IF(Y212=regle!$F$11,regle!$F$23,
IF(Y212=regle!$G$11,regle!$G$23,
IF(Y212=regle!$H$11,regle!$H$23,
IF(Y212=regle!$I$11,regle!$I$23,
IF(Y212=regle!$J$11,regle!$J$23,
IF(Y212=regle!$K$11,regle!$K$23,0))))))))))))</f>
        <v>0</v>
      </c>
      <c r="AJ212" s="17">
        <f>IF($A212,$J212*(IF(Z212=regle!$B$11,regle!$B$23*IF(AS212=-2,1+regle!$B$35,1),
IF(Z212=regle!$C$11,regle!$C$23,
IF(Z212=regle!$D$11,regle!$D$23,
IF(Z212=regle!$E$11,regle!$E$23,
IF(Z212=regle!$F$11,regle!$F$23,
IF(Z212=regle!$G$11,regle!$G$23,
IF(Z212=regle!$H$11,regle!$H$23,
IF(Z212=regle!$I$11,regle!$I$23,
IF(Z212=regle!$J$11,regle!$J$23,
IF(Z212=regle!$K$11,regle!$K$23,0))))))))))))</f>
        <v>0</v>
      </c>
      <c r="AK212" s="16">
        <f>IF(OR(Q212=regle!$J$11,Q212=regle!$K$11),-2,IF(Q212=regle!$B$11,0,IF(AK$1=$AK$1,IF($O212,-1,regle!$B$2-$M212),IF(AJ212=-1,-1,AJ212+1))))</f>
        <v>10</v>
      </c>
      <c r="AL212" s="16">
        <f>IF(OR(R212=regle!$J$11,R212=regle!$K$11),-2,IF(R212=regle!$B$11,0,IF(AL$1=$AK$1,IF($O212,-1,regle!$B$2-$M212),IF(AK212=-1,-1,AK212+1))))</f>
        <v>11</v>
      </c>
      <c r="AM212" s="16">
        <f>IF(OR(S212=regle!$J$11,S212=regle!$K$11),-2,IF(S212=regle!$B$11,0,IF(AM$1=$AK$1,IF($O212,-1,regle!$B$2-$M212),IF(AL212=-1,-1,AL212+1))))</f>
        <v>12</v>
      </c>
      <c r="AN212" s="16">
        <f>IF(OR(T212=regle!$J$11,T212=regle!$K$11),-2,IF(T212=regle!$B$11,0,IF(AN$1=$AK$1,IF($O212,-1,regle!$B$2-$M212),IF(AM212=-1,-1,AM212+1))))</f>
        <v>13</v>
      </c>
      <c r="AO212" s="16">
        <f>IF(OR(U212=regle!$J$11,U212=regle!$K$11),-2,IF(U212=regle!$B$11,0,IF(AO$1=$AK$1,IF($O212,-1,regle!$B$2-$M212),IF(AN212=-1,-1,AN212+1))))</f>
        <v>14</v>
      </c>
      <c r="AP212" s="16">
        <f>IF(OR(V212=regle!$J$11,V212=regle!$K$11),-2,IF(V212=regle!$B$11,0,IF(AP$1=$AK$1,IF($O212,-1,regle!$B$2-$M212),IF(AO212=-1,-1,AO212+1))))</f>
        <v>15</v>
      </c>
      <c r="AQ212" s="16">
        <f>IF(OR(W212=regle!$J$11,W212=regle!$K$11),-2,IF(W212=regle!$B$11,0,IF(AQ$1=$AK$1,IF($O212,-1,regle!$B$2-$M212),IF(AP212=-1,-1,AP212+1))))</f>
        <v>16</v>
      </c>
      <c r="AR212" s="16">
        <f>IF(OR(X212=regle!$J$11,X212=regle!$K$11),-2,IF(X212=regle!$B$11,0,IF(AR$1=$AK$1,IF($O212,-1,regle!$B$2-$M212),IF(AQ212=-1,-1,AQ212+1))))</f>
        <v>17</v>
      </c>
      <c r="AS212" s="16">
        <f>IF(OR(Y212=regle!$J$11,Y212=regle!$K$11),-2,IF(Y212=regle!$B$11,0,IF(AS$1=$AK$1,IF($O212,-1,regle!$B$2-$M212),IF(AR212=-1,-1,AR212+1))))</f>
        <v>18</v>
      </c>
      <c r="AT212" s="16">
        <f>IF(OR(Z212=regle!$J$11,Z212=regle!$K$11),-2,IF(Z212=regle!$B$11,0,IF(AT$1=$AK$1,IF($O212,-1,regle!$B$2-$M212),IF(AS212=-1,-1,AS212+1))))</f>
        <v>19</v>
      </c>
    </row>
    <row r="213" spans="1:46" x14ac:dyDescent="0.25">
      <c r="A213" t="b">
        <f>modif0!A348</f>
        <v>1</v>
      </c>
      <c r="B213">
        <f>ROW(modif0!B348)</f>
        <v>348</v>
      </c>
      <c r="C213" t="str">
        <f>modif0!D348</f>
        <v>200</v>
      </c>
      <c r="D213" t="str">
        <f>modif0!E348</f>
        <v>MOUSTEY</v>
      </c>
      <c r="E213">
        <f>modif0!F348</f>
        <v>4</v>
      </c>
      <c r="F213" t="str">
        <f>modif0!G348</f>
        <v>Kycs</v>
      </c>
      <c r="G213" t="str">
        <f>modif0!I348</f>
        <v>0M</v>
      </c>
      <c r="H213">
        <f>modif0!J348</f>
        <v>33</v>
      </c>
      <c r="I213" t="str">
        <f>modif0!K348</f>
        <v>m</v>
      </c>
      <c r="J213" s="11">
        <f>modif0!M348</f>
        <v>4.3066000000000004</v>
      </c>
      <c r="K213" s="11" t="str">
        <f>modif0!P348</f>
        <v>PLA</v>
      </c>
      <c r="L213" t="str">
        <f>modif0!N348</f>
        <v>PM</v>
      </c>
      <c r="M213">
        <f>modif0!Q348</f>
        <v>2014</v>
      </c>
      <c r="N213" t="str">
        <f>modif0!R348</f>
        <v>PLA-PM_2014</v>
      </c>
      <c r="O213" t="b">
        <f>modif0!S348</f>
        <v>0</v>
      </c>
      <c r="P213">
        <v>40</v>
      </c>
      <c r="S213" t="s">
        <v>1803</v>
      </c>
      <c r="X213" t="s">
        <v>1804</v>
      </c>
      <c r="AA213" s="17">
        <f>IF($A213,$J213*(IF(Q213=regle!$B$11,regle!$B$23*IF(AJ213=-2,1+regle!$B$35,1),
IF(Q213=regle!$C$11,regle!$C$23,
IF(Q213=regle!$D$11,regle!$D$23,
IF(Q213=regle!$E$11,regle!$E$23,
IF(Q213=regle!$F$11,regle!$F$23,
IF(Q213=regle!$G$11,regle!$G$23,
IF(Q213=regle!$H$11,regle!$H$23,
IF(Q213=regle!$I$11,regle!$I$23,
IF(Q213=regle!$J$11,regle!$J$23,
IF(Q213=regle!$K$11,regle!$K$23,0))))))))))))</f>
        <v>0</v>
      </c>
      <c r="AB213" s="17">
        <f>IF($A213,$J213*(IF(R213=regle!$B$11,regle!$B$23*IF(AK213=-2,1+regle!$B$35,1),
IF(R213=regle!$C$11,regle!$C$23,
IF(R213=regle!$D$11,regle!$D$23,
IF(R213=regle!$E$11,regle!$E$23,
IF(R213=regle!$F$11,regle!$F$23,
IF(R213=regle!$G$11,regle!$G$23,
IF(R213=regle!$H$11,regle!$H$23,
IF(R213=regle!$I$11,regle!$I$23,
IF(R213=regle!$J$11,regle!$J$23,
IF(R213=regle!$K$11,regle!$K$23,0))))))))))))</f>
        <v>0</v>
      </c>
      <c r="AC213" s="17">
        <f>IF($A213,$J213*(IF(S213=regle!$B$11,regle!$B$23*IF(AL213=-2,1+regle!$B$35,1),
IF(S213=regle!$C$11,regle!$C$23,
IF(S213=regle!$D$11,regle!$D$23,
IF(S213=regle!$E$11,regle!$E$23,
IF(S213=regle!$F$11,regle!$F$23,
IF(S213=regle!$G$11,regle!$G$23,
IF(S213=regle!$H$11,regle!$H$23,
IF(S213=regle!$I$11,regle!$I$23,
IF(S213=regle!$J$11,regle!$J$23,
IF(S213=regle!$K$11,regle!$K$23,0))))))))))))</f>
        <v>2480.6016000000004</v>
      </c>
      <c r="AD213" s="17">
        <f>IF($A213,$J213*(IF(T213=regle!$B$11,regle!$B$23*IF(AM213=-2,1+regle!$B$35,1),
IF(T213=regle!$C$11,regle!$C$23,
IF(T213=regle!$D$11,regle!$D$23,
IF(T213=regle!$E$11,regle!$E$23,
IF(T213=regle!$F$11,regle!$F$23,
IF(T213=regle!$G$11,regle!$G$23,
IF(T213=regle!$H$11,regle!$H$23,
IF(T213=regle!$I$11,regle!$I$23,
IF(T213=regle!$J$11,regle!$J$23,
IF(T213=regle!$K$11,regle!$K$23,0))))))))))))</f>
        <v>0</v>
      </c>
      <c r="AE213" s="17">
        <f>IF($A213,$J213*(IF(U213=regle!$B$11,regle!$B$23*IF(AN213=-2,1+regle!$B$35,1),
IF(U213=regle!$C$11,regle!$C$23,
IF(U213=regle!$D$11,regle!$D$23,
IF(U213=regle!$E$11,regle!$E$23,
IF(U213=regle!$F$11,regle!$F$23,
IF(U213=regle!$G$11,regle!$G$23,
IF(U213=regle!$H$11,regle!$H$23,
IF(U213=regle!$I$11,regle!$I$23,
IF(U213=regle!$J$11,regle!$J$23,
IF(U213=regle!$K$11,regle!$K$23,0))))))))))))</f>
        <v>0</v>
      </c>
      <c r="AF213" s="17">
        <f>IF($A213,$J213*(IF(V213=regle!$B$11,regle!$B$23*IF(AO213=-2,1+regle!$B$35,1),
IF(V213=regle!$C$11,regle!$C$23,
IF(V213=regle!$D$11,regle!$D$23,
IF(V213=regle!$E$11,regle!$E$23,
IF(V213=regle!$F$11,regle!$F$23,
IF(V213=regle!$G$11,regle!$G$23,
IF(V213=regle!$H$11,regle!$H$23,
IF(V213=regle!$I$11,regle!$I$23,
IF(V213=regle!$J$11,regle!$J$23,
IF(V213=regle!$K$11,regle!$K$23,0))))))))))))</f>
        <v>0</v>
      </c>
      <c r="AG213" s="17">
        <f>IF($A213,$J213*(IF(W213=regle!$B$11,regle!$B$23*IF(AP213=-2,1+regle!$B$35,1),
IF(W213=regle!$C$11,regle!$C$23,
IF(W213=regle!$D$11,regle!$D$23,
IF(W213=regle!$E$11,regle!$E$23,
IF(W213=regle!$F$11,regle!$F$23,
IF(W213=regle!$G$11,regle!$G$23,
IF(W213=regle!$H$11,regle!$H$23,
IF(W213=regle!$I$11,regle!$I$23,
IF(W213=regle!$J$11,regle!$J$23,
IF(W213=regle!$K$11,regle!$K$23,0))))))))))))</f>
        <v>0</v>
      </c>
      <c r="AH213" s="17">
        <f>IF($A213,$J213*(IF(X213=regle!$B$11,regle!$B$23*IF(AQ213=-2,1+regle!$B$35,1),
IF(X213=regle!$C$11,regle!$C$23,
IF(X213=regle!$D$11,regle!$D$23,
IF(X213=regle!$E$11,regle!$E$23,
IF(X213=regle!$F$11,regle!$F$23,
IF(X213=regle!$G$11,regle!$G$23,
IF(X213=regle!$H$11,regle!$H$23,
IF(X213=regle!$I$11,regle!$I$23,
IF(X213=regle!$J$11,regle!$J$23,
IF(X213=regle!$K$11,regle!$K$23,0))))))))))))</f>
        <v>3617.5440000000003</v>
      </c>
      <c r="AI213" s="17">
        <f>IF($A213,$J213*(IF(Y213=regle!$B$11,regle!$B$23*IF(AR213=-2,1+regle!$B$35,1),
IF(Y213=regle!$C$11,regle!$C$23,
IF(Y213=regle!$D$11,regle!$D$23,
IF(Y213=regle!$E$11,regle!$E$23,
IF(Y213=regle!$F$11,regle!$F$23,
IF(Y213=regle!$G$11,regle!$G$23,
IF(Y213=regle!$H$11,regle!$H$23,
IF(Y213=regle!$I$11,regle!$I$23,
IF(Y213=regle!$J$11,regle!$J$23,
IF(Y213=regle!$K$11,regle!$K$23,0))))))))))))</f>
        <v>0</v>
      </c>
      <c r="AJ213" s="17">
        <f>IF($A213,$J213*(IF(Z213=regle!$B$11,regle!$B$23*IF(AS213=-2,1+regle!$B$35,1),
IF(Z213=regle!$C$11,regle!$C$23,
IF(Z213=regle!$D$11,regle!$D$23,
IF(Z213=regle!$E$11,regle!$E$23,
IF(Z213=regle!$F$11,regle!$F$23,
IF(Z213=regle!$G$11,regle!$G$23,
IF(Z213=regle!$H$11,regle!$H$23,
IF(Z213=regle!$I$11,regle!$I$23,
IF(Z213=regle!$J$11,regle!$J$23,
IF(Z213=regle!$K$11,regle!$K$23,0))))))))))))</f>
        <v>0</v>
      </c>
      <c r="AK213" s="16">
        <f>IF(OR(Q213=regle!$J$11,Q213=regle!$K$11),-2,IF(Q213=regle!$B$11,0,IF(AK$1=$AK$1,IF($O213,-1,regle!$B$2-$M213),IF(AJ213=-1,-1,AJ213+1))))</f>
        <v>10</v>
      </c>
      <c r="AL213" s="16">
        <f>IF(OR(R213=regle!$J$11,R213=regle!$K$11),-2,IF(R213=regle!$B$11,0,IF(AL$1=$AK$1,IF($O213,-1,regle!$B$2-$M213),IF(AK213=-1,-1,AK213+1))))</f>
        <v>11</v>
      </c>
      <c r="AM213" s="16">
        <f>IF(OR(S213=regle!$J$11,S213=regle!$K$11),-2,IF(S213=regle!$B$11,0,IF(AM$1=$AK$1,IF($O213,-1,regle!$B$2-$M213),IF(AL213=-1,-1,AL213+1))))</f>
        <v>12</v>
      </c>
      <c r="AN213" s="16">
        <f>IF(OR(T213=regle!$J$11,T213=regle!$K$11),-2,IF(T213=regle!$B$11,0,IF(AN$1=$AK$1,IF($O213,-1,regle!$B$2-$M213),IF(AM213=-1,-1,AM213+1))))</f>
        <v>13</v>
      </c>
      <c r="AO213" s="16">
        <f>IF(OR(U213=regle!$J$11,U213=regle!$K$11),-2,IF(U213=regle!$B$11,0,IF(AO$1=$AK$1,IF($O213,-1,regle!$B$2-$M213),IF(AN213=-1,-1,AN213+1))))</f>
        <v>14</v>
      </c>
      <c r="AP213" s="16">
        <f>IF(OR(V213=regle!$J$11,V213=regle!$K$11),-2,IF(V213=regle!$B$11,0,IF(AP$1=$AK$1,IF($O213,-1,regle!$B$2-$M213),IF(AO213=-1,-1,AO213+1))))</f>
        <v>15</v>
      </c>
      <c r="AQ213" s="16">
        <f>IF(OR(W213=regle!$J$11,W213=regle!$K$11),-2,IF(W213=regle!$B$11,0,IF(AQ$1=$AK$1,IF($O213,-1,regle!$B$2-$M213),IF(AP213=-1,-1,AP213+1))))</f>
        <v>16</v>
      </c>
      <c r="AR213" s="16">
        <f>IF(OR(X213=regle!$J$11,X213=regle!$K$11),-2,IF(X213=regle!$B$11,0,IF(AR$1=$AK$1,IF($O213,-1,regle!$B$2-$M213),IF(AQ213=-1,-1,AQ213+1))))</f>
        <v>17</v>
      </c>
      <c r="AS213" s="16">
        <f>IF(OR(Y213=regle!$J$11,Y213=regle!$K$11),-2,IF(Y213=regle!$B$11,0,IF(AS$1=$AK$1,IF($O213,-1,regle!$B$2-$M213),IF(AR213=-1,-1,AR213+1))))</f>
        <v>18</v>
      </c>
      <c r="AT213" s="16">
        <f>IF(OR(Z213=regle!$J$11,Z213=regle!$K$11),-2,IF(Z213=regle!$B$11,0,IF(AT$1=$AK$1,IF($O213,-1,regle!$B$2-$M213),IF(AS213=-1,-1,AS213+1))))</f>
        <v>19</v>
      </c>
    </row>
    <row r="214" spans="1:46" x14ac:dyDescent="0.25">
      <c r="A214" t="b">
        <f>modif0!A358</f>
        <v>1</v>
      </c>
      <c r="B214">
        <f>ROW(modif0!B358)</f>
        <v>358</v>
      </c>
      <c r="C214" t="str">
        <f>modif0!D358</f>
        <v>200</v>
      </c>
      <c r="D214" t="str">
        <f>modif0!E358</f>
        <v>MOUSTEY</v>
      </c>
      <c r="E214">
        <f>modif0!F358</f>
        <v>4</v>
      </c>
      <c r="F214" t="str">
        <f>modif0!G358</f>
        <v>Kycs</v>
      </c>
      <c r="G214" t="str">
        <f>modif0!I358</f>
        <v>0M</v>
      </c>
      <c r="H214">
        <f>modif0!J358</f>
        <v>71</v>
      </c>
      <c r="I214" t="str">
        <f>modif0!K358</f>
        <v>l</v>
      </c>
      <c r="J214" s="11">
        <f>modif0!M358</f>
        <v>3.3746999999999998</v>
      </c>
      <c r="K214" s="11" t="str">
        <f>modif0!P358</f>
        <v>PLA</v>
      </c>
      <c r="L214" t="str">
        <f>modif0!N358</f>
        <v>PM</v>
      </c>
      <c r="M214">
        <f>modif0!Q358</f>
        <v>2014</v>
      </c>
      <c r="N214" t="str">
        <f>modif0!R358</f>
        <v>PLA-PM_2014</v>
      </c>
      <c r="O214" t="b">
        <f>modif0!S358</f>
        <v>0</v>
      </c>
      <c r="P214">
        <v>40</v>
      </c>
      <c r="S214" t="s">
        <v>1803</v>
      </c>
      <c r="X214" t="s">
        <v>1804</v>
      </c>
      <c r="AA214" s="17">
        <f>IF($A214,$J214*(IF(Q214=regle!$B$11,regle!$B$23*IF(AJ214=-2,1+regle!$B$35,1),
IF(Q214=regle!$C$11,regle!$C$23,
IF(Q214=regle!$D$11,regle!$D$23,
IF(Q214=regle!$E$11,regle!$E$23,
IF(Q214=regle!$F$11,regle!$F$23,
IF(Q214=regle!$G$11,regle!$G$23,
IF(Q214=regle!$H$11,regle!$H$23,
IF(Q214=regle!$I$11,regle!$I$23,
IF(Q214=regle!$J$11,regle!$J$23,
IF(Q214=regle!$K$11,regle!$K$23,0))))))))))))</f>
        <v>0</v>
      </c>
      <c r="AB214" s="17">
        <f>IF($A214,$J214*(IF(R214=regle!$B$11,regle!$B$23*IF(AK214=-2,1+regle!$B$35,1),
IF(R214=regle!$C$11,regle!$C$23,
IF(R214=regle!$D$11,regle!$D$23,
IF(R214=regle!$E$11,regle!$E$23,
IF(R214=regle!$F$11,regle!$F$23,
IF(R214=regle!$G$11,regle!$G$23,
IF(R214=regle!$H$11,regle!$H$23,
IF(R214=regle!$I$11,regle!$I$23,
IF(R214=regle!$J$11,regle!$J$23,
IF(R214=regle!$K$11,regle!$K$23,0))))))))))))</f>
        <v>0</v>
      </c>
      <c r="AC214" s="17">
        <f>IF($A214,$J214*(IF(S214=regle!$B$11,regle!$B$23*IF(AL214=-2,1+regle!$B$35,1),
IF(S214=regle!$C$11,regle!$C$23,
IF(S214=regle!$D$11,regle!$D$23,
IF(S214=regle!$E$11,regle!$E$23,
IF(S214=regle!$F$11,regle!$F$23,
IF(S214=regle!$G$11,regle!$G$23,
IF(S214=regle!$H$11,regle!$H$23,
IF(S214=regle!$I$11,regle!$I$23,
IF(S214=regle!$J$11,regle!$J$23,
IF(S214=regle!$K$11,regle!$K$23,0))))))))))))</f>
        <v>1943.8271999999999</v>
      </c>
      <c r="AD214" s="17">
        <f>IF($A214,$J214*(IF(T214=regle!$B$11,regle!$B$23*IF(AM214=-2,1+regle!$B$35,1),
IF(T214=regle!$C$11,regle!$C$23,
IF(T214=regle!$D$11,regle!$D$23,
IF(T214=regle!$E$11,regle!$E$23,
IF(T214=regle!$F$11,regle!$F$23,
IF(T214=regle!$G$11,regle!$G$23,
IF(T214=regle!$H$11,regle!$H$23,
IF(T214=regle!$I$11,regle!$I$23,
IF(T214=regle!$J$11,regle!$J$23,
IF(T214=regle!$K$11,regle!$K$23,0))))))))))))</f>
        <v>0</v>
      </c>
      <c r="AE214" s="17">
        <f>IF($A214,$J214*(IF(U214=regle!$B$11,regle!$B$23*IF(AN214=-2,1+regle!$B$35,1),
IF(U214=regle!$C$11,regle!$C$23,
IF(U214=regle!$D$11,regle!$D$23,
IF(U214=regle!$E$11,regle!$E$23,
IF(U214=regle!$F$11,regle!$F$23,
IF(U214=regle!$G$11,regle!$G$23,
IF(U214=regle!$H$11,regle!$H$23,
IF(U214=regle!$I$11,regle!$I$23,
IF(U214=regle!$J$11,regle!$J$23,
IF(U214=regle!$K$11,regle!$K$23,0))))))))))))</f>
        <v>0</v>
      </c>
      <c r="AF214" s="17">
        <f>IF($A214,$J214*(IF(V214=regle!$B$11,regle!$B$23*IF(AO214=-2,1+regle!$B$35,1),
IF(V214=regle!$C$11,regle!$C$23,
IF(V214=regle!$D$11,regle!$D$23,
IF(V214=regle!$E$11,regle!$E$23,
IF(V214=regle!$F$11,regle!$F$23,
IF(V214=regle!$G$11,regle!$G$23,
IF(V214=regle!$H$11,regle!$H$23,
IF(V214=regle!$I$11,regle!$I$23,
IF(V214=regle!$J$11,regle!$J$23,
IF(V214=regle!$K$11,regle!$K$23,0))))))))))))</f>
        <v>0</v>
      </c>
      <c r="AG214" s="17">
        <f>IF($A214,$J214*(IF(W214=regle!$B$11,regle!$B$23*IF(AP214=-2,1+regle!$B$35,1),
IF(W214=regle!$C$11,regle!$C$23,
IF(W214=regle!$D$11,regle!$D$23,
IF(W214=regle!$E$11,regle!$E$23,
IF(W214=regle!$F$11,regle!$F$23,
IF(W214=regle!$G$11,regle!$G$23,
IF(W214=regle!$H$11,regle!$H$23,
IF(W214=regle!$I$11,regle!$I$23,
IF(W214=regle!$J$11,regle!$J$23,
IF(W214=regle!$K$11,regle!$K$23,0))))))))))))</f>
        <v>0</v>
      </c>
      <c r="AH214" s="17">
        <f>IF($A214,$J214*(IF(X214=regle!$B$11,regle!$B$23*IF(AQ214=-2,1+regle!$B$35,1),
IF(X214=regle!$C$11,regle!$C$23,
IF(X214=regle!$D$11,regle!$D$23,
IF(X214=regle!$E$11,regle!$E$23,
IF(X214=regle!$F$11,regle!$F$23,
IF(X214=regle!$G$11,regle!$G$23,
IF(X214=regle!$H$11,regle!$H$23,
IF(X214=regle!$I$11,regle!$I$23,
IF(X214=regle!$J$11,regle!$J$23,
IF(X214=regle!$K$11,regle!$K$23,0))))))))))))</f>
        <v>2834.748</v>
      </c>
      <c r="AI214" s="17">
        <f>IF($A214,$J214*(IF(Y214=regle!$B$11,regle!$B$23*IF(AR214=-2,1+regle!$B$35,1),
IF(Y214=regle!$C$11,regle!$C$23,
IF(Y214=regle!$D$11,regle!$D$23,
IF(Y214=regle!$E$11,regle!$E$23,
IF(Y214=regle!$F$11,regle!$F$23,
IF(Y214=regle!$G$11,regle!$G$23,
IF(Y214=regle!$H$11,regle!$H$23,
IF(Y214=regle!$I$11,regle!$I$23,
IF(Y214=regle!$J$11,regle!$J$23,
IF(Y214=regle!$K$11,regle!$K$23,0))))))))))))</f>
        <v>0</v>
      </c>
      <c r="AJ214" s="17">
        <f>IF($A214,$J214*(IF(Z214=regle!$B$11,regle!$B$23*IF(AS214=-2,1+regle!$B$35,1),
IF(Z214=regle!$C$11,regle!$C$23,
IF(Z214=regle!$D$11,regle!$D$23,
IF(Z214=regle!$E$11,regle!$E$23,
IF(Z214=regle!$F$11,regle!$F$23,
IF(Z214=regle!$G$11,regle!$G$23,
IF(Z214=regle!$H$11,regle!$H$23,
IF(Z214=regle!$I$11,regle!$I$23,
IF(Z214=regle!$J$11,regle!$J$23,
IF(Z214=regle!$K$11,regle!$K$23,0))))))))))))</f>
        <v>0</v>
      </c>
      <c r="AK214" s="16">
        <f>IF(OR(Q214=regle!$J$11,Q214=regle!$K$11),-2,IF(Q214=regle!$B$11,0,IF(AK$1=$AK$1,IF($O214,-1,regle!$B$2-$M214),IF(AJ214=-1,-1,AJ214+1))))</f>
        <v>10</v>
      </c>
      <c r="AL214" s="16">
        <f>IF(OR(R214=regle!$J$11,R214=regle!$K$11),-2,IF(R214=regle!$B$11,0,IF(AL$1=$AK$1,IF($O214,-1,regle!$B$2-$M214),IF(AK214=-1,-1,AK214+1))))</f>
        <v>11</v>
      </c>
      <c r="AM214" s="16">
        <f>IF(OR(S214=regle!$J$11,S214=regle!$K$11),-2,IF(S214=regle!$B$11,0,IF(AM$1=$AK$1,IF($O214,-1,regle!$B$2-$M214),IF(AL214=-1,-1,AL214+1))))</f>
        <v>12</v>
      </c>
      <c r="AN214" s="16">
        <f>IF(OR(T214=regle!$J$11,T214=regle!$K$11),-2,IF(T214=regle!$B$11,0,IF(AN$1=$AK$1,IF($O214,-1,regle!$B$2-$M214),IF(AM214=-1,-1,AM214+1))))</f>
        <v>13</v>
      </c>
      <c r="AO214" s="16">
        <f>IF(OR(U214=regle!$J$11,U214=regle!$K$11),-2,IF(U214=regle!$B$11,0,IF(AO$1=$AK$1,IF($O214,-1,regle!$B$2-$M214),IF(AN214=-1,-1,AN214+1))))</f>
        <v>14</v>
      </c>
      <c r="AP214" s="16">
        <f>IF(OR(V214=regle!$J$11,V214=regle!$K$11),-2,IF(V214=regle!$B$11,0,IF(AP$1=$AK$1,IF($O214,-1,regle!$B$2-$M214),IF(AO214=-1,-1,AO214+1))))</f>
        <v>15</v>
      </c>
      <c r="AQ214" s="16">
        <f>IF(OR(W214=regle!$J$11,W214=regle!$K$11),-2,IF(W214=regle!$B$11,0,IF(AQ$1=$AK$1,IF($O214,-1,regle!$B$2-$M214),IF(AP214=-1,-1,AP214+1))))</f>
        <v>16</v>
      </c>
      <c r="AR214" s="16">
        <f>IF(OR(X214=regle!$J$11,X214=regle!$K$11),-2,IF(X214=regle!$B$11,0,IF(AR$1=$AK$1,IF($O214,-1,regle!$B$2-$M214),IF(AQ214=-1,-1,AQ214+1))))</f>
        <v>17</v>
      </c>
      <c r="AS214" s="16">
        <f>IF(OR(Y214=regle!$J$11,Y214=regle!$K$11),-2,IF(Y214=regle!$B$11,0,IF(AS$1=$AK$1,IF($O214,-1,regle!$B$2-$M214),IF(AR214=-1,-1,AR214+1))))</f>
        <v>18</v>
      </c>
      <c r="AT214" s="16">
        <f>IF(OR(Z214=regle!$J$11,Z214=regle!$K$11),-2,IF(Z214=regle!$B$11,0,IF(AT$1=$AK$1,IF($O214,-1,regle!$B$2-$M214),IF(AS214=-1,-1,AS214+1))))</f>
        <v>19</v>
      </c>
    </row>
    <row r="215" spans="1:46" x14ac:dyDescent="0.25">
      <c r="A215" t="b">
        <f>modif0!A355</f>
        <v>1</v>
      </c>
      <c r="B215">
        <f>ROW(modif0!B355)</f>
        <v>355</v>
      </c>
      <c r="C215" t="str">
        <f>modif0!D355</f>
        <v>200</v>
      </c>
      <c r="D215" t="str">
        <f>modif0!E355</f>
        <v>MOUSTEY</v>
      </c>
      <c r="E215">
        <f>modif0!F355</f>
        <v>12</v>
      </c>
      <c r="F215" t="str">
        <f>modif0!G355</f>
        <v>Lesbarreyres</v>
      </c>
      <c r="G215" t="str">
        <f>modif0!I355</f>
        <v>0M</v>
      </c>
      <c r="H215">
        <f>modif0!J355</f>
        <v>66</v>
      </c>
      <c r="I215" t="str">
        <f>modif0!K355</f>
        <v>b</v>
      </c>
      <c r="J215" s="11">
        <f>modif0!M355</f>
        <v>2.8188</v>
      </c>
      <c r="K215" s="11" t="str">
        <f>modif0!P355</f>
        <v>PLA</v>
      </c>
      <c r="L215" t="str">
        <f>modif0!N355</f>
        <v>PM</v>
      </c>
      <c r="M215">
        <f>modif0!Q355</f>
        <v>2014</v>
      </c>
      <c r="N215" t="str">
        <f>modif0!R355</f>
        <v>PLA-PM_2014</v>
      </c>
      <c r="O215" t="b">
        <f>modif0!S355</f>
        <v>0</v>
      </c>
      <c r="P215">
        <v>40</v>
      </c>
      <c r="S215" t="s">
        <v>1803</v>
      </c>
      <c r="X215" t="s">
        <v>1804</v>
      </c>
      <c r="AA215" s="17">
        <f>IF($A215,$J215*(IF(Q215=regle!$B$11,regle!$B$23*IF(AJ215=-2,1+regle!$B$35,1),
IF(Q215=regle!$C$11,regle!$C$23,
IF(Q215=regle!$D$11,regle!$D$23,
IF(Q215=regle!$E$11,regle!$E$23,
IF(Q215=regle!$F$11,regle!$F$23,
IF(Q215=regle!$G$11,regle!$G$23,
IF(Q215=regle!$H$11,regle!$H$23,
IF(Q215=regle!$I$11,regle!$I$23,
IF(Q215=regle!$J$11,regle!$J$23,
IF(Q215=regle!$K$11,regle!$K$23,0))))))))))))</f>
        <v>0</v>
      </c>
      <c r="AB215" s="17">
        <f>IF($A215,$J215*(IF(R215=regle!$B$11,regle!$B$23*IF(AK215=-2,1+regle!$B$35,1),
IF(R215=regle!$C$11,regle!$C$23,
IF(R215=regle!$D$11,regle!$D$23,
IF(R215=regle!$E$11,regle!$E$23,
IF(R215=regle!$F$11,regle!$F$23,
IF(R215=regle!$G$11,regle!$G$23,
IF(R215=regle!$H$11,regle!$H$23,
IF(R215=regle!$I$11,regle!$I$23,
IF(R215=regle!$J$11,regle!$J$23,
IF(R215=regle!$K$11,regle!$K$23,0))))))))))))</f>
        <v>0</v>
      </c>
      <c r="AC215" s="17">
        <f>IF($A215,$J215*(IF(S215=regle!$B$11,regle!$B$23*IF(AL215=-2,1+regle!$B$35,1),
IF(S215=regle!$C$11,regle!$C$23,
IF(S215=regle!$D$11,regle!$D$23,
IF(S215=regle!$E$11,regle!$E$23,
IF(S215=regle!$F$11,regle!$F$23,
IF(S215=regle!$G$11,regle!$G$23,
IF(S215=regle!$H$11,regle!$H$23,
IF(S215=regle!$I$11,regle!$I$23,
IF(S215=regle!$J$11,regle!$J$23,
IF(S215=regle!$K$11,regle!$K$23,0))))))))))))</f>
        <v>1623.6288</v>
      </c>
      <c r="AD215" s="17">
        <f>IF($A215,$J215*(IF(T215=regle!$B$11,regle!$B$23*IF(AM215=-2,1+regle!$B$35,1),
IF(T215=regle!$C$11,regle!$C$23,
IF(T215=regle!$D$11,regle!$D$23,
IF(T215=regle!$E$11,regle!$E$23,
IF(T215=regle!$F$11,regle!$F$23,
IF(T215=regle!$G$11,regle!$G$23,
IF(T215=regle!$H$11,regle!$H$23,
IF(T215=regle!$I$11,regle!$I$23,
IF(T215=regle!$J$11,regle!$J$23,
IF(T215=regle!$K$11,regle!$K$23,0))))))))))))</f>
        <v>0</v>
      </c>
      <c r="AE215" s="17">
        <f>IF($A215,$J215*(IF(U215=regle!$B$11,regle!$B$23*IF(AN215=-2,1+regle!$B$35,1),
IF(U215=regle!$C$11,regle!$C$23,
IF(U215=regle!$D$11,regle!$D$23,
IF(U215=regle!$E$11,regle!$E$23,
IF(U215=regle!$F$11,regle!$F$23,
IF(U215=regle!$G$11,regle!$G$23,
IF(U215=regle!$H$11,regle!$H$23,
IF(U215=regle!$I$11,regle!$I$23,
IF(U215=regle!$J$11,regle!$J$23,
IF(U215=regle!$K$11,regle!$K$23,0))))))))))))</f>
        <v>0</v>
      </c>
      <c r="AF215" s="17">
        <f>IF($A215,$J215*(IF(V215=regle!$B$11,regle!$B$23*IF(AO215=-2,1+regle!$B$35,1),
IF(V215=regle!$C$11,regle!$C$23,
IF(V215=regle!$D$11,regle!$D$23,
IF(V215=regle!$E$11,regle!$E$23,
IF(V215=regle!$F$11,regle!$F$23,
IF(V215=regle!$G$11,regle!$G$23,
IF(V215=regle!$H$11,regle!$H$23,
IF(V215=regle!$I$11,regle!$I$23,
IF(V215=regle!$J$11,regle!$J$23,
IF(V215=regle!$K$11,regle!$K$23,0))))))))))))</f>
        <v>0</v>
      </c>
      <c r="AG215" s="17">
        <f>IF($A215,$J215*(IF(W215=regle!$B$11,regle!$B$23*IF(AP215=-2,1+regle!$B$35,1),
IF(W215=regle!$C$11,regle!$C$23,
IF(W215=regle!$D$11,regle!$D$23,
IF(W215=regle!$E$11,regle!$E$23,
IF(W215=regle!$F$11,regle!$F$23,
IF(W215=regle!$G$11,regle!$G$23,
IF(W215=regle!$H$11,regle!$H$23,
IF(W215=regle!$I$11,regle!$I$23,
IF(W215=regle!$J$11,regle!$J$23,
IF(W215=regle!$K$11,regle!$K$23,0))))))))))))</f>
        <v>0</v>
      </c>
      <c r="AH215" s="17">
        <f>IF($A215,$J215*(IF(X215=regle!$B$11,regle!$B$23*IF(AQ215=-2,1+regle!$B$35,1),
IF(X215=regle!$C$11,regle!$C$23,
IF(X215=regle!$D$11,regle!$D$23,
IF(X215=regle!$E$11,regle!$E$23,
IF(X215=regle!$F$11,regle!$F$23,
IF(X215=regle!$G$11,regle!$G$23,
IF(X215=regle!$H$11,regle!$H$23,
IF(X215=regle!$I$11,regle!$I$23,
IF(X215=regle!$J$11,regle!$J$23,
IF(X215=regle!$K$11,regle!$K$23,0))))))))))))</f>
        <v>2367.7919999999999</v>
      </c>
      <c r="AI215" s="17">
        <f>IF($A215,$J215*(IF(Y215=regle!$B$11,regle!$B$23*IF(AR215=-2,1+regle!$B$35,1),
IF(Y215=regle!$C$11,regle!$C$23,
IF(Y215=regle!$D$11,regle!$D$23,
IF(Y215=regle!$E$11,regle!$E$23,
IF(Y215=regle!$F$11,regle!$F$23,
IF(Y215=regle!$G$11,regle!$G$23,
IF(Y215=regle!$H$11,regle!$H$23,
IF(Y215=regle!$I$11,regle!$I$23,
IF(Y215=regle!$J$11,regle!$J$23,
IF(Y215=regle!$K$11,regle!$K$23,0))))))))))))</f>
        <v>0</v>
      </c>
      <c r="AJ215" s="17">
        <f>IF($A215,$J215*(IF(Z215=regle!$B$11,regle!$B$23*IF(AS215=-2,1+regle!$B$35,1),
IF(Z215=regle!$C$11,regle!$C$23,
IF(Z215=regle!$D$11,regle!$D$23,
IF(Z215=regle!$E$11,regle!$E$23,
IF(Z215=regle!$F$11,regle!$F$23,
IF(Z215=regle!$G$11,regle!$G$23,
IF(Z215=regle!$H$11,regle!$H$23,
IF(Z215=regle!$I$11,regle!$I$23,
IF(Z215=regle!$J$11,regle!$J$23,
IF(Z215=regle!$K$11,regle!$K$23,0))))))))))))</f>
        <v>0</v>
      </c>
      <c r="AK215" s="16">
        <f>IF(OR(Q215=regle!$J$11,Q215=regle!$K$11),-2,IF(Q215=regle!$B$11,0,IF(AK$1=$AK$1,IF($O215,-1,regle!$B$2-$M215),IF(AJ215=-1,-1,AJ215+1))))</f>
        <v>10</v>
      </c>
      <c r="AL215" s="16">
        <f>IF(OR(R215=regle!$J$11,R215=regle!$K$11),-2,IF(R215=regle!$B$11,0,IF(AL$1=$AK$1,IF($O215,-1,regle!$B$2-$M215),IF(AK215=-1,-1,AK215+1))))</f>
        <v>11</v>
      </c>
      <c r="AM215" s="16">
        <f>IF(OR(S215=regle!$J$11,S215=regle!$K$11),-2,IF(S215=regle!$B$11,0,IF(AM$1=$AK$1,IF($O215,-1,regle!$B$2-$M215),IF(AL215=-1,-1,AL215+1))))</f>
        <v>12</v>
      </c>
      <c r="AN215" s="16">
        <f>IF(OR(T215=regle!$J$11,T215=regle!$K$11),-2,IF(T215=regle!$B$11,0,IF(AN$1=$AK$1,IF($O215,-1,regle!$B$2-$M215),IF(AM215=-1,-1,AM215+1))))</f>
        <v>13</v>
      </c>
      <c r="AO215" s="16">
        <f>IF(OR(U215=regle!$J$11,U215=regle!$K$11),-2,IF(U215=regle!$B$11,0,IF(AO$1=$AK$1,IF($O215,-1,regle!$B$2-$M215),IF(AN215=-1,-1,AN215+1))))</f>
        <v>14</v>
      </c>
      <c r="AP215" s="16">
        <f>IF(OR(V215=regle!$J$11,V215=regle!$K$11),-2,IF(V215=regle!$B$11,0,IF(AP$1=$AK$1,IF($O215,-1,regle!$B$2-$M215),IF(AO215=-1,-1,AO215+1))))</f>
        <v>15</v>
      </c>
      <c r="AQ215" s="16">
        <f>IF(OR(W215=regle!$J$11,W215=regle!$K$11),-2,IF(W215=regle!$B$11,0,IF(AQ$1=$AK$1,IF($O215,-1,regle!$B$2-$M215),IF(AP215=-1,-1,AP215+1))))</f>
        <v>16</v>
      </c>
      <c r="AR215" s="16">
        <f>IF(OR(X215=regle!$J$11,X215=regle!$K$11),-2,IF(X215=regle!$B$11,0,IF(AR$1=$AK$1,IF($O215,-1,regle!$B$2-$M215),IF(AQ215=-1,-1,AQ215+1))))</f>
        <v>17</v>
      </c>
      <c r="AS215" s="16">
        <f>IF(OR(Y215=regle!$J$11,Y215=regle!$K$11),-2,IF(Y215=regle!$B$11,0,IF(AS$1=$AK$1,IF($O215,-1,regle!$B$2-$M215),IF(AR215=-1,-1,AR215+1))))</f>
        <v>18</v>
      </c>
      <c r="AT215" s="16">
        <f>IF(OR(Z215=regle!$J$11,Z215=regle!$K$11),-2,IF(Z215=regle!$B$11,0,IF(AT$1=$AK$1,IF($O215,-1,regle!$B$2-$M215),IF(AS215=-1,-1,AS215+1))))</f>
        <v>19</v>
      </c>
    </row>
    <row r="216" spans="1:46" x14ac:dyDescent="0.25">
      <c r="A216" t="b">
        <f>modif0!A351</f>
        <v>1</v>
      </c>
      <c r="B216">
        <f>ROW(modif0!B351)</f>
        <v>351</v>
      </c>
      <c r="C216" t="str">
        <f>modif0!D351</f>
        <v>200</v>
      </c>
      <c r="D216" t="str">
        <f>modif0!E351</f>
        <v>MOUSTEY</v>
      </c>
      <c r="E216">
        <f>modif0!F351</f>
        <v>4</v>
      </c>
      <c r="F216" t="str">
        <f>modif0!G351</f>
        <v>Kycs</v>
      </c>
      <c r="G216" t="str">
        <f>modif0!I351</f>
        <v>0M</v>
      </c>
      <c r="H216">
        <f>modif0!J351</f>
        <v>43</v>
      </c>
      <c r="I216" t="str">
        <f>modif0!K351</f>
        <v/>
      </c>
      <c r="J216" s="11">
        <f>modif0!M351</f>
        <v>1.52</v>
      </c>
      <c r="K216" s="11" t="str">
        <f>modif0!P351</f>
        <v>PLA</v>
      </c>
      <c r="L216" t="str">
        <f>modif0!N351</f>
        <v>PM</v>
      </c>
      <c r="M216">
        <f>modif0!Q351</f>
        <v>2014</v>
      </c>
      <c r="N216" t="str">
        <f>modif0!R351</f>
        <v>PLA-PM_2014</v>
      </c>
      <c r="O216" t="b">
        <f>modif0!S351</f>
        <v>0</v>
      </c>
      <c r="P216">
        <v>40</v>
      </c>
      <c r="S216" t="s">
        <v>1803</v>
      </c>
      <c r="X216" t="s">
        <v>1804</v>
      </c>
      <c r="AA216" s="17">
        <f>IF($A216,$J216*(IF(Q216=regle!$B$11,regle!$B$23*IF(AJ216=-2,1+regle!$B$35,1),
IF(Q216=regle!$C$11,regle!$C$23,
IF(Q216=regle!$D$11,regle!$D$23,
IF(Q216=regle!$E$11,regle!$E$23,
IF(Q216=regle!$F$11,regle!$F$23,
IF(Q216=regle!$G$11,regle!$G$23,
IF(Q216=regle!$H$11,regle!$H$23,
IF(Q216=regle!$I$11,regle!$I$23,
IF(Q216=regle!$J$11,regle!$J$23,
IF(Q216=regle!$K$11,regle!$K$23,0))))))))))))</f>
        <v>0</v>
      </c>
      <c r="AB216" s="17">
        <f>IF($A216,$J216*(IF(R216=regle!$B$11,regle!$B$23*IF(AK216=-2,1+regle!$B$35,1),
IF(R216=regle!$C$11,regle!$C$23,
IF(R216=regle!$D$11,regle!$D$23,
IF(R216=regle!$E$11,regle!$E$23,
IF(R216=regle!$F$11,regle!$F$23,
IF(R216=regle!$G$11,regle!$G$23,
IF(R216=regle!$H$11,regle!$H$23,
IF(R216=regle!$I$11,regle!$I$23,
IF(R216=regle!$J$11,regle!$J$23,
IF(R216=regle!$K$11,regle!$K$23,0))))))))))))</f>
        <v>0</v>
      </c>
      <c r="AC216" s="17">
        <f>IF($A216,$J216*(IF(S216=regle!$B$11,regle!$B$23*IF(AL216=-2,1+regle!$B$35,1),
IF(S216=regle!$C$11,regle!$C$23,
IF(S216=regle!$D$11,regle!$D$23,
IF(S216=regle!$E$11,regle!$E$23,
IF(S216=regle!$F$11,regle!$F$23,
IF(S216=regle!$G$11,regle!$G$23,
IF(S216=regle!$H$11,regle!$H$23,
IF(S216=regle!$I$11,regle!$I$23,
IF(S216=regle!$J$11,regle!$J$23,
IF(S216=regle!$K$11,regle!$K$23,0))))))))))))</f>
        <v>875.52</v>
      </c>
      <c r="AD216" s="17">
        <f>IF($A216,$J216*(IF(T216=regle!$B$11,regle!$B$23*IF(AM216=-2,1+regle!$B$35,1),
IF(T216=regle!$C$11,regle!$C$23,
IF(T216=regle!$D$11,regle!$D$23,
IF(T216=regle!$E$11,regle!$E$23,
IF(T216=regle!$F$11,regle!$F$23,
IF(T216=regle!$G$11,regle!$G$23,
IF(T216=regle!$H$11,regle!$H$23,
IF(T216=regle!$I$11,regle!$I$23,
IF(T216=regle!$J$11,regle!$J$23,
IF(T216=regle!$K$11,regle!$K$23,0))))))))))))</f>
        <v>0</v>
      </c>
      <c r="AE216" s="17">
        <f>IF($A216,$J216*(IF(U216=regle!$B$11,regle!$B$23*IF(AN216=-2,1+regle!$B$35,1),
IF(U216=regle!$C$11,regle!$C$23,
IF(U216=regle!$D$11,regle!$D$23,
IF(U216=regle!$E$11,regle!$E$23,
IF(U216=regle!$F$11,regle!$F$23,
IF(U216=regle!$G$11,regle!$G$23,
IF(U216=regle!$H$11,regle!$H$23,
IF(U216=regle!$I$11,regle!$I$23,
IF(U216=regle!$J$11,regle!$J$23,
IF(U216=regle!$K$11,regle!$K$23,0))))))))))))</f>
        <v>0</v>
      </c>
      <c r="AF216" s="17">
        <f>IF($A216,$J216*(IF(V216=regle!$B$11,regle!$B$23*IF(AO216=-2,1+regle!$B$35,1),
IF(V216=regle!$C$11,regle!$C$23,
IF(V216=regle!$D$11,regle!$D$23,
IF(V216=regle!$E$11,regle!$E$23,
IF(V216=regle!$F$11,regle!$F$23,
IF(V216=regle!$G$11,regle!$G$23,
IF(V216=regle!$H$11,regle!$H$23,
IF(V216=regle!$I$11,regle!$I$23,
IF(V216=regle!$J$11,regle!$J$23,
IF(V216=regle!$K$11,regle!$K$23,0))))))))))))</f>
        <v>0</v>
      </c>
      <c r="AG216" s="17">
        <f>IF($A216,$J216*(IF(W216=regle!$B$11,regle!$B$23*IF(AP216=-2,1+regle!$B$35,1),
IF(W216=regle!$C$11,regle!$C$23,
IF(W216=regle!$D$11,regle!$D$23,
IF(W216=regle!$E$11,regle!$E$23,
IF(W216=regle!$F$11,regle!$F$23,
IF(W216=regle!$G$11,regle!$G$23,
IF(W216=regle!$H$11,regle!$H$23,
IF(W216=regle!$I$11,regle!$I$23,
IF(W216=regle!$J$11,regle!$J$23,
IF(W216=regle!$K$11,regle!$K$23,0))))))))))))</f>
        <v>0</v>
      </c>
      <c r="AH216" s="17">
        <f>IF($A216,$J216*(IF(X216=regle!$B$11,regle!$B$23*IF(AQ216=-2,1+regle!$B$35,1),
IF(X216=regle!$C$11,regle!$C$23,
IF(X216=regle!$D$11,regle!$D$23,
IF(X216=regle!$E$11,regle!$E$23,
IF(X216=regle!$F$11,regle!$F$23,
IF(X216=regle!$G$11,regle!$G$23,
IF(X216=regle!$H$11,regle!$H$23,
IF(X216=regle!$I$11,regle!$I$23,
IF(X216=regle!$J$11,regle!$J$23,
IF(X216=regle!$K$11,regle!$K$23,0))))))))))))</f>
        <v>1276.8</v>
      </c>
      <c r="AI216" s="17">
        <f>IF($A216,$J216*(IF(Y216=regle!$B$11,regle!$B$23*IF(AR216=-2,1+regle!$B$35,1),
IF(Y216=regle!$C$11,regle!$C$23,
IF(Y216=regle!$D$11,regle!$D$23,
IF(Y216=regle!$E$11,regle!$E$23,
IF(Y216=regle!$F$11,regle!$F$23,
IF(Y216=regle!$G$11,regle!$G$23,
IF(Y216=regle!$H$11,regle!$H$23,
IF(Y216=regle!$I$11,regle!$I$23,
IF(Y216=regle!$J$11,regle!$J$23,
IF(Y216=regle!$K$11,regle!$K$23,0))))))))))))</f>
        <v>0</v>
      </c>
      <c r="AJ216" s="17">
        <f>IF($A216,$J216*(IF(Z216=regle!$B$11,regle!$B$23*IF(AS216=-2,1+regle!$B$35,1),
IF(Z216=regle!$C$11,regle!$C$23,
IF(Z216=regle!$D$11,regle!$D$23,
IF(Z216=regle!$E$11,regle!$E$23,
IF(Z216=regle!$F$11,regle!$F$23,
IF(Z216=regle!$G$11,regle!$G$23,
IF(Z216=regle!$H$11,regle!$H$23,
IF(Z216=regle!$I$11,regle!$I$23,
IF(Z216=regle!$J$11,regle!$J$23,
IF(Z216=regle!$K$11,regle!$K$23,0))))))))))))</f>
        <v>0</v>
      </c>
      <c r="AK216" s="16">
        <f>IF(OR(Q216=regle!$J$11,Q216=regle!$K$11),-2,IF(Q216=regle!$B$11,0,IF(AK$1=$AK$1,IF($O216,-1,regle!$B$2-$M216),IF(AJ216=-1,-1,AJ216+1))))</f>
        <v>10</v>
      </c>
      <c r="AL216" s="16">
        <f>IF(OR(R216=regle!$J$11,R216=regle!$K$11),-2,IF(R216=regle!$B$11,0,IF(AL$1=$AK$1,IF($O216,-1,regle!$B$2-$M216),IF(AK216=-1,-1,AK216+1))))</f>
        <v>11</v>
      </c>
      <c r="AM216" s="16">
        <f>IF(OR(S216=regle!$J$11,S216=regle!$K$11),-2,IF(S216=regle!$B$11,0,IF(AM$1=$AK$1,IF($O216,-1,regle!$B$2-$M216),IF(AL216=-1,-1,AL216+1))))</f>
        <v>12</v>
      </c>
      <c r="AN216" s="16">
        <f>IF(OR(T216=regle!$J$11,T216=regle!$K$11),-2,IF(T216=regle!$B$11,0,IF(AN$1=$AK$1,IF($O216,-1,regle!$B$2-$M216),IF(AM216=-1,-1,AM216+1))))</f>
        <v>13</v>
      </c>
      <c r="AO216" s="16">
        <f>IF(OR(U216=regle!$J$11,U216=regle!$K$11),-2,IF(U216=regle!$B$11,0,IF(AO$1=$AK$1,IF($O216,-1,regle!$B$2-$M216),IF(AN216=-1,-1,AN216+1))))</f>
        <v>14</v>
      </c>
      <c r="AP216" s="16">
        <f>IF(OR(V216=regle!$J$11,V216=regle!$K$11),-2,IF(V216=regle!$B$11,0,IF(AP$1=$AK$1,IF($O216,-1,regle!$B$2-$M216),IF(AO216=-1,-1,AO216+1))))</f>
        <v>15</v>
      </c>
      <c r="AQ216" s="16">
        <f>IF(OR(W216=regle!$J$11,W216=regle!$K$11),-2,IF(W216=regle!$B$11,0,IF(AQ$1=$AK$1,IF($O216,-1,regle!$B$2-$M216),IF(AP216=-1,-1,AP216+1))))</f>
        <v>16</v>
      </c>
      <c r="AR216" s="16">
        <f>IF(OR(X216=regle!$J$11,X216=regle!$K$11),-2,IF(X216=regle!$B$11,0,IF(AR$1=$AK$1,IF($O216,-1,regle!$B$2-$M216),IF(AQ216=-1,-1,AQ216+1))))</f>
        <v>17</v>
      </c>
      <c r="AS216" s="16">
        <f>IF(OR(Y216=regle!$J$11,Y216=regle!$K$11),-2,IF(Y216=regle!$B$11,0,IF(AS$1=$AK$1,IF($O216,-1,regle!$B$2-$M216),IF(AR216=-1,-1,AR216+1))))</f>
        <v>18</v>
      </c>
      <c r="AT216" s="16">
        <f>IF(OR(Z216=regle!$J$11,Z216=regle!$K$11),-2,IF(Z216=regle!$B$11,0,IF(AT$1=$AK$1,IF($O216,-1,regle!$B$2-$M216),IF(AS216=-1,-1,AS216+1))))</f>
        <v>19</v>
      </c>
    </row>
    <row r="217" spans="1:46" x14ac:dyDescent="0.25">
      <c r="A217" t="b">
        <f>modif0!A346</f>
        <v>1</v>
      </c>
      <c r="B217">
        <f>ROW(modif0!B346)</f>
        <v>346</v>
      </c>
      <c r="C217" t="str">
        <f>modif0!D346</f>
        <v>200</v>
      </c>
      <c r="D217" t="str">
        <f>modif0!E346</f>
        <v>MOUSTEY</v>
      </c>
      <c r="E217">
        <f>modif0!F346</f>
        <v>4</v>
      </c>
      <c r="F217" t="str">
        <f>modif0!G346</f>
        <v>Kycs</v>
      </c>
      <c r="G217" t="str">
        <f>modif0!I346</f>
        <v>0M</v>
      </c>
      <c r="H217">
        <f>modif0!J346</f>
        <v>33</v>
      </c>
      <c r="I217" t="str">
        <f>modif0!K346</f>
        <v>j</v>
      </c>
      <c r="J217" s="11">
        <f>modif0!M346</f>
        <v>0.52559999999999996</v>
      </c>
      <c r="K217" s="11" t="str">
        <f>modif0!P346</f>
        <v>PLA</v>
      </c>
      <c r="L217" t="str">
        <f>modif0!N346</f>
        <v>PM</v>
      </c>
      <c r="M217">
        <f>modif0!Q346</f>
        <v>2014</v>
      </c>
      <c r="N217" t="str">
        <f>modif0!R346</f>
        <v>PLA-PM_2014</v>
      </c>
      <c r="O217" t="b">
        <f>modif0!S346</f>
        <v>0</v>
      </c>
      <c r="P217">
        <v>40</v>
      </c>
      <c r="S217" t="s">
        <v>1803</v>
      </c>
      <c r="X217" t="s">
        <v>1804</v>
      </c>
      <c r="AA217" s="17">
        <f>IF($A217,$J217*(IF(Q217=regle!$B$11,regle!$B$23*IF(AJ217=-2,1+regle!$B$35,1),
IF(Q217=regle!$C$11,regle!$C$23,
IF(Q217=regle!$D$11,regle!$D$23,
IF(Q217=regle!$E$11,regle!$E$23,
IF(Q217=regle!$F$11,regle!$F$23,
IF(Q217=regle!$G$11,regle!$G$23,
IF(Q217=regle!$H$11,regle!$H$23,
IF(Q217=regle!$I$11,regle!$I$23,
IF(Q217=regle!$J$11,regle!$J$23,
IF(Q217=regle!$K$11,regle!$K$23,0))))))))))))</f>
        <v>0</v>
      </c>
      <c r="AB217" s="17">
        <f>IF($A217,$J217*(IF(R217=regle!$B$11,regle!$B$23*IF(AK217=-2,1+regle!$B$35,1),
IF(R217=regle!$C$11,regle!$C$23,
IF(R217=regle!$D$11,regle!$D$23,
IF(R217=regle!$E$11,regle!$E$23,
IF(R217=regle!$F$11,regle!$F$23,
IF(R217=regle!$G$11,regle!$G$23,
IF(R217=regle!$H$11,regle!$H$23,
IF(R217=regle!$I$11,regle!$I$23,
IF(R217=regle!$J$11,regle!$J$23,
IF(R217=regle!$K$11,regle!$K$23,0))))))))))))</f>
        <v>0</v>
      </c>
      <c r="AC217" s="17">
        <f>IF($A217,$J217*(IF(S217=regle!$B$11,regle!$B$23*IF(AL217=-2,1+regle!$B$35,1),
IF(S217=regle!$C$11,regle!$C$23,
IF(S217=regle!$D$11,regle!$D$23,
IF(S217=regle!$E$11,regle!$E$23,
IF(S217=regle!$F$11,regle!$F$23,
IF(S217=regle!$G$11,regle!$G$23,
IF(S217=regle!$H$11,regle!$H$23,
IF(S217=regle!$I$11,regle!$I$23,
IF(S217=regle!$J$11,regle!$J$23,
IF(S217=regle!$K$11,regle!$K$23,0))))))))))))</f>
        <v>302.74559999999997</v>
      </c>
      <c r="AD217" s="17">
        <f>IF($A217,$J217*(IF(T217=regle!$B$11,regle!$B$23*IF(AM217=-2,1+regle!$B$35,1),
IF(T217=regle!$C$11,regle!$C$23,
IF(T217=regle!$D$11,regle!$D$23,
IF(T217=regle!$E$11,regle!$E$23,
IF(T217=regle!$F$11,regle!$F$23,
IF(T217=regle!$G$11,regle!$G$23,
IF(T217=regle!$H$11,regle!$H$23,
IF(T217=regle!$I$11,regle!$I$23,
IF(T217=regle!$J$11,regle!$J$23,
IF(T217=regle!$K$11,regle!$K$23,0))))))))))))</f>
        <v>0</v>
      </c>
      <c r="AE217" s="17">
        <f>IF($A217,$J217*(IF(U217=regle!$B$11,regle!$B$23*IF(AN217=-2,1+regle!$B$35,1),
IF(U217=regle!$C$11,regle!$C$23,
IF(U217=regle!$D$11,regle!$D$23,
IF(U217=regle!$E$11,regle!$E$23,
IF(U217=regle!$F$11,regle!$F$23,
IF(U217=regle!$G$11,regle!$G$23,
IF(U217=regle!$H$11,regle!$H$23,
IF(U217=regle!$I$11,regle!$I$23,
IF(U217=regle!$J$11,regle!$J$23,
IF(U217=regle!$K$11,regle!$K$23,0))))))))))))</f>
        <v>0</v>
      </c>
      <c r="AF217" s="17">
        <f>IF($A217,$J217*(IF(V217=regle!$B$11,regle!$B$23*IF(AO217=-2,1+regle!$B$35,1),
IF(V217=regle!$C$11,regle!$C$23,
IF(V217=regle!$D$11,regle!$D$23,
IF(V217=regle!$E$11,regle!$E$23,
IF(V217=regle!$F$11,regle!$F$23,
IF(V217=regle!$G$11,regle!$G$23,
IF(V217=regle!$H$11,regle!$H$23,
IF(V217=regle!$I$11,regle!$I$23,
IF(V217=regle!$J$11,regle!$J$23,
IF(V217=regle!$K$11,regle!$K$23,0))))))))))))</f>
        <v>0</v>
      </c>
      <c r="AG217" s="17">
        <f>IF($A217,$J217*(IF(W217=regle!$B$11,regle!$B$23*IF(AP217=-2,1+regle!$B$35,1),
IF(W217=regle!$C$11,regle!$C$23,
IF(W217=regle!$D$11,regle!$D$23,
IF(W217=regle!$E$11,regle!$E$23,
IF(W217=regle!$F$11,regle!$F$23,
IF(W217=regle!$G$11,regle!$G$23,
IF(W217=regle!$H$11,regle!$H$23,
IF(W217=regle!$I$11,regle!$I$23,
IF(W217=regle!$J$11,regle!$J$23,
IF(W217=regle!$K$11,regle!$K$23,0))))))))))))</f>
        <v>0</v>
      </c>
      <c r="AH217" s="17">
        <f>IF($A217,$J217*(IF(X217=regle!$B$11,regle!$B$23*IF(AQ217=-2,1+regle!$B$35,1),
IF(X217=regle!$C$11,regle!$C$23,
IF(X217=regle!$D$11,regle!$D$23,
IF(X217=regle!$E$11,regle!$E$23,
IF(X217=regle!$F$11,regle!$F$23,
IF(X217=regle!$G$11,regle!$G$23,
IF(X217=regle!$H$11,regle!$H$23,
IF(X217=regle!$I$11,regle!$I$23,
IF(X217=regle!$J$11,regle!$J$23,
IF(X217=regle!$K$11,regle!$K$23,0))))))))))))</f>
        <v>441.50399999999996</v>
      </c>
      <c r="AI217" s="17">
        <f>IF($A217,$J217*(IF(Y217=regle!$B$11,regle!$B$23*IF(AR217=-2,1+regle!$B$35,1),
IF(Y217=regle!$C$11,regle!$C$23,
IF(Y217=regle!$D$11,regle!$D$23,
IF(Y217=regle!$E$11,regle!$E$23,
IF(Y217=regle!$F$11,regle!$F$23,
IF(Y217=regle!$G$11,regle!$G$23,
IF(Y217=regle!$H$11,regle!$H$23,
IF(Y217=regle!$I$11,regle!$I$23,
IF(Y217=regle!$J$11,regle!$J$23,
IF(Y217=regle!$K$11,regle!$K$23,0))))))))))))</f>
        <v>0</v>
      </c>
      <c r="AJ217" s="17">
        <f>IF($A217,$J217*(IF(Z217=regle!$B$11,regle!$B$23*IF(AS217=-2,1+regle!$B$35,1),
IF(Z217=regle!$C$11,regle!$C$23,
IF(Z217=regle!$D$11,regle!$D$23,
IF(Z217=regle!$E$11,regle!$E$23,
IF(Z217=regle!$F$11,regle!$F$23,
IF(Z217=regle!$G$11,regle!$G$23,
IF(Z217=regle!$H$11,regle!$H$23,
IF(Z217=regle!$I$11,regle!$I$23,
IF(Z217=regle!$J$11,regle!$J$23,
IF(Z217=regle!$K$11,regle!$K$23,0))))))))))))</f>
        <v>0</v>
      </c>
      <c r="AK217" s="16">
        <f>IF(OR(Q217=regle!$J$11,Q217=regle!$K$11),-2,IF(Q217=regle!$B$11,0,IF(AK$1=$AK$1,IF($O217,-1,regle!$B$2-$M217),IF(AJ217=-1,-1,AJ217+1))))</f>
        <v>10</v>
      </c>
      <c r="AL217" s="16">
        <f>IF(OR(R217=regle!$J$11,R217=regle!$K$11),-2,IF(R217=regle!$B$11,0,IF(AL$1=$AK$1,IF($O217,-1,regle!$B$2-$M217),IF(AK217=-1,-1,AK217+1))))</f>
        <v>11</v>
      </c>
      <c r="AM217" s="16">
        <f>IF(OR(S217=regle!$J$11,S217=regle!$K$11),-2,IF(S217=regle!$B$11,0,IF(AM$1=$AK$1,IF($O217,-1,regle!$B$2-$M217),IF(AL217=-1,-1,AL217+1))))</f>
        <v>12</v>
      </c>
      <c r="AN217" s="16">
        <f>IF(OR(T217=regle!$J$11,T217=regle!$K$11),-2,IF(T217=regle!$B$11,0,IF(AN$1=$AK$1,IF($O217,-1,regle!$B$2-$M217),IF(AM217=-1,-1,AM217+1))))</f>
        <v>13</v>
      </c>
      <c r="AO217" s="16">
        <f>IF(OR(U217=regle!$J$11,U217=regle!$K$11),-2,IF(U217=regle!$B$11,0,IF(AO$1=$AK$1,IF($O217,-1,regle!$B$2-$M217),IF(AN217=-1,-1,AN217+1))))</f>
        <v>14</v>
      </c>
      <c r="AP217" s="16">
        <f>IF(OR(V217=regle!$J$11,V217=regle!$K$11),-2,IF(V217=regle!$B$11,0,IF(AP$1=$AK$1,IF($O217,-1,regle!$B$2-$M217),IF(AO217=-1,-1,AO217+1))))</f>
        <v>15</v>
      </c>
      <c r="AQ217" s="16">
        <f>IF(OR(W217=regle!$J$11,W217=regle!$K$11),-2,IF(W217=regle!$B$11,0,IF(AQ$1=$AK$1,IF($O217,-1,regle!$B$2-$M217),IF(AP217=-1,-1,AP217+1))))</f>
        <v>16</v>
      </c>
      <c r="AR217" s="16">
        <f>IF(OR(X217=regle!$J$11,X217=regle!$K$11),-2,IF(X217=regle!$B$11,0,IF(AR$1=$AK$1,IF($O217,-1,regle!$B$2-$M217),IF(AQ217=-1,-1,AQ217+1))))</f>
        <v>17</v>
      </c>
      <c r="AS217" s="16">
        <f>IF(OR(Y217=regle!$J$11,Y217=regle!$K$11),-2,IF(Y217=regle!$B$11,0,IF(AS$1=$AK$1,IF($O217,-1,regle!$B$2-$M217),IF(AR217=-1,-1,AR217+1))))</f>
        <v>18</v>
      </c>
      <c r="AT217" s="16">
        <f>IF(OR(Z217=regle!$J$11,Z217=regle!$K$11),-2,IF(Z217=regle!$B$11,0,IF(AT$1=$AK$1,IF($O217,-1,regle!$B$2-$M217),IF(AS217=-1,-1,AS217+1))))</f>
        <v>19</v>
      </c>
    </row>
    <row r="218" spans="1:46" x14ac:dyDescent="0.25">
      <c r="A218" t="b">
        <f>modif0!A350</f>
        <v>1</v>
      </c>
      <c r="B218">
        <f>ROW(modif0!B350)</f>
        <v>350</v>
      </c>
      <c r="C218" t="str">
        <f>modif0!D350</f>
        <v>200</v>
      </c>
      <c r="D218" t="str">
        <f>modif0!E350</f>
        <v>MOUSTEY</v>
      </c>
      <c r="E218">
        <f>modif0!F350</f>
        <v>4</v>
      </c>
      <c r="F218" t="str">
        <f>modif0!G350</f>
        <v>Kycs</v>
      </c>
      <c r="G218" t="str">
        <f>modif0!I350</f>
        <v>0M</v>
      </c>
      <c r="H218">
        <f>modif0!J350</f>
        <v>42</v>
      </c>
      <c r="I218" t="str">
        <f>modif0!K350</f>
        <v/>
      </c>
      <c r="J218" s="11">
        <f>modif0!M350</f>
        <v>1.4800000000000001E-2</v>
      </c>
      <c r="K218" s="11" t="str">
        <f>modif0!P350</f>
        <v>PLA</v>
      </c>
      <c r="L218" t="str">
        <f>modif0!N350</f>
        <v>PM</v>
      </c>
      <c r="M218">
        <f>modif0!Q350</f>
        <v>2014</v>
      </c>
      <c r="N218" t="str">
        <f>modif0!R350</f>
        <v>PLA-PM_2014</v>
      </c>
      <c r="O218" t="b">
        <f>modif0!S350</f>
        <v>0</v>
      </c>
      <c r="P218">
        <v>40</v>
      </c>
      <c r="S218" t="s">
        <v>1803</v>
      </c>
      <c r="X218" t="s">
        <v>1804</v>
      </c>
      <c r="AA218" s="17">
        <f>IF($A218,$J218*(IF(Q218=regle!$B$11,regle!$B$23*IF(AJ218=-2,1+regle!$B$35,1),
IF(Q218=regle!$C$11,regle!$C$23,
IF(Q218=regle!$D$11,regle!$D$23,
IF(Q218=regle!$E$11,regle!$E$23,
IF(Q218=regle!$F$11,regle!$F$23,
IF(Q218=regle!$G$11,regle!$G$23,
IF(Q218=regle!$H$11,regle!$H$23,
IF(Q218=regle!$I$11,regle!$I$23,
IF(Q218=regle!$J$11,regle!$J$23,
IF(Q218=regle!$K$11,regle!$K$23,0))))))))))))</f>
        <v>0</v>
      </c>
      <c r="AB218" s="17">
        <f>IF($A218,$J218*(IF(R218=regle!$B$11,regle!$B$23*IF(AK218=-2,1+regle!$B$35,1),
IF(R218=regle!$C$11,regle!$C$23,
IF(R218=regle!$D$11,regle!$D$23,
IF(R218=regle!$E$11,regle!$E$23,
IF(R218=regle!$F$11,regle!$F$23,
IF(R218=regle!$G$11,regle!$G$23,
IF(R218=regle!$H$11,regle!$H$23,
IF(R218=regle!$I$11,regle!$I$23,
IF(R218=regle!$J$11,regle!$J$23,
IF(R218=regle!$K$11,regle!$K$23,0))))))))))))</f>
        <v>0</v>
      </c>
      <c r="AC218" s="17">
        <f>IF($A218,$J218*(IF(S218=regle!$B$11,regle!$B$23*IF(AL218=-2,1+regle!$B$35,1),
IF(S218=regle!$C$11,regle!$C$23,
IF(S218=regle!$D$11,regle!$D$23,
IF(S218=regle!$E$11,regle!$E$23,
IF(S218=regle!$F$11,regle!$F$23,
IF(S218=regle!$G$11,regle!$G$23,
IF(S218=regle!$H$11,regle!$H$23,
IF(S218=regle!$I$11,regle!$I$23,
IF(S218=regle!$J$11,regle!$J$23,
IF(S218=regle!$K$11,regle!$K$23,0))))))))))))</f>
        <v>8.5248000000000008</v>
      </c>
      <c r="AD218" s="17">
        <f>IF($A218,$J218*(IF(T218=regle!$B$11,regle!$B$23*IF(AM218=-2,1+regle!$B$35,1),
IF(T218=regle!$C$11,regle!$C$23,
IF(T218=regle!$D$11,regle!$D$23,
IF(T218=regle!$E$11,regle!$E$23,
IF(T218=regle!$F$11,regle!$F$23,
IF(T218=regle!$G$11,regle!$G$23,
IF(T218=regle!$H$11,regle!$H$23,
IF(T218=regle!$I$11,regle!$I$23,
IF(T218=regle!$J$11,regle!$J$23,
IF(T218=regle!$K$11,regle!$K$23,0))))))))))))</f>
        <v>0</v>
      </c>
      <c r="AE218" s="17">
        <f>IF($A218,$J218*(IF(U218=regle!$B$11,regle!$B$23*IF(AN218=-2,1+regle!$B$35,1),
IF(U218=regle!$C$11,regle!$C$23,
IF(U218=regle!$D$11,regle!$D$23,
IF(U218=regle!$E$11,regle!$E$23,
IF(U218=regle!$F$11,regle!$F$23,
IF(U218=regle!$G$11,regle!$G$23,
IF(U218=regle!$H$11,regle!$H$23,
IF(U218=regle!$I$11,regle!$I$23,
IF(U218=regle!$J$11,regle!$J$23,
IF(U218=regle!$K$11,regle!$K$23,0))))))))))))</f>
        <v>0</v>
      </c>
      <c r="AF218" s="17">
        <f>IF($A218,$J218*(IF(V218=regle!$B$11,regle!$B$23*IF(AO218=-2,1+regle!$B$35,1),
IF(V218=regle!$C$11,regle!$C$23,
IF(V218=regle!$D$11,regle!$D$23,
IF(V218=regle!$E$11,regle!$E$23,
IF(V218=regle!$F$11,regle!$F$23,
IF(V218=regle!$G$11,regle!$G$23,
IF(V218=regle!$H$11,regle!$H$23,
IF(V218=regle!$I$11,regle!$I$23,
IF(V218=regle!$J$11,regle!$J$23,
IF(V218=regle!$K$11,regle!$K$23,0))))))))))))</f>
        <v>0</v>
      </c>
      <c r="AG218" s="17">
        <f>IF($A218,$J218*(IF(W218=regle!$B$11,regle!$B$23*IF(AP218=-2,1+regle!$B$35,1),
IF(W218=regle!$C$11,regle!$C$23,
IF(W218=regle!$D$11,regle!$D$23,
IF(W218=regle!$E$11,regle!$E$23,
IF(W218=regle!$F$11,regle!$F$23,
IF(W218=regle!$G$11,regle!$G$23,
IF(W218=regle!$H$11,regle!$H$23,
IF(W218=regle!$I$11,regle!$I$23,
IF(W218=regle!$J$11,regle!$J$23,
IF(W218=regle!$K$11,regle!$K$23,0))))))))))))</f>
        <v>0</v>
      </c>
      <c r="AH218" s="17">
        <f>IF($A218,$J218*(IF(X218=regle!$B$11,regle!$B$23*IF(AQ218=-2,1+regle!$B$35,1),
IF(X218=regle!$C$11,regle!$C$23,
IF(X218=regle!$D$11,regle!$D$23,
IF(X218=regle!$E$11,regle!$E$23,
IF(X218=regle!$F$11,regle!$F$23,
IF(X218=regle!$G$11,regle!$G$23,
IF(X218=regle!$H$11,regle!$H$23,
IF(X218=regle!$I$11,regle!$I$23,
IF(X218=regle!$J$11,regle!$J$23,
IF(X218=regle!$K$11,regle!$K$23,0))))))))))))</f>
        <v>12.432</v>
      </c>
      <c r="AI218" s="17">
        <f>IF($A218,$J218*(IF(Y218=regle!$B$11,regle!$B$23*IF(AR218=-2,1+regle!$B$35,1),
IF(Y218=regle!$C$11,regle!$C$23,
IF(Y218=regle!$D$11,regle!$D$23,
IF(Y218=regle!$E$11,regle!$E$23,
IF(Y218=regle!$F$11,regle!$F$23,
IF(Y218=regle!$G$11,regle!$G$23,
IF(Y218=regle!$H$11,regle!$H$23,
IF(Y218=regle!$I$11,regle!$I$23,
IF(Y218=regle!$J$11,regle!$J$23,
IF(Y218=regle!$K$11,regle!$K$23,0))))))))))))</f>
        <v>0</v>
      </c>
      <c r="AJ218" s="17">
        <f>IF($A218,$J218*(IF(Z218=regle!$B$11,regle!$B$23*IF(AS218=-2,1+regle!$B$35,1),
IF(Z218=regle!$C$11,regle!$C$23,
IF(Z218=regle!$D$11,regle!$D$23,
IF(Z218=regle!$E$11,regle!$E$23,
IF(Z218=regle!$F$11,regle!$F$23,
IF(Z218=regle!$G$11,regle!$G$23,
IF(Z218=regle!$H$11,regle!$H$23,
IF(Z218=regle!$I$11,regle!$I$23,
IF(Z218=regle!$J$11,regle!$J$23,
IF(Z218=regle!$K$11,regle!$K$23,0))))))))))))</f>
        <v>0</v>
      </c>
      <c r="AK218" s="16">
        <f>IF(OR(Q218=regle!$J$11,Q218=regle!$K$11),-2,IF(Q218=regle!$B$11,0,IF(AK$1=$AK$1,IF($O218,-1,regle!$B$2-$M218),IF(AJ218=-1,-1,AJ218+1))))</f>
        <v>10</v>
      </c>
      <c r="AL218" s="16">
        <f>IF(OR(R218=regle!$J$11,R218=regle!$K$11),-2,IF(R218=regle!$B$11,0,IF(AL$1=$AK$1,IF($O218,-1,regle!$B$2-$M218),IF(AK218=-1,-1,AK218+1))))</f>
        <v>11</v>
      </c>
      <c r="AM218" s="16">
        <f>IF(OR(S218=regle!$J$11,S218=regle!$K$11),-2,IF(S218=regle!$B$11,0,IF(AM$1=$AK$1,IF($O218,-1,regle!$B$2-$M218),IF(AL218=-1,-1,AL218+1))))</f>
        <v>12</v>
      </c>
      <c r="AN218" s="16">
        <f>IF(OR(T218=regle!$J$11,T218=regle!$K$11),-2,IF(T218=regle!$B$11,0,IF(AN$1=$AK$1,IF($O218,-1,regle!$B$2-$M218),IF(AM218=-1,-1,AM218+1))))</f>
        <v>13</v>
      </c>
      <c r="AO218" s="16">
        <f>IF(OR(U218=regle!$J$11,U218=regle!$K$11),-2,IF(U218=regle!$B$11,0,IF(AO$1=$AK$1,IF($O218,-1,regle!$B$2-$M218),IF(AN218=-1,-1,AN218+1))))</f>
        <v>14</v>
      </c>
      <c r="AP218" s="16">
        <f>IF(OR(V218=regle!$J$11,V218=regle!$K$11),-2,IF(V218=regle!$B$11,0,IF(AP$1=$AK$1,IF($O218,-1,regle!$B$2-$M218),IF(AO218=-1,-1,AO218+1))))</f>
        <v>15</v>
      </c>
      <c r="AQ218" s="16">
        <f>IF(OR(W218=regle!$J$11,W218=regle!$K$11),-2,IF(W218=regle!$B$11,0,IF(AQ$1=$AK$1,IF($O218,-1,regle!$B$2-$M218),IF(AP218=-1,-1,AP218+1))))</f>
        <v>16</v>
      </c>
      <c r="AR218" s="16">
        <f>IF(OR(X218=regle!$J$11,X218=regle!$K$11),-2,IF(X218=regle!$B$11,0,IF(AR$1=$AK$1,IF($O218,-1,regle!$B$2-$M218),IF(AQ218=-1,-1,AQ218+1))))</f>
        <v>17</v>
      </c>
      <c r="AS218" s="16">
        <f>IF(OR(Y218=regle!$J$11,Y218=regle!$K$11),-2,IF(Y218=regle!$B$11,0,IF(AS$1=$AK$1,IF($O218,-1,regle!$B$2-$M218),IF(AR218=-1,-1,AR218+1))))</f>
        <v>18</v>
      </c>
      <c r="AT218" s="16">
        <f>IF(OR(Z218=regle!$J$11,Z218=regle!$K$11),-2,IF(Z218=regle!$B$11,0,IF(AT$1=$AK$1,IF($O218,-1,regle!$B$2-$M218),IF(AS218=-1,-1,AS218+1))))</f>
        <v>19</v>
      </c>
    </row>
    <row r="219" spans="1:46" x14ac:dyDescent="0.25">
      <c r="A219" t="b">
        <f>modif0!A349</f>
        <v>1</v>
      </c>
      <c r="B219">
        <f>ROW(modif0!B349)</f>
        <v>349</v>
      </c>
      <c r="C219" t="str">
        <f>modif0!D349</f>
        <v>200</v>
      </c>
      <c r="D219" t="str">
        <f>modif0!E349</f>
        <v>MOUSTEY</v>
      </c>
      <c r="E219">
        <f>modif0!F349</f>
        <v>4</v>
      </c>
      <c r="F219" t="str">
        <f>modif0!G349</f>
        <v>Kycs</v>
      </c>
      <c r="G219" t="str">
        <f>modif0!I349</f>
        <v>0M</v>
      </c>
      <c r="H219">
        <f>modif0!J349</f>
        <v>35</v>
      </c>
      <c r="I219" t="str">
        <f>modif0!K349</f>
        <v/>
      </c>
      <c r="J219" s="11">
        <f>modif0!M349</f>
        <v>1.4E-2</v>
      </c>
      <c r="K219" s="11" t="str">
        <f>modif0!P349</f>
        <v>PLA</v>
      </c>
      <c r="L219" t="str">
        <f>modif0!N349</f>
        <v>PM</v>
      </c>
      <c r="M219">
        <f>modif0!Q349</f>
        <v>2014</v>
      </c>
      <c r="N219" t="str">
        <f>modif0!R349</f>
        <v>PLA-PM_2014</v>
      </c>
      <c r="O219" t="b">
        <f>modif0!S349</f>
        <v>0</v>
      </c>
      <c r="P219">
        <v>40</v>
      </c>
      <c r="S219" t="s">
        <v>1803</v>
      </c>
      <c r="X219" t="s">
        <v>1804</v>
      </c>
      <c r="AA219" s="17">
        <f>IF($A219,$J219*(IF(Q219=regle!$B$11,regle!$B$23*IF(AJ219=-2,1+regle!$B$35,1),
IF(Q219=regle!$C$11,regle!$C$23,
IF(Q219=regle!$D$11,regle!$D$23,
IF(Q219=regle!$E$11,regle!$E$23,
IF(Q219=regle!$F$11,regle!$F$23,
IF(Q219=regle!$G$11,regle!$G$23,
IF(Q219=regle!$H$11,regle!$H$23,
IF(Q219=regle!$I$11,regle!$I$23,
IF(Q219=regle!$J$11,regle!$J$23,
IF(Q219=regle!$K$11,regle!$K$23,0))))))))))))</f>
        <v>0</v>
      </c>
      <c r="AB219" s="17">
        <f>IF($A219,$J219*(IF(R219=regle!$B$11,regle!$B$23*IF(AK219=-2,1+regle!$B$35,1),
IF(R219=regle!$C$11,regle!$C$23,
IF(R219=regle!$D$11,regle!$D$23,
IF(R219=regle!$E$11,regle!$E$23,
IF(R219=regle!$F$11,regle!$F$23,
IF(R219=regle!$G$11,regle!$G$23,
IF(R219=regle!$H$11,regle!$H$23,
IF(R219=regle!$I$11,regle!$I$23,
IF(R219=regle!$J$11,regle!$J$23,
IF(R219=regle!$K$11,regle!$K$23,0))))))))))))</f>
        <v>0</v>
      </c>
      <c r="AC219" s="17">
        <f>IF($A219,$J219*(IF(S219=regle!$B$11,regle!$B$23*IF(AL219=-2,1+regle!$B$35,1),
IF(S219=regle!$C$11,regle!$C$23,
IF(S219=regle!$D$11,regle!$D$23,
IF(S219=regle!$E$11,regle!$E$23,
IF(S219=regle!$F$11,regle!$F$23,
IF(S219=regle!$G$11,regle!$G$23,
IF(S219=regle!$H$11,regle!$H$23,
IF(S219=regle!$I$11,regle!$I$23,
IF(S219=regle!$J$11,regle!$J$23,
IF(S219=regle!$K$11,regle!$K$23,0))))))))))))</f>
        <v>8.0640000000000001</v>
      </c>
      <c r="AD219" s="17">
        <f>IF($A219,$J219*(IF(T219=regle!$B$11,regle!$B$23*IF(AM219=-2,1+regle!$B$35,1),
IF(T219=regle!$C$11,regle!$C$23,
IF(T219=regle!$D$11,regle!$D$23,
IF(T219=regle!$E$11,regle!$E$23,
IF(T219=regle!$F$11,regle!$F$23,
IF(T219=regle!$G$11,regle!$G$23,
IF(T219=regle!$H$11,regle!$H$23,
IF(T219=regle!$I$11,regle!$I$23,
IF(T219=regle!$J$11,regle!$J$23,
IF(T219=regle!$K$11,regle!$K$23,0))))))))))))</f>
        <v>0</v>
      </c>
      <c r="AE219" s="17">
        <f>IF($A219,$J219*(IF(U219=regle!$B$11,regle!$B$23*IF(AN219=-2,1+regle!$B$35,1),
IF(U219=regle!$C$11,regle!$C$23,
IF(U219=regle!$D$11,regle!$D$23,
IF(U219=regle!$E$11,regle!$E$23,
IF(U219=regle!$F$11,regle!$F$23,
IF(U219=regle!$G$11,regle!$G$23,
IF(U219=regle!$H$11,regle!$H$23,
IF(U219=regle!$I$11,regle!$I$23,
IF(U219=regle!$J$11,regle!$J$23,
IF(U219=regle!$K$11,regle!$K$23,0))))))))))))</f>
        <v>0</v>
      </c>
      <c r="AF219" s="17">
        <f>IF($A219,$J219*(IF(V219=regle!$B$11,regle!$B$23*IF(AO219=-2,1+regle!$B$35,1),
IF(V219=regle!$C$11,regle!$C$23,
IF(V219=regle!$D$11,regle!$D$23,
IF(V219=regle!$E$11,regle!$E$23,
IF(V219=regle!$F$11,regle!$F$23,
IF(V219=regle!$G$11,regle!$G$23,
IF(V219=regle!$H$11,regle!$H$23,
IF(V219=regle!$I$11,regle!$I$23,
IF(V219=regle!$J$11,regle!$J$23,
IF(V219=regle!$K$11,regle!$K$23,0))))))))))))</f>
        <v>0</v>
      </c>
      <c r="AG219" s="17">
        <f>IF($A219,$J219*(IF(W219=regle!$B$11,regle!$B$23*IF(AP219=-2,1+regle!$B$35,1),
IF(W219=regle!$C$11,regle!$C$23,
IF(W219=regle!$D$11,regle!$D$23,
IF(W219=regle!$E$11,regle!$E$23,
IF(W219=regle!$F$11,regle!$F$23,
IF(W219=regle!$G$11,regle!$G$23,
IF(W219=regle!$H$11,regle!$H$23,
IF(W219=regle!$I$11,regle!$I$23,
IF(W219=regle!$J$11,regle!$J$23,
IF(W219=regle!$K$11,regle!$K$23,0))))))))))))</f>
        <v>0</v>
      </c>
      <c r="AH219" s="17">
        <f>IF($A219,$J219*(IF(X219=regle!$B$11,regle!$B$23*IF(AQ219=-2,1+regle!$B$35,1),
IF(X219=regle!$C$11,regle!$C$23,
IF(X219=regle!$D$11,regle!$D$23,
IF(X219=regle!$E$11,regle!$E$23,
IF(X219=regle!$F$11,regle!$F$23,
IF(X219=regle!$G$11,regle!$G$23,
IF(X219=regle!$H$11,regle!$H$23,
IF(X219=regle!$I$11,regle!$I$23,
IF(X219=regle!$J$11,regle!$J$23,
IF(X219=regle!$K$11,regle!$K$23,0))))))))))))</f>
        <v>11.76</v>
      </c>
      <c r="AI219" s="17">
        <f>IF($A219,$J219*(IF(Y219=regle!$B$11,regle!$B$23*IF(AR219=-2,1+regle!$B$35,1),
IF(Y219=regle!$C$11,regle!$C$23,
IF(Y219=regle!$D$11,regle!$D$23,
IF(Y219=regle!$E$11,regle!$E$23,
IF(Y219=regle!$F$11,regle!$F$23,
IF(Y219=regle!$G$11,regle!$G$23,
IF(Y219=regle!$H$11,regle!$H$23,
IF(Y219=regle!$I$11,regle!$I$23,
IF(Y219=regle!$J$11,regle!$J$23,
IF(Y219=regle!$K$11,regle!$K$23,0))))))))))))</f>
        <v>0</v>
      </c>
      <c r="AJ219" s="17">
        <f>IF($A219,$J219*(IF(Z219=regle!$B$11,regle!$B$23*IF(AS219=-2,1+regle!$B$35,1),
IF(Z219=regle!$C$11,regle!$C$23,
IF(Z219=regle!$D$11,regle!$D$23,
IF(Z219=regle!$E$11,regle!$E$23,
IF(Z219=regle!$F$11,regle!$F$23,
IF(Z219=regle!$G$11,regle!$G$23,
IF(Z219=regle!$H$11,regle!$H$23,
IF(Z219=regle!$I$11,regle!$I$23,
IF(Z219=regle!$J$11,regle!$J$23,
IF(Z219=regle!$K$11,regle!$K$23,0))))))))))))</f>
        <v>0</v>
      </c>
      <c r="AK219" s="16">
        <f>IF(OR(Q219=regle!$J$11,Q219=regle!$K$11),-2,IF(Q219=regle!$B$11,0,IF(AK$1=$AK$1,IF($O219,-1,regle!$B$2-$M219),IF(AJ219=-1,-1,AJ219+1))))</f>
        <v>10</v>
      </c>
      <c r="AL219" s="16">
        <f>IF(OR(R219=regle!$J$11,R219=regle!$K$11),-2,IF(R219=regle!$B$11,0,IF(AL$1=$AK$1,IF($O219,-1,regle!$B$2-$M219),IF(AK219=-1,-1,AK219+1))))</f>
        <v>11</v>
      </c>
      <c r="AM219" s="16">
        <f>IF(OR(S219=regle!$J$11,S219=regle!$K$11),-2,IF(S219=regle!$B$11,0,IF(AM$1=$AK$1,IF($O219,-1,regle!$B$2-$M219),IF(AL219=-1,-1,AL219+1))))</f>
        <v>12</v>
      </c>
      <c r="AN219" s="16">
        <f>IF(OR(T219=regle!$J$11,T219=regle!$K$11),-2,IF(T219=regle!$B$11,0,IF(AN$1=$AK$1,IF($O219,-1,regle!$B$2-$M219),IF(AM219=-1,-1,AM219+1))))</f>
        <v>13</v>
      </c>
      <c r="AO219" s="16">
        <f>IF(OR(U219=regle!$J$11,U219=regle!$K$11),-2,IF(U219=regle!$B$11,0,IF(AO$1=$AK$1,IF($O219,-1,regle!$B$2-$M219),IF(AN219=-1,-1,AN219+1))))</f>
        <v>14</v>
      </c>
      <c r="AP219" s="16">
        <f>IF(OR(V219=regle!$J$11,V219=regle!$K$11),-2,IF(V219=regle!$B$11,0,IF(AP$1=$AK$1,IF($O219,-1,regle!$B$2-$M219),IF(AO219=-1,-1,AO219+1))))</f>
        <v>15</v>
      </c>
      <c r="AQ219" s="16">
        <f>IF(OR(W219=regle!$J$11,W219=regle!$K$11),-2,IF(W219=regle!$B$11,0,IF(AQ$1=$AK$1,IF($O219,-1,regle!$B$2-$M219),IF(AP219=-1,-1,AP219+1))))</f>
        <v>16</v>
      </c>
      <c r="AR219" s="16">
        <f>IF(OR(X219=regle!$J$11,X219=regle!$K$11),-2,IF(X219=regle!$B$11,0,IF(AR$1=$AK$1,IF($O219,-1,regle!$B$2-$M219),IF(AQ219=-1,-1,AQ219+1))))</f>
        <v>17</v>
      </c>
      <c r="AS219" s="16">
        <f>IF(OR(Y219=regle!$J$11,Y219=regle!$K$11),-2,IF(Y219=regle!$B$11,0,IF(AS$1=$AK$1,IF($O219,-1,regle!$B$2-$M219),IF(AR219=-1,-1,AR219+1))))</f>
        <v>18</v>
      </c>
      <c r="AT219" s="16">
        <f>IF(OR(Z219=regle!$J$11,Z219=regle!$K$11),-2,IF(Z219=regle!$B$11,0,IF(AT$1=$AK$1,IF($O219,-1,regle!$B$2-$M219),IF(AS219=-1,-1,AS219+1))))</f>
        <v>19</v>
      </c>
    </row>
    <row r="220" spans="1:46" x14ac:dyDescent="0.25">
      <c r="A220" t="b">
        <f>modif0!A276</f>
        <v>1</v>
      </c>
      <c r="B220">
        <f>ROW(modif0!B276)</f>
        <v>276</v>
      </c>
      <c r="C220" t="str">
        <f>modif0!D276</f>
        <v>171</v>
      </c>
      <c r="D220" t="str">
        <f>modif0!E276</f>
        <v>MANO</v>
      </c>
      <c r="E220">
        <f>modif0!F276</f>
        <v>17</v>
      </c>
      <c r="F220" t="str">
        <f>modif0!G276</f>
        <v>LANDE DE TABARTON</v>
      </c>
      <c r="G220" t="str">
        <f>modif0!I276</f>
        <v>0B</v>
      </c>
      <c r="H220">
        <f>modif0!J276</f>
        <v>308</v>
      </c>
      <c r="I220" t="str">
        <f>modif0!K276</f>
        <v>k</v>
      </c>
      <c r="J220" s="11">
        <f>modif0!M276</f>
        <v>1.7928999999999999</v>
      </c>
      <c r="K220" s="11" t="str">
        <f>modif0!P276</f>
        <v>PLA</v>
      </c>
      <c r="L220" t="str">
        <f>modif0!N276</f>
        <v>PM</v>
      </c>
      <c r="M220">
        <f>modif0!Q276</f>
        <v>2013</v>
      </c>
      <c r="N220" t="str">
        <f>modif0!R276</f>
        <v>PLA-PM_2013</v>
      </c>
      <c r="O220" t="b">
        <f>modif0!S276</f>
        <v>0</v>
      </c>
      <c r="P220">
        <v>40</v>
      </c>
      <c r="R220" t="s">
        <v>1803</v>
      </c>
      <c r="W220" t="s">
        <v>1804</v>
      </c>
      <c r="AA220" s="17">
        <f>IF($A220,$J220*(IF(Q220=regle!$B$11,regle!$B$23*IF(AJ220=-2,1+regle!$B$35,1),
IF(Q220=regle!$C$11,regle!$C$23,
IF(Q220=regle!$D$11,regle!$D$23,
IF(Q220=regle!$E$11,regle!$E$23,
IF(Q220=regle!$F$11,regle!$F$23,
IF(Q220=regle!$G$11,regle!$G$23,
IF(Q220=regle!$H$11,regle!$H$23,
IF(Q220=regle!$I$11,regle!$I$23,
IF(Q220=regle!$J$11,regle!$J$23,
IF(Q220=regle!$K$11,regle!$K$23,0))))))))))))</f>
        <v>0</v>
      </c>
      <c r="AB220" s="17">
        <f>IF($A220,$J220*(IF(R220=regle!$B$11,regle!$B$23*IF(AK220=-2,1+regle!$B$35,1),
IF(R220=regle!$C$11,regle!$C$23,
IF(R220=regle!$D$11,regle!$D$23,
IF(R220=regle!$E$11,regle!$E$23,
IF(R220=regle!$F$11,regle!$F$23,
IF(R220=regle!$G$11,regle!$G$23,
IF(R220=regle!$H$11,regle!$H$23,
IF(R220=regle!$I$11,regle!$I$23,
IF(R220=regle!$J$11,regle!$J$23,
IF(R220=regle!$K$11,regle!$K$23,0))))))))))))</f>
        <v>1032.7103999999999</v>
      </c>
      <c r="AC220" s="17">
        <f>IF($A220,$J220*(IF(S220=regle!$B$11,regle!$B$23*IF(AL220=-2,1+regle!$B$35,1),
IF(S220=regle!$C$11,regle!$C$23,
IF(S220=regle!$D$11,regle!$D$23,
IF(S220=regle!$E$11,regle!$E$23,
IF(S220=regle!$F$11,regle!$F$23,
IF(S220=regle!$G$11,regle!$G$23,
IF(S220=regle!$H$11,regle!$H$23,
IF(S220=regle!$I$11,regle!$I$23,
IF(S220=regle!$J$11,regle!$J$23,
IF(S220=regle!$K$11,regle!$K$23,0))))))))))))</f>
        <v>0</v>
      </c>
      <c r="AD220" s="17">
        <f>IF($A220,$J220*(IF(T220=regle!$B$11,regle!$B$23*IF(AM220=-2,1+regle!$B$35,1),
IF(T220=regle!$C$11,regle!$C$23,
IF(T220=regle!$D$11,regle!$D$23,
IF(T220=regle!$E$11,regle!$E$23,
IF(T220=regle!$F$11,regle!$F$23,
IF(T220=regle!$G$11,regle!$G$23,
IF(T220=regle!$H$11,regle!$H$23,
IF(T220=regle!$I$11,regle!$I$23,
IF(T220=regle!$J$11,regle!$J$23,
IF(T220=regle!$K$11,regle!$K$23,0))))))))))))</f>
        <v>0</v>
      </c>
      <c r="AE220" s="17">
        <f>IF($A220,$J220*(IF(U220=regle!$B$11,regle!$B$23*IF(AN220=-2,1+regle!$B$35,1),
IF(U220=regle!$C$11,regle!$C$23,
IF(U220=regle!$D$11,regle!$D$23,
IF(U220=regle!$E$11,regle!$E$23,
IF(U220=regle!$F$11,regle!$F$23,
IF(U220=regle!$G$11,regle!$G$23,
IF(U220=regle!$H$11,regle!$H$23,
IF(U220=regle!$I$11,regle!$I$23,
IF(U220=regle!$J$11,regle!$J$23,
IF(U220=regle!$K$11,regle!$K$23,0))))))))))))</f>
        <v>0</v>
      </c>
      <c r="AF220" s="17">
        <f>IF($A220,$J220*(IF(V220=regle!$B$11,regle!$B$23*IF(AO220=-2,1+regle!$B$35,1),
IF(V220=regle!$C$11,regle!$C$23,
IF(V220=regle!$D$11,regle!$D$23,
IF(V220=regle!$E$11,regle!$E$23,
IF(V220=regle!$F$11,regle!$F$23,
IF(V220=regle!$G$11,regle!$G$23,
IF(V220=regle!$H$11,regle!$H$23,
IF(V220=regle!$I$11,regle!$I$23,
IF(V220=regle!$J$11,regle!$J$23,
IF(V220=regle!$K$11,regle!$K$23,0))))))))))))</f>
        <v>0</v>
      </c>
      <c r="AG220" s="17">
        <f>IF($A220,$J220*(IF(W220=regle!$B$11,regle!$B$23*IF(AP220=-2,1+regle!$B$35,1),
IF(W220=regle!$C$11,regle!$C$23,
IF(W220=regle!$D$11,regle!$D$23,
IF(W220=regle!$E$11,regle!$E$23,
IF(W220=regle!$F$11,regle!$F$23,
IF(W220=regle!$G$11,regle!$G$23,
IF(W220=regle!$H$11,regle!$H$23,
IF(W220=regle!$I$11,regle!$I$23,
IF(W220=regle!$J$11,regle!$J$23,
IF(W220=regle!$K$11,regle!$K$23,0))))))))))))</f>
        <v>1506.0360000000001</v>
      </c>
      <c r="AH220" s="17">
        <f>IF($A220,$J220*(IF(X220=regle!$B$11,regle!$B$23*IF(AQ220=-2,1+regle!$B$35,1),
IF(X220=regle!$C$11,regle!$C$23,
IF(X220=regle!$D$11,regle!$D$23,
IF(X220=regle!$E$11,regle!$E$23,
IF(X220=regle!$F$11,regle!$F$23,
IF(X220=regle!$G$11,regle!$G$23,
IF(X220=regle!$H$11,regle!$H$23,
IF(X220=regle!$I$11,regle!$I$23,
IF(X220=regle!$J$11,regle!$J$23,
IF(X220=regle!$K$11,regle!$K$23,0))))))))))))</f>
        <v>0</v>
      </c>
      <c r="AI220" s="17">
        <f>IF($A220,$J220*(IF(Y220=regle!$B$11,regle!$B$23*IF(AR220=-2,1+regle!$B$35,1),
IF(Y220=regle!$C$11,regle!$C$23,
IF(Y220=regle!$D$11,regle!$D$23,
IF(Y220=regle!$E$11,regle!$E$23,
IF(Y220=regle!$F$11,regle!$F$23,
IF(Y220=regle!$G$11,regle!$G$23,
IF(Y220=regle!$H$11,regle!$H$23,
IF(Y220=regle!$I$11,regle!$I$23,
IF(Y220=regle!$J$11,regle!$J$23,
IF(Y220=regle!$K$11,regle!$K$23,0))))))))))))</f>
        <v>0</v>
      </c>
      <c r="AJ220" s="17">
        <f>IF($A220,$J220*(IF(Z220=regle!$B$11,regle!$B$23*IF(AS220=-2,1+regle!$B$35,1),
IF(Z220=regle!$C$11,regle!$C$23,
IF(Z220=regle!$D$11,regle!$D$23,
IF(Z220=regle!$E$11,regle!$E$23,
IF(Z220=regle!$F$11,regle!$F$23,
IF(Z220=regle!$G$11,regle!$G$23,
IF(Z220=regle!$H$11,regle!$H$23,
IF(Z220=regle!$I$11,regle!$I$23,
IF(Z220=regle!$J$11,regle!$J$23,
IF(Z220=regle!$K$11,regle!$K$23,0))))))))))))</f>
        <v>0</v>
      </c>
      <c r="AK220" s="16">
        <f>IF(OR(Q220=regle!$J$11,Q220=regle!$K$11),-2,IF(Q220=regle!$B$11,0,IF(AK$1=$AK$1,IF($O220,-1,regle!$B$2-$M220),IF(AJ220=-1,-1,AJ220+1))))</f>
        <v>11</v>
      </c>
      <c r="AL220" s="16">
        <f>IF(OR(R220=regle!$J$11,R220=regle!$K$11),-2,IF(R220=regle!$B$11,0,IF(AL$1=$AK$1,IF($O220,-1,regle!$B$2-$M220),IF(AK220=-1,-1,AK220+1))))</f>
        <v>12</v>
      </c>
      <c r="AM220" s="16">
        <f>IF(OR(S220=regle!$J$11,S220=regle!$K$11),-2,IF(S220=regle!$B$11,0,IF(AM$1=$AK$1,IF($O220,-1,regle!$B$2-$M220),IF(AL220=-1,-1,AL220+1))))</f>
        <v>13</v>
      </c>
      <c r="AN220" s="16">
        <f>IF(OR(T220=regle!$J$11,T220=regle!$K$11),-2,IF(T220=regle!$B$11,0,IF(AN$1=$AK$1,IF($O220,-1,regle!$B$2-$M220),IF(AM220=-1,-1,AM220+1))))</f>
        <v>14</v>
      </c>
      <c r="AO220" s="16">
        <f>IF(OR(U220=regle!$J$11,U220=regle!$K$11),-2,IF(U220=regle!$B$11,0,IF(AO$1=$AK$1,IF($O220,-1,regle!$B$2-$M220),IF(AN220=-1,-1,AN220+1))))</f>
        <v>15</v>
      </c>
      <c r="AP220" s="16">
        <f>IF(OR(V220=regle!$J$11,V220=regle!$K$11),-2,IF(V220=regle!$B$11,0,IF(AP$1=$AK$1,IF($O220,-1,regle!$B$2-$M220),IF(AO220=-1,-1,AO220+1))))</f>
        <v>16</v>
      </c>
      <c r="AQ220" s="16">
        <f>IF(OR(W220=regle!$J$11,W220=regle!$K$11),-2,IF(W220=regle!$B$11,0,IF(AQ$1=$AK$1,IF($O220,-1,regle!$B$2-$M220),IF(AP220=-1,-1,AP220+1))))</f>
        <v>17</v>
      </c>
      <c r="AR220" s="16">
        <f>IF(OR(X220=regle!$J$11,X220=regle!$K$11),-2,IF(X220=regle!$B$11,0,IF(AR$1=$AK$1,IF($O220,-1,regle!$B$2-$M220),IF(AQ220=-1,-1,AQ220+1))))</f>
        <v>18</v>
      </c>
      <c r="AS220" s="16">
        <f>IF(OR(Y220=regle!$J$11,Y220=regle!$K$11),-2,IF(Y220=regle!$B$11,0,IF(AS$1=$AK$1,IF($O220,-1,regle!$B$2-$M220),IF(AR220=-1,-1,AR220+1))))</f>
        <v>19</v>
      </c>
      <c r="AT220" s="16">
        <f>IF(OR(Z220=regle!$J$11,Z220=regle!$K$11),-2,IF(Z220=regle!$B$11,0,IF(AT$1=$AK$1,IF($O220,-1,regle!$B$2-$M220),IF(AS220=-1,-1,AS220+1))))</f>
        <v>20</v>
      </c>
    </row>
    <row r="221" spans="1:46" x14ac:dyDescent="0.25">
      <c r="A221" t="b">
        <f>modif0!A270</f>
        <v>1</v>
      </c>
      <c r="B221">
        <f>ROW(modif0!B270)</f>
        <v>270</v>
      </c>
      <c r="C221" t="str">
        <f>modif0!D270</f>
        <v>171</v>
      </c>
      <c r="D221" t="str">
        <f>modif0!E270</f>
        <v>MANO</v>
      </c>
      <c r="E221">
        <f>modif0!F270</f>
        <v>17</v>
      </c>
      <c r="F221" t="str">
        <f>modif0!G270</f>
        <v>LANDE DE TABARTON</v>
      </c>
      <c r="G221" t="str">
        <f>modif0!I270</f>
        <v>0B</v>
      </c>
      <c r="H221">
        <f>modif0!J270</f>
        <v>303</v>
      </c>
      <c r="I221" t="str">
        <f>modif0!K270</f>
        <v>k</v>
      </c>
      <c r="J221" s="11">
        <f>modif0!M270</f>
        <v>1.4178999999999999</v>
      </c>
      <c r="K221" s="11" t="str">
        <f>modif0!P270</f>
        <v>PLA</v>
      </c>
      <c r="L221" t="str">
        <f>modif0!N270</f>
        <v>PM</v>
      </c>
      <c r="M221">
        <f>modif0!Q270</f>
        <v>2013</v>
      </c>
      <c r="N221" t="str">
        <f>modif0!R270</f>
        <v>PLA-PM_2013</v>
      </c>
      <c r="O221" t="b">
        <f>modif0!S270</f>
        <v>0</v>
      </c>
      <c r="P221">
        <v>40</v>
      </c>
      <c r="R221" t="s">
        <v>1803</v>
      </c>
      <c r="W221" t="s">
        <v>1804</v>
      </c>
      <c r="AA221" s="17">
        <f>IF($A221,$J221*(IF(Q221=regle!$B$11,regle!$B$23*IF(AJ221=-2,1+regle!$B$35,1),
IF(Q221=regle!$C$11,regle!$C$23,
IF(Q221=regle!$D$11,regle!$D$23,
IF(Q221=regle!$E$11,regle!$E$23,
IF(Q221=regle!$F$11,regle!$F$23,
IF(Q221=regle!$G$11,regle!$G$23,
IF(Q221=regle!$H$11,regle!$H$23,
IF(Q221=regle!$I$11,regle!$I$23,
IF(Q221=regle!$J$11,regle!$J$23,
IF(Q221=regle!$K$11,regle!$K$23,0))))))))))))</f>
        <v>0</v>
      </c>
      <c r="AB221" s="17">
        <f>IF($A221,$J221*(IF(R221=regle!$B$11,regle!$B$23*IF(AK221=-2,1+regle!$B$35,1),
IF(R221=regle!$C$11,regle!$C$23,
IF(R221=regle!$D$11,regle!$D$23,
IF(R221=regle!$E$11,regle!$E$23,
IF(R221=regle!$F$11,regle!$F$23,
IF(R221=regle!$G$11,regle!$G$23,
IF(R221=regle!$H$11,regle!$H$23,
IF(R221=regle!$I$11,regle!$I$23,
IF(R221=regle!$J$11,regle!$J$23,
IF(R221=regle!$K$11,regle!$K$23,0))))))))))))</f>
        <v>816.71039999999994</v>
      </c>
      <c r="AC221" s="17">
        <f>IF($A221,$J221*(IF(S221=regle!$B$11,regle!$B$23*IF(AL221=-2,1+regle!$B$35,1),
IF(S221=regle!$C$11,regle!$C$23,
IF(S221=regle!$D$11,regle!$D$23,
IF(S221=regle!$E$11,regle!$E$23,
IF(S221=regle!$F$11,regle!$F$23,
IF(S221=regle!$G$11,regle!$G$23,
IF(S221=regle!$H$11,regle!$H$23,
IF(S221=regle!$I$11,regle!$I$23,
IF(S221=regle!$J$11,regle!$J$23,
IF(S221=regle!$K$11,regle!$K$23,0))))))))))))</f>
        <v>0</v>
      </c>
      <c r="AD221" s="17">
        <f>IF($A221,$J221*(IF(T221=regle!$B$11,regle!$B$23*IF(AM221=-2,1+regle!$B$35,1),
IF(T221=regle!$C$11,regle!$C$23,
IF(T221=regle!$D$11,regle!$D$23,
IF(T221=regle!$E$11,regle!$E$23,
IF(T221=regle!$F$11,regle!$F$23,
IF(T221=regle!$G$11,regle!$G$23,
IF(T221=regle!$H$11,regle!$H$23,
IF(T221=regle!$I$11,regle!$I$23,
IF(T221=regle!$J$11,regle!$J$23,
IF(T221=regle!$K$11,regle!$K$23,0))))))))))))</f>
        <v>0</v>
      </c>
      <c r="AE221" s="17">
        <f>IF($A221,$J221*(IF(U221=regle!$B$11,regle!$B$23*IF(AN221=-2,1+regle!$B$35,1),
IF(U221=regle!$C$11,regle!$C$23,
IF(U221=regle!$D$11,regle!$D$23,
IF(U221=regle!$E$11,regle!$E$23,
IF(U221=regle!$F$11,regle!$F$23,
IF(U221=regle!$G$11,regle!$G$23,
IF(U221=regle!$H$11,regle!$H$23,
IF(U221=regle!$I$11,regle!$I$23,
IF(U221=regle!$J$11,regle!$J$23,
IF(U221=regle!$K$11,regle!$K$23,0))))))))))))</f>
        <v>0</v>
      </c>
      <c r="AF221" s="17">
        <f>IF($A221,$J221*(IF(V221=regle!$B$11,regle!$B$23*IF(AO221=-2,1+regle!$B$35,1),
IF(V221=regle!$C$11,regle!$C$23,
IF(V221=regle!$D$11,regle!$D$23,
IF(V221=regle!$E$11,regle!$E$23,
IF(V221=regle!$F$11,regle!$F$23,
IF(V221=regle!$G$11,regle!$G$23,
IF(V221=regle!$H$11,regle!$H$23,
IF(V221=regle!$I$11,regle!$I$23,
IF(V221=regle!$J$11,regle!$J$23,
IF(V221=regle!$K$11,regle!$K$23,0))))))))))))</f>
        <v>0</v>
      </c>
      <c r="AG221" s="17">
        <f>IF($A221,$J221*(IF(W221=regle!$B$11,regle!$B$23*IF(AP221=-2,1+regle!$B$35,1),
IF(W221=regle!$C$11,regle!$C$23,
IF(W221=regle!$D$11,regle!$D$23,
IF(W221=regle!$E$11,regle!$E$23,
IF(W221=regle!$F$11,regle!$F$23,
IF(W221=regle!$G$11,regle!$G$23,
IF(W221=regle!$H$11,regle!$H$23,
IF(W221=regle!$I$11,regle!$I$23,
IF(W221=regle!$J$11,regle!$J$23,
IF(W221=regle!$K$11,regle!$K$23,0))))))))))))</f>
        <v>1191.0360000000001</v>
      </c>
      <c r="AH221" s="17">
        <f>IF($A221,$J221*(IF(X221=regle!$B$11,regle!$B$23*IF(AQ221=-2,1+regle!$B$35,1),
IF(X221=regle!$C$11,regle!$C$23,
IF(X221=regle!$D$11,regle!$D$23,
IF(X221=regle!$E$11,regle!$E$23,
IF(X221=regle!$F$11,regle!$F$23,
IF(X221=regle!$G$11,regle!$G$23,
IF(X221=regle!$H$11,regle!$H$23,
IF(X221=regle!$I$11,regle!$I$23,
IF(X221=regle!$J$11,regle!$J$23,
IF(X221=regle!$K$11,regle!$K$23,0))))))))))))</f>
        <v>0</v>
      </c>
      <c r="AI221" s="17">
        <f>IF($A221,$J221*(IF(Y221=regle!$B$11,regle!$B$23*IF(AR221=-2,1+regle!$B$35,1),
IF(Y221=regle!$C$11,regle!$C$23,
IF(Y221=regle!$D$11,regle!$D$23,
IF(Y221=regle!$E$11,regle!$E$23,
IF(Y221=regle!$F$11,regle!$F$23,
IF(Y221=regle!$G$11,regle!$G$23,
IF(Y221=regle!$H$11,regle!$H$23,
IF(Y221=regle!$I$11,regle!$I$23,
IF(Y221=regle!$J$11,regle!$J$23,
IF(Y221=regle!$K$11,regle!$K$23,0))))))))))))</f>
        <v>0</v>
      </c>
      <c r="AJ221" s="17">
        <f>IF($A221,$J221*(IF(Z221=regle!$B$11,regle!$B$23*IF(AS221=-2,1+regle!$B$35,1),
IF(Z221=regle!$C$11,regle!$C$23,
IF(Z221=regle!$D$11,regle!$D$23,
IF(Z221=regle!$E$11,regle!$E$23,
IF(Z221=regle!$F$11,regle!$F$23,
IF(Z221=regle!$G$11,regle!$G$23,
IF(Z221=regle!$H$11,regle!$H$23,
IF(Z221=regle!$I$11,regle!$I$23,
IF(Z221=regle!$J$11,regle!$J$23,
IF(Z221=regle!$K$11,regle!$K$23,0))))))))))))</f>
        <v>0</v>
      </c>
      <c r="AK221" s="16">
        <f>IF(OR(Q221=regle!$J$11,Q221=regle!$K$11),-2,IF(Q221=regle!$B$11,0,IF(AK$1=$AK$1,IF($O221,-1,regle!$B$2-$M221),IF(AJ221=-1,-1,AJ221+1))))</f>
        <v>11</v>
      </c>
      <c r="AL221" s="16">
        <f>IF(OR(R221=regle!$J$11,R221=regle!$K$11),-2,IF(R221=regle!$B$11,0,IF(AL$1=$AK$1,IF($O221,-1,regle!$B$2-$M221),IF(AK221=-1,-1,AK221+1))))</f>
        <v>12</v>
      </c>
      <c r="AM221" s="16">
        <f>IF(OR(S221=regle!$J$11,S221=regle!$K$11),-2,IF(S221=regle!$B$11,0,IF(AM$1=$AK$1,IF($O221,-1,regle!$B$2-$M221),IF(AL221=-1,-1,AL221+1))))</f>
        <v>13</v>
      </c>
      <c r="AN221" s="16">
        <f>IF(OR(T221=regle!$J$11,T221=regle!$K$11),-2,IF(T221=regle!$B$11,0,IF(AN$1=$AK$1,IF($O221,-1,regle!$B$2-$M221),IF(AM221=-1,-1,AM221+1))))</f>
        <v>14</v>
      </c>
      <c r="AO221" s="16">
        <f>IF(OR(U221=regle!$J$11,U221=regle!$K$11),-2,IF(U221=regle!$B$11,0,IF(AO$1=$AK$1,IF($O221,-1,regle!$B$2-$M221),IF(AN221=-1,-1,AN221+1))))</f>
        <v>15</v>
      </c>
      <c r="AP221" s="16">
        <f>IF(OR(V221=regle!$J$11,V221=regle!$K$11),-2,IF(V221=regle!$B$11,0,IF(AP$1=$AK$1,IF($O221,-1,regle!$B$2-$M221),IF(AO221=-1,-1,AO221+1))))</f>
        <v>16</v>
      </c>
      <c r="AQ221" s="16">
        <f>IF(OR(W221=regle!$J$11,W221=regle!$K$11),-2,IF(W221=regle!$B$11,0,IF(AQ$1=$AK$1,IF($O221,-1,regle!$B$2-$M221),IF(AP221=-1,-1,AP221+1))))</f>
        <v>17</v>
      </c>
      <c r="AR221" s="16">
        <f>IF(OR(X221=regle!$J$11,X221=regle!$K$11),-2,IF(X221=regle!$B$11,0,IF(AR$1=$AK$1,IF($O221,-1,regle!$B$2-$M221),IF(AQ221=-1,-1,AQ221+1))))</f>
        <v>18</v>
      </c>
      <c r="AS221" s="16">
        <f>IF(OR(Y221=regle!$J$11,Y221=regle!$K$11),-2,IF(Y221=regle!$B$11,0,IF(AS$1=$AK$1,IF($O221,-1,regle!$B$2-$M221),IF(AR221=-1,-1,AR221+1))))</f>
        <v>19</v>
      </c>
      <c r="AT221" s="16">
        <f>IF(OR(Z221=regle!$J$11,Z221=regle!$K$11),-2,IF(Z221=regle!$B$11,0,IF(AT$1=$AK$1,IF($O221,-1,regle!$B$2-$M221),IF(AS221=-1,-1,AS221+1))))</f>
        <v>20</v>
      </c>
    </row>
    <row r="222" spans="1:46" x14ac:dyDescent="0.25">
      <c r="A222" t="b">
        <f>modif0!A271</f>
        <v>1</v>
      </c>
      <c r="B222">
        <f>ROW(modif0!B271)</f>
        <v>271</v>
      </c>
      <c r="C222" t="str">
        <f>modif0!D271</f>
        <v>171</v>
      </c>
      <c r="D222" t="str">
        <f>modif0!E271</f>
        <v>MANO</v>
      </c>
      <c r="E222">
        <f>modif0!F271</f>
        <v>17</v>
      </c>
      <c r="F222" t="str">
        <f>modif0!G271</f>
        <v>LANDE DE TABARTON</v>
      </c>
      <c r="G222" t="str">
        <f>modif0!I271</f>
        <v>0B</v>
      </c>
      <c r="H222">
        <f>modif0!J271</f>
        <v>304</v>
      </c>
      <c r="I222" t="str">
        <f>modif0!K271</f>
        <v>j</v>
      </c>
      <c r="J222" s="11">
        <f>modif0!M271</f>
        <v>0.98360000000000003</v>
      </c>
      <c r="K222" s="11" t="str">
        <f>modif0!P271</f>
        <v>PLA</v>
      </c>
      <c r="L222" t="str">
        <f>modif0!N271</f>
        <v>PM</v>
      </c>
      <c r="M222">
        <f>modif0!Q271</f>
        <v>2013</v>
      </c>
      <c r="N222" t="str">
        <f>modif0!R271</f>
        <v>PLA-PM_2013</v>
      </c>
      <c r="O222" t="b">
        <f>modif0!S271</f>
        <v>0</v>
      </c>
      <c r="P222">
        <v>40</v>
      </c>
      <c r="R222" t="s">
        <v>1803</v>
      </c>
      <c r="W222" t="s">
        <v>1804</v>
      </c>
      <c r="AA222" s="17">
        <f>IF($A222,$J222*(IF(Q222=regle!$B$11,regle!$B$23*IF(AJ222=-2,1+regle!$B$35,1),
IF(Q222=regle!$C$11,regle!$C$23,
IF(Q222=regle!$D$11,regle!$D$23,
IF(Q222=regle!$E$11,regle!$E$23,
IF(Q222=regle!$F$11,regle!$F$23,
IF(Q222=regle!$G$11,regle!$G$23,
IF(Q222=regle!$H$11,regle!$H$23,
IF(Q222=regle!$I$11,regle!$I$23,
IF(Q222=regle!$J$11,regle!$J$23,
IF(Q222=regle!$K$11,regle!$K$23,0))))))))))))</f>
        <v>0</v>
      </c>
      <c r="AB222" s="17">
        <f>IF($A222,$J222*(IF(R222=regle!$B$11,regle!$B$23*IF(AK222=-2,1+regle!$B$35,1),
IF(R222=regle!$C$11,regle!$C$23,
IF(R222=regle!$D$11,regle!$D$23,
IF(R222=regle!$E$11,regle!$E$23,
IF(R222=regle!$F$11,regle!$F$23,
IF(R222=regle!$G$11,regle!$G$23,
IF(R222=regle!$H$11,regle!$H$23,
IF(R222=regle!$I$11,regle!$I$23,
IF(R222=regle!$J$11,regle!$J$23,
IF(R222=regle!$K$11,regle!$K$23,0))))))))))))</f>
        <v>566.55359999999996</v>
      </c>
      <c r="AC222" s="17">
        <f>IF($A222,$J222*(IF(S222=regle!$B$11,regle!$B$23*IF(AL222=-2,1+regle!$B$35,1),
IF(S222=regle!$C$11,regle!$C$23,
IF(S222=regle!$D$11,regle!$D$23,
IF(S222=regle!$E$11,regle!$E$23,
IF(S222=regle!$F$11,regle!$F$23,
IF(S222=regle!$G$11,regle!$G$23,
IF(S222=regle!$H$11,regle!$H$23,
IF(S222=regle!$I$11,regle!$I$23,
IF(S222=regle!$J$11,regle!$J$23,
IF(S222=regle!$K$11,regle!$K$23,0))))))))))))</f>
        <v>0</v>
      </c>
      <c r="AD222" s="17">
        <f>IF($A222,$J222*(IF(T222=regle!$B$11,regle!$B$23*IF(AM222=-2,1+regle!$B$35,1),
IF(T222=regle!$C$11,regle!$C$23,
IF(T222=regle!$D$11,regle!$D$23,
IF(T222=regle!$E$11,regle!$E$23,
IF(T222=regle!$F$11,regle!$F$23,
IF(T222=regle!$G$11,regle!$G$23,
IF(T222=regle!$H$11,regle!$H$23,
IF(T222=regle!$I$11,regle!$I$23,
IF(T222=regle!$J$11,regle!$J$23,
IF(T222=regle!$K$11,regle!$K$23,0))))))))))))</f>
        <v>0</v>
      </c>
      <c r="AE222" s="17">
        <f>IF($A222,$J222*(IF(U222=regle!$B$11,regle!$B$23*IF(AN222=-2,1+regle!$B$35,1),
IF(U222=regle!$C$11,regle!$C$23,
IF(U222=regle!$D$11,regle!$D$23,
IF(U222=regle!$E$11,regle!$E$23,
IF(U222=regle!$F$11,regle!$F$23,
IF(U222=regle!$G$11,regle!$G$23,
IF(U222=regle!$H$11,regle!$H$23,
IF(U222=regle!$I$11,regle!$I$23,
IF(U222=regle!$J$11,regle!$J$23,
IF(U222=regle!$K$11,regle!$K$23,0))))))))))))</f>
        <v>0</v>
      </c>
      <c r="AF222" s="17">
        <f>IF($A222,$J222*(IF(V222=regle!$B$11,regle!$B$23*IF(AO222=-2,1+regle!$B$35,1),
IF(V222=regle!$C$11,regle!$C$23,
IF(V222=regle!$D$11,regle!$D$23,
IF(V222=regle!$E$11,regle!$E$23,
IF(V222=regle!$F$11,regle!$F$23,
IF(V222=regle!$G$11,regle!$G$23,
IF(V222=regle!$H$11,regle!$H$23,
IF(V222=regle!$I$11,regle!$I$23,
IF(V222=regle!$J$11,regle!$J$23,
IF(V222=regle!$K$11,regle!$K$23,0))))))))))))</f>
        <v>0</v>
      </c>
      <c r="AG222" s="17">
        <f>IF($A222,$J222*(IF(W222=regle!$B$11,regle!$B$23*IF(AP222=-2,1+regle!$B$35,1),
IF(W222=regle!$C$11,regle!$C$23,
IF(W222=regle!$D$11,regle!$D$23,
IF(W222=regle!$E$11,regle!$E$23,
IF(W222=regle!$F$11,regle!$F$23,
IF(W222=regle!$G$11,regle!$G$23,
IF(W222=regle!$H$11,regle!$H$23,
IF(W222=regle!$I$11,regle!$I$23,
IF(W222=regle!$J$11,regle!$J$23,
IF(W222=regle!$K$11,regle!$K$23,0))))))))))))</f>
        <v>826.22400000000005</v>
      </c>
      <c r="AH222" s="17">
        <f>IF($A222,$J222*(IF(X222=regle!$B$11,regle!$B$23*IF(AQ222=-2,1+regle!$B$35,1),
IF(X222=regle!$C$11,regle!$C$23,
IF(X222=regle!$D$11,regle!$D$23,
IF(X222=regle!$E$11,regle!$E$23,
IF(X222=regle!$F$11,regle!$F$23,
IF(X222=regle!$G$11,regle!$G$23,
IF(X222=regle!$H$11,regle!$H$23,
IF(X222=regle!$I$11,regle!$I$23,
IF(X222=regle!$J$11,regle!$J$23,
IF(X222=regle!$K$11,regle!$K$23,0))))))))))))</f>
        <v>0</v>
      </c>
      <c r="AI222" s="17">
        <f>IF($A222,$J222*(IF(Y222=regle!$B$11,regle!$B$23*IF(AR222=-2,1+regle!$B$35,1),
IF(Y222=regle!$C$11,regle!$C$23,
IF(Y222=regle!$D$11,regle!$D$23,
IF(Y222=regle!$E$11,regle!$E$23,
IF(Y222=regle!$F$11,regle!$F$23,
IF(Y222=regle!$G$11,regle!$G$23,
IF(Y222=regle!$H$11,regle!$H$23,
IF(Y222=regle!$I$11,regle!$I$23,
IF(Y222=regle!$J$11,regle!$J$23,
IF(Y222=regle!$K$11,regle!$K$23,0))))))))))))</f>
        <v>0</v>
      </c>
      <c r="AJ222" s="17">
        <f>IF($A222,$J222*(IF(Z222=regle!$B$11,regle!$B$23*IF(AS222=-2,1+regle!$B$35,1),
IF(Z222=regle!$C$11,regle!$C$23,
IF(Z222=regle!$D$11,regle!$D$23,
IF(Z222=regle!$E$11,regle!$E$23,
IF(Z222=regle!$F$11,regle!$F$23,
IF(Z222=regle!$G$11,regle!$G$23,
IF(Z222=regle!$H$11,regle!$H$23,
IF(Z222=regle!$I$11,regle!$I$23,
IF(Z222=regle!$J$11,regle!$J$23,
IF(Z222=regle!$K$11,regle!$K$23,0))))))))))))</f>
        <v>0</v>
      </c>
      <c r="AK222" s="16">
        <f>IF(OR(Q222=regle!$J$11,Q222=regle!$K$11),-2,IF(Q222=regle!$B$11,0,IF(AK$1=$AK$1,IF($O222,-1,regle!$B$2-$M222),IF(AJ222=-1,-1,AJ222+1))))</f>
        <v>11</v>
      </c>
      <c r="AL222" s="16">
        <f>IF(OR(R222=regle!$J$11,R222=regle!$K$11),-2,IF(R222=regle!$B$11,0,IF(AL$1=$AK$1,IF($O222,-1,regle!$B$2-$M222),IF(AK222=-1,-1,AK222+1))))</f>
        <v>12</v>
      </c>
      <c r="AM222" s="16">
        <f>IF(OR(S222=regle!$J$11,S222=regle!$K$11),-2,IF(S222=regle!$B$11,0,IF(AM$1=$AK$1,IF($O222,-1,regle!$B$2-$M222),IF(AL222=-1,-1,AL222+1))))</f>
        <v>13</v>
      </c>
      <c r="AN222" s="16">
        <f>IF(OR(T222=regle!$J$11,T222=regle!$K$11),-2,IF(T222=regle!$B$11,0,IF(AN$1=$AK$1,IF($O222,-1,regle!$B$2-$M222),IF(AM222=-1,-1,AM222+1))))</f>
        <v>14</v>
      </c>
      <c r="AO222" s="16">
        <f>IF(OR(U222=regle!$J$11,U222=regle!$K$11),-2,IF(U222=regle!$B$11,0,IF(AO$1=$AK$1,IF($O222,-1,regle!$B$2-$M222),IF(AN222=-1,-1,AN222+1))))</f>
        <v>15</v>
      </c>
      <c r="AP222" s="16">
        <f>IF(OR(V222=regle!$J$11,V222=regle!$K$11),-2,IF(V222=regle!$B$11,0,IF(AP$1=$AK$1,IF($O222,-1,regle!$B$2-$M222),IF(AO222=-1,-1,AO222+1))))</f>
        <v>16</v>
      </c>
      <c r="AQ222" s="16">
        <f>IF(OR(W222=regle!$J$11,W222=regle!$K$11),-2,IF(W222=regle!$B$11,0,IF(AQ$1=$AK$1,IF($O222,-1,regle!$B$2-$M222),IF(AP222=-1,-1,AP222+1))))</f>
        <v>17</v>
      </c>
      <c r="AR222" s="16">
        <f>IF(OR(X222=regle!$J$11,X222=regle!$K$11),-2,IF(X222=regle!$B$11,0,IF(AR$1=$AK$1,IF($O222,-1,regle!$B$2-$M222),IF(AQ222=-1,-1,AQ222+1))))</f>
        <v>18</v>
      </c>
      <c r="AS222" s="16">
        <f>IF(OR(Y222=regle!$J$11,Y222=regle!$K$11),-2,IF(Y222=regle!$B$11,0,IF(AS$1=$AK$1,IF($O222,-1,regle!$B$2-$M222),IF(AR222=-1,-1,AR222+1))))</f>
        <v>19</v>
      </c>
      <c r="AT222" s="16">
        <f>IF(OR(Z222=regle!$J$11,Z222=regle!$K$11),-2,IF(Z222=regle!$B$11,0,IF(AT$1=$AK$1,IF($O222,-1,regle!$B$2-$M222),IF(AS222=-1,-1,AS222+1))))</f>
        <v>20</v>
      </c>
    </row>
    <row r="223" spans="1:46" x14ac:dyDescent="0.25">
      <c r="A223" t="b">
        <f>modif0!A274</f>
        <v>1</v>
      </c>
      <c r="B223">
        <f>ROW(modif0!B274)</f>
        <v>274</v>
      </c>
      <c r="C223" t="str">
        <f>modif0!D274</f>
        <v>171</v>
      </c>
      <c r="D223" t="str">
        <f>modif0!E274</f>
        <v>MANO</v>
      </c>
      <c r="E223">
        <f>modif0!F274</f>
        <v>17</v>
      </c>
      <c r="F223" t="str">
        <f>modif0!G274</f>
        <v>LANDE DE TABARTON</v>
      </c>
      <c r="G223" t="str">
        <f>modif0!I274</f>
        <v>0B</v>
      </c>
      <c r="H223">
        <f>modif0!J274</f>
        <v>307</v>
      </c>
      <c r="I223" t="str">
        <f>modif0!K274</f>
        <v/>
      </c>
      <c r="J223" s="11">
        <f>modif0!M274</f>
        <v>0.86599999999999999</v>
      </c>
      <c r="K223" s="11" t="str">
        <f>modif0!P274</f>
        <v>PLA</v>
      </c>
      <c r="L223" t="str">
        <f>modif0!N274</f>
        <v>PM</v>
      </c>
      <c r="M223">
        <f>modif0!Q274</f>
        <v>2013</v>
      </c>
      <c r="N223" t="str">
        <f>modif0!R274</f>
        <v>PLA-PM_2013</v>
      </c>
      <c r="O223" t="b">
        <f>modif0!S274</f>
        <v>0</v>
      </c>
      <c r="P223">
        <v>40</v>
      </c>
      <c r="R223" t="s">
        <v>1803</v>
      </c>
      <c r="W223" t="s">
        <v>1804</v>
      </c>
      <c r="AA223" s="17">
        <f>IF($A223,$J223*(IF(Q223=regle!$B$11,regle!$B$23*IF(AJ223=-2,1+regle!$B$35,1),
IF(Q223=regle!$C$11,regle!$C$23,
IF(Q223=regle!$D$11,regle!$D$23,
IF(Q223=regle!$E$11,regle!$E$23,
IF(Q223=regle!$F$11,regle!$F$23,
IF(Q223=regle!$G$11,regle!$G$23,
IF(Q223=regle!$H$11,regle!$H$23,
IF(Q223=regle!$I$11,regle!$I$23,
IF(Q223=regle!$J$11,regle!$J$23,
IF(Q223=regle!$K$11,regle!$K$23,0))))))))))))</f>
        <v>0</v>
      </c>
      <c r="AB223" s="17">
        <f>IF($A223,$J223*(IF(R223=regle!$B$11,regle!$B$23*IF(AK223=-2,1+regle!$B$35,1),
IF(R223=regle!$C$11,regle!$C$23,
IF(R223=regle!$D$11,regle!$D$23,
IF(R223=regle!$E$11,regle!$E$23,
IF(R223=regle!$F$11,regle!$F$23,
IF(R223=regle!$G$11,regle!$G$23,
IF(R223=regle!$H$11,regle!$H$23,
IF(R223=regle!$I$11,regle!$I$23,
IF(R223=regle!$J$11,regle!$J$23,
IF(R223=regle!$K$11,regle!$K$23,0))))))))))))</f>
        <v>498.81599999999997</v>
      </c>
      <c r="AC223" s="17">
        <f>IF($A223,$J223*(IF(S223=regle!$B$11,regle!$B$23*IF(AL223=-2,1+regle!$B$35,1),
IF(S223=regle!$C$11,regle!$C$23,
IF(S223=regle!$D$11,regle!$D$23,
IF(S223=regle!$E$11,regle!$E$23,
IF(S223=regle!$F$11,regle!$F$23,
IF(S223=regle!$G$11,regle!$G$23,
IF(S223=regle!$H$11,regle!$H$23,
IF(S223=regle!$I$11,regle!$I$23,
IF(S223=regle!$J$11,regle!$J$23,
IF(S223=regle!$K$11,regle!$K$23,0))))))))))))</f>
        <v>0</v>
      </c>
      <c r="AD223" s="17">
        <f>IF($A223,$J223*(IF(T223=regle!$B$11,regle!$B$23*IF(AM223=-2,1+regle!$B$35,1),
IF(T223=regle!$C$11,regle!$C$23,
IF(T223=regle!$D$11,regle!$D$23,
IF(T223=regle!$E$11,regle!$E$23,
IF(T223=regle!$F$11,regle!$F$23,
IF(T223=regle!$G$11,regle!$G$23,
IF(T223=regle!$H$11,regle!$H$23,
IF(T223=regle!$I$11,regle!$I$23,
IF(T223=regle!$J$11,regle!$J$23,
IF(T223=regle!$K$11,regle!$K$23,0))))))))))))</f>
        <v>0</v>
      </c>
      <c r="AE223" s="17">
        <f>IF($A223,$J223*(IF(U223=regle!$B$11,regle!$B$23*IF(AN223=-2,1+regle!$B$35,1),
IF(U223=regle!$C$11,regle!$C$23,
IF(U223=regle!$D$11,regle!$D$23,
IF(U223=regle!$E$11,regle!$E$23,
IF(U223=regle!$F$11,regle!$F$23,
IF(U223=regle!$G$11,regle!$G$23,
IF(U223=regle!$H$11,regle!$H$23,
IF(U223=regle!$I$11,regle!$I$23,
IF(U223=regle!$J$11,regle!$J$23,
IF(U223=regle!$K$11,regle!$K$23,0))))))))))))</f>
        <v>0</v>
      </c>
      <c r="AF223" s="17">
        <f>IF($A223,$J223*(IF(V223=regle!$B$11,regle!$B$23*IF(AO223=-2,1+regle!$B$35,1),
IF(V223=regle!$C$11,regle!$C$23,
IF(V223=regle!$D$11,regle!$D$23,
IF(V223=regle!$E$11,regle!$E$23,
IF(V223=regle!$F$11,regle!$F$23,
IF(V223=regle!$G$11,regle!$G$23,
IF(V223=regle!$H$11,regle!$H$23,
IF(V223=regle!$I$11,regle!$I$23,
IF(V223=regle!$J$11,regle!$J$23,
IF(V223=regle!$K$11,regle!$K$23,0))))))))))))</f>
        <v>0</v>
      </c>
      <c r="AG223" s="17">
        <f>IF($A223,$J223*(IF(W223=regle!$B$11,regle!$B$23*IF(AP223=-2,1+regle!$B$35,1),
IF(W223=regle!$C$11,regle!$C$23,
IF(W223=regle!$D$11,regle!$D$23,
IF(W223=regle!$E$11,regle!$E$23,
IF(W223=regle!$F$11,regle!$F$23,
IF(W223=regle!$G$11,regle!$G$23,
IF(W223=regle!$H$11,regle!$H$23,
IF(W223=regle!$I$11,regle!$I$23,
IF(W223=regle!$J$11,regle!$J$23,
IF(W223=regle!$K$11,regle!$K$23,0))))))))))))</f>
        <v>727.43999999999994</v>
      </c>
      <c r="AH223" s="17">
        <f>IF($A223,$J223*(IF(X223=regle!$B$11,regle!$B$23*IF(AQ223=-2,1+regle!$B$35,1),
IF(X223=regle!$C$11,regle!$C$23,
IF(X223=regle!$D$11,regle!$D$23,
IF(X223=regle!$E$11,regle!$E$23,
IF(X223=regle!$F$11,regle!$F$23,
IF(X223=regle!$G$11,regle!$G$23,
IF(X223=regle!$H$11,regle!$H$23,
IF(X223=regle!$I$11,regle!$I$23,
IF(X223=regle!$J$11,regle!$J$23,
IF(X223=regle!$K$11,regle!$K$23,0))))))))))))</f>
        <v>0</v>
      </c>
      <c r="AI223" s="17">
        <f>IF($A223,$J223*(IF(Y223=regle!$B$11,regle!$B$23*IF(AR223=-2,1+regle!$B$35,1),
IF(Y223=regle!$C$11,regle!$C$23,
IF(Y223=regle!$D$11,regle!$D$23,
IF(Y223=regle!$E$11,regle!$E$23,
IF(Y223=regle!$F$11,regle!$F$23,
IF(Y223=regle!$G$11,regle!$G$23,
IF(Y223=regle!$H$11,regle!$H$23,
IF(Y223=regle!$I$11,regle!$I$23,
IF(Y223=regle!$J$11,regle!$J$23,
IF(Y223=regle!$K$11,regle!$K$23,0))))))))))))</f>
        <v>0</v>
      </c>
      <c r="AJ223" s="17">
        <f>IF($A223,$J223*(IF(Z223=regle!$B$11,regle!$B$23*IF(AS223=-2,1+regle!$B$35,1),
IF(Z223=regle!$C$11,regle!$C$23,
IF(Z223=regle!$D$11,regle!$D$23,
IF(Z223=regle!$E$11,regle!$E$23,
IF(Z223=regle!$F$11,regle!$F$23,
IF(Z223=regle!$G$11,regle!$G$23,
IF(Z223=regle!$H$11,regle!$H$23,
IF(Z223=regle!$I$11,regle!$I$23,
IF(Z223=regle!$J$11,regle!$J$23,
IF(Z223=regle!$K$11,regle!$K$23,0))))))))))))</f>
        <v>0</v>
      </c>
      <c r="AK223" s="16">
        <f>IF(OR(Q223=regle!$J$11,Q223=regle!$K$11),-2,IF(Q223=regle!$B$11,0,IF(AK$1=$AK$1,IF($O223,-1,regle!$B$2-$M223),IF(AJ223=-1,-1,AJ223+1))))</f>
        <v>11</v>
      </c>
      <c r="AL223" s="16">
        <f>IF(OR(R223=regle!$J$11,R223=regle!$K$11),-2,IF(R223=regle!$B$11,0,IF(AL$1=$AK$1,IF($O223,-1,regle!$B$2-$M223),IF(AK223=-1,-1,AK223+1))))</f>
        <v>12</v>
      </c>
      <c r="AM223" s="16">
        <f>IF(OR(S223=regle!$J$11,S223=regle!$K$11),-2,IF(S223=regle!$B$11,0,IF(AM$1=$AK$1,IF($O223,-1,regle!$B$2-$M223),IF(AL223=-1,-1,AL223+1))))</f>
        <v>13</v>
      </c>
      <c r="AN223" s="16">
        <f>IF(OR(T223=regle!$J$11,T223=regle!$K$11),-2,IF(T223=regle!$B$11,0,IF(AN$1=$AK$1,IF($O223,-1,regle!$B$2-$M223),IF(AM223=-1,-1,AM223+1))))</f>
        <v>14</v>
      </c>
      <c r="AO223" s="16">
        <f>IF(OR(U223=regle!$J$11,U223=regle!$K$11),-2,IF(U223=regle!$B$11,0,IF(AO$1=$AK$1,IF($O223,-1,regle!$B$2-$M223),IF(AN223=-1,-1,AN223+1))))</f>
        <v>15</v>
      </c>
      <c r="AP223" s="16">
        <f>IF(OR(V223=regle!$J$11,V223=regle!$K$11),-2,IF(V223=regle!$B$11,0,IF(AP$1=$AK$1,IF($O223,-1,regle!$B$2-$M223),IF(AO223=-1,-1,AO223+1))))</f>
        <v>16</v>
      </c>
      <c r="AQ223" s="16">
        <f>IF(OR(W223=regle!$J$11,W223=regle!$K$11),-2,IF(W223=regle!$B$11,0,IF(AQ$1=$AK$1,IF($O223,-1,regle!$B$2-$M223),IF(AP223=-1,-1,AP223+1))))</f>
        <v>17</v>
      </c>
      <c r="AR223" s="16">
        <f>IF(OR(X223=regle!$J$11,X223=regle!$K$11),-2,IF(X223=regle!$B$11,0,IF(AR$1=$AK$1,IF($O223,-1,regle!$B$2-$M223),IF(AQ223=-1,-1,AQ223+1))))</f>
        <v>18</v>
      </c>
      <c r="AS223" s="16">
        <f>IF(OR(Y223=regle!$J$11,Y223=regle!$K$11),-2,IF(Y223=regle!$B$11,0,IF(AS$1=$AK$1,IF($O223,-1,regle!$B$2-$M223),IF(AR223=-1,-1,AR223+1))))</f>
        <v>19</v>
      </c>
      <c r="AT223" s="16">
        <f>IF(OR(Z223=regle!$J$11,Z223=regle!$K$11),-2,IF(Z223=regle!$B$11,0,IF(AT$1=$AK$1,IF($O223,-1,regle!$B$2-$M223),IF(AS223=-1,-1,AS223+1))))</f>
        <v>20</v>
      </c>
    </row>
    <row r="224" spans="1:46" x14ac:dyDescent="0.25">
      <c r="A224" t="b">
        <f>modif0!A77</f>
        <v>1</v>
      </c>
      <c r="B224">
        <f>ROW(modif0!B77)</f>
        <v>77</v>
      </c>
      <c r="C224" t="str">
        <f>modif0!D77</f>
        <v>536</v>
      </c>
      <c r="D224" t="str">
        <f>modif0!E77</f>
        <v>LE TUZAN</v>
      </c>
      <c r="E224">
        <f>modif0!F77</f>
        <v>7</v>
      </c>
      <c r="F224" t="str">
        <f>modif0!G77</f>
        <v>CHOUSSE</v>
      </c>
      <c r="G224" t="str">
        <f>modif0!I77</f>
        <v>0A</v>
      </c>
      <c r="H224">
        <f>modif0!J77</f>
        <v>684</v>
      </c>
      <c r="I224" t="str">
        <f>modif0!K77</f>
        <v/>
      </c>
      <c r="J224" s="11">
        <f>modif0!M77</f>
        <v>0.68569999999999998</v>
      </c>
      <c r="K224" s="11" t="str">
        <f>modif0!P77</f>
        <v>PLA</v>
      </c>
      <c r="L224" t="str">
        <f>modif0!N77</f>
        <v>PM</v>
      </c>
      <c r="M224">
        <f>modif0!Q77</f>
        <v>2013</v>
      </c>
      <c r="N224" t="str">
        <f>modif0!R77</f>
        <v>PLA-PM_2013</v>
      </c>
      <c r="O224" t="b">
        <f>modif0!S77</f>
        <v>0</v>
      </c>
      <c r="P224">
        <v>40</v>
      </c>
      <c r="R224" t="s">
        <v>1803</v>
      </c>
      <c r="W224" t="s">
        <v>1804</v>
      </c>
      <c r="AA224" s="17">
        <f>IF($A224,$J224*(IF(Q224=regle!$B$11,regle!$B$23*IF(AJ224=-2,1+regle!$B$35,1),
IF(Q224=regle!$C$11,regle!$C$23,
IF(Q224=regle!$D$11,regle!$D$23,
IF(Q224=regle!$E$11,regle!$E$23,
IF(Q224=regle!$F$11,regle!$F$23,
IF(Q224=regle!$G$11,regle!$G$23,
IF(Q224=regle!$H$11,regle!$H$23,
IF(Q224=regle!$I$11,regle!$I$23,
IF(Q224=regle!$J$11,regle!$J$23,
IF(Q224=regle!$K$11,regle!$K$23,0))))))))))))</f>
        <v>0</v>
      </c>
      <c r="AB224" s="17">
        <f>IF($A224,$J224*(IF(R224=regle!$B$11,regle!$B$23*IF(AK224=-2,1+regle!$B$35,1),
IF(R224=regle!$C$11,regle!$C$23,
IF(R224=regle!$D$11,regle!$D$23,
IF(R224=regle!$E$11,regle!$E$23,
IF(R224=regle!$F$11,regle!$F$23,
IF(R224=regle!$G$11,regle!$G$23,
IF(R224=regle!$H$11,regle!$H$23,
IF(R224=regle!$I$11,regle!$I$23,
IF(R224=regle!$J$11,regle!$J$23,
IF(R224=regle!$K$11,regle!$K$23,0))))))))))))</f>
        <v>394.96319999999997</v>
      </c>
      <c r="AC224" s="17">
        <f>IF($A224,$J224*(IF(S224=regle!$B$11,regle!$B$23*IF(AL224=-2,1+regle!$B$35,1),
IF(S224=regle!$C$11,regle!$C$23,
IF(S224=regle!$D$11,regle!$D$23,
IF(S224=regle!$E$11,regle!$E$23,
IF(S224=regle!$F$11,regle!$F$23,
IF(S224=regle!$G$11,regle!$G$23,
IF(S224=regle!$H$11,regle!$H$23,
IF(S224=regle!$I$11,regle!$I$23,
IF(S224=regle!$J$11,regle!$J$23,
IF(S224=regle!$K$11,regle!$K$23,0))))))))))))</f>
        <v>0</v>
      </c>
      <c r="AD224" s="17">
        <f>IF($A224,$J224*(IF(T224=regle!$B$11,regle!$B$23*IF(AM224=-2,1+regle!$B$35,1),
IF(T224=regle!$C$11,regle!$C$23,
IF(T224=regle!$D$11,regle!$D$23,
IF(T224=regle!$E$11,regle!$E$23,
IF(T224=regle!$F$11,regle!$F$23,
IF(T224=regle!$G$11,regle!$G$23,
IF(T224=regle!$H$11,regle!$H$23,
IF(T224=regle!$I$11,regle!$I$23,
IF(T224=regle!$J$11,regle!$J$23,
IF(T224=regle!$K$11,regle!$K$23,0))))))))))))</f>
        <v>0</v>
      </c>
      <c r="AE224" s="17">
        <f>IF($A224,$J224*(IF(U224=regle!$B$11,regle!$B$23*IF(AN224=-2,1+regle!$B$35,1),
IF(U224=regle!$C$11,regle!$C$23,
IF(U224=regle!$D$11,regle!$D$23,
IF(U224=regle!$E$11,regle!$E$23,
IF(U224=regle!$F$11,regle!$F$23,
IF(U224=regle!$G$11,regle!$G$23,
IF(U224=regle!$H$11,regle!$H$23,
IF(U224=regle!$I$11,regle!$I$23,
IF(U224=regle!$J$11,regle!$J$23,
IF(U224=regle!$K$11,regle!$K$23,0))))))))))))</f>
        <v>0</v>
      </c>
      <c r="AF224" s="17">
        <f>IF($A224,$J224*(IF(V224=regle!$B$11,regle!$B$23*IF(AO224=-2,1+regle!$B$35,1),
IF(V224=regle!$C$11,regle!$C$23,
IF(V224=regle!$D$11,regle!$D$23,
IF(V224=regle!$E$11,regle!$E$23,
IF(V224=regle!$F$11,regle!$F$23,
IF(V224=regle!$G$11,regle!$G$23,
IF(V224=regle!$H$11,regle!$H$23,
IF(V224=regle!$I$11,regle!$I$23,
IF(V224=regle!$J$11,regle!$J$23,
IF(V224=regle!$K$11,regle!$K$23,0))))))))))))</f>
        <v>0</v>
      </c>
      <c r="AG224" s="17">
        <f>IF($A224,$J224*(IF(W224=regle!$B$11,regle!$B$23*IF(AP224=-2,1+regle!$B$35,1),
IF(W224=regle!$C$11,regle!$C$23,
IF(W224=regle!$D$11,regle!$D$23,
IF(W224=regle!$E$11,regle!$E$23,
IF(W224=regle!$F$11,regle!$F$23,
IF(W224=regle!$G$11,regle!$G$23,
IF(W224=regle!$H$11,regle!$H$23,
IF(W224=regle!$I$11,regle!$I$23,
IF(W224=regle!$J$11,regle!$J$23,
IF(W224=regle!$K$11,regle!$K$23,0))))))))))))</f>
        <v>575.98799999999994</v>
      </c>
      <c r="AH224" s="17">
        <f>IF($A224,$J224*(IF(X224=regle!$B$11,regle!$B$23*IF(AQ224=-2,1+regle!$B$35,1),
IF(X224=regle!$C$11,regle!$C$23,
IF(X224=regle!$D$11,regle!$D$23,
IF(X224=regle!$E$11,regle!$E$23,
IF(X224=regle!$F$11,regle!$F$23,
IF(X224=regle!$G$11,regle!$G$23,
IF(X224=regle!$H$11,regle!$H$23,
IF(X224=regle!$I$11,regle!$I$23,
IF(X224=regle!$J$11,regle!$J$23,
IF(X224=regle!$K$11,regle!$K$23,0))))))))))))</f>
        <v>0</v>
      </c>
      <c r="AI224" s="17">
        <f>IF($A224,$J224*(IF(Y224=regle!$B$11,regle!$B$23*IF(AR224=-2,1+regle!$B$35,1),
IF(Y224=regle!$C$11,regle!$C$23,
IF(Y224=regle!$D$11,regle!$D$23,
IF(Y224=regle!$E$11,regle!$E$23,
IF(Y224=regle!$F$11,regle!$F$23,
IF(Y224=regle!$G$11,regle!$G$23,
IF(Y224=regle!$H$11,regle!$H$23,
IF(Y224=regle!$I$11,regle!$I$23,
IF(Y224=regle!$J$11,regle!$J$23,
IF(Y224=regle!$K$11,regle!$K$23,0))))))))))))</f>
        <v>0</v>
      </c>
      <c r="AJ224" s="17">
        <f>IF($A224,$J224*(IF(Z224=regle!$B$11,regle!$B$23*IF(AS224=-2,1+regle!$B$35,1),
IF(Z224=regle!$C$11,regle!$C$23,
IF(Z224=regle!$D$11,regle!$D$23,
IF(Z224=regle!$E$11,regle!$E$23,
IF(Z224=regle!$F$11,regle!$F$23,
IF(Z224=regle!$G$11,regle!$G$23,
IF(Z224=regle!$H$11,regle!$H$23,
IF(Z224=regle!$I$11,regle!$I$23,
IF(Z224=regle!$J$11,regle!$J$23,
IF(Z224=regle!$K$11,regle!$K$23,0))))))))))))</f>
        <v>0</v>
      </c>
      <c r="AK224" s="16">
        <f>IF(OR(Q224=regle!$J$11,Q224=regle!$K$11),-2,IF(Q224=regle!$B$11,0,IF(AK$1=$AK$1,IF($O224,-1,regle!$B$2-$M224),IF(AJ224=-1,-1,AJ224+1))))</f>
        <v>11</v>
      </c>
      <c r="AL224" s="16">
        <f>IF(OR(R224=regle!$J$11,R224=regle!$K$11),-2,IF(R224=regle!$B$11,0,IF(AL$1=$AK$1,IF($O224,-1,regle!$B$2-$M224),IF(AK224=-1,-1,AK224+1))))</f>
        <v>12</v>
      </c>
      <c r="AM224" s="16">
        <f>IF(OR(S224=regle!$J$11,S224=regle!$K$11),-2,IF(S224=regle!$B$11,0,IF(AM$1=$AK$1,IF($O224,-1,regle!$B$2-$M224),IF(AL224=-1,-1,AL224+1))))</f>
        <v>13</v>
      </c>
      <c r="AN224" s="16">
        <f>IF(OR(T224=regle!$J$11,T224=regle!$K$11),-2,IF(T224=regle!$B$11,0,IF(AN$1=$AK$1,IF($O224,-1,regle!$B$2-$M224),IF(AM224=-1,-1,AM224+1))))</f>
        <v>14</v>
      </c>
      <c r="AO224" s="16">
        <f>IF(OR(U224=regle!$J$11,U224=regle!$K$11),-2,IF(U224=regle!$B$11,0,IF(AO$1=$AK$1,IF($O224,-1,regle!$B$2-$M224),IF(AN224=-1,-1,AN224+1))))</f>
        <v>15</v>
      </c>
      <c r="AP224" s="16">
        <f>IF(OR(V224=regle!$J$11,V224=regle!$K$11),-2,IF(V224=regle!$B$11,0,IF(AP$1=$AK$1,IF($O224,-1,regle!$B$2-$M224),IF(AO224=-1,-1,AO224+1))))</f>
        <v>16</v>
      </c>
      <c r="AQ224" s="16">
        <f>IF(OR(W224=regle!$J$11,W224=regle!$K$11),-2,IF(W224=regle!$B$11,0,IF(AQ$1=$AK$1,IF($O224,-1,regle!$B$2-$M224),IF(AP224=-1,-1,AP224+1))))</f>
        <v>17</v>
      </c>
      <c r="AR224" s="16">
        <f>IF(OR(X224=regle!$J$11,X224=regle!$K$11),-2,IF(X224=regle!$B$11,0,IF(AR$1=$AK$1,IF($O224,-1,regle!$B$2-$M224),IF(AQ224=-1,-1,AQ224+1))))</f>
        <v>18</v>
      </c>
      <c r="AS224" s="16">
        <f>IF(OR(Y224=regle!$J$11,Y224=regle!$K$11),-2,IF(Y224=regle!$B$11,0,IF(AS$1=$AK$1,IF($O224,-1,regle!$B$2-$M224),IF(AR224=-1,-1,AR224+1))))</f>
        <v>19</v>
      </c>
      <c r="AT224" s="16">
        <f>IF(OR(Z224=regle!$J$11,Z224=regle!$K$11),-2,IF(Z224=regle!$B$11,0,IF(AT$1=$AK$1,IF($O224,-1,regle!$B$2-$M224),IF(AS224=-1,-1,AS224+1))))</f>
        <v>20</v>
      </c>
    </row>
    <row r="225" spans="1:46" x14ac:dyDescent="0.25">
      <c r="A225" t="b">
        <f>modif0!A80</f>
        <v>1</v>
      </c>
      <c r="B225">
        <f>ROW(modif0!B80)</f>
        <v>80</v>
      </c>
      <c r="C225" t="str">
        <f>modif0!D80</f>
        <v>536</v>
      </c>
      <c r="D225" t="str">
        <f>modif0!E80</f>
        <v>LE TUZAN</v>
      </c>
      <c r="E225">
        <f>modif0!F80</f>
        <v>7</v>
      </c>
      <c r="F225" t="str">
        <f>modif0!G80</f>
        <v>CHOUSSE</v>
      </c>
      <c r="G225" t="str">
        <f>modif0!I80</f>
        <v>0A</v>
      </c>
      <c r="H225">
        <f>modif0!J80</f>
        <v>704</v>
      </c>
      <c r="I225" t="str">
        <f>modif0!K80</f>
        <v/>
      </c>
      <c r="J225" s="11">
        <f>modif0!M80</f>
        <v>0.52859999999999996</v>
      </c>
      <c r="K225" s="11" t="str">
        <f>modif0!P80</f>
        <v>PLA</v>
      </c>
      <c r="L225" t="str">
        <f>modif0!N80</f>
        <v>PM</v>
      </c>
      <c r="M225">
        <f>modif0!Q80</f>
        <v>2013</v>
      </c>
      <c r="N225" t="str">
        <f>modif0!R80</f>
        <v>PLA-PM_2013</v>
      </c>
      <c r="O225" t="b">
        <f>modif0!S80</f>
        <v>0</v>
      </c>
      <c r="P225">
        <v>40</v>
      </c>
      <c r="R225" t="s">
        <v>1803</v>
      </c>
      <c r="W225" t="s">
        <v>1804</v>
      </c>
      <c r="AA225" s="17">
        <f>IF($A225,$J225*(IF(Q225=regle!$B$11,regle!$B$23*IF(AJ225=-2,1+regle!$B$35,1),
IF(Q225=regle!$C$11,regle!$C$23,
IF(Q225=regle!$D$11,regle!$D$23,
IF(Q225=regle!$E$11,regle!$E$23,
IF(Q225=regle!$F$11,regle!$F$23,
IF(Q225=regle!$G$11,regle!$G$23,
IF(Q225=regle!$H$11,regle!$H$23,
IF(Q225=regle!$I$11,regle!$I$23,
IF(Q225=regle!$J$11,regle!$J$23,
IF(Q225=regle!$K$11,regle!$K$23,0))))))))))))</f>
        <v>0</v>
      </c>
      <c r="AB225" s="17">
        <f>IF($A225,$J225*(IF(R225=regle!$B$11,regle!$B$23*IF(AK225=-2,1+regle!$B$35,1),
IF(R225=regle!$C$11,regle!$C$23,
IF(R225=regle!$D$11,regle!$D$23,
IF(R225=regle!$E$11,regle!$E$23,
IF(R225=regle!$F$11,regle!$F$23,
IF(R225=regle!$G$11,regle!$G$23,
IF(R225=regle!$H$11,regle!$H$23,
IF(R225=regle!$I$11,regle!$I$23,
IF(R225=regle!$J$11,regle!$J$23,
IF(R225=regle!$K$11,regle!$K$23,0))))))))))))</f>
        <v>304.47359999999998</v>
      </c>
      <c r="AC225" s="17">
        <f>IF($A225,$J225*(IF(S225=regle!$B$11,regle!$B$23*IF(AL225=-2,1+regle!$B$35,1),
IF(S225=regle!$C$11,regle!$C$23,
IF(S225=regle!$D$11,regle!$D$23,
IF(S225=regle!$E$11,regle!$E$23,
IF(S225=regle!$F$11,regle!$F$23,
IF(S225=regle!$G$11,regle!$G$23,
IF(S225=regle!$H$11,regle!$H$23,
IF(S225=regle!$I$11,regle!$I$23,
IF(S225=regle!$J$11,regle!$J$23,
IF(S225=regle!$K$11,regle!$K$23,0))))))))))))</f>
        <v>0</v>
      </c>
      <c r="AD225" s="17">
        <f>IF($A225,$J225*(IF(T225=regle!$B$11,regle!$B$23*IF(AM225=-2,1+regle!$B$35,1),
IF(T225=regle!$C$11,regle!$C$23,
IF(T225=regle!$D$11,regle!$D$23,
IF(T225=regle!$E$11,regle!$E$23,
IF(T225=regle!$F$11,regle!$F$23,
IF(T225=regle!$G$11,regle!$G$23,
IF(T225=regle!$H$11,regle!$H$23,
IF(T225=regle!$I$11,regle!$I$23,
IF(T225=regle!$J$11,regle!$J$23,
IF(T225=regle!$K$11,regle!$K$23,0))))))))))))</f>
        <v>0</v>
      </c>
      <c r="AE225" s="17">
        <f>IF($A225,$J225*(IF(U225=regle!$B$11,regle!$B$23*IF(AN225=-2,1+regle!$B$35,1),
IF(U225=regle!$C$11,regle!$C$23,
IF(U225=regle!$D$11,regle!$D$23,
IF(U225=regle!$E$11,regle!$E$23,
IF(U225=regle!$F$11,regle!$F$23,
IF(U225=regle!$G$11,regle!$G$23,
IF(U225=regle!$H$11,regle!$H$23,
IF(U225=regle!$I$11,regle!$I$23,
IF(U225=regle!$J$11,regle!$J$23,
IF(U225=regle!$K$11,regle!$K$23,0))))))))))))</f>
        <v>0</v>
      </c>
      <c r="AF225" s="17">
        <f>IF($A225,$J225*(IF(V225=regle!$B$11,regle!$B$23*IF(AO225=-2,1+regle!$B$35,1),
IF(V225=regle!$C$11,regle!$C$23,
IF(V225=regle!$D$11,regle!$D$23,
IF(V225=regle!$E$11,regle!$E$23,
IF(V225=regle!$F$11,regle!$F$23,
IF(V225=regle!$G$11,regle!$G$23,
IF(V225=regle!$H$11,regle!$H$23,
IF(V225=regle!$I$11,regle!$I$23,
IF(V225=regle!$J$11,regle!$J$23,
IF(V225=regle!$K$11,regle!$K$23,0))))))))))))</f>
        <v>0</v>
      </c>
      <c r="AG225" s="17">
        <f>IF($A225,$J225*(IF(W225=regle!$B$11,regle!$B$23*IF(AP225=-2,1+regle!$B$35,1),
IF(W225=regle!$C$11,regle!$C$23,
IF(W225=regle!$D$11,regle!$D$23,
IF(W225=regle!$E$11,regle!$E$23,
IF(W225=regle!$F$11,regle!$F$23,
IF(W225=regle!$G$11,regle!$G$23,
IF(W225=regle!$H$11,regle!$H$23,
IF(W225=regle!$I$11,regle!$I$23,
IF(W225=regle!$J$11,regle!$J$23,
IF(W225=regle!$K$11,regle!$K$23,0))))))))))))</f>
        <v>444.02399999999994</v>
      </c>
      <c r="AH225" s="17">
        <f>IF($A225,$J225*(IF(X225=regle!$B$11,regle!$B$23*IF(AQ225=-2,1+regle!$B$35,1),
IF(X225=regle!$C$11,regle!$C$23,
IF(X225=regle!$D$11,regle!$D$23,
IF(X225=regle!$E$11,regle!$E$23,
IF(X225=regle!$F$11,regle!$F$23,
IF(X225=regle!$G$11,regle!$G$23,
IF(X225=regle!$H$11,regle!$H$23,
IF(X225=regle!$I$11,regle!$I$23,
IF(X225=regle!$J$11,regle!$J$23,
IF(X225=regle!$K$11,regle!$K$23,0))))))))))))</f>
        <v>0</v>
      </c>
      <c r="AI225" s="17">
        <f>IF($A225,$J225*(IF(Y225=regle!$B$11,regle!$B$23*IF(AR225=-2,1+regle!$B$35,1),
IF(Y225=regle!$C$11,regle!$C$23,
IF(Y225=regle!$D$11,regle!$D$23,
IF(Y225=regle!$E$11,regle!$E$23,
IF(Y225=regle!$F$11,regle!$F$23,
IF(Y225=regle!$G$11,regle!$G$23,
IF(Y225=regle!$H$11,regle!$H$23,
IF(Y225=regle!$I$11,regle!$I$23,
IF(Y225=regle!$J$11,regle!$J$23,
IF(Y225=regle!$K$11,regle!$K$23,0))))))))))))</f>
        <v>0</v>
      </c>
      <c r="AJ225" s="17">
        <f>IF($A225,$J225*(IF(Z225=regle!$B$11,regle!$B$23*IF(AS225=-2,1+regle!$B$35,1),
IF(Z225=regle!$C$11,regle!$C$23,
IF(Z225=regle!$D$11,regle!$D$23,
IF(Z225=regle!$E$11,regle!$E$23,
IF(Z225=regle!$F$11,regle!$F$23,
IF(Z225=regle!$G$11,regle!$G$23,
IF(Z225=regle!$H$11,regle!$H$23,
IF(Z225=regle!$I$11,regle!$I$23,
IF(Z225=regle!$J$11,regle!$J$23,
IF(Z225=regle!$K$11,regle!$K$23,0))))))))))))</f>
        <v>0</v>
      </c>
      <c r="AK225" s="16">
        <f>IF(OR(Q225=regle!$J$11,Q225=regle!$K$11),-2,IF(Q225=regle!$B$11,0,IF(AK$1=$AK$1,IF($O225,-1,regle!$B$2-$M225),IF(AJ225=-1,-1,AJ225+1))))</f>
        <v>11</v>
      </c>
      <c r="AL225" s="16">
        <f>IF(OR(R225=regle!$J$11,R225=regle!$K$11),-2,IF(R225=regle!$B$11,0,IF(AL$1=$AK$1,IF($O225,-1,regle!$B$2-$M225),IF(AK225=-1,-1,AK225+1))))</f>
        <v>12</v>
      </c>
      <c r="AM225" s="16">
        <f>IF(OR(S225=regle!$J$11,S225=regle!$K$11),-2,IF(S225=regle!$B$11,0,IF(AM$1=$AK$1,IF($O225,-1,regle!$B$2-$M225),IF(AL225=-1,-1,AL225+1))))</f>
        <v>13</v>
      </c>
      <c r="AN225" s="16">
        <f>IF(OR(T225=regle!$J$11,T225=regle!$K$11),-2,IF(T225=regle!$B$11,0,IF(AN$1=$AK$1,IF($O225,-1,regle!$B$2-$M225),IF(AM225=-1,-1,AM225+1))))</f>
        <v>14</v>
      </c>
      <c r="AO225" s="16">
        <f>IF(OR(U225=regle!$J$11,U225=regle!$K$11),-2,IF(U225=regle!$B$11,0,IF(AO$1=$AK$1,IF($O225,-1,regle!$B$2-$M225),IF(AN225=-1,-1,AN225+1))))</f>
        <v>15</v>
      </c>
      <c r="AP225" s="16">
        <f>IF(OR(V225=regle!$J$11,V225=regle!$K$11),-2,IF(V225=regle!$B$11,0,IF(AP$1=$AK$1,IF($O225,-1,regle!$B$2-$M225),IF(AO225=-1,-1,AO225+1))))</f>
        <v>16</v>
      </c>
      <c r="AQ225" s="16">
        <f>IF(OR(W225=regle!$J$11,W225=regle!$K$11),-2,IF(W225=regle!$B$11,0,IF(AQ$1=$AK$1,IF($O225,-1,regle!$B$2-$M225),IF(AP225=-1,-1,AP225+1))))</f>
        <v>17</v>
      </c>
      <c r="AR225" s="16">
        <f>IF(OR(X225=regle!$J$11,X225=regle!$K$11),-2,IF(X225=regle!$B$11,0,IF(AR$1=$AK$1,IF($O225,-1,regle!$B$2-$M225),IF(AQ225=-1,-1,AQ225+1))))</f>
        <v>18</v>
      </c>
      <c r="AS225" s="16">
        <f>IF(OR(Y225=regle!$J$11,Y225=regle!$K$11),-2,IF(Y225=regle!$B$11,0,IF(AS$1=$AK$1,IF($O225,-1,regle!$B$2-$M225),IF(AR225=-1,-1,AR225+1))))</f>
        <v>19</v>
      </c>
      <c r="AT225" s="16">
        <f>IF(OR(Z225=regle!$J$11,Z225=regle!$K$11),-2,IF(Z225=regle!$B$11,0,IF(AT$1=$AK$1,IF($O225,-1,regle!$B$2-$M225),IF(AS225=-1,-1,AS225+1))))</f>
        <v>20</v>
      </c>
    </row>
    <row r="226" spans="1:46" x14ac:dyDescent="0.25">
      <c r="A226" t="b">
        <f>modif0!A78</f>
        <v>1</v>
      </c>
      <c r="B226">
        <f>ROW(modif0!B78)</f>
        <v>78</v>
      </c>
      <c r="C226" t="str">
        <f>modif0!D78</f>
        <v>536</v>
      </c>
      <c r="D226" t="str">
        <f>modif0!E78</f>
        <v>LE TUZAN</v>
      </c>
      <c r="E226">
        <f>modif0!F78</f>
        <v>7</v>
      </c>
      <c r="F226" t="str">
        <f>modif0!G78</f>
        <v>CHOUSSE</v>
      </c>
      <c r="G226" t="str">
        <f>modif0!I78</f>
        <v>0A</v>
      </c>
      <c r="H226">
        <f>modif0!J78</f>
        <v>700</v>
      </c>
      <c r="I226" t="str">
        <f>modif0!K78</f>
        <v>j</v>
      </c>
      <c r="J226" s="11">
        <f>modif0!M78</f>
        <v>4.3999999999999997E-2</v>
      </c>
      <c r="K226" s="11" t="str">
        <f>modif0!P78</f>
        <v>PLA</v>
      </c>
      <c r="L226" t="str">
        <f>modif0!N78</f>
        <v>PM</v>
      </c>
      <c r="M226">
        <f>modif0!Q78</f>
        <v>2013</v>
      </c>
      <c r="N226" t="str">
        <f>modif0!R78</f>
        <v>PLA-PM_2013</v>
      </c>
      <c r="O226" t="b">
        <f>modif0!S78</f>
        <v>0</v>
      </c>
      <c r="P226">
        <v>40</v>
      </c>
      <c r="R226" t="s">
        <v>1803</v>
      </c>
      <c r="W226" t="s">
        <v>1804</v>
      </c>
      <c r="AA226" s="17">
        <f>IF($A226,$J226*(IF(Q226=regle!$B$11,regle!$B$23*IF(AJ226=-2,1+regle!$B$35,1),
IF(Q226=regle!$C$11,regle!$C$23,
IF(Q226=regle!$D$11,regle!$D$23,
IF(Q226=regle!$E$11,regle!$E$23,
IF(Q226=regle!$F$11,regle!$F$23,
IF(Q226=regle!$G$11,regle!$G$23,
IF(Q226=regle!$H$11,regle!$H$23,
IF(Q226=regle!$I$11,regle!$I$23,
IF(Q226=regle!$J$11,regle!$J$23,
IF(Q226=regle!$K$11,regle!$K$23,0))))))))))))</f>
        <v>0</v>
      </c>
      <c r="AB226" s="17">
        <f>IF($A226,$J226*(IF(R226=regle!$B$11,regle!$B$23*IF(AK226=-2,1+regle!$B$35,1),
IF(R226=regle!$C$11,regle!$C$23,
IF(R226=regle!$D$11,regle!$D$23,
IF(R226=regle!$E$11,regle!$E$23,
IF(R226=regle!$F$11,regle!$F$23,
IF(R226=regle!$G$11,regle!$G$23,
IF(R226=regle!$H$11,regle!$H$23,
IF(R226=regle!$I$11,regle!$I$23,
IF(R226=regle!$J$11,regle!$J$23,
IF(R226=regle!$K$11,regle!$K$23,0))))))))))))</f>
        <v>25.343999999999998</v>
      </c>
      <c r="AC226" s="17">
        <f>IF($A226,$J226*(IF(S226=regle!$B$11,regle!$B$23*IF(AL226=-2,1+regle!$B$35,1),
IF(S226=regle!$C$11,regle!$C$23,
IF(S226=regle!$D$11,regle!$D$23,
IF(S226=regle!$E$11,regle!$E$23,
IF(S226=regle!$F$11,regle!$F$23,
IF(S226=regle!$G$11,regle!$G$23,
IF(S226=regle!$H$11,regle!$H$23,
IF(S226=regle!$I$11,regle!$I$23,
IF(S226=regle!$J$11,regle!$J$23,
IF(S226=regle!$K$11,regle!$K$23,0))))))))))))</f>
        <v>0</v>
      </c>
      <c r="AD226" s="17">
        <f>IF($A226,$J226*(IF(T226=regle!$B$11,regle!$B$23*IF(AM226=-2,1+regle!$B$35,1),
IF(T226=regle!$C$11,regle!$C$23,
IF(T226=regle!$D$11,regle!$D$23,
IF(T226=regle!$E$11,regle!$E$23,
IF(T226=regle!$F$11,regle!$F$23,
IF(T226=regle!$G$11,regle!$G$23,
IF(T226=regle!$H$11,regle!$H$23,
IF(T226=regle!$I$11,regle!$I$23,
IF(T226=regle!$J$11,regle!$J$23,
IF(T226=regle!$K$11,regle!$K$23,0))))))))))))</f>
        <v>0</v>
      </c>
      <c r="AE226" s="17">
        <f>IF($A226,$J226*(IF(U226=regle!$B$11,regle!$B$23*IF(AN226=-2,1+regle!$B$35,1),
IF(U226=regle!$C$11,regle!$C$23,
IF(U226=regle!$D$11,regle!$D$23,
IF(U226=regle!$E$11,regle!$E$23,
IF(U226=regle!$F$11,regle!$F$23,
IF(U226=regle!$G$11,regle!$G$23,
IF(U226=regle!$H$11,regle!$H$23,
IF(U226=regle!$I$11,regle!$I$23,
IF(U226=regle!$J$11,regle!$J$23,
IF(U226=regle!$K$11,regle!$K$23,0))))))))))))</f>
        <v>0</v>
      </c>
      <c r="AF226" s="17">
        <f>IF($A226,$J226*(IF(V226=regle!$B$11,regle!$B$23*IF(AO226=-2,1+regle!$B$35,1),
IF(V226=regle!$C$11,regle!$C$23,
IF(V226=regle!$D$11,regle!$D$23,
IF(V226=regle!$E$11,regle!$E$23,
IF(V226=regle!$F$11,regle!$F$23,
IF(V226=regle!$G$11,regle!$G$23,
IF(V226=regle!$H$11,regle!$H$23,
IF(V226=regle!$I$11,regle!$I$23,
IF(V226=regle!$J$11,regle!$J$23,
IF(V226=regle!$K$11,regle!$K$23,0))))))))))))</f>
        <v>0</v>
      </c>
      <c r="AG226" s="17">
        <f>IF($A226,$J226*(IF(W226=regle!$B$11,regle!$B$23*IF(AP226=-2,1+regle!$B$35,1),
IF(W226=regle!$C$11,regle!$C$23,
IF(W226=regle!$D$11,regle!$D$23,
IF(W226=regle!$E$11,regle!$E$23,
IF(W226=regle!$F$11,regle!$F$23,
IF(W226=regle!$G$11,regle!$G$23,
IF(W226=regle!$H$11,regle!$H$23,
IF(W226=regle!$I$11,regle!$I$23,
IF(W226=regle!$J$11,regle!$J$23,
IF(W226=regle!$K$11,regle!$K$23,0))))))))))))</f>
        <v>36.96</v>
      </c>
      <c r="AH226" s="17">
        <f>IF($A226,$J226*(IF(X226=regle!$B$11,regle!$B$23*IF(AQ226=-2,1+regle!$B$35,1),
IF(X226=regle!$C$11,regle!$C$23,
IF(X226=regle!$D$11,regle!$D$23,
IF(X226=regle!$E$11,regle!$E$23,
IF(X226=regle!$F$11,regle!$F$23,
IF(X226=regle!$G$11,regle!$G$23,
IF(X226=regle!$H$11,regle!$H$23,
IF(X226=regle!$I$11,regle!$I$23,
IF(X226=regle!$J$11,regle!$J$23,
IF(X226=regle!$K$11,regle!$K$23,0))))))))))))</f>
        <v>0</v>
      </c>
      <c r="AI226" s="17">
        <f>IF($A226,$J226*(IF(Y226=regle!$B$11,regle!$B$23*IF(AR226=-2,1+regle!$B$35,1),
IF(Y226=regle!$C$11,regle!$C$23,
IF(Y226=regle!$D$11,regle!$D$23,
IF(Y226=regle!$E$11,regle!$E$23,
IF(Y226=regle!$F$11,regle!$F$23,
IF(Y226=regle!$G$11,regle!$G$23,
IF(Y226=regle!$H$11,regle!$H$23,
IF(Y226=regle!$I$11,regle!$I$23,
IF(Y226=regle!$J$11,regle!$J$23,
IF(Y226=regle!$K$11,regle!$K$23,0))))))))))))</f>
        <v>0</v>
      </c>
      <c r="AJ226" s="17">
        <f>IF($A226,$J226*(IF(Z226=regle!$B$11,regle!$B$23*IF(AS226=-2,1+regle!$B$35,1),
IF(Z226=regle!$C$11,regle!$C$23,
IF(Z226=regle!$D$11,regle!$D$23,
IF(Z226=regle!$E$11,regle!$E$23,
IF(Z226=regle!$F$11,regle!$F$23,
IF(Z226=regle!$G$11,regle!$G$23,
IF(Z226=regle!$H$11,regle!$H$23,
IF(Z226=regle!$I$11,regle!$I$23,
IF(Z226=regle!$J$11,regle!$J$23,
IF(Z226=regle!$K$11,regle!$K$23,0))))))))))))</f>
        <v>0</v>
      </c>
      <c r="AK226" s="16">
        <f>IF(OR(Q226=regle!$J$11,Q226=regle!$K$11),-2,IF(Q226=regle!$B$11,0,IF(AK$1=$AK$1,IF($O226,-1,regle!$B$2-$M226),IF(AJ226=-1,-1,AJ226+1))))</f>
        <v>11</v>
      </c>
      <c r="AL226" s="16">
        <f>IF(OR(R226=regle!$J$11,R226=regle!$K$11),-2,IF(R226=regle!$B$11,0,IF(AL$1=$AK$1,IF($O226,-1,regle!$B$2-$M226),IF(AK226=-1,-1,AK226+1))))</f>
        <v>12</v>
      </c>
      <c r="AM226" s="16">
        <f>IF(OR(S226=regle!$J$11,S226=regle!$K$11),-2,IF(S226=regle!$B$11,0,IF(AM$1=$AK$1,IF($O226,-1,regle!$B$2-$M226),IF(AL226=-1,-1,AL226+1))))</f>
        <v>13</v>
      </c>
      <c r="AN226" s="16">
        <f>IF(OR(T226=regle!$J$11,T226=regle!$K$11),-2,IF(T226=regle!$B$11,0,IF(AN$1=$AK$1,IF($O226,-1,regle!$B$2-$M226),IF(AM226=-1,-1,AM226+1))))</f>
        <v>14</v>
      </c>
      <c r="AO226" s="16">
        <f>IF(OR(U226=regle!$J$11,U226=regle!$K$11),-2,IF(U226=regle!$B$11,0,IF(AO$1=$AK$1,IF($O226,-1,regle!$B$2-$M226),IF(AN226=-1,-1,AN226+1))))</f>
        <v>15</v>
      </c>
      <c r="AP226" s="16">
        <f>IF(OR(V226=regle!$J$11,V226=regle!$K$11),-2,IF(V226=regle!$B$11,0,IF(AP$1=$AK$1,IF($O226,-1,regle!$B$2-$M226),IF(AO226=-1,-1,AO226+1))))</f>
        <v>16</v>
      </c>
      <c r="AQ226" s="16">
        <f>IF(OR(W226=regle!$J$11,W226=regle!$K$11),-2,IF(W226=regle!$B$11,0,IF(AQ$1=$AK$1,IF($O226,-1,regle!$B$2-$M226),IF(AP226=-1,-1,AP226+1))))</f>
        <v>17</v>
      </c>
      <c r="AR226" s="16">
        <f>IF(OR(X226=regle!$J$11,X226=regle!$K$11),-2,IF(X226=regle!$B$11,0,IF(AR$1=$AK$1,IF($O226,-1,regle!$B$2-$M226),IF(AQ226=-1,-1,AQ226+1))))</f>
        <v>18</v>
      </c>
      <c r="AS226" s="16">
        <f>IF(OR(Y226=regle!$J$11,Y226=regle!$K$11),-2,IF(Y226=regle!$B$11,0,IF(AS$1=$AK$1,IF($O226,-1,regle!$B$2-$M226),IF(AR226=-1,-1,AR226+1))))</f>
        <v>19</v>
      </c>
      <c r="AT226" s="16">
        <f>IF(OR(Z226=regle!$J$11,Z226=regle!$K$11),-2,IF(Z226=regle!$B$11,0,IF(AT$1=$AK$1,IF($O226,-1,regle!$B$2-$M226),IF(AS226=-1,-1,AS226+1))))</f>
        <v>20</v>
      </c>
    </row>
    <row r="227" spans="1:46" x14ac:dyDescent="0.25">
      <c r="A227" t="b">
        <f>modif0!A252</f>
        <v>1</v>
      </c>
      <c r="B227">
        <f>ROW(modif0!B252)</f>
        <v>252</v>
      </c>
      <c r="C227" t="str">
        <f>modif0!D252</f>
        <v>171</v>
      </c>
      <c r="D227" t="str">
        <f>modif0!E252</f>
        <v>MANO</v>
      </c>
      <c r="E227">
        <f>modif0!F252</f>
        <v>17</v>
      </c>
      <c r="F227" t="str">
        <f>modif0!G252</f>
        <v>LANDE DE TABARTON</v>
      </c>
      <c r="G227" t="str">
        <f>modif0!I252</f>
        <v>0B</v>
      </c>
      <c r="H227">
        <f>modif0!J252</f>
        <v>266</v>
      </c>
      <c r="I227" t="str">
        <f>modif0!K252</f>
        <v>j</v>
      </c>
      <c r="J227" s="11">
        <f>modif0!M252</f>
        <v>42.561399999999999</v>
      </c>
      <c r="K227" s="11" t="str">
        <f>modif0!P252</f>
        <v>PLA</v>
      </c>
      <c r="L227" t="str">
        <f>modif0!N252</f>
        <v>PM</v>
      </c>
      <c r="M227">
        <f>modif0!Q252</f>
        <v>2012</v>
      </c>
      <c r="N227" t="str">
        <f>modif0!R252</f>
        <v>PLA-PM_2012</v>
      </c>
      <c r="O227" t="b">
        <f>modif0!S252</f>
        <v>0</v>
      </c>
      <c r="P227">
        <v>40</v>
      </c>
      <c r="Q227" t="s">
        <v>1803</v>
      </c>
      <c r="V227" t="s">
        <v>1804</v>
      </c>
      <c r="AA227" s="17">
        <f>IF($A227,$J227*(IF(Q227=regle!$B$11,regle!$B$23*IF(AJ227=-2,1+regle!$B$35,1),
IF(Q227=regle!$C$11,regle!$C$23,
IF(Q227=regle!$D$11,regle!$D$23,
IF(Q227=regle!$E$11,regle!$E$23,
IF(Q227=regle!$F$11,regle!$F$23,
IF(Q227=regle!$G$11,regle!$G$23,
IF(Q227=regle!$H$11,regle!$H$23,
IF(Q227=regle!$I$11,regle!$I$23,
IF(Q227=regle!$J$11,regle!$J$23,
IF(Q227=regle!$K$11,regle!$K$23,0))))))))))))</f>
        <v>24515.366399999999</v>
      </c>
      <c r="AB227" s="17">
        <f>IF($A227,$J227*(IF(R227=regle!$B$11,regle!$B$23*IF(AK227=-2,1+regle!$B$35,1),
IF(R227=regle!$C$11,regle!$C$23,
IF(R227=regle!$D$11,regle!$D$23,
IF(R227=regle!$E$11,regle!$E$23,
IF(R227=regle!$F$11,regle!$F$23,
IF(R227=regle!$G$11,regle!$G$23,
IF(R227=regle!$H$11,regle!$H$23,
IF(R227=regle!$I$11,regle!$I$23,
IF(R227=regle!$J$11,regle!$J$23,
IF(R227=regle!$K$11,regle!$K$23,0))))))))))))</f>
        <v>0</v>
      </c>
      <c r="AC227" s="17">
        <f>IF($A227,$J227*(IF(S227=regle!$B$11,regle!$B$23*IF(AL227=-2,1+regle!$B$35,1),
IF(S227=regle!$C$11,regle!$C$23,
IF(S227=regle!$D$11,regle!$D$23,
IF(S227=regle!$E$11,regle!$E$23,
IF(S227=regle!$F$11,regle!$F$23,
IF(S227=regle!$G$11,regle!$G$23,
IF(S227=regle!$H$11,regle!$H$23,
IF(S227=regle!$I$11,regle!$I$23,
IF(S227=regle!$J$11,regle!$J$23,
IF(S227=regle!$K$11,regle!$K$23,0))))))))))))</f>
        <v>0</v>
      </c>
      <c r="AD227" s="17">
        <f>IF($A227,$J227*(IF(T227=regle!$B$11,regle!$B$23*IF(AM227=-2,1+regle!$B$35,1),
IF(T227=regle!$C$11,regle!$C$23,
IF(T227=regle!$D$11,regle!$D$23,
IF(T227=regle!$E$11,regle!$E$23,
IF(T227=regle!$F$11,regle!$F$23,
IF(T227=regle!$G$11,regle!$G$23,
IF(T227=regle!$H$11,regle!$H$23,
IF(T227=regle!$I$11,regle!$I$23,
IF(T227=regle!$J$11,regle!$J$23,
IF(T227=regle!$K$11,regle!$K$23,0))))))))))))</f>
        <v>0</v>
      </c>
      <c r="AE227" s="17">
        <f>IF($A227,$J227*(IF(U227=regle!$B$11,regle!$B$23*IF(AN227=-2,1+regle!$B$35,1),
IF(U227=regle!$C$11,regle!$C$23,
IF(U227=regle!$D$11,regle!$D$23,
IF(U227=regle!$E$11,regle!$E$23,
IF(U227=regle!$F$11,regle!$F$23,
IF(U227=regle!$G$11,regle!$G$23,
IF(U227=regle!$H$11,regle!$H$23,
IF(U227=regle!$I$11,regle!$I$23,
IF(U227=regle!$J$11,regle!$J$23,
IF(U227=regle!$K$11,regle!$K$23,0))))))))))))</f>
        <v>0</v>
      </c>
      <c r="AF227" s="17">
        <f>IF($A227,$J227*(IF(V227=regle!$B$11,regle!$B$23*IF(AO227=-2,1+regle!$B$35,1),
IF(V227=regle!$C$11,regle!$C$23,
IF(V227=regle!$D$11,regle!$D$23,
IF(V227=regle!$E$11,regle!$E$23,
IF(V227=regle!$F$11,regle!$F$23,
IF(V227=regle!$G$11,regle!$G$23,
IF(V227=regle!$H$11,regle!$H$23,
IF(V227=regle!$I$11,regle!$I$23,
IF(V227=regle!$J$11,regle!$J$23,
IF(V227=regle!$K$11,regle!$K$23,0))))))))))))</f>
        <v>35751.576000000001</v>
      </c>
      <c r="AG227" s="17">
        <f>IF($A227,$J227*(IF(W227=regle!$B$11,regle!$B$23*IF(AP227=-2,1+regle!$B$35,1),
IF(W227=regle!$C$11,regle!$C$23,
IF(W227=regle!$D$11,regle!$D$23,
IF(W227=regle!$E$11,regle!$E$23,
IF(W227=regle!$F$11,regle!$F$23,
IF(W227=regle!$G$11,regle!$G$23,
IF(W227=regle!$H$11,regle!$H$23,
IF(W227=regle!$I$11,regle!$I$23,
IF(W227=regle!$J$11,regle!$J$23,
IF(W227=regle!$K$11,regle!$K$23,0))))))))))))</f>
        <v>0</v>
      </c>
      <c r="AH227" s="17">
        <f>IF($A227,$J227*(IF(X227=regle!$B$11,regle!$B$23*IF(AQ227=-2,1+regle!$B$35,1),
IF(X227=regle!$C$11,regle!$C$23,
IF(X227=regle!$D$11,regle!$D$23,
IF(X227=regle!$E$11,regle!$E$23,
IF(X227=regle!$F$11,regle!$F$23,
IF(X227=regle!$G$11,regle!$G$23,
IF(X227=regle!$H$11,regle!$H$23,
IF(X227=regle!$I$11,regle!$I$23,
IF(X227=regle!$J$11,regle!$J$23,
IF(X227=regle!$K$11,regle!$K$23,0))))))))))))</f>
        <v>0</v>
      </c>
      <c r="AI227" s="17">
        <f>IF($A227,$J227*(IF(Y227=regle!$B$11,regle!$B$23*IF(AR227=-2,1+regle!$B$35,1),
IF(Y227=regle!$C$11,regle!$C$23,
IF(Y227=regle!$D$11,regle!$D$23,
IF(Y227=regle!$E$11,regle!$E$23,
IF(Y227=regle!$F$11,regle!$F$23,
IF(Y227=regle!$G$11,regle!$G$23,
IF(Y227=regle!$H$11,regle!$H$23,
IF(Y227=regle!$I$11,regle!$I$23,
IF(Y227=regle!$J$11,regle!$J$23,
IF(Y227=regle!$K$11,regle!$K$23,0))))))))))))</f>
        <v>0</v>
      </c>
      <c r="AJ227" s="17">
        <f>IF($A227,$J227*(IF(Z227=regle!$B$11,regle!$B$23*IF(AS227=-2,1+regle!$B$35,1),
IF(Z227=regle!$C$11,regle!$C$23,
IF(Z227=regle!$D$11,regle!$D$23,
IF(Z227=regle!$E$11,regle!$E$23,
IF(Z227=regle!$F$11,regle!$F$23,
IF(Z227=regle!$G$11,regle!$G$23,
IF(Z227=regle!$H$11,regle!$H$23,
IF(Z227=regle!$I$11,regle!$I$23,
IF(Z227=regle!$J$11,regle!$J$23,
IF(Z227=regle!$K$11,regle!$K$23,0))))))))))))</f>
        <v>0</v>
      </c>
      <c r="AK227" s="16">
        <f>IF(OR(Q227=regle!$J$11,Q227=regle!$K$11),-2,IF(Q227=regle!$B$11,0,IF(AK$1=$AK$1,IF($O227,-1,regle!$B$2-$M227),IF(AJ227=-1,-1,AJ227+1))))</f>
        <v>12</v>
      </c>
      <c r="AL227" s="16">
        <f>IF(OR(R227=regle!$J$11,R227=regle!$K$11),-2,IF(R227=regle!$B$11,0,IF(AL$1=$AK$1,IF($O227,-1,regle!$B$2-$M227),IF(AK227=-1,-1,AK227+1))))</f>
        <v>13</v>
      </c>
      <c r="AM227" s="16">
        <f>IF(OR(S227=regle!$J$11,S227=regle!$K$11),-2,IF(S227=regle!$B$11,0,IF(AM$1=$AK$1,IF($O227,-1,regle!$B$2-$M227),IF(AL227=-1,-1,AL227+1))))</f>
        <v>14</v>
      </c>
      <c r="AN227" s="16">
        <f>IF(OR(T227=regle!$J$11,T227=regle!$K$11),-2,IF(T227=regle!$B$11,0,IF(AN$1=$AK$1,IF($O227,-1,regle!$B$2-$M227),IF(AM227=-1,-1,AM227+1))))</f>
        <v>15</v>
      </c>
      <c r="AO227" s="16">
        <f>IF(OR(U227=regle!$J$11,U227=regle!$K$11),-2,IF(U227=regle!$B$11,0,IF(AO$1=$AK$1,IF($O227,-1,regle!$B$2-$M227),IF(AN227=-1,-1,AN227+1))))</f>
        <v>16</v>
      </c>
      <c r="AP227" s="16">
        <f>IF(OR(V227=regle!$J$11,V227=regle!$K$11),-2,IF(V227=regle!$B$11,0,IF(AP$1=$AK$1,IF($O227,-1,regle!$B$2-$M227),IF(AO227=-1,-1,AO227+1))))</f>
        <v>17</v>
      </c>
      <c r="AQ227" s="16">
        <f>IF(OR(W227=regle!$J$11,W227=regle!$K$11),-2,IF(W227=regle!$B$11,0,IF(AQ$1=$AK$1,IF($O227,-1,regle!$B$2-$M227),IF(AP227=-1,-1,AP227+1))))</f>
        <v>18</v>
      </c>
      <c r="AR227" s="16">
        <f>IF(OR(X227=regle!$J$11,X227=regle!$K$11),-2,IF(X227=regle!$B$11,0,IF(AR$1=$AK$1,IF($O227,-1,regle!$B$2-$M227),IF(AQ227=-1,-1,AQ227+1))))</f>
        <v>19</v>
      </c>
      <c r="AS227" s="16">
        <f>IF(OR(Y227=regle!$J$11,Y227=regle!$K$11),-2,IF(Y227=regle!$B$11,0,IF(AS$1=$AK$1,IF($O227,-1,regle!$B$2-$M227),IF(AR227=-1,-1,AR227+1))))</f>
        <v>20</v>
      </c>
      <c r="AT227" s="16">
        <f>IF(OR(Z227=regle!$J$11,Z227=regle!$K$11),-2,IF(Z227=regle!$B$11,0,IF(AT$1=$AK$1,IF($O227,-1,regle!$B$2-$M227),IF(AS227=-1,-1,AS227+1))))</f>
        <v>21</v>
      </c>
    </row>
    <row r="228" spans="1:46" x14ac:dyDescent="0.25">
      <c r="A228" t="b">
        <f>modif0!A66</f>
        <v>1</v>
      </c>
      <c r="B228">
        <f>ROW(modif0!B66)</f>
        <v>66</v>
      </c>
      <c r="C228" t="str">
        <f>modif0!D66</f>
        <v>536</v>
      </c>
      <c r="D228" t="str">
        <f>modif0!E66</f>
        <v>LE TUZAN</v>
      </c>
      <c r="E228">
        <f>modif0!F66</f>
        <v>21</v>
      </c>
      <c r="F228" t="str">
        <f>modif0!G66</f>
        <v>METAIRIES DE TABARTON</v>
      </c>
      <c r="G228" t="str">
        <f>modif0!I66</f>
        <v>0A</v>
      </c>
      <c r="H228">
        <f>modif0!J66</f>
        <v>523</v>
      </c>
      <c r="I228" t="str">
        <f>modif0!K66</f>
        <v>o</v>
      </c>
      <c r="J228" s="11">
        <f>modif0!M66</f>
        <v>19.309999999999999</v>
      </c>
      <c r="K228" s="11" t="str">
        <f>modif0!P66</f>
        <v>PLA</v>
      </c>
      <c r="L228" t="str">
        <f>modif0!N66</f>
        <v>PM</v>
      </c>
      <c r="M228">
        <f>modif0!Q66</f>
        <v>2012</v>
      </c>
      <c r="N228" t="str">
        <f>modif0!R66</f>
        <v>PLA-PM_2012</v>
      </c>
      <c r="O228" t="b">
        <f>modif0!S66</f>
        <v>0</v>
      </c>
      <c r="P228">
        <v>40</v>
      </c>
      <c r="Q228" t="s">
        <v>1803</v>
      </c>
      <c r="V228" t="s">
        <v>1804</v>
      </c>
      <c r="AA228" s="17">
        <f>IF($A228,$J228*(IF(Q228=regle!$B$11,regle!$B$23*IF(AJ228=-2,1+regle!$B$35,1),
IF(Q228=regle!$C$11,regle!$C$23,
IF(Q228=regle!$D$11,regle!$D$23,
IF(Q228=regle!$E$11,regle!$E$23,
IF(Q228=regle!$F$11,regle!$F$23,
IF(Q228=regle!$G$11,regle!$G$23,
IF(Q228=regle!$H$11,regle!$H$23,
IF(Q228=regle!$I$11,regle!$I$23,
IF(Q228=regle!$J$11,regle!$J$23,
IF(Q228=regle!$K$11,regle!$K$23,0))))))))))))</f>
        <v>11122.56</v>
      </c>
      <c r="AB228" s="17">
        <f>IF($A228,$J228*(IF(R228=regle!$B$11,regle!$B$23*IF(AK228=-2,1+regle!$B$35,1),
IF(R228=regle!$C$11,regle!$C$23,
IF(R228=regle!$D$11,regle!$D$23,
IF(R228=regle!$E$11,regle!$E$23,
IF(R228=regle!$F$11,regle!$F$23,
IF(R228=regle!$G$11,regle!$G$23,
IF(R228=regle!$H$11,regle!$H$23,
IF(R228=regle!$I$11,regle!$I$23,
IF(R228=regle!$J$11,regle!$J$23,
IF(R228=regle!$K$11,regle!$K$23,0))))))))))))</f>
        <v>0</v>
      </c>
      <c r="AC228" s="17">
        <f>IF($A228,$J228*(IF(S228=regle!$B$11,regle!$B$23*IF(AL228=-2,1+regle!$B$35,1),
IF(S228=regle!$C$11,regle!$C$23,
IF(S228=regle!$D$11,regle!$D$23,
IF(S228=regle!$E$11,regle!$E$23,
IF(S228=regle!$F$11,regle!$F$23,
IF(S228=regle!$G$11,regle!$G$23,
IF(S228=regle!$H$11,regle!$H$23,
IF(S228=regle!$I$11,regle!$I$23,
IF(S228=regle!$J$11,regle!$J$23,
IF(S228=regle!$K$11,regle!$K$23,0))))))))))))</f>
        <v>0</v>
      </c>
      <c r="AD228" s="17">
        <f>IF($A228,$J228*(IF(T228=regle!$B$11,regle!$B$23*IF(AM228=-2,1+regle!$B$35,1),
IF(T228=regle!$C$11,regle!$C$23,
IF(T228=regle!$D$11,regle!$D$23,
IF(T228=regle!$E$11,regle!$E$23,
IF(T228=regle!$F$11,regle!$F$23,
IF(T228=regle!$G$11,regle!$G$23,
IF(T228=regle!$H$11,regle!$H$23,
IF(T228=regle!$I$11,regle!$I$23,
IF(T228=regle!$J$11,regle!$J$23,
IF(T228=regle!$K$11,regle!$K$23,0))))))))))))</f>
        <v>0</v>
      </c>
      <c r="AE228" s="17">
        <f>IF($A228,$J228*(IF(U228=regle!$B$11,regle!$B$23*IF(AN228=-2,1+regle!$B$35,1),
IF(U228=regle!$C$11,regle!$C$23,
IF(U228=regle!$D$11,regle!$D$23,
IF(U228=regle!$E$11,regle!$E$23,
IF(U228=regle!$F$11,regle!$F$23,
IF(U228=regle!$G$11,regle!$G$23,
IF(U228=regle!$H$11,regle!$H$23,
IF(U228=regle!$I$11,regle!$I$23,
IF(U228=regle!$J$11,regle!$J$23,
IF(U228=regle!$K$11,regle!$K$23,0))))))))))))</f>
        <v>0</v>
      </c>
      <c r="AF228" s="17">
        <f>IF($A228,$J228*(IF(V228=regle!$B$11,regle!$B$23*IF(AO228=-2,1+regle!$B$35,1),
IF(V228=regle!$C$11,regle!$C$23,
IF(V228=regle!$D$11,regle!$D$23,
IF(V228=regle!$E$11,regle!$E$23,
IF(V228=regle!$F$11,regle!$F$23,
IF(V228=regle!$G$11,regle!$G$23,
IF(V228=regle!$H$11,regle!$H$23,
IF(V228=regle!$I$11,regle!$I$23,
IF(V228=regle!$J$11,regle!$J$23,
IF(V228=regle!$K$11,regle!$K$23,0))))))))))))</f>
        <v>16220.4</v>
      </c>
      <c r="AG228" s="17">
        <f>IF($A228,$J228*(IF(W228=regle!$B$11,regle!$B$23*IF(AP228=-2,1+regle!$B$35,1),
IF(W228=regle!$C$11,regle!$C$23,
IF(W228=regle!$D$11,regle!$D$23,
IF(W228=regle!$E$11,regle!$E$23,
IF(W228=regle!$F$11,regle!$F$23,
IF(W228=regle!$G$11,regle!$G$23,
IF(W228=regle!$H$11,regle!$H$23,
IF(W228=regle!$I$11,regle!$I$23,
IF(W228=regle!$J$11,regle!$J$23,
IF(W228=regle!$K$11,regle!$K$23,0))))))))))))</f>
        <v>0</v>
      </c>
      <c r="AH228" s="17">
        <f>IF($A228,$J228*(IF(X228=regle!$B$11,regle!$B$23*IF(AQ228=-2,1+regle!$B$35,1),
IF(X228=regle!$C$11,regle!$C$23,
IF(X228=regle!$D$11,regle!$D$23,
IF(X228=regle!$E$11,regle!$E$23,
IF(X228=regle!$F$11,regle!$F$23,
IF(X228=regle!$G$11,regle!$G$23,
IF(X228=regle!$H$11,regle!$H$23,
IF(X228=regle!$I$11,regle!$I$23,
IF(X228=regle!$J$11,regle!$J$23,
IF(X228=regle!$K$11,regle!$K$23,0))))))))))))</f>
        <v>0</v>
      </c>
      <c r="AI228" s="17">
        <f>IF($A228,$J228*(IF(Y228=regle!$B$11,regle!$B$23*IF(AR228=-2,1+regle!$B$35,1),
IF(Y228=regle!$C$11,regle!$C$23,
IF(Y228=regle!$D$11,regle!$D$23,
IF(Y228=regle!$E$11,regle!$E$23,
IF(Y228=regle!$F$11,regle!$F$23,
IF(Y228=regle!$G$11,regle!$G$23,
IF(Y228=regle!$H$11,regle!$H$23,
IF(Y228=regle!$I$11,regle!$I$23,
IF(Y228=regle!$J$11,regle!$J$23,
IF(Y228=regle!$K$11,regle!$K$23,0))))))))))))</f>
        <v>0</v>
      </c>
      <c r="AJ228" s="17">
        <f>IF($A228,$J228*(IF(Z228=regle!$B$11,regle!$B$23*IF(AS228=-2,1+regle!$B$35,1),
IF(Z228=regle!$C$11,regle!$C$23,
IF(Z228=regle!$D$11,regle!$D$23,
IF(Z228=regle!$E$11,regle!$E$23,
IF(Z228=regle!$F$11,regle!$F$23,
IF(Z228=regle!$G$11,regle!$G$23,
IF(Z228=regle!$H$11,regle!$H$23,
IF(Z228=regle!$I$11,regle!$I$23,
IF(Z228=regle!$J$11,regle!$J$23,
IF(Z228=regle!$K$11,regle!$K$23,0))))))))))))</f>
        <v>0</v>
      </c>
      <c r="AK228" s="16">
        <f>IF(OR(Q228=regle!$J$11,Q228=regle!$K$11),-2,IF(Q228=regle!$B$11,0,IF(AK$1=$AK$1,IF($O228,-1,regle!$B$2-$M228),IF(AJ228=-1,-1,AJ228+1))))</f>
        <v>12</v>
      </c>
      <c r="AL228" s="16">
        <f>IF(OR(R228=regle!$J$11,R228=regle!$K$11),-2,IF(R228=regle!$B$11,0,IF(AL$1=$AK$1,IF($O228,-1,regle!$B$2-$M228),IF(AK228=-1,-1,AK228+1))))</f>
        <v>13</v>
      </c>
      <c r="AM228" s="16">
        <f>IF(OR(S228=regle!$J$11,S228=regle!$K$11),-2,IF(S228=regle!$B$11,0,IF(AM$1=$AK$1,IF($O228,-1,regle!$B$2-$M228),IF(AL228=-1,-1,AL228+1))))</f>
        <v>14</v>
      </c>
      <c r="AN228" s="16">
        <f>IF(OR(T228=regle!$J$11,T228=regle!$K$11),-2,IF(T228=regle!$B$11,0,IF(AN$1=$AK$1,IF($O228,-1,regle!$B$2-$M228),IF(AM228=-1,-1,AM228+1))))</f>
        <v>15</v>
      </c>
      <c r="AO228" s="16">
        <f>IF(OR(U228=regle!$J$11,U228=regle!$K$11),-2,IF(U228=regle!$B$11,0,IF(AO$1=$AK$1,IF($O228,-1,regle!$B$2-$M228),IF(AN228=-1,-1,AN228+1))))</f>
        <v>16</v>
      </c>
      <c r="AP228" s="16">
        <f>IF(OR(V228=regle!$J$11,V228=regle!$K$11),-2,IF(V228=regle!$B$11,0,IF(AP$1=$AK$1,IF($O228,-1,regle!$B$2-$M228),IF(AO228=-1,-1,AO228+1))))</f>
        <v>17</v>
      </c>
      <c r="AQ228" s="16">
        <f>IF(OR(W228=regle!$J$11,W228=regle!$K$11),-2,IF(W228=regle!$B$11,0,IF(AQ$1=$AK$1,IF($O228,-1,regle!$B$2-$M228),IF(AP228=-1,-1,AP228+1))))</f>
        <v>18</v>
      </c>
      <c r="AR228" s="16">
        <f>IF(OR(X228=regle!$J$11,X228=regle!$K$11),-2,IF(X228=regle!$B$11,0,IF(AR$1=$AK$1,IF($O228,-1,regle!$B$2-$M228),IF(AQ228=-1,-1,AQ228+1))))</f>
        <v>19</v>
      </c>
      <c r="AS228" s="16">
        <f>IF(OR(Y228=regle!$J$11,Y228=regle!$K$11),-2,IF(Y228=regle!$B$11,0,IF(AS$1=$AK$1,IF($O228,-1,regle!$B$2-$M228),IF(AR228=-1,-1,AR228+1))))</f>
        <v>20</v>
      </c>
      <c r="AT228" s="16">
        <f>IF(OR(Z228=regle!$J$11,Z228=regle!$K$11),-2,IF(Z228=regle!$B$11,0,IF(AT$1=$AK$1,IF($O228,-1,regle!$B$2-$M228),IF(AS228=-1,-1,AS228+1))))</f>
        <v>21</v>
      </c>
    </row>
    <row r="229" spans="1:46" x14ac:dyDescent="0.25">
      <c r="A229" t="b">
        <f>modif0!A64</f>
        <v>1</v>
      </c>
      <c r="B229">
        <f>ROW(modif0!B64)</f>
        <v>64</v>
      </c>
      <c r="C229" t="str">
        <f>modif0!D64</f>
        <v>536</v>
      </c>
      <c r="D229" t="str">
        <f>modif0!E64</f>
        <v>LE TUZAN</v>
      </c>
      <c r="E229">
        <f>modif0!F64</f>
        <v>21</v>
      </c>
      <c r="F229" t="str">
        <f>modif0!G64</f>
        <v>METAIRIES DE TABARTON</v>
      </c>
      <c r="G229" t="str">
        <f>modif0!I64</f>
        <v>0A</v>
      </c>
      <c r="H229">
        <f>modif0!J64</f>
        <v>523</v>
      </c>
      <c r="I229" t="str">
        <f>modif0!K64</f>
        <v>m</v>
      </c>
      <c r="J229" s="11">
        <f>modif0!M64</f>
        <v>14.470599999999999</v>
      </c>
      <c r="K229" s="11" t="str">
        <f>modif0!P64</f>
        <v>PLA</v>
      </c>
      <c r="L229" t="str">
        <f>modif0!N64</f>
        <v>PM</v>
      </c>
      <c r="M229">
        <f>modif0!Q64</f>
        <v>2012</v>
      </c>
      <c r="N229" t="str">
        <f>modif0!R64</f>
        <v>PLA-PM_2012</v>
      </c>
      <c r="O229" t="b">
        <f>modif0!S64</f>
        <v>0</v>
      </c>
      <c r="P229">
        <v>40</v>
      </c>
      <c r="Q229" t="s">
        <v>1803</v>
      </c>
      <c r="V229" t="s">
        <v>1804</v>
      </c>
      <c r="AA229" s="17">
        <f>IF($A229,$J229*(IF(Q229=regle!$B$11,regle!$B$23*IF(AJ229=-2,1+regle!$B$35,1),
IF(Q229=regle!$C$11,regle!$C$23,
IF(Q229=regle!$D$11,regle!$D$23,
IF(Q229=regle!$E$11,regle!$E$23,
IF(Q229=regle!$F$11,regle!$F$23,
IF(Q229=regle!$G$11,regle!$G$23,
IF(Q229=regle!$H$11,regle!$H$23,
IF(Q229=regle!$I$11,regle!$I$23,
IF(Q229=regle!$J$11,regle!$J$23,
IF(Q229=regle!$K$11,regle!$K$23,0))))))))))))</f>
        <v>8335.0655999999999</v>
      </c>
      <c r="AB229" s="17">
        <f>IF($A229,$J229*(IF(R229=regle!$B$11,regle!$B$23*IF(AK229=-2,1+regle!$B$35,1),
IF(R229=regle!$C$11,regle!$C$23,
IF(R229=regle!$D$11,regle!$D$23,
IF(R229=regle!$E$11,regle!$E$23,
IF(R229=regle!$F$11,regle!$F$23,
IF(R229=regle!$G$11,regle!$G$23,
IF(R229=regle!$H$11,regle!$H$23,
IF(R229=regle!$I$11,regle!$I$23,
IF(R229=regle!$J$11,regle!$J$23,
IF(R229=regle!$K$11,regle!$K$23,0))))))))))))</f>
        <v>0</v>
      </c>
      <c r="AC229" s="17">
        <f>IF($A229,$J229*(IF(S229=regle!$B$11,regle!$B$23*IF(AL229=-2,1+regle!$B$35,1),
IF(S229=regle!$C$11,regle!$C$23,
IF(S229=regle!$D$11,regle!$D$23,
IF(S229=regle!$E$11,regle!$E$23,
IF(S229=regle!$F$11,regle!$F$23,
IF(S229=regle!$G$11,regle!$G$23,
IF(S229=regle!$H$11,regle!$H$23,
IF(S229=regle!$I$11,regle!$I$23,
IF(S229=regle!$J$11,regle!$J$23,
IF(S229=regle!$K$11,regle!$K$23,0))))))))))))</f>
        <v>0</v>
      </c>
      <c r="AD229" s="17">
        <f>IF($A229,$J229*(IF(T229=regle!$B$11,regle!$B$23*IF(AM229=-2,1+regle!$B$35,1),
IF(T229=regle!$C$11,regle!$C$23,
IF(T229=regle!$D$11,regle!$D$23,
IF(T229=regle!$E$11,regle!$E$23,
IF(T229=regle!$F$11,regle!$F$23,
IF(T229=regle!$G$11,regle!$G$23,
IF(T229=regle!$H$11,regle!$H$23,
IF(T229=regle!$I$11,regle!$I$23,
IF(T229=regle!$J$11,regle!$J$23,
IF(T229=regle!$K$11,regle!$K$23,0))))))))))))</f>
        <v>0</v>
      </c>
      <c r="AE229" s="17">
        <f>IF($A229,$J229*(IF(U229=regle!$B$11,regle!$B$23*IF(AN229=-2,1+regle!$B$35,1),
IF(U229=regle!$C$11,regle!$C$23,
IF(U229=regle!$D$11,regle!$D$23,
IF(U229=regle!$E$11,regle!$E$23,
IF(U229=regle!$F$11,regle!$F$23,
IF(U229=regle!$G$11,regle!$G$23,
IF(U229=regle!$H$11,regle!$H$23,
IF(U229=regle!$I$11,regle!$I$23,
IF(U229=regle!$J$11,regle!$J$23,
IF(U229=regle!$K$11,regle!$K$23,0))))))))))))</f>
        <v>0</v>
      </c>
      <c r="AF229" s="17">
        <f>IF($A229,$J229*(IF(V229=regle!$B$11,regle!$B$23*IF(AO229=-2,1+regle!$B$35,1),
IF(V229=regle!$C$11,regle!$C$23,
IF(V229=regle!$D$11,regle!$D$23,
IF(V229=regle!$E$11,regle!$E$23,
IF(V229=regle!$F$11,regle!$F$23,
IF(V229=regle!$G$11,regle!$G$23,
IF(V229=regle!$H$11,regle!$H$23,
IF(V229=regle!$I$11,regle!$I$23,
IF(V229=regle!$J$11,regle!$J$23,
IF(V229=regle!$K$11,regle!$K$23,0))))))))))))</f>
        <v>12155.304</v>
      </c>
      <c r="AG229" s="17">
        <f>IF($A229,$J229*(IF(W229=regle!$B$11,regle!$B$23*IF(AP229=-2,1+regle!$B$35,1),
IF(W229=regle!$C$11,regle!$C$23,
IF(W229=regle!$D$11,regle!$D$23,
IF(W229=regle!$E$11,regle!$E$23,
IF(W229=regle!$F$11,regle!$F$23,
IF(W229=regle!$G$11,regle!$G$23,
IF(W229=regle!$H$11,regle!$H$23,
IF(W229=regle!$I$11,regle!$I$23,
IF(W229=regle!$J$11,regle!$J$23,
IF(W229=regle!$K$11,regle!$K$23,0))))))))))))</f>
        <v>0</v>
      </c>
      <c r="AH229" s="17">
        <f>IF($A229,$J229*(IF(X229=regle!$B$11,regle!$B$23*IF(AQ229=-2,1+regle!$B$35,1),
IF(X229=regle!$C$11,regle!$C$23,
IF(X229=regle!$D$11,regle!$D$23,
IF(X229=regle!$E$11,regle!$E$23,
IF(X229=regle!$F$11,regle!$F$23,
IF(X229=regle!$G$11,regle!$G$23,
IF(X229=regle!$H$11,regle!$H$23,
IF(X229=regle!$I$11,regle!$I$23,
IF(X229=regle!$J$11,regle!$J$23,
IF(X229=regle!$K$11,regle!$K$23,0))))))))))))</f>
        <v>0</v>
      </c>
      <c r="AI229" s="17">
        <f>IF($A229,$J229*(IF(Y229=regle!$B$11,regle!$B$23*IF(AR229=-2,1+regle!$B$35,1),
IF(Y229=regle!$C$11,regle!$C$23,
IF(Y229=regle!$D$11,regle!$D$23,
IF(Y229=regle!$E$11,regle!$E$23,
IF(Y229=regle!$F$11,regle!$F$23,
IF(Y229=regle!$G$11,regle!$G$23,
IF(Y229=regle!$H$11,regle!$H$23,
IF(Y229=regle!$I$11,regle!$I$23,
IF(Y229=regle!$J$11,regle!$J$23,
IF(Y229=regle!$K$11,regle!$K$23,0))))))))))))</f>
        <v>0</v>
      </c>
      <c r="AJ229" s="17">
        <f>IF($A229,$J229*(IF(Z229=regle!$B$11,regle!$B$23*IF(AS229=-2,1+regle!$B$35,1),
IF(Z229=regle!$C$11,regle!$C$23,
IF(Z229=regle!$D$11,regle!$D$23,
IF(Z229=regle!$E$11,regle!$E$23,
IF(Z229=regle!$F$11,regle!$F$23,
IF(Z229=regle!$G$11,regle!$G$23,
IF(Z229=regle!$H$11,regle!$H$23,
IF(Z229=regle!$I$11,regle!$I$23,
IF(Z229=regle!$J$11,regle!$J$23,
IF(Z229=regle!$K$11,regle!$K$23,0))))))))))))</f>
        <v>0</v>
      </c>
      <c r="AK229" s="16">
        <f>IF(OR(Q229=regle!$J$11,Q229=regle!$K$11),-2,IF(Q229=regle!$B$11,0,IF(AK$1=$AK$1,IF($O229,-1,regle!$B$2-$M229),IF(AJ229=-1,-1,AJ229+1))))</f>
        <v>12</v>
      </c>
      <c r="AL229" s="16">
        <f>IF(OR(R229=regle!$J$11,R229=regle!$K$11),-2,IF(R229=regle!$B$11,0,IF(AL$1=$AK$1,IF($O229,-1,regle!$B$2-$M229),IF(AK229=-1,-1,AK229+1))))</f>
        <v>13</v>
      </c>
      <c r="AM229" s="16">
        <f>IF(OR(S229=regle!$J$11,S229=regle!$K$11),-2,IF(S229=regle!$B$11,0,IF(AM$1=$AK$1,IF($O229,-1,regle!$B$2-$M229),IF(AL229=-1,-1,AL229+1))))</f>
        <v>14</v>
      </c>
      <c r="AN229" s="16">
        <f>IF(OR(T229=regle!$J$11,T229=regle!$K$11),-2,IF(T229=regle!$B$11,0,IF(AN$1=$AK$1,IF($O229,-1,regle!$B$2-$M229),IF(AM229=-1,-1,AM229+1))))</f>
        <v>15</v>
      </c>
      <c r="AO229" s="16">
        <f>IF(OR(U229=regle!$J$11,U229=regle!$K$11),-2,IF(U229=regle!$B$11,0,IF(AO$1=$AK$1,IF($O229,-1,regle!$B$2-$M229),IF(AN229=-1,-1,AN229+1))))</f>
        <v>16</v>
      </c>
      <c r="AP229" s="16">
        <f>IF(OR(V229=regle!$J$11,V229=regle!$K$11),-2,IF(V229=regle!$B$11,0,IF(AP$1=$AK$1,IF($O229,-1,regle!$B$2-$M229),IF(AO229=-1,-1,AO229+1))))</f>
        <v>17</v>
      </c>
      <c r="AQ229" s="16">
        <f>IF(OR(W229=regle!$J$11,W229=regle!$K$11),-2,IF(W229=regle!$B$11,0,IF(AQ$1=$AK$1,IF($O229,-1,regle!$B$2-$M229),IF(AP229=-1,-1,AP229+1))))</f>
        <v>18</v>
      </c>
      <c r="AR229" s="16">
        <f>IF(OR(X229=regle!$J$11,X229=regle!$K$11),-2,IF(X229=regle!$B$11,0,IF(AR$1=$AK$1,IF($O229,-1,regle!$B$2-$M229),IF(AQ229=-1,-1,AQ229+1))))</f>
        <v>19</v>
      </c>
      <c r="AS229" s="16">
        <f>IF(OR(Y229=regle!$J$11,Y229=regle!$K$11),-2,IF(Y229=regle!$B$11,0,IF(AS$1=$AK$1,IF($O229,-1,regle!$B$2-$M229),IF(AR229=-1,-1,AR229+1))))</f>
        <v>20</v>
      </c>
      <c r="AT229" s="16">
        <f>IF(OR(Z229=regle!$J$11,Z229=regle!$K$11),-2,IF(Z229=regle!$B$11,0,IF(AT$1=$AK$1,IF($O229,-1,regle!$B$2-$M229),IF(AS229=-1,-1,AS229+1))))</f>
        <v>21</v>
      </c>
    </row>
    <row r="230" spans="1:46" x14ac:dyDescent="0.25">
      <c r="A230" t="b">
        <f>modif0!A47</f>
        <v>1</v>
      </c>
      <c r="B230">
        <f>ROW(modif0!B47)</f>
        <v>47</v>
      </c>
      <c r="C230" t="str">
        <f>modif0!D47</f>
        <v>536</v>
      </c>
      <c r="D230" t="str">
        <f>modif0!E47</f>
        <v>LE TUZAN</v>
      </c>
      <c r="E230">
        <f>modif0!F47</f>
        <v>21</v>
      </c>
      <c r="F230" t="str">
        <f>modif0!G47</f>
        <v>METAIRIES DE TABARTON</v>
      </c>
      <c r="G230" t="str">
        <f>modif0!I47</f>
        <v>0A</v>
      </c>
      <c r="H230">
        <f>modif0!J47</f>
        <v>424</v>
      </c>
      <c r="I230" t="str">
        <f>modif0!K47</f>
        <v>b</v>
      </c>
      <c r="J230" s="11">
        <f>modif0!M47</f>
        <v>1.6608000000000001</v>
      </c>
      <c r="K230" s="11" t="str">
        <f>modif0!P47</f>
        <v>PLA</v>
      </c>
      <c r="L230" t="str">
        <f>modif0!N47</f>
        <v>PM</v>
      </c>
      <c r="M230">
        <f>modif0!Q47</f>
        <v>2012</v>
      </c>
      <c r="N230" t="str">
        <f>modif0!R47</f>
        <v>PLA-PM_2012</v>
      </c>
      <c r="O230" t="b">
        <f>modif0!S47</f>
        <v>0</v>
      </c>
      <c r="P230">
        <v>40</v>
      </c>
      <c r="Q230" t="s">
        <v>1803</v>
      </c>
      <c r="V230" t="s">
        <v>1804</v>
      </c>
      <c r="AA230" s="17">
        <f>IF($A230,$J230*(IF(Q230=regle!$B$11,regle!$B$23*IF(AJ230=-2,1+regle!$B$35,1),
IF(Q230=regle!$C$11,regle!$C$23,
IF(Q230=regle!$D$11,regle!$D$23,
IF(Q230=regle!$E$11,regle!$E$23,
IF(Q230=regle!$F$11,regle!$F$23,
IF(Q230=regle!$G$11,regle!$G$23,
IF(Q230=regle!$H$11,regle!$H$23,
IF(Q230=regle!$I$11,regle!$I$23,
IF(Q230=regle!$J$11,regle!$J$23,
IF(Q230=regle!$K$11,regle!$K$23,0))))))))))))</f>
        <v>956.62080000000003</v>
      </c>
      <c r="AB230" s="17">
        <f>IF($A230,$J230*(IF(R230=regle!$B$11,regle!$B$23*IF(AK230=-2,1+regle!$B$35,1),
IF(R230=regle!$C$11,regle!$C$23,
IF(R230=regle!$D$11,regle!$D$23,
IF(R230=regle!$E$11,regle!$E$23,
IF(R230=regle!$F$11,regle!$F$23,
IF(R230=regle!$G$11,regle!$G$23,
IF(R230=regle!$H$11,regle!$H$23,
IF(R230=regle!$I$11,regle!$I$23,
IF(R230=regle!$J$11,regle!$J$23,
IF(R230=regle!$K$11,regle!$K$23,0))))))))))))</f>
        <v>0</v>
      </c>
      <c r="AC230" s="17">
        <f>IF($A230,$J230*(IF(S230=regle!$B$11,regle!$B$23*IF(AL230=-2,1+regle!$B$35,1),
IF(S230=regle!$C$11,regle!$C$23,
IF(S230=regle!$D$11,regle!$D$23,
IF(S230=regle!$E$11,regle!$E$23,
IF(S230=regle!$F$11,regle!$F$23,
IF(S230=regle!$G$11,regle!$G$23,
IF(S230=regle!$H$11,regle!$H$23,
IF(S230=regle!$I$11,regle!$I$23,
IF(S230=regle!$J$11,regle!$J$23,
IF(S230=regle!$K$11,regle!$K$23,0))))))))))))</f>
        <v>0</v>
      </c>
      <c r="AD230" s="17">
        <f>IF($A230,$J230*(IF(T230=regle!$B$11,regle!$B$23*IF(AM230=-2,1+regle!$B$35,1),
IF(T230=regle!$C$11,regle!$C$23,
IF(T230=regle!$D$11,regle!$D$23,
IF(T230=regle!$E$11,regle!$E$23,
IF(T230=regle!$F$11,regle!$F$23,
IF(T230=regle!$G$11,regle!$G$23,
IF(T230=regle!$H$11,regle!$H$23,
IF(T230=regle!$I$11,regle!$I$23,
IF(T230=regle!$J$11,regle!$J$23,
IF(T230=regle!$K$11,regle!$K$23,0))))))))))))</f>
        <v>0</v>
      </c>
      <c r="AE230" s="17">
        <f>IF($A230,$J230*(IF(U230=regle!$B$11,regle!$B$23*IF(AN230=-2,1+regle!$B$35,1),
IF(U230=regle!$C$11,regle!$C$23,
IF(U230=regle!$D$11,regle!$D$23,
IF(U230=regle!$E$11,regle!$E$23,
IF(U230=regle!$F$11,regle!$F$23,
IF(U230=regle!$G$11,regle!$G$23,
IF(U230=regle!$H$11,regle!$H$23,
IF(U230=regle!$I$11,regle!$I$23,
IF(U230=regle!$J$11,regle!$J$23,
IF(U230=regle!$K$11,regle!$K$23,0))))))))))))</f>
        <v>0</v>
      </c>
      <c r="AF230" s="17">
        <f>IF($A230,$J230*(IF(V230=regle!$B$11,regle!$B$23*IF(AO230=-2,1+regle!$B$35,1),
IF(V230=regle!$C$11,regle!$C$23,
IF(V230=regle!$D$11,regle!$D$23,
IF(V230=regle!$E$11,regle!$E$23,
IF(V230=regle!$F$11,regle!$F$23,
IF(V230=regle!$G$11,regle!$G$23,
IF(V230=regle!$H$11,regle!$H$23,
IF(V230=regle!$I$11,regle!$I$23,
IF(V230=regle!$J$11,regle!$J$23,
IF(V230=regle!$K$11,regle!$K$23,0))))))))))))</f>
        <v>1395.0720000000001</v>
      </c>
      <c r="AG230" s="17">
        <f>IF($A230,$J230*(IF(W230=regle!$B$11,regle!$B$23*IF(AP230=-2,1+regle!$B$35,1),
IF(W230=regle!$C$11,regle!$C$23,
IF(W230=regle!$D$11,regle!$D$23,
IF(W230=regle!$E$11,regle!$E$23,
IF(W230=regle!$F$11,regle!$F$23,
IF(W230=regle!$G$11,regle!$G$23,
IF(W230=regle!$H$11,regle!$H$23,
IF(W230=regle!$I$11,regle!$I$23,
IF(W230=regle!$J$11,regle!$J$23,
IF(W230=regle!$K$11,regle!$K$23,0))))))))))))</f>
        <v>0</v>
      </c>
      <c r="AH230" s="17">
        <f>IF($A230,$J230*(IF(X230=regle!$B$11,regle!$B$23*IF(AQ230=-2,1+regle!$B$35,1),
IF(X230=regle!$C$11,regle!$C$23,
IF(X230=regle!$D$11,regle!$D$23,
IF(X230=regle!$E$11,regle!$E$23,
IF(X230=regle!$F$11,regle!$F$23,
IF(X230=regle!$G$11,regle!$G$23,
IF(X230=regle!$H$11,regle!$H$23,
IF(X230=regle!$I$11,regle!$I$23,
IF(X230=regle!$J$11,regle!$J$23,
IF(X230=regle!$K$11,regle!$K$23,0))))))))))))</f>
        <v>0</v>
      </c>
      <c r="AI230" s="17">
        <f>IF($A230,$J230*(IF(Y230=regle!$B$11,regle!$B$23*IF(AR230=-2,1+regle!$B$35,1),
IF(Y230=regle!$C$11,regle!$C$23,
IF(Y230=regle!$D$11,regle!$D$23,
IF(Y230=regle!$E$11,regle!$E$23,
IF(Y230=regle!$F$11,regle!$F$23,
IF(Y230=regle!$G$11,regle!$G$23,
IF(Y230=regle!$H$11,regle!$H$23,
IF(Y230=regle!$I$11,regle!$I$23,
IF(Y230=regle!$J$11,regle!$J$23,
IF(Y230=regle!$K$11,regle!$K$23,0))))))))))))</f>
        <v>0</v>
      </c>
      <c r="AJ230" s="17">
        <f>IF($A230,$J230*(IF(Z230=regle!$B$11,regle!$B$23*IF(AS230=-2,1+regle!$B$35,1),
IF(Z230=regle!$C$11,regle!$C$23,
IF(Z230=regle!$D$11,regle!$D$23,
IF(Z230=regle!$E$11,regle!$E$23,
IF(Z230=regle!$F$11,regle!$F$23,
IF(Z230=regle!$G$11,regle!$G$23,
IF(Z230=regle!$H$11,regle!$H$23,
IF(Z230=regle!$I$11,regle!$I$23,
IF(Z230=regle!$J$11,regle!$J$23,
IF(Z230=regle!$K$11,regle!$K$23,0))))))))))))</f>
        <v>0</v>
      </c>
      <c r="AK230" s="16">
        <f>IF(OR(Q230=regle!$J$11,Q230=regle!$K$11),-2,IF(Q230=regle!$B$11,0,IF(AK$1=$AK$1,IF($O230,-1,regle!$B$2-$M230),IF(AJ230=-1,-1,AJ230+1))))</f>
        <v>12</v>
      </c>
      <c r="AL230" s="16">
        <f>IF(OR(R230=regle!$J$11,R230=regle!$K$11),-2,IF(R230=regle!$B$11,0,IF(AL$1=$AK$1,IF($O230,-1,regle!$B$2-$M230),IF(AK230=-1,-1,AK230+1))))</f>
        <v>13</v>
      </c>
      <c r="AM230" s="16">
        <f>IF(OR(S230=regle!$J$11,S230=regle!$K$11),-2,IF(S230=regle!$B$11,0,IF(AM$1=$AK$1,IF($O230,-1,regle!$B$2-$M230),IF(AL230=-1,-1,AL230+1))))</f>
        <v>14</v>
      </c>
      <c r="AN230" s="16">
        <f>IF(OR(T230=regle!$J$11,T230=regle!$K$11),-2,IF(T230=regle!$B$11,0,IF(AN$1=$AK$1,IF($O230,-1,regle!$B$2-$M230),IF(AM230=-1,-1,AM230+1))))</f>
        <v>15</v>
      </c>
      <c r="AO230" s="16">
        <f>IF(OR(U230=regle!$J$11,U230=regle!$K$11),-2,IF(U230=regle!$B$11,0,IF(AO$1=$AK$1,IF($O230,-1,regle!$B$2-$M230),IF(AN230=-1,-1,AN230+1))))</f>
        <v>16</v>
      </c>
      <c r="AP230" s="16">
        <f>IF(OR(V230=regle!$J$11,V230=regle!$K$11),-2,IF(V230=regle!$B$11,0,IF(AP$1=$AK$1,IF($O230,-1,regle!$B$2-$M230),IF(AO230=-1,-1,AO230+1))))</f>
        <v>17</v>
      </c>
      <c r="AQ230" s="16">
        <f>IF(OR(W230=regle!$J$11,W230=regle!$K$11),-2,IF(W230=regle!$B$11,0,IF(AQ$1=$AK$1,IF($O230,-1,regle!$B$2-$M230),IF(AP230=-1,-1,AP230+1))))</f>
        <v>18</v>
      </c>
      <c r="AR230" s="16">
        <f>IF(OR(X230=regle!$J$11,X230=regle!$K$11),-2,IF(X230=regle!$B$11,0,IF(AR$1=$AK$1,IF($O230,-1,regle!$B$2-$M230),IF(AQ230=-1,-1,AQ230+1))))</f>
        <v>19</v>
      </c>
      <c r="AS230" s="16">
        <f>IF(OR(Y230=regle!$J$11,Y230=regle!$K$11),-2,IF(Y230=regle!$B$11,0,IF(AS$1=$AK$1,IF($O230,-1,regle!$B$2-$M230),IF(AR230=-1,-1,AR230+1))))</f>
        <v>20</v>
      </c>
      <c r="AT230" s="16">
        <f>IF(OR(Z230=regle!$J$11,Z230=regle!$K$11),-2,IF(Z230=regle!$B$11,0,IF(AT$1=$AK$1,IF($O230,-1,regle!$B$2-$M230),IF(AS230=-1,-1,AS230+1))))</f>
        <v>21</v>
      </c>
    </row>
    <row r="231" spans="1:46" x14ac:dyDescent="0.25">
      <c r="A231" t="b">
        <f>modif0!A44</f>
        <v>1</v>
      </c>
      <c r="B231">
        <f>ROW(modif0!B44)</f>
        <v>44</v>
      </c>
      <c r="C231" t="str">
        <f>modif0!D44</f>
        <v>536</v>
      </c>
      <c r="D231" t="str">
        <f>modif0!E44</f>
        <v>LE TUZAN</v>
      </c>
      <c r="E231">
        <f>modif0!F44</f>
        <v>21</v>
      </c>
      <c r="F231" t="str">
        <f>modif0!G44</f>
        <v>METAIRIES DE TABARTON</v>
      </c>
      <c r="G231" t="str">
        <f>modif0!I44</f>
        <v>0A</v>
      </c>
      <c r="H231">
        <f>modif0!J44</f>
        <v>422</v>
      </c>
      <c r="I231" t="str">
        <f>modif0!K44</f>
        <v>a</v>
      </c>
      <c r="J231" s="11">
        <f>modif0!M44</f>
        <v>1.2996000000000001</v>
      </c>
      <c r="K231" s="11" t="str">
        <f>modif0!P44</f>
        <v>PLA</v>
      </c>
      <c r="L231" t="str">
        <f>modif0!N44</f>
        <v>PM</v>
      </c>
      <c r="M231">
        <f>modif0!Q44</f>
        <v>2012</v>
      </c>
      <c r="N231" t="str">
        <f>modif0!R44</f>
        <v>PLA-PM_2012</v>
      </c>
      <c r="O231" t="b">
        <f>modif0!S44</f>
        <v>0</v>
      </c>
      <c r="P231">
        <v>40</v>
      </c>
      <c r="Q231" t="s">
        <v>1803</v>
      </c>
      <c r="V231" t="s">
        <v>1804</v>
      </c>
      <c r="AA231" s="17">
        <f>IF($A231,$J231*(IF(Q231=regle!$B$11,regle!$B$23*IF(AJ231=-2,1+regle!$B$35,1),
IF(Q231=regle!$C$11,regle!$C$23,
IF(Q231=regle!$D$11,regle!$D$23,
IF(Q231=regle!$E$11,regle!$E$23,
IF(Q231=regle!$F$11,regle!$F$23,
IF(Q231=regle!$G$11,regle!$G$23,
IF(Q231=regle!$H$11,regle!$H$23,
IF(Q231=regle!$I$11,regle!$I$23,
IF(Q231=regle!$J$11,regle!$J$23,
IF(Q231=regle!$K$11,regle!$K$23,0))))))))))))</f>
        <v>748.56960000000004</v>
      </c>
      <c r="AB231" s="17">
        <f>IF($A231,$J231*(IF(R231=regle!$B$11,regle!$B$23*IF(AK231=-2,1+regle!$B$35,1),
IF(R231=regle!$C$11,regle!$C$23,
IF(R231=regle!$D$11,regle!$D$23,
IF(R231=regle!$E$11,regle!$E$23,
IF(R231=regle!$F$11,regle!$F$23,
IF(R231=regle!$G$11,regle!$G$23,
IF(R231=regle!$H$11,regle!$H$23,
IF(R231=regle!$I$11,regle!$I$23,
IF(R231=regle!$J$11,regle!$J$23,
IF(R231=regle!$K$11,regle!$K$23,0))))))))))))</f>
        <v>0</v>
      </c>
      <c r="AC231" s="17">
        <f>IF($A231,$J231*(IF(S231=regle!$B$11,regle!$B$23*IF(AL231=-2,1+regle!$B$35,1),
IF(S231=regle!$C$11,regle!$C$23,
IF(S231=regle!$D$11,regle!$D$23,
IF(S231=regle!$E$11,regle!$E$23,
IF(S231=regle!$F$11,regle!$F$23,
IF(S231=regle!$G$11,regle!$G$23,
IF(S231=regle!$H$11,regle!$H$23,
IF(S231=regle!$I$11,regle!$I$23,
IF(S231=regle!$J$11,regle!$J$23,
IF(S231=regle!$K$11,regle!$K$23,0))))))))))))</f>
        <v>0</v>
      </c>
      <c r="AD231" s="17">
        <f>IF($A231,$J231*(IF(T231=regle!$B$11,regle!$B$23*IF(AM231=-2,1+regle!$B$35,1),
IF(T231=regle!$C$11,regle!$C$23,
IF(T231=regle!$D$11,regle!$D$23,
IF(T231=regle!$E$11,regle!$E$23,
IF(T231=regle!$F$11,regle!$F$23,
IF(T231=regle!$G$11,regle!$G$23,
IF(T231=regle!$H$11,regle!$H$23,
IF(T231=regle!$I$11,regle!$I$23,
IF(T231=regle!$J$11,regle!$J$23,
IF(T231=regle!$K$11,regle!$K$23,0))))))))))))</f>
        <v>0</v>
      </c>
      <c r="AE231" s="17">
        <f>IF($A231,$J231*(IF(U231=regle!$B$11,regle!$B$23*IF(AN231=-2,1+regle!$B$35,1),
IF(U231=regle!$C$11,regle!$C$23,
IF(U231=regle!$D$11,regle!$D$23,
IF(U231=regle!$E$11,regle!$E$23,
IF(U231=regle!$F$11,regle!$F$23,
IF(U231=regle!$G$11,regle!$G$23,
IF(U231=regle!$H$11,regle!$H$23,
IF(U231=regle!$I$11,regle!$I$23,
IF(U231=regle!$J$11,regle!$J$23,
IF(U231=regle!$K$11,regle!$K$23,0))))))))))))</f>
        <v>0</v>
      </c>
      <c r="AF231" s="17">
        <f>IF($A231,$J231*(IF(V231=regle!$B$11,regle!$B$23*IF(AO231=-2,1+regle!$B$35,1),
IF(V231=regle!$C$11,regle!$C$23,
IF(V231=regle!$D$11,regle!$D$23,
IF(V231=regle!$E$11,regle!$E$23,
IF(V231=regle!$F$11,regle!$F$23,
IF(V231=regle!$G$11,regle!$G$23,
IF(V231=regle!$H$11,regle!$H$23,
IF(V231=regle!$I$11,regle!$I$23,
IF(V231=regle!$J$11,regle!$J$23,
IF(V231=regle!$K$11,regle!$K$23,0))))))))))))</f>
        <v>1091.664</v>
      </c>
      <c r="AG231" s="17">
        <f>IF($A231,$J231*(IF(W231=regle!$B$11,regle!$B$23*IF(AP231=-2,1+regle!$B$35,1),
IF(W231=regle!$C$11,regle!$C$23,
IF(W231=regle!$D$11,regle!$D$23,
IF(W231=regle!$E$11,regle!$E$23,
IF(W231=regle!$F$11,regle!$F$23,
IF(W231=regle!$G$11,regle!$G$23,
IF(W231=regle!$H$11,regle!$H$23,
IF(W231=regle!$I$11,regle!$I$23,
IF(W231=regle!$J$11,regle!$J$23,
IF(W231=regle!$K$11,regle!$K$23,0))))))))))))</f>
        <v>0</v>
      </c>
      <c r="AH231" s="17">
        <f>IF($A231,$J231*(IF(X231=regle!$B$11,regle!$B$23*IF(AQ231=-2,1+regle!$B$35,1),
IF(X231=regle!$C$11,regle!$C$23,
IF(X231=regle!$D$11,regle!$D$23,
IF(X231=regle!$E$11,regle!$E$23,
IF(X231=regle!$F$11,regle!$F$23,
IF(X231=regle!$G$11,regle!$G$23,
IF(X231=regle!$H$11,regle!$H$23,
IF(X231=regle!$I$11,regle!$I$23,
IF(X231=regle!$J$11,regle!$J$23,
IF(X231=regle!$K$11,regle!$K$23,0))))))))))))</f>
        <v>0</v>
      </c>
      <c r="AI231" s="17">
        <f>IF($A231,$J231*(IF(Y231=regle!$B$11,regle!$B$23*IF(AR231=-2,1+regle!$B$35,1),
IF(Y231=regle!$C$11,regle!$C$23,
IF(Y231=regle!$D$11,regle!$D$23,
IF(Y231=regle!$E$11,regle!$E$23,
IF(Y231=regle!$F$11,regle!$F$23,
IF(Y231=regle!$G$11,regle!$G$23,
IF(Y231=regle!$H$11,regle!$H$23,
IF(Y231=regle!$I$11,regle!$I$23,
IF(Y231=regle!$J$11,regle!$J$23,
IF(Y231=regle!$K$11,regle!$K$23,0))))))))))))</f>
        <v>0</v>
      </c>
      <c r="AJ231" s="17">
        <f>IF($A231,$J231*(IF(Z231=regle!$B$11,regle!$B$23*IF(AS231=-2,1+regle!$B$35,1),
IF(Z231=regle!$C$11,regle!$C$23,
IF(Z231=regle!$D$11,regle!$D$23,
IF(Z231=regle!$E$11,regle!$E$23,
IF(Z231=regle!$F$11,regle!$F$23,
IF(Z231=regle!$G$11,regle!$G$23,
IF(Z231=regle!$H$11,regle!$H$23,
IF(Z231=regle!$I$11,regle!$I$23,
IF(Z231=regle!$J$11,regle!$J$23,
IF(Z231=regle!$K$11,regle!$K$23,0))))))))))))</f>
        <v>0</v>
      </c>
      <c r="AK231" s="16">
        <f>IF(OR(Q231=regle!$J$11,Q231=regle!$K$11),-2,IF(Q231=regle!$B$11,0,IF(AK$1=$AK$1,IF($O231,-1,regle!$B$2-$M231),IF(AJ231=-1,-1,AJ231+1))))</f>
        <v>12</v>
      </c>
      <c r="AL231" s="16">
        <f>IF(OR(R231=regle!$J$11,R231=regle!$K$11),-2,IF(R231=regle!$B$11,0,IF(AL$1=$AK$1,IF($O231,-1,regle!$B$2-$M231),IF(AK231=-1,-1,AK231+1))))</f>
        <v>13</v>
      </c>
      <c r="AM231" s="16">
        <f>IF(OR(S231=regle!$J$11,S231=regle!$K$11),-2,IF(S231=regle!$B$11,0,IF(AM$1=$AK$1,IF($O231,-1,regle!$B$2-$M231),IF(AL231=-1,-1,AL231+1))))</f>
        <v>14</v>
      </c>
      <c r="AN231" s="16">
        <f>IF(OR(T231=regle!$J$11,T231=regle!$K$11),-2,IF(T231=regle!$B$11,0,IF(AN$1=$AK$1,IF($O231,-1,regle!$B$2-$M231),IF(AM231=-1,-1,AM231+1))))</f>
        <v>15</v>
      </c>
      <c r="AO231" s="16">
        <f>IF(OR(U231=regle!$J$11,U231=regle!$K$11),-2,IF(U231=regle!$B$11,0,IF(AO$1=$AK$1,IF($O231,-1,regle!$B$2-$M231),IF(AN231=-1,-1,AN231+1))))</f>
        <v>16</v>
      </c>
      <c r="AP231" s="16">
        <f>IF(OR(V231=regle!$J$11,V231=regle!$K$11),-2,IF(V231=regle!$B$11,0,IF(AP$1=$AK$1,IF($O231,-1,regle!$B$2-$M231),IF(AO231=-1,-1,AO231+1))))</f>
        <v>17</v>
      </c>
      <c r="AQ231" s="16">
        <f>IF(OR(W231=regle!$J$11,W231=regle!$K$11),-2,IF(W231=regle!$B$11,0,IF(AQ$1=$AK$1,IF($O231,-1,regle!$B$2-$M231),IF(AP231=-1,-1,AP231+1))))</f>
        <v>18</v>
      </c>
      <c r="AR231" s="16">
        <f>IF(OR(X231=regle!$J$11,X231=regle!$K$11),-2,IF(X231=regle!$B$11,0,IF(AR$1=$AK$1,IF($O231,-1,regle!$B$2-$M231),IF(AQ231=-1,-1,AQ231+1))))</f>
        <v>19</v>
      </c>
      <c r="AS231" s="16">
        <f>IF(OR(Y231=regle!$J$11,Y231=regle!$K$11),-2,IF(Y231=regle!$B$11,0,IF(AS$1=$AK$1,IF($O231,-1,regle!$B$2-$M231),IF(AR231=-1,-1,AR231+1))))</f>
        <v>20</v>
      </c>
      <c r="AT231" s="16">
        <f>IF(OR(Z231=regle!$J$11,Z231=regle!$K$11),-2,IF(Z231=regle!$B$11,0,IF(AT$1=$AK$1,IF($O231,-1,regle!$B$2-$M231),IF(AS231=-1,-1,AS231+1))))</f>
        <v>21</v>
      </c>
    </row>
    <row r="232" spans="1:46" x14ac:dyDescent="0.25">
      <c r="A232" t="b">
        <f>modif0!A87</f>
        <v>1</v>
      </c>
      <c r="B232">
        <f>ROW(modif0!B87)</f>
        <v>87</v>
      </c>
      <c r="C232" t="str">
        <f>modif0!D87</f>
        <v>536</v>
      </c>
      <c r="D232" t="str">
        <f>modif0!E87</f>
        <v>LE TUZAN</v>
      </c>
      <c r="E232">
        <f>modif0!F87</f>
        <v>21</v>
      </c>
      <c r="F232" t="str">
        <f>modif0!G87</f>
        <v>METAIRIES DE TABARTON</v>
      </c>
      <c r="G232" t="str">
        <f>modif0!I87</f>
        <v>0A</v>
      </c>
      <c r="H232">
        <f>modif0!J87</f>
        <v>847</v>
      </c>
      <c r="I232" t="str">
        <f>modif0!K87</f>
        <v>ck</v>
      </c>
      <c r="J232" s="11">
        <f>modif0!M87</f>
        <v>1.1826000000000001</v>
      </c>
      <c r="K232" s="11" t="str">
        <f>modif0!P87</f>
        <v>PLA</v>
      </c>
      <c r="L232" t="str">
        <f>modif0!N87</f>
        <v>PM</v>
      </c>
      <c r="M232">
        <f>modif0!Q87</f>
        <v>2012</v>
      </c>
      <c r="N232" t="str">
        <f>modif0!R87</f>
        <v>PLA-PM_2012</v>
      </c>
      <c r="O232" t="b">
        <f>modif0!S87</f>
        <v>0</v>
      </c>
      <c r="P232">
        <v>40</v>
      </c>
      <c r="Q232" t="s">
        <v>1803</v>
      </c>
      <c r="V232" t="s">
        <v>1804</v>
      </c>
      <c r="AA232" s="17">
        <f>IF($A232,$J232*(IF(Q232=regle!$B$11,regle!$B$23*IF(AJ232=-2,1+regle!$B$35,1),
IF(Q232=regle!$C$11,regle!$C$23,
IF(Q232=regle!$D$11,regle!$D$23,
IF(Q232=regle!$E$11,regle!$E$23,
IF(Q232=regle!$F$11,regle!$F$23,
IF(Q232=regle!$G$11,regle!$G$23,
IF(Q232=regle!$H$11,regle!$H$23,
IF(Q232=regle!$I$11,regle!$I$23,
IF(Q232=regle!$J$11,regle!$J$23,
IF(Q232=regle!$K$11,regle!$K$23,0))))))))))))</f>
        <v>681.1776000000001</v>
      </c>
      <c r="AB232" s="17">
        <f>IF($A232,$J232*(IF(R232=regle!$B$11,regle!$B$23*IF(AK232=-2,1+regle!$B$35,1),
IF(R232=regle!$C$11,regle!$C$23,
IF(R232=regle!$D$11,regle!$D$23,
IF(R232=regle!$E$11,regle!$E$23,
IF(R232=regle!$F$11,regle!$F$23,
IF(R232=regle!$G$11,regle!$G$23,
IF(R232=regle!$H$11,regle!$H$23,
IF(R232=regle!$I$11,regle!$I$23,
IF(R232=regle!$J$11,regle!$J$23,
IF(R232=regle!$K$11,regle!$K$23,0))))))))))))</f>
        <v>0</v>
      </c>
      <c r="AC232" s="17">
        <f>IF($A232,$J232*(IF(S232=regle!$B$11,regle!$B$23*IF(AL232=-2,1+regle!$B$35,1),
IF(S232=regle!$C$11,regle!$C$23,
IF(S232=regle!$D$11,regle!$D$23,
IF(S232=regle!$E$11,regle!$E$23,
IF(S232=regle!$F$11,regle!$F$23,
IF(S232=regle!$G$11,regle!$G$23,
IF(S232=regle!$H$11,regle!$H$23,
IF(S232=regle!$I$11,regle!$I$23,
IF(S232=regle!$J$11,regle!$J$23,
IF(S232=regle!$K$11,regle!$K$23,0))))))))))))</f>
        <v>0</v>
      </c>
      <c r="AD232" s="17">
        <f>IF($A232,$J232*(IF(T232=regle!$B$11,regle!$B$23*IF(AM232=-2,1+regle!$B$35,1),
IF(T232=regle!$C$11,regle!$C$23,
IF(T232=regle!$D$11,regle!$D$23,
IF(T232=regle!$E$11,regle!$E$23,
IF(T232=regle!$F$11,regle!$F$23,
IF(T232=regle!$G$11,regle!$G$23,
IF(T232=regle!$H$11,regle!$H$23,
IF(T232=regle!$I$11,regle!$I$23,
IF(T232=regle!$J$11,regle!$J$23,
IF(T232=regle!$K$11,regle!$K$23,0))))))))))))</f>
        <v>0</v>
      </c>
      <c r="AE232" s="17">
        <f>IF($A232,$J232*(IF(U232=regle!$B$11,regle!$B$23*IF(AN232=-2,1+regle!$B$35,1),
IF(U232=regle!$C$11,regle!$C$23,
IF(U232=regle!$D$11,regle!$D$23,
IF(U232=regle!$E$11,regle!$E$23,
IF(U232=regle!$F$11,regle!$F$23,
IF(U232=regle!$G$11,regle!$G$23,
IF(U232=regle!$H$11,regle!$H$23,
IF(U232=regle!$I$11,regle!$I$23,
IF(U232=regle!$J$11,regle!$J$23,
IF(U232=regle!$K$11,regle!$K$23,0))))))))))))</f>
        <v>0</v>
      </c>
      <c r="AF232" s="17">
        <f>IF($A232,$J232*(IF(V232=regle!$B$11,regle!$B$23*IF(AO232=-2,1+regle!$B$35,1),
IF(V232=regle!$C$11,regle!$C$23,
IF(V232=regle!$D$11,regle!$D$23,
IF(V232=regle!$E$11,regle!$E$23,
IF(V232=regle!$F$11,regle!$F$23,
IF(V232=regle!$G$11,regle!$G$23,
IF(V232=regle!$H$11,regle!$H$23,
IF(V232=regle!$I$11,regle!$I$23,
IF(V232=regle!$J$11,regle!$J$23,
IF(V232=regle!$K$11,regle!$K$23,0))))))))))))</f>
        <v>993.38400000000013</v>
      </c>
      <c r="AG232" s="17">
        <f>IF($A232,$J232*(IF(W232=regle!$B$11,regle!$B$23*IF(AP232=-2,1+regle!$B$35,1),
IF(W232=regle!$C$11,regle!$C$23,
IF(W232=regle!$D$11,regle!$D$23,
IF(W232=regle!$E$11,regle!$E$23,
IF(W232=regle!$F$11,regle!$F$23,
IF(W232=regle!$G$11,regle!$G$23,
IF(W232=regle!$H$11,regle!$H$23,
IF(W232=regle!$I$11,regle!$I$23,
IF(W232=regle!$J$11,regle!$J$23,
IF(W232=regle!$K$11,regle!$K$23,0))))))))))))</f>
        <v>0</v>
      </c>
      <c r="AH232" s="17">
        <f>IF($A232,$J232*(IF(X232=regle!$B$11,regle!$B$23*IF(AQ232=-2,1+regle!$B$35,1),
IF(X232=regle!$C$11,regle!$C$23,
IF(X232=regle!$D$11,regle!$D$23,
IF(X232=regle!$E$11,regle!$E$23,
IF(X232=regle!$F$11,regle!$F$23,
IF(X232=regle!$G$11,regle!$G$23,
IF(X232=regle!$H$11,regle!$H$23,
IF(X232=regle!$I$11,regle!$I$23,
IF(X232=regle!$J$11,regle!$J$23,
IF(X232=regle!$K$11,regle!$K$23,0))))))))))))</f>
        <v>0</v>
      </c>
      <c r="AI232" s="17">
        <f>IF($A232,$J232*(IF(Y232=regle!$B$11,regle!$B$23*IF(AR232=-2,1+regle!$B$35,1),
IF(Y232=regle!$C$11,regle!$C$23,
IF(Y232=regle!$D$11,regle!$D$23,
IF(Y232=regle!$E$11,regle!$E$23,
IF(Y232=regle!$F$11,regle!$F$23,
IF(Y232=regle!$G$11,regle!$G$23,
IF(Y232=regle!$H$11,regle!$H$23,
IF(Y232=regle!$I$11,regle!$I$23,
IF(Y232=regle!$J$11,regle!$J$23,
IF(Y232=regle!$K$11,regle!$K$23,0))))))))))))</f>
        <v>0</v>
      </c>
      <c r="AJ232" s="17">
        <f>IF($A232,$J232*(IF(Z232=regle!$B$11,regle!$B$23*IF(AS232=-2,1+regle!$B$35,1),
IF(Z232=regle!$C$11,regle!$C$23,
IF(Z232=regle!$D$11,regle!$D$23,
IF(Z232=regle!$E$11,regle!$E$23,
IF(Z232=regle!$F$11,regle!$F$23,
IF(Z232=regle!$G$11,regle!$G$23,
IF(Z232=regle!$H$11,regle!$H$23,
IF(Z232=regle!$I$11,regle!$I$23,
IF(Z232=regle!$J$11,regle!$J$23,
IF(Z232=regle!$K$11,regle!$K$23,0))))))))))))</f>
        <v>0</v>
      </c>
      <c r="AK232" s="16">
        <f>IF(OR(Q232=regle!$J$11,Q232=regle!$K$11),-2,IF(Q232=regle!$B$11,0,IF(AK$1=$AK$1,IF($O232,-1,regle!$B$2-$M232),IF(AJ232=-1,-1,AJ232+1))))</f>
        <v>12</v>
      </c>
      <c r="AL232" s="16">
        <f>IF(OR(R232=regle!$J$11,R232=regle!$K$11),-2,IF(R232=regle!$B$11,0,IF(AL$1=$AK$1,IF($O232,-1,regle!$B$2-$M232),IF(AK232=-1,-1,AK232+1))))</f>
        <v>13</v>
      </c>
      <c r="AM232" s="16">
        <f>IF(OR(S232=regle!$J$11,S232=regle!$K$11),-2,IF(S232=regle!$B$11,0,IF(AM$1=$AK$1,IF($O232,-1,regle!$B$2-$M232),IF(AL232=-1,-1,AL232+1))))</f>
        <v>14</v>
      </c>
      <c r="AN232" s="16">
        <f>IF(OR(T232=regle!$J$11,T232=regle!$K$11),-2,IF(T232=regle!$B$11,0,IF(AN$1=$AK$1,IF($O232,-1,regle!$B$2-$M232),IF(AM232=-1,-1,AM232+1))))</f>
        <v>15</v>
      </c>
      <c r="AO232" s="16">
        <f>IF(OR(U232=regle!$J$11,U232=regle!$K$11),-2,IF(U232=regle!$B$11,0,IF(AO$1=$AK$1,IF($O232,-1,regle!$B$2-$M232),IF(AN232=-1,-1,AN232+1))))</f>
        <v>16</v>
      </c>
      <c r="AP232" s="16">
        <f>IF(OR(V232=regle!$J$11,V232=regle!$K$11),-2,IF(V232=regle!$B$11,0,IF(AP$1=$AK$1,IF($O232,-1,regle!$B$2-$M232),IF(AO232=-1,-1,AO232+1))))</f>
        <v>17</v>
      </c>
      <c r="AQ232" s="16">
        <f>IF(OR(W232=regle!$J$11,W232=regle!$K$11),-2,IF(W232=regle!$B$11,0,IF(AQ$1=$AK$1,IF($O232,-1,regle!$B$2-$M232),IF(AP232=-1,-1,AP232+1))))</f>
        <v>18</v>
      </c>
      <c r="AR232" s="16">
        <f>IF(OR(X232=regle!$J$11,X232=regle!$K$11),-2,IF(X232=regle!$B$11,0,IF(AR$1=$AK$1,IF($O232,-1,regle!$B$2-$M232),IF(AQ232=-1,-1,AQ232+1))))</f>
        <v>19</v>
      </c>
      <c r="AS232" s="16">
        <f>IF(OR(Y232=regle!$J$11,Y232=regle!$K$11),-2,IF(Y232=regle!$B$11,0,IF(AS$1=$AK$1,IF($O232,-1,regle!$B$2-$M232),IF(AR232=-1,-1,AR232+1))))</f>
        <v>20</v>
      </c>
      <c r="AT232" s="16">
        <f>IF(OR(Z232=regle!$J$11,Z232=regle!$K$11),-2,IF(Z232=regle!$B$11,0,IF(AT$1=$AK$1,IF($O232,-1,regle!$B$2-$M232),IF(AS232=-1,-1,AS232+1))))</f>
        <v>21</v>
      </c>
    </row>
    <row r="233" spans="1:46" x14ac:dyDescent="0.25">
      <c r="A233" t="b">
        <f>modif0!A86</f>
        <v>1</v>
      </c>
      <c r="B233">
        <f>ROW(modif0!B86)</f>
        <v>86</v>
      </c>
      <c r="C233" t="str">
        <f>modif0!D86</f>
        <v>536</v>
      </c>
      <c r="D233" t="str">
        <f>modif0!E86</f>
        <v>LE TUZAN</v>
      </c>
      <c r="E233">
        <f>modif0!F86</f>
        <v>21</v>
      </c>
      <c r="F233" t="str">
        <f>modif0!G86</f>
        <v>METAIRIES DE TABARTON</v>
      </c>
      <c r="G233" t="str">
        <f>modif0!I86</f>
        <v>0A</v>
      </c>
      <c r="H233">
        <f>modif0!J86</f>
        <v>847</v>
      </c>
      <c r="I233" t="str">
        <f>modif0!K86</f>
        <v>cj</v>
      </c>
      <c r="J233" s="11">
        <f>modif0!M86</f>
        <v>0.78680000000000005</v>
      </c>
      <c r="K233" s="11" t="str">
        <f>modif0!P86</f>
        <v>PLA</v>
      </c>
      <c r="L233" t="str">
        <f>modif0!N86</f>
        <v>PM</v>
      </c>
      <c r="M233">
        <f>modif0!Q86</f>
        <v>2012</v>
      </c>
      <c r="N233" t="str">
        <f>modif0!R86</f>
        <v>PLA-PM_2012</v>
      </c>
      <c r="O233" t="b">
        <f>modif0!S86</f>
        <v>0</v>
      </c>
      <c r="P233">
        <v>40</v>
      </c>
      <c r="Q233" t="s">
        <v>1803</v>
      </c>
      <c r="V233" t="s">
        <v>1804</v>
      </c>
      <c r="AA233" s="17">
        <f>IF($A233,$J233*(IF(Q233=regle!$B$11,regle!$B$23*IF(AJ233=-2,1+regle!$B$35,1),
IF(Q233=regle!$C$11,regle!$C$23,
IF(Q233=regle!$D$11,regle!$D$23,
IF(Q233=regle!$E$11,regle!$E$23,
IF(Q233=regle!$F$11,regle!$F$23,
IF(Q233=regle!$G$11,regle!$G$23,
IF(Q233=regle!$H$11,regle!$H$23,
IF(Q233=regle!$I$11,regle!$I$23,
IF(Q233=regle!$J$11,regle!$J$23,
IF(Q233=regle!$K$11,regle!$K$23,0))))))))))))</f>
        <v>453.19680000000005</v>
      </c>
      <c r="AB233" s="17">
        <f>IF($A233,$J233*(IF(R233=regle!$B$11,regle!$B$23*IF(AK233=-2,1+regle!$B$35,1),
IF(R233=regle!$C$11,regle!$C$23,
IF(R233=regle!$D$11,regle!$D$23,
IF(R233=regle!$E$11,regle!$E$23,
IF(R233=regle!$F$11,regle!$F$23,
IF(R233=regle!$G$11,regle!$G$23,
IF(R233=regle!$H$11,regle!$H$23,
IF(R233=regle!$I$11,regle!$I$23,
IF(R233=regle!$J$11,regle!$J$23,
IF(R233=regle!$K$11,regle!$K$23,0))))))))))))</f>
        <v>0</v>
      </c>
      <c r="AC233" s="17">
        <f>IF($A233,$J233*(IF(S233=regle!$B$11,regle!$B$23*IF(AL233=-2,1+regle!$B$35,1),
IF(S233=regle!$C$11,regle!$C$23,
IF(S233=regle!$D$11,regle!$D$23,
IF(S233=regle!$E$11,regle!$E$23,
IF(S233=regle!$F$11,regle!$F$23,
IF(S233=regle!$G$11,regle!$G$23,
IF(S233=regle!$H$11,regle!$H$23,
IF(S233=regle!$I$11,regle!$I$23,
IF(S233=regle!$J$11,regle!$J$23,
IF(S233=regle!$K$11,regle!$K$23,0))))))))))))</f>
        <v>0</v>
      </c>
      <c r="AD233" s="17">
        <f>IF($A233,$J233*(IF(T233=regle!$B$11,regle!$B$23*IF(AM233=-2,1+regle!$B$35,1),
IF(T233=regle!$C$11,regle!$C$23,
IF(T233=regle!$D$11,regle!$D$23,
IF(T233=regle!$E$11,regle!$E$23,
IF(T233=regle!$F$11,regle!$F$23,
IF(T233=regle!$G$11,regle!$G$23,
IF(T233=regle!$H$11,regle!$H$23,
IF(T233=regle!$I$11,regle!$I$23,
IF(T233=regle!$J$11,regle!$J$23,
IF(T233=regle!$K$11,regle!$K$23,0))))))))))))</f>
        <v>0</v>
      </c>
      <c r="AE233" s="17">
        <f>IF($A233,$J233*(IF(U233=regle!$B$11,regle!$B$23*IF(AN233=-2,1+regle!$B$35,1),
IF(U233=regle!$C$11,regle!$C$23,
IF(U233=regle!$D$11,regle!$D$23,
IF(U233=regle!$E$11,regle!$E$23,
IF(U233=regle!$F$11,regle!$F$23,
IF(U233=regle!$G$11,regle!$G$23,
IF(U233=regle!$H$11,regle!$H$23,
IF(U233=regle!$I$11,regle!$I$23,
IF(U233=regle!$J$11,regle!$J$23,
IF(U233=regle!$K$11,regle!$K$23,0))))))))))))</f>
        <v>0</v>
      </c>
      <c r="AF233" s="17">
        <f>IF($A233,$J233*(IF(V233=regle!$B$11,regle!$B$23*IF(AO233=-2,1+regle!$B$35,1),
IF(V233=regle!$C$11,regle!$C$23,
IF(V233=regle!$D$11,regle!$D$23,
IF(V233=regle!$E$11,regle!$E$23,
IF(V233=regle!$F$11,regle!$F$23,
IF(V233=regle!$G$11,regle!$G$23,
IF(V233=regle!$H$11,regle!$H$23,
IF(V233=regle!$I$11,regle!$I$23,
IF(V233=regle!$J$11,regle!$J$23,
IF(V233=regle!$K$11,regle!$K$23,0))))))))))))</f>
        <v>660.91200000000003</v>
      </c>
      <c r="AG233" s="17">
        <f>IF($A233,$J233*(IF(W233=regle!$B$11,regle!$B$23*IF(AP233=-2,1+regle!$B$35,1),
IF(W233=regle!$C$11,regle!$C$23,
IF(W233=regle!$D$11,regle!$D$23,
IF(W233=regle!$E$11,regle!$E$23,
IF(W233=regle!$F$11,regle!$F$23,
IF(W233=regle!$G$11,regle!$G$23,
IF(W233=regle!$H$11,regle!$H$23,
IF(W233=regle!$I$11,regle!$I$23,
IF(W233=regle!$J$11,regle!$J$23,
IF(W233=regle!$K$11,regle!$K$23,0))))))))))))</f>
        <v>0</v>
      </c>
      <c r="AH233" s="17">
        <f>IF($A233,$J233*(IF(X233=regle!$B$11,regle!$B$23*IF(AQ233=-2,1+regle!$B$35,1),
IF(X233=regle!$C$11,regle!$C$23,
IF(X233=regle!$D$11,regle!$D$23,
IF(X233=regle!$E$11,regle!$E$23,
IF(X233=regle!$F$11,regle!$F$23,
IF(X233=regle!$G$11,regle!$G$23,
IF(X233=regle!$H$11,regle!$H$23,
IF(X233=regle!$I$11,regle!$I$23,
IF(X233=regle!$J$11,regle!$J$23,
IF(X233=regle!$K$11,regle!$K$23,0))))))))))))</f>
        <v>0</v>
      </c>
      <c r="AI233" s="17">
        <f>IF($A233,$J233*(IF(Y233=regle!$B$11,regle!$B$23*IF(AR233=-2,1+regle!$B$35,1),
IF(Y233=regle!$C$11,regle!$C$23,
IF(Y233=regle!$D$11,regle!$D$23,
IF(Y233=regle!$E$11,regle!$E$23,
IF(Y233=regle!$F$11,regle!$F$23,
IF(Y233=regle!$G$11,regle!$G$23,
IF(Y233=regle!$H$11,regle!$H$23,
IF(Y233=regle!$I$11,regle!$I$23,
IF(Y233=regle!$J$11,regle!$J$23,
IF(Y233=regle!$K$11,regle!$K$23,0))))))))))))</f>
        <v>0</v>
      </c>
      <c r="AJ233" s="17">
        <f>IF($A233,$J233*(IF(Z233=regle!$B$11,regle!$B$23*IF(AS233=-2,1+regle!$B$35,1),
IF(Z233=regle!$C$11,regle!$C$23,
IF(Z233=regle!$D$11,regle!$D$23,
IF(Z233=regle!$E$11,regle!$E$23,
IF(Z233=regle!$F$11,regle!$F$23,
IF(Z233=regle!$G$11,regle!$G$23,
IF(Z233=regle!$H$11,regle!$H$23,
IF(Z233=regle!$I$11,regle!$I$23,
IF(Z233=regle!$J$11,regle!$J$23,
IF(Z233=regle!$K$11,regle!$K$23,0))))))))))))</f>
        <v>0</v>
      </c>
      <c r="AK233" s="16">
        <f>IF(OR(Q233=regle!$J$11,Q233=regle!$K$11),-2,IF(Q233=regle!$B$11,0,IF(AK$1=$AK$1,IF($O233,-1,regle!$B$2-$M233),IF(AJ233=-1,-1,AJ233+1))))</f>
        <v>12</v>
      </c>
      <c r="AL233" s="16">
        <f>IF(OR(R233=regle!$J$11,R233=regle!$K$11),-2,IF(R233=regle!$B$11,0,IF(AL$1=$AK$1,IF($O233,-1,regle!$B$2-$M233),IF(AK233=-1,-1,AK233+1))))</f>
        <v>13</v>
      </c>
      <c r="AM233" s="16">
        <f>IF(OR(S233=regle!$J$11,S233=regle!$K$11),-2,IF(S233=regle!$B$11,0,IF(AM$1=$AK$1,IF($O233,-1,regle!$B$2-$M233),IF(AL233=-1,-1,AL233+1))))</f>
        <v>14</v>
      </c>
      <c r="AN233" s="16">
        <f>IF(OR(T233=regle!$J$11,T233=regle!$K$11),-2,IF(T233=regle!$B$11,0,IF(AN$1=$AK$1,IF($O233,-1,regle!$B$2-$M233),IF(AM233=-1,-1,AM233+1))))</f>
        <v>15</v>
      </c>
      <c r="AO233" s="16">
        <f>IF(OR(U233=regle!$J$11,U233=regle!$K$11),-2,IF(U233=regle!$B$11,0,IF(AO$1=$AK$1,IF($O233,-1,regle!$B$2-$M233),IF(AN233=-1,-1,AN233+1))))</f>
        <v>16</v>
      </c>
      <c r="AP233" s="16">
        <f>IF(OR(V233=regle!$J$11,V233=regle!$K$11),-2,IF(V233=regle!$B$11,0,IF(AP$1=$AK$1,IF($O233,-1,regle!$B$2-$M233),IF(AO233=-1,-1,AO233+1))))</f>
        <v>17</v>
      </c>
      <c r="AQ233" s="16">
        <f>IF(OR(W233=regle!$J$11,W233=regle!$K$11),-2,IF(W233=regle!$B$11,0,IF(AQ$1=$AK$1,IF($O233,-1,regle!$B$2-$M233),IF(AP233=-1,-1,AP233+1))))</f>
        <v>18</v>
      </c>
      <c r="AR233" s="16">
        <f>IF(OR(X233=regle!$J$11,X233=regle!$K$11),-2,IF(X233=regle!$B$11,0,IF(AR$1=$AK$1,IF($O233,-1,regle!$B$2-$M233),IF(AQ233=-1,-1,AQ233+1))))</f>
        <v>19</v>
      </c>
      <c r="AS233" s="16">
        <f>IF(OR(Y233=regle!$J$11,Y233=regle!$K$11),-2,IF(Y233=regle!$B$11,0,IF(AS$1=$AK$1,IF($O233,-1,regle!$B$2-$M233),IF(AR233=-1,-1,AR233+1))))</f>
        <v>20</v>
      </c>
      <c r="AT233" s="16">
        <f>IF(OR(Z233=regle!$J$11,Z233=regle!$K$11),-2,IF(Z233=regle!$B$11,0,IF(AT$1=$AK$1,IF($O233,-1,regle!$B$2-$M233),IF(AS233=-1,-1,AS233+1))))</f>
        <v>21</v>
      </c>
    </row>
    <row r="234" spans="1:46" x14ac:dyDescent="0.25">
      <c r="A234" t="b">
        <f>modif0!A40</f>
        <v>1</v>
      </c>
      <c r="B234">
        <f>ROW(modif0!B40)</f>
        <v>40</v>
      </c>
      <c r="C234" t="str">
        <f>modif0!D40</f>
        <v>536</v>
      </c>
      <c r="D234" t="str">
        <f>modif0!E40</f>
        <v>LE TUZAN</v>
      </c>
      <c r="E234">
        <f>modif0!F40</f>
        <v>21</v>
      </c>
      <c r="F234" t="str">
        <f>modif0!G40</f>
        <v>METAIRIES DE TABARTON</v>
      </c>
      <c r="G234" t="str">
        <f>modif0!I40</f>
        <v>0A</v>
      </c>
      <c r="H234">
        <f>modif0!J40</f>
        <v>419</v>
      </c>
      <c r="I234" t="str">
        <f>modif0!K40</f>
        <v>e</v>
      </c>
      <c r="J234" s="11">
        <f>modif0!M40</f>
        <v>0.49619999999999997</v>
      </c>
      <c r="K234" s="11" t="str">
        <f>modif0!P40</f>
        <v>PLA</v>
      </c>
      <c r="L234" t="str">
        <f>modif0!N40</f>
        <v>PM</v>
      </c>
      <c r="M234">
        <f>modif0!Q40</f>
        <v>2012</v>
      </c>
      <c r="N234" t="str">
        <f>modif0!R40</f>
        <v>PLA-PM_2012</v>
      </c>
      <c r="O234" t="b">
        <f>modif0!S40</f>
        <v>0</v>
      </c>
      <c r="P234">
        <v>40</v>
      </c>
      <c r="Q234" t="s">
        <v>1803</v>
      </c>
      <c r="V234" t="s">
        <v>1804</v>
      </c>
      <c r="AA234" s="17">
        <f>IF($A234,$J234*(IF(Q234=regle!$B$11,regle!$B$23*IF(AJ234=-2,1+regle!$B$35,1),
IF(Q234=regle!$C$11,regle!$C$23,
IF(Q234=regle!$D$11,regle!$D$23,
IF(Q234=regle!$E$11,regle!$E$23,
IF(Q234=regle!$F$11,regle!$F$23,
IF(Q234=regle!$G$11,regle!$G$23,
IF(Q234=regle!$H$11,regle!$H$23,
IF(Q234=regle!$I$11,regle!$I$23,
IF(Q234=regle!$J$11,regle!$J$23,
IF(Q234=regle!$K$11,regle!$K$23,0))))))))))))</f>
        <v>285.81119999999999</v>
      </c>
      <c r="AB234" s="17">
        <f>IF($A234,$J234*(IF(R234=regle!$B$11,regle!$B$23*IF(AK234=-2,1+regle!$B$35,1),
IF(R234=regle!$C$11,regle!$C$23,
IF(R234=regle!$D$11,regle!$D$23,
IF(R234=regle!$E$11,regle!$E$23,
IF(R234=regle!$F$11,regle!$F$23,
IF(R234=regle!$G$11,regle!$G$23,
IF(R234=regle!$H$11,regle!$H$23,
IF(R234=regle!$I$11,regle!$I$23,
IF(R234=regle!$J$11,regle!$J$23,
IF(R234=regle!$K$11,regle!$K$23,0))))))))))))</f>
        <v>0</v>
      </c>
      <c r="AC234" s="17">
        <f>IF($A234,$J234*(IF(S234=regle!$B$11,regle!$B$23*IF(AL234=-2,1+regle!$B$35,1),
IF(S234=regle!$C$11,regle!$C$23,
IF(S234=regle!$D$11,regle!$D$23,
IF(S234=regle!$E$11,regle!$E$23,
IF(S234=regle!$F$11,regle!$F$23,
IF(S234=regle!$G$11,regle!$G$23,
IF(S234=regle!$H$11,regle!$H$23,
IF(S234=regle!$I$11,regle!$I$23,
IF(S234=regle!$J$11,regle!$J$23,
IF(S234=regle!$K$11,regle!$K$23,0))))))))))))</f>
        <v>0</v>
      </c>
      <c r="AD234" s="17">
        <f>IF($A234,$J234*(IF(T234=regle!$B$11,regle!$B$23*IF(AM234=-2,1+regle!$B$35,1),
IF(T234=regle!$C$11,regle!$C$23,
IF(T234=regle!$D$11,regle!$D$23,
IF(T234=regle!$E$11,regle!$E$23,
IF(T234=regle!$F$11,regle!$F$23,
IF(T234=regle!$G$11,regle!$G$23,
IF(T234=regle!$H$11,regle!$H$23,
IF(T234=regle!$I$11,regle!$I$23,
IF(T234=regle!$J$11,regle!$J$23,
IF(T234=regle!$K$11,regle!$K$23,0))))))))))))</f>
        <v>0</v>
      </c>
      <c r="AE234" s="17">
        <f>IF($A234,$J234*(IF(U234=regle!$B$11,regle!$B$23*IF(AN234=-2,1+regle!$B$35,1),
IF(U234=regle!$C$11,regle!$C$23,
IF(U234=regle!$D$11,regle!$D$23,
IF(U234=regle!$E$11,regle!$E$23,
IF(U234=regle!$F$11,regle!$F$23,
IF(U234=regle!$G$11,regle!$G$23,
IF(U234=regle!$H$11,regle!$H$23,
IF(U234=regle!$I$11,regle!$I$23,
IF(U234=regle!$J$11,regle!$J$23,
IF(U234=regle!$K$11,regle!$K$23,0))))))))))))</f>
        <v>0</v>
      </c>
      <c r="AF234" s="17">
        <f>IF($A234,$J234*(IF(V234=regle!$B$11,regle!$B$23*IF(AO234=-2,1+regle!$B$35,1),
IF(V234=regle!$C$11,regle!$C$23,
IF(V234=regle!$D$11,regle!$D$23,
IF(V234=regle!$E$11,regle!$E$23,
IF(V234=regle!$F$11,regle!$F$23,
IF(V234=regle!$G$11,regle!$G$23,
IF(V234=regle!$H$11,regle!$H$23,
IF(V234=regle!$I$11,regle!$I$23,
IF(V234=regle!$J$11,regle!$J$23,
IF(V234=regle!$K$11,regle!$K$23,0))))))))))))</f>
        <v>416.80799999999999</v>
      </c>
      <c r="AG234" s="17">
        <f>IF($A234,$J234*(IF(W234=regle!$B$11,regle!$B$23*IF(AP234=-2,1+regle!$B$35,1),
IF(W234=regle!$C$11,regle!$C$23,
IF(W234=regle!$D$11,regle!$D$23,
IF(W234=regle!$E$11,regle!$E$23,
IF(W234=regle!$F$11,regle!$F$23,
IF(W234=regle!$G$11,regle!$G$23,
IF(W234=regle!$H$11,regle!$H$23,
IF(W234=regle!$I$11,regle!$I$23,
IF(W234=regle!$J$11,regle!$J$23,
IF(W234=regle!$K$11,regle!$K$23,0))))))))))))</f>
        <v>0</v>
      </c>
      <c r="AH234" s="17">
        <f>IF($A234,$J234*(IF(X234=regle!$B$11,regle!$B$23*IF(AQ234=-2,1+regle!$B$35,1),
IF(X234=regle!$C$11,regle!$C$23,
IF(X234=regle!$D$11,regle!$D$23,
IF(X234=regle!$E$11,regle!$E$23,
IF(X234=regle!$F$11,regle!$F$23,
IF(X234=regle!$G$11,regle!$G$23,
IF(X234=regle!$H$11,regle!$H$23,
IF(X234=regle!$I$11,regle!$I$23,
IF(X234=regle!$J$11,regle!$J$23,
IF(X234=regle!$K$11,regle!$K$23,0))))))))))))</f>
        <v>0</v>
      </c>
      <c r="AI234" s="17">
        <f>IF($A234,$J234*(IF(Y234=regle!$B$11,regle!$B$23*IF(AR234=-2,1+regle!$B$35,1),
IF(Y234=regle!$C$11,regle!$C$23,
IF(Y234=regle!$D$11,regle!$D$23,
IF(Y234=regle!$E$11,regle!$E$23,
IF(Y234=regle!$F$11,regle!$F$23,
IF(Y234=regle!$G$11,regle!$G$23,
IF(Y234=regle!$H$11,regle!$H$23,
IF(Y234=regle!$I$11,regle!$I$23,
IF(Y234=regle!$J$11,regle!$J$23,
IF(Y234=regle!$K$11,regle!$K$23,0))))))))))))</f>
        <v>0</v>
      </c>
      <c r="AJ234" s="17">
        <f>IF($A234,$J234*(IF(Z234=regle!$B$11,regle!$B$23*IF(AS234=-2,1+regle!$B$35,1),
IF(Z234=regle!$C$11,regle!$C$23,
IF(Z234=regle!$D$11,regle!$D$23,
IF(Z234=regle!$E$11,regle!$E$23,
IF(Z234=regle!$F$11,regle!$F$23,
IF(Z234=regle!$G$11,regle!$G$23,
IF(Z234=regle!$H$11,regle!$H$23,
IF(Z234=regle!$I$11,regle!$I$23,
IF(Z234=regle!$J$11,regle!$J$23,
IF(Z234=regle!$K$11,regle!$K$23,0))))))))))))</f>
        <v>0</v>
      </c>
      <c r="AK234" s="16">
        <f>IF(OR(Q234=regle!$J$11,Q234=regle!$K$11),-2,IF(Q234=regle!$B$11,0,IF(AK$1=$AK$1,IF($O234,-1,regle!$B$2-$M234),IF(AJ234=-1,-1,AJ234+1))))</f>
        <v>12</v>
      </c>
      <c r="AL234" s="16">
        <f>IF(OR(R234=regle!$J$11,R234=regle!$K$11),-2,IF(R234=regle!$B$11,0,IF(AL$1=$AK$1,IF($O234,-1,regle!$B$2-$M234),IF(AK234=-1,-1,AK234+1))))</f>
        <v>13</v>
      </c>
      <c r="AM234" s="16">
        <f>IF(OR(S234=regle!$J$11,S234=regle!$K$11),-2,IF(S234=regle!$B$11,0,IF(AM$1=$AK$1,IF($O234,-1,regle!$B$2-$M234),IF(AL234=-1,-1,AL234+1))))</f>
        <v>14</v>
      </c>
      <c r="AN234" s="16">
        <f>IF(OR(T234=regle!$J$11,T234=regle!$K$11),-2,IF(T234=regle!$B$11,0,IF(AN$1=$AK$1,IF($O234,-1,regle!$B$2-$M234),IF(AM234=-1,-1,AM234+1))))</f>
        <v>15</v>
      </c>
      <c r="AO234" s="16">
        <f>IF(OR(U234=regle!$J$11,U234=regle!$K$11),-2,IF(U234=regle!$B$11,0,IF(AO$1=$AK$1,IF($O234,-1,regle!$B$2-$M234),IF(AN234=-1,-1,AN234+1))))</f>
        <v>16</v>
      </c>
      <c r="AP234" s="16">
        <f>IF(OR(V234=regle!$J$11,V234=regle!$K$11),-2,IF(V234=regle!$B$11,0,IF(AP$1=$AK$1,IF($O234,-1,regle!$B$2-$M234),IF(AO234=-1,-1,AO234+1))))</f>
        <v>17</v>
      </c>
      <c r="AQ234" s="16">
        <f>IF(OR(W234=regle!$J$11,W234=regle!$K$11),-2,IF(W234=regle!$B$11,0,IF(AQ$1=$AK$1,IF($O234,-1,regle!$B$2-$M234),IF(AP234=-1,-1,AP234+1))))</f>
        <v>18</v>
      </c>
      <c r="AR234" s="16">
        <f>IF(OR(X234=regle!$J$11,X234=regle!$K$11),-2,IF(X234=regle!$B$11,0,IF(AR$1=$AK$1,IF($O234,-1,regle!$B$2-$M234),IF(AQ234=-1,-1,AQ234+1))))</f>
        <v>19</v>
      </c>
      <c r="AS234" s="16">
        <f>IF(OR(Y234=regle!$J$11,Y234=regle!$K$11),-2,IF(Y234=regle!$B$11,0,IF(AS$1=$AK$1,IF($O234,-1,regle!$B$2-$M234),IF(AR234=-1,-1,AR234+1))))</f>
        <v>20</v>
      </c>
      <c r="AT234" s="16">
        <f>IF(OR(Z234=regle!$J$11,Z234=regle!$K$11),-2,IF(Z234=regle!$B$11,0,IF(AT$1=$AK$1,IF($O234,-1,regle!$B$2-$M234),IF(AS234=-1,-1,AS234+1))))</f>
        <v>21</v>
      </c>
    </row>
    <row r="235" spans="1:46" x14ac:dyDescent="0.25">
      <c r="A235" t="b">
        <f>modif0!A43</f>
        <v>1</v>
      </c>
      <c r="B235">
        <f>ROW(modif0!B43)</f>
        <v>43</v>
      </c>
      <c r="C235" t="str">
        <f>modif0!D43</f>
        <v>536</v>
      </c>
      <c r="D235" t="str">
        <f>modif0!E43</f>
        <v>LE TUZAN</v>
      </c>
      <c r="E235">
        <f>modif0!F43</f>
        <v>21</v>
      </c>
      <c r="F235" t="str">
        <f>modif0!G43</f>
        <v>METAIRIES DE TABARTON</v>
      </c>
      <c r="G235" t="str">
        <f>modif0!I43</f>
        <v>0A</v>
      </c>
      <c r="H235">
        <f>modif0!J43</f>
        <v>421</v>
      </c>
      <c r="I235" t="str">
        <f>modif0!K43</f>
        <v>c</v>
      </c>
      <c r="J235" s="11">
        <f>modif0!M43</f>
        <v>0.2412</v>
      </c>
      <c r="K235" s="11" t="str">
        <f>modif0!P43</f>
        <v>PLA</v>
      </c>
      <c r="L235" t="str">
        <f>modif0!N43</f>
        <v>PM</v>
      </c>
      <c r="M235">
        <f>modif0!Q43</f>
        <v>2012</v>
      </c>
      <c r="N235" t="str">
        <f>modif0!R43</f>
        <v>PLA-PM_2012</v>
      </c>
      <c r="O235" t="b">
        <f>modif0!S43</f>
        <v>0</v>
      </c>
      <c r="P235">
        <v>40</v>
      </c>
      <c r="Q235" t="s">
        <v>1803</v>
      </c>
      <c r="V235" t="s">
        <v>1804</v>
      </c>
      <c r="AA235" s="17">
        <f>IF($A235,$J235*(IF(Q235=regle!$B$11,regle!$B$23*IF(AJ235=-2,1+regle!$B$35,1),
IF(Q235=regle!$C$11,regle!$C$23,
IF(Q235=regle!$D$11,regle!$D$23,
IF(Q235=regle!$E$11,regle!$E$23,
IF(Q235=regle!$F$11,regle!$F$23,
IF(Q235=regle!$G$11,regle!$G$23,
IF(Q235=regle!$H$11,regle!$H$23,
IF(Q235=regle!$I$11,regle!$I$23,
IF(Q235=regle!$J$11,regle!$J$23,
IF(Q235=regle!$K$11,regle!$K$23,0))))))))))))</f>
        <v>138.93119999999999</v>
      </c>
      <c r="AB235" s="17">
        <f>IF($A235,$J235*(IF(R235=regle!$B$11,regle!$B$23*IF(AK235=-2,1+regle!$B$35,1),
IF(R235=regle!$C$11,regle!$C$23,
IF(R235=regle!$D$11,regle!$D$23,
IF(R235=regle!$E$11,regle!$E$23,
IF(R235=regle!$F$11,regle!$F$23,
IF(R235=regle!$G$11,regle!$G$23,
IF(R235=regle!$H$11,regle!$H$23,
IF(R235=regle!$I$11,regle!$I$23,
IF(R235=regle!$J$11,regle!$J$23,
IF(R235=regle!$K$11,regle!$K$23,0))))))))))))</f>
        <v>0</v>
      </c>
      <c r="AC235" s="17">
        <f>IF($A235,$J235*(IF(S235=regle!$B$11,regle!$B$23*IF(AL235=-2,1+regle!$B$35,1),
IF(S235=regle!$C$11,regle!$C$23,
IF(S235=regle!$D$11,regle!$D$23,
IF(S235=regle!$E$11,regle!$E$23,
IF(S235=regle!$F$11,regle!$F$23,
IF(S235=regle!$G$11,regle!$G$23,
IF(S235=regle!$H$11,regle!$H$23,
IF(S235=regle!$I$11,regle!$I$23,
IF(S235=regle!$J$11,regle!$J$23,
IF(S235=regle!$K$11,regle!$K$23,0))))))))))))</f>
        <v>0</v>
      </c>
      <c r="AD235" s="17">
        <f>IF($A235,$J235*(IF(T235=regle!$B$11,regle!$B$23*IF(AM235=-2,1+regle!$B$35,1),
IF(T235=regle!$C$11,regle!$C$23,
IF(T235=regle!$D$11,regle!$D$23,
IF(T235=regle!$E$11,regle!$E$23,
IF(T235=regle!$F$11,regle!$F$23,
IF(T235=regle!$G$11,regle!$G$23,
IF(T235=regle!$H$11,regle!$H$23,
IF(T235=regle!$I$11,regle!$I$23,
IF(T235=regle!$J$11,regle!$J$23,
IF(T235=regle!$K$11,regle!$K$23,0))))))))))))</f>
        <v>0</v>
      </c>
      <c r="AE235" s="17">
        <f>IF($A235,$J235*(IF(U235=regle!$B$11,regle!$B$23*IF(AN235=-2,1+regle!$B$35,1),
IF(U235=regle!$C$11,regle!$C$23,
IF(U235=regle!$D$11,regle!$D$23,
IF(U235=regle!$E$11,regle!$E$23,
IF(U235=regle!$F$11,regle!$F$23,
IF(U235=regle!$G$11,regle!$G$23,
IF(U235=regle!$H$11,regle!$H$23,
IF(U235=regle!$I$11,regle!$I$23,
IF(U235=regle!$J$11,regle!$J$23,
IF(U235=regle!$K$11,regle!$K$23,0))))))))))))</f>
        <v>0</v>
      </c>
      <c r="AF235" s="17">
        <f>IF($A235,$J235*(IF(V235=regle!$B$11,regle!$B$23*IF(AO235=-2,1+regle!$B$35,1),
IF(V235=regle!$C$11,regle!$C$23,
IF(V235=regle!$D$11,regle!$D$23,
IF(V235=regle!$E$11,regle!$E$23,
IF(V235=regle!$F$11,regle!$F$23,
IF(V235=regle!$G$11,regle!$G$23,
IF(V235=regle!$H$11,regle!$H$23,
IF(V235=regle!$I$11,regle!$I$23,
IF(V235=regle!$J$11,regle!$J$23,
IF(V235=regle!$K$11,regle!$K$23,0))))))))))))</f>
        <v>202.608</v>
      </c>
      <c r="AG235" s="17">
        <f>IF($A235,$J235*(IF(W235=regle!$B$11,regle!$B$23*IF(AP235=-2,1+regle!$B$35,1),
IF(W235=regle!$C$11,regle!$C$23,
IF(W235=regle!$D$11,regle!$D$23,
IF(W235=regle!$E$11,regle!$E$23,
IF(W235=regle!$F$11,regle!$F$23,
IF(W235=regle!$G$11,regle!$G$23,
IF(W235=regle!$H$11,regle!$H$23,
IF(W235=regle!$I$11,regle!$I$23,
IF(W235=regle!$J$11,regle!$J$23,
IF(W235=regle!$K$11,regle!$K$23,0))))))))))))</f>
        <v>0</v>
      </c>
      <c r="AH235" s="17">
        <f>IF($A235,$J235*(IF(X235=regle!$B$11,regle!$B$23*IF(AQ235=-2,1+regle!$B$35,1),
IF(X235=regle!$C$11,regle!$C$23,
IF(X235=regle!$D$11,regle!$D$23,
IF(X235=regle!$E$11,regle!$E$23,
IF(X235=regle!$F$11,regle!$F$23,
IF(X235=regle!$G$11,regle!$G$23,
IF(X235=regle!$H$11,regle!$H$23,
IF(X235=regle!$I$11,regle!$I$23,
IF(X235=regle!$J$11,regle!$J$23,
IF(X235=regle!$K$11,regle!$K$23,0))))))))))))</f>
        <v>0</v>
      </c>
      <c r="AI235" s="17">
        <f>IF($A235,$J235*(IF(Y235=regle!$B$11,regle!$B$23*IF(AR235=-2,1+regle!$B$35,1),
IF(Y235=regle!$C$11,regle!$C$23,
IF(Y235=regle!$D$11,regle!$D$23,
IF(Y235=regle!$E$11,regle!$E$23,
IF(Y235=regle!$F$11,regle!$F$23,
IF(Y235=regle!$G$11,regle!$G$23,
IF(Y235=regle!$H$11,regle!$H$23,
IF(Y235=regle!$I$11,regle!$I$23,
IF(Y235=regle!$J$11,regle!$J$23,
IF(Y235=regle!$K$11,regle!$K$23,0))))))))))))</f>
        <v>0</v>
      </c>
      <c r="AJ235" s="17">
        <f>IF($A235,$J235*(IF(Z235=regle!$B$11,regle!$B$23*IF(AS235=-2,1+regle!$B$35,1),
IF(Z235=regle!$C$11,regle!$C$23,
IF(Z235=regle!$D$11,regle!$D$23,
IF(Z235=regle!$E$11,regle!$E$23,
IF(Z235=regle!$F$11,regle!$F$23,
IF(Z235=regle!$G$11,regle!$G$23,
IF(Z235=regle!$H$11,regle!$H$23,
IF(Z235=regle!$I$11,regle!$I$23,
IF(Z235=regle!$J$11,regle!$J$23,
IF(Z235=regle!$K$11,regle!$K$23,0))))))))))))</f>
        <v>0</v>
      </c>
      <c r="AK235" s="16">
        <f>IF(OR(Q235=regle!$J$11,Q235=regle!$K$11),-2,IF(Q235=regle!$B$11,0,IF(AK$1=$AK$1,IF($O235,-1,regle!$B$2-$M235),IF(AJ235=-1,-1,AJ235+1))))</f>
        <v>12</v>
      </c>
      <c r="AL235" s="16">
        <f>IF(OR(R235=regle!$J$11,R235=regle!$K$11),-2,IF(R235=regle!$B$11,0,IF(AL$1=$AK$1,IF($O235,-1,regle!$B$2-$M235),IF(AK235=-1,-1,AK235+1))))</f>
        <v>13</v>
      </c>
      <c r="AM235" s="16">
        <f>IF(OR(S235=regle!$J$11,S235=regle!$K$11),-2,IF(S235=regle!$B$11,0,IF(AM$1=$AK$1,IF($O235,-1,regle!$B$2-$M235),IF(AL235=-1,-1,AL235+1))))</f>
        <v>14</v>
      </c>
      <c r="AN235" s="16">
        <f>IF(OR(T235=regle!$J$11,T235=regle!$K$11),-2,IF(T235=regle!$B$11,0,IF(AN$1=$AK$1,IF($O235,-1,regle!$B$2-$M235),IF(AM235=-1,-1,AM235+1))))</f>
        <v>15</v>
      </c>
      <c r="AO235" s="16">
        <f>IF(OR(U235=regle!$J$11,U235=regle!$K$11),-2,IF(U235=regle!$B$11,0,IF(AO$1=$AK$1,IF($O235,-1,regle!$B$2-$M235),IF(AN235=-1,-1,AN235+1))))</f>
        <v>16</v>
      </c>
      <c r="AP235" s="16">
        <f>IF(OR(V235=regle!$J$11,V235=regle!$K$11),-2,IF(V235=regle!$B$11,0,IF(AP$1=$AK$1,IF($O235,-1,regle!$B$2-$M235),IF(AO235=-1,-1,AO235+1))))</f>
        <v>17</v>
      </c>
      <c r="AQ235" s="16">
        <f>IF(OR(W235=regle!$J$11,W235=regle!$K$11),-2,IF(W235=regle!$B$11,0,IF(AQ$1=$AK$1,IF($O235,-1,regle!$B$2-$M235),IF(AP235=-1,-1,AP235+1))))</f>
        <v>18</v>
      </c>
      <c r="AR235" s="16">
        <f>IF(OR(X235=regle!$J$11,X235=regle!$K$11),-2,IF(X235=regle!$B$11,0,IF(AR$1=$AK$1,IF($O235,-1,regle!$B$2-$M235),IF(AQ235=-1,-1,AQ235+1))))</f>
        <v>19</v>
      </c>
      <c r="AS235" s="16">
        <f>IF(OR(Y235=regle!$J$11,Y235=regle!$K$11),-2,IF(Y235=regle!$B$11,0,IF(AS$1=$AK$1,IF($O235,-1,regle!$B$2-$M235),IF(AR235=-1,-1,AR235+1))))</f>
        <v>20</v>
      </c>
      <c r="AT235" s="16">
        <f>IF(OR(Z235=regle!$J$11,Z235=regle!$K$11),-2,IF(Z235=regle!$B$11,0,IF(AT$1=$AK$1,IF($O235,-1,regle!$B$2-$M235),IF(AS235=-1,-1,AS235+1))))</f>
        <v>21</v>
      </c>
    </row>
    <row r="236" spans="1:46" x14ac:dyDescent="0.25">
      <c r="A236" t="b">
        <f>modif0!A41</f>
        <v>1</v>
      </c>
      <c r="B236">
        <f>ROW(modif0!B41)</f>
        <v>41</v>
      </c>
      <c r="C236" t="str">
        <f>modif0!D41</f>
        <v>536</v>
      </c>
      <c r="D236" t="str">
        <f>modif0!E41</f>
        <v>LE TUZAN</v>
      </c>
      <c r="E236">
        <f>modif0!F41</f>
        <v>21</v>
      </c>
      <c r="F236" t="str">
        <f>modif0!G41</f>
        <v>METAIRIES DE TABARTON</v>
      </c>
      <c r="G236" t="str">
        <f>modif0!I41</f>
        <v>0A</v>
      </c>
      <c r="H236">
        <f>modif0!J41</f>
        <v>420</v>
      </c>
      <c r="I236" t="str">
        <f>modif0!K41</f>
        <v>c</v>
      </c>
      <c r="J236" s="11">
        <f>modif0!M41</f>
        <v>0.19120000000000001</v>
      </c>
      <c r="K236" s="11" t="str">
        <f>modif0!P41</f>
        <v>PLA</v>
      </c>
      <c r="L236" t="str">
        <f>modif0!N41</f>
        <v>PM</v>
      </c>
      <c r="M236">
        <f>modif0!Q41</f>
        <v>2012</v>
      </c>
      <c r="N236" t="str">
        <f>modif0!R41</f>
        <v>PLA-PM_2012</v>
      </c>
      <c r="O236" t="b">
        <f>modif0!S41</f>
        <v>0</v>
      </c>
      <c r="P236">
        <v>40</v>
      </c>
      <c r="Q236" t="s">
        <v>1803</v>
      </c>
      <c r="V236" t="s">
        <v>1804</v>
      </c>
      <c r="AA236" s="17">
        <f>IF($A236,$J236*(IF(Q236=regle!$B$11,regle!$B$23*IF(AJ236=-2,1+regle!$B$35,1),
IF(Q236=regle!$C$11,regle!$C$23,
IF(Q236=regle!$D$11,regle!$D$23,
IF(Q236=regle!$E$11,regle!$E$23,
IF(Q236=regle!$F$11,regle!$F$23,
IF(Q236=regle!$G$11,regle!$G$23,
IF(Q236=regle!$H$11,regle!$H$23,
IF(Q236=regle!$I$11,regle!$I$23,
IF(Q236=regle!$J$11,regle!$J$23,
IF(Q236=regle!$K$11,regle!$K$23,0))))))))))))</f>
        <v>110.13120000000001</v>
      </c>
      <c r="AB236" s="17">
        <f>IF($A236,$J236*(IF(R236=regle!$B$11,regle!$B$23*IF(AK236=-2,1+regle!$B$35,1),
IF(R236=regle!$C$11,regle!$C$23,
IF(R236=regle!$D$11,regle!$D$23,
IF(R236=regle!$E$11,regle!$E$23,
IF(R236=regle!$F$11,regle!$F$23,
IF(R236=regle!$G$11,regle!$G$23,
IF(R236=regle!$H$11,regle!$H$23,
IF(R236=regle!$I$11,regle!$I$23,
IF(R236=regle!$J$11,regle!$J$23,
IF(R236=regle!$K$11,regle!$K$23,0))))))))))))</f>
        <v>0</v>
      </c>
      <c r="AC236" s="17">
        <f>IF($A236,$J236*(IF(S236=regle!$B$11,regle!$B$23*IF(AL236=-2,1+regle!$B$35,1),
IF(S236=regle!$C$11,regle!$C$23,
IF(S236=regle!$D$11,regle!$D$23,
IF(S236=regle!$E$11,regle!$E$23,
IF(S236=regle!$F$11,regle!$F$23,
IF(S236=regle!$G$11,regle!$G$23,
IF(S236=regle!$H$11,regle!$H$23,
IF(S236=regle!$I$11,regle!$I$23,
IF(S236=regle!$J$11,regle!$J$23,
IF(S236=regle!$K$11,regle!$K$23,0))))))))))))</f>
        <v>0</v>
      </c>
      <c r="AD236" s="17">
        <f>IF($A236,$J236*(IF(T236=regle!$B$11,regle!$B$23*IF(AM236=-2,1+regle!$B$35,1),
IF(T236=regle!$C$11,regle!$C$23,
IF(T236=regle!$D$11,regle!$D$23,
IF(T236=regle!$E$11,regle!$E$23,
IF(T236=regle!$F$11,regle!$F$23,
IF(T236=regle!$G$11,regle!$G$23,
IF(T236=regle!$H$11,regle!$H$23,
IF(T236=regle!$I$11,regle!$I$23,
IF(T236=regle!$J$11,regle!$J$23,
IF(T236=regle!$K$11,regle!$K$23,0))))))))))))</f>
        <v>0</v>
      </c>
      <c r="AE236" s="17">
        <f>IF($A236,$J236*(IF(U236=regle!$B$11,regle!$B$23*IF(AN236=-2,1+regle!$B$35,1),
IF(U236=regle!$C$11,regle!$C$23,
IF(U236=regle!$D$11,regle!$D$23,
IF(U236=regle!$E$11,regle!$E$23,
IF(U236=regle!$F$11,regle!$F$23,
IF(U236=regle!$G$11,regle!$G$23,
IF(U236=regle!$H$11,regle!$H$23,
IF(U236=regle!$I$11,regle!$I$23,
IF(U236=regle!$J$11,regle!$J$23,
IF(U236=regle!$K$11,regle!$K$23,0))))))))))))</f>
        <v>0</v>
      </c>
      <c r="AF236" s="17">
        <f>IF($A236,$J236*(IF(V236=regle!$B$11,regle!$B$23*IF(AO236=-2,1+regle!$B$35,1),
IF(V236=regle!$C$11,regle!$C$23,
IF(V236=regle!$D$11,regle!$D$23,
IF(V236=regle!$E$11,regle!$E$23,
IF(V236=regle!$F$11,regle!$F$23,
IF(V236=regle!$G$11,regle!$G$23,
IF(V236=regle!$H$11,regle!$H$23,
IF(V236=regle!$I$11,regle!$I$23,
IF(V236=regle!$J$11,regle!$J$23,
IF(V236=regle!$K$11,regle!$K$23,0))))))))))))</f>
        <v>160.608</v>
      </c>
      <c r="AG236" s="17">
        <f>IF($A236,$J236*(IF(W236=regle!$B$11,regle!$B$23*IF(AP236=-2,1+regle!$B$35,1),
IF(W236=regle!$C$11,regle!$C$23,
IF(W236=regle!$D$11,regle!$D$23,
IF(W236=regle!$E$11,regle!$E$23,
IF(W236=regle!$F$11,regle!$F$23,
IF(W236=regle!$G$11,regle!$G$23,
IF(W236=regle!$H$11,regle!$H$23,
IF(W236=regle!$I$11,regle!$I$23,
IF(W236=regle!$J$11,regle!$J$23,
IF(W236=regle!$K$11,regle!$K$23,0))))))))))))</f>
        <v>0</v>
      </c>
      <c r="AH236" s="17">
        <f>IF($A236,$J236*(IF(X236=regle!$B$11,regle!$B$23*IF(AQ236=-2,1+regle!$B$35,1),
IF(X236=regle!$C$11,regle!$C$23,
IF(X236=regle!$D$11,regle!$D$23,
IF(X236=regle!$E$11,regle!$E$23,
IF(X236=regle!$F$11,regle!$F$23,
IF(X236=regle!$G$11,regle!$G$23,
IF(X236=regle!$H$11,regle!$H$23,
IF(X236=regle!$I$11,regle!$I$23,
IF(X236=regle!$J$11,regle!$J$23,
IF(X236=regle!$K$11,regle!$K$23,0))))))))))))</f>
        <v>0</v>
      </c>
      <c r="AI236" s="17">
        <f>IF($A236,$J236*(IF(Y236=regle!$B$11,regle!$B$23*IF(AR236=-2,1+regle!$B$35,1),
IF(Y236=regle!$C$11,regle!$C$23,
IF(Y236=regle!$D$11,regle!$D$23,
IF(Y236=regle!$E$11,regle!$E$23,
IF(Y236=regle!$F$11,regle!$F$23,
IF(Y236=regle!$G$11,regle!$G$23,
IF(Y236=regle!$H$11,regle!$H$23,
IF(Y236=regle!$I$11,regle!$I$23,
IF(Y236=regle!$J$11,regle!$J$23,
IF(Y236=regle!$K$11,regle!$K$23,0))))))))))))</f>
        <v>0</v>
      </c>
      <c r="AJ236" s="17">
        <f>IF($A236,$J236*(IF(Z236=regle!$B$11,regle!$B$23*IF(AS236=-2,1+regle!$B$35,1),
IF(Z236=regle!$C$11,regle!$C$23,
IF(Z236=regle!$D$11,regle!$D$23,
IF(Z236=regle!$E$11,regle!$E$23,
IF(Z236=regle!$F$11,regle!$F$23,
IF(Z236=regle!$G$11,regle!$G$23,
IF(Z236=regle!$H$11,regle!$H$23,
IF(Z236=regle!$I$11,regle!$I$23,
IF(Z236=regle!$J$11,regle!$J$23,
IF(Z236=regle!$K$11,regle!$K$23,0))))))))))))</f>
        <v>0</v>
      </c>
      <c r="AK236" s="16">
        <f>IF(OR(Q236=regle!$J$11,Q236=regle!$K$11),-2,IF(Q236=regle!$B$11,0,IF(AK$1=$AK$1,IF($O236,-1,regle!$B$2-$M236),IF(AJ236=-1,-1,AJ236+1))))</f>
        <v>12</v>
      </c>
      <c r="AL236" s="16">
        <f>IF(OR(R236=regle!$J$11,R236=regle!$K$11),-2,IF(R236=regle!$B$11,0,IF(AL$1=$AK$1,IF($O236,-1,regle!$B$2-$M236),IF(AK236=-1,-1,AK236+1))))</f>
        <v>13</v>
      </c>
      <c r="AM236" s="16">
        <f>IF(OR(S236=regle!$J$11,S236=regle!$K$11),-2,IF(S236=regle!$B$11,0,IF(AM$1=$AK$1,IF($O236,-1,regle!$B$2-$M236),IF(AL236=-1,-1,AL236+1))))</f>
        <v>14</v>
      </c>
      <c r="AN236" s="16">
        <f>IF(OR(T236=regle!$J$11,T236=regle!$K$11),-2,IF(T236=regle!$B$11,0,IF(AN$1=$AK$1,IF($O236,-1,regle!$B$2-$M236),IF(AM236=-1,-1,AM236+1))))</f>
        <v>15</v>
      </c>
      <c r="AO236" s="16">
        <f>IF(OR(U236=regle!$J$11,U236=regle!$K$11),-2,IF(U236=regle!$B$11,0,IF(AO$1=$AK$1,IF($O236,-1,regle!$B$2-$M236),IF(AN236=-1,-1,AN236+1))))</f>
        <v>16</v>
      </c>
      <c r="AP236" s="16">
        <f>IF(OR(V236=regle!$J$11,V236=regle!$K$11),-2,IF(V236=regle!$B$11,0,IF(AP$1=$AK$1,IF($O236,-1,regle!$B$2-$M236),IF(AO236=-1,-1,AO236+1))))</f>
        <v>17</v>
      </c>
      <c r="AQ236" s="16">
        <f>IF(OR(W236=regle!$J$11,W236=regle!$K$11),-2,IF(W236=regle!$B$11,0,IF(AQ$1=$AK$1,IF($O236,-1,regle!$B$2-$M236),IF(AP236=-1,-1,AP236+1))))</f>
        <v>18</v>
      </c>
      <c r="AR236" s="16">
        <f>IF(OR(X236=regle!$J$11,X236=regle!$K$11),-2,IF(X236=regle!$B$11,0,IF(AR$1=$AK$1,IF($O236,-1,regle!$B$2-$M236),IF(AQ236=-1,-1,AQ236+1))))</f>
        <v>19</v>
      </c>
      <c r="AS236" s="16">
        <f>IF(OR(Y236=regle!$J$11,Y236=regle!$K$11),-2,IF(Y236=regle!$B$11,0,IF(AS$1=$AK$1,IF($O236,-1,regle!$B$2-$M236),IF(AR236=-1,-1,AR236+1))))</f>
        <v>20</v>
      </c>
      <c r="AT236" s="16">
        <f>IF(OR(Z236=regle!$J$11,Z236=regle!$K$11),-2,IF(Z236=regle!$B$11,0,IF(AT$1=$AK$1,IF($O236,-1,regle!$B$2-$M236),IF(AS236=-1,-1,AS236+1))))</f>
        <v>21</v>
      </c>
    </row>
    <row r="237" spans="1:46" x14ac:dyDescent="0.25">
      <c r="A237" t="b">
        <f>modif0!A321</f>
        <v>1</v>
      </c>
      <c r="B237">
        <f>ROW(modif0!B321)</f>
        <v>321</v>
      </c>
      <c r="C237" t="str">
        <f>modif0!D321</f>
        <v>077</v>
      </c>
      <c r="D237" t="str">
        <f>modif0!E321</f>
        <v>CABANAC-ET-VILLAGRAINS</v>
      </c>
      <c r="E237">
        <f>modif0!F321</f>
        <v>13</v>
      </c>
      <c r="F237" t="str">
        <f>modif0!G321</f>
        <v>LAGUNE LONGUE</v>
      </c>
      <c r="G237" t="str">
        <f>modif0!I321</f>
        <v>0D</v>
      </c>
      <c r="H237">
        <f>modif0!J321</f>
        <v>1510</v>
      </c>
      <c r="I237" t="str">
        <f>modif0!K321</f>
        <v>j</v>
      </c>
      <c r="J237" s="11">
        <f>modif0!M321</f>
        <v>6.6933999999999996</v>
      </c>
      <c r="K237" s="11" t="str">
        <f>modif0!P321</f>
        <v>PLA</v>
      </c>
      <c r="L237" t="str">
        <f>modif0!N321</f>
        <v>PM</v>
      </c>
      <c r="M237">
        <f>modif0!Q321</f>
        <v>2010</v>
      </c>
      <c r="N237" t="str">
        <f>modif0!R321</f>
        <v>PLA-PM_2010</v>
      </c>
      <c r="O237" t="b">
        <f>modif0!S321</f>
        <v>0</v>
      </c>
      <c r="P237">
        <v>40</v>
      </c>
      <c r="T237" t="s">
        <v>1804</v>
      </c>
      <c r="Y237" t="s">
        <v>1805</v>
      </c>
      <c r="AA237" s="17">
        <f>IF($A237,$J237*(IF(Q237=regle!$B$11,regle!$B$23*IF(AJ237=-2,1+regle!$B$35,1),
IF(Q237=regle!$C$11,regle!$C$23,
IF(Q237=regle!$D$11,regle!$D$23,
IF(Q237=regle!$E$11,regle!$E$23,
IF(Q237=regle!$F$11,regle!$F$23,
IF(Q237=regle!$G$11,regle!$G$23,
IF(Q237=regle!$H$11,regle!$H$23,
IF(Q237=regle!$I$11,regle!$I$23,
IF(Q237=regle!$J$11,regle!$J$23,
IF(Q237=regle!$K$11,regle!$K$23,0))))))))))))</f>
        <v>0</v>
      </c>
      <c r="AB237" s="17">
        <f>IF($A237,$J237*(IF(R237=regle!$B$11,regle!$B$23*IF(AK237=-2,1+regle!$B$35,1),
IF(R237=regle!$C$11,regle!$C$23,
IF(R237=regle!$D$11,regle!$D$23,
IF(R237=regle!$E$11,regle!$E$23,
IF(R237=regle!$F$11,regle!$F$23,
IF(R237=regle!$G$11,regle!$G$23,
IF(R237=regle!$H$11,regle!$H$23,
IF(R237=regle!$I$11,regle!$I$23,
IF(R237=regle!$J$11,regle!$J$23,
IF(R237=regle!$K$11,regle!$K$23,0))))))))))))</f>
        <v>0</v>
      </c>
      <c r="AC237" s="17">
        <f>IF($A237,$J237*(IF(S237=regle!$B$11,regle!$B$23*IF(AL237=-2,1+regle!$B$35,1),
IF(S237=regle!$C$11,regle!$C$23,
IF(S237=regle!$D$11,regle!$D$23,
IF(S237=regle!$E$11,regle!$E$23,
IF(S237=regle!$F$11,regle!$F$23,
IF(S237=regle!$G$11,regle!$G$23,
IF(S237=regle!$H$11,regle!$H$23,
IF(S237=regle!$I$11,regle!$I$23,
IF(S237=regle!$J$11,regle!$J$23,
IF(S237=regle!$K$11,regle!$K$23,0))))))))))))</f>
        <v>0</v>
      </c>
      <c r="AD237" s="17">
        <f>IF($A237,$J237*(IF(T237=regle!$B$11,regle!$B$23*IF(AM237=-2,1+regle!$B$35,1),
IF(T237=regle!$C$11,regle!$C$23,
IF(T237=regle!$D$11,regle!$D$23,
IF(T237=regle!$E$11,regle!$E$23,
IF(T237=regle!$F$11,regle!$F$23,
IF(T237=regle!$G$11,regle!$G$23,
IF(T237=regle!$H$11,regle!$H$23,
IF(T237=regle!$I$11,regle!$I$23,
IF(T237=regle!$J$11,regle!$J$23,
IF(T237=regle!$K$11,regle!$K$23,0))))))))))))</f>
        <v>5622.4559999999992</v>
      </c>
      <c r="AE237" s="17">
        <f>IF($A237,$J237*(IF(U237=regle!$B$11,regle!$B$23*IF(AN237=-2,1+regle!$B$35,1),
IF(U237=regle!$C$11,regle!$C$23,
IF(U237=regle!$D$11,regle!$D$23,
IF(U237=regle!$E$11,regle!$E$23,
IF(U237=regle!$F$11,regle!$F$23,
IF(U237=regle!$G$11,regle!$G$23,
IF(U237=regle!$H$11,regle!$H$23,
IF(U237=regle!$I$11,regle!$I$23,
IF(U237=regle!$J$11,regle!$J$23,
IF(U237=regle!$K$11,regle!$K$23,0))))))))))))</f>
        <v>0</v>
      </c>
      <c r="AF237" s="17">
        <f>IF($A237,$J237*(IF(V237=regle!$B$11,regle!$B$23*IF(AO237=-2,1+regle!$B$35,1),
IF(V237=regle!$C$11,regle!$C$23,
IF(V237=regle!$D$11,regle!$D$23,
IF(V237=regle!$E$11,regle!$E$23,
IF(V237=regle!$F$11,regle!$F$23,
IF(V237=regle!$G$11,regle!$G$23,
IF(V237=regle!$H$11,regle!$H$23,
IF(V237=regle!$I$11,regle!$I$23,
IF(V237=regle!$J$11,regle!$J$23,
IF(V237=regle!$K$11,regle!$K$23,0))))))))))))</f>
        <v>0</v>
      </c>
      <c r="AG237" s="17">
        <f>IF($A237,$J237*(IF(W237=regle!$B$11,regle!$B$23*IF(AP237=-2,1+regle!$B$35,1),
IF(W237=regle!$C$11,regle!$C$23,
IF(W237=regle!$D$11,regle!$D$23,
IF(W237=regle!$E$11,regle!$E$23,
IF(W237=regle!$F$11,regle!$F$23,
IF(W237=regle!$G$11,regle!$G$23,
IF(W237=regle!$H$11,regle!$H$23,
IF(W237=regle!$I$11,regle!$I$23,
IF(W237=regle!$J$11,regle!$J$23,
IF(W237=regle!$K$11,regle!$K$23,0))))))))))))</f>
        <v>0</v>
      </c>
      <c r="AH237" s="17">
        <f>IF($A237,$J237*(IF(X237=regle!$B$11,regle!$B$23*IF(AQ237=-2,1+regle!$B$35,1),
IF(X237=regle!$C$11,regle!$C$23,
IF(X237=regle!$D$11,regle!$D$23,
IF(X237=regle!$E$11,regle!$E$23,
IF(X237=regle!$F$11,regle!$F$23,
IF(X237=regle!$G$11,regle!$G$23,
IF(X237=regle!$H$11,regle!$H$23,
IF(X237=regle!$I$11,regle!$I$23,
IF(X237=regle!$J$11,regle!$J$23,
IF(X237=regle!$K$11,regle!$K$23,0))))))))))))</f>
        <v>0</v>
      </c>
      <c r="AI237" s="17">
        <f>IF($A237,$J237*(IF(Y237=regle!$B$11,regle!$B$23*IF(AR237=-2,1+regle!$B$35,1),
IF(Y237=regle!$C$11,regle!$C$23,
IF(Y237=regle!$D$11,regle!$D$23,
IF(Y237=regle!$E$11,regle!$E$23,
IF(Y237=regle!$F$11,regle!$F$23,
IF(Y237=regle!$G$11,regle!$G$23,
IF(Y237=regle!$H$11,regle!$H$23,
IF(Y237=regle!$I$11,regle!$I$23,
IF(Y237=regle!$J$11,regle!$J$23,
IF(Y237=regle!$K$11,regle!$K$23,0))))))))))))</f>
        <v>9424.3071999999993</v>
      </c>
      <c r="AJ237" s="17">
        <f>IF($A237,$J237*(IF(Z237=regle!$B$11,regle!$B$23*IF(AS237=-2,1+regle!$B$35,1),
IF(Z237=regle!$C$11,regle!$C$23,
IF(Z237=regle!$D$11,regle!$D$23,
IF(Z237=regle!$E$11,regle!$E$23,
IF(Z237=regle!$F$11,regle!$F$23,
IF(Z237=regle!$G$11,regle!$G$23,
IF(Z237=regle!$H$11,regle!$H$23,
IF(Z237=regle!$I$11,regle!$I$23,
IF(Z237=regle!$J$11,regle!$J$23,
IF(Z237=regle!$K$11,regle!$K$23,0))))))))))))</f>
        <v>0</v>
      </c>
      <c r="AK237" s="16">
        <f>IF(OR(Q237=regle!$J$11,Q237=regle!$K$11),-2,IF(Q237=regle!$B$11,0,IF(AK$1=$AK$1,IF($O237,-1,regle!$B$2-$M237),IF(AJ237=-1,-1,AJ237+1))))</f>
        <v>14</v>
      </c>
      <c r="AL237" s="16">
        <f>IF(OR(R237=regle!$J$11,R237=regle!$K$11),-2,IF(R237=regle!$B$11,0,IF(AL$1=$AK$1,IF($O237,-1,regle!$B$2-$M237),IF(AK237=-1,-1,AK237+1))))</f>
        <v>15</v>
      </c>
      <c r="AM237" s="16">
        <f>IF(OR(S237=regle!$J$11,S237=regle!$K$11),-2,IF(S237=regle!$B$11,0,IF(AM$1=$AK$1,IF($O237,-1,regle!$B$2-$M237),IF(AL237=-1,-1,AL237+1))))</f>
        <v>16</v>
      </c>
      <c r="AN237" s="16">
        <f>IF(OR(T237=regle!$J$11,T237=regle!$K$11),-2,IF(T237=regle!$B$11,0,IF(AN$1=$AK$1,IF($O237,-1,regle!$B$2-$M237),IF(AM237=-1,-1,AM237+1))))</f>
        <v>17</v>
      </c>
      <c r="AO237" s="16">
        <f>IF(OR(U237=regle!$J$11,U237=regle!$K$11),-2,IF(U237=regle!$B$11,0,IF(AO$1=$AK$1,IF($O237,-1,regle!$B$2-$M237),IF(AN237=-1,-1,AN237+1))))</f>
        <v>18</v>
      </c>
      <c r="AP237" s="16">
        <f>IF(OR(V237=regle!$J$11,V237=regle!$K$11),-2,IF(V237=regle!$B$11,0,IF(AP$1=$AK$1,IF($O237,-1,regle!$B$2-$M237),IF(AO237=-1,-1,AO237+1))))</f>
        <v>19</v>
      </c>
      <c r="AQ237" s="16">
        <f>IF(OR(W237=regle!$J$11,W237=regle!$K$11),-2,IF(W237=regle!$B$11,0,IF(AQ$1=$AK$1,IF($O237,-1,regle!$B$2-$M237),IF(AP237=-1,-1,AP237+1))))</f>
        <v>20</v>
      </c>
      <c r="AR237" s="16">
        <f>IF(OR(X237=regle!$J$11,X237=regle!$K$11),-2,IF(X237=regle!$B$11,0,IF(AR$1=$AK$1,IF($O237,-1,regle!$B$2-$M237),IF(AQ237=-1,-1,AQ237+1))))</f>
        <v>21</v>
      </c>
      <c r="AS237" s="16">
        <f>IF(OR(Y237=regle!$J$11,Y237=regle!$K$11),-2,IF(Y237=regle!$B$11,0,IF(AS$1=$AK$1,IF($O237,-1,regle!$B$2-$M237),IF(AR237=-1,-1,AR237+1))))</f>
        <v>22</v>
      </c>
      <c r="AT237" s="16">
        <f>IF(OR(Z237=regle!$J$11,Z237=regle!$K$11),-2,IF(Z237=regle!$B$11,0,IF(AT$1=$AK$1,IF($O237,-1,regle!$B$2-$M237),IF(AS237=-1,-1,AS237+1))))</f>
        <v>23</v>
      </c>
    </row>
    <row r="238" spans="1:46" x14ac:dyDescent="0.25">
      <c r="A238" t="b">
        <f>modif0!A95</f>
        <v>1</v>
      </c>
      <c r="B238">
        <f>ROW(modif0!B95)</f>
        <v>95</v>
      </c>
      <c r="C238" t="str">
        <f>modif0!D95</f>
        <v>197</v>
      </c>
      <c r="D238" t="str">
        <f>modif0!E95</f>
        <v>GUILLOS</v>
      </c>
      <c r="E238">
        <f>modif0!F95</f>
        <v>22</v>
      </c>
      <c r="F238" t="str">
        <f>modif0!G95</f>
        <v>LE TRETIN DES JEANNOTS</v>
      </c>
      <c r="G238" t="str">
        <f>modif0!I95</f>
        <v>0A</v>
      </c>
      <c r="H238">
        <f>modif0!J95</f>
        <v>878</v>
      </c>
      <c r="I238" t="str">
        <f>modif0!K95</f>
        <v>k</v>
      </c>
      <c r="J238" s="11">
        <f>modif0!M95</f>
        <v>2.4525999999999999</v>
      </c>
      <c r="K238" s="11" t="str">
        <f>modif0!P95</f>
        <v>PLA</v>
      </c>
      <c r="L238" t="str">
        <f>modif0!N95</f>
        <v>PM</v>
      </c>
      <c r="M238">
        <f>modif0!Q95</f>
        <v>2010</v>
      </c>
      <c r="N238" t="str">
        <f>modif0!R95</f>
        <v>PLA-PM_2010</v>
      </c>
      <c r="O238" t="b">
        <f>modif0!S95</f>
        <v>0</v>
      </c>
      <c r="P238">
        <v>40</v>
      </c>
      <c r="T238" t="s">
        <v>1804</v>
      </c>
      <c r="Y238" t="s">
        <v>1805</v>
      </c>
      <c r="AA238" s="17">
        <f>IF($A238,$J238*(IF(Q238=regle!$B$11,regle!$B$23*IF(AJ238=-2,1+regle!$B$35,1),
IF(Q238=regle!$C$11,regle!$C$23,
IF(Q238=regle!$D$11,regle!$D$23,
IF(Q238=regle!$E$11,regle!$E$23,
IF(Q238=regle!$F$11,regle!$F$23,
IF(Q238=regle!$G$11,regle!$G$23,
IF(Q238=regle!$H$11,regle!$H$23,
IF(Q238=regle!$I$11,regle!$I$23,
IF(Q238=regle!$J$11,regle!$J$23,
IF(Q238=regle!$K$11,regle!$K$23,0))))))))))))</f>
        <v>0</v>
      </c>
      <c r="AB238" s="17">
        <f>IF($A238,$J238*(IF(R238=regle!$B$11,regle!$B$23*IF(AK238=-2,1+regle!$B$35,1),
IF(R238=regle!$C$11,regle!$C$23,
IF(R238=regle!$D$11,regle!$D$23,
IF(R238=regle!$E$11,regle!$E$23,
IF(R238=regle!$F$11,regle!$F$23,
IF(R238=regle!$G$11,regle!$G$23,
IF(R238=regle!$H$11,regle!$H$23,
IF(R238=regle!$I$11,regle!$I$23,
IF(R238=regle!$J$11,regle!$J$23,
IF(R238=regle!$K$11,regle!$K$23,0))))))))))))</f>
        <v>0</v>
      </c>
      <c r="AC238" s="17">
        <f>IF($A238,$J238*(IF(S238=regle!$B$11,regle!$B$23*IF(AL238=-2,1+regle!$B$35,1),
IF(S238=regle!$C$11,regle!$C$23,
IF(S238=regle!$D$11,regle!$D$23,
IF(S238=regle!$E$11,regle!$E$23,
IF(S238=regle!$F$11,regle!$F$23,
IF(S238=regle!$G$11,regle!$G$23,
IF(S238=regle!$H$11,regle!$H$23,
IF(S238=regle!$I$11,regle!$I$23,
IF(S238=regle!$J$11,regle!$J$23,
IF(S238=regle!$K$11,regle!$K$23,0))))))))))))</f>
        <v>0</v>
      </c>
      <c r="AD238" s="17">
        <f>IF($A238,$J238*(IF(T238=regle!$B$11,regle!$B$23*IF(AM238=-2,1+regle!$B$35,1),
IF(T238=regle!$C$11,regle!$C$23,
IF(T238=regle!$D$11,regle!$D$23,
IF(T238=regle!$E$11,regle!$E$23,
IF(T238=regle!$F$11,regle!$F$23,
IF(T238=regle!$G$11,regle!$G$23,
IF(T238=regle!$H$11,regle!$H$23,
IF(T238=regle!$I$11,regle!$I$23,
IF(T238=regle!$J$11,regle!$J$23,
IF(T238=regle!$K$11,regle!$K$23,0))))))))))))</f>
        <v>2060.1839999999997</v>
      </c>
      <c r="AE238" s="17">
        <f>IF($A238,$J238*(IF(U238=regle!$B$11,regle!$B$23*IF(AN238=-2,1+regle!$B$35,1),
IF(U238=regle!$C$11,regle!$C$23,
IF(U238=regle!$D$11,regle!$D$23,
IF(U238=regle!$E$11,regle!$E$23,
IF(U238=regle!$F$11,regle!$F$23,
IF(U238=regle!$G$11,regle!$G$23,
IF(U238=regle!$H$11,regle!$H$23,
IF(U238=regle!$I$11,regle!$I$23,
IF(U238=regle!$J$11,regle!$J$23,
IF(U238=regle!$K$11,regle!$K$23,0))))))))))))</f>
        <v>0</v>
      </c>
      <c r="AF238" s="17">
        <f>IF($A238,$J238*(IF(V238=regle!$B$11,regle!$B$23*IF(AO238=-2,1+regle!$B$35,1),
IF(V238=regle!$C$11,regle!$C$23,
IF(V238=regle!$D$11,regle!$D$23,
IF(V238=regle!$E$11,regle!$E$23,
IF(V238=regle!$F$11,regle!$F$23,
IF(V238=regle!$G$11,regle!$G$23,
IF(V238=regle!$H$11,regle!$H$23,
IF(V238=regle!$I$11,regle!$I$23,
IF(V238=regle!$J$11,regle!$J$23,
IF(V238=regle!$K$11,regle!$K$23,0))))))))))))</f>
        <v>0</v>
      </c>
      <c r="AG238" s="17">
        <f>IF($A238,$J238*(IF(W238=regle!$B$11,regle!$B$23*IF(AP238=-2,1+regle!$B$35,1),
IF(W238=regle!$C$11,regle!$C$23,
IF(W238=regle!$D$11,regle!$D$23,
IF(W238=regle!$E$11,regle!$E$23,
IF(W238=regle!$F$11,regle!$F$23,
IF(W238=regle!$G$11,regle!$G$23,
IF(W238=regle!$H$11,regle!$H$23,
IF(W238=regle!$I$11,regle!$I$23,
IF(W238=regle!$J$11,regle!$J$23,
IF(W238=regle!$K$11,regle!$K$23,0))))))))))))</f>
        <v>0</v>
      </c>
      <c r="AH238" s="17">
        <f>IF($A238,$J238*(IF(X238=regle!$B$11,regle!$B$23*IF(AQ238=-2,1+regle!$B$35,1),
IF(X238=regle!$C$11,regle!$C$23,
IF(X238=regle!$D$11,regle!$D$23,
IF(X238=regle!$E$11,regle!$E$23,
IF(X238=regle!$F$11,regle!$F$23,
IF(X238=regle!$G$11,regle!$G$23,
IF(X238=regle!$H$11,regle!$H$23,
IF(X238=regle!$I$11,regle!$I$23,
IF(X238=regle!$J$11,regle!$J$23,
IF(X238=regle!$K$11,regle!$K$23,0))))))))))))</f>
        <v>0</v>
      </c>
      <c r="AI238" s="17">
        <f>IF($A238,$J238*(IF(Y238=regle!$B$11,regle!$B$23*IF(AR238=-2,1+regle!$B$35,1),
IF(Y238=regle!$C$11,regle!$C$23,
IF(Y238=regle!$D$11,regle!$D$23,
IF(Y238=regle!$E$11,regle!$E$23,
IF(Y238=regle!$F$11,regle!$F$23,
IF(Y238=regle!$G$11,regle!$G$23,
IF(Y238=regle!$H$11,regle!$H$23,
IF(Y238=regle!$I$11,regle!$I$23,
IF(Y238=regle!$J$11,regle!$J$23,
IF(Y238=regle!$K$11,regle!$K$23,0))))))))))))</f>
        <v>3453.2608</v>
      </c>
      <c r="AJ238" s="17">
        <f>IF($A238,$J238*(IF(Z238=regle!$B$11,regle!$B$23*IF(AS238=-2,1+regle!$B$35,1),
IF(Z238=regle!$C$11,regle!$C$23,
IF(Z238=regle!$D$11,regle!$D$23,
IF(Z238=regle!$E$11,regle!$E$23,
IF(Z238=regle!$F$11,regle!$F$23,
IF(Z238=regle!$G$11,regle!$G$23,
IF(Z238=regle!$H$11,regle!$H$23,
IF(Z238=regle!$I$11,regle!$I$23,
IF(Z238=regle!$J$11,regle!$J$23,
IF(Z238=regle!$K$11,regle!$K$23,0))))))))))))</f>
        <v>0</v>
      </c>
      <c r="AK238" s="16">
        <f>IF(OR(Q238=regle!$J$11,Q238=regle!$K$11),-2,IF(Q238=regle!$B$11,0,IF(AK$1=$AK$1,IF($O238,-1,regle!$B$2-$M238),IF(AJ238=-1,-1,AJ238+1))))</f>
        <v>14</v>
      </c>
      <c r="AL238" s="16">
        <f>IF(OR(R238=regle!$J$11,R238=regle!$K$11),-2,IF(R238=regle!$B$11,0,IF(AL$1=$AK$1,IF($O238,-1,regle!$B$2-$M238),IF(AK238=-1,-1,AK238+1))))</f>
        <v>15</v>
      </c>
      <c r="AM238" s="16">
        <f>IF(OR(S238=regle!$J$11,S238=regle!$K$11),-2,IF(S238=regle!$B$11,0,IF(AM$1=$AK$1,IF($O238,-1,regle!$B$2-$M238),IF(AL238=-1,-1,AL238+1))))</f>
        <v>16</v>
      </c>
      <c r="AN238" s="16">
        <f>IF(OR(T238=regle!$J$11,T238=regle!$K$11),-2,IF(T238=regle!$B$11,0,IF(AN$1=$AK$1,IF($O238,-1,regle!$B$2-$M238),IF(AM238=-1,-1,AM238+1))))</f>
        <v>17</v>
      </c>
      <c r="AO238" s="16">
        <f>IF(OR(U238=regle!$J$11,U238=regle!$K$11),-2,IF(U238=regle!$B$11,0,IF(AO$1=$AK$1,IF($O238,-1,regle!$B$2-$M238),IF(AN238=-1,-1,AN238+1))))</f>
        <v>18</v>
      </c>
      <c r="AP238" s="16">
        <f>IF(OR(V238=regle!$J$11,V238=regle!$K$11),-2,IF(V238=regle!$B$11,0,IF(AP$1=$AK$1,IF($O238,-1,regle!$B$2-$M238),IF(AO238=-1,-1,AO238+1))))</f>
        <v>19</v>
      </c>
      <c r="AQ238" s="16">
        <f>IF(OR(W238=regle!$J$11,W238=regle!$K$11),-2,IF(W238=regle!$B$11,0,IF(AQ$1=$AK$1,IF($O238,-1,regle!$B$2-$M238),IF(AP238=-1,-1,AP238+1))))</f>
        <v>20</v>
      </c>
      <c r="AR238" s="16">
        <f>IF(OR(X238=regle!$J$11,X238=regle!$K$11),-2,IF(X238=regle!$B$11,0,IF(AR$1=$AK$1,IF($O238,-1,regle!$B$2-$M238),IF(AQ238=-1,-1,AQ238+1))))</f>
        <v>21</v>
      </c>
      <c r="AS238" s="16">
        <f>IF(OR(Y238=regle!$J$11,Y238=regle!$K$11),-2,IF(Y238=regle!$B$11,0,IF(AS$1=$AK$1,IF($O238,-1,regle!$B$2-$M238),IF(AR238=-1,-1,AR238+1))))</f>
        <v>22</v>
      </c>
      <c r="AT238" s="16">
        <f>IF(OR(Z238=regle!$J$11,Z238=regle!$K$11),-2,IF(Z238=regle!$B$11,0,IF(AT$1=$AK$1,IF($O238,-1,regle!$B$2-$M238),IF(AS238=-1,-1,AS238+1))))</f>
        <v>23</v>
      </c>
    </row>
    <row r="239" spans="1:46" x14ac:dyDescent="0.25">
      <c r="A239" t="b">
        <f>modif0!A323</f>
        <v>1</v>
      </c>
      <c r="B239">
        <f>ROW(modif0!B323)</f>
        <v>323</v>
      </c>
      <c r="C239" t="str">
        <f>modif0!D323</f>
        <v>077</v>
      </c>
      <c r="D239" t="str">
        <f>modif0!E323</f>
        <v>CABANAC-ET-VILLAGRAINS</v>
      </c>
      <c r="E239">
        <f>modif0!F323</f>
        <v>13</v>
      </c>
      <c r="F239" t="str">
        <f>modif0!G323</f>
        <v>LAGUNE LONGUE</v>
      </c>
      <c r="G239" t="str">
        <f>modif0!I323</f>
        <v>0D</v>
      </c>
      <c r="H239">
        <f>modif0!J323</f>
        <v>1511</v>
      </c>
      <c r="I239" t="str">
        <f>modif0!K323</f>
        <v>j</v>
      </c>
      <c r="J239" s="11">
        <f>modif0!M323</f>
        <v>2.1859999999999999</v>
      </c>
      <c r="K239" s="11" t="str">
        <f>modif0!P323</f>
        <v>PLA</v>
      </c>
      <c r="L239" t="str">
        <f>modif0!N323</f>
        <v>PM</v>
      </c>
      <c r="M239">
        <f>modif0!Q323</f>
        <v>2010</v>
      </c>
      <c r="N239" t="str">
        <f>modif0!R323</f>
        <v>PLA-PM_2010</v>
      </c>
      <c r="O239" t="b">
        <f>modif0!S323</f>
        <v>0</v>
      </c>
      <c r="P239">
        <v>40</v>
      </c>
      <c r="T239" t="s">
        <v>1804</v>
      </c>
      <c r="Y239" t="s">
        <v>1805</v>
      </c>
      <c r="AA239" s="17">
        <f>IF($A239,$J239*(IF(Q239=regle!$B$11,regle!$B$23*IF(AJ239=-2,1+regle!$B$35,1),
IF(Q239=regle!$C$11,regle!$C$23,
IF(Q239=regle!$D$11,regle!$D$23,
IF(Q239=regle!$E$11,regle!$E$23,
IF(Q239=regle!$F$11,regle!$F$23,
IF(Q239=regle!$G$11,regle!$G$23,
IF(Q239=regle!$H$11,regle!$H$23,
IF(Q239=regle!$I$11,regle!$I$23,
IF(Q239=regle!$J$11,regle!$J$23,
IF(Q239=regle!$K$11,regle!$K$23,0))))))))))))</f>
        <v>0</v>
      </c>
      <c r="AB239" s="17">
        <f>IF($A239,$J239*(IF(R239=regle!$B$11,regle!$B$23*IF(AK239=-2,1+regle!$B$35,1),
IF(R239=regle!$C$11,regle!$C$23,
IF(R239=regle!$D$11,regle!$D$23,
IF(R239=regle!$E$11,regle!$E$23,
IF(R239=regle!$F$11,regle!$F$23,
IF(R239=regle!$G$11,regle!$G$23,
IF(R239=regle!$H$11,regle!$H$23,
IF(R239=regle!$I$11,regle!$I$23,
IF(R239=regle!$J$11,regle!$J$23,
IF(R239=regle!$K$11,regle!$K$23,0))))))))))))</f>
        <v>0</v>
      </c>
      <c r="AC239" s="17">
        <f>IF($A239,$J239*(IF(S239=regle!$B$11,regle!$B$23*IF(AL239=-2,1+regle!$B$35,1),
IF(S239=regle!$C$11,regle!$C$23,
IF(S239=regle!$D$11,regle!$D$23,
IF(S239=regle!$E$11,regle!$E$23,
IF(S239=regle!$F$11,regle!$F$23,
IF(S239=regle!$G$11,regle!$G$23,
IF(S239=regle!$H$11,regle!$H$23,
IF(S239=regle!$I$11,regle!$I$23,
IF(S239=regle!$J$11,regle!$J$23,
IF(S239=regle!$K$11,regle!$K$23,0))))))))))))</f>
        <v>0</v>
      </c>
      <c r="AD239" s="17">
        <f>IF($A239,$J239*(IF(T239=regle!$B$11,regle!$B$23*IF(AM239=-2,1+regle!$B$35,1),
IF(T239=regle!$C$11,regle!$C$23,
IF(T239=regle!$D$11,regle!$D$23,
IF(T239=regle!$E$11,regle!$E$23,
IF(T239=regle!$F$11,regle!$F$23,
IF(T239=regle!$G$11,regle!$G$23,
IF(T239=regle!$H$11,regle!$H$23,
IF(T239=regle!$I$11,regle!$I$23,
IF(T239=regle!$J$11,regle!$J$23,
IF(T239=regle!$K$11,regle!$K$23,0))))))))))))</f>
        <v>1836.24</v>
      </c>
      <c r="AE239" s="17">
        <f>IF($A239,$J239*(IF(U239=regle!$B$11,regle!$B$23*IF(AN239=-2,1+regle!$B$35,1),
IF(U239=regle!$C$11,regle!$C$23,
IF(U239=regle!$D$11,regle!$D$23,
IF(U239=regle!$E$11,regle!$E$23,
IF(U239=regle!$F$11,regle!$F$23,
IF(U239=regle!$G$11,regle!$G$23,
IF(U239=regle!$H$11,regle!$H$23,
IF(U239=regle!$I$11,regle!$I$23,
IF(U239=regle!$J$11,regle!$J$23,
IF(U239=regle!$K$11,regle!$K$23,0))))))))))))</f>
        <v>0</v>
      </c>
      <c r="AF239" s="17">
        <f>IF($A239,$J239*(IF(V239=regle!$B$11,regle!$B$23*IF(AO239=-2,1+regle!$B$35,1),
IF(V239=regle!$C$11,regle!$C$23,
IF(V239=regle!$D$11,regle!$D$23,
IF(V239=regle!$E$11,regle!$E$23,
IF(V239=regle!$F$11,regle!$F$23,
IF(V239=regle!$G$11,regle!$G$23,
IF(V239=regle!$H$11,regle!$H$23,
IF(V239=regle!$I$11,regle!$I$23,
IF(V239=regle!$J$11,regle!$J$23,
IF(V239=regle!$K$11,regle!$K$23,0))))))))))))</f>
        <v>0</v>
      </c>
      <c r="AG239" s="17">
        <f>IF($A239,$J239*(IF(W239=regle!$B$11,regle!$B$23*IF(AP239=-2,1+regle!$B$35,1),
IF(W239=regle!$C$11,regle!$C$23,
IF(W239=regle!$D$11,regle!$D$23,
IF(W239=regle!$E$11,regle!$E$23,
IF(W239=regle!$F$11,regle!$F$23,
IF(W239=regle!$G$11,regle!$G$23,
IF(W239=regle!$H$11,regle!$H$23,
IF(W239=regle!$I$11,regle!$I$23,
IF(W239=regle!$J$11,regle!$J$23,
IF(W239=regle!$K$11,regle!$K$23,0))))))))))))</f>
        <v>0</v>
      </c>
      <c r="AH239" s="17">
        <f>IF($A239,$J239*(IF(X239=regle!$B$11,regle!$B$23*IF(AQ239=-2,1+regle!$B$35,1),
IF(X239=regle!$C$11,regle!$C$23,
IF(X239=regle!$D$11,regle!$D$23,
IF(X239=regle!$E$11,regle!$E$23,
IF(X239=regle!$F$11,regle!$F$23,
IF(X239=regle!$G$11,regle!$G$23,
IF(X239=regle!$H$11,regle!$H$23,
IF(X239=regle!$I$11,regle!$I$23,
IF(X239=regle!$J$11,regle!$J$23,
IF(X239=regle!$K$11,regle!$K$23,0))))))))))))</f>
        <v>0</v>
      </c>
      <c r="AI239" s="17">
        <f>IF($A239,$J239*(IF(Y239=regle!$B$11,regle!$B$23*IF(AR239=-2,1+regle!$B$35,1),
IF(Y239=regle!$C$11,regle!$C$23,
IF(Y239=regle!$D$11,regle!$D$23,
IF(Y239=regle!$E$11,regle!$E$23,
IF(Y239=regle!$F$11,regle!$F$23,
IF(Y239=regle!$G$11,regle!$G$23,
IF(Y239=regle!$H$11,regle!$H$23,
IF(Y239=regle!$I$11,regle!$I$23,
IF(Y239=regle!$J$11,regle!$J$23,
IF(Y239=regle!$K$11,regle!$K$23,0))))))))))))</f>
        <v>3077.8879999999999</v>
      </c>
      <c r="AJ239" s="17">
        <f>IF($A239,$J239*(IF(Z239=regle!$B$11,regle!$B$23*IF(AS239=-2,1+regle!$B$35,1),
IF(Z239=regle!$C$11,regle!$C$23,
IF(Z239=regle!$D$11,regle!$D$23,
IF(Z239=regle!$E$11,regle!$E$23,
IF(Z239=regle!$F$11,regle!$F$23,
IF(Z239=regle!$G$11,regle!$G$23,
IF(Z239=regle!$H$11,regle!$H$23,
IF(Z239=regle!$I$11,regle!$I$23,
IF(Z239=regle!$J$11,regle!$J$23,
IF(Z239=regle!$K$11,regle!$K$23,0))))))))))))</f>
        <v>0</v>
      </c>
      <c r="AK239" s="16">
        <f>IF(OR(Q239=regle!$J$11,Q239=regle!$K$11),-2,IF(Q239=regle!$B$11,0,IF(AK$1=$AK$1,IF($O239,-1,regle!$B$2-$M239),IF(AJ239=-1,-1,AJ239+1))))</f>
        <v>14</v>
      </c>
      <c r="AL239" s="16">
        <f>IF(OR(R239=regle!$J$11,R239=regle!$K$11),-2,IF(R239=regle!$B$11,0,IF(AL$1=$AK$1,IF($O239,-1,regle!$B$2-$M239),IF(AK239=-1,-1,AK239+1))))</f>
        <v>15</v>
      </c>
      <c r="AM239" s="16">
        <f>IF(OR(S239=regle!$J$11,S239=regle!$K$11),-2,IF(S239=regle!$B$11,0,IF(AM$1=$AK$1,IF($O239,-1,regle!$B$2-$M239),IF(AL239=-1,-1,AL239+1))))</f>
        <v>16</v>
      </c>
      <c r="AN239" s="16">
        <f>IF(OR(T239=regle!$J$11,T239=regle!$K$11),-2,IF(T239=regle!$B$11,0,IF(AN$1=$AK$1,IF($O239,-1,regle!$B$2-$M239),IF(AM239=-1,-1,AM239+1))))</f>
        <v>17</v>
      </c>
      <c r="AO239" s="16">
        <f>IF(OR(U239=regle!$J$11,U239=regle!$K$11),-2,IF(U239=regle!$B$11,0,IF(AO$1=$AK$1,IF($O239,-1,regle!$B$2-$M239),IF(AN239=-1,-1,AN239+1))))</f>
        <v>18</v>
      </c>
      <c r="AP239" s="16">
        <f>IF(OR(V239=regle!$J$11,V239=regle!$K$11),-2,IF(V239=regle!$B$11,0,IF(AP$1=$AK$1,IF($O239,-1,regle!$B$2-$M239),IF(AO239=-1,-1,AO239+1))))</f>
        <v>19</v>
      </c>
      <c r="AQ239" s="16">
        <f>IF(OR(W239=regle!$J$11,W239=regle!$K$11),-2,IF(W239=regle!$B$11,0,IF(AQ$1=$AK$1,IF($O239,-1,regle!$B$2-$M239),IF(AP239=-1,-1,AP239+1))))</f>
        <v>20</v>
      </c>
      <c r="AR239" s="16">
        <f>IF(OR(X239=regle!$J$11,X239=regle!$K$11),-2,IF(X239=regle!$B$11,0,IF(AR$1=$AK$1,IF($O239,-1,regle!$B$2-$M239),IF(AQ239=-1,-1,AQ239+1))))</f>
        <v>21</v>
      </c>
      <c r="AS239" s="16">
        <f>IF(OR(Y239=regle!$J$11,Y239=regle!$K$11),-2,IF(Y239=regle!$B$11,0,IF(AS$1=$AK$1,IF($O239,-1,regle!$B$2-$M239),IF(AR239=-1,-1,AR239+1))))</f>
        <v>22</v>
      </c>
      <c r="AT239" s="16">
        <f>IF(OR(Z239=regle!$J$11,Z239=regle!$K$11),-2,IF(Z239=regle!$B$11,0,IF(AT$1=$AK$1,IF($O239,-1,regle!$B$2-$M239),IF(AS239=-1,-1,AS239+1))))</f>
        <v>23</v>
      </c>
    </row>
    <row r="240" spans="1:46" x14ac:dyDescent="0.25">
      <c r="A240" t="b">
        <f>modif0!A112</f>
        <v>1</v>
      </c>
      <c r="B240">
        <f>ROW(modif0!B112)</f>
        <v>112</v>
      </c>
      <c r="C240" t="str">
        <f>modif0!D112</f>
        <v>202</v>
      </c>
      <c r="D240" t="str">
        <f>modif0!E112</f>
        <v>HOSTENS</v>
      </c>
      <c r="E240">
        <f>modif0!F112</f>
        <v>11</v>
      </c>
      <c r="F240" t="str">
        <f>modif0!G112</f>
        <v>LES CAZALAS</v>
      </c>
      <c r="G240" t="str">
        <f>modif0!I112</f>
        <v>0B</v>
      </c>
      <c r="H240">
        <f>modif0!J112</f>
        <v>1145</v>
      </c>
      <c r="I240" t="str">
        <f>modif0!K112</f>
        <v>j</v>
      </c>
      <c r="J240" s="11">
        <f>modif0!M112</f>
        <v>1.1646000000000001</v>
      </c>
      <c r="K240" s="11" t="str">
        <f>modif0!P112</f>
        <v>SN</v>
      </c>
      <c r="L240" t="str">
        <f>modif0!N112</f>
        <v>PM</v>
      </c>
      <c r="M240">
        <f>modif0!Q112</f>
        <v>2010</v>
      </c>
      <c r="N240" t="str">
        <f>modif0!R112</f>
        <v>SN-PM_2010</v>
      </c>
      <c r="O240" t="b">
        <f>modif0!S112</f>
        <v>0</v>
      </c>
      <c r="P240">
        <v>40</v>
      </c>
      <c r="T240" t="s">
        <v>1804</v>
      </c>
      <c r="Y240" t="s">
        <v>1805</v>
      </c>
      <c r="AA240" s="17">
        <f>IF($A240,$J240*(IF(Q240=regle!$B$11,regle!$B$23*IF(AJ240=-2,1+regle!$B$35,1),
IF(Q240=regle!$C$11,regle!$C$23,
IF(Q240=regle!$D$11,regle!$D$23,
IF(Q240=regle!$E$11,regle!$E$23,
IF(Q240=regle!$F$11,regle!$F$23,
IF(Q240=regle!$G$11,regle!$G$23,
IF(Q240=regle!$H$11,regle!$H$23,
IF(Q240=regle!$I$11,regle!$I$23,
IF(Q240=regle!$J$11,regle!$J$23,
IF(Q240=regle!$K$11,regle!$K$23,0))))))))))))</f>
        <v>0</v>
      </c>
      <c r="AB240" s="17">
        <f>IF($A240,$J240*(IF(R240=regle!$B$11,regle!$B$23*IF(AK240=-2,1+regle!$B$35,1),
IF(R240=regle!$C$11,regle!$C$23,
IF(R240=regle!$D$11,regle!$D$23,
IF(R240=regle!$E$11,regle!$E$23,
IF(R240=regle!$F$11,regle!$F$23,
IF(R240=regle!$G$11,regle!$G$23,
IF(R240=regle!$H$11,regle!$H$23,
IF(R240=regle!$I$11,regle!$I$23,
IF(R240=regle!$J$11,regle!$J$23,
IF(R240=regle!$K$11,regle!$K$23,0))))))))))))</f>
        <v>0</v>
      </c>
      <c r="AC240" s="17">
        <f>IF($A240,$J240*(IF(S240=regle!$B$11,regle!$B$23*IF(AL240=-2,1+regle!$B$35,1),
IF(S240=regle!$C$11,regle!$C$23,
IF(S240=regle!$D$11,regle!$D$23,
IF(S240=regle!$E$11,regle!$E$23,
IF(S240=regle!$F$11,regle!$F$23,
IF(S240=regle!$G$11,regle!$G$23,
IF(S240=regle!$H$11,regle!$H$23,
IF(S240=regle!$I$11,regle!$I$23,
IF(S240=regle!$J$11,regle!$J$23,
IF(S240=regle!$K$11,regle!$K$23,0))))))))))))</f>
        <v>0</v>
      </c>
      <c r="AD240" s="17">
        <f>IF($A240,$J240*(IF(T240=regle!$B$11,regle!$B$23*IF(AM240=-2,1+regle!$B$35,1),
IF(T240=regle!$C$11,regle!$C$23,
IF(T240=regle!$D$11,regle!$D$23,
IF(T240=regle!$E$11,regle!$E$23,
IF(T240=regle!$F$11,regle!$F$23,
IF(T240=regle!$G$11,regle!$G$23,
IF(T240=regle!$H$11,regle!$H$23,
IF(T240=regle!$I$11,regle!$I$23,
IF(T240=regle!$J$11,regle!$J$23,
IF(T240=regle!$K$11,regle!$K$23,0))))))))))))</f>
        <v>978.26400000000012</v>
      </c>
      <c r="AE240" s="17">
        <f>IF($A240,$J240*(IF(U240=regle!$B$11,regle!$B$23*IF(AN240=-2,1+regle!$B$35,1),
IF(U240=regle!$C$11,regle!$C$23,
IF(U240=regle!$D$11,regle!$D$23,
IF(U240=regle!$E$11,regle!$E$23,
IF(U240=regle!$F$11,regle!$F$23,
IF(U240=regle!$G$11,regle!$G$23,
IF(U240=regle!$H$11,regle!$H$23,
IF(U240=regle!$I$11,regle!$I$23,
IF(U240=regle!$J$11,regle!$J$23,
IF(U240=regle!$K$11,regle!$K$23,0))))))))))))</f>
        <v>0</v>
      </c>
      <c r="AF240" s="17">
        <f>IF($A240,$J240*(IF(V240=regle!$B$11,regle!$B$23*IF(AO240=-2,1+regle!$B$35,1),
IF(V240=regle!$C$11,regle!$C$23,
IF(V240=regle!$D$11,regle!$D$23,
IF(V240=regle!$E$11,regle!$E$23,
IF(V240=regle!$F$11,regle!$F$23,
IF(V240=regle!$G$11,regle!$G$23,
IF(V240=regle!$H$11,regle!$H$23,
IF(V240=regle!$I$11,regle!$I$23,
IF(V240=regle!$J$11,regle!$J$23,
IF(V240=regle!$K$11,regle!$K$23,0))))))))))))</f>
        <v>0</v>
      </c>
      <c r="AG240" s="17">
        <f>IF($A240,$J240*(IF(W240=regle!$B$11,regle!$B$23*IF(AP240=-2,1+regle!$B$35,1),
IF(W240=regle!$C$11,regle!$C$23,
IF(W240=regle!$D$11,regle!$D$23,
IF(W240=regle!$E$11,regle!$E$23,
IF(W240=regle!$F$11,regle!$F$23,
IF(W240=regle!$G$11,regle!$G$23,
IF(W240=regle!$H$11,regle!$H$23,
IF(W240=regle!$I$11,regle!$I$23,
IF(W240=regle!$J$11,regle!$J$23,
IF(W240=regle!$K$11,regle!$K$23,0))))))))))))</f>
        <v>0</v>
      </c>
      <c r="AH240" s="17">
        <f>IF($A240,$J240*(IF(X240=regle!$B$11,regle!$B$23*IF(AQ240=-2,1+regle!$B$35,1),
IF(X240=regle!$C$11,regle!$C$23,
IF(X240=regle!$D$11,regle!$D$23,
IF(X240=regle!$E$11,regle!$E$23,
IF(X240=regle!$F$11,regle!$F$23,
IF(X240=regle!$G$11,regle!$G$23,
IF(X240=regle!$H$11,regle!$H$23,
IF(X240=regle!$I$11,regle!$I$23,
IF(X240=regle!$J$11,regle!$J$23,
IF(X240=regle!$K$11,regle!$K$23,0))))))))))))</f>
        <v>0</v>
      </c>
      <c r="AI240" s="17">
        <f>IF($A240,$J240*(IF(Y240=regle!$B$11,regle!$B$23*IF(AR240=-2,1+regle!$B$35,1),
IF(Y240=regle!$C$11,regle!$C$23,
IF(Y240=regle!$D$11,regle!$D$23,
IF(Y240=regle!$E$11,regle!$E$23,
IF(Y240=regle!$F$11,regle!$F$23,
IF(Y240=regle!$G$11,regle!$G$23,
IF(Y240=regle!$H$11,regle!$H$23,
IF(Y240=regle!$I$11,regle!$I$23,
IF(Y240=regle!$J$11,regle!$J$23,
IF(Y240=regle!$K$11,regle!$K$23,0))))))))))))</f>
        <v>1639.7568000000001</v>
      </c>
      <c r="AJ240" s="17">
        <f>IF($A240,$J240*(IF(Z240=regle!$B$11,regle!$B$23*IF(AS240=-2,1+regle!$B$35,1),
IF(Z240=regle!$C$11,regle!$C$23,
IF(Z240=regle!$D$11,regle!$D$23,
IF(Z240=regle!$E$11,regle!$E$23,
IF(Z240=regle!$F$11,regle!$F$23,
IF(Z240=regle!$G$11,regle!$G$23,
IF(Z240=regle!$H$11,regle!$H$23,
IF(Z240=regle!$I$11,regle!$I$23,
IF(Z240=regle!$J$11,regle!$J$23,
IF(Z240=regle!$K$11,regle!$K$23,0))))))))))))</f>
        <v>0</v>
      </c>
      <c r="AK240" s="16">
        <f>IF(OR(Q240=regle!$J$11,Q240=regle!$K$11),-2,IF(Q240=regle!$B$11,0,IF(AK$1=$AK$1,IF($O240,-1,regle!$B$2-$M240),IF(AJ240=-1,-1,AJ240+1))))</f>
        <v>14</v>
      </c>
      <c r="AL240" s="16">
        <f>IF(OR(R240=regle!$J$11,R240=regle!$K$11),-2,IF(R240=regle!$B$11,0,IF(AL$1=$AK$1,IF($O240,-1,regle!$B$2-$M240),IF(AK240=-1,-1,AK240+1))))</f>
        <v>15</v>
      </c>
      <c r="AM240" s="16">
        <f>IF(OR(S240=regle!$J$11,S240=regle!$K$11),-2,IF(S240=regle!$B$11,0,IF(AM$1=$AK$1,IF($O240,-1,regle!$B$2-$M240),IF(AL240=-1,-1,AL240+1))))</f>
        <v>16</v>
      </c>
      <c r="AN240" s="16">
        <f>IF(OR(T240=regle!$J$11,T240=regle!$K$11),-2,IF(T240=regle!$B$11,0,IF(AN$1=$AK$1,IF($O240,-1,regle!$B$2-$M240),IF(AM240=-1,-1,AM240+1))))</f>
        <v>17</v>
      </c>
      <c r="AO240" s="16">
        <f>IF(OR(U240=regle!$J$11,U240=regle!$K$11),-2,IF(U240=regle!$B$11,0,IF(AO$1=$AK$1,IF($O240,-1,regle!$B$2-$M240),IF(AN240=-1,-1,AN240+1))))</f>
        <v>18</v>
      </c>
      <c r="AP240" s="16">
        <f>IF(OR(V240=regle!$J$11,V240=regle!$K$11),-2,IF(V240=regle!$B$11,0,IF(AP$1=$AK$1,IF($O240,-1,regle!$B$2-$M240),IF(AO240=-1,-1,AO240+1))))</f>
        <v>19</v>
      </c>
      <c r="AQ240" s="16">
        <f>IF(OR(W240=regle!$J$11,W240=regle!$K$11),-2,IF(W240=regle!$B$11,0,IF(AQ$1=$AK$1,IF($O240,-1,regle!$B$2-$M240),IF(AP240=-1,-1,AP240+1))))</f>
        <v>20</v>
      </c>
      <c r="AR240" s="16">
        <f>IF(OR(X240=regle!$J$11,X240=regle!$K$11),-2,IF(X240=regle!$B$11,0,IF(AR$1=$AK$1,IF($O240,-1,regle!$B$2-$M240),IF(AQ240=-1,-1,AQ240+1))))</f>
        <v>21</v>
      </c>
      <c r="AS240" s="16">
        <f>IF(OR(Y240=regle!$J$11,Y240=regle!$K$11),-2,IF(Y240=regle!$B$11,0,IF(AS$1=$AK$1,IF($O240,-1,regle!$B$2-$M240),IF(AR240=-1,-1,AR240+1))))</f>
        <v>22</v>
      </c>
      <c r="AT240" s="16">
        <f>IF(OR(Z240=regle!$J$11,Z240=regle!$K$11),-2,IF(Z240=regle!$B$11,0,IF(AT$1=$AK$1,IF($O240,-1,regle!$B$2-$M240),IF(AS240=-1,-1,AS240+1))))</f>
        <v>23</v>
      </c>
    </row>
    <row r="241" spans="1:46" x14ac:dyDescent="0.25">
      <c r="A241" t="b">
        <f>modif0!A328</f>
        <v>1</v>
      </c>
      <c r="B241">
        <f>ROW(modif0!B328)</f>
        <v>328</v>
      </c>
      <c r="C241" t="str">
        <f>modif0!D328</f>
        <v>077</v>
      </c>
      <c r="D241" t="str">
        <f>modif0!E328</f>
        <v>CABANAC-ET-VILLAGRAINS</v>
      </c>
      <c r="E241">
        <f>modif0!F328</f>
        <v>13</v>
      </c>
      <c r="F241" t="str">
        <f>modif0!G328</f>
        <v>LAGUNE LONGUE</v>
      </c>
      <c r="G241" t="str">
        <f>modif0!I328</f>
        <v>0D</v>
      </c>
      <c r="H241">
        <f>modif0!J328</f>
        <v>1511</v>
      </c>
      <c r="I241" t="str">
        <f>modif0!K328</f>
        <v>o</v>
      </c>
      <c r="J241" s="11">
        <f>modif0!M328</f>
        <v>0.33829999999999999</v>
      </c>
      <c r="K241" s="11" t="str">
        <f>modif0!P328</f>
        <v>PLA</v>
      </c>
      <c r="L241" t="str">
        <f>modif0!N328</f>
        <v>PM</v>
      </c>
      <c r="M241">
        <f>modif0!Q328</f>
        <v>2010</v>
      </c>
      <c r="N241" t="str">
        <f>modif0!R328</f>
        <v>PLA-PM_2010</v>
      </c>
      <c r="O241" t="b">
        <f>modif0!S328</f>
        <v>0</v>
      </c>
      <c r="P241">
        <v>40</v>
      </c>
      <c r="T241" t="s">
        <v>1804</v>
      </c>
      <c r="Y241" t="s">
        <v>1805</v>
      </c>
      <c r="AA241" s="17">
        <f>IF($A241,$J241*(IF(Q241=regle!$B$11,regle!$B$23*IF(AJ241=-2,1+regle!$B$35,1),
IF(Q241=regle!$C$11,regle!$C$23,
IF(Q241=regle!$D$11,regle!$D$23,
IF(Q241=regle!$E$11,regle!$E$23,
IF(Q241=regle!$F$11,regle!$F$23,
IF(Q241=regle!$G$11,regle!$G$23,
IF(Q241=regle!$H$11,regle!$H$23,
IF(Q241=regle!$I$11,regle!$I$23,
IF(Q241=regle!$J$11,regle!$J$23,
IF(Q241=regle!$K$11,regle!$K$23,0))))))))))))</f>
        <v>0</v>
      </c>
      <c r="AB241" s="17">
        <f>IF($A241,$J241*(IF(R241=regle!$B$11,regle!$B$23*IF(AK241=-2,1+regle!$B$35,1),
IF(R241=regle!$C$11,regle!$C$23,
IF(R241=regle!$D$11,regle!$D$23,
IF(R241=regle!$E$11,regle!$E$23,
IF(R241=regle!$F$11,regle!$F$23,
IF(R241=regle!$G$11,regle!$G$23,
IF(R241=regle!$H$11,regle!$H$23,
IF(R241=regle!$I$11,regle!$I$23,
IF(R241=regle!$J$11,regle!$J$23,
IF(R241=regle!$K$11,regle!$K$23,0))))))))))))</f>
        <v>0</v>
      </c>
      <c r="AC241" s="17">
        <f>IF($A241,$J241*(IF(S241=regle!$B$11,regle!$B$23*IF(AL241=-2,1+regle!$B$35,1),
IF(S241=regle!$C$11,regle!$C$23,
IF(S241=regle!$D$11,regle!$D$23,
IF(S241=regle!$E$11,regle!$E$23,
IF(S241=regle!$F$11,regle!$F$23,
IF(S241=regle!$G$11,regle!$G$23,
IF(S241=regle!$H$11,regle!$H$23,
IF(S241=regle!$I$11,regle!$I$23,
IF(S241=regle!$J$11,regle!$J$23,
IF(S241=regle!$K$11,regle!$K$23,0))))))))))))</f>
        <v>0</v>
      </c>
      <c r="AD241" s="17">
        <f>IF($A241,$J241*(IF(T241=regle!$B$11,regle!$B$23*IF(AM241=-2,1+regle!$B$35,1),
IF(T241=regle!$C$11,regle!$C$23,
IF(T241=regle!$D$11,regle!$D$23,
IF(T241=regle!$E$11,regle!$E$23,
IF(T241=regle!$F$11,regle!$F$23,
IF(T241=regle!$G$11,regle!$G$23,
IF(T241=regle!$H$11,regle!$H$23,
IF(T241=regle!$I$11,regle!$I$23,
IF(T241=regle!$J$11,regle!$J$23,
IF(T241=regle!$K$11,regle!$K$23,0))))))))))))</f>
        <v>284.17199999999997</v>
      </c>
      <c r="AE241" s="17">
        <f>IF($A241,$J241*(IF(U241=regle!$B$11,regle!$B$23*IF(AN241=-2,1+regle!$B$35,1),
IF(U241=regle!$C$11,regle!$C$23,
IF(U241=regle!$D$11,regle!$D$23,
IF(U241=regle!$E$11,regle!$E$23,
IF(U241=regle!$F$11,regle!$F$23,
IF(U241=regle!$G$11,regle!$G$23,
IF(U241=regle!$H$11,regle!$H$23,
IF(U241=regle!$I$11,regle!$I$23,
IF(U241=regle!$J$11,regle!$J$23,
IF(U241=regle!$K$11,regle!$K$23,0))))))))))))</f>
        <v>0</v>
      </c>
      <c r="AF241" s="17">
        <f>IF($A241,$J241*(IF(V241=regle!$B$11,regle!$B$23*IF(AO241=-2,1+regle!$B$35,1),
IF(V241=regle!$C$11,regle!$C$23,
IF(V241=regle!$D$11,regle!$D$23,
IF(V241=regle!$E$11,regle!$E$23,
IF(V241=regle!$F$11,regle!$F$23,
IF(V241=regle!$G$11,regle!$G$23,
IF(V241=regle!$H$11,regle!$H$23,
IF(V241=regle!$I$11,regle!$I$23,
IF(V241=regle!$J$11,regle!$J$23,
IF(V241=regle!$K$11,regle!$K$23,0))))))))))))</f>
        <v>0</v>
      </c>
      <c r="AG241" s="17">
        <f>IF($A241,$J241*(IF(W241=regle!$B$11,regle!$B$23*IF(AP241=-2,1+regle!$B$35,1),
IF(W241=regle!$C$11,regle!$C$23,
IF(W241=regle!$D$11,regle!$D$23,
IF(W241=regle!$E$11,regle!$E$23,
IF(W241=regle!$F$11,regle!$F$23,
IF(W241=regle!$G$11,regle!$G$23,
IF(W241=regle!$H$11,regle!$H$23,
IF(W241=regle!$I$11,regle!$I$23,
IF(W241=regle!$J$11,regle!$J$23,
IF(W241=regle!$K$11,regle!$K$23,0))))))))))))</f>
        <v>0</v>
      </c>
      <c r="AH241" s="17">
        <f>IF($A241,$J241*(IF(X241=regle!$B$11,regle!$B$23*IF(AQ241=-2,1+regle!$B$35,1),
IF(X241=regle!$C$11,regle!$C$23,
IF(X241=regle!$D$11,regle!$D$23,
IF(X241=regle!$E$11,regle!$E$23,
IF(X241=regle!$F$11,regle!$F$23,
IF(X241=regle!$G$11,regle!$G$23,
IF(X241=regle!$H$11,regle!$H$23,
IF(X241=regle!$I$11,regle!$I$23,
IF(X241=regle!$J$11,regle!$J$23,
IF(X241=regle!$K$11,regle!$K$23,0))))))))))))</f>
        <v>0</v>
      </c>
      <c r="AI241" s="17">
        <f>IF($A241,$J241*(IF(Y241=regle!$B$11,regle!$B$23*IF(AR241=-2,1+regle!$B$35,1),
IF(Y241=regle!$C$11,regle!$C$23,
IF(Y241=regle!$D$11,regle!$D$23,
IF(Y241=regle!$E$11,regle!$E$23,
IF(Y241=regle!$F$11,regle!$F$23,
IF(Y241=regle!$G$11,regle!$G$23,
IF(Y241=regle!$H$11,regle!$H$23,
IF(Y241=regle!$I$11,regle!$I$23,
IF(Y241=regle!$J$11,regle!$J$23,
IF(Y241=regle!$K$11,regle!$K$23,0))))))))))))</f>
        <v>476.32639999999998</v>
      </c>
      <c r="AJ241" s="17">
        <f>IF($A241,$J241*(IF(Z241=regle!$B$11,regle!$B$23*IF(AS241=-2,1+regle!$B$35,1),
IF(Z241=regle!$C$11,regle!$C$23,
IF(Z241=regle!$D$11,regle!$D$23,
IF(Z241=regle!$E$11,regle!$E$23,
IF(Z241=regle!$F$11,regle!$F$23,
IF(Z241=regle!$G$11,regle!$G$23,
IF(Z241=regle!$H$11,regle!$H$23,
IF(Z241=regle!$I$11,regle!$I$23,
IF(Z241=regle!$J$11,regle!$J$23,
IF(Z241=regle!$K$11,regle!$K$23,0))))))))))))</f>
        <v>0</v>
      </c>
      <c r="AK241" s="16">
        <f>IF(OR(Q241=regle!$J$11,Q241=regle!$K$11),-2,IF(Q241=regle!$B$11,0,IF(AK$1=$AK$1,IF($O241,-1,regle!$B$2-$M241),IF(AJ241=-1,-1,AJ241+1))))</f>
        <v>14</v>
      </c>
      <c r="AL241" s="16">
        <f>IF(OR(R241=regle!$J$11,R241=regle!$K$11),-2,IF(R241=regle!$B$11,0,IF(AL$1=$AK$1,IF($O241,-1,regle!$B$2-$M241),IF(AK241=-1,-1,AK241+1))))</f>
        <v>15</v>
      </c>
      <c r="AM241" s="16">
        <f>IF(OR(S241=regle!$J$11,S241=regle!$K$11),-2,IF(S241=regle!$B$11,0,IF(AM$1=$AK$1,IF($O241,-1,regle!$B$2-$M241),IF(AL241=-1,-1,AL241+1))))</f>
        <v>16</v>
      </c>
      <c r="AN241" s="16">
        <f>IF(OR(T241=regle!$J$11,T241=regle!$K$11),-2,IF(T241=regle!$B$11,0,IF(AN$1=$AK$1,IF($O241,-1,regle!$B$2-$M241),IF(AM241=-1,-1,AM241+1))))</f>
        <v>17</v>
      </c>
      <c r="AO241" s="16">
        <f>IF(OR(U241=regle!$J$11,U241=regle!$K$11),-2,IF(U241=regle!$B$11,0,IF(AO$1=$AK$1,IF($O241,-1,regle!$B$2-$M241),IF(AN241=-1,-1,AN241+1))))</f>
        <v>18</v>
      </c>
      <c r="AP241" s="16">
        <f>IF(OR(V241=regle!$J$11,V241=regle!$K$11),-2,IF(V241=regle!$B$11,0,IF(AP$1=$AK$1,IF($O241,-1,regle!$B$2-$M241),IF(AO241=-1,-1,AO241+1))))</f>
        <v>19</v>
      </c>
      <c r="AQ241" s="16">
        <f>IF(OR(W241=regle!$J$11,W241=regle!$K$11),-2,IF(W241=regle!$B$11,0,IF(AQ$1=$AK$1,IF($O241,-1,regle!$B$2-$M241),IF(AP241=-1,-1,AP241+1))))</f>
        <v>20</v>
      </c>
      <c r="AR241" s="16">
        <f>IF(OR(X241=regle!$J$11,X241=regle!$K$11),-2,IF(X241=regle!$B$11,0,IF(AR$1=$AK$1,IF($O241,-1,regle!$B$2-$M241),IF(AQ241=-1,-1,AQ241+1))))</f>
        <v>21</v>
      </c>
      <c r="AS241" s="16">
        <f>IF(OR(Y241=regle!$J$11,Y241=regle!$K$11),-2,IF(Y241=regle!$B$11,0,IF(AS$1=$AK$1,IF($O241,-1,regle!$B$2-$M241),IF(AR241=-1,-1,AR241+1))))</f>
        <v>22</v>
      </c>
      <c r="AT241" s="16">
        <f>IF(OR(Z241=regle!$J$11,Z241=regle!$K$11),-2,IF(Z241=regle!$B$11,0,IF(AT$1=$AK$1,IF($O241,-1,regle!$B$2-$M241),IF(AS241=-1,-1,AS241+1))))</f>
        <v>23</v>
      </c>
    </row>
    <row r="242" spans="1:46" x14ac:dyDescent="0.25">
      <c r="A242" t="b">
        <f>modif0!A50</f>
        <v>1</v>
      </c>
      <c r="B242">
        <f>ROW(modif0!B50)</f>
        <v>50</v>
      </c>
      <c r="C242" t="str">
        <f>modif0!D50</f>
        <v>536</v>
      </c>
      <c r="D242" t="str">
        <f>modif0!E50</f>
        <v>LE TUZAN</v>
      </c>
      <c r="E242">
        <f>modif0!F50</f>
        <v>21</v>
      </c>
      <c r="F242" t="str">
        <f>modif0!G50</f>
        <v>METAIRIES DE TABARTON</v>
      </c>
      <c r="G242" t="str">
        <f>modif0!I50</f>
        <v>0A</v>
      </c>
      <c r="H242">
        <f>modif0!J50</f>
        <v>460</v>
      </c>
      <c r="I242" t="str">
        <f>modif0!K50</f>
        <v>k</v>
      </c>
      <c r="J242" s="11">
        <f>modif0!M50</f>
        <v>0.18060000000000001</v>
      </c>
      <c r="K242" s="11" t="str">
        <f>modif0!P50</f>
        <v>PLA</v>
      </c>
      <c r="L242" t="str">
        <f>modif0!N50</f>
        <v>PM</v>
      </c>
      <c r="M242">
        <f>modif0!Q50</f>
        <v>2010</v>
      </c>
      <c r="N242" t="str">
        <f>modif0!R50</f>
        <v>PLA-PM_2010</v>
      </c>
      <c r="O242" t="b">
        <f>modif0!S50</f>
        <v>0</v>
      </c>
      <c r="P242">
        <v>40</v>
      </c>
      <c r="T242" t="s">
        <v>1804</v>
      </c>
      <c r="Y242" t="s">
        <v>1805</v>
      </c>
      <c r="AA242" s="17">
        <f>IF($A242,$J242*(IF(Q242=regle!$B$11,regle!$B$23*IF(AJ242=-2,1+regle!$B$35,1),
IF(Q242=regle!$C$11,regle!$C$23,
IF(Q242=regle!$D$11,regle!$D$23,
IF(Q242=regle!$E$11,regle!$E$23,
IF(Q242=regle!$F$11,regle!$F$23,
IF(Q242=regle!$G$11,regle!$G$23,
IF(Q242=regle!$H$11,regle!$H$23,
IF(Q242=regle!$I$11,regle!$I$23,
IF(Q242=regle!$J$11,regle!$J$23,
IF(Q242=regle!$K$11,regle!$K$23,0))))))))))))</f>
        <v>0</v>
      </c>
      <c r="AB242" s="17">
        <f>IF($A242,$J242*(IF(R242=regle!$B$11,regle!$B$23*IF(AK242=-2,1+regle!$B$35,1),
IF(R242=regle!$C$11,regle!$C$23,
IF(R242=regle!$D$11,regle!$D$23,
IF(R242=regle!$E$11,regle!$E$23,
IF(R242=regle!$F$11,regle!$F$23,
IF(R242=regle!$G$11,regle!$G$23,
IF(R242=regle!$H$11,regle!$H$23,
IF(R242=regle!$I$11,regle!$I$23,
IF(R242=regle!$J$11,regle!$J$23,
IF(R242=regle!$K$11,regle!$K$23,0))))))))))))</f>
        <v>0</v>
      </c>
      <c r="AC242" s="17">
        <f>IF($A242,$J242*(IF(S242=regle!$B$11,regle!$B$23*IF(AL242=-2,1+regle!$B$35,1),
IF(S242=regle!$C$11,regle!$C$23,
IF(S242=regle!$D$11,regle!$D$23,
IF(S242=regle!$E$11,regle!$E$23,
IF(S242=regle!$F$11,regle!$F$23,
IF(S242=regle!$G$11,regle!$G$23,
IF(S242=regle!$H$11,regle!$H$23,
IF(S242=regle!$I$11,regle!$I$23,
IF(S242=regle!$J$11,regle!$J$23,
IF(S242=regle!$K$11,regle!$K$23,0))))))))))))</f>
        <v>0</v>
      </c>
      <c r="AD242" s="17">
        <f>IF($A242,$J242*(IF(T242=regle!$B$11,regle!$B$23*IF(AM242=-2,1+regle!$B$35,1),
IF(T242=regle!$C$11,regle!$C$23,
IF(T242=regle!$D$11,regle!$D$23,
IF(T242=regle!$E$11,regle!$E$23,
IF(T242=regle!$F$11,regle!$F$23,
IF(T242=regle!$G$11,regle!$G$23,
IF(T242=regle!$H$11,regle!$H$23,
IF(T242=regle!$I$11,regle!$I$23,
IF(T242=regle!$J$11,regle!$J$23,
IF(T242=regle!$K$11,regle!$K$23,0))))))))))))</f>
        <v>151.70400000000001</v>
      </c>
      <c r="AE242" s="17">
        <f>IF($A242,$J242*(IF(U242=regle!$B$11,regle!$B$23*IF(AN242=-2,1+regle!$B$35,1),
IF(U242=regle!$C$11,regle!$C$23,
IF(U242=regle!$D$11,regle!$D$23,
IF(U242=regle!$E$11,regle!$E$23,
IF(U242=regle!$F$11,regle!$F$23,
IF(U242=regle!$G$11,regle!$G$23,
IF(U242=regle!$H$11,regle!$H$23,
IF(U242=regle!$I$11,regle!$I$23,
IF(U242=regle!$J$11,regle!$J$23,
IF(U242=regle!$K$11,regle!$K$23,0))))))))))))</f>
        <v>0</v>
      </c>
      <c r="AF242" s="17">
        <f>IF($A242,$J242*(IF(V242=regle!$B$11,regle!$B$23*IF(AO242=-2,1+regle!$B$35,1),
IF(V242=regle!$C$11,regle!$C$23,
IF(V242=regle!$D$11,regle!$D$23,
IF(V242=regle!$E$11,regle!$E$23,
IF(V242=regle!$F$11,regle!$F$23,
IF(V242=regle!$G$11,regle!$G$23,
IF(V242=regle!$H$11,regle!$H$23,
IF(V242=regle!$I$11,regle!$I$23,
IF(V242=regle!$J$11,regle!$J$23,
IF(V242=regle!$K$11,regle!$K$23,0))))))))))))</f>
        <v>0</v>
      </c>
      <c r="AG242" s="17">
        <f>IF($A242,$J242*(IF(W242=regle!$B$11,regle!$B$23*IF(AP242=-2,1+regle!$B$35,1),
IF(W242=regle!$C$11,regle!$C$23,
IF(W242=regle!$D$11,regle!$D$23,
IF(W242=regle!$E$11,regle!$E$23,
IF(W242=regle!$F$11,regle!$F$23,
IF(W242=regle!$G$11,regle!$G$23,
IF(W242=regle!$H$11,regle!$H$23,
IF(W242=regle!$I$11,regle!$I$23,
IF(W242=regle!$J$11,regle!$J$23,
IF(W242=regle!$K$11,regle!$K$23,0))))))))))))</f>
        <v>0</v>
      </c>
      <c r="AH242" s="17">
        <f>IF($A242,$J242*(IF(X242=regle!$B$11,regle!$B$23*IF(AQ242=-2,1+regle!$B$35,1),
IF(X242=regle!$C$11,regle!$C$23,
IF(X242=regle!$D$11,regle!$D$23,
IF(X242=regle!$E$11,regle!$E$23,
IF(X242=regle!$F$11,regle!$F$23,
IF(X242=regle!$G$11,regle!$G$23,
IF(X242=regle!$H$11,regle!$H$23,
IF(X242=regle!$I$11,regle!$I$23,
IF(X242=regle!$J$11,regle!$J$23,
IF(X242=regle!$K$11,regle!$K$23,0))))))))))))</f>
        <v>0</v>
      </c>
      <c r="AI242" s="17">
        <f>IF($A242,$J242*(IF(Y242=regle!$B$11,regle!$B$23*IF(AR242=-2,1+regle!$B$35,1),
IF(Y242=regle!$C$11,regle!$C$23,
IF(Y242=regle!$D$11,regle!$D$23,
IF(Y242=regle!$E$11,regle!$E$23,
IF(Y242=regle!$F$11,regle!$F$23,
IF(Y242=regle!$G$11,regle!$G$23,
IF(Y242=regle!$H$11,regle!$H$23,
IF(Y242=regle!$I$11,regle!$I$23,
IF(Y242=regle!$J$11,regle!$J$23,
IF(Y242=regle!$K$11,regle!$K$23,0))))))))))))</f>
        <v>254.28480000000002</v>
      </c>
      <c r="AJ242" s="17">
        <f>IF($A242,$J242*(IF(Z242=regle!$B$11,regle!$B$23*IF(AS242=-2,1+regle!$B$35,1),
IF(Z242=regle!$C$11,regle!$C$23,
IF(Z242=regle!$D$11,regle!$D$23,
IF(Z242=regle!$E$11,regle!$E$23,
IF(Z242=regle!$F$11,regle!$F$23,
IF(Z242=regle!$G$11,regle!$G$23,
IF(Z242=regle!$H$11,regle!$H$23,
IF(Z242=regle!$I$11,regle!$I$23,
IF(Z242=regle!$J$11,regle!$J$23,
IF(Z242=regle!$K$11,regle!$K$23,0))))))))))))</f>
        <v>0</v>
      </c>
      <c r="AK242" s="16">
        <f>IF(OR(Q242=regle!$J$11,Q242=regle!$K$11),-2,IF(Q242=regle!$B$11,0,IF(AK$1=$AK$1,IF($O242,-1,regle!$B$2-$M242),IF(AJ242=-1,-1,AJ242+1))))</f>
        <v>14</v>
      </c>
      <c r="AL242" s="16">
        <f>IF(OR(R242=regle!$J$11,R242=regle!$K$11),-2,IF(R242=regle!$B$11,0,IF(AL$1=$AK$1,IF($O242,-1,regle!$B$2-$M242),IF(AK242=-1,-1,AK242+1))))</f>
        <v>15</v>
      </c>
      <c r="AM242" s="16">
        <f>IF(OR(S242=regle!$J$11,S242=regle!$K$11),-2,IF(S242=regle!$B$11,0,IF(AM$1=$AK$1,IF($O242,-1,regle!$B$2-$M242),IF(AL242=-1,-1,AL242+1))))</f>
        <v>16</v>
      </c>
      <c r="AN242" s="16">
        <f>IF(OR(T242=regle!$J$11,T242=regle!$K$11),-2,IF(T242=regle!$B$11,0,IF(AN$1=$AK$1,IF($O242,-1,regle!$B$2-$M242),IF(AM242=-1,-1,AM242+1))))</f>
        <v>17</v>
      </c>
      <c r="AO242" s="16">
        <f>IF(OR(U242=regle!$J$11,U242=regle!$K$11),-2,IF(U242=regle!$B$11,0,IF(AO$1=$AK$1,IF($O242,-1,regle!$B$2-$M242),IF(AN242=-1,-1,AN242+1))))</f>
        <v>18</v>
      </c>
      <c r="AP242" s="16">
        <f>IF(OR(V242=regle!$J$11,V242=regle!$K$11),-2,IF(V242=regle!$B$11,0,IF(AP$1=$AK$1,IF($O242,-1,regle!$B$2-$M242),IF(AO242=-1,-1,AO242+1))))</f>
        <v>19</v>
      </c>
      <c r="AQ242" s="16">
        <f>IF(OR(W242=regle!$J$11,W242=regle!$K$11),-2,IF(W242=regle!$B$11,0,IF(AQ$1=$AK$1,IF($O242,-1,regle!$B$2-$M242),IF(AP242=-1,-1,AP242+1))))</f>
        <v>20</v>
      </c>
      <c r="AR242" s="16">
        <f>IF(OR(X242=regle!$J$11,X242=regle!$K$11),-2,IF(X242=regle!$B$11,0,IF(AR$1=$AK$1,IF($O242,-1,regle!$B$2-$M242),IF(AQ242=-1,-1,AQ242+1))))</f>
        <v>21</v>
      </c>
      <c r="AS242" s="16">
        <f>IF(OR(Y242=regle!$J$11,Y242=regle!$K$11),-2,IF(Y242=regle!$B$11,0,IF(AS$1=$AK$1,IF($O242,-1,regle!$B$2-$M242),IF(AR242=-1,-1,AR242+1))))</f>
        <v>22</v>
      </c>
      <c r="AT242" s="16">
        <f>IF(OR(Z242=regle!$J$11,Z242=regle!$K$11),-2,IF(Z242=regle!$B$11,0,IF(AT$1=$AK$1,IF($O242,-1,regle!$B$2-$M242),IF(AS242=-1,-1,AS242+1))))</f>
        <v>23</v>
      </c>
    </row>
    <row r="243" spans="1:46" x14ac:dyDescent="0.25">
      <c r="A243" t="b">
        <f>modif0!A67</f>
        <v>1</v>
      </c>
      <c r="B243">
        <f>ROW(modif0!B67)</f>
        <v>67</v>
      </c>
      <c r="C243" t="str">
        <f>modif0!D67</f>
        <v>536</v>
      </c>
      <c r="D243" t="str">
        <f>modif0!E67</f>
        <v>LE TUZAN</v>
      </c>
      <c r="E243">
        <f>modif0!F67</f>
        <v>21</v>
      </c>
      <c r="F243" t="str">
        <f>modif0!G67</f>
        <v>METAIRIES DE TABARTON</v>
      </c>
      <c r="G243" t="str">
        <f>modif0!I67</f>
        <v>0A</v>
      </c>
      <c r="H243">
        <f>modif0!J67</f>
        <v>523</v>
      </c>
      <c r="I243" t="str">
        <f>modif0!K67</f>
        <v>p</v>
      </c>
      <c r="J243" s="11">
        <f>modif0!M67</f>
        <v>17.198599999999999</v>
      </c>
      <c r="K243" s="11" t="str">
        <f>modif0!P67</f>
        <v>PLA</v>
      </c>
      <c r="L243" t="str">
        <f>modif0!N67</f>
        <v>PM</v>
      </c>
      <c r="M243">
        <f>modif0!Q67</f>
        <v>2009</v>
      </c>
      <c r="N243" t="str">
        <f>modif0!R67</f>
        <v>PLA-PM_2009</v>
      </c>
      <c r="O243" t="b">
        <f>modif0!S67</f>
        <v>0</v>
      </c>
      <c r="P243">
        <v>40</v>
      </c>
      <c r="S243" t="s">
        <v>1804</v>
      </c>
      <c r="X243" t="s">
        <v>1805</v>
      </c>
      <c r="AA243" s="17">
        <f>IF($A243,$J243*(IF(Q243=regle!$B$11,regle!$B$23*IF(AJ243=-2,1+regle!$B$35,1),
IF(Q243=regle!$C$11,regle!$C$23,
IF(Q243=regle!$D$11,regle!$D$23,
IF(Q243=regle!$E$11,regle!$E$23,
IF(Q243=regle!$F$11,regle!$F$23,
IF(Q243=regle!$G$11,regle!$G$23,
IF(Q243=regle!$H$11,regle!$H$23,
IF(Q243=regle!$I$11,regle!$I$23,
IF(Q243=regle!$J$11,regle!$J$23,
IF(Q243=regle!$K$11,regle!$K$23,0))))))))))))</f>
        <v>0</v>
      </c>
      <c r="AB243" s="17">
        <f>IF($A243,$J243*(IF(R243=regle!$B$11,regle!$B$23*IF(AK243=-2,1+regle!$B$35,1),
IF(R243=regle!$C$11,regle!$C$23,
IF(R243=regle!$D$11,regle!$D$23,
IF(R243=regle!$E$11,regle!$E$23,
IF(R243=regle!$F$11,regle!$F$23,
IF(R243=regle!$G$11,regle!$G$23,
IF(R243=regle!$H$11,regle!$H$23,
IF(R243=regle!$I$11,regle!$I$23,
IF(R243=regle!$J$11,regle!$J$23,
IF(R243=regle!$K$11,regle!$K$23,0))))))))))))</f>
        <v>0</v>
      </c>
      <c r="AC243" s="17">
        <f>IF($A243,$J243*(IF(S243=regle!$B$11,regle!$B$23*IF(AL243=-2,1+regle!$B$35,1),
IF(S243=regle!$C$11,regle!$C$23,
IF(S243=regle!$D$11,regle!$D$23,
IF(S243=regle!$E$11,regle!$E$23,
IF(S243=regle!$F$11,regle!$F$23,
IF(S243=regle!$G$11,regle!$G$23,
IF(S243=regle!$H$11,regle!$H$23,
IF(S243=regle!$I$11,regle!$I$23,
IF(S243=regle!$J$11,regle!$J$23,
IF(S243=regle!$K$11,regle!$K$23,0))))))))))))</f>
        <v>14446.823999999999</v>
      </c>
      <c r="AD243" s="17">
        <f>IF($A243,$J243*(IF(T243=regle!$B$11,regle!$B$23*IF(AM243=-2,1+regle!$B$35,1),
IF(T243=regle!$C$11,regle!$C$23,
IF(T243=regle!$D$11,regle!$D$23,
IF(T243=regle!$E$11,regle!$E$23,
IF(T243=regle!$F$11,regle!$F$23,
IF(T243=regle!$G$11,regle!$G$23,
IF(T243=regle!$H$11,regle!$H$23,
IF(T243=regle!$I$11,regle!$I$23,
IF(T243=regle!$J$11,regle!$J$23,
IF(T243=regle!$K$11,regle!$K$23,0))))))))))))</f>
        <v>0</v>
      </c>
      <c r="AE243" s="17">
        <f>IF($A243,$J243*(IF(U243=regle!$B$11,regle!$B$23*IF(AN243=-2,1+regle!$B$35,1),
IF(U243=regle!$C$11,regle!$C$23,
IF(U243=regle!$D$11,regle!$D$23,
IF(U243=regle!$E$11,regle!$E$23,
IF(U243=regle!$F$11,regle!$F$23,
IF(U243=regle!$G$11,regle!$G$23,
IF(U243=regle!$H$11,regle!$H$23,
IF(U243=regle!$I$11,regle!$I$23,
IF(U243=regle!$J$11,regle!$J$23,
IF(U243=regle!$K$11,regle!$K$23,0))))))))))))</f>
        <v>0</v>
      </c>
      <c r="AF243" s="17">
        <f>IF($A243,$J243*(IF(V243=regle!$B$11,regle!$B$23*IF(AO243=-2,1+regle!$B$35,1),
IF(V243=regle!$C$11,regle!$C$23,
IF(V243=regle!$D$11,regle!$D$23,
IF(V243=regle!$E$11,regle!$E$23,
IF(V243=regle!$F$11,regle!$F$23,
IF(V243=regle!$G$11,regle!$G$23,
IF(V243=regle!$H$11,regle!$H$23,
IF(V243=regle!$I$11,regle!$I$23,
IF(V243=regle!$J$11,regle!$J$23,
IF(V243=regle!$K$11,regle!$K$23,0))))))))))))</f>
        <v>0</v>
      </c>
      <c r="AG243" s="17">
        <f>IF($A243,$J243*(IF(W243=regle!$B$11,regle!$B$23*IF(AP243=-2,1+regle!$B$35,1),
IF(W243=regle!$C$11,regle!$C$23,
IF(W243=regle!$D$11,regle!$D$23,
IF(W243=regle!$E$11,regle!$E$23,
IF(W243=regle!$F$11,regle!$F$23,
IF(W243=regle!$G$11,regle!$G$23,
IF(W243=regle!$H$11,regle!$H$23,
IF(W243=regle!$I$11,regle!$I$23,
IF(W243=regle!$J$11,regle!$J$23,
IF(W243=regle!$K$11,regle!$K$23,0))))))))))))</f>
        <v>0</v>
      </c>
      <c r="AH243" s="17">
        <f>IF($A243,$J243*(IF(X243=regle!$B$11,regle!$B$23*IF(AQ243=-2,1+regle!$B$35,1),
IF(X243=regle!$C$11,regle!$C$23,
IF(X243=regle!$D$11,regle!$D$23,
IF(X243=regle!$E$11,regle!$E$23,
IF(X243=regle!$F$11,regle!$F$23,
IF(X243=regle!$G$11,regle!$G$23,
IF(X243=regle!$H$11,regle!$H$23,
IF(X243=regle!$I$11,regle!$I$23,
IF(X243=regle!$J$11,regle!$J$23,
IF(X243=regle!$K$11,regle!$K$23,0))))))))))))</f>
        <v>24215.628799999999</v>
      </c>
      <c r="AI243" s="17">
        <f>IF($A243,$J243*(IF(Y243=regle!$B$11,regle!$B$23*IF(AR243=-2,1+regle!$B$35,1),
IF(Y243=regle!$C$11,regle!$C$23,
IF(Y243=regle!$D$11,regle!$D$23,
IF(Y243=regle!$E$11,regle!$E$23,
IF(Y243=regle!$F$11,regle!$F$23,
IF(Y243=regle!$G$11,regle!$G$23,
IF(Y243=regle!$H$11,regle!$H$23,
IF(Y243=regle!$I$11,regle!$I$23,
IF(Y243=regle!$J$11,regle!$J$23,
IF(Y243=regle!$K$11,regle!$K$23,0))))))))))))</f>
        <v>0</v>
      </c>
      <c r="AJ243" s="17">
        <f>IF($A243,$J243*(IF(Z243=regle!$B$11,regle!$B$23*IF(AS243=-2,1+regle!$B$35,1),
IF(Z243=regle!$C$11,regle!$C$23,
IF(Z243=regle!$D$11,regle!$D$23,
IF(Z243=regle!$E$11,regle!$E$23,
IF(Z243=regle!$F$11,regle!$F$23,
IF(Z243=regle!$G$11,regle!$G$23,
IF(Z243=regle!$H$11,regle!$H$23,
IF(Z243=regle!$I$11,regle!$I$23,
IF(Z243=regle!$J$11,regle!$J$23,
IF(Z243=regle!$K$11,regle!$K$23,0))))))))))))</f>
        <v>0</v>
      </c>
      <c r="AK243" s="16">
        <f>IF(OR(Q243=regle!$J$11,Q243=regle!$K$11),-2,IF(Q243=regle!$B$11,0,IF(AK$1=$AK$1,IF($O243,-1,regle!$B$2-$M243),IF(AJ243=-1,-1,AJ243+1))))</f>
        <v>15</v>
      </c>
      <c r="AL243" s="16">
        <f>IF(OR(R243=regle!$J$11,R243=regle!$K$11),-2,IF(R243=regle!$B$11,0,IF(AL$1=$AK$1,IF($O243,-1,regle!$B$2-$M243),IF(AK243=-1,-1,AK243+1))))</f>
        <v>16</v>
      </c>
      <c r="AM243" s="16">
        <f>IF(OR(S243=regle!$J$11,S243=regle!$K$11),-2,IF(S243=regle!$B$11,0,IF(AM$1=$AK$1,IF($O243,-1,regle!$B$2-$M243),IF(AL243=-1,-1,AL243+1))))</f>
        <v>17</v>
      </c>
      <c r="AN243" s="16">
        <f>IF(OR(T243=regle!$J$11,T243=regle!$K$11),-2,IF(T243=regle!$B$11,0,IF(AN$1=$AK$1,IF($O243,-1,regle!$B$2-$M243),IF(AM243=-1,-1,AM243+1))))</f>
        <v>18</v>
      </c>
      <c r="AO243" s="16">
        <f>IF(OR(U243=regle!$J$11,U243=regle!$K$11),-2,IF(U243=regle!$B$11,0,IF(AO$1=$AK$1,IF($O243,-1,regle!$B$2-$M243),IF(AN243=-1,-1,AN243+1))))</f>
        <v>19</v>
      </c>
      <c r="AP243" s="16">
        <f>IF(OR(V243=regle!$J$11,V243=regle!$K$11),-2,IF(V243=regle!$B$11,0,IF(AP$1=$AK$1,IF($O243,-1,regle!$B$2-$M243),IF(AO243=-1,-1,AO243+1))))</f>
        <v>20</v>
      </c>
      <c r="AQ243" s="16">
        <f>IF(OR(W243=regle!$J$11,W243=regle!$K$11),-2,IF(W243=regle!$B$11,0,IF(AQ$1=$AK$1,IF($O243,-1,regle!$B$2-$M243),IF(AP243=-1,-1,AP243+1))))</f>
        <v>21</v>
      </c>
      <c r="AR243" s="16">
        <f>IF(OR(X243=regle!$J$11,X243=regle!$K$11),-2,IF(X243=regle!$B$11,0,IF(AR$1=$AK$1,IF($O243,-1,regle!$B$2-$M243),IF(AQ243=-1,-1,AQ243+1))))</f>
        <v>22</v>
      </c>
      <c r="AS243" s="16">
        <f>IF(OR(Y243=regle!$J$11,Y243=regle!$K$11),-2,IF(Y243=regle!$B$11,0,IF(AS$1=$AK$1,IF($O243,-1,regle!$B$2-$M243),IF(AR243=-1,-1,AR243+1))))</f>
        <v>23</v>
      </c>
      <c r="AT243" s="16">
        <f>IF(OR(Z243=regle!$J$11,Z243=regle!$K$11),-2,IF(Z243=regle!$B$11,0,IF(AT$1=$AK$1,IF($O243,-1,regle!$B$2-$M243),IF(AS243=-1,-1,AS243+1))))</f>
        <v>24</v>
      </c>
    </row>
    <row r="244" spans="1:46" x14ac:dyDescent="0.25">
      <c r="A244" t="b">
        <f>modif0!A37</f>
        <v>1</v>
      </c>
      <c r="B244">
        <f>ROW(modif0!B37)</f>
        <v>37</v>
      </c>
      <c r="C244" t="str">
        <f>modif0!D37</f>
        <v>536</v>
      </c>
      <c r="D244" t="str">
        <f>modif0!E37</f>
        <v>LE TUZAN</v>
      </c>
      <c r="E244">
        <f>modif0!F37</f>
        <v>21</v>
      </c>
      <c r="F244" t="str">
        <f>modif0!G37</f>
        <v>METAIRIES DE TABARTON</v>
      </c>
      <c r="G244" t="str">
        <f>modif0!I37</f>
        <v>0A</v>
      </c>
      <c r="H244">
        <f>modif0!J37</f>
        <v>416</v>
      </c>
      <c r="I244" t="str">
        <f>modif0!K37</f>
        <v>kj</v>
      </c>
      <c r="J244" s="11">
        <f>modif0!M37</f>
        <v>7.5682999999999998</v>
      </c>
      <c r="K244" s="11" t="str">
        <f>modif0!P37</f>
        <v>PLA</v>
      </c>
      <c r="L244" t="str">
        <f>modif0!N37</f>
        <v>PM</v>
      </c>
      <c r="M244">
        <f>modif0!Q37</f>
        <v>2009</v>
      </c>
      <c r="N244" t="str">
        <f>modif0!R37</f>
        <v>PLA-PM_2009</v>
      </c>
      <c r="O244" t="b">
        <f>modif0!S37</f>
        <v>0</v>
      </c>
      <c r="P244">
        <v>40</v>
      </c>
      <c r="S244" t="s">
        <v>1804</v>
      </c>
      <c r="X244" t="s">
        <v>1805</v>
      </c>
      <c r="AA244" s="17">
        <f>IF($A244,$J244*(IF(Q244=regle!$B$11,regle!$B$23*IF(AJ244=-2,1+regle!$B$35,1),
IF(Q244=regle!$C$11,regle!$C$23,
IF(Q244=regle!$D$11,regle!$D$23,
IF(Q244=regle!$E$11,regle!$E$23,
IF(Q244=regle!$F$11,regle!$F$23,
IF(Q244=regle!$G$11,regle!$G$23,
IF(Q244=regle!$H$11,regle!$H$23,
IF(Q244=regle!$I$11,regle!$I$23,
IF(Q244=regle!$J$11,regle!$J$23,
IF(Q244=regle!$K$11,regle!$K$23,0))))))))))))</f>
        <v>0</v>
      </c>
      <c r="AB244" s="17">
        <f>IF($A244,$J244*(IF(R244=regle!$B$11,regle!$B$23*IF(AK244=-2,1+regle!$B$35,1),
IF(R244=regle!$C$11,regle!$C$23,
IF(R244=regle!$D$11,regle!$D$23,
IF(R244=regle!$E$11,regle!$E$23,
IF(R244=regle!$F$11,regle!$F$23,
IF(R244=regle!$G$11,regle!$G$23,
IF(R244=regle!$H$11,regle!$H$23,
IF(R244=regle!$I$11,regle!$I$23,
IF(R244=regle!$J$11,regle!$J$23,
IF(R244=regle!$K$11,regle!$K$23,0))))))))))))</f>
        <v>0</v>
      </c>
      <c r="AC244" s="17">
        <f>IF($A244,$J244*(IF(S244=regle!$B$11,regle!$B$23*IF(AL244=-2,1+regle!$B$35,1),
IF(S244=regle!$C$11,regle!$C$23,
IF(S244=regle!$D$11,regle!$D$23,
IF(S244=regle!$E$11,regle!$E$23,
IF(S244=regle!$F$11,regle!$F$23,
IF(S244=regle!$G$11,regle!$G$23,
IF(S244=regle!$H$11,regle!$H$23,
IF(S244=regle!$I$11,regle!$I$23,
IF(S244=regle!$J$11,regle!$J$23,
IF(S244=regle!$K$11,regle!$K$23,0))))))))))))</f>
        <v>6357.3719999999994</v>
      </c>
      <c r="AD244" s="17">
        <f>IF($A244,$J244*(IF(T244=regle!$B$11,regle!$B$23*IF(AM244=-2,1+regle!$B$35,1),
IF(T244=regle!$C$11,regle!$C$23,
IF(T244=regle!$D$11,regle!$D$23,
IF(T244=regle!$E$11,regle!$E$23,
IF(T244=regle!$F$11,regle!$F$23,
IF(T244=regle!$G$11,regle!$G$23,
IF(T244=regle!$H$11,regle!$H$23,
IF(T244=regle!$I$11,regle!$I$23,
IF(T244=regle!$J$11,regle!$J$23,
IF(T244=regle!$K$11,regle!$K$23,0))))))))))))</f>
        <v>0</v>
      </c>
      <c r="AE244" s="17">
        <f>IF($A244,$J244*(IF(U244=regle!$B$11,regle!$B$23*IF(AN244=-2,1+regle!$B$35,1),
IF(U244=regle!$C$11,regle!$C$23,
IF(U244=regle!$D$11,regle!$D$23,
IF(U244=regle!$E$11,regle!$E$23,
IF(U244=regle!$F$11,regle!$F$23,
IF(U244=regle!$G$11,regle!$G$23,
IF(U244=regle!$H$11,regle!$H$23,
IF(U244=regle!$I$11,regle!$I$23,
IF(U244=regle!$J$11,regle!$J$23,
IF(U244=regle!$K$11,regle!$K$23,0))))))))))))</f>
        <v>0</v>
      </c>
      <c r="AF244" s="17">
        <f>IF($A244,$J244*(IF(V244=regle!$B$11,regle!$B$23*IF(AO244=-2,1+regle!$B$35,1),
IF(V244=regle!$C$11,regle!$C$23,
IF(V244=regle!$D$11,regle!$D$23,
IF(V244=regle!$E$11,regle!$E$23,
IF(V244=regle!$F$11,regle!$F$23,
IF(V244=regle!$G$11,regle!$G$23,
IF(V244=regle!$H$11,regle!$H$23,
IF(V244=regle!$I$11,regle!$I$23,
IF(V244=regle!$J$11,regle!$J$23,
IF(V244=regle!$K$11,regle!$K$23,0))))))))))))</f>
        <v>0</v>
      </c>
      <c r="AG244" s="17">
        <f>IF($A244,$J244*(IF(W244=regle!$B$11,regle!$B$23*IF(AP244=-2,1+regle!$B$35,1),
IF(W244=regle!$C$11,regle!$C$23,
IF(W244=regle!$D$11,regle!$D$23,
IF(W244=regle!$E$11,regle!$E$23,
IF(W244=regle!$F$11,regle!$F$23,
IF(W244=regle!$G$11,regle!$G$23,
IF(W244=regle!$H$11,regle!$H$23,
IF(W244=regle!$I$11,regle!$I$23,
IF(W244=regle!$J$11,regle!$J$23,
IF(W244=regle!$K$11,regle!$K$23,0))))))))))))</f>
        <v>0</v>
      </c>
      <c r="AH244" s="17">
        <f>IF($A244,$J244*(IF(X244=regle!$B$11,regle!$B$23*IF(AQ244=-2,1+regle!$B$35,1),
IF(X244=regle!$C$11,regle!$C$23,
IF(X244=regle!$D$11,regle!$D$23,
IF(X244=regle!$E$11,regle!$E$23,
IF(X244=regle!$F$11,regle!$F$23,
IF(X244=regle!$G$11,regle!$G$23,
IF(X244=regle!$H$11,regle!$H$23,
IF(X244=regle!$I$11,regle!$I$23,
IF(X244=regle!$J$11,regle!$J$23,
IF(X244=regle!$K$11,regle!$K$23,0))))))))))))</f>
        <v>10656.1664</v>
      </c>
      <c r="AI244" s="17">
        <f>IF($A244,$J244*(IF(Y244=regle!$B$11,regle!$B$23*IF(AR244=-2,1+regle!$B$35,1),
IF(Y244=regle!$C$11,regle!$C$23,
IF(Y244=regle!$D$11,regle!$D$23,
IF(Y244=regle!$E$11,regle!$E$23,
IF(Y244=regle!$F$11,regle!$F$23,
IF(Y244=regle!$G$11,regle!$G$23,
IF(Y244=regle!$H$11,regle!$H$23,
IF(Y244=regle!$I$11,regle!$I$23,
IF(Y244=regle!$J$11,regle!$J$23,
IF(Y244=regle!$K$11,regle!$K$23,0))))))))))))</f>
        <v>0</v>
      </c>
      <c r="AJ244" s="17">
        <f>IF($A244,$J244*(IF(Z244=regle!$B$11,regle!$B$23*IF(AS244=-2,1+regle!$B$35,1),
IF(Z244=regle!$C$11,regle!$C$23,
IF(Z244=regle!$D$11,regle!$D$23,
IF(Z244=regle!$E$11,regle!$E$23,
IF(Z244=regle!$F$11,regle!$F$23,
IF(Z244=regle!$G$11,regle!$G$23,
IF(Z244=regle!$H$11,regle!$H$23,
IF(Z244=regle!$I$11,regle!$I$23,
IF(Z244=regle!$J$11,regle!$J$23,
IF(Z244=regle!$K$11,regle!$K$23,0))))))))))))</f>
        <v>0</v>
      </c>
      <c r="AK244" s="16">
        <f>IF(OR(Q244=regle!$J$11,Q244=regle!$K$11),-2,IF(Q244=regle!$B$11,0,IF(AK$1=$AK$1,IF($O244,-1,regle!$B$2-$M244),IF(AJ244=-1,-1,AJ244+1))))</f>
        <v>15</v>
      </c>
      <c r="AL244" s="16">
        <f>IF(OR(R244=regle!$J$11,R244=regle!$K$11),-2,IF(R244=regle!$B$11,0,IF(AL$1=$AK$1,IF($O244,-1,regle!$B$2-$M244),IF(AK244=-1,-1,AK244+1))))</f>
        <v>16</v>
      </c>
      <c r="AM244" s="16">
        <f>IF(OR(S244=regle!$J$11,S244=regle!$K$11),-2,IF(S244=regle!$B$11,0,IF(AM$1=$AK$1,IF($O244,-1,regle!$B$2-$M244),IF(AL244=-1,-1,AL244+1))))</f>
        <v>17</v>
      </c>
      <c r="AN244" s="16">
        <f>IF(OR(T244=regle!$J$11,T244=regle!$K$11),-2,IF(T244=regle!$B$11,0,IF(AN$1=$AK$1,IF($O244,-1,regle!$B$2-$M244),IF(AM244=-1,-1,AM244+1))))</f>
        <v>18</v>
      </c>
      <c r="AO244" s="16">
        <f>IF(OR(U244=regle!$J$11,U244=regle!$K$11),-2,IF(U244=regle!$B$11,0,IF(AO$1=$AK$1,IF($O244,-1,regle!$B$2-$M244),IF(AN244=-1,-1,AN244+1))))</f>
        <v>19</v>
      </c>
      <c r="AP244" s="16">
        <f>IF(OR(V244=regle!$J$11,V244=regle!$K$11),-2,IF(V244=regle!$B$11,0,IF(AP$1=$AK$1,IF($O244,-1,regle!$B$2-$M244),IF(AO244=-1,-1,AO244+1))))</f>
        <v>20</v>
      </c>
      <c r="AQ244" s="16">
        <f>IF(OR(W244=regle!$J$11,W244=regle!$K$11),-2,IF(W244=regle!$B$11,0,IF(AQ$1=$AK$1,IF($O244,-1,regle!$B$2-$M244),IF(AP244=-1,-1,AP244+1))))</f>
        <v>21</v>
      </c>
      <c r="AR244" s="16">
        <f>IF(OR(X244=regle!$J$11,X244=regle!$K$11),-2,IF(X244=regle!$B$11,0,IF(AR$1=$AK$1,IF($O244,-1,regle!$B$2-$M244),IF(AQ244=-1,-1,AQ244+1))))</f>
        <v>22</v>
      </c>
      <c r="AS244" s="16">
        <f>IF(OR(Y244=regle!$J$11,Y244=regle!$K$11),-2,IF(Y244=regle!$B$11,0,IF(AS$1=$AK$1,IF($O244,-1,regle!$B$2-$M244),IF(AR244=-1,-1,AR244+1))))</f>
        <v>23</v>
      </c>
      <c r="AT244" s="16">
        <f>IF(OR(Z244=regle!$J$11,Z244=regle!$K$11),-2,IF(Z244=regle!$B$11,0,IF(AT$1=$AK$1,IF($O244,-1,regle!$B$2-$M244),IF(AS244=-1,-1,AS244+1))))</f>
        <v>24</v>
      </c>
    </row>
    <row r="245" spans="1:46" x14ac:dyDescent="0.25">
      <c r="A245" t="b">
        <f>modif0!A18</f>
        <v>1</v>
      </c>
      <c r="B245">
        <f>ROW(modif0!B18)</f>
        <v>18</v>
      </c>
      <c r="C245" t="str">
        <f>modif0!D18</f>
        <v>536</v>
      </c>
      <c r="D245" t="str">
        <f>modif0!E18</f>
        <v>LE TUZAN</v>
      </c>
      <c r="E245">
        <f>modif0!F18</f>
        <v>11</v>
      </c>
      <c r="F245" t="str">
        <f>modif0!G18</f>
        <v>LA HONTEYRE</v>
      </c>
      <c r="G245" t="str">
        <f>modif0!I18</f>
        <v>0A</v>
      </c>
      <c r="H245">
        <f>modif0!J18</f>
        <v>259</v>
      </c>
      <c r="I245" t="str">
        <f>modif0!K18</f>
        <v/>
      </c>
      <c r="J245" s="11">
        <f>modif0!M18</f>
        <v>1.891</v>
      </c>
      <c r="K245" s="11" t="str">
        <f>modif0!P18</f>
        <v>SN</v>
      </c>
      <c r="L245" t="str">
        <f>modif0!N18</f>
        <v>PM</v>
      </c>
      <c r="M245">
        <f>modif0!Q18</f>
        <v>2009</v>
      </c>
      <c r="N245" t="str">
        <f>modif0!R18</f>
        <v>SN-PM_2009</v>
      </c>
      <c r="O245" t="b">
        <f>modif0!S18</f>
        <v>0</v>
      </c>
      <c r="P245">
        <v>40</v>
      </c>
      <c r="S245" t="s">
        <v>1804</v>
      </c>
      <c r="X245" t="s">
        <v>1805</v>
      </c>
      <c r="AA245" s="17">
        <f>IF($A245,$J245*(IF(Q245=regle!$B$11,regle!$B$23*IF(AJ245=-2,1+regle!$B$35,1),
IF(Q245=regle!$C$11,regle!$C$23,
IF(Q245=regle!$D$11,regle!$D$23,
IF(Q245=regle!$E$11,regle!$E$23,
IF(Q245=regle!$F$11,regle!$F$23,
IF(Q245=regle!$G$11,regle!$G$23,
IF(Q245=regle!$H$11,regle!$H$23,
IF(Q245=regle!$I$11,regle!$I$23,
IF(Q245=regle!$J$11,regle!$J$23,
IF(Q245=regle!$K$11,regle!$K$23,0))))))))))))</f>
        <v>0</v>
      </c>
      <c r="AB245" s="17">
        <f>IF($A245,$J245*(IF(R245=regle!$B$11,regle!$B$23*IF(AK245=-2,1+regle!$B$35,1),
IF(R245=regle!$C$11,regle!$C$23,
IF(R245=regle!$D$11,regle!$D$23,
IF(R245=regle!$E$11,regle!$E$23,
IF(R245=regle!$F$11,regle!$F$23,
IF(R245=regle!$G$11,regle!$G$23,
IF(R245=regle!$H$11,regle!$H$23,
IF(R245=regle!$I$11,regle!$I$23,
IF(R245=regle!$J$11,regle!$J$23,
IF(R245=regle!$K$11,regle!$K$23,0))))))))))))</f>
        <v>0</v>
      </c>
      <c r="AC245" s="17">
        <f>IF($A245,$J245*(IF(S245=regle!$B$11,regle!$B$23*IF(AL245=-2,1+regle!$B$35,1),
IF(S245=regle!$C$11,regle!$C$23,
IF(S245=regle!$D$11,regle!$D$23,
IF(S245=regle!$E$11,regle!$E$23,
IF(S245=regle!$F$11,regle!$F$23,
IF(S245=regle!$G$11,regle!$G$23,
IF(S245=regle!$H$11,regle!$H$23,
IF(S245=regle!$I$11,regle!$I$23,
IF(S245=regle!$J$11,regle!$J$23,
IF(S245=regle!$K$11,regle!$K$23,0))))))))))))</f>
        <v>1588.44</v>
      </c>
      <c r="AD245" s="17">
        <f>IF($A245,$J245*(IF(T245=regle!$B$11,regle!$B$23*IF(AM245=-2,1+regle!$B$35,1),
IF(T245=regle!$C$11,regle!$C$23,
IF(T245=regle!$D$11,regle!$D$23,
IF(T245=regle!$E$11,regle!$E$23,
IF(T245=regle!$F$11,regle!$F$23,
IF(T245=regle!$G$11,regle!$G$23,
IF(T245=regle!$H$11,regle!$H$23,
IF(T245=regle!$I$11,regle!$I$23,
IF(T245=regle!$J$11,regle!$J$23,
IF(T245=regle!$K$11,regle!$K$23,0))))))))))))</f>
        <v>0</v>
      </c>
      <c r="AE245" s="17">
        <f>IF($A245,$J245*(IF(U245=regle!$B$11,regle!$B$23*IF(AN245=-2,1+regle!$B$35,1),
IF(U245=regle!$C$11,regle!$C$23,
IF(U245=regle!$D$11,regle!$D$23,
IF(U245=regle!$E$11,regle!$E$23,
IF(U245=regle!$F$11,regle!$F$23,
IF(U245=regle!$G$11,regle!$G$23,
IF(U245=regle!$H$11,regle!$H$23,
IF(U245=regle!$I$11,regle!$I$23,
IF(U245=regle!$J$11,regle!$J$23,
IF(U245=regle!$K$11,regle!$K$23,0))))))))))))</f>
        <v>0</v>
      </c>
      <c r="AF245" s="17">
        <f>IF($A245,$J245*(IF(V245=regle!$B$11,regle!$B$23*IF(AO245=-2,1+regle!$B$35,1),
IF(V245=regle!$C$11,regle!$C$23,
IF(V245=regle!$D$11,regle!$D$23,
IF(V245=regle!$E$11,regle!$E$23,
IF(V245=regle!$F$11,regle!$F$23,
IF(V245=regle!$G$11,regle!$G$23,
IF(V245=regle!$H$11,regle!$H$23,
IF(V245=regle!$I$11,regle!$I$23,
IF(V245=regle!$J$11,regle!$J$23,
IF(V245=regle!$K$11,regle!$K$23,0))))))))))))</f>
        <v>0</v>
      </c>
      <c r="AG245" s="17">
        <f>IF($A245,$J245*(IF(W245=regle!$B$11,regle!$B$23*IF(AP245=-2,1+regle!$B$35,1),
IF(W245=regle!$C$11,regle!$C$23,
IF(W245=regle!$D$11,regle!$D$23,
IF(W245=regle!$E$11,regle!$E$23,
IF(W245=regle!$F$11,regle!$F$23,
IF(W245=regle!$G$11,regle!$G$23,
IF(W245=regle!$H$11,regle!$H$23,
IF(W245=regle!$I$11,regle!$I$23,
IF(W245=regle!$J$11,regle!$J$23,
IF(W245=regle!$K$11,regle!$K$23,0))))))))))))</f>
        <v>0</v>
      </c>
      <c r="AH245" s="17">
        <f>IF($A245,$J245*(IF(X245=regle!$B$11,regle!$B$23*IF(AQ245=-2,1+regle!$B$35,1),
IF(X245=regle!$C$11,regle!$C$23,
IF(X245=regle!$D$11,regle!$D$23,
IF(X245=regle!$E$11,regle!$E$23,
IF(X245=regle!$F$11,regle!$F$23,
IF(X245=regle!$G$11,regle!$G$23,
IF(X245=regle!$H$11,regle!$H$23,
IF(X245=regle!$I$11,regle!$I$23,
IF(X245=regle!$J$11,regle!$J$23,
IF(X245=regle!$K$11,regle!$K$23,0))))))))))))</f>
        <v>2662.5280000000002</v>
      </c>
      <c r="AI245" s="17">
        <f>IF($A245,$J245*(IF(Y245=regle!$B$11,regle!$B$23*IF(AR245=-2,1+regle!$B$35,1),
IF(Y245=regle!$C$11,regle!$C$23,
IF(Y245=regle!$D$11,regle!$D$23,
IF(Y245=regle!$E$11,regle!$E$23,
IF(Y245=regle!$F$11,regle!$F$23,
IF(Y245=regle!$G$11,regle!$G$23,
IF(Y245=regle!$H$11,regle!$H$23,
IF(Y245=regle!$I$11,regle!$I$23,
IF(Y245=regle!$J$11,regle!$J$23,
IF(Y245=regle!$K$11,regle!$K$23,0))))))))))))</f>
        <v>0</v>
      </c>
      <c r="AJ245" s="17">
        <f>IF($A245,$J245*(IF(Z245=regle!$B$11,regle!$B$23*IF(AS245=-2,1+regle!$B$35,1),
IF(Z245=regle!$C$11,regle!$C$23,
IF(Z245=regle!$D$11,regle!$D$23,
IF(Z245=regle!$E$11,regle!$E$23,
IF(Z245=regle!$F$11,regle!$F$23,
IF(Z245=regle!$G$11,regle!$G$23,
IF(Z245=regle!$H$11,regle!$H$23,
IF(Z245=regle!$I$11,regle!$I$23,
IF(Z245=regle!$J$11,regle!$J$23,
IF(Z245=regle!$K$11,regle!$K$23,0))))))))))))</f>
        <v>0</v>
      </c>
      <c r="AK245" s="16">
        <f>IF(OR(Q245=regle!$J$11,Q245=regle!$K$11),-2,IF(Q245=regle!$B$11,0,IF(AK$1=$AK$1,IF($O245,-1,regle!$B$2-$M245),IF(AJ245=-1,-1,AJ245+1))))</f>
        <v>15</v>
      </c>
      <c r="AL245" s="16">
        <f>IF(OR(R245=regle!$J$11,R245=regle!$K$11),-2,IF(R245=regle!$B$11,0,IF(AL$1=$AK$1,IF($O245,-1,regle!$B$2-$M245),IF(AK245=-1,-1,AK245+1))))</f>
        <v>16</v>
      </c>
      <c r="AM245" s="16">
        <f>IF(OR(S245=regle!$J$11,S245=regle!$K$11),-2,IF(S245=regle!$B$11,0,IF(AM$1=$AK$1,IF($O245,-1,regle!$B$2-$M245),IF(AL245=-1,-1,AL245+1))))</f>
        <v>17</v>
      </c>
      <c r="AN245" s="16">
        <f>IF(OR(T245=regle!$J$11,T245=regle!$K$11),-2,IF(T245=regle!$B$11,0,IF(AN$1=$AK$1,IF($O245,-1,regle!$B$2-$M245),IF(AM245=-1,-1,AM245+1))))</f>
        <v>18</v>
      </c>
      <c r="AO245" s="16">
        <f>IF(OR(U245=regle!$J$11,U245=regle!$K$11),-2,IF(U245=regle!$B$11,0,IF(AO$1=$AK$1,IF($O245,-1,regle!$B$2-$M245),IF(AN245=-1,-1,AN245+1))))</f>
        <v>19</v>
      </c>
      <c r="AP245" s="16">
        <f>IF(OR(V245=regle!$J$11,V245=regle!$K$11),-2,IF(V245=regle!$B$11,0,IF(AP$1=$AK$1,IF($O245,-1,regle!$B$2-$M245),IF(AO245=-1,-1,AO245+1))))</f>
        <v>20</v>
      </c>
      <c r="AQ245" s="16">
        <f>IF(OR(W245=regle!$J$11,W245=regle!$K$11),-2,IF(W245=regle!$B$11,0,IF(AQ$1=$AK$1,IF($O245,-1,regle!$B$2-$M245),IF(AP245=-1,-1,AP245+1))))</f>
        <v>21</v>
      </c>
      <c r="AR245" s="16">
        <f>IF(OR(X245=regle!$J$11,X245=regle!$K$11),-2,IF(X245=regle!$B$11,0,IF(AR$1=$AK$1,IF($O245,-1,regle!$B$2-$M245),IF(AQ245=-1,-1,AQ245+1))))</f>
        <v>22</v>
      </c>
      <c r="AS245" s="16">
        <f>IF(OR(Y245=regle!$J$11,Y245=regle!$K$11),-2,IF(Y245=regle!$B$11,0,IF(AS$1=$AK$1,IF($O245,-1,regle!$B$2-$M245),IF(AR245=-1,-1,AR245+1))))</f>
        <v>23</v>
      </c>
      <c r="AT245" s="16">
        <f>IF(OR(Z245=regle!$J$11,Z245=regle!$K$11),-2,IF(Z245=regle!$B$11,0,IF(AT$1=$AK$1,IF($O245,-1,regle!$B$2-$M245),IF(AS245=-1,-1,AS245+1))))</f>
        <v>24</v>
      </c>
    </row>
    <row r="246" spans="1:46" x14ac:dyDescent="0.25">
      <c r="A246" t="b">
        <f>modif0!A38</f>
        <v>1</v>
      </c>
      <c r="B246">
        <f>ROW(modif0!B38)</f>
        <v>38</v>
      </c>
      <c r="C246" t="str">
        <f>modif0!D38</f>
        <v>536</v>
      </c>
      <c r="D246" t="str">
        <f>modif0!E38</f>
        <v>LE TUZAN</v>
      </c>
      <c r="E246">
        <f>modif0!F38</f>
        <v>21</v>
      </c>
      <c r="F246" t="str">
        <f>modif0!G38</f>
        <v>METAIRIES DE TABARTON</v>
      </c>
      <c r="G246" t="str">
        <f>modif0!I38</f>
        <v>0A</v>
      </c>
      <c r="H246">
        <f>modif0!J38</f>
        <v>418</v>
      </c>
      <c r="I246" t="str">
        <f>modif0!K38</f>
        <v/>
      </c>
      <c r="J246" s="11">
        <f>modif0!M38</f>
        <v>1.0900000000000001</v>
      </c>
      <c r="K246" s="11" t="str">
        <f>modif0!P38</f>
        <v>PLA</v>
      </c>
      <c r="L246" t="str">
        <f>modif0!N38</f>
        <v>PM</v>
      </c>
      <c r="M246">
        <f>modif0!Q38</f>
        <v>2009</v>
      </c>
      <c r="N246" t="str">
        <f>modif0!R38</f>
        <v>PLA-PM_2009</v>
      </c>
      <c r="O246" t="b">
        <f>modif0!S38</f>
        <v>0</v>
      </c>
      <c r="P246">
        <v>40</v>
      </c>
      <c r="S246" t="s">
        <v>1804</v>
      </c>
      <c r="X246" t="s">
        <v>1805</v>
      </c>
      <c r="AA246" s="17">
        <f>IF($A246,$J246*(IF(Q246=regle!$B$11,regle!$B$23*IF(AJ246=-2,1+regle!$B$35,1),
IF(Q246=regle!$C$11,regle!$C$23,
IF(Q246=regle!$D$11,regle!$D$23,
IF(Q246=regle!$E$11,regle!$E$23,
IF(Q246=regle!$F$11,regle!$F$23,
IF(Q246=regle!$G$11,regle!$G$23,
IF(Q246=regle!$H$11,regle!$H$23,
IF(Q246=regle!$I$11,regle!$I$23,
IF(Q246=regle!$J$11,regle!$J$23,
IF(Q246=regle!$K$11,regle!$K$23,0))))))))))))</f>
        <v>0</v>
      </c>
      <c r="AB246" s="17">
        <f>IF($A246,$J246*(IF(R246=regle!$B$11,regle!$B$23*IF(AK246=-2,1+regle!$B$35,1),
IF(R246=regle!$C$11,regle!$C$23,
IF(R246=regle!$D$11,regle!$D$23,
IF(R246=regle!$E$11,regle!$E$23,
IF(R246=regle!$F$11,regle!$F$23,
IF(R246=regle!$G$11,regle!$G$23,
IF(R246=regle!$H$11,regle!$H$23,
IF(R246=regle!$I$11,regle!$I$23,
IF(R246=regle!$J$11,regle!$J$23,
IF(R246=regle!$K$11,regle!$K$23,0))))))))))))</f>
        <v>0</v>
      </c>
      <c r="AC246" s="17">
        <f>IF($A246,$J246*(IF(S246=regle!$B$11,regle!$B$23*IF(AL246=-2,1+regle!$B$35,1),
IF(S246=regle!$C$11,regle!$C$23,
IF(S246=regle!$D$11,regle!$D$23,
IF(S246=regle!$E$11,regle!$E$23,
IF(S246=regle!$F$11,regle!$F$23,
IF(S246=regle!$G$11,regle!$G$23,
IF(S246=regle!$H$11,regle!$H$23,
IF(S246=regle!$I$11,regle!$I$23,
IF(S246=regle!$J$11,regle!$J$23,
IF(S246=regle!$K$11,regle!$K$23,0))))))))))))</f>
        <v>915.6</v>
      </c>
      <c r="AD246" s="17">
        <f>IF($A246,$J246*(IF(T246=regle!$B$11,regle!$B$23*IF(AM246=-2,1+regle!$B$35,1),
IF(T246=regle!$C$11,regle!$C$23,
IF(T246=regle!$D$11,regle!$D$23,
IF(T246=regle!$E$11,regle!$E$23,
IF(T246=regle!$F$11,regle!$F$23,
IF(T246=regle!$G$11,regle!$G$23,
IF(T246=regle!$H$11,regle!$H$23,
IF(T246=regle!$I$11,regle!$I$23,
IF(T246=regle!$J$11,regle!$J$23,
IF(T246=regle!$K$11,regle!$K$23,0))))))))))))</f>
        <v>0</v>
      </c>
      <c r="AE246" s="17">
        <f>IF($A246,$J246*(IF(U246=regle!$B$11,regle!$B$23*IF(AN246=-2,1+regle!$B$35,1),
IF(U246=regle!$C$11,regle!$C$23,
IF(U246=regle!$D$11,regle!$D$23,
IF(U246=regle!$E$11,regle!$E$23,
IF(U246=regle!$F$11,regle!$F$23,
IF(U246=regle!$G$11,regle!$G$23,
IF(U246=regle!$H$11,regle!$H$23,
IF(U246=regle!$I$11,regle!$I$23,
IF(U246=regle!$J$11,regle!$J$23,
IF(U246=regle!$K$11,regle!$K$23,0))))))))))))</f>
        <v>0</v>
      </c>
      <c r="AF246" s="17">
        <f>IF($A246,$J246*(IF(V246=regle!$B$11,regle!$B$23*IF(AO246=-2,1+regle!$B$35,1),
IF(V246=regle!$C$11,regle!$C$23,
IF(V246=regle!$D$11,regle!$D$23,
IF(V246=regle!$E$11,regle!$E$23,
IF(V246=regle!$F$11,regle!$F$23,
IF(V246=regle!$G$11,regle!$G$23,
IF(V246=regle!$H$11,regle!$H$23,
IF(V246=regle!$I$11,regle!$I$23,
IF(V246=regle!$J$11,regle!$J$23,
IF(V246=regle!$K$11,regle!$K$23,0))))))))))))</f>
        <v>0</v>
      </c>
      <c r="AG246" s="17">
        <f>IF($A246,$J246*(IF(W246=regle!$B$11,regle!$B$23*IF(AP246=-2,1+regle!$B$35,1),
IF(W246=regle!$C$11,regle!$C$23,
IF(W246=regle!$D$11,regle!$D$23,
IF(W246=regle!$E$11,regle!$E$23,
IF(W246=regle!$F$11,regle!$F$23,
IF(W246=regle!$G$11,regle!$G$23,
IF(W246=regle!$H$11,regle!$H$23,
IF(W246=regle!$I$11,regle!$I$23,
IF(W246=regle!$J$11,regle!$J$23,
IF(W246=regle!$K$11,regle!$K$23,0))))))))))))</f>
        <v>0</v>
      </c>
      <c r="AH246" s="17">
        <f>IF($A246,$J246*(IF(X246=regle!$B$11,regle!$B$23*IF(AQ246=-2,1+regle!$B$35,1),
IF(X246=regle!$C$11,regle!$C$23,
IF(X246=regle!$D$11,regle!$D$23,
IF(X246=regle!$E$11,regle!$E$23,
IF(X246=regle!$F$11,regle!$F$23,
IF(X246=regle!$G$11,regle!$G$23,
IF(X246=regle!$H$11,regle!$H$23,
IF(X246=regle!$I$11,regle!$I$23,
IF(X246=regle!$J$11,regle!$J$23,
IF(X246=regle!$K$11,regle!$K$23,0))))))))))))</f>
        <v>1534.72</v>
      </c>
      <c r="AI246" s="17">
        <f>IF($A246,$J246*(IF(Y246=regle!$B$11,regle!$B$23*IF(AR246=-2,1+regle!$B$35,1),
IF(Y246=regle!$C$11,regle!$C$23,
IF(Y246=regle!$D$11,regle!$D$23,
IF(Y246=regle!$E$11,regle!$E$23,
IF(Y246=regle!$F$11,regle!$F$23,
IF(Y246=regle!$G$11,regle!$G$23,
IF(Y246=regle!$H$11,regle!$H$23,
IF(Y246=regle!$I$11,regle!$I$23,
IF(Y246=regle!$J$11,regle!$J$23,
IF(Y246=regle!$K$11,regle!$K$23,0))))))))))))</f>
        <v>0</v>
      </c>
      <c r="AJ246" s="17">
        <f>IF($A246,$J246*(IF(Z246=regle!$B$11,regle!$B$23*IF(AS246=-2,1+regle!$B$35,1),
IF(Z246=regle!$C$11,regle!$C$23,
IF(Z246=regle!$D$11,regle!$D$23,
IF(Z246=regle!$E$11,regle!$E$23,
IF(Z246=regle!$F$11,regle!$F$23,
IF(Z246=regle!$G$11,regle!$G$23,
IF(Z246=regle!$H$11,regle!$H$23,
IF(Z246=regle!$I$11,regle!$I$23,
IF(Z246=regle!$J$11,regle!$J$23,
IF(Z246=regle!$K$11,regle!$K$23,0))))))))))))</f>
        <v>0</v>
      </c>
      <c r="AK246" s="16">
        <f>IF(OR(Q246=regle!$J$11,Q246=regle!$K$11),-2,IF(Q246=regle!$B$11,0,IF(AK$1=$AK$1,IF($O246,-1,regle!$B$2-$M246),IF(AJ246=-1,-1,AJ246+1))))</f>
        <v>15</v>
      </c>
      <c r="AL246" s="16">
        <f>IF(OR(R246=regle!$J$11,R246=regle!$K$11),-2,IF(R246=regle!$B$11,0,IF(AL$1=$AK$1,IF($O246,-1,regle!$B$2-$M246),IF(AK246=-1,-1,AK246+1))))</f>
        <v>16</v>
      </c>
      <c r="AM246" s="16">
        <f>IF(OR(S246=regle!$J$11,S246=regle!$K$11),-2,IF(S246=regle!$B$11,0,IF(AM$1=$AK$1,IF($O246,-1,regle!$B$2-$M246),IF(AL246=-1,-1,AL246+1))))</f>
        <v>17</v>
      </c>
      <c r="AN246" s="16">
        <f>IF(OR(T246=regle!$J$11,T246=regle!$K$11),-2,IF(T246=regle!$B$11,0,IF(AN$1=$AK$1,IF($O246,-1,regle!$B$2-$M246),IF(AM246=-1,-1,AM246+1))))</f>
        <v>18</v>
      </c>
      <c r="AO246" s="16">
        <f>IF(OR(U246=regle!$J$11,U246=regle!$K$11),-2,IF(U246=regle!$B$11,0,IF(AO$1=$AK$1,IF($O246,-1,regle!$B$2-$M246),IF(AN246=-1,-1,AN246+1))))</f>
        <v>19</v>
      </c>
      <c r="AP246" s="16">
        <f>IF(OR(V246=regle!$J$11,V246=regle!$K$11),-2,IF(V246=regle!$B$11,0,IF(AP$1=$AK$1,IF($O246,-1,regle!$B$2-$M246),IF(AO246=-1,-1,AO246+1))))</f>
        <v>20</v>
      </c>
      <c r="AQ246" s="16">
        <f>IF(OR(W246=regle!$J$11,W246=regle!$K$11),-2,IF(W246=regle!$B$11,0,IF(AQ$1=$AK$1,IF($O246,-1,regle!$B$2-$M246),IF(AP246=-1,-1,AP246+1))))</f>
        <v>21</v>
      </c>
      <c r="AR246" s="16">
        <f>IF(OR(X246=regle!$J$11,X246=regle!$K$11),-2,IF(X246=regle!$B$11,0,IF(AR$1=$AK$1,IF($O246,-1,regle!$B$2-$M246),IF(AQ246=-1,-1,AQ246+1))))</f>
        <v>22</v>
      </c>
      <c r="AS246" s="16">
        <f>IF(OR(Y246=regle!$J$11,Y246=regle!$K$11),-2,IF(Y246=regle!$B$11,0,IF(AS$1=$AK$1,IF($O246,-1,regle!$B$2-$M246),IF(AR246=-1,-1,AR246+1))))</f>
        <v>23</v>
      </c>
      <c r="AT246" s="16">
        <f>IF(OR(Z246=regle!$J$11,Z246=regle!$K$11),-2,IF(Z246=regle!$B$11,0,IF(AT$1=$AK$1,IF($O246,-1,regle!$B$2-$M246),IF(AS246=-1,-1,AS246+1))))</f>
        <v>24</v>
      </c>
    </row>
    <row r="247" spans="1:46" x14ac:dyDescent="0.25">
      <c r="A247" t="b">
        <f>modif0!A214</f>
        <v>1</v>
      </c>
      <c r="B247">
        <f>ROW(modif0!B214)</f>
        <v>214</v>
      </c>
      <c r="C247" t="str">
        <f>modif0!D214</f>
        <v>202</v>
      </c>
      <c r="D247" t="str">
        <f>modif0!E214</f>
        <v>HOSTENS</v>
      </c>
      <c r="E247">
        <f>modif0!F214</f>
        <v>13</v>
      </c>
      <c r="F247" t="str">
        <f>modif0!G214</f>
        <v>LA BROUSTETTE</v>
      </c>
      <c r="G247" t="str">
        <f>modif0!I214</f>
        <v>0B</v>
      </c>
      <c r="H247">
        <f>modif0!J214</f>
        <v>1249</v>
      </c>
      <c r="I247" t="str">
        <f>modif0!K214</f>
        <v>j</v>
      </c>
      <c r="J247" s="11">
        <f>modif0!M214</f>
        <v>5.2428999999999997</v>
      </c>
      <c r="K247" s="11" t="str">
        <f>modif0!P214</f>
        <v>PLA</v>
      </c>
      <c r="L247" t="str">
        <f>modif0!N214</f>
        <v>PM</v>
      </c>
      <c r="M247">
        <f>modif0!Q214</f>
        <v>2008</v>
      </c>
      <c r="N247" t="str">
        <f>modif0!R214</f>
        <v>PLA-PM_2008</v>
      </c>
      <c r="O247" t="b">
        <f>modif0!S214</f>
        <v>0</v>
      </c>
      <c r="P247">
        <v>40</v>
      </c>
      <c r="Z247" s="22" t="s">
        <v>1181</v>
      </c>
      <c r="AA247" s="17">
        <f>IF($A247,$J247*(IF(Q247=regle!$B$11,regle!$B$23*IF(AJ247=-2,1+regle!$B$35,1),
IF(Q247=regle!$C$11,regle!$C$23,
IF(Q247=regle!$D$11,regle!$D$23,
IF(Q247=regle!$E$11,regle!$E$23,
IF(Q247=regle!$F$11,regle!$F$23,
IF(Q247=regle!$G$11,regle!$G$23,
IF(Q247=regle!$H$11,regle!$H$23,
IF(Q247=regle!$I$11,regle!$I$23,
IF(Q247=regle!$J$11,regle!$J$23,
IF(Q247=regle!$K$11,regle!$K$23,0))))))))))))</f>
        <v>0</v>
      </c>
      <c r="AB247" s="17">
        <f>IF($A247,$J247*(IF(R247=regle!$B$11,regle!$B$23*IF(AK247=-2,1+regle!$B$35,1),
IF(R247=regle!$C$11,regle!$C$23,
IF(R247=regle!$D$11,regle!$D$23,
IF(R247=regle!$E$11,regle!$E$23,
IF(R247=regle!$F$11,regle!$F$23,
IF(R247=regle!$G$11,regle!$G$23,
IF(R247=regle!$H$11,regle!$H$23,
IF(R247=regle!$I$11,regle!$I$23,
IF(R247=regle!$J$11,regle!$J$23,
IF(R247=regle!$K$11,regle!$K$23,0))))))))))))</f>
        <v>0</v>
      </c>
      <c r="AC247" s="17">
        <f>IF($A247,$J247*(IF(S247=regle!$B$11,regle!$B$23*IF(AL247=-2,1+regle!$B$35,1),
IF(S247=regle!$C$11,regle!$C$23,
IF(S247=regle!$D$11,regle!$D$23,
IF(S247=regle!$E$11,regle!$E$23,
IF(S247=regle!$F$11,regle!$F$23,
IF(S247=regle!$G$11,regle!$G$23,
IF(S247=regle!$H$11,regle!$H$23,
IF(S247=regle!$I$11,regle!$I$23,
IF(S247=regle!$J$11,regle!$J$23,
IF(S247=regle!$K$11,regle!$K$23,0))))))))))))</f>
        <v>0</v>
      </c>
      <c r="AD247" s="17">
        <f>IF($A247,$J247*(IF(T247=regle!$B$11,regle!$B$23*IF(AM247=-2,1+regle!$B$35,1),
IF(T247=regle!$C$11,regle!$C$23,
IF(T247=regle!$D$11,regle!$D$23,
IF(T247=regle!$E$11,regle!$E$23,
IF(T247=regle!$F$11,regle!$F$23,
IF(T247=regle!$G$11,regle!$G$23,
IF(T247=regle!$H$11,regle!$H$23,
IF(T247=regle!$I$11,regle!$I$23,
IF(T247=regle!$J$11,regle!$J$23,
IF(T247=regle!$K$11,regle!$K$23,0))))))))))))</f>
        <v>0</v>
      </c>
      <c r="AE247" s="17">
        <f>IF($A247,$J247*(IF(U247=regle!$B$11,regle!$B$23*IF(AN247=-2,1+regle!$B$35,1),
IF(U247=regle!$C$11,regle!$C$23,
IF(U247=regle!$D$11,regle!$D$23,
IF(U247=regle!$E$11,regle!$E$23,
IF(U247=regle!$F$11,regle!$F$23,
IF(U247=regle!$G$11,regle!$G$23,
IF(U247=regle!$H$11,regle!$H$23,
IF(U247=regle!$I$11,regle!$I$23,
IF(U247=regle!$J$11,regle!$J$23,
IF(U247=regle!$K$11,regle!$K$23,0))))))))))))</f>
        <v>0</v>
      </c>
      <c r="AF247" s="17">
        <f>IF($A247,$J247*(IF(V247=regle!$B$11,regle!$B$23*IF(AO247=-2,1+regle!$B$35,1),
IF(V247=regle!$C$11,regle!$C$23,
IF(V247=regle!$D$11,regle!$D$23,
IF(V247=regle!$E$11,regle!$E$23,
IF(V247=regle!$F$11,regle!$F$23,
IF(V247=regle!$G$11,regle!$G$23,
IF(V247=regle!$H$11,regle!$H$23,
IF(V247=regle!$I$11,regle!$I$23,
IF(V247=regle!$J$11,regle!$J$23,
IF(V247=regle!$K$11,regle!$K$23,0))))))))))))</f>
        <v>0</v>
      </c>
      <c r="AG247" s="17">
        <f>IF($A247,$J247*(IF(W247=regle!$B$11,regle!$B$23*IF(AP247=-2,1+regle!$B$35,1),
IF(W247=regle!$C$11,regle!$C$23,
IF(W247=regle!$D$11,regle!$D$23,
IF(W247=regle!$E$11,regle!$E$23,
IF(W247=regle!$F$11,regle!$F$23,
IF(W247=regle!$G$11,regle!$G$23,
IF(W247=regle!$H$11,regle!$H$23,
IF(W247=regle!$I$11,regle!$I$23,
IF(W247=regle!$J$11,regle!$J$23,
IF(W247=regle!$K$11,regle!$K$23,0))))))))))))</f>
        <v>0</v>
      </c>
      <c r="AH247" s="17">
        <f>IF($A247,$J247*(IF(X247=regle!$B$11,regle!$B$23*IF(AQ247=-2,1+regle!$B$35,1),
IF(X247=regle!$C$11,regle!$C$23,
IF(X247=regle!$D$11,regle!$D$23,
IF(X247=regle!$E$11,regle!$E$23,
IF(X247=regle!$F$11,regle!$F$23,
IF(X247=regle!$G$11,regle!$G$23,
IF(X247=regle!$H$11,regle!$H$23,
IF(X247=regle!$I$11,regle!$I$23,
IF(X247=regle!$J$11,regle!$J$23,
IF(X247=regle!$K$11,regle!$K$23,0))))))))))))</f>
        <v>0</v>
      </c>
      <c r="AI247" s="17">
        <f>IF($A247,$J247*(IF(Y247=regle!$B$11,regle!$B$23*IF(AR247=-2,1+regle!$B$35,1),
IF(Y247=regle!$C$11,regle!$C$23,
IF(Y247=regle!$D$11,regle!$D$23,
IF(Y247=regle!$E$11,regle!$E$23,
IF(Y247=regle!$F$11,regle!$F$23,
IF(Y247=regle!$G$11,regle!$G$23,
IF(Y247=regle!$H$11,regle!$H$23,
IF(Y247=regle!$I$11,regle!$I$23,
IF(Y247=regle!$J$11,regle!$J$23,
IF(Y247=regle!$K$11,regle!$K$23,0))))))))))))</f>
        <v>0</v>
      </c>
      <c r="AJ247" s="17">
        <f>IF($A247,$J247*(IF(Z247=regle!$B$11,regle!$B$23*IF(AS247=-2,1+regle!$B$35,1),
IF(Z247=regle!$C$11,regle!$C$23,
IF(Z247=regle!$D$11,regle!$D$23,
IF(Z247=regle!$E$11,regle!$E$23,
IF(Z247=regle!$F$11,regle!$F$23,
IF(Z247=regle!$G$11,regle!$G$23,
IF(Z247=regle!$H$11,regle!$H$23,
IF(Z247=regle!$I$11,regle!$I$23,
IF(Z247=regle!$J$11,regle!$J$23,
IF(Z247=regle!$K$11,regle!$K$23,0))))))))))))</f>
        <v>27263.079999999998</v>
      </c>
      <c r="AK247" s="16">
        <f>IF(OR(Q247=regle!$J$11,Q247=regle!$K$11),-2,IF(Q247=regle!$B$11,0,IF(AK$1=$AK$1,IF($O247,-1,regle!$B$2-$M247),IF(AJ247=-1,-1,AJ247+1))))</f>
        <v>16</v>
      </c>
      <c r="AL247" s="16">
        <f>IF(OR(R247=regle!$J$11,R247=regle!$K$11),-2,IF(R247=regle!$B$11,0,IF(AL$1=$AK$1,IF($O247,-1,regle!$B$2-$M247),IF(AK247=-1,-1,AK247+1))))</f>
        <v>17</v>
      </c>
      <c r="AM247" s="16">
        <f>IF(OR(S247=regle!$J$11,S247=regle!$K$11),-2,IF(S247=regle!$B$11,0,IF(AM$1=$AK$1,IF($O247,-1,regle!$B$2-$M247),IF(AL247=-1,-1,AL247+1))))</f>
        <v>18</v>
      </c>
      <c r="AN247" s="16">
        <f>IF(OR(T247=regle!$J$11,T247=regle!$K$11),-2,IF(T247=regle!$B$11,0,IF(AN$1=$AK$1,IF($O247,-1,regle!$B$2-$M247),IF(AM247=-1,-1,AM247+1))))</f>
        <v>19</v>
      </c>
      <c r="AO247" s="16">
        <f>IF(OR(U247=regle!$J$11,U247=regle!$K$11),-2,IF(U247=regle!$B$11,0,IF(AO$1=$AK$1,IF($O247,-1,regle!$B$2-$M247),IF(AN247=-1,-1,AN247+1))))</f>
        <v>20</v>
      </c>
      <c r="AP247" s="16">
        <f>IF(OR(V247=regle!$J$11,V247=regle!$K$11),-2,IF(V247=regle!$B$11,0,IF(AP$1=$AK$1,IF($O247,-1,regle!$B$2-$M247),IF(AO247=-1,-1,AO247+1))))</f>
        <v>21</v>
      </c>
      <c r="AQ247" s="16">
        <f>IF(OR(W247=regle!$J$11,W247=regle!$K$11),-2,IF(W247=regle!$B$11,0,IF(AQ$1=$AK$1,IF($O247,-1,regle!$B$2-$M247),IF(AP247=-1,-1,AP247+1))))</f>
        <v>22</v>
      </c>
      <c r="AR247" s="16">
        <f>IF(OR(X247=regle!$J$11,X247=regle!$K$11),-2,IF(X247=regle!$B$11,0,IF(AR$1=$AK$1,IF($O247,-1,regle!$B$2-$M247),IF(AQ247=-1,-1,AQ247+1))))</f>
        <v>23</v>
      </c>
      <c r="AS247" s="16">
        <f>IF(OR(Y247=regle!$J$11,Y247=regle!$K$11),-2,IF(Y247=regle!$B$11,0,IF(AS$1=$AK$1,IF($O247,-1,regle!$B$2-$M247),IF(AR247=-1,-1,AR247+1))))</f>
        <v>24</v>
      </c>
      <c r="AT247" s="16">
        <f>IF(OR(Z247=regle!$J$11,Z247=regle!$K$11),-2,IF(Z247=regle!$B$11,0,IF(AT$1=$AK$1,IF($O247,-1,regle!$B$2-$M247),IF(AS247=-1,-1,AS247+1))))</f>
        <v>-2</v>
      </c>
    </row>
    <row r="248" spans="1:46" x14ac:dyDescent="0.25">
      <c r="A248" t="b">
        <f>modif0!A205</f>
        <v>1</v>
      </c>
      <c r="B248">
        <f>ROW(modif0!B205)</f>
        <v>205</v>
      </c>
      <c r="C248" t="str">
        <f>modif0!D205</f>
        <v>202</v>
      </c>
      <c r="D248" t="str">
        <f>modif0!E205</f>
        <v>HOSTENS</v>
      </c>
      <c r="E248">
        <f>modif0!F205</f>
        <v>13</v>
      </c>
      <c r="F248" t="str">
        <f>modif0!G205</f>
        <v>LA BROUSTETTE</v>
      </c>
      <c r="G248" t="str">
        <f>modif0!I205</f>
        <v>0B</v>
      </c>
      <c r="H248">
        <f>modif0!J205</f>
        <v>1244</v>
      </c>
      <c r="I248" t="str">
        <f>modif0!K205</f>
        <v>j</v>
      </c>
      <c r="J248" s="11">
        <f>modif0!M205</f>
        <v>1.3512</v>
      </c>
      <c r="K248" s="11" t="str">
        <f>modif0!P205</f>
        <v>PLA</v>
      </c>
      <c r="L248" t="str">
        <f>modif0!N205</f>
        <v>PM</v>
      </c>
      <c r="M248">
        <f>modif0!Q205</f>
        <v>2008</v>
      </c>
      <c r="N248" t="str">
        <f>modif0!R205</f>
        <v>PLA-PM_2008</v>
      </c>
      <c r="O248" t="b">
        <f>modif0!S205</f>
        <v>0</v>
      </c>
      <c r="P248">
        <v>40</v>
      </c>
      <c r="Z248" s="22" t="s">
        <v>1181</v>
      </c>
      <c r="AA248" s="17">
        <f>IF($A248,$J248*(IF(Q248=regle!$B$11,regle!$B$23*IF(AJ248=-2,1+regle!$B$35,1),
IF(Q248=regle!$C$11,regle!$C$23,
IF(Q248=regle!$D$11,regle!$D$23,
IF(Q248=regle!$E$11,regle!$E$23,
IF(Q248=regle!$F$11,regle!$F$23,
IF(Q248=regle!$G$11,regle!$G$23,
IF(Q248=regle!$H$11,regle!$H$23,
IF(Q248=regle!$I$11,regle!$I$23,
IF(Q248=regle!$J$11,regle!$J$23,
IF(Q248=regle!$K$11,regle!$K$23,0))))))))))))</f>
        <v>0</v>
      </c>
      <c r="AB248" s="17">
        <f>IF($A248,$J248*(IF(R248=regle!$B$11,regle!$B$23*IF(AK248=-2,1+regle!$B$35,1),
IF(R248=regle!$C$11,regle!$C$23,
IF(R248=regle!$D$11,regle!$D$23,
IF(R248=regle!$E$11,regle!$E$23,
IF(R248=regle!$F$11,regle!$F$23,
IF(R248=regle!$G$11,regle!$G$23,
IF(R248=regle!$H$11,regle!$H$23,
IF(R248=regle!$I$11,regle!$I$23,
IF(R248=regle!$J$11,regle!$J$23,
IF(R248=regle!$K$11,regle!$K$23,0))))))))))))</f>
        <v>0</v>
      </c>
      <c r="AC248" s="17">
        <f>IF($A248,$J248*(IF(S248=regle!$B$11,regle!$B$23*IF(AL248=-2,1+regle!$B$35,1),
IF(S248=regle!$C$11,regle!$C$23,
IF(S248=regle!$D$11,regle!$D$23,
IF(S248=regle!$E$11,regle!$E$23,
IF(S248=regle!$F$11,regle!$F$23,
IF(S248=regle!$G$11,regle!$G$23,
IF(S248=regle!$H$11,regle!$H$23,
IF(S248=regle!$I$11,regle!$I$23,
IF(S248=regle!$J$11,regle!$J$23,
IF(S248=regle!$K$11,regle!$K$23,0))))))))))))</f>
        <v>0</v>
      </c>
      <c r="AD248" s="17">
        <f>IF($A248,$J248*(IF(T248=regle!$B$11,regle!$B$23*IF(AM248=-2,1+regle!$B$35,1),
IF(T248=regle!$C$11,regle!$C$23,
IF(T248=regle!$D$11,regle!$D$23,
IF(T248=regle!$E$11,regle!$E$23,
IF(T248=regle!$F$11,regle!$F$23,
IF(T248=regle!$G$11,regle!$G$23,
IF(T248=regle!$H$11,regle!$H$23,
IF(T248=regle!$I$11,regle!$I$23,
IF(T248=regle!$J$11,regle!$J$23,
IF(T248=regle!$K$11,regle!$K$23,0))))))))))))</f>
        <v>0</v>
      </c>
      <c r="AE248" s="17">
        <f>IF($A248,$J248*(IF(U248=regle!$B$11,regle!$B$23*IF(AN248=-2,1+regle!$B$35,1),
IF(U248=regle!$C$11,regle!$C$23,
IF(U248=regle!$D$11,regle!$D$23,
IF(U248=regle!$E$11,regle!$E$23,
IF(U248=regle!$F$11,regle!$F$23,
IF(U248=regle!$G$11,regle!$G$23,
IF(U248=regle!$H$11,regle!$H$23,
IF(U248=regle!$I$11,regle!$I$23,
IF(U248=regle!$J$11,regle!$J$23,
IF(U248=regle!$K$11,regle!$K$23,0))))))))))))</f>
        <v>0</v>
      </c>
      <c r="AF248" s="17">
        <f>IF($A248,$J248*(IF(V248=regle!$B$11,regle!$B$23*IF(AO248=-2,1+regle!$B$35,1),
IF(V248=regle!$C$11,regle!$C$23,
IF(V248=regle!$D$11,regle!$D$23,
IF(V248=regle!$E$11,regle!$E$23,
IF(V248=regle!$F$11,regle!$F$23,
IF(V248=regle!$G$11,regle!$G$23,
IF(V248=regle!$H$11,regle!$H$23,
IF(V248=regle!$I$11,regle!$I$23,
IF(V248=regle!$J$11,regle!$J$23,
IF(V248=regle!$K$11,regle!$K$23,0))))))))))))</f>
        <v>0</v>
      </c>
      <c r="AG248" s="17">
        <f>IF($A248,$J248*(IF(W248=regle!$B$11,regle!$B$23*IF(AP248=-2,1+regle!$B$35,1),
IF(W248=regle!$C$11,regle!$C$23,
IF(W248=regle!$D$11,regle!$D$23,
IF(W248=regle!$E$11,regle!$E$23,
IF(W248=regle!$F$11,regle!$F$23,
IF(W248=regle!$G$11,regle!$G$23,
IF(W248=regle!$H$11,regle!$H$23,
IF(W248=regle!$I$11,regle!$I$23,
IF(W248=regle!$J$11,regle!$J$23,
IF(W248=regle!$K$11,regle!$K$23,0))))))))))))</f>
        <v>0</v>
      </c>
      <c r="AH248" s="17">
        <f>IF($A248,$J248*(IF(X248=regle!$B$11,regle!$B$23*IF(AQ248=-2,1+regle!$B$35,1),
IF(X248=regle!$C$11,regle!$C$23,
IF(X248=regle!$D$11,regle!$D$23,
IF(X248=regle!$E$11,regle!$E$23,
IF(X248=regle!$F$11,regle!$F$23,
IF(X248=regle!$G$11,regle!$G$23,
IF(X248=regle!$H$11,regle!$H$23,
IF(X248=regle!$I$11,regle!$I$23,
IF(X248=regle!$J$11,regle!$J$23,
IF(X248=regle!$K$11,regle!$K$23,0))))))))))))</f>
        <v>0</v>
      </c>
      <c r="AI248" s="17">
        <f>IF($A248,$J248*(IF(Y248=regle!$B$11,regle!$B$23*IF(AR248=-2,1+regle!$B$35,1),
IF(Y248=regle!$C$11,regle!$C$23,
IF(Y248=regle!$D$11,regle!$D$23,
IF(Y248=regle!$E$11,regle!$E$23,
IF(Y248=regle!$F$11,regle!$F$23,
IF(Y248=regle!$G$11,regle!$G$23,
IF(Y248=regle!$H$11,regle!$H$23,
IF(Y248=regle!$I$11,regle!$I$23,
IF(Y248=regle!$J$11,regle!$J$23,
IF(Y248=regle!$K$11,regle!$K$23,0))))))))))))</f>
        <v>0</v>
      </c>
      <c r="AJ248" s="17">
        <f>IF($A248,$J248*(IF(Z248=regle!$B$11,regle!$B$23*IF(AS248=-2,1+regle!$B$35,1),
IF(Z248=regle!$C$11,regle!$C$23,
IF(Z248=regle!$D$11,regle!$D$23,
IF(Z248=regle!$E$11,regle!$E$23,
IF(Z248=regle!$F$11,regle!$F$23,
IF(Z248=regle!$G$11,regle!$G$23,
IF(Z248=regle!$H$11,regle!$H$23,
IF(Z248=regle!$I$11,regle!$I$23,
IF(Z248=regle!$J$11,regle!$J$23,
IF(Z248=regle!$K$11,regle!$K$23,0))))))))))))</f>
        <v>7026.24</v>
      </c>
      <c r="AK248" s="16">
        <f>IF(OR(Q248=regle!$J$11,Q248=regle!$K$11),-2,IF(Q248=regle!$B$11,0,IF(AK$1=$AK$1,IF($O248,-1,regle!$B$2-$M248),IF(AJ248=-1,-1,AJ248+1))))</f>
        <v>16</v>
      </c>
      <c r="AL248" s="16">
        <f>IF(OR(R248=regle!$J$11,R248=regle!$K$11),-2,IF(R248=regle!$B$11,0,IF(AL$1=$AK$1,IF($O248,-1,regle!$B$2-$M248),IF(AK248=-1,-1,AK248+1))))</f>
        <v>17</v>
      </c>
      <c r="AM248" s="16">
        <f>IF(OR(S248=regle!$J$11,S248=regle!$K$11),-2,IF(S248=regle!$B$11,0,IF(AM$1=$AK$1,IF($O248,-1,regle!$B$2-$M248),IF(AL248=-1,-1,AL248+1))))</f>
        <v>18</v>
      </c>
      <c r="AN248" s="16">
        <f>IF(OR(T248=regle!$J$11,T248=regle!$K$11),-2,IF(T248=regle!$B$11,0,IF(AN$1=$AK$1,IF($O248,-1,regle!$B$2-$M248),IF(AM248=-1,-1,AM248+1))))</f>
        <v>19</v>
      </c>
      <c r="AO248" s="16">
        <f>IF(OR(U248=regle!$J$11,U248=regle!$K$11),-2,IF(U248=regle!$B$11,0,IF(AO$1=$AK$1,IF($O248,-1,regle!$B$2-$M248),IF(AN248=-1,-1,AN248+1))))</f>
        <v>20</v>
      </c>
      <c r="AP248" s="16">
        <f>IF(OR(V248=regle!$J$11,V248=regle!$K$11),-2,IF(V248=regle!$B$11,0,IF(AP$1=$AK$1,IF($O248,-1,regle!$B$2-$M248),IF(AO248=-1,-1,AO248+1))))</f>
        <v>21</v>
      </c>
      <c r="AQ248" s="16">
        <f>IF(OR(W248=regle!$J$11,W248=regle!$K$11),-2,IF(W248=regle!$B$11,0,IF(AQ$1=$AK$1,IF($O248,-1,regle!$B$2-$M248),IF(AP248=-1,-1,AP248+1))))</f>
        <v>22</v>
      </c>
      <c r="AR248" s="16">
        <f>IF(OR(X248=regle!$J$11,X248=regle!$K$11),-2,IF(X248=regle!$B$11,0,IF(AR$1=$AK$1,IF($O248,-1,regle!$B$2-$M248),IF(AQ248=-1,-1,AQ248+1))))</f>
        <v>23</v>
      </c>
      <c r="AS248" s="16">
        <f>IF(OR(Y248=regle!$J$11,Y248=regle!$K$11),-2,IF(Y248=regle!$B$11,0,IF(AS$1=$AK$1,IF($O248,-1,regle!$B$2-$M248),IF(AR248=-1,-1,AR248+1))))</f>
        <v>24</v>
      </c>
      <c r="AT248" s="16">
        <f>IF(OR(Z248=regle!$J$11,Z248=regle!$K$11),-2,IF(Z248=regle!$B$11,0,IF(AT$1=$AK$1,IF($O248,-1,regle!$B$2-$M248),IF(AS248=-1,-1,AS248+1))))</f>
        <v>-2</v>
      </c>
    </row>
    <row r="249" spans="1:46" x14ac:dyDescent="0.25">
      <c r="A249" t="b">
        <f>modif0!A354</f>
        <v>1</v>
      </c>
      <c r="B249">
        <f>ROW(modif0!B354)</f>
        <v>354</v>
      </c>
      <c r="C249" t="str">
        <f>modif0!D354</f>
        <v>200</v>
      </c>
      <c r="D249" t="str">
        <f>modif0!E354</f>
        <v>MOUSTEY</v>
      </c>
      <c r="E249">
        <f>modif0!F354</f>
        <v>12</v>
      </c>
      <c r="F249" t="str">
        <f>modif0!G354</f>
        <v>Lesbarreyres</v>
      </c>
      <c r="G249" t="str">
        <f>modif0!I354</f>
        <v>0M</v>
      </c>
      <c r="H249">
        <f>modif0!J354</f>
        <v>66</v>
      </c>
      <c r="I249" t="str">
        <f>modif0!K354</f>
        <v>a</v>
      </c>
      <c r="J249" s="11">
        <f>modif0!M354</f>
        <v>0.57279999999999998</v>
      </c>
      <c r="K249" s="11" t="str">
        <f>modif0!P354</f>
        <v>PLA</v>
      </c>
      <c r="L249" t="str">
        <f>modif0!N354</f>
        <v>PM</v>
      </c>
      <c r="M249">
        <f>modif0!Q354</f>
        <v>2008</v>
      </c>
      <c r="N249" t="str">
        <f>modif0!R354</f>
        <v>PLA-PM_2008</v>
      </c>
      <c r="O249" t="b">
        <f>modif0!S354</f>
        <v>0</v>
      </c>
      <c r="P249">
        <v>40</v>
      </c>
      <c r="Z249" s="22" t="s">
        <v>1181</v>
      </c>
      <c r="AA249" s="17">
        <f>IF($A249,$J249*(IF(Q249=regle!$B$11,regle!$B$23*IF(AJ249=-2,1+regle!$B$35,1),
IF(Q249=regle!$C$11,regle!$C$23,
IF(Q249=regle!$D$11,regle!$D$23,
IF(Q249=regle!$E$11,regle!$E$23,
IF(Q249=regle!$F$11,regle!$F$23,
IF(Q249=regle!$G$11,regle!$G$23,
IF(Q249=regle!$H$11,regle!$H$23,
IF(Q249=regle!$I$11,regle!$I$23,
IF(Q249=regle!$J$11,regle!$J$23,
IF(Q249=regle!$K$11,regle!$K$23,0))))))))))))</f>
        <v>0</v>
      </c>
      <c r="AB249" s="17">
        <f>IF($A249,$J249*(IF(R249=regle!$B$11,regle!$B$23*IF(AK249=-2,1+regle!$B$35,1),
IF(R249=regle!$C$11,regle!$C$23,
IF(R249=regle!$D$11,regle!$D$23,
IF(R249=regle!$E$11,regle!$E$23,
IF(R249=regle!$F$11,regle!$F$23,
IF(R249=regle!$G$11,regle!$G$23,
IF(R249=regle!$H$11,regle!$H$23,
IF(R249=regle!$I$11,regle!$I$23,
IF(R249=regle!$J$11,regle!$J$23,
IF(R249=regle!$K$11,regle!$K$23,0))))))))))))</f>
        <v>0</v>
      </c>
      <c r="AC249" s="17">
        <f>IF($A249,$J249*(IF(S249=regle!$B$11,regle!$B$23*IF(AL249=-2,1+regle!$B$35,1),
IF(S249=regle!$C$11,regle!$C$23,
IF(S249=regle!$D$11,regle!$D$23,
IF(S249=regle!$E$11,regle!$E$23,
IF(S249=regle!$F$11,regle!$F$23,
IF(S249=regle!$G$11,regle!$G$23,
IF(S249=regle!$H$11,regle!$H$23,
IF(S249=regle!$I$11,regle!$I$23,
IF(S249=regle!$J$11,regle!$J$23,
IF(S249=regle!$K$11,regle!$K$23,0))))))))))))</f>
        <v>0</v>
      </c>
      <c r="AD249" s="17">
        <f>IF($A249,$J249*(IF(T249=regle!$B$11,regle!$B$23*IF(AM249=-2,1+regle!$B$35,1),
IF(T249=regle!$C$11,regle!$C$23,
IF(T249=regle!$D$11,regle!$D$23,
IF(T249=regle!$E$11,regle!$E$23,
IF(T249=regle!$F$11,regle!$F$23,
IF(T249=regle!$G$11,regle!$G$23,
IF(T249=regle!$H$11,regle!$H$23,
IF(T249=regle!$I$11,regle!$I$23,
IF(T249=regle!$J$11,regle!$J$23,
IF(T249=regle!$K$11,regle!$K$23,0))))))))))))</f>
        <v>0</v>
      </c>
      <c r="AE249" s="17">
        <f>IF($A249,$J249*(IF(U249=regle!$B$11,regle!$B$23*IF(AN249=-2,1+regle!$B$35,1),
IF(U249=regle!$C$11,regle!$C$23,
IF(U249=regle!$D$11,regle!$D$23,
IF(U249=regle!$E$11,regle!$E$23,
IF(U249=regle!$F$11,regle!$F$23,
IF(U249=regle!$G$11,regle!$G$23,
IF(U249=regle!$H$11,regle!$H$23,
IF(U249=regle!$I$11,regle!$I$23,
IF(U249=regle!$J$11,regle!$J$23,
IF(U249=regle!$K$11,regle!$K$23,0))))))))))))</f>
        <v>0</v>
      </c>
      <c r="AF249" s="17">
        <f>IF($A249,$J249*(IF(V249=regle!$B$11,regle!$B$23*IF(AO249=-2,1+regle!$B$35,1),
IF(V249=regle!$C$11,regle!$C$23,
IF(V249=regle!$D$11,regle!$D$23,
IF(V249=regle!$E$11,regle!$E$23,
IF(V249=regle!$F$11,regle!$F$23,
IF(V249=regle!$G$11,regle!$G$23,
IF(V249=regle!$H$11,regle!$H$23,
IF(V249=regle!$I$11,regle!$I$23,
IF(V249=regle!$J$11,regle!$J$23,
IF(V249=regle!$K$11,regle!$K$23,0))))))))))))</f>
        <v>0</v>
      </c>
      <c r="AG249" s="17">
        <f>IF($A249,$J249*(IF(W249=regle!$B$11,regle!$B$23*IF(AP249=-2,1+regle!$B$35,1),
IF(W249=regle!$C$11,regle!$C$23,
IF(W249=regle!$D$11,regle!$D$23,
IF(W249=regle!$E$11,regle!$E$23,
IF(W249=regle!$F$11,regle!$F$23,
IF(W249=regle!$G$11,regle!$G$23,
IF(W249=regle!$H$11,regle!$H$23,
IF(W249=regle!$I$11,regle!$I$23,
IF(W249=regle!$J$11,regle!$J$23,
IF(W249=regle!$K$11,regle!$K$23,0))))))))))))</f>
        <v>0</v>
      </c>
      <c r="AH249" s="17">
        <f>IF($A249,$J249*(IF(X249=regle!$B$11,regle!$B$23*IF(AQ249=-2,1+regle!$B$35,1),
IF(X249=regle!$C$11,regle!$C$23,
IF(X249=regle!$D$11,regle!$D$23,
IF(X249=regle!$E$11,regle!$E$23,
IF(X249=regle!$F$11,regle!$F$23,
IF(X249=regle!$G$11,regle!$G$23,
IF(X249=regle!$H$11,regle!$H$23,
IF(X249=regle!$I$11,regle!$I$23,
IF(X249=regle!$J$11,regle!$J$23,
IF(X249=regle!$K$11,regle!$K$23,0))))))))))))</f>
        <v>0</v>
      </c>
      <c r="AI249" s="17">
        <f>IF($A249,$J249*(IF(Y249=regle!$B$11,regle!$B$23*IF(AR249=-2,1+regle!$B$35,1),
IF(Y249=regle!$C$11,regle!$C$23,
IF(Y249=regle!$D$11,regle!$D$23,
IF(Y249=regle!$E$11,regle!$E$23,
IF(Y249=regle!$F$11,regle!$F$23,
IF(Y249=regle!$G$11,regle!$G$23,
IF(Y249=regle!$H$11,regle!$H$23,
IF(Y249=regle!$I$11,regle!$I$23,
IF(Y249=regle!$J$11,regle!$J$23,
IF(Y249=regle!$K$11,regle!$K$23,0))))))))))))</f>
        <v>0</v>
      </c>
      <c r="AJ249" s="17">
        <f>IF($A249,$J249*(IF(Z249=regle!$B$11,regle!$B$23*IF(AS249=-2,1+regle!$B$35,1),
IF(Z249=regle!$C$11,regle!$C$23,
IF(Z249=regle!$D$11,regle!$D$23,
IF(Z249=regle!$E$11,regle!$E$23,
IF(Z249=regle!$F$11,regle!$F$23,
IF(Z249=regle!$G$11,regle!$G$23,
IF(Z249=regle!$H$11,regle!$H$23,
IF(Z249=regle!$I$11,regle!$I$23,
IF(Z249=regle!$J$11,regle!$J$23,
IF(Z249=regle!$K$11,regle!$K$23,0))))))))))))</f>
        <v>2978.56</v>
      </c>
      <c r="AK249" s="16">
        <f>IF(OR(Q249=regle!$J$11,Q249=regle!$K$11),-2,IF(Q249=regle!$B$11,0,IF(AK$1=$AK$1,IF($O249,-1,regle!$B$2-$M249),IF(AJ249=-1,-1,AJ249+1))))</f>
        <v>16</v>
      </c>
      <c r="AL249" s="16">
        <f>IF(OR(R249=regle!$J$11,R249=regle!$K$11),-2,IF(R249=regle!$B$11,0,IF(AL$1=$AK$1,IF($O249,-1,regle!$B$2-$M249),IF(AK249=-1,-1,AK249+1))))</f>
        <v>17</v>
      </c>
      <c r="AM249" s="16">
        <f>IF(OR(S249=regle!$J$11,S249=regle!$K$11),-2,IF(S249=regle!$B$11,0,IF(AM$1=$AK$1,IF($O249,-1,regle!$B$2-$M249),IF(AL249=-1,-1,AL249+1))))</f>
        <v>18</v>
      </c>
      <c r="AN249" s="16">
        <f>IF(OR(T249=regle!$J$11,T249=regle!$K$11),-2,IF(T249=regle!$B$11,0,IF(AN$1=$AK$1,IF($O249,-1,regle!$B$2-$M249),IF(AM249=-1,-1,AM249+1))))</f>
        <v>19</v>
      </c>
      <c r="AO249" s="16">
        <f>IF(OR(U249=regle!$J$11,U249=regle!$K$11),-2,IF(U249=regle!$B$11,0,IF(AO$1=$AK$1,IF($O249,-1,regle!$B$2-$M249),IF(AN249=-1,-1,AN249+1))))</f>
        <v>20</v>
      </c>
      <c r="AP249" s="16">
        <f>IF(OR(V249=regle!$J$11,V249=regle!$K$11),-2,IF(V249=regle!$B$11,0,IF(AP$1=$AK$1,IF($O249,-1,regle!$B$2-$M249),IF(AO249=-1,-1,AO249+1))))</f>
        <v>21</v>
      </c>
      <c r="AQ249" s="16">
        <f>IF(OR(W249=regle!$J$11,W249=regle!$K$11),-2,IF(W249=regle!$B$11,0,IF(AQ$1=$AK$1,IF($O249,-1,regle!$B$2-$M249),IF(AP249=-1,-1,AP249+1))))</f>
        <v>22</v>
      </c>
      <c r="AR249" s="16">
        <f>IF(OR(X249=regle!$J$11,X249=regle!$K$11),-2,IF(X249=regle!$B$11,0,IF(AR$1=$AK$1,IF($O249,-1,regle!$B$2-$M249),IF(AQ249=-1,-1,AQ249+1))))</f>
        <v>23</v>
      </c>
      <c r="AS249" s="16">
        <f>IF(OR(Y249=regle!$J$11,Y249=regle!$K$11),-2,IF(Y249=regle!$B$11,0,IF(AS$1=$AK$1,IF($O249,-1,regle!$B$2-$M249),IF(AR249=-1,-1,AR249+1))))</f>
        <v>24</v>
      </c>
      <c r="AT249" s="16">
        <f>IF(OR(Z249=regle!$J$11,Z249=regle!$K$11),-2,IF(Z249=regle!$B$11,0,IF(AT$1=$AK$1,IF($O249,-1,regle!$B$2-$M249),IF(AS249=-1,-1,AS249+1))))</f>
        <v>-2</v>
      </c>
    </row>
    <row r="250" spans="1:46" x14ac:dyDescent="0.25">
      <c r="A250" t="b">
        <f>modif0!A209</f>
        <v>1</v>
      </c>
      <c r="B250">
        <f>ROW(modif0!B209)</f>
        <v>209</v>
      </c>
      <c r="C250" t="str">
        <f>modif0!D209</f>
        <v>202</v>
      </c>
      <c r="D250" t="str">
        <f>modif0!E209</f>
        <v>HOSTENS</v>
      </c>
      <c r="E250">
        <f>modif0!F209</f>
        <v>13</v>
      </c>
      <c r="F250" t="str">
        <f>modif0!G209</f>
        <v>LA BROUSTETTE</v>
      </c>
      <c r="G250" t="str">
        <f>modif0!I209</f>
        <v>0B</v>
      </c>
      <c r="H250">
        <f>modif0!J209</f>
        <v>1246</v>
      </c>
      <c r="I250" t="str">
        <f>modif0!K209</f>
        <v>j</v>
      </c>
      <c r="J250" s="11">
        <f>modif0!M209</f>
        <v>0.3987</v>
      </c>
      <c r="K250" s="11" t="str">
        <f>modif0!P209</f>
        <v>PLA</v>
      </c>
      <c r="L250" t="str">
        <f>modif0!N209</f>
        <v>PM</v>
      </c>
      <c r="M250">
        <f>modif0!Q209</f>
        <v>2008</v>
      </c>
      <c r="N250" t="str">
        <f>modif0!R209</f>
        <v>PLA-PM_2008</v>
      </c>
      <c r="O250" t="b">
        <f>modif0!S209</f>
        <v>0</v>
      </c>
      <c r="P250">
        <v>40</v>
      </c>
      <c r="R250" t="s">
        <v>1804</v>
      </c>
      <c r="W250" t="s">
        <v>1805</v>
      </c>
      <c r="AA250" s="17">
        <f>IF($A250,$J250*(IF(Q250=regle!$B$11,regle!$B$23*IF(AJ250=-2,1+regle!$B$35,1),
IF(Q250=regle!$C$11,regle!$C$23,
IF(Q250=regle!$D$11,regle!$D$23,
IF(Q250=regle!$E$11,regle!$E$23,
IF(Q250=regle!$F$11,regle!$F$23,
IF(Q250=regle!$G$11,regle!$G$23,
IF(Q250=regle!$H$11,regle!$H$23,
IF(Q250=regle!$I$11,regle!$I$23,
IF(Q250=regle!$J$11,regle!$J$23,
IF(Q250=regle!$K$11,regle!$K$23,0))))))))))))</f>
        <v>0</v>
      </c>
      <c r="AB250" s="17">
        <f>IF($A250,$J250*(IF(R250=regle!$B$11,regle!$B$23*IF(AK250=-2,1+regle!$B$35,1),
IF(R250=regle!$C$11,regle!$C$23,
IF(R250=regle!$D$11,regle!$D$23,
IF(R250=regle!$E$11,regle!$E$23,
IF(R250=regle!$F$11,regle!$F$23,
IF(R250=regle!$G$11,regle!$G$23,
IF(R250=regle!$H$11,regle!$H$23,
IF(R250=regle!$I$11,regle!$I$23,
IF(R250=regle!$J$11,regle!$J$23,
IF(R250=regle!$K$11,regle!$K$23,0))))))))))))</f>
        <v>334.90800000000002</v>
      </c>
      <c r="AC250" s="17">
        <f>IF($A250,$J250*(IF(S250=regle!$B$11,regle!$B$23*IF(AL250=-2,1+regle!$B$35,1),
IF(S250=regle!$C$11,regle!$C$23,
IF(S250=regle!$D$11,regle!$D$23,
IF(S250=regle!$E$11,regle!$E$23,
IF(S250=regle!$F$11,regle!$F$23,
IF(S250=regle!$G$11,regle!$G$23,
IF(S250=regle!$H$11,regle!$H$23,
IF(S250=regle!$I$11,regle!$I$23,
IF(S250=regle!$J$11,regle!$J$23,
IF(S250=regle!$K$11,regle!$K$23,0))))))))))))</f>
        <v>0</v>
      </c>
      <c r="AD250" s="17">
        <f>IF($A250,$J250*(IF(T250=regle!$B$11,regle!$B$23*IF(AM250=-2,1+regle!$B$35,1),
IF(T250=regle!$C$11,regle!$C$23,
IF(T250=regle!$D$11,regle!$D$23,
IF(T250=regle!$E$11,regle!$E$23,
IF(T250=regle!$F$11,regle!$F$23,
IF(T250=regle!$G$11,regle!$G$23,
IF(T250=regle!$H$11,regle!$H$23,
IF(T250=regle!$I$11,regle!$I$23,
IF(T250=regle!$J$11,regle!$J$23,
IF(T250=regle!$K$11,regle!$K$23,0))))))))))))</f>
        <v>0</v>
      </c>
      <c r="AE250" s="17">
        <f>IF($A250,$J250*(IF(U250=regle!$B$11,regle!$B$23*IF(AN250=-2,1+regle!$B$35,1),
IF(U250=regle!$C$11,regle!$C$23,
IF(U250=regle!$D$11,regle!$D$23,
IF(U250=regle!$E$11,regle!$E$23,
IF(U250=regle!$F$11,regle!$F$23,
IF(U250=regle!$G$11,regle!$G$23,
IF(U250=regle!$H$11,regle!$H$23,
IF(U250=regle!$I$11,regle!$I$23,
IF(U250=regle!$J$11,regle!$J$23,
IF(U250=regle!$K$11,regle!$K$23,0))))))))))))</f>
        <v>0</v>
      </c>
      <c r="AF250" s="17">
        <f>IF($A250,$J250*(IF(V250=regle!$B$11,regle!$B$23*IF(AO250=-2,1+regle!$B$35,1),
IF(V250=regle!$C$11,regle!$C$23,
IF(V250=regle!$D$11,regle!$D$23,
IF(V250=regle!$E$11,regle!$E$23,
IF(V250=regle!$F$11,regle!$F$23,
IF(V250=regle!$G$11,regle!$G$23,
IF(V250=regle!$H$11,regle!$H$23,
IF(V250=regle!$I$11,regle!$I$23,
IF(V250=regle!$J$11,regle!$J$23,
IF(V250=regle!$K$11,regle!$K$23,0))))))))))))</f>
        <v>0</v>
      </c>
      <c r="AG250" s="17">
        <f>IF($A250,$J250*(IF(W250=regle!$B$11,regle!$B$23*IF(AP250=-2,1+regle!$B$35,1),
IF(W250=regle!$C$11,regle!$C$23,
IF(W250=regle!$D$11,regle!$D$23,
IF(W250=regle!$E$11,regle!$E$23,
IF(W250=regle!$F$11,regle!$F$23,
IF(W250=regle!$G$11,regle!$G$23,
IF(W250=regle!$H$11,regle!$H$23,
IF(W250=regle!$I$11,regle!$I$23,
IF(W250=regle!$J$11,regle!$J$23,
IF(W250=regle!$K$11,regle!$K$23,0))))))))))))</f>
        <v>561.36959999999999</v>
      </c>
      <c r="AH250" s="17">
        <f>IF($A250,$J250*(IF(X250=regle!$B$11,regle!$B$23*IF(AQ250=-2,1+regle!$B$35,1),
IF(X250=regle!$C$11,regle!$C$23,
IF(X250=regle!$D$11,regle!$D$23,
IF(X250=regle!$E$11,regle!$E$23,
IF(X250=regle!$F$11,regle!$F$23,
IF(X250=regle!$G$11,regle!$G$23,
IF(X250=regle!$H$11,regle!$H$23,
IF(X250=regle!$I$11,regle!$I$23,
IF(X250=regle!$J$11,regle!$J$23,
IF(X250=regle!$K$11,regle!$K$23,0))))))))))))</f>
        <v>0</v>
      </c>
      <c r="AI250" s="17">
        <f>IF($A250,$J250*(IF(Y250=regle!$B$11,regle!$B$23*IF(AR250=-2,1+regle!$B$35,1),
IF(Y250=regle!$C$11,regle!$C$23,
IF(Y250=regle!$D$11,regle!$D$23,
IF(Y250=regle!$E$11,regle!$E$23,
IF(Y250=regle!$F$11,regle!$F$23,
IF(Y250=regle!$G$11,regle!$G$23,
IF(Y250=regle!$H$11,regle!$H$23,
IF(Y250=regle!$I$11,regle!$I$23,
IF(Y250=regle!$J$11,regle!$J$23,
IF(Y250=regle!$K$11,regle!$K$23,0))))))))))))</f>
        <v>0</v>
      </c>
      <c r="AJ250" s="17">
        <f>IF($A250,$J250*(IF(Z250=regle!$B$11,regle!$B$23*IF(AS250=-2,1+regle!$B$35,1),
IF(Z250=regle!$C$11,regle!$C$23,
IF(Z250=regle!$D$11,regle!$D$23,
IF(Z250=regle!$E$11,regle!$E$23,
IF(Z250=regle!$F$11,regle!$F$23,
IF(Z250=regle!$G$11,regle!$G$23,
IF(Z250=regle!$H$11,regle!$H$23,
IF(Z250=regle!$I$11,regle!$I$23,
IF(Z250=regle!$J$11,regle!$J$23,
IF(Z250=regle!$K$11,regle!$K$23,0))))))))))))</f>
        <v>0</v>
      </c>
      <c r="AK250" s="16">
        <f>IF(OR(Q250=regle!$J$11,Q250=regle!$K$11),-2,IF(Q250=regle!$B$11,0,IF(AK$1=$AK$1,IF($O250,-1,regle!$B$2-$M250),IF(AJ250=-1,-1,AJ250+1))))</f>
        <v>16</v>
      </c>
      <c r="AL250" s="16">
        <f>IF(OR(R250=regle!$J$11,R250=regle!$K$11),-2,IF(R250=regle!$B$11,0,IF(AL$1=$AK$1,IF($O250,-1,regle!$B$2-$M250),IF(AK250=-1,-1,AK250+1))))</f>
        <v>17</v>
      </c>
      <c r="AM250" s="16">
        <f>IF(OR(S250=regle!$J$11,S250=regle!$K$11),-2,IF(S250=regle!$B$11,0,IF(AM$1=$AK$1,IF($O250,-1,regle!$B$2-$M250),IF(AL250=-1,-1,AL250+1))))</f>
        <v>18</v>
      </c>
      <c r="AN250" s="16">
        <f>IF(OR(T250=regle!$J$11,T250=regle!$K$11),-2,IF(T250=regle!$B$11,0,IF(AN$1=$AK$1,IF($O250,-1,regle!$B$2-$M250),IF(AM250=-1,-1,AM250+1))))</f>
        <v>19</v>
      </c>
      <c r="AO250" s="16">
        <f>IF(OR(U250=regle!$J$11,U250=regle!$K$11),-2,IF(U250=regle!$B$11,0,IF(AO$1=$AK$1,IF($O250,-1,regle!$B$2-$M250),IF(AN250=-1,-1,AN250+1))))</f>
        <v>20</v>
      </c>
      <c r="AP250" s="16">
        <f>IF(OR(V250=regle!$J$11,V250=regle!$K$11),-2,IF(V250=regle!$B$11,0,IF(AP$1=$AK$1,IF($O250,-1,regle!$B$2-$M250),IF(AO250=-1,-1,AO250+1))))</f>
        <v>21</v>
      </c>
      <c r="AQ250" s="16">
        <f>IF(OR(W250=regle!$J$11,W250=regle!$K$11),-2,IF(W250=regle!$B$11,0,IF(AQ$1=$AK$1,IF($O250,-1,regle!$B$2-$M250),IF(AP250=-1,-1,AP250+1))))</f>
        <v>22</v>
      </c>
      <c r="AR250" s="16">
        <f>IF(OR(X250=regle!$J$11,X250=regle!$K$11),-2,IF(X250=regle!$B$11,0,IF(AR$1=$AK$1,IF($O250,-1,regle!$B$2-$M250),IF(AQ250=-1,-1,AQ250+1))))</f>
        <v>23</v>
      </c>
      <c r="AS250" s="16">
        <f>IF(OR(Y250=regle!$J$11,Y250=regle!$K$11),-2,IF(Y250=regle!$B$11,0,IF(AS$1=$AK$1,IF($O250,-1,regle!$B$2-$M250),IF(AR250=-1,-1,AR250+1))))</f>
        <v>24</v>
      </c>
      <c r="AT250" s="16">
        <f>IF(OR(Z250=regle!$J$11,Z250=regle!$K$11),-2,IF(Z250=regle!$B$11,0,IF(AT$1=$AK$1,IF($O250,-1,regle!$B$2-$M250),IF(AS250=-1,-1,AS250+1))))</f>
        <v>25</v>
      </c>
    </row>
    <row r="251" spans="1:46" x14ac:dyDescent="0.25">
      <c r="A251" t="b">
        <f>modif0!A208</f>
        <v>1</v>
      </c>
      <c r="B251">
        <f>ROW(modif0!B208)</f>
        <v>208</v>
      </c>
      <c r="C251" t="str">
        <f>modif0!D208</f>
        <v>202</v>
      </c>
      <c r="D251" t="str">
        <f>modif0!E208</f>
        <v>HOSTENS</v>
      </c>
      <c r="E251">
        <f>modif0!F208</f>
        <v>13</v>
      </c>
      <c r="F251" t="str">
        <f>modif0!G208</f>
        <v>LA BROUSTETTE</v>
      </c>
      <c r="G251" t="str">
        <f>modif0!I208</f>
        <v>0B</v>
      </c>
      <c r="H251">
        <f>modif0!J208</f>
        <v>1245</v>
      </c>
      <c r="I251" t="str">
        <f>modif0!K208</f>
        <v/>
      </c>
      <c r="J251" s="11">
        <f>modif0!M208</f>
        <v>0.2555</v>
      </c>
      <c r="K251" s="11" t="str">
        <f>modif0!P208</f>
        <v>PLA</v>
      </c>
      <c r="L251" t="str">
        <f>modif0!N208</f>
        <v>PM</v>
      </c>
      <c r="M251">
        <f>modif0!Q208</f>
        <v>2008</v>
      </c>
      <c r="N251" t="str">
        <f>modif0!R208</f>
        <v>PLA-PM_2008</v>
      </c>
      <c r="O251" t="b">
        <f>modif0!S208</f>
        <v>0</v>
      </c>
      <c r="P251">
        <v>40</v>
      </c>
      <c r="R251" t="s">
        <v>1804</v>
      </c>
      <c r="W251" t="s">
        <v>1805</v>
      </c>
      <c r="AA251" s="17">
        <f>IF($A251,$J251*(IF(Q251=regle!$B$11,regle!$B$23*IF(AJ251=-2,1+regle!$B$35,1),
IF(Q251=regle!$C$11,regle!$C$23,
IF(Q251=regle!$D$11,regle!$D$23,
IF(Q251=regle!$E$11,regle!$E$23,
IF(Q251=regle!$F$11,regle!$F$23,
IF(Q251=regle!$G$11,regle!$G$23,
IF(Q251=regle!$H$11,regle!$H$23,
IF(Q251=regle!$I$11,regle!$I$23,
IF(Q251=regle!$J$11,regle!$J$23,
IF(Q251=regle!$K$11,regle!$K$23,0))))))))))))</f>
        <v>0</v>
      </c>
      <c r="AB251" s="17">
        <f>IF($A251,$J251*(IF(R251=regle!$B$11,regle!$B$23*IF(AK251=-2,1+regle!$B$35,1),
IF(R251=regle!$C$11,regle!$C$23,
IF(R251=regle!$D$11,regle!$D$23,
IF(R251=regle!$E$11,regle!$E$23,
IF(R251=regle!$F$11,regle!$F$23,
IF(R251=regle!$G$11,regle!$G$23,
IF(R251=regle!$H$11,regle!$H$23,
IF(R251=regle!$I$11,regle!$I$23,
IF(R251=regle!$J$11,regle!$J$23,
IF(R251=regle!$K$11,regle!$K$23,0))))))))))))</f>
        <v>214.62</v>
      </c>
      <c r="AC251" s="17">
        <f>IF($A251,$J251*(IF(S251=regle!$B$11,regle!$B$23*IF(AL251=-2,1+regle!$B$35,1),
IF(S251=regle!$C$11,regle!$C$23,
IF(S251=regle!$D$11,regle!$D$23,
IF(S251=regle!$E$11,regle!$E$23,
IF(S251=regle!$F$11,regle!$F$23,
IF(S251=regle!$G$11,regle!$G$23,
IF(S251=regle!$H$11,regle!$H$23,
IF(S251=regle!$I$11,regle!$I$23,
IF(S251=regle!$J$11,regle!$J$23,
IF(S251=regle!$K$11,regle!$K$23,0))))))))))))</f>
        <v>0</v>
      </c>
      <c r="AD251" s="17">
        <f>IF($A251,$J251*(IF(T251=regle!$B$11,regle!$B$23*IF(AM251=-2,1+regle!$B$35,1),
IF(T251=regle!$C$11,regle!$C$23,
IF(T251=regle!$D$11,regle!$D$23,
IF(T251=regle!$E$11,regle!$E$23,
IF(T251=regle!$F$11,regle!$F$23,
IF(T251=regle!$G$11,regle!$G$23,
IF(T251=regle!$H$11,regle!$H$23,
IF(T251=regle!$I$11,regle!$I$23,
IF(T251=regle!$J$11,regle!$J$23,
IF(T251=regle!$K$11,regle!$K$23,0))))))))))))</f>
        <v>0</v>
      </c>
      <c r="AE251" s="17">
        <f>IF($A251,$J251*(IF(U251=regle!$B$11,regle!$B$23*IF(AN251=-2,1+regle!$B$35,1),
IF(U251=regle!$C$11,regle!$C$23,
IF(U251=regle!$D$11,regle!$D$23,
IF(U251=regle!$E$11,regle!$E$23,
IF(U251=regle!$F$11,regle!$F$23,
IF(U251=regle!$G$11,regle!$G$23,
IF(U251=regle!$H$11,regle!$H$23,
IF(U251=regle!$I$11,regle!$I$23,
IF(U251=regle!$J$11,regle!$J$23,
IF(U251=regle!$K$11,regle!$K$23,0))))))))))))</f>
        <v>0</v>
      </c>
      <c r="AF251" s="17">
        <f>IF($A251,$J251*(IF(V251=regle!$B$11,regle!$B$23*IF(AO251=-2,1+regle!$B$35,1),
IF(V251=regle!$C$11,regle!$C$23,
IF(V251=regle!$D$11,regle!$D$23,
IF(V251=regle!$E$11,regle!$E$23,
IF(V251=regle!$F$11,regle!$F$23,
IF(V251=regle!$G$11,regle!$G$23,
IF(V251=regle!$H$11,regle!$H$23,
IF(V251=regle!$I$11,regle!$I$23,
IF(V251=regle!$J$11,regle!$J$23,
IF(V251=regle!$K$11,regle!$K$23,0))))))))))))</f>
        <v>0</v>
      </c>
      <c r="AG251" s="17">
        <f>IF($A251,$J251*(IF(W251=regle!$B$11,regle!$B$23*IF(AP251=-2,1+regle!$B$35,1),
IF(W251=regle!$C$11,regle!$C$23,
IF(W251=regle!$D$11,regle!$D$23,
IF(W251=regle!$E$11,regle!$E$23,
IF(W251=regle!$F$11,regle!$F$23,
IF(W251=regle!$G$11,regle!$G$23,
IF(W251=regle!$H$11,regle!$H$23,
IF(W251=regle!$I$11,regle!$I$23,
IF(W251=regle!$J$11,regle!$J$23,
IF(W251=regle!$K$11,regle!$K$23,0))))))))))))</f>
        <v>359.74400000000003</v>
      </c>
      <c r="AH251" s="17">
        <f>IF($A251,$J251*(IF(X251=regle!$B$11,regle!$B$23*IF(AQ251=-2,1+regle!$B$35,1),
IF(X251=regle!$C$11,regle!$C$23,
IF(X251=regle!$D$11,regle!$D$23,
IF(X251=regle!$E$11,regle!$E$23,
IF(X251=regle!$F$11,regle!$F$23,
IF(X251=regle!$G$11,regle!$G$23,
IF(X251=regle!$H$11,regle!$H$23,
IF(X251=regle!$I$11,regle!$I$23,
IF(X251=regle!$J$11,regle!$J$23,
IF(X251=regle!$K$11,regle!$K$23,0))))))))))))</f>
        <v>0</v>
      </c>
      <c r="AI251" s="17">
        <f>IF($A251,$J251*(IF(Y251=regle!$B$11,regle!$B$23*IF(AR251=-2,1+regle!$B$35,1),
IF(Y251=regle!$C$11,regle!$C$23,
IF(Y251=regle!$D$11,regle!$D$23,
IF(Y251=regle!$E$11,regle!$E$23,
IF(Y251=regle!$F$11,regle!$F$23,
IF(Y251=regle!$G$11,regle!$G$23,
IF(Y251=regle!$H$11,regle!$H$23,
IF(Y251=regle!$I$11,regle!$I$23,
IF(Y251=regle!$J$11,regle!$J$23,
IF(Y251=regle!$K$11,regle!$K$23,0))))))))))))</f>
        <v>0</v>
      </c>
      <c r="AJ251" s="17">
        <f>IF($A251,$J251*(IF(Z251=regle!$B$11,regle!$B$23*IF(AS251=-2,1+regle!$B$35,1),
IF(Z251=regle!$C$11,regle!$C$23,
IF(Z251=regle!$D$11,regle!$D$23,
IF(Z251=regle!$E$11,regle!$E$23,
IF(Z251=regle!$F$11,regle!$F$23,
IF(Z251=regle!$G$11,regle!$G$23,
IF(Z251=regle!$H$11,regle!$H$23,
IF(Z251=regle!$I$11,regle!$I$23,
IF(Z251=regle!$J$11,regle!$J$23,
IF(Z251=regle!$K$11,regle!$K$23,0))))))))))))</f>
        <v>0</v>
      </c>
      <c r="AK251" s="16">
        <f>IF(OR(Q251=regle!$J$11,Q251=regle!$K$11),-2,IF(Q251=regle!$B$11,0,IF(AK$1=$AK$1,IF($O251,-1,regle!$B$2-$M251),IF(AJ251=-1,-1,AJ251+1))))</f>
        <v>16</v>
      </c>
      <c r="AL251" s="16">
        <f>IF(OR(R251=regle!$J$11,R251=regle!$K$11),-2,IF(R251=regle!$B$11,0,IF(AL$1=$AK$1,IF($O251,-1,regle!$B$2-$M251),IF(AK251=-1,-1,AK251+1))))</f>
        <v>17</v>
      </c>
      <c r="AM251" s="16">
        <f>IF(OR(S251=regle!$J$11,S251=regle!$K$11),-2,IF(S251=regle!$B$11,0,IF(AM$1=$AK$1,IF($O251,-1,regle!$B$2-$M251),IF(AL251=-1,-1,AL251+1))))</f>
        <v>18</v>
      </c>
      <c r="AN251" s="16">
        <f>IF(OR(T251=regle!$J$11,T251=regle!$K$11),-2,IF(T251=regle!$B$11,0,IF(AN$1=$AK$1,IF($O251,-1,regle!$B$2-$M251),IF(AM251=-1,-1,AM251+1))))</f>
        <v>19</v>
      </c>
      <c r="AO251" s="16">
        <f>IF(OR(U251=regle!$J$11,U251=regle!$K$11),-2,IF(U251=regle!$B$11,0,IF(AO$1=$AK$1,IF($O251,-1,regle!$B$2-$M251),IF(AN251=-1,-1,AN251+1))))</f>
        <v>20</v>
      </c>
      <c r="AP251" s="16">
        <f>IF(OR(V251=regle!$J$11,V251=regle!$K$11),-2,IF(V251=regle!$B$11,0,IF(AP$1=$AK$1,IF($O251,-1,regle!$B$2-$M251),IF(AO251=-1,-1,AO251+1))))</f>
        <v>21</v>
      </c>
      <c r="AQ251" s="16">
        <f>IF(OR(W251=regle!$J$11,W251=regle!$K$11),-2,IF(W251=regle!$B$11,0,IF(AQ$1=$AK$1,IF($O251,-1,regle!$B$2-$M251),IF(AP251=-1,-1,AP251+1))))</f>
        <v>22</v>
      </c>
      <c r="AR251" s="16">
        <f>IF(OR(X251=regle!$J$11,X251=regle!$K$11),-2,IF(X251=regle!$B$11,0,IF(AR$1=$AK$1,IF($O251,-1,regle!$B$2-$M251),IF(AQ251=-1,-1,AQ251+1))))</f>
        <v>23</v>
      </c>
      <c r="AS251" s="16">
        <f>IF(OR(Y251=regle!$J$11,Y251=regle!$K$11),-2,IF(Y251=regle!$B$11,0,IF(AS$1=$AK$1,IF($O251,-1,regle!$B$2-$M251),IF(AR251=-1,-1,AR251+1))))</f>
        <v>24</v>
      </c>
      <c r="AT251" s="16">
        <f>IF(OR(Z251=regle!$J$11,Z251=regle!$K$11),-2,IF(Z251=regle!$B$11,0,IF(AT$1=$AK$1,IF($O251,-1,regle!$B$2-$M251),IF(AS251=-1,-1,AS251+1))))</f>
        <v>25</v>
      </c>
    </row>
    <row r="252" spans="1:46" x14ac:dyDescent="0.25">
      <c r="A252" t="b">
        <f>modif0!A207</f>
        <v>1</v>
      </c>
      <c r="B252">
        <f>ROW(modif0!B207)</f>
        <v>207</v>
      </c>
      <c r="C252" t="str">
        <f>modif0!D207</f>
        <v>202</v>
      </c>
      <c r="D252" t="str">
        <f>modif0!E207</f>
        <v>HOSTENS</v>
      </c>
      <c r="E252">
        <f>modif0!F207</f>
        <v>13</v>
      </c>
      <c r="F252" t="str">
        <f>modif0!G207</f>
        <v>LA BROUSTETTE</v>
      </c>
      <c r="G252" t="str">
        <f>modif0!I207</f>
        <v>0B</v>
      </c>
      <c r="H252">
        <f>modif0!J207</f>
        <v>1244</v>
      </c>
      <c r="I252" t="str">
        <f>modif0!K207</f>
        <v>l</v>
      </c>
      <c r="J252" s="11">
        <f>modif0!M207</f>
        <v>4.7600000000000003E-2</v>
      </c>
      <c r="K252" s="11" t="str">
        <f>modif0!P207</f>
        <v>PLA</v>
      </c>
      <c r="L252" t="str">
        <f>modif0!N207</f>
        <v>PM</v>
      </c>
      <c r="M252">
        <f>modif0!Q207</f>
        <v>2008</v>
      </c>
      <c r="N252" t="str">
        <f>modif0!R207</f>
        <v>PLA-PM_2008</v>
      </c>
      <c r="O252" t="b">
        <f>modif0!S207</f>
        <v>0</v>
      </c>
      <c r="P252">
        <v>40</v>
      </c>
      <c r="R252" t="s">
        <v>1804</v>
      </c>
      <c r="W252" t="s">
        <v>1805</v>
      </c>
      <c r="AA252" s="17">
        <f>IF($A252,$J252*(IF(Q252=regle!$B$11,regle!$B$23*IF(AJ252=-2,1+regle!$B$35,1),
IF(Q252=regle!$C$11,regle!$C$23,
IF(Q252=regle!$D$11,regle!$D$23,
IF(Q252=regle!$E$11,regle!$E$23,
IF(Q252=regle!$F$11,regle!$F$23,
IF(Q252=regle!$G$11,regle!$G$23,
IF(Q252=regle!$H$11,regle!$H$23,
IF(Q252=regle!$I$11,regle!$I$23,
IF(Q252=regle!$J$11,regle!$J$23,
IF(Q252=regle!$K$11,regle!$K$23,0))))))))))))</f>
        <v>0</v>
      </c>
      <c r="AB252" s="17">
        <f>IF($A252,$J252*(IF(R252=regle!$B$11,regle!$B$23*IF(AK252=-2,1+regle!$B$35,1),
IF(R252=regle!$C$11,regle!$C$23,
IF(R252=regle!$D$11,regle!$D$23,
IF(R252=regle!$E$11,regle!$E$23,
IF(R252=regle!$F$11,regle!$F$23,
IF(R252=regle!$G$11,regle!$G$23,
IF(R252=regle!$H$11,regle!$H$23,
IF(R252=regle!$I$11,regle!$I$23,
IF(R252=regle!$J$11,regle!$J$23,
IF(R252=regle!$K$11,regle!$K$23,0))))))))))))</f>
        <v>39.984000000000002</v>
      </c>
      <c r="AC252" s="17">
        <f>IF($A252,$J252*(IF(S252=regle!$B$11,regle!$B$23*IF(AL252=-2,1+regle!$B$35,1),
IF(S252=regle!$C$11,regle!$C$23,
IF(S252=regle!$D$11,regle!$D$23,
IF(S252=regle!$E$11,regle!$E$23,
IF(S252=regle!$F$11,regle!$F$23,
IF(S252=regle!$G$11,regle!$G$23,
IF(S252=regle!$H$11,regle!$H$23,
IF(S252=regle!$I$11,regle!$I$23,
IF(S252=regle!$J$11,regle!$J$23,
IF(S252=regle!$K$11,regle!$K$23,0))))))))))))</f>
        <v>0</v>
      </c>
      <c r="AD252" s="17">
        <f>IF($A252,$J252*(IF(T252=regle!$B$11,regle!$B$23*IF(AM252=-2,1+regle!$B$35,1),
IF(T252=regle!$C$11,regle!$C$23,
IF(T252=regle!$D$11,regle!$D$23,
IF(T252=regle!$E$11,regle!$E$23,
IF(T252=regle!$F$11,regle!$F$23,
IF(T252=regle!$G$11,regle!$G$23,
IF(T252=regle!$H$11,regle!$H$23,
IF(T252=regle!$I$11,regle!$I$23,
IF(T252=regle!$J$11,regle!$J$23,
IF(T252=regle!$K$11,regle!$K$23,0))))))))))))</f>
        <v>0</v>
      </c>
      <c r="AE252" s="17">
        <f>IF($A252,$J252*(IF(U252=regle!$B$11,regle!$B$23*IF(AN252=-2,1+regle!$B$35,1),
IF(U252=regle!$C$11,regle!$C$23,
IF(U252=regle!$D$11,regle!$D$23,
IF(U252=regle!$E$11,regle!$E$23,
IF(U252=regle!$F$11,regle!$F$23,
IF(U252=regle!$G$11,regle!$G$23,
IF(U252=regle!$H$11,regle!$H$23,
IF(U252=regle!$I$11,regle!$I$23,
IF(U252=regle!$J$11,regle!$J$23,
IF(U252=regle!$K$11,regle!$K$23,0))))))))))))</f>
        <v>0</v>
      </c>
      <c r="AF252" s="17">
        <f>IF($A252,$J252*(IF(V252=regle!$B$11,regle!$B$23*IF(AO252=-2,1+regle!$B$35,1),
IF(V252=regle!$C$11,regle!$C$23,
IF(V252=regle!$D$11,regle!$D$23,
IF(V252=regle!$E$11,regle!$E$23,
IF(V252=regle!$F$11,regle!$F$23,
IF(V252=regle!$G$11,regle!$G$23,
IF(V252=regle!$H$11,regle!$H$23,
IF(V252=regle!$I$11,regle!$I$23,
IF(V252=regle!$J$11,regle!$J$23,
IF(V252=regle!$K$11,regle!$K$23,0))))))))))))</f>
        <v>0</v>
      </c>
      <c r="AG252" s="17">
        <f>IF($A252,$J252*(IF(W252=regle!$B$11,regle!$B$23*IF(AP252=-2,1+regle!$B$35,1),
IF(W252=regle!$C$11,regle!$C$23,
IF(W252=regle!$D$11,regle!$D$23,
IF(W252=regle!$E$11,regle!$E$23,
IF(W252=regle!$F$11,regle!$F$23,
IF(W252=regle!$G$11,regle!$G$23,
IF(W252=regle!$H$11,regle!$H$23,
IF(W252=regle!$I$11,regle!$I$23,
IF(W252=regle!$J$11,regle!$J$23,
IF(W252=regle!$K$11,regle!$K$23,0))))))))))))</f>
        <v>67.020800000000008</v>
      </c>
      <c r="AH252" s="17">
        <f>IF($A252,$J252*(IF(X252=regle!$B$11,regle!$B$23*IF(AQ252=-2,1+regle!$B$35,1),
IF(X252=regle!$C$11,regle!$C$23,
IF(X252=regle!$D$11,regle!$D$23,
IF(X252=regle!$E$11,regle!$E$23,
IF(X252=regle!$F$11,regle!$F$23,
IF(X252=regle!$G$11,regle!$G$23,
IF(X252=regle!$H$11,regle!$H$23,
IF(X252=regle!$I$11,regle!$I$23,
IF(X252=regle!$J$11,regle!$J$23,
IF(X252=regle!$K$11,regle!$K$23,0))))))))))))</f>
        <v>0</v>
      </c>
      <c r="AI252" s="17">
        <f>IF($A252,$J252*(IF(Y252=regle!$B$11,regle!$B$23*IF(AR252=-2,1+regle!$B$35,1),
IF(Y252=regle!$C$11,regle!$C$23,
IF(Y252=regle!$D$11,regle!$D$23,
IF(Y252=regle!$E$11,regle!$E$23,
IF(Y252=regle!$F$11,regle!$F$23,
IF(Y252=regle!$G$11,regle!$G$23,
IF(Y252=regle!$H$11,regle!$H$23,
IF(Y252=regle!$I$11,regle!$I$23,
IF(Y252=regle!$J$11,regle!$J$23,
IF(Y252=regle!$K$11,regle!$K$23,0))))))))))))</f>
        <v>0</v>
      </c>
      <c r="AJ252" s="17">
        <f>IF($A252,$J252*(IF(Z252=regle!$B$11,regle!$B$23*IF(AS252=-2,1+regle!$B$35,1),
IF(Z252=regle!$C$11,regle!$C$23,
IF(Z252=regle!$D$11,regle!$D$23,
IF(Z252=regle!$E$11,regle!$E$23,
IF(Z252=regle!$F$11,regle!$F$23,
IF(Z252=regle!$G$11,regle!$G$23,
IF(Z252=regle!$H$11,regle!$H$23,
IF(Z252=regle!$I$11,regle!$I$23,
IF(Z252=regle!$J$11,regle!$J$23,
IF(Z252=regle!$K$11,regle!$K$23,0))))))))))))</f>
        <v>0</v>
      </c>
      <c r="AK252" s="16">
        <f>IF(OR(Q252=regle!$J$11,Q252=regle!$K$11),-2,IF(Q252=regle!$B$11,0,IF(AK$1=$AK$1,IF($O252,-1,regle!$B$2-$M252),IF(AJ252=-1,-1,AJ252+1))))</f>
        <v>16</v>
      </c>
      <c r="AL252" s="16">
        <f>IF(OR(R252=regle!$J$11,R252=regle!$K$11),-2,IF(R252=regle!$B$11,0,IF(AL$1=$AK$1,IF($O252,-1,regle!$B$2-$M252),IF(AK252=-1,-1,AK252+1))))</f>
        <v>17</v>
      </c>
      <c r="AM252" s="16">
        <f>IF(OR(S252=regle!$J$11,S252=regle!$K$11),-2,IF(S252=regle!$B$11,0,IF(AM$1=$AK$1,IF($O252,-1,regle!$B$2-$M252),IF(AL252=-1,-1,AL252+1))))</f>
        <v>18</v>
      </c>
      <c r="AN252" s="16">
        <f>IF(OR(T252=regle!$J$11,T252=regle!$K$11),-2,IF(T252=regle!$B$11,0,IF(AN$1=$AK$1,IF($O252,-1,regle!$B$2-$M252),IF(AM252=-1,-1,AM252+1))))</f>
        <v>19</v>
      </c>
      <c r="AO252" s="16">
        <f>IF(OR(U252=regle!$J$11,U252=regle!$K$11),-2,IF(U252=regle!$B$11,0,IF(AO$1=$AK$1,IF($O252,-1,regle!$B$2-$M252),IF(AN252=-1,-1,AN252+1))))</f>
        <v>20</v>
      </c>
      <c r="AP252" s="16">
        <f>IF(OR(V252=regle!$J$11,V252=regle!$K$11),-2,IF(V252=regle!$B$11,0,IF(AP$1=$AK$1,IF($O252,-1,regle!$B$2-$M252),IF(AO252=-1,-1,AO252+1))))</f>
        <v>21</v>
      </c>
      <c r="AQ252" s="16">
        <f>IF(OR(W252=regle!$J$11,W252=regle!$K$11),-2,IF(W252=regle!$B$11,0,IF(AQ$1=$AK$1,IF($O252,-1,regle!$B$2-$M252),IF(AP252=-1,-1,AP252+1))))</f>
        <v>22</v>
      </c>
      <c r="AR252" s="16">
        <f>IF(OR(X252=regle!$J$11,X252=regle!$K$11),-2,IF(X252=regle!$B$11,0,IF(AR$1=$AK$1,IF($O252,-1,regle!$B$2-$M252),IF(AQ252=-1,-1,AQ252+1))))</f>
        <v>23</v>
      </c>
      <c r="AS252" s="16">
        <f>IF(OR(Y252=regle!$J$11,Y252=regle!$K$11),-2,IF(Y252=regle!$B$11,0,IF(AS$1=$AK$1,IF($O252,-1,regle!$B$2-$M252),IF(AR252=-1,-1,AR252+1))))</f>
        <v>24</v>
      </c>
      <c r="AT252" s="16">
        <f>IF(OR(Z252=regle!$J$11,Z252=regle!$K$11),-2,IF(Z252=regle!$B$11,0,IF(AT$1=$AK$1,IF($O252,-1,regle!$B$2-$M252),IF(AS252=-1,-1,AS252+1))))</f>
        <v>25</v>
      </c>
    </row>
    <row r="253" spans="1:46" x14ac:dyDescent="0.25">
      <c r="A253" t="b">
        <f>modif0!A160</f>
        <v>1</v>
      </c>
      <c r="B253">
        <f>ROW(modif0!B160)</f>
        <v>160</v>
      </c>
      <c r="C253" t="str">
        <f>modif0!D160</f>
        <v>202</v>
      </c>
      <c r="D253" t="str">
        <f>modif0!E160</f>
        <v>HOSTENS</v>
      </c>
      <c r="E253">
        <f>modif0!F160</f>
        <v>11</v>
      </c>
      <c r="F253" t="str">
        <f>modif0!G160</f>
        <v>LES CAZALAS</v>
      </c>
      <c r="G253" t="str">
        <f>modif0!I160</f>
        <v>0B</v>
      </c>
      <c r="H253">
        <f>modif0!J160</f>
        <v>1184</v>
      </c>
      <c r="I253" t="str">
        <f>modif0!K160</f>
        <v>j</v>
      </c>
      <c r="J253" s="11">
        <f>modif0!M160</f>
        <v>13.7339</v>
      </c>
      <c r="K253" s="11" t="str">
        <f>modif0!P160</f>
        <v>PLA</v>
      </c>
      <c r="L253" t="str">
        <f>modif0!N160</f>
        <v>PM</v>
      </c>
      <c r="M253">
        <f>modif0!Q160</f>
        <v>2006</v>
      </c>
      <c r="N253" t="str">
        <f>modif0!R160</f>
        <v>PLA-PM_2006</v>
      </c>
      <c r="O253" t="b">
        <f>modif0!S160</f>
        <v>0</v>
      </c>
      <c r="P253">
        <v>40</v>
      </c>
      <c r="X253" s="22" t="s">
        <v>1181</v>
      </c>
      <c r="Y253" t="s">
        <v>1868</v>
      </c>
      <c r="AA253" s="17">
        <f>IF($A253,$J253*(IF(Q253=regle!$B$11,regle!$B$23*IF(AJ253=-2,1+regle!$B$35,1),
IF(Q253=regle!$C$11,regle!$C$23,
IF(Q253=regle!$D$11,regle!$D$23,
IF(Q253=regle!$E$11,regle!$E$23,
IF(Q253=regle!$F$11,regle!$F$23,
IF(Q253=regle!$G$11,regle!$G$23,
IF(Q253=regle!$H$11,regle!$H$23,
IF(Q253=regle!$I$11,regle!$I$23,
IF(Q253=regle!$J$11,regle!$J$23,
IF(Q253=regle!$K$11,regle!$K$23,0))))))))))))</f>
        <v>0</v>
      </c>
      <c r="AB253" s="17">
        <f>IF($A253,$J253*(IF(R253=regle!$B$11,regle!$B$23*IF(AK253=-2,1+regle!$B$35,1),
IF(R253=regle!$C$11,regle!$C$23,
IF(R253=regle!$D$11,regle!$D$23,
IF(R253=regle!$E$11,regle!$E$23,
IF(R253=regle!$F$11,regle!$F$23,
IF(R253=regle!$G$11,regle!$G$23,
IF(R253=regle!$H$11,regle!$H$23,
IF(R253=regle!$I$11,regle!$I$23,
IF(R253=regle!$J$11,regle!$J$23,
IF(R253=regle!$K$11,regle!$K$23,0))))))))))))</f>
        <v>0</v>
      </c>
      <c r="AC253" s="17">
        <f>IF($A253,$J253*(IF(S253=regle!$B$11,regle!$B$23*IF(AL253=-2,1+regle!$B$35,1),
IF(S253=regle!$C$11,regle!$C$23,
IF(S253=regle!$D$11,regle!$D$23,
IF(S253=regle!$E$11,regle!$E$23,
IF(S253=regle!$F$11,regle!$F$23,
IF(S253=regle!$G$11,regle!$G$23,
IF(S253=regle!$H$11,regle!$H$23,
IF(S253=regle!$I$11,regle!$I$23,
IF(S253=regle!$J$11,regle!$J$23,
IF(S253=regle!$K$11,regle!$K$23,0))))))))))))</f>
        <v>0</v>
      </c>
      <c r="AD253" s="17">
        <f>IF($A253,$J253*(IF(T253=regle!$B$11,regle!$B$23*IF(AM253=-2,1+regle!$B$35,1),
IF(T253=regle!$C$11,regle!$C$23,
IF(T253=regle!$D$11,regle!$D$23,
IF(T253=regle!$E$11,regle!$E$23,
IF(T253=regle!$F$11,regle!$F$23,
IF(T253=regle!$G$11,regle!$G$23,
IF(T253=regle!$H$11,regle!$H$23,
IF(T253=regle!$I$11,regle!$I$23,
IF(T253=regle!$J$11,regle!$J$23,
IF(T253=regle!$K$11,regle!$K$23,0))))))))))))</f>
        <v>0</v>
      </c>
      <c r="AE253" s="17">
        <f>IF($A253,$J253*(IF(U253=regle!$B$11,regle!$B$23*IF(AN253=-2,1+regle!$B$35,1),
IF(U253=regle!$C$11,regle!$C$23,
IF(U253=regle!$D$11,regle!$D$23,
IF(U253=regle!$E$11,regle!$E$23,
IF(U253=regle!$F$11,regle!$F$23,
IF(U253=regle!$G$11,regle!$G$23,
IF(U253=regle!$H$11,regle!$H$23,
IF(U253=regle!$I$11,regle!$I$23,
IF(U253=regle!$J$11,regle!$J$23,
IF(U253=regle!$K$11,regle!$K$23,0))))))))))))</f>
        <v>0</v>
      </c>
      <c r="AF253" s="17">
        <f>IF($A253,$J253*(IF(V253=regle!$B$11,regle!$B$23*IF(AO253=-2,1+regle!$B$35,1),
IF(V253=regle!$C$11,regle!$C$23,
IF(V253=regle!$D$11,regle!$D$23,
IF(V253=regle!$E$11,regle!$E$23,
IF(V253=regle!$F$11,regle!$F$23,
IF(V253=regle!$G$11,regle!$G$23,
IF(V253=regle!$H$11,regle!$H$23,
IF(V253=regle!$I$11,regle!$I$23,
IF(V253=regle!$J$11,regle!$J$23,
IF(V253=regle!$K$11,regle!$K$23,0))))))))))))</f>
        <v>0</v>
      </c>
      <c r="AG253" s="17">
        <f>IF($A253,$J253*(IF(W253=regle!$B$11,regle!$B$23*IF(AP253=-2,1+regle!$B$35,1),
IF(W253=regle!$C$11,regle!$C$23,
IF(W253=regle!$D$11,regle!$D$23,
IF(W253=regle!$E$11,regle!$E$23,
IF(W253=regle!$F$11,regle!$F$23,
IF(W253=regle!$G$11,regle!$G$23,
IF(W253=regle!$H$11,regle!$H$23,
IF(W253=regle!$I$11,regle!$I$23,
IF(W253=regle!$J$11,regle!$J$23,
IF(W253=regle!$K$11,regle!$K$23,0))))))))))))</f>
        <v>0</v>
      </c>
      <c r="AH253" s="17">
        <f>IF($A253,$J253*(IF(X253=regle!$B$11,regle!$B$23*IF(AQ253=-2,1+regle!$B$35,1),
IF(X253=regle!$C$11,regle!$C$23,
IF(X253=regle!$D$11,regle!$D$23,
IF(X253=regle!$E$11,regle!$E$23,
IF(X253=regle!$F$11,regle!$F$23,
IF(X253=regle!$G$11,regle!$G$23,
IF(X253=regle!$H$11,regle!$H$23,
IF(X253=regle!$I$11,regle!$I$23,
IF(X253=regle!$J$11,regle!$J$23,
IF(X253=regle!$K$11,regle!$K$23,0))))))))))))</f>
        <v>71416.28</v>
      </c>
      <c r="AI253" s="17">
        <f>IF($A253,$J253*(IF(Y253=regle!$B$11,regle!$B$23*IF(AR253=-2,1+regle!$B$35,1),
IF(Y253=regle!$C$11,regle!$C$23,
IF(Y253=regle!$D$11,regle!$D$23,
IF(Y253=regle!$E$11,regle!$E$23,
IF(Y253=regle!$F$11,regle!$F$23,
IF(Y253=regle!$G$11,regle!$G$23,
IF(Y253=regle!$H$11,regle!$H$23,
IF(Y253=regle!$I$11,regle!$I$23,
IF(Y253=regle!$J$11,regle!$J$23,
IF(Y253=regle!$K$11,regle!$K$23,0))))))))))))</f>
        <v>-25682.393000000004</v>
      </c>
      <c r="AJ253" s="17">
        <f>IF($A253,$J253*(IF(Z253=regle!$B$11,regle!$B$23*IF(AS253=-2,1+regle!$B$35,1),
IF(Z253=regle!$C$11,regle!$C$23,
IF(Z253=regle!$D$11,regle!$D$23,
IF(Z253=regle!$E$11,regle!$E$23,
IF(Z253=regle!$F$11,regle!$F$23,
IF(Z253=regle!$G$11,regle!$G$23,
IF(Z253=regle!$H$11,regle!$H$23,
IF(Z253=regle!$I$11,regle!$I$23,
IF(Z253=regle!$J$11,regle!$J$23,
IF(Z253=regle!$K$11,regle!$K$23,0))))))))))))</f>
        <v>0</v>
      </c>
      <c r="AK253" s="16">
        <f>IF(OR(Q253=regle!$J$11,Q253=regle!$K$11),-2,IF(Q253=regle!$B$11,0,IF(AK$1=$AK$1,IF($O253,-1,regle!$B$2-$M253),IF(AJ253=-1,-1,AJ253+1))))</f>
        <v>18</v>
      </c>
      <c r="AL253" s="16">
        <f>IF(OR(R253=regle!$J$11,R253=regle!$K$11),-2,IF(R253=regle!$B$11,0,IF(AL$1=$AK$1,IF($O253,-1,regle!$B$2-$M253),IF(AK253=-1,-1,AK253+1))))</f>
        <v>19</v>
      </c>
      <c r="AM253" s="16">
        <f>IF(OR(S253=regle!$J$11,S253=regle!$K$11),-2,IF(S253=regle!$B$11,0,IF(AM$1=$AK$1,IF($O253,-1,regle!$B$2-$M253),IF(AL253=-1,-1,AL253+1))))</f>
        <v>20</v>
      </c>
      <c r="AN253" s="16">
        <f>IF(OR(T253=regle!$J$11,T253=regle!$K$11),-2,IF(T253=regle!$B$11,0,IF(AN$1=$AK$1,IF($O253,-1,regle!$B$2-$M253),IF(AM253=-1,-1,AM253+1))))</f>
        <v>21</v>
      </c>
      <c r="AO253" s="16">
        <f>IF(OR(U253=regle!$J$11,U253=regle!$K$11),-2,IF(U253=regle!$B$11,0,IF(AO$1=$AK$1,IF($O253,-1,regle!$B$2-$M253),IF(AN253=-1,-1,AN253+1))))</f>
        <v>22</v>
      </c>
      <c r="AP253" s="16">
        <f>IF(OR(V253=regle!$J$11,V253=regle!$K$11),-2,IF(V253=regle!$B$11,0,IF(AP$1=$AK$1,IF($O253,-1,regle!$B$2-$M253),IF(AO253=-1,-1,AO253+1))))</f>
        <v>23</v>
      </c>
      <c r="AQ253" s="16">
        <f>IF(OR(W253=regle!$J$11,W253=regle!$K$11),-2,IF(W253=regle!$B$11,0,IF(AQ$1=$AK$1,IF($O253,-1,regle!$B$2-$M253),IF(AP253=-1,-1,AP253+1))))</f>
        <v>24</v>
      </c>
      <c r="AR253" s="16">
        <f>IF(OR(X253=regle!$J$11,X253=regle!$K$11),-2,IF(X253=regle!$B$11,0,IF(AR$1=$AK$1,IF($O253,-1,regle!$B$2-$M253),IF(AQ253=-1,-1,AQ253+1))))</f>
        <v>-2</v>
      </c>
      <c r="AS253" s="16">
        <f>IF(OR(Y253=regle!$J$11,Y253=regle!$K$11),-2,IF(Y253=regle!$B$11,0,IF(AS$1=$AK$1,IF($O253,-1,regle!$B$2-$M253),IF(AR253=-1,-1,AR253+1))))</f>
        <v>0</v>
      </c>
      <c r="AT253" s="16">
        <f>IF(OR(Z253=regle!$J$11,Z253=regle!$K$11),-2,IF(Z253=regle!$B$11,0,IF(AT$1=$AK$1,IF($O253,-1,regle!$B$2-$M253),IF(AS253=-1,-1,AS253+1))))</f>
        <v>1</v>
      </c>
    </row>
    <row r="254" spans="1:46" x14ac:dyDescent="0.25">
      <c r="A254" t="b">
        <f>modif0!A138</f>
        <v>1</v>
      </c>
      <c r="B254">
        <f>ROW(modif0!B138)</f>
        <v>138</v>
      </c>
      <c r="C254" t="str">
        <f>modif0!D138</f>
        <v>202</v>
      </c>
      <c r="D254" t="str">
        <f>modif0!E138</f>
        <v>HOSTENS</v>
      </c>
      <c r="E254">
        <f>modif0!F138</f>
        <v>11</v>
      </c>
      <c r="F254" t="str">
        <f>modif0!G138</f>
        <v>LES CAZALAS</v>
      </c>
      <c r="G254" t="str">
        <f>modif0!I138</f>
        <v>0B</v>
      </c>
      <c r="H254">
        <f>modif0!J138</f>
        <v>1161</v>
      </c>
      <c r="I254" t="str">
        <f>modif0!K138</f>
        <v/>
      </c>
      <c r="J254" s="11">
        <f>modif0!M138</f>
        <v>2.911</v>
      </c>
      <c r="K254" s="11" t="str">
        <f>modif0!P138</f>
        <v>PLA</v>
      </c>
      <c r="L254" t="str">
        <f>modif0!N138</f>
        <v>PM</v>
      </c>
      <c r="M254">
        <f>modif0!Q138</f>
        <v>2006</v>
      </c>
      <c r="N254" t="str">
        <f>modif0!R138</f>
        <v>PLA-PM_2006</v>
      </c>
      <c r="O254" t="b">
        <f>modif0!S138</f>
        <v>0</v>
      </c>
      <c r="P254">
        <v>40</v>
      </c>
      <c r="X254" s="22" t="s">
        <v>1181</v>
      </c>
      <c r="Y254" t="s">
        <v>1868</v>
      </c>
      <c r="AA254" s="17">
        <f>IF($A254,$J254*(IF(Q254=regle!$B$11,regle!$B$23*IF(AJ254=-2,1+regle!$B$35,1),
IF(Q254=regle!$C$11,regle!$C$23,
IF(Q254=regle!$D$11,regle!$D$23,
IF(Q254=regle!$E$11,regle!$E$23,
IF(Q254=regle!$F$11,regle!$F$23,
IF(Q254=regle!$G$11,regle!$G$23,
IF(Q254=regle!$H$11,regle!$H$23,
IF(Q254=regle!$I$11,regle!$I$23,
IF(Q254=regle!$J$11,regle!$J$23,
IF(Q254=regle!$K$11,regle!$K$23,0))))))))))))</f>
        <v>0</v>
      </c>
      <c r="AB254" s="17">
        <f>IF($A254,$J254*(IF(R254=regle!$B$11,regle!$B$23*IF(AK254=-2,1+regle!$B$35,1),
IF(R254=regle!$C$11,regle!$C$23,
IF(R254=regle!$D$11,regle!$D$23,
IF(R254=regle!$E$11,regle!$E$23,
IF(R254=regle!$F$11,regle!$F$23,
IF(R254=regle!$G$11,regle!$G$23,
IF(R254=regle!$H$11,regle!$H$23,
IF(R254=regle!$I$11,regle!$I$23,
IF(R254=regle!$J$11,regle!$J$23,
IF(R254=regle!$K$11,regle!$K$23,0))))))))))))</f>
        <v>0</v>
      </c>
      <c r="AC254" s="17">
        <f>IF($A254,$J254*(IF(S254=regle!$B$11,regle!$B$23*IF(AL254=-2,1+regle!$B$35,1),
IF(S254=regle!$C$11,regle!$C$23,
IF(S254=regle!$D$11,regle!$D$23,
IF(S254=regle!$E$11,regle!$E$23,
IF(S254=regle!$F$11,regle!$F$23,
IF(S254=regle!$G$11,regle!$G$23,
IF(S254=regle!$H$11,regle!$H$23,
IF(S254=regle!$I$11,regle!$I$23,
IF(S254=regle!$J$11,regle!$J$23,
IF(S254=regle!$K$11,regle!$K$23,0))))))))))))</f>
        <v>0</v>
      </c>
      <c r="AD254" s="17">
        <f>IF($A254,$J254*(IF(T254=regle!$B$11,regle!$B$23*IF(AM254=-2,1+regle!$B$35,1),
IF(T254=regle!$C$11,regle!$C$23,
IF(T254=regle!$D$11,regle!$D$23,
IF(T254=regle!$E$11,regle!$E$23,
IF(T254=regle!$F$11,regle!$F$23,
IF(T254=regle!$G$11,regle!$G$23,
IF(T254=regle!$H$11,regle!$H$23,
IF(T254=regle!$I$11,regle!$I$23,
IF(T254=regle!$J$11,regle!$J$23,
IF(T254=regle!$K$11,regle!$K$23,0))))))))))))</f>
        <v>0</v>
      </c>
      <c r="AE254" s="17">
        <f>IF($A254,$J254*(IF(U254=regle!$B$11,regle!$B$23*IF(AN254=-2,1+regle!$B$35,1),
IF(U254=regle!$C$11,regle!$C$23,
IF(U254=regle!$D$11,regle!$D$23,
IF(U254=regle!$E$11,regle!$E$23,
IF(U254=regle!$F$11,regle!$F$23,
IF(U254=regle!$G$11,regle!$G$23,
IF(U254=regle!$H$11,regle!$H$23,
IF(U254=regle!$I$11,regle!$I$23,
IF(U254=regle!$J$11,regle!$J$23,
IF(U254=regle!$K$11,regle!$K$23,0))))))))))))</f>
        <v>0</v>
      </c>
      <c r="AF254" s="17">
        <f>IF($A254,$J254*(IF(V254=regle!$B$11,regle!$B$23*IF(AO254=-2,1+regle!$B$35,1),
IF(V254=regle!$C$11,regle!$C$23,
IF(V254=regle!$D$11,regle!$D$23,
IF(V254=regle!$E$11,regle!$E$23,
IF(V254=regle!$F$11,regle!$F$23,
IF(V254=regle!$G$11,regle!$G$23,
IF(V254=regle!$H$11,regle!$H$23,
IF(V254=regle!$I$11,regle!$I$23,
IF(V254=regle!$J$11,regle!$J$23,
IF(V254=regle!$K$11,regle!$K$23,0))))))))))))</f>
        <v>0</v>
      </c>
      <c r="AG254" s="17">
        <f>IF($A254,$J254*(IF(W254=regle!$B$11,regle!$B$23*IF(AP254=-2,1+regle!$B$35,1),
IF(W254=regle!$C$11,regle!$C$23,
IF(W254=regle!$D$11,regle!$D$23,
IF(W254=regle!$E$11,regle!$E$23,
IF(W254=regle!$F$11,regle!$F$23,
IF(W254=regle!$G$11,regle!$G$23,
IF(W254=regle!$H$11,regle!$H$23,
IF(W254=regle!$I$11,regle!$I$23,
IF(W254=regle!$J$11,regle!$J$23,
IF(W254=regle!$K$11,regle!$K$23,0))))))))))))</f>
        <v>0</v>
      </c>
      <c r="AH254" s="17">
        <f>IF($A254,$J254*(IF(X254=regle!$B$11,regle!$B$23*IF(AQ254=-2,1+regle!$B$35,1),
IF(X254=regle!$C$11,regle!$C$23,
IF(X254=regle!$D$11,regle!$D$23,
IF(X254=regle!$E$11,regle!$E$23,
IF(X254=regle!$F$11,regle!$F$23,
IF(X254=regle!$G$11,regle!$G$23,
IF(X254=regle!$H$11,regle!$H$23,
IF(X254=regle!$I$11,regle!$I$23,
IF(X254=regle!$J$11,regle!$J$23,
IF(X254=regle!$K$11,regle!$K$23,0))))))))))))</f>
        <v>15137.2</v>
      </c>
      <c r="AI254" s="17">
        <f>IF($A254,$J254*(IF(Y254=regle!$B$11,regle!$B$23*IF(AR254=-2,1+regle!$B$35,1),
IF(Y254=regle!$C$11,regle!$C$23,
IF(Y254=regle!$D$11,regle!$D$23,
IF(Y254=regle!$E$11,regle!$E$23,
IF(Y254=regle!$F$11,regle!$F$23,
IF(Y254=regle!$G$11,regle!$G$23,
IF(Y254=regle!$H$11,regle!$H$23,
IF(Y254=regle!$I$11,regle!$I$23,
IF(Y254=regle!$J$11,regle!$J$23,
IF(Y254=regle!$K$11,regle!$K$23,0))))))))))))</f>
        <v>-5443.5700000000006</v>
      </c>
      <c r="AJ254" s="17">
        <f>IF($A254,$J254*(IF(Z254=regle!$B$11,regle!$B$23*IF(AS254=-2,1+regle!$B$35,1),
IF(Z254=regle!$C$11,regle!$C$23,
IF(Z254=regle!$D$11,regle!$D$23,
IF(Z254=regle!$E$11,regle!$E$23,
IF(Z254=regle!$F$11,regle!$F$23,
IF(Z254=regle!$G$11,regle!$G$23,
IF(Z254=regle!$H$11,regle!$H$23,
IF(Z254=regle!$I$11,regle!$I$23,
IF(Z254=regle!$J$11,regle!$J$23,
IF(Z254=regle!$K$11,regle!$K$23,0))))))))))))</f>
        <v>0</v>
      </c>
      <c r="AK254" s="16">
        <f>IF(OR(Q254=regle!$J$11,Q254=regle!$K$11),-2,IF(Q254=regle!$B$11,0,IF(AK$1=$AK$1,IF($O254,-1,regle!$B$2-$M254),IF(AJ254=-1,-1,AJ254+1))))</f>
        <v>18</v>
      </c>
      <c r="AL254" s="16">
        <f>IF(OR(R254=regle!$J$11,R254=regle!$K$11),-2,IF(R254=regle!$B$11,0,IF(AL$1=$AK$1,IF($O254,-1,regle!$B$2-$M254),IF(AK254=-1,-1,AK254+1))))</f>
        <v>19</v>
      </c>
      <c r="AM254" s="16">
        <f>IF(OR(S254=regle!$J$11,S254=regle!$K$11),-2,IF(S254=regle!$B$11,0,IF(AM$1=$AK$1,IF($O254,-1,regle!$B$2-$M254),IF(AL254=-1,-1,AL254+1))))</f>
        <v>20</v>
      </c>
      <c r="AN254" s="16">
        <f>IF(OR(T254=regle!$J$11,T254=regle!$K$11),-2,IF(T254=regle!$B$11,0,IF(AN$1=$AK$1,IF($O254,-1,regle!$B$2-$M254),IF(AM254=-1,-1,AM254+1))))</f>
        <v>21</v>
      </c>
      <c r="AO254" s="16">
        <f>IF(OR(U254=regle!$J$11,U254=regle!$K$11),-2,IF(U254=regle!$B$11,0,IF(AO$1=$AK$1,IF($O254,-1,regle!$B$2-$M254),IF(AN254=-1,-1,AN254+1))))</f>
        <v>22</v>
      </c>
      <c r="AP254" s="16">
        <f>IF(OR(V254=regle!$J$11,V254=regle!$K$11),-2,IF(V254=regle!$B$11,0,IF(AP$1=$AK$1,IF($O254,-1,regle!$B$2-$M254),IF(AO254=-1,-1,AO254+1))))</f>
        <v>23</v>
      </c>
      <c r="AQ254" s="16">
        <f>IF(OR(W254=regle!$J$11,W254=regle!$K$11),-2,IF(W254=regle!$B$11,0,IF(AQ$1=$AK$1,IF($O254,-1,regle!$B$2-$M254),IF(AP254=-1,-1,AP254+1))))</f>
        <v>24</v>
      </c>
      <c r="AR254" s="16">
        <f>IF(OR(X254=regle!$J$11,X254=regle!$K$11),-2,IF(X254=regle!$B$11,0,IF(AR$1=$AK$1,IF($O254,-1,regle!$B$2-$M254),IF(AQ254=-1,-1,AQ254+1))))</f>
        <v>-2</v>
      </c>
      <c r="AS254" s="16">
        <f>IF(OR(Y254=regle!$J$11,Y254=regle!$K$11),-2,IF(Y254=regle!$B$11,0,IF(AS$1=$AK$1,IF($O254,-1,regle!$B$2-$M254),IF(AR254=-1,-1,AR254+1))))</f>
        <v>0</v>
      </c>
      <c r="AT254" s="16">
        <f>IF(OR(Z254=regle!$J$11,Z254=regle!$K$11),-2,IF(Z254=regle!$B$11,0,IF(AT$1=$AK$1,IF($O254,-1,regle!$B$2-$M254),IF(AS254=-1,-1,AS254+1))))</f>
        <v>1</v>
      </c>
    </row>
    <row r="255" spans="1:46" x14ac:dyDescent="0.25">
      <c r="A255" t="b">
        <f>modif0!A114</f>
        <v>1</v>
      </c>
      <c r="B255">
        <f>ROW(modif0!B114)</f>
        <v>114</v>
      </c>
      <c r="C255" t="str">
        <f>modif0!D114</f>
        <v>202</v>
      </c>
      <c r="D255" t="str">
        <f>modif0!E114</f>
        <v>HOSTENS</v>
      </c>
      <c r="E255">
        <f>modif0!F114</f>
        <v>11</v>
      </c>
      <c r="F255" t="str">
        <f>modif0!G114</f>
        <v>LES CAZALAS</v>
      </c>
      <c r="G255" t="str">
        <f>modif0!I114</f>
        <v>0B</v>
      </c>
      <c r="H255">
        <f>modif0!J114</f>
        <v>1146</v>
      </c>
      <c r="I255" t="str">
        <f>modif0!K114</f>
        <v/>
      </c>
      <c r="J255" s="11">
        <f>modif0!M114</f>
        <v>2.4319999999999999</v>
      </c>
      <c r="K255" s="11" t="str">
        <f>modif0!P114</f>
        <v>PLA</v>
      </c>
      <c r="L255" t="str">
        <f>modif0!N114</f>
        <v>PM</v>
      </c>
      <c r="M255">
        <f>modif0!Q114</f>
        <v>2006</v>
      </c>
      <c r="N255" t="str">
        <f>modif0!R114</f>
        <v>PLA-PM_2006</v>
      </c>
      <c r="O255" t="b">
        <f>modif0!S114</f>
        <v>0</v>
      </c>
      <c r="P255">
        <v>40</v>
      </c>
      <c r="Y255" s="22" t="s">
        <v>1181</v>
      </c>
      <c r="Z255" t="s">
        <v>1868</v>
      </c>
      <c r="AA255" s="17">
        <f>IF($A255,$J255*(IF(Q255=regle!$B$11,regle!$B$23*IF(AJ255=-2,1+regle!$B$35,1),
IF(Q255=regle!$C$11,regle!$C$23,
IF(Q255=regle!$D$11,regle!$D$23,
IF(Q255=regle!$E$11,regle!$E$23,
IF(Q255=regle!$F$11,regle!$F$23,
IF(Q255=regle!$G$11,regle!$G$23,
IF(Q255=regle!$H$11,regle!$H$23,
IF(Q255=regle!$I$11,regle!$I$23,
IF(Q255=regle!$J$11,regle!$J$23,
IF(Q255=regle!$K$11,regle!$K$23,0))))))))))))</f>
        <v>0</v>
      </c>
      <c r="AB255" s="17">
        <f>IF($A255,$J255*(IF(R255=regle!$B$11,regle!$B$23*IF(AK255=-2,1+regle!$B$35,1),
IF(R255=regle!$C$11,regle!$C$23,
IF(R255=regle!$D$11,regle!$D$23,
IF(R255=regle!$E$11,regle!$E$23,
IF(R255=regle!$F$11,regle!$F$23,
IF(R255=regle!$G$11,regle!$G$23,
IF(R255=regle!$H$11,regle!$H$23,
IF(R255=regle!$I$11,regle!$I$23,
IF(R255=regle!$J$11,regle!$J$23,
IF(R255=regle!$K$11,regle!$K$23,0))))))))))))</f>
        <v>0</v>
      </c>
      <c r="AC255" s="17">
        <f>IF($A255,$J255*(IF(S255=regle!$B$11,regle!$B$23*IF(AL255=-2,1+regle!$B$35,1),
IF(S255=regle!$C$11,regle!$C$23,
IF(S255=regle!$D$11,regle!$D$23,
IF(S255=regle!$E$11,regle!$E$23,
IF(S255=regle!$F$11,regle!$F$23,
IF(S255=regle!$G$11,regle!$G$23,
IF(S255=regle!$H$11,regle!$H$23,
IF(S255=regle!$I$11,regle!$I$23,
IF(S255=regle!$J$11,regle!$J$23,
IF(S255=regle!$K$11,regle!$K$23,0))))))))))))</f>
        <v>0</v>
      </c>
      <c r="AD255" s="17">
        <f>IF($A255,$J255*(IF(T255=regle!$B$11,regle!$B$23*IF(AM255=-2,1+regle!$B$35,1),
IF(T255=regle!$C$11,regle!$C$23,
IF(T255=regle!$D$11,regle!$D$23,
IF(T255=regle!$E$11,regle!$E$23,
IF(T255=regle!$F$11,regle!$F$23,
IF(T255=regle!$G$11,regle!$G$23,
IF(T255=regle!$H$11,regle!$H$23,
IF(T255=regle!$I$11,regle!$I$23,
IF(T255=regle!$J$11,regle!$J$23,
IF(T255=regle!$K$11,regle!$K$23,0))))))))))))</f>
        <v>0</v>
      </c>
      <c r="AE255" s="17">
        <f>IF($A255,$J255*(IF(U255=regle!$B$11,regle!$B$23*IF(AN255=-2,1+regle!$B$35,1),
IF(U255=regle!$C$11,regle!$C$23,
IF(U255=regle!$D$11,regle!$D$23,
IF(U255=regle!$E$11,regle!$E$23,
IF(U255=regle!$F$11,regle!$F$23,
IF(U255=regle!$G$11,regle!$G$23,
IF(U255=regle!$H$11,regle!$H$23,
IF(U255=regle!$I$11,regle!$I$23,
IF(U255=regle!$J$11,regle!$J$23,
IF(U255=regle!$K$11,regle!$K$23,0))))))))))))</f>
        <v>0</v>
      </c>
      <c r="AF255" s="17">
        <f>IF($A255,$J255*(IF(V255=regle!$B$11,regle!$B$23*IF(AO255=-2,1+regle!$B$35,1),
IF(V255=regle!$C$11,regle!$C$23,
IF(V255=regle!$D$11,regle!$D$23,
IF(V255=regle!$E$11,regle!$E$23,
IF(V255=regle!$F$11,regle!$F$23,
IF(V255=regle!$G$11,regle!$G$23,
IF(V255=regle!$H$11,regle!$H$23,
IF(V255=regle!$I$11,regle!$I$23,
IF(V255=regle!$J$11,regle!$J$23,
IF(V255=regle!$K$11,regle!$K$23,0))))))))))))</f>
        <v>0</v>
      </c>
      <c r="AG255" s="17">
        <f>IF($A255,$J255*(IF(W255=regle!$B$11,regle!$B$23*IF(AP255=-2,1+regle!$B$35,1),
IF(W255=regle!$C$11,regle!$C$23,
IF(W255=regle!$D$11,regle!$D$23,
IF(W255=regle!$E$11,regle!$E$23,
IF(W255=regle!$F$11,regle!$F$23,
IF(W255=regle!$G$11,regle!$G$23,
IF(W255=regle!$H$11,regle!$H$23,
IF(W255=regle!$I$11,regle!$I$23,
IF(W255=regle!$J$11,regle!$J$23,
IF(W255=regle!$K$11,regle!$K$23,0))))))))))))</f>
        <v>0</v>
      </c>
      <c r="AH255" s="17">
        <f>IF($A255,$J255*(IF(X255=regle!$B$11,regle!$B$23*IF(AQ255=-2,1+regle!$B$35,1),
IF(X255=regle!$C$11,regle!$C$23,
IF(X255=regle!$D$11,regle!$D$23,
IF(X255=regle!$E$11,regle!$E$23,
IF(X255=regle!$F$11,regle!$F$23,
IF(X255=regle!$G$11,regle!$G$23,
IF(X255=regle!$H$11,regle!$H$23,
IF(X255=regle!$I$11,regle!$I$23,
IF(X255=regle!$J$11,regle!$J$23,
IF(X255=regle!$K$11,regle!$K$23,0))))))))))))</f>
        <v>0</v>
      </c>
      <c r="AI255" s="17">
        <f>IF($A255,$J255*(IF(Y255=regle!$B$11,regle!$B$23*IF(AR255=-2,1+regle!$B$35,1),
IF(Y255=regle!$C$11,regle!$C$23,
IF(Y255=regle!$D$11,regle!$D$23,
IF(Y255=regle!$E$11,regle!$E$23,
IF(Y255=regle!$F$11,regle!$F$23,
IF(Y255=regle!$G$11,regle!$G$23,
IF(Y255=regle!$H$11,regle!$H$23,
IF(Y255=regle!$I$11,regle!$I$23,
IF(Y255=regle!$J$11,regle!$J$23,
IF(Y255=regle!$K$11,regle!$K$23,0))))))))))))</f>
        <v>12646.4</v>
      </c>
      <c r="AJ255" s="17">
        <f>IF($A255,$J255*(IF(Z255=regle!$B$11,regle!$B$23*IF(AS255=-2,1+regle!$B$35,1),
IF(Z255=regle!$C$11,regle!$C$23,
IF(Z255=regle!$D$11,regle!$D$23,
IF(Z255=regle!$E$11,regle!$E$23,
IF(Z255=regle!$F$11,regle!$F$23,
IF(Z255=regle!$G$11,regle!$G$23,
IF(Z255=regle!$H$11,regle!$H$23,
IF(Z255=regle!$I$11,regle!$I$23,
IF(Z255=regle!$J$11,regle!$J$23,
IF(Z255=regle!$K$11,regle!$K$23,0))))))))))))</f>
        <v>-4547.84</v>
      </c>
      <c r="AK255" s="16">
        <f>IF(OR(Q255=regle!$J$11,Q255=regle!$K$11),-2,IF(Q255=regle!$B$11,0,IF(AK$1=$AK$1,IF($O255,-1,regle!$B$2-$M255),IF(AJ255=-1,-1,AJ255+1))))</f>
        <v>18</v>
      </c>
      <c r="AL255" s="16">
        <f>IF(OR(R255=regle!$J$11,R255=regle!$K$11),-2,IF(R255=regle!$B$11,0,IF(AL$1=$AK$1,IF($O255,-1,regle!$B$2-$M255),IF(AK255=-1,-1,AK255+1))))</f>
        <v>19</v>
      </c>
      <c r="AM255" s="16">
        <f>IF(OR(S255=regle!$J$11,S255=regle!$K$11),-2,IF(S255=regle!$B$11,0,IF(AM$1=$AK$1,IF($O255,-1,regle!$B$2-$M255),IF(AL255=-1,-1,AL255+1))))</f>
        <v>20</v>
      </c>
      <c r="AN255" s="16">
        <f>IF(OR(T255=regle!$J$11,T255=regle!$K$11),-2,IF(T255=regle!$B$11,0,IF(AN$1=$AK$1,IF($O255,-1,regle!$B$2-$M255),IF(AM255=-1,-1,AM255+1))))</f>
        <v>21</v>
      </c>
      <c r="AO255" s="16">
        <f>IF(OR(U255=regle!$J$11,U255=regle!$K$11),-2,IF(U255=regle!$B$11,0,IF(AO$1=$AK$1,IF($O255,-1,regle!$B$2-$M255),IF(AN255=-1,-1,AN255+1))))</f>
        <v>22</v>
      </c>
      <c r="AP255" s="16">
        <f>IF(OR(V255=regle!$J$11,V255=regle!$K$11),-2,IF(V255=regle!$B$11,0,IF(AP$1=$AK$1,IF($O255,-1,regle!$B$2-$M255),IF(AO255=-1,-1,AO255+1))))</f>
        <v>23</v>
      </c>
      <c r="AQ255" s="16">
        <f>IF(OR(W255=regle!$J$11,W255=regle!$K$11),-2,IF(W255=regle!$B$11,0,IF(AQ$1=$AK$1,IF($O255,-1,regle!$B$2-$M255),IF(AP255=-1,-1,AP255+1))))</f>
        <v>24</v>
      </c>
      <c r="AR255" s="16">
        <f>IF(OR(X255=regle!$J$11,X255=regle!$K$11),-2,IF(X255=regle!$B$11,0,IF(AR$1=$AK$1,IF($O255,-1,regle!$B$2-$M255),IF(AQ255=-1,-1,AQ255+1))))</f>
        <v>25</v>
      </c>
      <c r="AS255" s="16">
        <f>IF(OR(Y255=regle!$J$11,Y255=regle!$K$11),-2,IF(Y255=regle!$B$11,0,IF(AS$1=$AK$1,IF($O255,-1,regle!$B$2-$M255),IF(AR255=-1,-1,AR255+1))))</f>
        <v>-2</v>
      </c>
      <c r="AT255" s="16">
        <f>IF(OR(Z255=regle!$J$11,Z255=regle!$K$11),-2,IF(Z255=regle!$B$11,0,IF(AT$1=$AK$1,IF($O255,-1,regle!$B$2-$M255),IF(AS255=-1,-1,AS255+1))))</f>
        <v>0</v>
      </c>
    </row>
    <row r="256" spans="1:46" x14ac:dyDescent="0.25">
      <c r="A256" t="b">
        <f>modif0!A115</f>
        <v>1</v>
      </c>
      <c r="B256">
        <f>ROW(modif0!B115)</f>
        <v>115</v>
      </c>
      <c r="C256" t="str">
        <f>modif0!D115</f>
        <v>202</v>
      </c>
      <c r="D256" t="str">
        <f>modif0!E115</f>
        <v>HOSTENS</v>
      </c>
      <c r="E256">
        <f>modif0!F115</f>
        <v>11</v>
      </c>
      <c r="F256" t="str">
        <f>modif0!G115</f>
        <v>LES CAZALAS</v>
      </c>
      <c r="G256" t="str">
        <f>modif0!I115</f>
        <v>0B</v>
      </c>
      <c r="H256">
        <f>modif0!J115</f>
        <v>1147</v>
      </c>
      <c r="I256" t="str">
        <f>modif0!K115</f>
        <v/>
      </c>
      <c r="J256" s="11">
        <f>modif0!M115</f>
        <v>2.1</v>
      </c>
      <c r="K256" s="11" t="str">
        <f>modif0!P115</f>
        <v>PLA</v>
      </c>
      <c r="L256" t="str">
        <f>modif0!N115</f>
        <v>PM</v>
      </c>
      <c r="M256">
        <f>modif0!Q115</f>
        <v>2006</v>
      </c>
      <c r="N256" t="str">
        <f>modif0!R115</f>
        <v>PLA-PM_2006</v>
      </c>
      <c r="O256" t="b">
        <f>modif0!S115</f>
        <v>0</v>
      </c>
      <c r="P256">
        <v>40</v>
      </c>
      <c r="Y256" s="22" t="s">
        <v>1181</v>
      </c>
      <c r="Z256" t="s">
        <v>1868</v>
      </c>
      <c r="AA256" s="17">
        <f>IF($A256,$J256*(IF(Q256=regle!$B$11,regle!$B$23*IF(AJ256=-2,1+regle!$B$35,1),
IF(Q256=regle!$C$11,regle!$C$23,
IF(Q256=regle!$D$11,regle!$D$23,
IF(Q256=regle!$E$11,regle!$E$23,
IF(Q256=regle!$F$11,regle!$F$23,
IF(Q256=regle!$G$11,regle!$G$23,
IF(Q256=regle!$H$11,regle!$H$23,
IF(Q256=regle!$I$11,regle!$I$23,
IF(Q256=regle!$J$11,regle!$J$23,
IF(Q256=regle!$K$11,regle!$K$23,0))))))))))))</f>
        <v>0</v>
      </c>
      <c r="AB256" s="17">
        <f>IF($A256,$J256*(IF(R256=regle!$B$11,regle!$B$23*IF(AK256=-2,1+regle!$B$35,1),
IF(R256=regle!$C$11,regle!$C$23,
IF(R256=regle!$D$11,regle!$D$23,
IF(R256=regle!$E$11,regle!$E$23,
IF(R256=regle!$F$11,regle!$F$23,
IF(R256=regle!$G$11,regle!$G$23,
IF(R256=regle!$H$11,regle!$H$23,
IF(R256=regle!$I$11,regle!$I$23,
IF(R256=regle!$J$11,regle!$J$23,
IF(R256=regle!$K$11,regle!$K$23,0))))))))))))</f>
        <v>0</v>
      </c>
      <c r="AC256" s="17">
        <f>IF($A256,$J256*(IF(S256=regle!$B$11,regle!$B$23*IF(AL256=-2,1+regle!$B$35,1),
IF(S256=regle!$C$11,regle!$C$23,
IF(S256=regle!$D$11,regle!$D$23,
IF(S256=regle!$E$11,regle!$E$23,
IF(S256=regle!$F$11,regle!$F$23,
IF(S256=regle!$G$11,regle!$G$23,
IF(S256=regle!$H$11,regle!$H$23,
IF(S256=regle!$I$11,regle!$I$23,
IF(S256=regle!$J$11,regle!$J$23,
IF(S256=regle!$K$11,regle!$K$23,0))))))))))))</f>
        <v>0</v>
      </c>
      <c r="AD256" s="17">
        <f>IF($A256,$J256*(IF(T256=regle!$B$11,regle!$B$23*IF(AM256=-2,1+regle!$B$35,1),
IF(T256=regle!$C$11,regle!$C$23,
IF(T256=regle!$D$11,regle!$D$23,
IF(T256=regle!$E$11,regle!$E$23,
IF(T256=regle!$F$11,regle!$F$23,
IF(T256=regle!$G$11,regle!$G$23,
IF(T256=regle!$H$11,regle!$H$23,
IF(T256=regle!$I$11,regle!$I$23,
IF(T256=regle!$J$11,regle!$J$23,
IF(T256=regle!$K$11,regle!$K$23,0))))))))))))</f>
        <v>0</v>
      </c>
      <c r="AE256" s="17">
        <f>IF($A256,$J256*(IF(U256=regle!$B$11,regle!$B$23*IF(AN256=-2,1+regle!$B$35,1),
IF(U256=regle!$C$11,regle!$C$23,
IF(U256=regle!$D$11,regle!$D$23,
IF(U256=regle!$E$11,regle!$E$23,
IF(U256=regle!$F$11,regle!$F$23,
IF(U256=regle!$G$11,regle!$G$23,
IF(U256=regle!$H$11,regle!$H$23,
IF(U256=regle!$I$11,regle!$I$23,
IF(U256=regle!$J$11,regle!$J$23,
IF(U256=regle!$K$11,regle!$K$23,0))))))))))))</f>
        <v>0</v>
      </c>
      <c r="AF256" s="17">
        <f>IF($A256,$J256*(IF(V256=regle!$B$11,regle!$B$23*IF(AO256=-2,1+regle!$B$35,1),
IF(V256=regle!$C$11,regle!$C$23,
IF(V256=regle!$D$11,regle!$D$23,
IF(V256=regle!$E$11,regle!$E$23,
IF(V256=regle!$F$11,regle!$F$23,
IF(V256=regle!$G$11,regle!$G$23,
IF(V256=regle!$H$11,regle!$H$23,
IF(V256=regle!$I$11,regle!$I$23,
IF(V256=regle!$J$11,regle!$J$23,
IF(V256=regle!$K$11,regle!$K$23,0))))))))))))</f>
        <v>0</v>
      </c>
      <c r="AG256" s="17">
        <f>IF($A256,$J256*(IF(W256=regle!$B$11,regle!$B$23*IF(AP256=-2,1+regle!$B$35,1),
IF(W256=regle!$C$11,regle!$C$23,
IF(W256=regle!$D$11,regle!$D$23,
IF(W256=regle!$E$11,regle!$E$23,
IF(W256=regle!$F$11,regle!$F$23,
IF(W256=regle!$G$11,regle!$G$23,
IF(W256=regle!$H$11,regle!$H$23,
IF(W256=regle!$I$11,regle!$I$23,
IF(W256=regle!$J$11,regle!$J$23,
IF(W256=regle!$K$11,regle!$K$23,0))))))))))))</f>
        <v>0</v>
      </c>
      <c r="AH256" s="17">
        <f>IF($A256,$J256*(IF(X256=regle!$B$11,regle!$B$23*IF(AQ256=-2,1+regle!$B$35,1),
IF(X256=regle!$C$11,regle!$C$23,
IF(X256=regle!$D$11,regle!$D$23,
IF(X256=regle!$E$11,regle!$E$23,
IF(X256=regle!$F$11,regle!$F$23,
IF(X256=regle!$G$11,regle!$G$23,
IF(X256=regle!$H$11,regle!$H$23,
IF(X256=regle!$I$11,regle!$I$23,
IF(X256=regle!$J$11,regle!$J$23,
IF(X256=regle!$K$11,regle!$K$23,0))))))))))))</f>
        <v>0</v>
      </c>
      <c r="AI256" s="17">
        <f>IF($A256,$J256*(IF(Y256=regle!$B$11,regle!$B$23*IF(AR256=-2,1+regle!$B$35,1),
IF(Y256=regle!$C$11,regle!$C$23,
IF(Y256=regle!$D$11,regle!$D$23,
IF(Y256=regle!$E$11,regle!$E$23,
IF(Y256=regle!$F$11,regle!$F$23,
IF(Y256=regle!$G$11,regle!$G$23,
IF(Y256=regle!$H$11,regle!$H$23,
IF(Y256=regle!$I$11,regle!$I$23,
IF(Y256=regle!$J$11,regle!$J$23,
IF(Y256=regle!$K$11,regle!$K$23,0))))))))))))</f>
        <v>10920</v>
      </c>
      <c r="AJ256" s="17">
        <f>IF($A256,$J256*(IF(Z256=regle!$B$11,regle!$B$23*IF(AS256=-2,1+regle!$B$35,1),
IF(Z256=regle!$C$11,regle!$C$23,
IF(Z256=regle!$D$11,regle!$D$23,
IF(Z256=regle!$E$11,regle!$E$23,
IF(Z256=regle!$F$11,regle!$F$23,
IF(Z256=regle!$G$11,regle!$G$23,
IF(Z256=regle!$H$11,regle!$H$23,
IF(Z256=regle!$I$11,regle!$I$23,
IF(Z256=regle!$J$11,regle!$J$23,
IF(Z256=regle!$K$11,regle!$K$23,0))))))))))))</f>
        <v>-3927.0000000000005</v>
      </c>
      <c r="AK256" s="16">
        <f>IF(OR(Q256=regle!$J$11,Q256=regle!$K$11),-2,IF(Q256=regle!$B$11,0,IF(AK$1=$AK$1,IF($O256,-1,regle!$B$2-$M256),IF(AJ256=-1,-1,AJ256+1))))</f>
        <v>18</v>
      </c>
      <c r="AL256" s="16">
        <f>IF(OR(R256=regle!$J$11,R256=regle!$K$11),-2,IF(R256=regle!$B$11,0,IF(AL$1=$AK$1,IF($O256,-1,regle!$B$2-$M256),IF(AK256=-1,-1,AK256+1))))</f>
        <v>19</v>
      </c>
      <c r="AM256" s="16">
        <f>IF(OR(S256=regle!$J$11,S256=regle!$K$11),-2,IF(S256=regle!$B$11,0,IF(AM$1=$AK$1,IF($O256,-1,regle!$B$2-$M256),IF(AL256=-1,-1,AL256+1))))</f>
        <v>20</v>
      </c>
      <c r="AN256" s="16">
        <f>IF(OR(T256=regle!$J$11,T256=regle!$K$11),-2,IF(T256=regle!$B$11,0,IF(AN$1=$AK$1,IF($O256,-1,regle!$B$2-$M256),IF(AM256=-1,-1,AM256+1))))</f>
        <v>21</v>
      </c>
      <c r="AO256" s="16">
        <f>IF(OR(U256=regle!$J$11,U256=regle!$K$11),-2,IF(U256=regle!$B$11,0,IF(AO$1=$AK$1,IF($O256,-1,regle!$B$2-$M256),IF(AN256=-1,-1,AN256+1))))</f>
        <v>22</v>
      </c>
      <c r="AP256" s="16">
        <f>IF(OR(V256=regle!$J$11,V256=regle!$K$11),-2,IF(V256=regle!$B$11,0,IF(AP$1=$AK$1,IF($O256,-1,regle!$B$2-$M256),IF(AO256=-1,-1,AO256+1))))</f>
        <v>23</v>
      </c>
      <c r="AQ256" s="16">
        <f>IF(OR(W256=regle!$J$11,W256=regle!$K$11),-2,IF(W256=regle!$B$11,0,IF(AQ$1=$AK$1,IF($O256,-1,regle!$B$2-$M256),IF(AP256=-1,-1,AP256+1))))</f>
        <v>24</v>
      </c>
      <c r="AR256" s="16">
        <f>IF(OR(X256=regle!$J$11,X256=regle!$K$11),-2,IF(X256=regle!$B$11,0,IF(AR$1=$AK$1,IF($O256,-1,regle!$B$2-$M256),IF(AQ256=-1,-1,AQ256+1))))</f>
        <v>25</v>
      </c>
      <c r="AS256" s="16">
        <f>IF(OR(Y256=regle!$J$11,Y256=regle!$K$11),-2,IF(Y256=regle!$B$11,0,IF(AS$1=$AK$1,IF($O256,-1,regle!$B$2-$M256),IF(AR256=-1,-1,AR256+1))))</f>
        <v>-2</v>
      </c>
      <c r="AT256" s="16">
        <f>IF(OR(Z256=regle!$J$11,Z256=regle!$K$11),-2,IF(Z256=regle!$B$11,0,IF(AT$1=$AK$1,IF($O256,-1,regle!$B$2-$M256),IF(AS256=-1,-1,AS256+1))))</f>
        <v>0</v>
      </c>
    </row>
    <row r="257" spans="1:46" x14ac:dyDescent="0.25">
      <c r="A257" t="b">
        <f>modif0!A167</f>
        <v>1</v>
      </c>
      <c r="B257">
        <f>ROW(modif0!B167)</f>
        <v>167</v>
      </c>
      <c r="C257" t="str">
        <f>modif0!D167</f>
        <v>202</v>
      </c>
      <c r="D257" t="str">
        <f>modif0!E167</f>
        <v>HOSTENS</v>
      </c>
      <c r="E257">
        <f>modif0!F167</f>
        <v>11</v>
      </c>
      <c r="F257" t="str">
        <f>modif0!G167</f>
        <v>LES CAZALAS</v>
      </c>
      <c r="G257" t="str">
        <f>modif0!I167</f>
        <v>0B</v>
      </c>
      <c r="H257">
        <f>modif0!J167</f>
        <v>1195</v>
      </c>
      <c r="I257" t="str">
        <f>modif0!K167</f>
        <v>k</v>
      </c>
      <c r="J257" s="11">
        <f>modif0!M167</f>
        <v>1.6983999999999999</v>
      </c>
      <c r="K257" s="11" t="str">
        <f>modif0!P167</f>
        <v>PLA</v>
      </c>
      <c r="L257" t="str">
        <f>modif0!N167</f>
        <v>PM</v>
      </c>
      <c r="M257">
        <f>modif0!Q167</f>
        <v>2006</v>
      </c>
      <c r="N257" t="str">
        <f>modif0!R167</f>
        <v>PLA-PM_2006</v>
      </c>
      <c r="O257" t="b">
        <f>modif0!S167</f>
        <v>0</v>
      </c>
      <c r="P257">
        <v>40</v>
      </c>
      <c r="Y257" s="22" t="s">
        <v>1181</v>
      </c>
      <c r="Z257" t="s">
        <v>1868</v>
      </c>
      <c r="AA257" s="17">
        <f>IF($A257,$J257*(IF(Q257=regle!$B$11,regle!$B$23*IF(AJ257=-2,1+regle!$B$35,1),
IF(Q257=regle!$C$11,regle!$C$23,
IF(Q257=regle!$D$11,regle!$D$23,
IF(Q257=regle!$E$11,regle!$E$23,
IF(Q257=regle!$F$11,regle!$F$23,
IF(Q257=regle!$G$11,regle!$G$23,
IF(Q257=regle!$H$11,regle!$H$23,
IF(Q257=regle!$I$11,regle!$I$23,
IF(Q257=regle!$J$11,regle!$J$23,
IF(Q257=regle!$K$11,regle!$K$23,0))))))))))))</f>
        <v>0</v>
      </c>
      <c r="AB257" s="17">
        <f>IF($A257,$J257*(IF(R257=regle!$B$11,regle!$B$23*IF(AK257=-2,1+regle!$B$35,1),
IF(R257=regle!$C$11,regle!$C$23,
IF(R257=regle!$D$11,regle!$D$23,
IF(R257=regle!$E$11,regle!$E$23,
IF(R257=regle!$F$11,regle!$F$23,
IF(R257=regle!$G$11,regle!$G$23,
IF(R257=regle!$H$11,regle!$H$23,
IF(R257=regle!$I$11,regle!$I$23,
IF(R257=regle!$J$11,regle!$J$23,
IF(R257=regle!$K$11,regle!$K$23,0))))))))))))</f>
        <v>0</v>
      </c>
      <c r="AC257" s="17">
        <f>IF($A257,$J257*(IF(S257=regle!$B$11,regle!$B$23*IF(AL257=-2,1+regle!$B$35,1),
IF(S257=regle!$C$11,regle!$C$23,
IF(S257=regle!$D$11,regle!$D$23,
IF(S257=regle!$E$11,regle!$E$23,
IF(S257=regle!$F$11,regle!$F$23,
IF(S257=regle!$G$11,regle!$G$23,
IF(S257=regle!$H$11,regle!$H$23,
IF(S257=regle!$I$11,regle!$I$23,
IF(S257=regle!$J$11,regle!$J$23,
IF(S257=regle!$K$11,regle!$K$23,0))))))))))))</f>
        <v>0</v>
      </c>
      <c r="AD257" s="17">
        <f>IF($A257,$J257*(IF(T257=regle!$B$11,regle!$B$23*IF(AM257=-2,1+regle!$B$35,1),
IF(T257=regle!$C$11,regle!$C$23,
IF(T257=regle!$D$11,regle!$D$23,
IF(T257=regle!$E$11,regle!$E$23,
IF(T257=regle!$F$11,regle!$F$23,
IF(T257=regle!$G$11,regle!$G$23,
IF(T257=regle!$H$11,regle!$H$23,
IF(T257=regle!$I$11,regle!$I$23,
IF(T257=regle!$J$11,regle!$J$23,
IF(T257=regle!$K$11,regle!$K$23,0))))))))))))</f>
        <v>0</v>
      </c>
      <c r="AE257" s="17">
        <f>IF($A257,$J257*(IF(U257=regle!$B$11,regle!$B$23*IF(AN257=-2,1+regle!$B$35,1),
IF(U257=regle!$C$11,regle!$C$23,
IF(U257=regle!$D$11,regle!$D$23,
IF(U257=regle!$E$11,regle!$E$23,
IF(U257=regle!$F$11,regle!$F$23,
IF(U257=regle!$G$11,regle!$G$23,
IF(U257=regle!$H$11,regle!$H$23,
IF(U257=regle!$I$11,regle!$I$23,
IF(U257=regle!$J$11,regle!$J$23,
IF(U257=regle!$K$11,regle!$K$23,0))))))))))))</f>
        <v>0</v>
      </c>
      <c r="AF257" s="17">
        <f>IF($A257,$J257*(IF(V257=regle!$B$11,regle!$B$23*IF(AO257=-2,1+regle!$B$35,1),
IF(V257=regle!$C$11,regle!$C$23,
IF(V257=regle!$D$11,regle!$D$23,
IF(V257=regle!$E$11,regle!$E$23,
IF(V257=regle!$F$11,regle!$F$23,
IF(V257=regle!$G$11,regle!$G$23,
IF(V257=regle!$H$11,regle!$H$23,
IF(V257=regle!$I$11,regle!$I$23,
IF(V257=regle!$J$11,regle!$J$23,
IF(V257=regle!$K$11,regle!$K$23,0))))))))))))</f>
        <v>0</v>
      </c>
      <c r="AG257" s="17">
        <f>IF($A257,$J257*(IF(W257=regle!$B$11,regle!$B$23*IF(AP257=-2,1+regle!$B$35,1),
IF(W257=regle!$C$11,regle!$C$23,
IF(W257=regle!$D$11,regle!$D$23,
IF(W257=regle!$E$11,regle!$E$23,
IF(W257=regle!$F$11,regle!$F$23,
IF(W257=regle!$G$11,regle!$G$23,
IF(W257=regle!$H$11,regle!$H$23,
IF(W257=regle!$I$11,regle!$I$23,
IF(W257=regle!$J$11,regle!$J$23,
IF(W257=regle!$K$11,regle!$K$23,0))))))))))))</f>
        <v>0</v>
      </c>
      <c r="AH257" s="17">
        <f>IF($A257,$J257*(IF(X257=regle!$B$11,regle!$B$23*IF(AQ257=-2,1+regle!$B$35,1),
IF(X257=regle!$C$11,regle!$C$23,
IF(X257=regle!$D$11,regle!$D$23,
IF(X257=regle!$E$11,regle!$E$23,
IF(X257=regle!$F$11,regle!$F$23,
IF(X257=regle!$G$11,regle!$G$23,
IF(X257=regle!$H$11,regle!$H$23,
IF(X257=regle!$I$11,regle!$I$23,
IF(X257=regle!$J$11,regle!$J$23,
IF(X257=regle!$K$11,regle!$K$23,0))))))))))))</f>
        <v>0</v>
      </c>
      <c r="AI257" s="17">
        <f>IF($A257,$J257*(IF(Y257=regle!$B$11,regle!$B$23*IF(AR257=-2,1+regle!$B$35,1),
IF(Y257=regle!$C$11,regle!$C$23,
IF(Y257=regle!$D$11,regle!$D$23,
IF(Y257=regle!$E$11,regle!$E$23,
IF(Y257=regle!$F$11,regle!$F$23,
IF(Y257=regle!$G$11,regle!$G$23,
IF(Y257=regle!$H$11,regle!$H$23,
IF(Y257=regle!$I$11,regle!$I$23,
IF(Y257=regle!$J$11,regle!$J$23,
IF(Y257=regle!$K$11,regle!$K$23,0))))))))))))</f>
        <v>8831.68</v>
      </c>
      <c r="AJ257" s="17">
        <f>IF($A257,$J257*(IF(Z257=regle!$B$11,regle!$B$23*IF(AS257=-2,1+regle!$B$35,1),
IF(Z257=regle!$C$11,regle!$C$23,
IF(Z257=regle!$D$11,regle!$D$23,
IF(Z257=regle!$E$11,regle!$E$23,
IF(Z257=regle!$F$11,regle!$F$23,
IF(Z257=regle!$G$11,regle!$G$23,
IF(Z257=regle!$H$11,regle!$H$23,
IF(Z257=regle!$I$11,regle!$I$23,
IF(Z257=regle!$J$11,regle!$J$23,
IF(Z257=regle!$K$11,regle!$K$23,0))))))))))))</f>
        <v>-3176.0080000000003</v>
      </c>
      <c r="AK257" s="16">
        <f>IF(OR(Q257=regle!$J$11,Q257=regle!$K$11),-2,IF(Q257=regle!$B$11,0,IF(AK$1=$AK$1,IF($O257,-1,regle!$B$2-$M257),IF(AJ257=-1,-1,AJ257+1))))</f>
        <v>18</v>
      </c>
      <c r="AL257" s="16">
        <f>IF(OR(R257=regle!$J$11,R257=regle!$K$11),-2,IF(R257=regle!$B$11,0,IF(AL$1=$AK$1,IF($O257,-1,regle!$B$2-$M257),IF(AK257=-1,-1,AK257+1))))</f>
        <v>19</v>
      </c>
      <c r="AM257" s="16">
        <f>IF(OR(S257=regle!$J$11,S257=regle!$K$11),-2,IF(S257=regle!$B$11,0,IF(AM$1=$AK$1,IF($O257,-1,regle!$B$2-$M257),IF(AL257=-1,-1,AL257+1))))</f>
        <v>20</v>
      </c>
      <c r="AN257" s="16">
        <f>IF(OR(T257=regle!$J$11,T257=regle!$K$11),-2,IF(T257=regle!$B$11,0,IF(AN$1=$AK$1,IF($O257,-1,regle!$B$2-$M257),IF(AM257=-1,-1,AM257+1))))</f>
        <v>21</v>
      </c>
      <c r="AO257" s="16">
        <f>IF(OR(U257=regle!$J$11,U257=regle!$K$11),-2,IF(U257=regle!$B$11,0,IF(AO$1=$AK$1,IF($O257,-1,regle!$B$2-$M257),IF(AN257=-1,-1,AN257+1))))</f>
        <v>22</v>
      </c>
      <c r="AP257" s="16">
        <f>IF(OR(V257=regle!$J$11,V257=regle!$K$11),-2,IF(V257=regle!$B$11,0,IF(AP$1=$AK$1,IF($O257,-1,regle!$B$2-$M257),IF(AO257=-1,-1,AO257+1))))</f>
        <v>23</v>
      </c>
      <c r="AQ257" s="16">
        <f>IF(OR(W257=regle!$J$11,W257=regle!$K$11),-2,IF(W257=regle!$B$11,0,IF(AQ$1=$AK$1,IF($O257,-1,regle!$B$2-$M257),IF(AP257=-1,-1,AP257+1))))</f>
        <v>24</v>
      </c>
      <c r="AR257" s="16">
        <f>IF(OR(X257=regle!$J$11,X257=regle!$K$11),-2,IF(X257=regle!$B$11,0,IF(AR$1=$AK$1,IF($O257,-1,regle!$B$2-$M257),IF(AQ257=-1,-1,AQ257+1))))</f>
        <v>25</v>
      </c>
      <c r="AS257" s="16">
        <f>IF(OR(Y257=regle!$J$11,Y257=regle!$K$11),-2,IF(Y257=regle!$B$11,0,IF(AS$1=$AK$1,IF($O257,-1,regle!$B$2-$M257),IF(AR257=-1,-1,AR257+1))))</f>
        <v>-2</v>
      </c>
      <c r="AT257" s="16">
        <f>IF(OR(Z257=regle!$J$11,Z257=regle!$K$11),-2,IF(Z257=regle!$B$11,0,IF(AT$1=$AK$1,IF($O257,-1,regle!$B$2-$M257),IF(AS257=-1,-1,AS257+1))))</f>
        <v>0</v>
      </c>
    </row>
    <row r="258" spans="1:46" x14ac:dyDescent="0.25">
      <c r="A258" t="b">
        <f>modif0!A232</f>
        <v>1</v>
      </c>
      <c r="B258">
        <f>ROW(modif0!B232)</f>
        <v>232</v>
      </c>
      <c r="C258" t="str">
        <f>modif0!D232</f>
        <v>202</v>
      </c>
      <c r="D258" t="str">
        <f>modif0!E232</f>
        <v>HOSTENS</v>
      </c>
      <c r="E258">
        <f>modif0!F232</f>
        <v>11</v>
      </c>
      <c r="F258" t="str">
        <f>modif0!G232</f>
        <v>LES CAZALAS</v>
      </c>
      <c r="G258" t="str">
        <f>modif0!I232</f>
        <v>0B</v>
      </c>
      <c r="H258">
        <f>modif0!J232</f>
        <v>1578</v>
      </c>
      <c r="I258" t="str">
        <f>modif0!K232</f>
        <v>k</v>
      </c>
      <c r="J258" s="11">
        <f>modif0!M232</f>
        <v>1.3549</v>
      </c>
      <c r="K258" s="11" t="str">
        <f>modif0!P232</f>
        <v>PLA</v>
      </c>
      <c r="L258" t="str">
        <f>modif0!N232</f>
        <v>PM</v>
      </c>
      <c r="M258">
        <f>modif0!Q232</f>
        <v>2006</v>
      </c>
      <c r="N258" t="str">
        <f>modif0!R232</f>
        <v>PLA-PM_2006</v>
      </c>
      <c r="O258" t="b">
        <f>modif0!S232</f>
        <v>0</v>
      </c>
      <c r="P258">
        <v>40</v>
      </c>
      <c r="Y258" s="22" t="s">
        <v>1181</v>
      </c>
      <c r="Z258" t="s">
        <v>1868</v>
      </c>
      <c r="AA258" s="17">
        <f>IF($A258,$J258*(IF(Q258=regle!$B$11,regle!$B$23*IF(AJ258=-2,1+regle!$B$35,1),
IF(Q258=regle!$C$11,regle!$C$23,
IF(Q258=regle!$D$11,regle!$D$23,
IF(Q258=regle!$E$11,regle!$E$23,
IF(Q258=regle!$F$11,regle!$F$23,
IF(Q258=regle!$G$11,regle!$G$23,
IF(Q258=regle!$H$11,regle!$H$23,
IF(Q258=regle!$I$11,regle!$I$23,
IF(Q258=regle!$J$11,regle!$J$23,
IF(Q258=regle!$K$11,regle!$K$23,0))))))))))))</f>
        <v>0</v>
      </c>
      <c r="AB258" s="17">
        <f>IF($A258,$J258*(IF(R258=regle!$B$11,regle!$B$23*IF(AK258=-2,1+regle!$B$35,1),
IF(R258=regle!$C$11,regle!$C$23,
IF(R258=regle!$D$11,regle!$D$23,
IF(R258=regle!$E$11,regle!$E$23,
IF(R258=regle!$F$11,regle!$F$23,
IF(R258=regle!$G$11,regle!$G$23,
IF(R258=regle!$H$11,regle!$H$23,
IF(R258=regle!$I$11,regle!$I$23,
IF(R258=regle!$J$11,regle!$J$23,
IF(R258=regle!$K$11,regle!$K$23,0))))))))))))</f>
        <v>0</v>
      </c>
      <c r="AC258" s="17">
        <f>IF($A258,$J258*(IF(S258=regle!$B$11,regle!$B$23*IF(AL258=-2,1+regle!$B$35,1),
IF(S258=regle!$C$11,regle!$C$23,
IF(S258=regle!$D$11,regle!$D$23,
IF(S258=regle!$E$11,regle!$E$23,
IF(S258=regle!$F$11,regle!$F$23,
IF(S258=regle!$G$11,regle!$G$23,
IF(S258=regle!$H$11,regle!$H$23,
IF(S258=regle!$I$11,regle!$I$23,
IF(S258=regle!$J$11,regle!$J$23,
IF(S258=regle!$K$11,regle!$K$23,0))))))))))))</f>
        <v>0</v>
      </c>
      <c r="AD258" s="17">
        <f>IF($A258,$J258*(IF(T258=regle!$B$11,regle!$B$23*IF(AM258=-2,1+regle!$B$35,1),
IF(T258=regle!$C$11,regle!$C$23,
IF(T258=regle!$D$11,regle!$D$23,
IF(T258=regle!$E$11,regle!$E$23,
IF(T258=regle!$F$11,regle!$F$23,
IF(T258=regle!$G$11,regle!$G$23,
IF(T258=regle!$H$11,regle!$H$23,
IF(T258=regle!$I$11,regle!$I$23,
IF(T258=regle!$J$11,regle!$J$23,
IF(T258=regle!$K$11,regle!$K$23,0))))))))))))</f>
        <v>0</v>
      </c>
      <c r="AE258" s="17">
        <f>IF($A258,$J258*(IF(U258=regle!$B$11,regle!$B$23*IF(AN258=-2,1+regle!$B$35,1),
IF(U258=regle!$C$11,regle!$C$23,
IF(U258=regle!$D$11,regle!$D$23,
IF(U258=regle!$E$11,regle!$E$23,
IF(U258=regle!$F$11,regle!$F$23,
IF(U258=regle!$G$11,regle!$G$23,
IF(U258=regle!$H$11,regle!$H$23,
IF(U258=regle!$I$11,regle!$I$23,
IF(U258=regle!$J$11,regle!$J$23,
IF(U258=regle!$K$11,regle!$K$23,0))))))))))))</f>
        <v>0</v>
      </c>
      <c r="AF258" s="17">
        <f>IF($A258,$J258*(IF(V258=regle!$B$11,regle!$B$23*IF(AO258=-2,1+regle!$B$35,1),
IF(V258=regle!$C$11,regle!$C$23,
IF(V258=regle!$D$11,regle!$D$23,
IF(V258=regle!$E$11,regle!$E$23,
IF(V258=regle!$F$11,regle!$F$23,
IF(V258=regle!$G$11,regle!$G$23,
IF(V258=regle!$H$11,regle!$H$23,
IF(V258=regle!$I$11,regle!$I$23,
IF(V258=regle!$J$11,regle!$J$23,
IF(V258=regle!$K$11,regle!$K$23,0))))))))))))</f>
        <v>0</v>
      </c>
      <c r="AG258" s="17">
        <f>IF($A258,$J258*(IF(W258=regle!$B$11,regle!$B$23*IF(AP258=-2,1+regle!$B$35,1),
IF(W258=regle!$C$11,regle!$C$23,
IF(W258=regle!$D$11,regle!$D$23,
IF(W258=regle!$E$11,regle!$E$23,
IF(W258=regle!$F$11,regle!$F$23,
IF(W258=regle!$G$11,regle!$G$23,
IF(W258=regle!$H$11,regle!$H$23,
IF(W258=regle!$I$11,regle!$I$23,
IF(W258=regle!$J$11,regle!$J$23,
IF(W258=regle!$K$11,regle!$K$23,0))))))))))))</f>
        <v>0</v>
      </c>
      <c r="AH258" s="17">
        <f>IF($A258,$J258*(IF(X258=regle!$B$11,regle!$B$23*IF(AQ258=-2,1+regle!$B$35,1),
IF(X258=regle!$C$11,regle!$C$23,
IF(X258=regle!$D$11,regle!$D$23,
IF(X258=regle!$E$11,regle!$E$23,
IF(X258=regle!$F$11,regle!$F$23,
IF(X258=regle!$G$11,regle!$G$23,
IF(X258=regle!$H$11,regle!$H$23,
IF(X258=regle!$I$11,regle!$I$23,
IF(X258=regle!$J$11,regle!$J$23,
IF(X258=regle!$K$11,regle!$K$23,0))))))))))))</f>
        <v>0</v>
      </c>
      <c r="AI258" s="17">
        <f>IF($A258,$J258*(IF(Y258=regle!$B$11,regle!$B$23*IF(AR258=-2,1+regle!$B$35,1),
IF(Y258=regle!$C$11,regle!$C$23,
IF(Y258=regle!$D$11,regle!$D$23,
IF(Y258=regle!$E$11,regle!$E$23,
IF(Y258=regle!$F$11,regle!$F$23,
IF(Y258=regle!$G$11,regle!$G$23,
IF(Y258=regle!$H$11,regle!$H$23,
IF(Y258=regle!$I$11,regle!$I$23,
IF(Y258=regle!$J$11,regle!$J$23,
IF(Y258=regle!$K$11,regle!$K$23,0))))))))))))</f>
        <v>7045.48</v>
      </c>
      <c r="AJ258" s="17">
        <f>IF($A258,$J258*(IF(Z258=regle!$B$11,regle!$B$23*IF(AS258=-2,1+regle!$B$35,1),
IF(Z258=regle!$C$11,regle!$C$23,
IF(Z258=regle!$D$11,regle!$D$23,
IF(Z258=regle!$E$11,regle!$E$23,
IF(Z258=regle!$F$11,regle!$F$23,
IF(Z258=regle!$G$11,regle!$G$23,
IF(Z258=regle!$H$11,regle!$H$23,
IF(Z258=regle!$I$11,regle!$I$23,
IF(Z258=regle!$J$11,regle!$J$23,
IF(Z258=regle!$K$11,regle!$K$23,0))))))))))))</f>
        <v>-2533.6630000000005</v>
      </c>
      <c r="AK258" s="16">
        <f>IF(OR(Q258=regle!$J$11,Q258=regle!$K$11),-2,IF(Q258=regle!$B$11,0,IF(AK$1=$AK$1,IF($O258,-1,regle!$B$2-$M258),IF(AJ258=-1,-1,AJ258+1))))</f>
        <v>18</v>
      </c>
      <c r="AL258" s="16">
        <f>IF(OR(R258=regle!$J$11,R258=regle!$K$11),-2,IF(R258=regle!$B$11,0,IF(AL$1=$AK$1,IF($O258,-1,regle!$B$2-$M258),IF(AK258=-1,-1,AK258+1))))</f>
        <v>19</v>
      </c>
      <c r="AM258" s="16">
        <f>IF(OR(S258=regle!$J$11,S258=regle!$K$11),-2,IF(S258=regle!$B$11,0,IF(AM$1=$AK$1,IF($O258,-1,regle!$B$2-$M258),IF(AL258=-1,-1,AL258+1))))</f>
        <v>20</v>
      </c>
      <c r="AN258" s="16">
        <f>IF(OR(T258=regle!$J$11,T258=regle!$K$11),-2,IF(T258=regle!$B$11,0,IF(AN$1=$AK$1,IF($O258,-1,regle!$B$2-$M258),IF(AM258=-1,-1,AM258+1))))</f>
        <v>21</v>
      </c>
      <c r="AO258" s="16">
        <f>IF(OR(U258=regle!$J$11,U258=regle!$K$11),-2,IF(U258=regle!$B$11,0,IF(AO$1=$AK$1,IF($O258,-1,regle!$B$2-$M258),IF(AN258=-1,-1,AN258+1))))</f>
        <v>22</v>
      </c>
      <c r="AP258" s="16">
        <f>IF(OR(V258=regle!$J$11,V258=regle!$K$11),-2,IF(V258=regle!$B$11,0,IF(AP$1=$AK$1,IF($O258,-1,regle!$B$2-$M258),IF(AO258=-1,-1,AO258+1))))</f>
        <v>23</v>
      </c>
      <c r="AQ258" s="16">
        <f>IF(OR(W258=regle!$J$11,W258=regle!$K$11),-2,IF(W258=regle!$B$11,0,IF(AQ$1=$AK$1,IF($O258,-1,regle!$B$2-$M258),IF(AP258=-1,-1,AP258+1))))</f>
        <v>24</v>
      </c>
      <c r="AR258" s="16">
        <f>IF(OR(X258=regle!$J$11,X258=regle!$K$11),-2,IF(X258=regle!$B$11,0,IF(AR$1=$AK$1,IF($O258,-1,regle!$B$2-$M258),IF(AQ258=-1,-1,AQ258+1))))</f>
        <v>25</v>
      </c>
      <c r="AS258" s="16">
        <f>IF(OR(Y258=regle!$J$11,Y258=regle!$K$11),-2,IF(Y258=regle!$B$11,0,IF(AS$1=$AK$1,IF($O258,-1,regle!$B$2-$M258),IF(AR258=-1,-1,AR258+1))))</f>
        <v>-2</v>
      </c>
      <c r="AT258" s="16">
        <f>IF(OR(Z258=regle!$J$11,Z258=regle!$K$11),-2,IF(Z258=regle!$B$11,0,IF(AT$1=$AK$1,IF($O258,-1,regle!$B$2-$M258),IF(AS258=-1,-1,AS258+1))))</f>
        <v>0</v>
      </c>
    </row>
    <row r="259" spans="1:46" x14ac:dyDescent="0.25">
      <c r="A259" t="b">
        <f>modif0!A157</f>
        <v>1</v>
      </c>
      <c r="B259">
        <f>ROW(modif0!B157)</f>
        <v>157</v>
      </c>
      <c r="C259" t="str">
        <f>modif0!D157</f>
        <v>202</v>
      </c>
      <c r="D259" t="str">
        <f>modif0!E157</f>
        <v>HOSTENS</v>
      </c>
      <c r="E259">
        <f>modif0!F157</f>
        <v>11</v>
      </c>
      <c r="F259" t="str">
        <f>modif0!G157</f>
        <v>LES CAZALAS</v>
      </c>
      <c r="G259" t="str">
        <f>modif0!I157</f>
        <v>0B</v>
      </c>
      <c r="H259">
        <f>modif0!J157</f>
        <v>1181</v>
      </c>
      <c r="I259" t="str">
        <f>modif0!K157</f>
        <v/>
      </c>
      <c r="J259" s="11">
        <f>modif0!M157</f>
        <v>0.75</v>
      </c>
      <c r="K259" s="11" t="str">
        <f>modif0!P157</f>
        <v>PLA</v>
      </c>
      <c r="L259" t="str">
        <f>modif0!N157</f>
        <v>PM</v>
      </c>
      <c r="M259">
        <f>modif0!Q157</f>
        <v>2006</v>
      </c>
      <c r="N259" t="str">
        <f>modif0!R157</f>
        <v>PLA-PM_2006</v>
      </c>
      <c r="O259" t="b">
        <f>modif0!S157</f>
        <v>0</v>
      </c>
      <c r="P259">
        <v>40</v>
      </c>
      <c r="Y259" s="22" t="s">
        <v>1181</v>
      </c>
      <c r="Z259" t="s">
        <v>1868</v>
      </c>
      <c r="AA259" s="17">
        <f>IF($A259,$J259*(IF(Q259=regle!$B$11,regle!$B$23*IF(AJ259=-2,1+regle!$B$35,1),
IF(Q259=regle!$C$11,regle!$C$23,
IF(Q259=regle!$D$11,regle!$D$23,
IF(Q259=regle!$E$11,regle!$E$23,
IF(Q259=regle!$F$11,regle!$F$23,
IF(Q259=regle!$G$11,regle!$G$23,
IF(Q259=regle!$H$11,regle!$H$23,
IF(Q259=regle!$I$11,regle!$I$23,
IF(Q259=regle!$J$11,regle!$J$23,
IF(Q259=regle!$K$11,regle!$K$23,0))))))))))))</f>
        <v>0</v>
      </c>
      <c r="AB259" s="17">
        <f>IF($A259,$J259*(IF(R259=regle!$B$11,regle!$B$23*IF(AK259=-2,1+regle!$B$35,1),
IF(R259=regle!$C$11,regle!$C$23,
IF(R259=regle!$D$11,regle!$D$23,
IF(R259=regle!$E$11,regle!$E$23,
IF(R259=regle!$F$11,regle!$F$23,
IF(R259=regle!$G$11,regle!$G$23,
IF(R259=regle!$H$11,regle!$H$23,
IF(R259=regle!$I$11,regle!$I$23,
IF(R259=regle!$J$11,regle!$J$23,
IF(R259=regle!$K$11,regle!$K$23,0))))))))))))</f>
        <v>0</v>
      </c>
      <c r="AC259" s="17">
        <f>IF($A259,$J259*(IF(S259=regle!$B$11,regle!$B$23*IF(AL259=-2,1+regle!$B$35,1),
IF(S259=regle!$C$11,regle!$C$23,
IF(S259=regle!$D$11,regle!$D$23,
IF(S259=regle!$E$11,regle!$E$23,
IF(S259=regle!$F$11,regle!$F$23,
IF(S259=regle!$G$11,regle!$G$23,
IF(S259=regle!$H$11,regle!$H$23,
IF(S259=regle!$I$11,regle!$I$23,
IF(S259=regle!$J$11,regle!$J$23,
IF(S259=regle!$K$11,regle!$K$23,0))))))))))))</f>
        <v>0</v>
      </c>
      <c r="AD259" s="17">
        <f>IF($A259,$J259*(IF(T259=regle!$B$11,regle!$B$23*IF(AM259=-2,1+regle!$B$35,1),
IF(T259=regle!$C$11,regle!$C$23,
IF(T259=regle!$D$11,regle!$D$23,
IF(T259=regle!$E$11,regle!$E$23,
IF(T259=regle!$F$11,regle!$F$23,
IF(T259=regle!$G$11,regle!$G$23,
IF(T259=regle!$H$11,regle!$H$23,
IF(T259=regle!$I$11,regle!$I$23,
IF(T259=regle!$J$11,regle!$J$23,
IF(T259=regle!$K$11,regle!$K$23,0))))))))))))</f>
        <v>0</v>
      </c>
      <c r="AE259" s="17">
        <f>IF($A259,$J259*(IF(U259=regle!$B$11,regle!$B$23*IF(AN259=-2,1+regle!$B$35,1),
IF(U259=regle!$C$11,regle!$C$23,
IF(U259=regle!$D$11,regle!$D$23,
IF(U259=regle!$E$11,regle!$E$23,
IF(U259=regle!$F$11,regle!$F$23,
IF(U259=regle!$G$11,regle!$G$23,
IF(U259=regle!$H$11,regle!$H$23,
IF(U259=regle!$I$11,regle!$I$23,
IF(U259=regle!$J$11,regle!$J$23,
IF(U259=regle!$K$11,regle!$K$23,0))))))))))))</f>
        <v>0</v>
      </c>
      <c r="AF259" s="17">
        <f>IF($A259,$J259*(IF(V259=regle!$B$11,regle!$B$23*IF(AO259=-2,1+regle!$B$35,1),
IF(V259=regle!$C$11,regle!$C$23,
IF(V259=regle!$D$11,regle!$D$23,
IF(V259=regle!$E$11,regle!$E$23,
IF(V259=regle!$F$11,regle!$F$23,
IF(V259=regle!$G$11,regle!$G$23,
IF(V259=regle!$H$11,regle!$H$23,
IF(V259=regle!$I$11,regle!$I$23,
IF(V259=regle!$J$11,regle!$J$23,
IF(V259=regle!$K$11,regle!$K$23,0))))))))))))</f>
        <v>0</v>
      </c>
      <c r="AG259" s="17">
        <f>IF($A259,$J259*(IF(W259=regle!$B$11,regle!$B$23*IF(AP259=-2,1+regle!$B$35,1),
IF(W259=regle!$C$11,regle!$C$23,
IF(W259=regle!$D$11,regle!$D$23,
IF(W259=regle!$E$11,regle!$E$23,
IF(W259=regle!$F$11,regle!$F$23,
IF(W259=regle!$G$11,regle!$G$23,
IF(W259=regle!$H$11,regle!$H$23,
IF(W259=regle!$I$11,regle!$I$23,
IF(W259=regle!$J$11,regle!$J$23,
IF(W259=regle!$K$11,regle!$K$23,0))))))))))))</f>
        <v>0</v>
      </c>
      <c r="AH259" s="17">
        <f>IF($A259,$J259*(IF(X259=regle!$B$11,regle!$B$23*IF(AQ259=-2,1+regle!$B$35,1),
IF(X259=regle!$C$11,regle!$C$23,
IF(X259=regle!$D$11,regle!$D$23,
IF(X259=regle!$E$11,regle!$E$23,
IF(X259=regle!$F$11,regle!$F$23,
IF(X259=regle!$G$11,regle!$G$23,
IF(X259=regle!$H$11,regle!$H$23,
IF(X259=regle!$I$11,regle!$I$23,
IF(X259=regle!$J$11,regle!$J$23,
IF(X259=regle!$K$11,regle!$K$23,0))))))))))))</f>
        <v>0</v>
      </c>
      <c r="AI259" s="17">
        <f>IF($A259,$J259*(IF(Y259=regle!$B$11,regle!$B$23*IF(AR259=-2,1+regle!$B$35,1),
IF(Y259=regle!$C$11,regle!$C$23,
IF(Y259=regle!$D$11,regle!$D$23,
IF(Y259=regle!$E$11,regle!$E$23,
IF(Y259=regle!$F$11,regle!$F$23,
IF(Y259=regle!$G$11,regle!$G$23,
IF(Y259=regle!$H$11,regle!$H$23,
IF(Y259=regle!$I$11,regle!$I$23,
IF(Y259=regle!$J$11,regle!$J$23,
IF(Y259=regle!$K$11,regle!$K$23,0))))))))))))</f>
        <v>3900</v>
      </c>
      <c r="AJ259" s="17">
        <f>IF($A259,$J259*(IF(Z259=regle!$B$11,regle!$B$23*IF(AS259=-2,1+regle!$B$35,1),
IF(Z259=regle!$C$11,regle!$C$23,
IF(Z259=regle!$D$11,regle!$D$23,
IF(Z259=regle!$E$11,regle!$E$23,
IF(Z259=regle!$F$11,regle!$F$23,
IF(Z259=regle!$G$11,regle!$G$23,
IF(Z259=regle!$H$11,regle!$H$23,
IF(Z259=regle!$I$11,regle!$I$23,
IF(Z259=regle!$J$11,regle!$J$23,
IF(Z259=regle!$K$11,regle!$K$23,0))))))))))))</f>
        <v>-1402.5000000000002</v>
      </c>
      <c r="AK259" s="16">
        <f>IF(OR(Q259=regle!$J$11,Q259=regle!$K$11),-2,IF(Q259=regle!$B$11,0,IF(AK$1=$AK$1,IF($O259,-1,regle!$B$2-$M259),IF(AJ259=-1,-1,AJ259+1))))</f>
        <v>18</v>
      </c>
      <c r="AL259" s="16">
        <f>IF(OR(R259=regle!$J$11,R259=regle!$K$11),-2,IF(R259=regle!$B$11,0,IF(AL$1=$AK$1,IF($O259,-1,regle!$B$2-$M259),IF(AK259=-1,-1,AK259+1))))</f>
        <v>19</v>
      </c>
      <c r="AM259" s="16">
        <f>IF(OR(S259=regle!$J$11,S259=regle!$K$11),-2,IF(S259=regle!$B$11,0,IF(AM$1=$AK$1,IF($O259,-1,regle!$B$2-$M259),IF(AL259=-1,-1,AL259+1))))</f>
        <v>20</v>
      </c>
      <c r="AN259" s="16">
        <f>IF(OR(T259=regle!$J$11,T259=regle!$K$11),-2,IF(T259=regle!$B$11,0,IF(AN$1=$AK$1,IF($O259,-1,regle!$B$2-$M259),IF(AM259=-1,-1,AM259+1))))</f>
        <v>21</v>
      </c>
      <c r="AO259" s="16">
        <f>IF(OR(U259=regle!$J$11,U259=regle!$K$11),-2,IF(U259=regle!$B$11,0,IF(AO$1=$AK$1,IF($O259,-1,regle!$B$2-$M259),IF(AN259=-1,-1,AN259+1))))</f>
        <v>22</v>
      </c>
      <c r="AP259" s="16">
        <f>IF(OR(V259=regle!$J$11,V259=regle!$K$11),-2,IF(V259=regle!$B$11,0,IF(AP$1=$AK$1,IF($O259,-1,regle!$B$2-$M259),IF(AO259=-1,-1,AO259+1))))</f>
        <v>23</v>
      </c>
      <c r="AQ259" s="16">
        <f>IF(OR(W259=regle!$J$11,W259=regle!$K$11),-2,IF(W259=regle!$B$11,0,IF(AQ$1=$AK$1,IF($O259,-1,regle!$B$2-$M259),IF(AP259=-1,-1,AP259+1))))</f>
        <v>24</v>
      </c>
      <c r="AR259" s="16">
        <f>IF(OR(X259=regle!$J$11,X259=regle!$K$11),-2,IF(X259=regle!$B$11,0,IF(AR$1=$AK$1,IF($O259,-1,regle!$B$2-$M259),IF(AQ259=-1,-1,AQ259+1))))</f>
        <v>25</v>
      </c>
      <c r="AS259" s="16">
        <f>IF(OR(Y259=regle!$J$11,Y259=regle!$K$11),-2,IF(Y259=regle!$B$11,0,IF(AS$1=$AK$1,IF($O259,-1,regle!$B$2-$M259),IF(AR259=-1,-1,AR259+1))))</f>
        <v>-2</v>
      </c>
      <c r="AT259" s="16">
        <f>IF(OR(Z259=regle!$J$11,Z259=regle!$K$11),-2,IF(Z259=regle!$B$11,0,IF(AT$1=$AK$1,IF($O259,-1,regle!$B$2-$M259),IF(AS259=-1,-1,AS259+1))))</f>
        <v>0</v>
      </c>
    </row>
    <row r="260" spans="1:46" x14ac:dyDescent="0.25">
      <c r="A260" t="b">
        <f>modif0!A119</f>
        <v>1</v>
      </c>
      <c r="B260">
        <f>ROW(modif0!B119)</f>
        <v>119</v>
      </c>
      <c r="C260" t="str">
        <f>modif0!D119</f>
        <v>202</v>
      </c>
      <c r="D260" t="str">
        <f>modif0!E119</f>
        <v>HOSTENS</v>
      </c>
      <c r="E260">
        <f>modif0!F119</f>
        <v>11</v>
      </c>
      <c r="F260" t="str">
        <f>modif0!G119</f>
        <v>LES CAZALAS</v>
      </c>
      <c r="G260" t="str">
        <f>modif0!I119</f>
        <v>0B</v>
      </c>
      <c r="H260">
        <f>modif0!J119</f>
        <v>1150</v>
      </c>
      <c r="I260" t="str">
        <f>modif0!K119</f>
        <v>j</v>
      </c>
      <c r="J260" s="11">
        <f>modif0!M119</f>
        <v>0.72170000000000001</v>
      </c>
      <c r="K260" s="11" t="str">
        <f>modif0!P119</f>
        <v>PLA</v>
      </c>
      <c r="L260" t="str">
        <f>modif0!N119</f>
        <v>PM</v>
      </c>
      <c r="M260">
        <f>modif0!Q119</f>
        <v>2006</v>
      </c>
      <c r="N260" t="str">
        <f>modif0!R119</f>
        <v>PLA-PM_2006</v>
      </c>
      <c r="O260" t="b">
        <f>modif0!S119</f>
        <v>0</v>
      </c>
      <c r="P260">
        <v>40</v>
      </c>
      <c r="Y260" s="22" t="s">
        <v>1181</v>
      </c>
      <c r="Z260" t="s">
        <v>1868</v>
      </c>
      <c r="AA260" s="17">
        <f>IF($A260,$J260*(IF(Q260=regle!$B$11,regle!$B$23*IF(AJ260=-2,1+regle!$B$35,1),
IF(Q260=regle!$C$11,regle!$C$23,
IF(Q260=regle!$D$11,regle!$D$23,
IF(Q260=regle!$E$11,regle!$E$23,
IF(Q260=regle!$F$11,regle!$F$23,
IF(Q260=regle!$G$11,regle!$G$23,
IF(Q260=regle!$H$11,regle!$H$23,
IF(Q260=regle!$I$11,regle!$I$23,
IF(Q260=regle!$J$11,regle!$J$23,
IF(Q260=regle!$K$11,regle!$K$23,0))))))))))))</f>
        <v>0</v>
      </c>
      <c r="AB260" s="17">
        <f>IF($A260,$J260*(IF(R260=regle!$B$11,regle!$B$23*IF(AK260=-2,1+regle!$B$35,1),
IF(R260=regle!$C$11,regle!$C$23,
IF(R260=regle!$D$11,regle!$D$23,
IF(R260=regle!$E$11,regle!$E$23,
IF(R260=regle!$F$11,regle!$F$23,
IF(R260=regle!$G$11,regle!$G$23,
IF(R260=regle!$H$11,regle!$H$23,
IF(R260=regle!$I$11,regle!$I$23,
IF(R260=regle!$J$11,regle!$J$23,
IF(R260=regle!$K$11,regle!$K$23,0))))))))))))</f>
        <v>0</v>
      </c>
      <c r="AC260" s="17">
        <f>IF($A260,$J260*(IF(S260=regle!$B$11,regle!$B$23*IF(AL260=-2,1+regle!$B$35,1),
IF(S260=regle!$C$11,regle!$C$23,
IF(S260=regle!$D$11,regle!$D$23,
IF(S260=regle!$E$11,regle!$E$23,
IF(S260=regle!$F$11,regle!$F$23,
IF(S260=regle!$G$11,regle!$G$23,
IF(S260=regle!$H$11,regle!$H$23,
IF(S260=regle!$I$11,regle!$I$23,
IF(S260=regle!$J$11,regle!$J$23,
IF(S260=regle!$K$11,regle!$K$23,0))))))))))))</f>
        <v>0</v>
      </c>
      <c r="AD260" s="17">
        <f>IF($A260,$J260*(IF(T260=regle!$B$11,regle!$B$23*IF(AM260=-2,1+regle!$B$35,1),
IF(T260=regle!$C$11,regle!$C$23,
IF(T260=regle!$D$11,regle!$D$23,
IF(T260=regle!$E$11,regle!$E$23,
IF(T260=regle!$F$11,regle!$F$23,
IF(T260=regle!$G$11,regle!$G$23,
IF(T260=regle!$H$11,regle!$H$23,
IF(T260=regle!$I$11,regle!$I$23,
IF(T260=regle!$J$11,regle!$J$23,
IF(T260=regle!$K$11,regle!$K$23,0))))))))))))</f>
        <v>0</v>
      </c>
      <c r="AE260" s="17">
        <f>IF($A260,$J260*(IF(U260=regle!$B$11,regle!$B$23*IF(AN260=-2,1+regle!$B$35,1),
IF(U260=regle!$C$11,regle!$C$23,
IF(U260=regle!$D$11,regle!$D$23,
IF(U260=regle!$E$11,regle!$E$23,
IF(U260=regle!$F$11,regle!$F$23,
IF(U260=regle!$G$11,regle!$G$23,
IF(U260=regle!$H$11,regle!$H$23,
IF(U260=regle!$I$11,regle!$I$23,
IF(U260=regle!$J$11,regle!$J$23,
IF(U260=regle!$K$11,regle!$K$23,0))))))))))))</f>
        <v>0</v>
      </c>
      <c r="AF260" s="17">
        <f>IF($A260,$J260*(IF(V260=regle!$B$11,regle!$B$23*IF(AO260=-2,1+regle!$B$35,1),
IF(V260=regle!$C$11,regle!$C$23,
IF(V260=regle!$D$11,regle!$D$23,
IF(V260=regle!$E$11,regle!$E$23,
IF(V260=regle!$F$11,regle!$F$23,
IF(V260=regle!$G$11,regle!$G$23,
IF(V260=regle!$H$11,regle!$H$23,
IF(V260=regle!$I$11,regle!$I$23,
IF(V260=regle!$J$11,regle!$J$23,
IF(V260=regle!$K$11,regle!$K$23,0))))))))))))</f>
        <v>0</v>
      </c>
      <c r="AG260" s="17">
        <f>IF($A260,$J260*(IF(W260=regle!$B$11,regle!$B$23*IF(AP260=-2,1+regle!$B$35,1),
IF(W260=regle!$C$11,regle!$C$23,
IF(W260=regle!$D$11,regle!$D$23,
IF(W260=regle!$E$11,regle!$E$23,
IF(W260=regle!$F$11,regle!$F$23,
IF(W260=regle!$G$11,regle!$G$23,
IF(W260=regle!$H$11,regle!$H$23,
IF(W260=regle!$I$11,regle!$I$23,
IF(W260=regle!$J$11,regle!$J$23,
IF(W260=regle!$K$11,regle!$K$23,0))))))))))))</f>
        <v>0</v>
      </c>
      <c r="AH260" s="17">
        <f>IF($A260,$J260*(IF(X260=regle!$B$11,regle!$B$23*IF(AQ260=-2,1+regle!$B$35,1),
IF(X260=regle!$C$11,regle!$C$23,
IF(X260=regle!$D$11,regle!$D$23,
IF(X260=regle!$E$11,regle!$E$23,
IF(X260=regle!$F$11,regle!$F$23,
IF(X260=regle!$G$11,regle!$G$23,
IF(X260=regle!$H$11,regle!$H$23,
IF(X260=regle!$I$11,regle!$I$23,
IF(X260=regle!$J$11,regle!$J$23,
IF(X260=regle!$K$11,regle!$K$23,0))))))))))))</f>
        <v>0</v>
      </c>
      <c r="AI260" s="17">
        <f>IF($A260,$J260*(IF(Y260=regle!$B$11,regle!$B$23*IF(AR260=-2,1+regle!$B$35,1),
IF(Y260=regle!$C$11,regle!$C$23,
IF(Y260=regle!$D$11,regle!$D$23,
IF(Y260=regle!$E$11,regle!$E$23,
IF(Y260=regle!$F$11,regle!$F$23,
IF(Y260=regle!$G$11,regle!$G$23,
IF(Y260=regle!$H$11,regle!$H$23,
IF(Y260=regle!$I$11,regle!$I$23,
IF(Y260=regle!$J$11,regle!$J$23,
IF(Y260=regle!$K$11,regle!$K$23,0))))))))))))</f>
        <v>3752.84</v>
      </c>
      <c r="AJ260" s="17">
        <f>IF($A260,$J260*(IF(Z260=regle!$B$11,regle!$B$23*IF(AS260=-2,1+regle!$B$35,1),
IF(Z260=regle!$C$11,regle!$C$23,
IF(Z260=regle!$D$11,regle!$D$23,
IF(Z260=regle!$E$11,regle!$E$23,
IF(Z260=regle!$F$11,regle!$F$23,
IF(Z260=regle!$G$11,regle!$G$23,
IF(Z260=regle!$H$11,regle!$H$23,
IF(Z260=regle!$I$11,regle!$I$23,
IF(Z260=regle!$J$11,regle!$J$23,
IF(Z260=regle!$K$11,regle!$K$23,0))))))))))))</f>
        <v>-1349.5790000000002</v>
      </c>
      <c r="AK260" s="16">
        <f>IF(OR(Q260=regle!$J$11,Q260=regle!$K$11),-2,IF(Q260=regle!$B$11,0,IF(AK$1=$AK$1,IF($O260,-1,regle!$B$2-$M260),IF(AJ260=-1,-1,AJ260+1))))</f>
        <v>18</v>
      </c>
      <c r="AL260" s="16">
        <f>IF(OR(R260=regle!$J$11,R260=regle!$K$11),-2,IF(R260=regle!$B$11,0,IF(AL$1=$AK$1,IF($O260,-1,regle!$B$2-$M260),IF(AK260=-1,-1,AK260+1))))</f>
        <v>19</v>
      </c>
      <c r="AM260" s="16">
        <f>IF(OR(S260=regle!$J$11,S260=regle!$K$11),-2,IF(S260=regle!$B$11,0,IF(AM$1=$AK$1,IF($O260,-1,regle!$B$2-$M260),IF(AL260=-1,-1,AL260+1))))</f>
        <v>20</v>
      </c>
      <c r="AN260" s="16">
        <f>IF(OR(T260=regle!$J$11,T260=regle!$K$11),-2,IF(T260=regle!$B$11,0,IF(AN$1=$AK$1,IF($O260,-1,regle!$B$2-$M260),IF(AM260=-1,-1,AM260+1))))</f>
        <v>21</v>
      </c>
      <c r="AO260" s="16">
        <f>IF(OR(U260=regle!$J$11,U260=regle!$K$11),-2,IF(U260=regle!$B$11,0,IF(AO$1=$AK$1,IF($O260,-1,regle!$B$2-$M260),IF(AN260=-1,-1,AN260+1))))</f>
        <v>22</v>
      </c>
      <c r="AP260" s="16">
        <f>IF(OR(V260=regle!$J$11,V260=regle!$K$11),-2,IF(V260=regle!$B$11,0,IF(AP$1=$AK$1,IF($O260,-1,regle!$B$2-$M260),IF(AO260=-1,-1,AO260+1))))</f>
        <v>23</v>
      </c>
      <c r="AQ260" s="16">
        <f>IF(OR(W260=regle!$J$11,W260=regle!$K$11),-2,IF(W260=regle!$B$11,0,IF(AQ$1=$AK$1,IF($O260,-1,regle!$B$2-$M260),IF(AP260=-1,-1,AP260+1))))</f>
        <v>24</v>
      </c>
      <c r="AR260" s="16">
        <f>IF(OR(X260=regle!$J$11,X260=regle!$K$11),-2,IF(X260=regle!$B$11,0,IF(AR$1=$AK$1,IF($O260,-1,regle!$B$2-$M260),IF(AQ260=-1,-1,AQ260+1))))</f>
        <v>25</v>
      </c>
      <c r="AS260" s="16">
        <f>IF(OR(Y260=regle!$J$11,Y260=regle!$K$11),-2,IF(Y260=regle!$B$11,0,IF(AS$1=$AK$1,IF($O260,-1,regle!$B$2-$M260),IF(AR260=-1,-1,AR260+1))))</f>
        <v>-2</v>
      </c>
      <c r="AT260" s="16">
        <f>IF(OR(Z260=regle!$J$11,Z260=regle!$K$11),-2,IF(Z260=regle!$B$11,0,IF(AT$1=$AK$1,IF($O260,-1,regle!$B$2-$M260),IF(AS260=-1,-1,AS260+1))))</f>
        <v>0</v>
      </c>
    </row>
    <row r="261" spans="1:46" x14ac:dyDescent="0.25">
      <c r="A261" t="b">
        <f>modif0!A233</f>
        <v>1</v>
      </c>
      <c r="B261">
        <f>ROW(modif0!B233)</f>
        <v>233</v>
      </c>
      <c r="C261" t="str">
        <f>modif0!D233</f>
        <v>202</v>
      </c>
      <c r="D261" t="str">
        <f>modif0!E233</f>
        <v>HOSTENS</v>
      </c>
      <c r="E261">
        <f>modif0!F233</f>
        <v>11</v>
      </c>
      <c r="F261" t="str">
        <f>modif0!G233</f>
        <v>LES CAZALAS</v>
      </c>
      <c r="G261" t="str">
        <f>modif0!I233</f>
        <v>0B</v>
      </c>
      <c r="H261">
        <f>modif0!J233</f>
        <v>1579</v>
      </c>
      <c r="I261" t="str">
        <f>modif0!K233</f>
        <v/>
      </c>
      <c r="J261" s="11">
        <f>modif0!M233</f>
        <v>0.66790000000000005</v>
      </c>
      <c r="K261" s="11" t="str">
        <f>modif0!P233</f>
        <v>PLA</v>
      </c>
      <c r="L261" t="str">
        <f>modif0!N233</f>
        <v>PM</v>
      </c>
      <c r="M261">
        <f>modif0!Q233</f>
        <v>2006</v>
      </c>
      <c r="N261" t="str">
        <f>modif0!R233</f>
        <v>PLA-PM_2006</v>
      </c>
      <c r="O261" t="b">
        <f>modif0!S233</f>
        <v>0</v>
      </c>
      <c r="P261">
        <v>40</v>
      </c>
      <c r="Y261" s="22" t="s">
        <v>1181</v>
      </c>
      <c r="Z261" t="s">
        <v>1868</v>
      </c>
      <c r="AA261" s="17">
        <f>IF($A261,$J261*(IF(Q261=regle!$B$11,regle!$B$23*IF(AJ261=-2,1+regle!$B$35,1),
IF(Q261=regle!$C$11,regle!$C$23,
IF(Q261=regle!$D$11,regle!$D$23,
IF(Q261=regle!$E$11,regle!$E$23,
IF(Q261=regle!$F$11,regle!$F$23,
IF(Q261=regle!$G$11,regle!$G$23,
IF(Q261=regle!$H$11,regle!$H$23,
IF(Q261=regle!$I$11,regle!$I$23,
IF(Q261=regle!$J$11,regle!$J$23,
IF(Q261=regle!$K$11,regle!$K$23,0))))))))))))</f>
        <v>0</v>
      </c>
      <c r="AB261" s="17">
        <f>IF($A261,$J261*(IF(R261=regle!$B$11,regle!$B$23*IF(AK261=-2,1+regle!$B$35,1),
IF(R261=regle!$C$11,regle!$C$23,
IF(R261=regle!$D$11,regle!$D$23,
IF(R261=regle!$E$11,regle!$E$23,
IF(R261=regle!$F$11,regle!$F$23,
IF(R261=regle!$G$11,regle!$G$23,
IF(R261=regle!$H$11,regle!$H$23,
IF(R261=regle!$I$11,regle!$I$23,
IF(R261=regle!$J$11,regle!$J$23,
IF(R261=regle!$K$11,regle!$K$23,0))))))))))))</f>
        <v>0</v>
      </c>
      <c r="AC261" s="17">
        <f>IF($A261,$J261*(IF(S261=regle!$B$11,regle!$B$23*IF(AL261=-2,1+regle!$B$35,1),
IF(S261=regle!$C$11,regle!$C$23,
IF(S261=regle!$D$11,regle!$D$23,
IF(S261=regle!$E$11,regle!$E$23,
IF(S261=regle!$F$11,regle!$F$23,
IF(S261=regle!$G$11,regle!$G$23,
IF(S261=regle!$H$11,regle!$H$23,
IF(S261=regle!$I$11,regle!$I$23,
IF(S261=regle!$J$11,regle!$J$23,
IF(S261=regle!$K$11,regle!$K$23,0))))))))))))</f>
        <v>0</v>
      </c>
      <c r="AD261" s="17">
        <f>IF($A261,$J261*(IF(T261=regle!$B$11,regle!$B$23*IF(AM261=-2,1+regle!$B$35,1),
IF(T261=regle!$C$11,regle!$C$23,
IF(T261=regle!$D$11,regle!$D$23,
IF(T261=regle!$E$11,regle!$E$23,
IF(T261=regle!$F$11,regle!$F$23,
IF(T261=regle!$G$11,regle!$G$23,
IF(T261=regle!$H$11,regle!$H$23,
IF(T261=regle!$I$11,regle!$I$23,
IF(T261=regle!$J$11,regle!$J$23,
IF(T261=regle!$K$11,regle!$K$23,0))))))))))))</f>
        <v>0</v>
      </c>
      <c r="AE261" s="17">
        <f>IF($A261,$J261*(IF(U261=regle!$B$11,regle!$B$23*IF(AN261=-2,1+regle!$B$35,1),
IF(U261=regle!$C$11,regle!$C$23,
IF(U261=regle!$D$11,regle!$D$23,
IF(U261=regle!$E$11,regle!$E$23,
IF(U261=regle!$F$11,regle!$F$23,
IF(U261=regle!$G$11,regle!$G$23,
IF(U261=regle!$H$11,regle!$H$23,
IF(U261=regle!$I$11,regle!$I$23,
IF(U261=regle!$J$11,regle!$J$23,
IF(U261=regle!$K$11,regle!$K$23,0))))))))))))</f>
        <v>0</v>
      </c>
      <c r="AF261" s="17">
        <f>IF($A261,$J261*(IF(V261=regle!$B$11,regle!$B$23*IF(AO261=-2,1+regle!$B$35,1),
IF(V261=regle!$C$11,regle!$C$23,
IF(V261=regle!$D$11,regle!$D$23,
IF(V261=regle!$E$11,regle!$E$23,
IF(V261=regle!$F$11,regle!$F$23,
IF(V261=regle!$G$11,regle!$G$23,
IF(V261=regle!$H$11,regle!$H$23,
IF(V261=regle!$I$11,regle!$I$23,
IF(V261=regle!$J$11,regle!$J$23,
IF(V261=regle!$K$11,regle!$K$23,0))))))))))))</f>
        <v>0</v>
      </c>
      <c r="AG261" s="17">
        <f>IF($A261,$J261*(IF(W261=regle!$B$11,regle!$B$23*IF(AP261=-2,1+regle!$B$35,1),
IF(W261=regle!$C$11,regle!$C$23,
IF(W261=regle!$D$11,regle!$D$23,
IF(W261=regle!$E$11,regle!$E$23,
IF(W261=regle!$F$11,regle!$F$23,
IF(W261=regle!$G$11,regle!$G$23,
IF(W261=regle!$H$11,regle!$H$23,
IF(W261=regle!$I$11,regle!$I$23,
IF(W261=regle!$J$11,regle!$J$23,
IF(W261=regle!$K$11,regle!$K$23,0))))))))))))</f>
        <v>0</v>
      </c>
      <c r="AH261" s="17">
        <f>IF($A261,$J261*(IF(X261=regle!$B$11,regle!$B$23*IF(AQ261=-2,1+regle!$B$35,1),
IF(X261=regle!$C$11,regle!$C$23,
IF(X261=regle!$D$11,regle!$D$23,
IF(X261=regle!$E$11,regle!$E$23,
IF(X261=regle!$F$11,regle!$F$23,
IF(X261=regle!$G$11,regle!$G$23,
IF(X261=regle!$H$11,regle!$H$23,
IF(X261=regle!$I$11,regle!$I$23,
IF(X261=regle!$J$11,regle!$J$23,
IF(X261=regle!$K$11,regle!$K$23,0))))))))))))</f>
        <v>0</v>
      </c>
      <c r="AI261" s="17">
        <f>IF($A261,$J261*(IF(Y261=regle!$B$11,regle!$B$23*IF(AR261=-2,1+regle!$B$35,1),
IF(Y261=regle!$C$11,regle!$C$23,
IF(Y261=regle!$D$11,regle!$D$23,
IF(Y261=regle!$E$11,regle!$E$23,
IF(Y261=regle!$F$11,regle!$F$23,
IF(Y261=regle!$G$11,regle!$G$23,
IF(Y261=regle!$H$11,regle!$H$23,
IF(Y261=regle!$I$11,regle!$I$23,
IF(Y261=regle!$J$11,regle!$J$23,
IF(Y261=regle!$K$11,regle!$K$23,0))))))))))))</f>
        <v>3473.0800000000004</v>
      </c>
      <c r="AJ261" s="17">
        <f>IF($A261,$J261*(IF(Z261=regle!$B$11,regle!$B$23*IF(AS261=-2,1+regle!$B$35,1),
IF(Z261=regle!$C$11,regle!$C$23,
IF(Z261=regle!$D$11,regle!$D$23,
IF(Z261=regle!$E$11,regle!$E$23,
IF(Z261=regle!$F$11,regle!$F$23,
IF(Z261=regle!$G$11,regle!$G$23,
IF(Z261=regle!$H$11,regle!$H$23,
IF(Z261=regle!$I$11,regle!$I$23,
IF(Z261=regle!$J$11,regle!$J$23,
IF(Z261=regle!$K$11,regle!$K$23,0))))))))))))</f>
        <v>-1248.9730000000002</v>
      </c>
      <c r="AK261" s="16">
        <f>IF(OR(Q261=regle!$J$11,Q261=regle!$K$11),-2,IF(Q261=regle!$B$11,0,IF(AK$1=$AK$1,IF($O261,-1,regle!$B$2-$M261),IF(AJ261=-1,-1,AJ261+1))))</f>
        <v>18</v>
      </c>
      <c r="AL261" s="16">
        <f>IF(OR(R261=regle!$J$11,R261=regle!$K$11),-2,IF(R261=regle!$B$11,0,IF(AL$1=$AK$1,IF($O261,-1,regle!$B$2-$M261),IF(AK261=-1,-1,AK261+1))))</f>
        <v>19</v>
      </c>
      <c r="AM261" s="16">
        <f>IF(OR(S261=regle!$J$11,S261=regle!$K$11),-2,IF(S261=regle!$B$11,0,IF(AM$1=$AK$1,IF($O261,-1,regle!$B$2-$M261),IF(AL261=-1,-1,AL261+1))))</f>
        <v>20</v>
      </c>
      <c r="AN261" s="16">
        <f>IF(OR(T261=regle!$J$11,T261=regle!$K$11),-2,IF(T261=regle!$B$11,0,IF(AN$1=$AK$1,IF($O261,-1,regle!$B$2-$M261),IF(AM261=-1,-1,AM261+1))))</f>
        <v>21</v>
      </c>
      <c r="AO261" s="16">
        <f>IF(OR(U261=regle!$J$11,U261=regle!$K$11),-2,IF(U261=regle!$B$11,0,IF(AO$1=$AK$1,IF($O261,-1,regle!$B$2-$M261),IF(AN261=-1,-1,AN261+1))))</f>
        <v>22</v>
      </c>
      <c r="AP261" s="16">
        <f>IF(OR(V261=regle!$J$11,V261=regle!$K$11),-2,IF(V261=regle!$B$11,0,IF(AP$1=$AK$1,IF($O261,-1,regle!$B$2-$M261),IF(AO261=-1,-1,AO261+1))))</f>
        <v>23</v>
      </c>
      <c r="AQ261" s="16">
        <f>IF(OR(W261=regle!$J$11,W261=regle!$K$11),-2,IF(W261=regle!$B$11,0,IF(AQ$1=$AK$1,IF($O261,-1,regle!$B$2-$M261),IF(AP261=-1,-1,AP261+1))))</f>
        <v>24</v>
      </c>
      <c r="AR261" s="16">
        <f>IF(OR(X261=regle!$J$11,X261=regle!$K$11),-2,IF(X261=regle!$B$11,0,IF(AR$1=$AK$1,IF($O261,-1,regle!$B$2-$M261),IF(AQ261=-1,-1,AQ261+1))))</f>
        <v>25</v>
      </c>
      <c r="AS261" s="16">
        <f>IF(OR(Y261=regle!$J$11,Y261=regle!$K$11),-2,IF(Y261=regle!$B$11,0,IF(AS$1=$AK$1,IF($O261,-1,regle!$B$2-$M261),IF(AR261=-1,-1,AR261+1))))</f>
        <v>-2</v>
      </c>
      <c r="AT261" s="16">
        <f>IF(OR(Z261=regle!$J$11,Z261=regle!$K$11),-2,IF(Z261=regle!$B$11,0,IF(AT$1=$AK$1,IF($O261,-1,regle!$B$2-$M261),IF(AS261=-1,-1,AS261+1))))</f>
        <v>0</v>
      </c>
    </row>
    <row r="262" spans="1:46" x14ac:dyDescent="0.25">
      <c r="A262" t="b">
        <f>modif0!A154</f>
        <v>1</v>
      </c>
      <c r="B262">
        <f>ROW(modif0!B154)</f>
        <v>154</v>
      </c>
      <c r="C262" t="str">
        <f>modif0!D154</f>
        <v>202</v>
      </c>
      <c r="D262" t="str">
        <f>modif0!E154</f>
        <v>HOSTENS</v>
      </c>
      <c r="E262">
        <f>modif0!F154</f>
        <v>11</v>
      </c>
      <c r="F262" t="str">
        <f>modif0!G154</f>
        <v>LES CAZALAS</v>
      </c>
      <c r="G262" t="str">
        <f>modif0!I154</f>
        <v>0B</v>
      </c>
      <c r="H262">
        <f>modif0!J154</f>
        <v>1178</v>
      </c>
      <c r="I262" t="str">
        <f>modif0!K154</f>
        <v/>
      </c>
      <c r="J262" s="11">
        <f>modif0!M154</f>
        <v>0.65649999999999997</v>
      </c>
      <c r="K262" s="11" t="str">
        <f>modif0!P154</f>
        <v>PLA</v>
      </c>
      <c r="L262" t="str">
        <f>modif0!N154</f>
        <v>PM</v>
      </c>
      <c r="M262">
        <f>modif0!Q154</f>
        <v>2006</v>
      </c>
      <c r="N262" t="str">
        <f>modif0!R154</f>
        <v>PLA-PM_2006</v>
      </c>
      <c r="O262" t="b">
        <f>modif0!S154</f>
        <v>0</v>
      </c>
      <c r="P262">
        <v>40</v>
      </c>
      <c r="Y262" s="22" t="s">
        <v>1181</v>
      </c>
      <c r="Z262" t="s">
        <v>1868</v>
      </c>
      <c r="AA262" s="17">
        <f>IF($A262,$J262*(IF(Q262=regle!$B$11,regle!$B$23*IF(AJ262=-2,1+regle!$B$35,1),
IF(Q262=regle!$C$11,regle!$C$23,
IF(Q262=regle!$D$11,regle!$D$23,
IF(Q262=regle!$E$11,regle!$E$23,
IF(Q262=regle!$F$11,regle!$F$23,
IF(Q262=regle!$G$11,regle!$G$23,
IF(Q262=regle!$H$11,regle!$H$23,
IF(Q262=regle!$I$11,regle!$I$23,
IF(Q262=regle!$J$11,regle!$J$23,
IF(Q262=regle!$K$11,regle!$K$23,0))))))))))))</f>
        <v>0</v>
      </c>
      <c r="AB262" s="17">
        <f>IF($A262,$J262*(IF(R262=regle!$B$11,regle!$B$23*IF(AK262=-2,1+regle!$B$35,1),
IF(R262=regle!$C$11,regle!$C$23,
IF(R262=regle!$D$11,regle!$D$23,
IF(R262=regle!$E$11,regle!$E$23,
IF(R262=regle!$F$11,regle!$F$23,
IF(R262=regle!$G$11,regle!$G$23,
IF(R262=regle!$H$11,regle!$H$23,
IF(R262=regle!$I$11,regle!$I$23,
IF(R262=regle!$J$11,regle!$J$23,
IF(R262=regle!$K$11,regle!$K$23,0))))))))))))</f>
        <v>0</v>
      </c>
      <c r="AC262" s="17">
        <f>IF($A262,$J262*(IF(S262=regle!$B$11,regle!$B$23*IF(AL262=-2,1+regle!$B$35,1),
IF(S262=regle!$C$11,regle!$C$23,
IF(S262=regle!$D$11,regle!$D$23,
IF(S262=regle!$E$11,regle!$E$23,
IF(S262=regle!$F$11,regle!$F$23,
IF(S262=regle!$G$11,regle!$G$23,
IF(S262=regle!$H$11,regle!$H$23,
IF(S262=regle!$I$11,regle!$I$23,
IF(S262=regle!$J$11,regle!$J$23,
IF(S262=regle!$K$11,regle!$K$23,0))))))))))))</f>
        <v>0</v>
      </c>
      <c r="AD262" s="17">
        <f>IF($A262,$J262*(IF(T262=regle!$B$11,regle!$B$23*IF(AM262=-2,1+regle!$B$35,1),
IF(T262=regle!$C$11,regle!$C$23,
IF(T262=regle!$D$11,regle!$D$23,
IF(T262=regle!$E$11,regle!$E$23,
IF(T262=regle!$F$11,regle!$F$23,
IF(T262=regle!$G$11,regle!$G$23,
IF(T262=regle!$H$11,regle!$H$23,
IF(T262=regle!$I$11,regle!$I$23,
IF(T262=regle!$J$11,regle!$J$23,
IF(T262=regle!$K$11,regle!$K$23,0))))))))))))</f>
        <v>0</v>
      </c>
      <c r="AE262" s="17">
        <f>IF($A262,$J262*(IF(U262=regle!$B$11,regle!$B$23*IF(AN262=-2,1+regle!$B$35,1),
IF(U262=regle!$C$11,regle!$C$23,
IF(U262=regle!$D$11,regle!$D$23,
IF(U262=regle!$E$11,regle!$E$23,
IF(U262=regle!$F$11,regle!$F$23,
IF(U262=regle!$G$11,regle!$G$23,
IF(U262=regle!$H$11,regle!$H$23,
IF(U262=regle!$I$11,regle!$I$23,
IF(U262=regle!$J$11,regle!$J$23,
IF(U262=regle!$K$11,regle!$K$23,0))))))))))))</f>
        <v>0</v>
      </c>
      <c r="AF262" s="17">
        <f>IF($A262,$J262*(IF(V262=regle!$B$11,regle!$B$23*IF(AO262=-2,1+regle!$B$35,1),
IF(V262=regle!$C$11,regle!$C$23,
IF(V262=regle!$D$11,regle!$D$23,
IF(V262=regle!$E$11,regle!$E$23,
IF(V262=regle!$F$11,regle!$F$23,
IF(V262=regle!$G$11,regle!$G$23,
IF(V262=regle!$H$11,regle!$H$23,
IF(V262=regle!$I$11,regle!$I$23,
IF(V262=regle!$J$11,regle!$J$23,
IF(V262=regle!$K$11,regle!$K$23,0))))))))))))</f>
        <v>0</v>
      </c>
      <c r="AG262" s="17">
        <f>IF($A262,$J262*(IF(W262=regle!$B$11,regle!$B$23*IF(AP262=-2,1+regle!$B$35,1),
IF(W262=regle!$C$11,regle!$C$23,
IF(W262=regle!$D$11,regle!$D$23,
IF(W262=regle!$E$11,regle!$E$23,
IF(W262=regle!$F$11,regle!$F$23,
IF(W262=regle!$G$11,regle!$G$23,
IF(W262=regle!$H$11,regle!$H$23,
IF(W262=regle!$I$11,regle!$I$23,
IF(W262=regle!$J$11,regle!$J$23,
IF(W262=regle!$K$11,regle!$K$23,0))))))))))))</f>
        <v>0</v>
      </c>
      <c r="AH262" s="17">
        <f>IF($A262,$J262*(IF(X262=regle!$B$11,regle!$B$23*IF(AQ262=-2,1+regle!$B$35,1),
IF(X262=regle!$C$11,regle!$C$23,
IF(X262=regle!$D$11,regle!$D$23,
IF(X262=regle!$E$11,regle!$E$23,
IF(X262=regle!$F$11,regle!$F$23,
IF(X262=regle!$G$11,regle!$G$23,
IF(X262=regle!$H$11,regle!$H$23,
IF(X262=regle!$I$11,regle!$I$23,
IF(X262=regle!$J$11,regle!$J$23,
IF(X262=regle!$K$11,regle!$K$23,0))))))))))))</f>
        <v>0</v>
      </c>
      <c r="AI262" s="17">
        <f>IF($A262,$J262*(IF(Y262=regle!$B$11,regle!$B$23*IF(AR262=-2,1+regle!$B$35,1),
IF(Y262=regle!$C$11,regle!$C$23,
IF(Y262=regle!$D$11,regle!$D$23,
IF(Y262=regle!$E$11,regle!$E$23,
IF(Y262=regle!$F$11,regle!$F$23,
IF(Y262=regle!$G$11,regle!$G$23,
IF(Y262=regle!$H$11,regle!$H$23,
IF(Y262=regle!$I$11,regle!$I$23,
IF(Y262=regle!$J$11,regle!$J$23,
IF(Y262=regle!$K$11,regle!$K$23,0))))))))))))</f>
        <v>3413.7999999999997</v>
      </c>
      <c r="AJ262" s="17">
        <f>IF($A262,$J262*(IF(Z262=regle!$B$11,regle!$B$23*IF(AS262=-2,1+regle!$B$35,1),
IF(Z262=regle!$C$11,regle!$C$23,
IF(Z262=regle!$D$11,regle!$D$23,
IF(Z262=regle!$E$11,regle!$E$23,
IF(Z262=regle!$F$11,regle!$F$23,
IF(Z262=regle!$G$11,regle!$G$23,
IF(Z262=regle!$H$11,regle!$H$23,
IF(Z262=regle!$I$11,regle!$I$23,
IF(Z262=regle!$J$11,regle!$J$23,
IF(Z262=regle!$K$11,regle!$K$23,0))))))))))))</f>
        <v>-1227.6550000000002</v>
      </c>
      <c r="AK262" s="16">
        <f>IF(OR(Q262=regle!$J$11,Q262=regle!$K$11),-2,IF(Q262=regle!$B$11,0,IF(AK$1=$AK$1,IF($O262,-1,regle!$B$2-$M262),IF(AJ262=-1,-1,AJ262+1))))</f>
        <v>18</v>
      </c>
      <c r="AL262" s="16">
        <f>IF(OR(R262=regle!$J$11,R262=regle!$K$11),-2,IF(R262=regle!$B$11,0,IF(AL$1=$AK$1,IF($O262,-1,regle!$B$2-$M262),IF(AK262=-1,-1,AK262+1))))</f>
        <v>19</v>
      </c>
      <c r="AM262" s="16">
        <f>IF(OR(S262=regle!$J$11,S262=regle!$K$11),-2,IF(S262=regle!$B$11,0,IF(AM$1=$AK$1,IF($O262,-1,regle!$B$2-$M262),IF(AL262=-1,-1,AL262+1))))</f>
        <v>20</v>
      </c>
      <c r="AN262" s="16">
        <f>IF(OR(T262=regle!$J$11,T262=regle!$K$11),-2,IF(T262=regle!$B$11,0,IF(AN$1=$AK$1,IF($O262,-1,regle!$B$2-$M262),IF(AM262=-1,-1,AM262+1))))</f>
        <v>21</v>
      </c>
      <c r="AO262" s="16">
        <f>IF(OR(U262=regle!$J$11,U262=regle!$K$11),-2,IF(U262=regle!$B$11,0,IF(AO$1=$AK$1,IF($O262,-1,regle!$B$2-$M262),IF(AN262=-1,-1,AN262+1))))</f>
        <v>22</v>
      </c>
      <c r="AP262" s="16">
        <f>IF(OR(V262=regle!$J$11,V262=regle!$K$11),-2,IF(V262=regle!$B$11,0,IF(AP$1=$AK$1,IF($O262,-1,regle!$B$2-$M262),IF(AO262=-1,-1,AO262+1))))</f>
        <v>23</v>
      </c>
      <c r="AQ262" s="16">
        <f>IF(OR(W262=regle!$J$11,W262=regle!$K$11),-2,IF(W262=regle!$B$11,0,IF(AQ$1=$AK$1,IF($O262,-1,regle!$B$2-$M262),IF(AP262=-1,-1,AP262+1))))</f>
        <v>24</v>
      </c>
      <c r="AR262" s="16">
        <f>IF(OR(X262=regle!$J$11,X262=regle!$K$11),-2,IF(X262=regle!$B$11,0,IF(AR$1=$AK$1,IF($O262,-1,regle!$B$2-$M262),IF(AQ262=-1,-1,AQ262+1))))</f>
        <v>25</v>
      </c>
      <c r="AS262" s="16">
        <f>IF(OR(Y262=regle!$J$11,Y262=regle!$K$11),-2,IF(Y262=regle!$B$11,0,IF(AS$1=$AK$1,IF($O262,-1,regle!$B$2-$M262),IF(AR262=-1,-1,AR262+1))))</f>
        <v>-2</v>
      </c>
      <c r="AT262" s="16">
        <f>IF(OR(Z262=regle!$J$11,Z262=regle!$K$11),-2,IF(Z262=regle!$B$11,0,IF(AT$1=$AK$1,IF($O262,-1,regle!$B$2-$M262),IF(AS262=-1,-1,AS262+1))))</f>
        <v>0</v>
      </c>
    </row>
    <row r="263" spans="1:46" x14ac:dyDescent="0.25">
      <c r="A263" t="b">
        <f>modif0!A130</f>
        <v>1</v>
      </c>
      <c r="B263">
        <f>ROW(modif0!B130)</f>
        <v>130</v>
      </c>
      <c r="C263" t="str">
        <f>modif0!D130</f>
        <v>202</v>
      </c>
      <c r="D263" t="str">
        <f>modif0!E130</f>
        <v>HOSTENS</v>
      </c>
      <c r="E263">
        <f>modif0!F130</f>
        <v>11</v>
      </c>
      <c r="F263" t="str">
        <f>modif0!G130</f>
        <v>LES CAZALAS</v>
      </c>
      <c r="G263" t="str">
        <f>modif0!I130</f>
        <v>0B</v>
      </c>
      <c r="H263">
        <f>modif0!J130</f>
        <v>1156</v>
      </c>
      <c r="I263" t="str">
        <f>modif0!K130</f>
        <v>j</v>
      </c>
      <c r="J263" s="11">
        <f>modif0!M130</f>
        <v>0.65549999999999997</v>
      </c>
      <c r="K263" s="11" t="str">
        <f>modif0!P130</f>
        <v>PLA</v>
      </c>
      <c r="L263" t="str">
        <f>modif0!N130</f>
        <v>PM</v>
      </c>
      <c r="M263">
        <f>modif0!Q130</f>
        <v>2006</v>
      </c>
      <c r="N263" t="str">
        <f>modif0!R130</f>
        <v>PLA-PM_2006</v>
      </c>
      <c r="O263" t="b">
        <f>modif0!S130</f>
        <v>0</v>
      </c>
      <c r="P263">
        <v>40</v>
      </c>
      <c r="Y263" s="22" t="s">
        <v>1181</v>
      </c>
      <c r="Z263" t="s">
        <v>1868</v>
      </c>
      <c r="AA263" s="17">
        <f>IF($A263,$J263*(IF(Q263=regle!$B$11,regle!$B$23*IF(AJ263=-2,1+regle!$B$35,1),
IF(Q263=regle!$C$11,regle!$C$23,
IF(Q263=regle!$D$11,regle!$D$23,
IF(Q263=regle!$E$11,regle!$E$23,
IF(Q263=regle!$F$11,regle!$F$23,
IF(Q263=regle!$G$11,regle!$G$23,
IF(Q263=regle!$H$11,regle!$H$23,
IF(Q263=regle!$I$11,regle!$I$23,
IF(Q263=regle!$J$11,regle!$J$23,
IF(Q263=regle!$K$11,regle!$K$23,0))))))))))))</f>
        <v>0</v>
      </c>
      <c r="AB263" s="17">
        <f>IF($A263,$J263*(IF(R263=regle!$B$11,regle!$B$23*IF(AK263=-2,1+regle!$B$35,1),
IF(R263=regle!$C$11,regle!$C$23,
IF(R263=regle!$D$11,regle!$D$23,
IF(R263=regle!$E$11,regle!$E$23,
IF(R263=regle!$F$11,regle!$F$23,
IF(R263=regle!$G$11,regle!$G$23,
IF(R263=regle!$H$11,regle!$H$23,
IF(R263=regle!$I$11,regle!$I$23,
IF(R263=regle!$J$11,regle!$J$23,
IF(R263=regle!$K$11,regle!$K$23,0))))))))))))</f>
        <v>0</v>
      </c>
      <c r="AC263" s="17">
        <f>IF($A263,$J263*(IF(S263=regle!$B$11,regle!$B$23*IF(AL263=-2,1+regle!$B$35,1),
IF(S263=regle!$C$11,regle!$C$23,
IF(S263=regle!$D$11,regle!$D$23,
IF(S263=regle!$E$11,regle!$E$23,
IF(S263=regle!$F$11,regle!$F$23,
IF(S263=regle!$G$11,regle!$G$23,
IF(S263=regle!$H$11,regle!$H$23,
IF(S263=regle!$I$11,regle!$I$23,
IF(S263=regle!$J$11,regle!$J$23,
IF(S263=regle!$K$11,regle!$K$23,0))))))))))))</f>
        <v>0</v>
      </c>
      <c r="AD263" s="17">
        <f>IF($A263,$J263*(IF(T263=regle!$B$11,regle!$B$23*IF(AM263=-2,1+regle!$B$35,1),
IF(T263=regle!$C$11,regle!$C$23,
IF(T263=regle!$D$11,regle!$D$23,
IF(T263=regle!$E$11,regle!$E$23,
IF(T263=regle!$F$11,regle!$F$23,
IF(T263=regle!$G$11,regle!$G$23,
IF(T263=regle!$H$11,regle!$H$23,
IF(T263=regle!$I$11,regle!$I$23,
IF(T263=regle!$J$11,regle!$J$23,
IF(T263=regle!$K$11,regle!$K$23,0))))))))))))</f>
        <v>0</v>
      </c>
      <c r="AE263" s="17">
        <f>IF($A263,$J263*(IF(U263=regle!$B$11,regle!$B$23*IF(AN263=-2,1+regle!$B$35,1),
IF(U263=regle!$C$11,regle!$C$23,
IF(U263=regle!$D$11,regle!$D$23,
IF(U263=regle!$E$11,regle!$E$23,
IF(U263=regle!$F$11,regle!$F$23,
IF(U263=regle!$G$11,regle!$G$23,
IF(U263=regle!$H$11,regle!$H$23,
IF(U263=regle!$I$11,regle!$I$23,
IF(U263=regle!$J$11,regle!$J$23,
IF(U263=regle!$K$11,regle!$K$23,0))))))))))))</f>
        <v>0</v>
      </c>
      <c r="AF263" s="17">
        <f>IF($A263,$J263*(IF(V263=regle!$B$11,regle!$B$23*IF(AO263=-2,1+regle!$B$35,1),
IF(V263=regle!$C$11,regle!$C$23,
IF(V263=regle!$D$11,regle!$D$23,
IF(V263=regle!$E$11,regle!$E$23,
IF(V263=regle!$F$11,regle!$F$23,
IF(V263=regle!$G$11,regle!$G$23,
IF(V263=regle!$H$11,regle!$H$23,
IF(V263=regle!$I$11,regle!$I$23,
IF(V263=regle!$J$11,regle!$J$23,
IF(V263=regle!$K$11,regle!$K$23,0))))))))))))</f>
        <v>0</v>
      </c>
      <c r="AG263" s="17">
        <f>IF($A263,$J263*(IF(W263=regle!$B$11,regle!$B$23*IF(AP263=-2,1+regle!$B$35,1),
IF(W263=regle!$C$11,regle!$C$23,
IF(W263=regle!$D$11,regle!$D$23,
IF(W263=regle!$E$11,regle!$E$23,
IF(W263=regle!$F$11,regle!$F$23,
IF(W263=regle!$G$11,regle!$G$23,
IF(W263=regle!$H$11,regle!$H$23,
IF(W263=regle!$I$11,regle!$I$23,
IF(W263=regle!$J$11,regle!$J$23,
IF(W263=regle!$K$11,regle!$K$23,0))))))))))))</f>
        <v>0</v>
      </c>
      <c r="AH263" s="17">
        <f>IF($A263,$J263*(IF(X263=regle!$B$11,regle!$B$23*IF(AQ263=-2,1+regle!$B$35,1),
IF(X263=regle!$C$11,regle!$C$23,
IF(X263=regle!$D$11,regle!$D$23,
IF(X263=regle!$E$11,regle!$E$23,
IF(X263=regle!$F$11,regle!$F$23,
IF(X263=regle!$G$11,regle!$G$23,
IF(X263=regle!$H$11,regle!$H$23,
IF(X263=regle!$I$11,regle!$I$23,
IF(X263=regle!$J$11,regle!$J$23,
IF(X263=regle!$K$11,regle!$K$23,0))))))))))))</f>
        <v>0</v>
      </c>
      <c r="AI263" s="17">
        <f>IF($A263,$J263*(IF(Y263=regle!$B$11,regle!$B$23*IF(AR263=-2,1+regle!$B$35,1),
IF(Y263=regle!$C$11,regle!$C$23,
IF(Y263=regle!$D$11,regle!$D$23,
IF(Y263=regle!$E$11,regle!$E$23,
IF(Y263=regle!$F$11,regle!$F$23,
IF(Y263=regle!$G$11,regle!$G$23,
IF(Y263=regle!$H$11,regle!$H$23,
IF(Y263=regle!$I$11,regle!$I$23,
IF(Y263=regle!$J$11,regle!$J$23,
IF(Y263=regle!$K$11,regle!$K$23,0))))))))))))</f>
        <v>3408.6</v>
      </c>
      <c r="AJ263" s="17">
        <f>IF($A263,$J263*(IF(Z263=regle!$B$11,regle!$B$23*IF(AS263=-2,1+regle!$B$35,1),
IF(Z263=regle!$C$11,regle!$C$23,
IF(Z263=regle!$D$11,regle!$D$23,
IF(Z263=regle!$E$11,regle!$E$23,
IF(Z263=regle!$F$11,regle!$F$23,
IF(Z263=regle!$G$11,regle!$G$23,
IF(Z263=regle!$H$11,regle!$H$23,
IF(Z263=regle!$I$11,regle!$I$23,
IF(Z263=regle!$J$11,regle!$J$23,
IF(Z263=regle!$K$11,regle!$K$23,0))))))))))))</f>
        <v>-1225.7850000000001</v>
      </c>
      <c r="AK263" s="16">
        <f>IF(OR(Q263=regle!$J$11,Q263=regle!$K$11),-2,IF(Q263=regle!$B$11,0,IF(AK$1=$AK$1,IF($O263,-1,regle!$B$2-$M263),IF(AJ263=-1,-1,AJ263+1))))</f>
        <v>18</v>
      </c>
      <c r="AL263" s="16">
        <f>IF(OR(R263=regle!$J$11,R263=regle!$K$11),-2,IF(R263=regle!$B$11,0,IF(AL$1=$AK$1,IF($O263,-1,regle!$B$2-$M263),IF(AK263=-1,-1,AK263+1))))</f>
        <v>19</v>
      </c>
      <c r="AM263" s="16">
        <f>IF(OR(S263=regle!$J$11,S263=regle!$K$11),-2,IF(S263=regle!$B$11,0,IF(AM$1=$AK$1,IF($O263,-1,regle!$B$2-$M263),IF(AL263=-1,-1,AL263+1))))</f>
        <v>20</v>
      </c>
      <c r="AN263" s="16">
        <f>IF(OR(T263=regle!$J$11,T263=regle!$K$11),-2,IF(T263=regle!$B$11,0,IF(AN$1=$AK$1,IF($O263,-1,regle!$B$2-$M263),IF(AM263=-1,-1,AM263+1))))</f>
        <v>21</v>
      </c>
      <c r="AO263" s="16">
        <f>IF(OR(U263=regle!$J$11,U263=regle!$K$11),-2,IF(U263=regle!$B$11,0,IF(AO$1=$AK$1,IF($O263,-1,regle!$B$2-$M263),IF(AN263=-1,-1,AN263+1))))</f>
        <v>22</v>
      </c>
      <c r="AP263" s="16">
        <f>IF(OR(V263=regle!$J$11,V263=regle!$K$11),-2,IF(V263=regle!$B$11,0,IF(AP$1=$AK$1,IF($O263,-1,regle!$B$2-$M263),IF(AO263=-1,-1,AO263+1))))</f>
        <v>23</v>
      </c>
      <c r="AQ263" s="16">
        <f>IF(OR(W263=regle!$J$11,W263=regle!$K$11),-2,IF(W263=regle!$B$11,0,IF(AQ$1=$AK$1,IF($O263,-1,regle!$B$2-$M263),IF(AP263=-1,-1,AP263+1))))</f>
        <v>24</v>
      </c>
      <c r="AR263" s="16">
        <f>IF(OR(X263=regle!$J$11,X263=regle!$K$11),-2,IF(X263=regle!$B$11,0,IF(AR$1=$AK$1,IF($O263,-1,regle!$B$2-$M263),IF(AQ263=-1,-1,AQ263+1))))</f>
        <v>25</v>
      </c>
      <c r="AS263" s="16">
        <f>IF(OR(Y263=regle!$J$11,Y263=regle!$K$11),-2,IF(Y263=regle!$B$11,0,IF(AS$1=$AK$1,IF($O263,-1,regle!$B$2-$M263),IF(AR263=-1,-1,AR263+1))))</f>
        <v>-2</v>
      </c>
      <c r="AT263" s="16">
        <f>IF(OR(Z263=regle!$J$11,Z263=regle!$K$11),-2,IF(Z263=regle!$B$11,0,IF(AT$1=$AK$1,IF($O263,-1,regle!$B$2-$M263),IF(AS263=-1,-1,AS263+1))))</f>
        <v>0</v>
      </c>
    </row>
    <row r="264" spans="1:46" x14ac:dyDescent="0.25">
      <c r="A264" t="b">
        <f>modif0!A150</f>
        <v>1</v>
      </c>
      <c r="B264">
        <f>ROW(modif0!B150)</f>
        <v>150</v>
      </c>
      <c r="C264" t="str">
        <f>modif0!D150</f>
        <v>202</v>
      </c>
      <c r="D264" t="str">
        <f>modif0!E150</f>
        <v>HOSTENS</v>
      </c>
      <c r="E264">
        <f>modif0!F150</f>
        <v>11</v>
      </c>
      <c r="F264" t="str">
        <f>modif0!G150</f>
        <v>LES CAZALAS</v>
      </c>
      <c r="G264" t="str">
        <f>modif0!I150</f>
        <v>0B</v>
      </c>
      <c r="H264">
        <f>modif0!J150</f>
        <v>1174</v>
      </c>
      <c r="I264" t="str">
        <f>modif0!K150</f>
        <v/>
      </c>
      <c r="J264" s="11">
        <f>modif0!M150</f>
        <v>0.48949999999999999</v>
      </c>
      <c r="K264" s="11" t="str">
        <f>modif0!P150</f>
        <v>PLA</v>
      </c>
      <c r="L264" t="str">
        <f>modif0!N150</f>
        <v>PM</v>
      </c>
      <c r="M264">
        <f>modif0!Q150</f>
        <v>2006</v>
      </c>
      <c r="N264" t="str">
        <f>modif0!R150</f>
        <v>PLA-PM_2006</v>
      </c>
      <c r="O264" t="b">
        <f>modif0!S150</f>
        <v>0</v>
      </c>
      <c r="P264">
        <v>40</v>
      </c>
      <c r="Q264" t="s">
        <v>1804</v>
      </c>
      <c r="U264" t="s">
        <v>1805</v>
      </c>
      <c r="Z264" t="s">
        <v>1806</v>
      </c>
      <c r="AA264" s="17">
        <f>IF($A264,$J264*(IF(Q264=regle!$B$11,regle!$B$23*IF(AJ264=-2,1+regle!$B$35,1),
IF(Q264=regle!$C$11,regle!$C$23,
IF(Q264=regle!$D$11,regle!$D$23,
IF(Q264=regle!$E$11,regle!$E$23,
IF(Q264=regle!$F$11,regle!$F$23,
IF(Q264=regle!$G$11,regle!$G$23,
IF(Q264=regle!$H$11,regle!$H$23,
IF(Q264=regle!$I$11,regle!$I$23,
IF(Q264=regle!$J$11,regle!$J$23,
IF(Q264=regle!$K$11,regle!$K$23,0))))))))))))</f>
        <v>411.18</v>
      </c>
      <c r="AB264" s="17">
        <f>IF($A264,$J264*(IF(R264=regle!$B$11,regle!$B$23*IF(AK264=-2,1+regle!$B$35,1),
IF(R264=regle!$C$11,regle!$C$23,
IF(R264=regle!$D$11,regle!$D$23,
IF(R264=regle!$E$11,regle!$E$23,
IF(R264=regle!$F$11,regle!$F$23,
IF(R264=regle!$G$11,regle!$G$23,
IF(R264=regle!$H$11,regle!$H$23,
IF(R264=regle!$I$11,regle!$I$23,
IF(R264=regle!$J$11,regle!$J$23,
IF(R264=regle!$K$11,regle!$K$23,0))))))))))))</f>
        <v>0</v>
      </c>
      <c r="AC264" s="17">
        <f>IF($A264,$J264*(IF(S264=regle!$B$11,regle!$B$23*IF(AL264=-2,1+regle!$B$35,1),
IF(S264=regle!$C$11,regle!$C$23,
IF(S264=regle!$D$11,regle!$D$23,
IF(S264=regle!$E$11,regle!$E$23,
IF(S264=regle!$F$11,regle!$F$23,
IF(S264=regle!$G$11,regle!$G$23,
IF(S264=regle!$H$11,regle!$H$23,
IF(S264=regle!$I$11,regle!$I$23,
IF(S264=regle!$J$11,regle!$J$23,
IF(S264=regle!$K$11,regle!$K$23,0))))))))))))</f>
        <v>0</v>
      </c>
      <c r="AD264" s="17">
        <f>IF($A264,$J264*(IF(T264=regle!$B$11,regle!$B$23*IF(AM264=-2,1+regle!$B$35,1),
IF(T264=regle!$C$11,regle!$C$23,
IF(T264=regle!$D$11,regle!$D$23,
IF(T264=regle!$E$11,regle!$E$23,
IF(T264=regle!$F$11,regle!$F$23,
IF(T264=regle!$G$11,regle!$G$23,
IF(T264=regle!$H$11,regle!$H$23,
IF(T264=regle!$I$11,regle!$I$23,
IF(T264=regle!$J$11,regle!$J$23,
IF(T264=regle!$K$11,regle!$K$23,0))))))))))))</f>
        <v>0</v>
      </c>
      <c r="AE264" s="17">
        <f>IF($A264,$J264*(IF(U264=regle!$B$11,regle!$B$23*IF(AN264=-2,1+regle!$B$35,1),
IF(U264=regle!$C$11,regle!$C$23,
IF(U264=regle!$D$11,regle!$D$23,
IF(U264=regle!$E$11,regle!$E$23,
IF(U264=regle!$F$11,regle!$F$23,
IF(U264=regle!$G$11,regle!$G$23,
IF(U264=regle!$H$11,regle!$H$23,
IF(U264=regle!$I$11,regle!$I$23,
IF(U264=regle!$J$11,regle!$J$23,
IF(U264=regle!$K$11,regle!$K$23,0))))))))))))</f>
        <v>689.21600000000001</v>
      </c>
      <c r="AF264" s="17">
        <f>IF($A264,$J264*(IF(V264=regle!$B$11,regle!$B$23*IF(AO264=-2,1+regle!$B$35,1),
IF(V264=regle!$C$11,regle!$C$23,
IF(V264=regle!$D$11,regle!$D$23,
IF(V264=regle!$E$11,regle!$E$23,
IF(V264=regle!$F$11,regle!$F$23,
IF(V264=regle!$G$11,regle!$G$23,
IF(V264=regle!$H$11,regle!$H$23,
IF(V264=regle!$I$11,regle!$I$23,
IF(V264=regle!$J$11,regle!$J$23,
IF(V264=regle!$K$11,regle!$K$23,0))))))))))))</f>
        <v>0</v>
      </c>
      <c r="AG264" s="17">
        <f>IF($A264,$J264*(IF(W264=regle!$B$11,regle!$B$23*IF(AP264=-2,1+regle!$B$35,1),
IF(W264=regle!$C$11,regle!$C$23,
IF(W264=regle!$D$11,regle!$D$23,
IF(W264=regle!$E$11,regle!$E$23,
IF(W264=regle!$F$11,regle!$F$23,
IF(W264=regle!$G$11,regle!$G$23,
IF(W264=regle!$H$11,regle!$H$23,
IF(W264=regle!$I$11,regle!$I$23,
IF(W264=regle!$J$11,regle!$J$23,
IF(W264=regle!$K$11,regle!$K$23,0))))))))))))</f>
        <v>0</v>
      </c>
      <c r="AH264" s="17">
        <f>IF($A264,$J264*(IF(X264=regle!$B$11,regle!$B$23*IF(AQ264=-2,1+regle!$B$35,1),
IF(X264=regle!$C$11,regle!$C$23,
IF(X264=regle!$D$11,regle!$D$23,
IF(X264=regle!$E$11,regle!$E$23,
IF(X264=regle!$F$11,regle!$F$23,
IF(X264=regle!$G$11,regle!$G$23,
IF(X264=regle!$H$11,regle!$H$23,
IF(X264=regle!$I$11,regle!$I$23,
IF(X264=regle!$J$11,regle!$J$23,
IF(X264=regle!$K$11,regle!$K$23,0))))))))))))</f>
        <v>0</v>
      </c>
      <c r="AI264" s="17">
        <f>IF($A264,$J264*(IF(Y264=regle!$B$11,regle!$B$23*IF(AR264=-2,1+regle!$B$35,1),
IF(Y264=regle!$C$11,regle!$C$23,
IF(Y264=regle!$D$11,regle!$D$23,
IF(Y264=regle!$E$11,regle!$E$23,
IF(Y264=regle!$F$11,regle!$F$23,
IF(Y264=regle!$G$11,regle!$G$23,
IF(Y264=regle!$H$11,regle!$H$23,
IF(Y264=regle!$I$11,regle!$I$23,
IF(Y264=regle!$J$11,regle!$J$23,
IF(Y264=regle!$K$11,regle!$K$23,0))))))))))))</f>
        <v>0</v>
      </c>
      <c r="AJ264" s="17">
        <f>IF($A264,$J264*(IF(Z264=regle!$B$11,regle!$B$23*IF(AS264=-2,1+regle!$B$35,1),
IF(Z264=regle!$C$11,regle!$C$23,
IF(Z264=regle!$D$11,regle!$D$23,
IF(Z264=regle!$E$11,regle!$E$23,
IF(Z264=regle!$F$11,regle!$F$23,
IF(Z264=regle!$G$11,regle!$G$23,
IF(Z264=regle!$H$11,regle!$H$23,
IF(Z264=regle!$I$11,regle!$I$23,
IF(Z264=regle!$J$11,regle!$J$23,
IF(Z264=regle!$K$11,regle!$K$23,0))))))))))))</f>
        <v>626.55999999999995</v>
      </c>
      <c r="AK264" s="16">
        <f>IF(OR(Q264=regle!$J$11,Q264=regle!$K$11),-2,IF(Q264=regle!$B$11,0,IF(AK$1=$AK$1,IF($O264,-1,regle!$B$2-$M264),IF(AJ264=-1,-1,AJ264+1))))</f>
        <v>18</v>
      </c>
      <c r="AL264" s="16">
        <f>IF(OR(R264=regle!$J$11,R264=regle!$K$11),-2,IF(R264=regle!$B$11,0,IF(AL$1=$AK$1,IF($O264,-1,regle!$B$2-$M264),IF(AK264=-1,-1,AK264+1))))</f>
        <v>19</v>
      </c>
      <c r="AM264" s="16">
        <f>IF(OR(S264=regle!$J$11,S264=regle!$K$11),-2,IF(S264=regle!$B$11,0,IF(AM$1=$AK$1,IF($O264,-1,regle!$B$2-$M264),IF(AL264=-1,-1,AL264+1))))</f>
        <v>20</v>
      </c>
      <c r="AN264" s="16">
        <f>IF(OR(T264=regle!$J$11,T264=regle!$K$11),-2,IF(T264=regle!$B$11,0,IF(AN$1=$AK$1,IF($O264,-1,regle!$B$2-$M264),IF(AM264=-1,-1,AM264+1))))</f>
        <v>21</v>
      </c>
      <c r="AO264" s="16">
        <f>IF(OR(U264=regle!$J$11,U264=regle!$K$11),-2,IF(U264=regle!$B$11,0,IF(AO$1=$AK$1,IF($O264,-1,regle!$B$2-$M264),IF(AN264=-1,-1,AN264+1))))</f>
        <v>22</v>
      </c>
      <c r="AP264" s="16">
        <f>IF(OR(V264=regle!$J$11,V264=regle!$K$11),-2,IF(V264=regle!$B$11,0,IF(AP$1=$AK$1,IF($O264,-1,regle!$B$2-$M264),IF(AO264=-1,-1,AO264+1))))</f>
        <v>23</v>
      </c>
      <c r="AQ264" s="16">
        <f>IF(OR(W264=regle!$J$11,W264=regle!$K$11),-2,IF(W264=regle!$B$11,0,IF(AQ$1=$AK$1,IF($O264,-1,regle!$B$2-$M264),IF(AP264=-1,-1,AP264+1))))</f>
        <v>24</v>
      </c>
      <c r="AR264" s="16">
        <f>IF(OR(X264=regle!$J$11,X264=regle!$K$11),-2,IF(X264=regle!$B$11,0,IF(AR$1=$AK$1,IF($O264,-1,regle!$B$2-$M264),IF(AQ264=-1,-1,AQ264+1))))</f>
        <v>25</v>
      </c>
      <c r="AS264" s="16">
        <f>IF(OR(Y264=regle!$J$11,Y264=regle!$K$11),-2,IF(Y264=regle!$B$11,0,IF(AS$1=$AK$1,IF($O264,-1,regle!$B$2-$M264),IF(AR264=-1,-1,AR264+1))))</f>
        <v>26</v>
      </c>
      <c r="AT264" s="16">
        <f>IF(OR(Z264=regle!$J$11,Z264=regle!$K$11),-2,IF(Z264=regle!$B$11,0,IF(AT$1=$AK$1,IF($O264,-1,regle!$B$2-$M264),IF(AS264=-1,-1,AS264+1))))</f>
        <v>27</v>
      </c>
    </row>
    <row r="265" spans="1:46" x14ac:dyDescent="0.25">
      <c r="A265" t="b">
        <f>modif0!A144</f>
        <v>1</v>
      </c>
      <c r="B265">
        <f>ROW(modif0!B144)</f>
        <v>144</v>
      </c>
      <c r="C265" t="str">
        <f>modif0!D144</f>
        <v>202</v>
      </c>
      <c r="D265" t="str">
        <f>modif0!E144</f>
        <v>HOSTENS</v>
      </c>
      <c r="E265">
        <f>modif0!F144</f>
        <v>11</v>
      </c>
      <c r="F265" t="str">
        <f>modif0!G144</f>
        <v>LES CAZALAS</v>
      </c>
      <c r="G265" t="str">
        <f>modif0!I144</f>
        <v>0B</v>
      </c>
      <c r="H265">
        <f>modif0!J144</f>
        <v>1168</v>
      </c>
      <c r="I265" t="str">
        <f>modif0!K144</f>
        <v/>
      </c>
      <c r="J265" s="11">
        <f>modif0!M144</f>
        <v>0.40799999999999997</v>
      </c>
      <c r="K265" s="11" t="str">
        <f>modif0!P144</f>
        <v>PLA</v>
      </c>
      <c r="L265" t="str">
        <f>modif0!N144</f>
        <v>PM</v>
      </c>
      <c r="M265">
        <f>modif0!Q144</f>
        <v>2006</v>
      </c>
      <c r="N265" t="str">
        <f>modif0!R144</f>
        <v>PLA-PM_2006</v>
      </c>
      <c r="O265" t="b">
        <f>modif0!S144</f>
        <v>0</v>
      </c>
      <c r="P265">
        <v>40</v>
      </c>
      <c r="Q265" t="s">
        <v>1804</v>
      </c>
      <c r="U265" t="s">
        <v>1805</v>
      </c>
      <c r="Z265" t="s">
        <v>1806</v>
      </c>
      <c r="AA265" s="17">
        <f>IF($A265,$J265*(IF(Q265=regle!$B$11,regle!$B$23*IF(AJ265=-2,1+regle!$B$35,1),
IF(Q265=regle!$C$11,regle!$C$23,
IF(Q265=regle!$D$11,regle!$D$23,
IF(Q265=regle!$E$11,regle!$E$23,
IF(Q265=regle!$F$11,regle!$F$23,
IF(Q265=regle!$G$11,regle!$G$23,
IF(Q265=regle!$H$11,regle!$H$23,
IF(Q265=regle!$I$11,regle!$I$23,
IF(Q265=regle!$J$11,regle!$J$23,
IF(Q265=regle!$K$11,regle!$K$23,0))))))))))))</f>
        <v>342.71999999999997</v>
      </c>
      <c r="AB265" s="17">
        <f>IF($A265,$J265*(IF(R265=regle!$B$11,regle!$B$23*IF(AK265=-2,1+regle!$B$35,1),
IF(R265=regle!$C$11,regle!$C$23,
IF(R265=regle!$D$11,regle!$D$23,
IF(R265=regle!$E$11,regle!$E$23,
IF(R265=regle!$F$11,regle!$F$23,
IF(R265=regle!$G$11,regle!$G$23,
IF(R265=regle!$H$11,regle!$H$23,
IF(R265=regle!$I$11,regle!$I$23,
IF(R265=regle!$J$11,regle!$J$23,
IF(R265=regle!$K$11,regle!$K$23,0))))))))))))</f>
        <v>0</v>
      </c>
      <c r="AC265" s="17">
        <f>IF($A265,$J265*(IF(S265=regle!$B$11,regle!$B$23*IF(AL265=-2,1+regle!$B$35,1),
IF(S265=regle!$C$11,regle!$C$23,
IF(S265=regle!$D$11,regle!$D$23,
IF(S265=regle!$E$11,regle!$E$23,
IF(S265=regle!$F$11,regle!$F$23,
IF(S265=regle!$G$11,regle!$G$23,
IF(S265=regle!$H$11,regle!$H$23,
IF(S265=regle!$I$11,regle!$I$23,
IF(S265=regle!$J$11,regle!$J$23,
IF(S265=regle!$K$11,regle!$K$23,0))))))))))))</f>
        <v>0</v>
      </c>
      <c r="AD265" s="17">
        <f>IF($A265,$J265*(IF(T265=regle!$B$11,regle!$B$23*IF(AM265=-2,1+regle!$B$35,1),
IF(T265=regle!$C$11,regle!$C$23,
IF(T265=regle!$D$11,regle!$D$23,
IF(T265=regle!$E$11,regle!$E$23,
IF(T265=regle!$F$11,regle!$F$23,
IF(T265=regle!$G$11,regle!$G$23,
IF(T265=regle!$H$11,regle!$H$23,
IF(T265=regle!$I$11,regle!$I$23,
IF(T265=regle!$J$11,regle!$J$23,
IF(T265=regle!$K$11,regle!$K$23,0))))))))))))</f>
        <v>0</v>
      </c>
      <c r="AE265" s="17">
        <f>IF($A265,$J265*(IF(U265=regle!$B$11,regle!$B$23*IF(AN265=-2,1+regle!$B$35,1),
IF(U265=regle!$C$11,regle!$C$23,
IF(U265=regle!$D$11,regle!$D$23,
IF(U265=regle!$E$11,regle!$E$23,
IF(U265=regle!$F$11,regle!$F$23,
IF(U265=regle!$G$11,regle!$G$23,
IF(U265=regle!$H$11,regle!$H$23,
IF(U265=regle!$I$11,regle!$I$23,
IF(U265=regle!$J$11,regle!$J$23,
IF(U265=regle!$K$11,regle!$K$23,0))))))))))))</f>
        <v>574.46399999999994</v>
      </c>
      <c r="AF265" s="17">
        <f>IF($A265,$J265*(IF(V265=regle!$B$11,regle!$B$23*IF(AO265=-2,1+regle!$B$35,1),
IF(V265=regle!$C$11,regle!$C$23,
IF(V265=regle!$D$11,regle!$D$23,
IF(V265=regle!$E$11,regle!$E$23,
IF(V265=regle!$F$11,regle!$F$23,
IF(V265=regle!$G$11,regle!$G$23,
IF(V265=regle!$H$11,regle!$H$23,
IF(V265=regle!$I$11,regle!$I$23,
IF(V265=regle!$J$11,regle!$J$23,
IF(V265=regle!$K$11,regle!$K$23,0))))))))))))</f>
        <v>0</v>
      </c>
      <c r="AG265" s="17">
        <f>IF($A265,$J265*(IF(W265=regle!$B$11,regle!$B$23*IF(AP265=-2,1+regle!$B$35,1),
IF(W265=regle!$C$11,regle!$C$23,
IF(W265=regle!$D$11,regle!$D$23,
IF(W265=regle!$E$11,regle!$E$23,
IF(W265=regle!$F$11,regle!$F$23,
IF(W265=regle!$G$11,regle!$G$23,
IF(W265=regle!$H$11,regle!$H$23,
IF(W265=regle!$I$11,regle!$I$23,
IF(W265=regle!$J$11,regle!$J$23,
IF(W265=regle!$K$11,regle!$K$23,0))))))))))))</f>
        <v>0</v>
      </c>
      <c r="AH265" s="17">
        <f>IF($A265,$J265*(IF(X265=regle!$B$11,regle!$B$23*IF(AQ265=-2,1+regle!$B$35,1),
IF(X265=regle!$C$11,regle!$C$23,
IF(X265=regle!$D$11,regle!$D$23,
IF(X265=regle!$E$11,regle!$E$23,
IF(X265=regle!$F$11,regle!$F$23,
IF(X265=regle!$G$11,regle!$G$23,
IF(X265=regle!$H$11,regle!$H$23,
IF(X265=regle!$I$11,regle!$I$23,
IF(X265=regle!$J$11,regle!$J$23,
IF(X265=regle!$K$11,regle!$K$23,0))))))))))))</f>
        <v>0</v>
      </c>
      <c r="AI265" s="17">
        <f>IF($A265,$J265*(IF(Y265=regle!$B$11,regle!$B$23*IF(AR265=-2,1+regle!$B$35,1),
IF(Y265=regle!$C$11,regle!$C$23,
IF(Y265=regle!$D$11,regle!$D$23,
IF(Y265=regle!$E$11,regle!$E$23,
IF(Y265=regle!$F$11,regle!$F$23,
IF(Y265=regle!$G$11,regle!$G$23,
IF(Y265=regle!$H$11,regle!$H$23,
IF(Y265=regle!$I$11,regle!$I$23,
IF(Y265=regle!$J$11,regle!$J$23,
IF(Y265=regle!$K$11,regle!$K$23,0))))))))))))</f>
        <v>0</v>
      </c>
      <c r="AJ265" s="17">
        <f>IF($A265,$J265*(IF(Z265=regle!$B$11,regle!$B$23*IF(AS265=-2,1+regle!$B$35,1),
IF(Z265=regle!$C$11,regle!$C$23,
IF(Z265=regle!$D$11,regle!$D$23,
IF(Z265=regle!$E$11,regle!$E$23,
IF(Z265=regle!$F$11,regle!$F$23,
IF(Z265=regle!$G$11,regle!$G$23,
IF(Z265=regle!$H$11,regle!$H$23,
IF(Z265=regle!$I$11,regle!$I$23,
IF(Z265=regle!$J$11,regle!$J$23,
IF(Z265=regle!$K$11,regle!$K$23,0))))))))))))</f>
        <v>522.24</v>
      </c>
      <c r="AK265" s="16">
        <f>IF(OR(Q265=regle!$J$11,Q265=regle!$K$11),-2,IF(Q265=regle!$B$11,0,IF(AK$1=$AK$1,IF($O265,-1,regle!$B$2-$M265),IF(AJ265=-1,-1,AJ265+1))))</f>
        <v>18</v>
      </c>
      <c r="AL265" s="16">
        <f>IF(OR(R265=regle!$J$11,R265=regle!$K$11),-2,IF(R265=regle!$B$11,0,IF(AL$1=$AK$1,IF($O265,-1,regle!$B$2-$M265),IF(AK265=-1,-1,AK265+1))))</f>
        <v>19</v>
      </c>
      <c r="AM265" s="16">
        <f>IF(OR(S265=regle!$J$11,S265=regle!$K$11),-2,IF(S265=regle!$B$11,0,IF(AM$1=$AK$1,IF($O265,-1,regle!$B$2-$M265),IF(AL265=-1,-1,AL265+1))))</f>
        <v>20</v>
      </c>
      <c r="AN265" s="16">
        <f>IF(OR(T265=regle!$J$11,T265=regle!$K$11),-2,IF(T265=regle!$B$11,0,IF(AN$1=$AK$1,IF($O265,-1,regle!$B$2-$M265),IF(AM265=-1,-1,AM265+1))))</f>
        <v>21</v>
      </c>
      <c r="AO265" s="16">
        <f>IF(OR(U265=regle!$J$11,U265=regle!$K$11),-2,IF(U265=regle!$B$11,0,IF(AO$1=$AK$1,IF($O265,-1,regle!$B$2-$M265),IF(AN265=-1,-1,AN265+1))))</f>
        <v>22</v>
      </c>
      <c r="AP265" s="16">
        <f>IF(OR(V265=regle!$J$11,V265=regle!$K$11),-2,IF(V265=regle!$B$11,0,IF(AP$1=$AK$1,IF($O265,-1,regle!$B$2-$M265),IF(AO265=-1,-1,AO265+1))))</f>
        <v>23</v>
      </c>
      <c r="AQ265" s="16">
        <f>IF(OR(W265=regle!$J$11,W265=regle!$K$11),-2,IF(W265=regle!$B$11,0,IF(AQ$1=$AK$1,IF($O265,-1,regle!$B$2-$M265),IF(AP265=-1,-1,AP265+1))))</f>
        <v>24</v>
      </c>
      <c r="AR265" s="16">
        <f>IF(OR(X265=regle!$J$11,X265=regle!$K$11),-2,IF(X265=regle!$B$11,0,IF(AR$1=$AK$1,IF($O265,-1,regle!$B$2-$M265),IF(AQ265=-1,-1,AQ265+1))))</f>
        <v>25</v>
      </c>
      <c r="AS265" s="16">
        <f>IF(OR(Y265=regle!$J$11,Y265=regle!$K$11),-2,IF(Y265=regle!$B$11,0,IF(AS$1=$AK$1,IF($O265,-1,regle!$B$2-$M265),IF(AR265=-1,-1,AR265+1))))</f>
        <v>26</v>
      </c>
      <c r="AT265" s="16">
        <f>IF(OR(Z265=regle!$J$11,Z265=regle!$K$11),-2,IF(Z265=regle!$B$11,0,IF(AT$1=$AK$1,IF($O265,-1,regle!$B$2-$M265),IF(AS265=-1,-1,AS265+1))))</f>
        <v>27</v>
      </c>
    </row>
    <row r="266" spans="1:46" x14ac:dyDescent="0.25">
      <c r="A266" t="b">
        <f>modif0!A151</f>
        <v>1</v>
      </c>
      <c r="B266">
        <f>ROW(modif0!B151)</f>
        <v>151</v>
      </c>
      <c r="C266" t="str">
        <f>modif0!D151</f>
        <v>202</v>
      </c>
      <c r="D266" t="str">
        <f>modif0!E151</f>
        <v>HOSTENS</v>
      </c>
      <c r="E266">
        <f>modif0!F151</f>
        <v>11</v>
      </c>
      <c r="F266" t="str">
        <f>modif0!G151</f>
        <v>LES CAZALAS</v>
      </c>
      <c r="G266" t="str">
        <f>modif0!I151</f>
        <v>0B</v>
      </c>
      <c r="H266">
        <f>modif0!J151</f>
        <v>1175</v>
      </c>
      <c r="I266" t="str">
        <f>modif0!K151</f>
        <v/>
      </c>
      <c r="J266" s="11">
        <f>modif0!M151</f>
        <v>0.35199999999999998</v>
      </c>
      <c r="K266" s="11" t="str">
        <f>modif0!P151</f>
        <v>PLA</v>
      </c>
      <c r="L266" t="str">
        <f>modif0!N151</f>
        <v>PM</v>
      </c>
      <c r="M266">
        <f>modif0!Q151</f>
        <v>2006</v>
      </c>
      <c r="N266" t="str">
        <f>modif0!R151</f>
        <v>PLA-PM_2006</v>
      </c>
      <c r="O266" t="b">
        <f>modif0!S151</f>
        <v>0</v>
      </c>
      <c r="P266">
        <v>40</v>
      </c>
      <c r="Q266" t="s">
        <v>1804</v>
      </c>
      <c r="U266" t="s">
        <v>1805</v>
      </c>
      <c r="Z266" t="s">
        <v>1806</v>
      </c>
      <c r="AA266" s="17">
        <f>IF($A266,$J266*(IF(Q266=regle!$B$11,regle!$B$23*IF(AJ266=-2,1+regle!$B$35,1),
IF(Q266=regle!$C$11,regle!$C$23,
IF(Q266=regle!$D$11,regle!$D$23,
IF(Q266=regle!$E$11,regle!$E$23,
IF(Q266=regle!$F$11,regle!$F$23,
IF(Q266=regle!$G$11,regle!$G$23,
IF(Q266=regle!$H$11,regle!$H$23,
IF(Q266=regle!$I$11,regle!$I$23,
IF(Q266=regle!$J$11,regle!$J$23,
IF(Q266=regle!$K$11,regle!$K$23,0))))))))))))</f>
        <v>295.68</v>
      </c>
      <c r="AB266" s="17">
        <f>IF($A266,$J266*(IF(R266=regle!$B$11,regle!$B$23*IF(AK266=-2,1+regle!$B$35,1),
IF(R266=regle!$C$11,regle!$C$23,
IF(R266=regle!$D$11,regle!$D$23,
IF(R266=regle!$E$11,regle!$E$23,
IF(R266=regle!$F$11,regle!$F$23,
IF(R266=regle!$G$11,regle!$G$23,
IF(R266=regle!$H$11,regle!$H$23,
IF(R266=regle!$I$11,regle!$I$23,
IF(R266=regle!$J$11,regle!$J$23,
IF(R266=regle!$K$11,regle!$K$23,0))))))))))))</f>
        <v>0</v>
      </c>
      <c r="AC266" s="17">
        <f>IF($A266,$J266*(IF(S266=regle!$B$11,regle!$B$23*IF(AL266=-2,1+regle!$B$35,1),
IF(S266=regle!$C$11,regle!$C$23,
IF(S266=regle!$D$11,regle!$D$23,
IF(S266=regle!$E$11,regle!$E$23,
IF(S266=regle!$F$11,regle!$F$23,
IF(S266=regle!$G$11,regle!$G$23,
IF(S266=regle!$H$11,regle!$H$23,
IF(S266=regle!$I$11,regle!$I$23,
IF(S266=regle!$J$11,regle!$J$23,
IF(S266=regle!$K$11,regle!$K$23,0))))))))))))</f>
        <v>0</v>
      </c>
      <c r="AD266" s="17">
        <f>IF($A266,$J266*(IF(T266=regle!$B$11,regle!$B$23*IF(AM266=-2,1+regle!$B$35,1),
IF(T266=regle!$C$11,regle!$C$23,
IF(T266=regle!$D$11,regle!$D$23,
IF(T266=regle!$E$11,regle!$E$23,
IF(T266=regle!$F$11,regle!$F$23,
IF(T266=regle!$G$11,regle!$G$23,
IF(T266=regle!$H$11,regle!$H$23,
IF(T266=regle!$I$11,regle!$I$23,
IF(T266=regle!$J$11,regle!$J$23,
IF(T266=regle!$K$11,regle!$K$23,0))))))))))))</f>
        <v>0</v>
      </c>
      <c r="AE266" s="17">
        <f>IF($A266,$J266*(IF(U266=regle!$B$11,regle!$B$23*IF(AN266=-2,1+regle!$B$35,1),
IF(U266=regle!$C$11,regle!$C$23,
IF(U266=regle!$D$11,regle!$D$23,
IF(U266=regle!$E$11,regle!$E$23,
IF(U266=regle!$F$11,regle!$F$23,
IF(U266=regle!$G$11,regle!$G$23,
IF(U266=regle!$H$11,regle!$H$23,
IF(U266=regle!$I$11,regle!$I$23,
IF(U266=regle!$J$11,regle!$J$23,
IF(U266=regle!$K$11,regle!$K$23,0))))))))))))</f>
        <v>495.61599999999999</v>
      </c>
      <c r="AF266" s="17">
        <f>IF($A266,$J266*(IF(V266=regle!$B$11,regle!$B$23*IF(AO266=-2,1+regle!$B$35,1),
IF(V266=regle!$C$11,regle!$C$23,
IF(V266=regle!$D$11,regle!$D$23,
IF(V266=regle!$E$11,regle!$E$23,
IF(V266=regle!$F$11,regle!$F$23,
IF(V266=regle!$G$11,regle!$G$23,
IF(V266=regle!$H$11,regle!$H$23,
IF(V266=regle!$I$11,regle!$I$23,
IF(V266=regle!$J$11,regle!$J$23,
IF(V266=regle!$K$11,regle!$K$23,0))))))))))))</f>
        <v>0</v>
      </c>
      <c r="AG266" s="17">
        <f>IF($A266,$J266*(IF(W266=regle!$B$11,regle!$B$23*IF(AP266=-2,1+regle!$B$35,1),
IF(W266=regle!$C$11,regle!$C$23,
IF(W266=regle!$D$11,regle!$D$23,
IF(W266=regle!$E$11,regle!$E$23,
IF(W266=regle!$F$11,regle!$F$23,
IF(W266=regle!$G$11,regle!$G$23,
IF(W266=regle!$H$11,regle!$H$23,
IF(W266=regle!$I$11,regle!$I$23,
IF(W266=regle!$J$11,regle!$J$23,
IF(W266=regle!$K$11,regle!$K$23,0))))))))))))</f>
        <v>0</v>
      </c>
      <c r="AH266" s="17">
        <f>IF($A266,$J266*(IF(X266=regle!$B$11,regle!$B$23*IF(AQ266=-2,1+regle!$B$35,1),
IF(X266=regle!$C$11,regle!$C$23,
IF(X266=regle!$D$11,regle!$D$23,
IF(X266=regle!$E$11,regle!$E$23,
IF(X266=regle!$F$11,regle!$F$23,
IF(X266=regle!$G$11,regle!$G$23,
IF(X266=regle!$H$11,regle!$H$23,
IF(X266=regle!$I$11,regle!$I$23,
IF(X266=regle!$J$11,regle!$J$23,
IF(X266=regle!$K$11,regle!$K$23,0))))))))))))</f>
        <v>0</v>
      </c>
      <c r="AI266" s="17">
        <f>IF($A266,$J266*(IF(Y266=regle!$B$11,regle!$B$23*IF(AR266=-2,1+regle!$B$35,1),
IF(Y266=regle!$C$11,regle!$C$23,
IF(Y266=regle!$D$11,regle!$D$23,
IF(Y266=regle!$E$11,regle!$E$23,
IF(Y266=regle!$F$11,regle!$F$23,
IF(Y266=regle!$G$11,regle!$G$23,
IF(Y266=regle!$H$11,regle!$H$23,
IF(Y266=regle!$I$11,regle!$I$23,
IF(Y266=regle!$J$11,regle!$J$23,
IF(Y266=regle!$K$11,regle!$K$23,0))))))))))))</f>
        <v>0</v>
      </c>
      <c r="AJ266" s="17">
        <f>IF($A266,$J266*(IF(Z266=regle!$B$11,regle!$B$23*IF(AS266=-2,1+regle!$B$35,1),
IF(Z266=regle!$C$11,regle!$C$23,
IF(Z266=regle!$D$11,regle!$D$23,
IF(Z266=regle!$E$11,regle!$E$23,
IF(Z266=regle!$F$11,regle!$F$23,
IF(Z266=regle!$G$11,regle!$G$23,
IF(Z266=regle!$H$11,regle!$H$23,
IF(Z266=regle!$I$11,regle!$I$23,
IF(Z266=regle!$J$11,regle!$J$23,
IF(Z266=regle!$K$11,regle!$K$23,0))))))))))))</f>
        <v>450.55999999999995</v>
      </c>
      <c r="AK266" s="16">
        <f>IF(OR(Q266=regle!$J$11,Q266=regle!$K$11),-2,IF(Q266=regle!$B$11,0,IF(AK$1=$AK$1,IF($O266,-1,regle!$B$2-$M266),IF(AJ266=-1,-1,AJ266+1))))</f>
        <v>18</v>
      </c>
      <c r="AL266" s="16">
        <f>IF(OR(R266=regle!$J$11,R266=regle!$K$11),-2,IF(R266=regle!$B$11,0,IF(AL$1=$AK$1,IF($O266,-1,regle!$B$2-$M266),IF(AK266=-1,-1,AK266+1))))</f>
        <v>19</v>
      </c>
      <c r="AM266" s="16">
        <f>IF(OR(S266=regle!$J$11,S266=regle!$K$11),-2,IF(S266=regle!$B$11,0,IF(AM$1=$AK$1,IF($O266,-1,regle!$B$2-$M266),IF(AL266=-1,-1,AL266+1))))</f>
        <v>20</v>
      </c>
      <c r="AN266" s="16">
        <f>IF(OR(T266=regle!$J$11,T266=regle!$K$11),-2,IF(T266=regle!$B$11,0,IF(AN$1=$AK$1,IF($O266,-1,regle!$B$2-$M266),IF(AM266=-1,-1,AM266+1))))</f>
        <v>21</v>
      </c>
      <c r="AO266" s="16">
        <f>IF(OR(U266=regle!$J$11,U266=regle!$K$11),-2,IF(U266=regle!$B$11,0,IF(AO$1=$AK$1,IF($O266,-1,regle!$B$2-$M266),IF(AN266=-1,-1,AN266+1))))</f>
        <v>22</v>
      </c>
      <c r="AP266" s="16">
        <f>IF(OR(V266=regle!$J$11,V266=regle!$K$11),-2,IF(V266=regle!$B$11,0,IF(AP$1=$AK$1,IF($O266,-1,regle!$B$2-$M266),IF(AO266=-1,-1,AO266+1))))</f>
        <v>23</v>
      </c>
      <c r="AQ266" s="16">
        <f>IF(OR(W266=regle!$J$11,W266=regle!$K$11),-2,IF(W266=regle!$B$11,0,IF(AQ$1=$AK$1,IF($O266,-1,regle!$B$2-$M266),IF(AP266=-1,-1,AP266+1))))</f>
        <v>24</v>
      </c>
      <c r="AR266" s="16">
        <f>IF(OR(X266=regle!$J$11,X266=regle!$K$11),-2,IF(X266=regle!$B$11,0,IF(AR$1=$AK$1,IF($O266,-1,regle!$B$2-$M266),IF(AQ266=-1,-1,AQ266+1))))</f>
        <v>25</v>
      </c>
      <c r="AS266" s="16">
        <f>IF(OR(Y266=regle!$J$11,Y266=regle!$K$11),-2,IF(Y266=regle!$B$11,0,IF(AS$1=$AK$1,IF($O266,-1,regle!$B$2-$M266),IF(AR266=-1,-1,AR266+1))))</f>
        <v>26</v>
      </c>
      <c r="AT266" s="16">
        <f>IF(OR(Z266=regle!$J$11,Z266=regle!$K$11),-2,IF(Z266=regle!$B$11,0,IF(AT$1=$AK$1,IF($O266,-1,regle!$B$2-$M266),IF(AS266=-1,-1,AS266+1))))</f>
        <v>27</v>
      </c>
    </row>
    <row r="267" spans="1:46" x14ac:dyDescent="0.25">
      <c r="A267" t="b">
        <f>modif0!A145</f>
        <v>1</v>
      </c>
      <c r="B267">
        <f>ROW(modif0!B145)</f>
        <v>145</v>
      </c>
      <c r="C267" t="str">
        <f>modif0!D145</f>
        <v>202</v>
      </c>
      <c r="D267" t="str">
        <f>modif0!E145</f>
        <v>HOSTENS</v>
      </c>
      <c r="E267">
        <f>modif0!F145</f>
        <v>11</v>
      </c>
      <c r="F267" t="str">
        <f>modif0!G145</f>
        <v>LES CAZALAS</v>
      </c>
      <c r="G267" t="str">
        <f>modif0!I145</f>
        <v>0B</v>
      </c>
      <c r="H267">
        <f>modif0!J145</f>
        <v>1169</v>
      </c>
      <c r="I267" t="str">
        <f>modif0!K145</f>
        <v/>
      </c>
      <c r="J267" s="11">
        <f>modif0!M145</f>
        <v>0.33600000000000002</v>
      </c>
      <c r="K267" s="11" t="str">
        <f>modif0!P145</f>
        <v>PLA</v>
      </c>
      <c r="L267" t="str">
        <f>modif0!N145</f>
        <v>PM</v>
      </c>
      <c r="M267">
        <f>modif0!Q145</f>
        <v>2006</v>
      </c>
      <c r="N267" t="str">
        <f>modif0!R145</f>
        <v>PLA-PM_2006</v>
      </c>
      <c r="O267" t="b">
        <f>modif0!S145</f>
        <v>0</v>
      </c>
      <c r="P267">
        <v>40</v>
      </c>
      <c r="Q267" t="s">
        <v>1804</v>
      </c>
      <c r="U267" t="s">
        <v>1805</v>
      </c>
      <c r="Z267" t="s">
        <v>1806</v>
      </c>
      <c r="AA267" s="17">
        <f>IF($A267,$J267*(IF(Q267=regle!$B$11,regle!$B$23*IF(AJ267=-2,1+regle!$B$35,1),
IF(Q267=regle!$C$11,regle!$C$23,
IF(Q267=regle!$D$11,regle!$D$23,
IF(Q267=regle!$E$11,regle!$E$23,
IF(Q267=regle!$F$11,regle!$F$23,
IF(Q267=regle!$G$11,regle!$G$23,
IF(Q267=regle!$H$11,regle!$H$23,
IF(Q267=regle!$I$11,regle!$I$23,
IF(Q267=regle!$J$11,regle!$J$23,
IF(Q267=regle!$K$11,regle!$K$23,0))))))))))))</f>
        <v>282.24</v>
      </c>
      <c r="AB267" s="17">
        <f>IF($A267,$J267*(IF(R267=regle!$B$11,regle!$B$23*IF(AK267=-2,1+regle!$B$35,1),
IF(R267=regle!$C$11,regle!$C$23,
IF(R267=regle!$D$11,regle!$D$23,
IF(R267=regle!$E$11,regle!$E$23,
IF(R267=regle!$F$11,regle!$F$23,
IF(R267=regle!$G$11,regle!$G$23,
IF(R267=regle!$H$11,regle!$H$23,
IF(R267=regle!$I$11,regle!$I$23,
IF(R267=regle!$J$11,regle!$J$23,
IF(R267=regle!$K$11,regle!$K$23,0))))))))))))</f>
        <v>0</v>
      </c>
      <c r="AC267" s="17">
        <f>IF($A267,$J267*(IF(S267=regle!$B$11,regle!$B$23*IF(AL267=-2,1+regle!$B$35,1),
IF(S267=regle!$C$11,regle!$C$23,
IF(S267=regle!$D$11,regle!$D$23,
IF(S267=regle!$E$11,regle!$E$23,
IF(S267=regle!$F$11,regle!$F$23,
IF(S267=regle!$G$11,regle!$G$23,
IF(S267=regle!$H$11,regle!$H$23,
IF(S267=regle!$I$11,regle!$I$23,
IF(S267=regle!$J$11,regle!$J$23,
IF(S267=regle!$K$11,regle!$K$23,0))))))))))))</f>
        <v>0</v>
      </c>
      <c r="AD267" s="17">
        <f>IF($A267,$J267*(IF(T267=regle!$B$11,regle!$B$23*IF(AM267=-2,1+regle!$B$35,1),
IF(T267=regle!$C$11,regle!$C$23,
IF(T267=regle!$D$11,regle!$D$23,
IF(T267=regle!$E$11,regle!$E$23,
IF(T267=regle!$F$11,regle!$F$23,
IF(T267=regle!$G$11,regle!$G$23,
IF(T267=regle!$H$11,regle!$H$23,
IF(T267=regle!$I$11,regle!$I$23,
IF(T267=regle!$J$11,regle!$J$23,
IF(T267=regle!$K$11,regle!$K$23,0))))))))))))</f>
        <v>0</v>
      </c>
      <c r="AE267" s="17">
        <f>IF($A267,$J267*(IF(U267=regle!$B$11,regle!$B$23*IF(AN267=-2,1+regle!$B$35,1),
IF(U267=regle!$C$11,regle!$C$23,
IF(U267=regle!$D$11,regle!$D$23,
IF(U267=regle!$E$11,regle!$E$23,
IF(U267=regle!$F$11,regle!$F$23,
IF(U267=regle!$G$11,regle!$G$23,
IF(U267=regle!$H$11,regle!$H$23,
IF(U267=regle!$I$11,regle!$I$23,
IF(U267=regle!$J$11,regle!$J$23,
IF(U267=regle!$K$11,regle!$K$23,0))))))))))))</f>
        <v>473.08800000000002</v>
      </c>
      <c r="AF267" s="17">
        <f>IF($A267,$J267*(IF(V267=regle!$B$11,regle!$B$23*IF(AO267=-2,1+regle!$B$35,1),
IF(V267=regle!$C$11,regle!$C$23,
IF(V267=regle!$D$11,regle!$D$23,
IF(V267=regle!$E$11,regle!$E$23,
IF(V267=regle!$F$11,regle!$F$23,
IF(V267=regle!$G$11,regle!$G$23,
IF(V267=regle!$H$11,regle!$H$23,
IF(V267=regle!$I$11,regle!$I$23,
IF(V267=regle!$J$11,regle!$J$23,
IF(V267=regle!$K$11,regle!$K$23,0))))))))))))</f>
        <v>0</v>
      </c>
      <c r="AG267" s="17">
        <f>IF($A267,$J267*(IF(W267=regle!$B$11,regle!$B$23*IF(AP267=-2,1+regle!$B$35,1),
IF(W267=regle!$C$11,regle!$C$23,
IF(W267=regle!$D$11,regle!$D$23,
IF(W267=regle!$E$11,regle!$E$23,
IF(W267=regle!$F$11,regle!$F$23,
IF(W267=regle!$G$11,regle!$G$23,
IF(W267=regle!$H$11,regle!$H$23,
IF(W267=regle!$I$11,regle!$I$23,
IF(W267=regle!$J$11,regle!$J$23,
IF(W267=regle!$K$11,regle!$K$23,0))))))))))))</f>
        <v>0</v>
      </c>
      <c r="AH267" s="17">
        <f>IF($A267,$J267*(IF(X267=regle!$B$11,regle!$B$23*IF(AQ267=-2,1+regle!$B$35,1),
IF(X267=regle!$C$11,regle!$C$23,
IF(X267=regle!$D$11,regle!$D$23,
IF(X267=regle!$E$11,regle!$E$23,
IF(X267=regle!$F$11,regle!$F$23,
IF(X267=regle!$G$11,regle!$G$23,
IF(X267=regle!$H$11,regle!$H$23,
IF(X267=regle!$I$11,regle!$I$23,
IF(X267=regle!$J$11,regle!$J$23,
IF(X267=regle!$K$11,regle!$K$23,0))))))))))))</f>
        <v>0</v>
      </c>
      <c r="AI267" s="17">
        <f>IF($A267,$J267*(IF(Y267=regle!$B$11,regle!$B$23*IF(AR267=-2,1+regle!$B$35,1),
IF(Y267=regle!$C$11,regle!$C$23,
IF(Y267=regle!$D$11,regle!$D$23,
IF(Y267=regle!$E$11,regle!$E$23,
IF(Y267=regle!$F$11,regle!$F$23,
IF(Y267=regle!$G$11,regle!$G$23,
IF(Y267=regle!$H$11,regle!$H$23,
IF(Y267=regle!$I$11,regle!$I$23,
IF(Y267=regle!$J$11,regle!$J$23,
IF(Y267=regle!$K$11,regle!$K$23,0))))))))))))</f>
        <v>0</v>
      </c>
      <c r="AJ267" s="17">
        <f>IF($A267,$J267*(IF(Z267=regle!$B$11,regle!$B$23*IF(AS267=-2,1+regle!$B$35,1),
IF(Z267=regle!$C$11,regle!$C$23,
IF(Z267=regle!$D$11,regle!$D$23,
IF(Z267=regle!$E$11,regle!$E$23,
IF(Z267=regle!$F$11,regle!$F$23,
IF(Z267=regle!$G$11,regle!$G$23,
IF(Z267=regle!$H$11,regle!$H$23,
IF(Z267=regle!$I$11,regle!$I$23,
IF(Z267=regle!$J$11,regle!$J$23,
IF(Z267=regle!$K$11,regle!$K$23,0))))))))))))</f>
        <v>430.08000000000004</v>
      </c>
      <c r="AK267" s="16">
        <f>IF(OR(Q267=regle!$J$11,Q267=regle!$K$11),-2,IF(Q267=regle!$B$11,0,IF(AK$1=$AK$1,IF($O267,-1,regle!$B$2-$M267),IF(AJ267=-1,-1,AJ267+1))))</f>
        <v>18</v>
      </c>
      <c r="AL267" s="16">
        <f>IF(OR(R267=regle!$J$11,R267=regle!$K$11),-2,IF(R267=regle!$B$11,0,IF(AL$1=$AK$1,IF($O267,-1,regle!$B$2-$M267),IF(AK267=-1,-1,AK267+1))))</f>
        <v>19</v>
      </c>
      <c r="AM267" s="16">
        <f>IF(OR(S267=regle!$J$11,S267=regle!$K$11),-2,IF(S267=regle!$B$11,0,IF(AM$1=$AK$1,IF($O267,-1,regle!$B$2-$M267),IF(AL267=-1,-1,AL267+1))))</f>
        <v>20</v>
      </c>
      <c r="AN267" s="16">
        <f>IF(OR(T267=regle!$J$11,T267=regle!$K$11),-2,IF(T267=regle!$B$11,0,IF(AN$1=$AK$1,IF($O267,-1,regle!$B$2-$M267),IF(AM267=-1,-1,AM267+1))))</f>
        <v>21</v>
      </c>
      <c r="AO267" s="16">
        <f>IF(OR(U267=regle!$J$11,U267=regle!$K$11),-2,IF(U267=regle!$B$11,0,IF(AO$1=$AK$1,IF($O267,-1,regle!$B$2-$M267),IF(AN267=-1,-1,AN267+1))))</f>
        <v>22</v>
      </c>
      <c r="AP267" s="16">
        <f>IF(OR(V267=regle!$J$11,V267=regle!$K$11),-2,IF(V267=regle!$B$11,0,IF(AP$1=$AK$1,IF($O267,-1,regle!$B$2-$M267),IF(AO267=-1,-1,AO267+1))))</f>
        <v>23</v>
      </c>
      <c r="AQ267" s="16">
        <f>IF(OR(W267=regle!$J$11,W267=regle!$K$11),-2,IF(W267=regle!$B$11,0,IF(AQ$1=$AK$1,IF($O267,-1,regle!$B$2-$M267),IF(AP267=-1,-1,AP267+1))))</f>
        <v>24</v>
      </c>
      <c r="AR267" s="16">
        <f>IF(OR(X267=regle!$J$11,X267=regle!$K$11),-2,IF(X267=regle!$B$11,0,IF(AR$1=$AK$1,IF($O267,-1,regle!$B$2-$M267),IF(AQ267=-1,-1,AQ267+1))))</f>
        <v>25</v>
      </c>
      <c r="AS267" s="16">
        <f>IF(OR(Y267=regle!$J$11,Y267=regle!$K$11),-2,IF(Y267=regle!$B$11,0,IF(AS$1=$AK$1,IF($O267,-1,regle!$B$2-$M267),IF(AR267=-1,-1,AR267+1))))</f>
        <v>26</v>
      </c>
      <c r="AT267" s="16">
        <f>IF(OR(Z267=regle!$J$11,Z267=regle!$K$11),-2,IF(Z267=regle!$B$11,0,IF(AT$1=$AK$1,IF($O267,-1,regle!$B$2-$M267),IF(AS267=-1,-1,AS267+1))))</f>
        <v>27</v>
      </c>
    </row>
    <row r="268" spans="1:46" x14ac:dyDescent="0.25">
      <c r="A268" t="b">
        <f>modif0!A136</f>
        <v>1</v>
      </c>
      <c r="B268">
        <f>ROW(modif0!B136)</f>
        <v>136</v>
      </c>
      <c r="C268" t="str">
        <f>modif0!D136</f>
        <v>202</v>
      </c>
      <c r="D268" t="str">
        <f>modif0!E136</f>
        <v>HOSTENS</v>
      </c>
      <c r="E268">
        <f>modif0!F136</f>
        <v>11</v>
      </c>
      <c r="F268" t="str">
        <f>modif0!G136</f>
        <v>LES CAZALAS</v>
      </c>
      <c r="G268" t="str">
        <f>modif0!I136</f>
        <v>0B</v>
      </c>
      <c r="H268">
        <f>modif0!J136</f>
        <v>1160</v>
      </c>
      <c r="I268" t="str">
        <f>modif0!K136</f>
        <v>j</v>
      </c>
      <c r="J268" s="11">
        <f>modif0!M136</f>
        <v>0.30790000000000001</v>
      </c>
      <c r="K268" s="11" t="str">
        <f>modif0!P136</f>
        <v>PLA</v>
      </c>
      <c r="L268" t="str">
        <f>modif0!N136</f>
        <v>PM</v>
      </c>
      <c r="M268">
        <f>modif0!Q136</f>
        <v>2006</v>
      </c>
      <c r="N268" t="str">
        <f>modif0!R136</f>
        <v>PLA-PM_2006</v>
      </c>
      <c r="O268" t="b">
        <f>modif0!S136</f>
        <v>0</v>
      </c>
      <c r="P268">
        <v>40</v>
      </c>
      <c r="Q268" t="s">
        <v>1804</v>
      </c>
      <c r="U268" t="s">
        <v>1805</v>
      </c>
      <c r="Z268" t="s">
        <v>1806</v>
      </c>
      <c r="AA268" s="17">
        <f>IF($A268,$J268*(IF(Q268=regle!$B$11,regle!$B$23*IF(AJ268=-2,1+regle!$B$35,1),
IF(Q268=regle!$C$11,regle!$C$23,
IF(Q268=regle!$D$11,regle!$D$23,
IF(Q268=regle!$E$11,regle!$E$23,
IF(Q268=regle!$F$11,regle!$F$23,
IF(Q268=regle!$G$11,regle!$G$23,
IF(Q268=regle!$H$11,regle!$H$23,
IF(Q268=regle!$I$11,regle!$I$23,
IF(Q268=regle!$J$11,regle!$J$23,
IF(Q268=regle!$K$11,regle!$K$23,0))))))))))))</f>
        <v>258.63600000000002</v>
      </c>
      <c r="AB268" s="17">
        <f>IF($A268,$J268*(IF(R268=regle!$B$11,regle!$B$23*IF(AK268=-2,1+regle!$B$35,1),
IF(R268=regle!$C$11,regle!$C$23,
IF(R268=regle!$D$11,regle!$D$23,
IF(R268=regle!$E$11,regle!$E$23,
IF(R268=regle!$F$11,regle!$F$23,
IF(R268=regle!$G$11,regle!$G$23,
IF(R268=regle!$H$11,regle!$H$23,
IF(R268=regle!$I$11,regle!$I$23,
IF(R268=regle!$J$11,regle!$J$23,
IF(R268=regle!$K$11,regle!$K$23,0))))))))))))</f>
        <v>0</v>
      </c>
      <c r="AC268" s="17">
        <f>IF($A268,$J268*(IF(S268=regle!$B$11,regle!$B$23*IF(AL268=-2,1+regle!$B$35,1),
IF(S268=regle!$C$11,regle!$C$23,
IF(S268=regle!$D$11,regle!$D$23,
IF(S268=regle!$E$11,regle!$E$23,
IF(S268=regle!$F$11,regle!$F$23,
IF(S268=regle!$G$11,regle!$G$23,
IF(S268=regle!$H$11,regle!$H$23,
IF(S268=regle!$I$11,regle!$I$23,
IF(S268=regle!$J$11,regle!$J$23,
IF(S268=regle!$K$11,regle!$K$23,0))))))))))))</f>
        <v>0</v>
      </c>
      <c r="AD268" s="17">
        <f>IF($A268,$J268*(IF(T268=regle!$B$11,regle!$B$23*IF(AM268=-2,1+regle!$B$35,1),
IF(T268=regle!$C$11,regle!$C$23,
IF(T268=regle!$D$11,regle!$D$23,
IF(T268=regle!$E$11,regle!$E$23,
IF(T268=regle!$F$11,regle!$F$23,
IF(T268=regle!$G$11,regle!$G$23,
IF(T268=regle!$H$11,regle!$H$23,
IF(T268=regle!$I$11,regle!$I$23,
IF(T268=regle!$J$11,regle!$J$23,
IF(T268=regle!$K$11,regle!$K$23,0))))))))))))</f>
        <v>0</v>
      </c>
      <c r="AE268" s="17">
        <f>IF($A268,$J268*(IF(U268=regle!$B$11,regle!$B$23*IF(AN268=-2,1+regle!$B$35,1),
IF(U268=regle!$C$11,regle!$C$23,
IF(U268=regle!$D$11,regle!$D$23,
IF(U268=regle!$E$11,regle!$E$23,
IF(U268=regle!$F$11,regle!$F$23,
IF(U268=regle!$G$11,regle!$G$23,
IF(U268=regle!$H$11,regle!$H$23,
IF(U268=regle!$I$11,regle!$I$23,
IF(U268=regle!$J$11,regle!$J$23,
IF(U268=regle!$K$11,regle!$K$23,0))))))))))))</f>
        <v>433.52320000000003</v>
      </c>
      <c r="AF268" s="17">
        <f>IF($A268,$J268*(IF(V268=regle!$B$11,regle!$B$23*IF(AO268=-2,1+regle!$B$35,1),
IF(V268=regle!$C$11,regle!$C$23,
IF(V268=regle!$D$11,regle!$D$23,
IF(V268=regle!$E$11,regle!$E$23,
IF(V268=regle!$F$11,regle!$F$23,
IF(V268=regle!$G$11,regle!$G$23,
IF(V268=regle!$H$11,regle!$H$23,
IF(V268=regle!$I$11,regle!$I$23,
IF(V268=regle!$J$11,regle!$J$23,
IF(V268=regle!$K$11,regle!$K$23,0))))))))))))</f>
        <v>0</v>
      </c>
      <c r="AG268" s="17">
        <f>IF($A268,$J268*(IF(W268=regle!$B$11,regle!$B$23*IF(AP268=-2,1+regle!$B$35,1),
IF(W268=regle!$C$11,regle!$C$23,
IF(W268=regle!$D$11,regle!$D$23,
IF(W268=regle!$E$11,regle!$E$23,
IF(W268=regle!$F$11,regle!$F$23,
IF(W268=regle!$G$11,regle!$G$23,
IF(W268=regle!$H$11,regle!$H$23,
IF(W268=regle!$I$11,regle!$I$23,
IF(W268=regle!$J$11,regle!$J$23,
IF(W268=regle!$K$11,regle!$K$23,0))))))))))))</f>
        <v>0</v>
      </c>
      <c r="AH268" s="17">
        <f>IF($A268,$J268*(IF(X268=regle!$B$11,regle!$B$23*IF(AQ268=-2,1+regle!$B$35,1),
IF(X268=regle!$C$11,regle!$C$23,
IF(X268=regle!$D$11,regle!$D$23,
IF(X268=regle!$E$11,regle!$E$23,
IF(X268=regle!$F$11,regle!$F$23,
IF(X268=regle!$G$11,regle!$G$23,
IF(X268=regle!$H$11,regle!$H$23,
IF(X268=regle!$I$11,regle!$I$23,
IF(X268=regle!$J$11,regle!$J$23,
IF(X268=regle!$K$11,regle!$K$23,0))))))))))))</f>
        <v>0</v>
      </c>
      <c r="AI268" s="17">
        <f>IF($A268,$J268*(IF(Y268=regle!$B$11,regle!$B$23*IF(AR268=-2,1+regle!$B$35,1),
IF(Y268=regle!$C$11,regle!$C$23,
IF(Y268=regle!$D$11,regle!$D$23,
IF(Y268=regle!$E$11,regle!$E$23,
IF(Y268=regle!$F$11,regle!$F$23,
IF(Y268=regle!$G$11,regle!$G$23,
IF(Y268=regle!$H$11,regle!$H$23,
IF(Y268=regle!$I$11,regle!$I$23,
IF(Y268=regle!$J$11,regle!$J$23,
IF(Y268=regle!$K$11,regle!$K$23,0))))))))))))</f>
        <v>0</v>
      </c>
      <c r="AJ268" s="17">
        <f>IF($A268,$J268*(IF(Z268=regle!$B$11,regle!$B$23*IF(AS268=-2,1+regle!$B$35,1),
IF(Z268=regle!$C$11,regle!$C$23,
IF(Z268=regle!$D$11,regle!$D$23,
IF(Z268=regle!$E$11,regle!$E$23,
IF(Z268=regle!$F$11,regle!$F$23,
IF(Z268=regle!$G$11,regle!$G$23,
IF(Z268=regle!$H$11,regle!$H$23,
IF(Z268=regle!$I$11,regle!$I$23,
IF(Z268=regle!$J$11,regle!$J$23,
IF(Z268=regle!$K$11,regle!$K$23,0))))))))))))</f>
        <v>394.11200000000002</v>
      </c>
      <c r="AK268" s="16">
        <f>IF(OR(Q268=regle!$J$11,Q268=regle!$K$11),-2,IF(Q268=regle!$B$11,0,IF(AK$1=$AK$1,IF($O268,-1,regle!$B$2-$M268),IF(AJ268=-1,-1,AJ268+1))))</f>
        <v>18</v>
      </c>
      <c r="AL268" s="16">
        <f>IF(OR(R268=regle!$J$11,R268=regle!$K$11),-2,IF(R268=regle!$B$11,0,IF(AL$1=$AK$1,IF($O268,-1,regle!$B$2-$M268),IF(AK268=-1,-1,AK268+1))))</f>
        <v>19</v>
      </c>
      <c r="AM268" s="16">
        <f>IF(OR(S268=regle!$J$11,S268=regle!$K$11),-2,IF(S268=regle!$B$11,0,IF(AM$1=$AK$1,IF($O268,-1,regle!$B$2-$M268),IF(AL268=-1,-1,AL268+1))))</f>
        <v>20</v>
      </c>
      <c r="AN268" s="16">
        <f>IF(OR(T268=regle!$J$11,T268=regle!$K$11),-2,IF(T268=regle!$B$11,0,IF(AN$1=$AK$1,IF($O268,-1,regle!$B$2-$M268),IF(AM268=-1,-1,AM268+1))))</f>
        <v>21</v>
      </c>
      <c r="AO268" s="16">
        <f>IF(OR(U268=regle!$J$11,U268=regle!$K$11),-2,IF(U268=regle!$B$11,0,IF(AO$1=$AK$1,IF($O268,-1,regle!$B$2-$M268),IF(AN268=-1,-1,AN268+1))))</f>
        <v>22</v>
      </c>
      <c r="AP268" s="16">
        <f>IF(OR(V268=regle!$J$11,V268=regle!$K$11),-2,IF(V268=regle!$B$11,0,IF(AP$1=$AK$1,IF($O268,-1,regle!$B$2-$M268),IF(AO268=-1,-1,AO268+1))))</f>
        <v>23</v>
      </c>
      <c r="AQ268" s="16">
        <f>IF(OR(W268=regle!$J$11,W268=regle!$K$11),-2,IF(W268=regle!$B$11,0,IF(AQ$1=$AK$1,IF($O268,-1,regle!$B$2-$M268),IF(AP268=-1,-1,AP268+1))))</f>
        <v>24</v>
      </c>
      <c r="AR268" s="16">
        <f>IF(OR(X268=regle!$J$11,X268=regle!$K$11),-2,IF(X268=regle!$B$11,0,IF(AR$1=$AK$1,IF($O268,-1,regle!$B$2-$M268),IF(AQ268=-1,-1,AQ268+1))))</f>
        <v>25</v>
      </c>
      <c r="AS268" s="16">
        <f>IF(OR(Y268=regle!$J$11,Y268=regle!$K$11),-2,IF(Y268=regle!$B$11,0,IF(AS$1=$AK$1,IF($O268,-1,regle!$B$2-$M268),IF(AR268=-1,-1,AR268+1))))</f>
        <v>26</v>
      </c>
      <c r="AT268" s="16">
        <f>IF(OR(Z268=regle!$J$11,Z268=regle!$K$11),-2,IF(Z268=regle!$B$11,0,IF(AT$1=$AK$1,IF($O268,-1,regle!$B$2-$M268),IF(AS268=-1,-1,AS268+1))))</f>
        <v>27</v>
      </c>
    </row>
    <row r="269" spans="1:46" x14ac:dyDescent="0.25">
      <c r="A269" t="b">
        <f>modif0!A175</f>
        <v>1</v>
      </c>
      <c r="B269">
        <f>ROW(modif0!B175)</f>
        <v>175</v>
      </c>
      <c r="C269" t="str">
        <f>modif0!D175</f>
        <v>202</v>
      </c>
      <c r="D269" t="str">
        <f>modif0!E175</f>
        <v>HOSTENS</v>
      </c>
      <c r="E269">
        <f>modif0!F175</f>
        <v>11</v>
      </c>
      <c r="F269" t="str">
        <f>modif0!G175</f>
        <v>LES CAZALAS</v>
      </c>
      <c r="G269" t="str">
        <f>modif0!I175</f>
        <v>0B</v>
      </c>
      <c r="H269">
        <f>modif0!J175</f>
        <v>1200</v>
      </c>
      <c r="I269" t="str">
        <f>modif0!K175</f>
        <v>k</v>
      </c>
      <c r="J269" s="11">
        <f>modif0!M175</f>
        <v>0.2928</v>
      </c>
      <c r="K269" s="11" t="str">
        <f>modif0!P175</f>
        <v>PLA</v>
      </c>
      <c r="L269" t="str">
        <f>modif0!N175</f>
        <v>PM</v>
      </c>
      <c r="M269">
        <f>modif0!Q175</f>
        <v>2006</v>
      </c>
      <c r="N269" t="str">
        <f>modif0!R175</f>
        <v>PLA-PM_2006</v>
      </c>
      <c r="O269" t="b">
        <f>modif0!S175</f>
        <v>0</v>
      </c>
      <c r="P269">
        <v>40</v>
      </c>
      <c r="Q269" t="s">
        <v>1804</v>
      </c>
      <c r="U269" t="s">
        <v>1805</v>
      </c>
      <c r="Z269" t="s">
        <v>1806</v>
      </c>
      <c r="AA269" s="17">
        <f>IF($A269,$J269*(IF(Q269=regle!$B$11,regle!$B$23*IF(AJ269=-2,1+regle!$B$35,1),
IF(Q269=regle!$C$11,regle!$C$23,
IF(Q269=regle!$D$11,regle!$D$23,
IF(Q269=regle!$E$11,regle!$E$23,
IF(Q269=regle!$F$11,regle!$F$23,
IF(Q269=regle!$G$11,regle!$G$23,
IF(Q269=regle!$H$11,regle!$H$23,
IF(Q269=regle!$I$11,regle!$I$23,
IF(Q269=regle!$J$11,regle!$J$23,
IF(Q269=regle!$K$11,regle!$K$23,0))))))))))))</f>
        <v>245.952</v>
      </c>
      <c r="AB269" s="17">
        <f>IF($A269,$J269*(IF(R269=regle!$B$11,regle!$B$23*IF(AK269=-2,1+regle!$B$35,1),
IF(R269=regle!$C$11,regle!$C$23,
IF(R269=regle!$D$11,regle!$D$23,
IF(R269=regle!$E$11,regle!$E$23,
IF(R269=regle!$F$11,regle!$F$23,
IF(R269=regle!$G$11,regle!$G$23,
IF(R269=regle!$H$11,regle!$H$23,
IF(R269=regle!$I$11,regle!$I$23,
IF(R269=regle!$J$11,regle!$J$23,
IF(R269=regle!$K$11,regle!$K$23,0))))))))))))</f>
        <v>0</v>
      </c>
      <c r="AC269" s="17">
        <f>IF($A269,$J269*(IF(S269=regle!$B$11,regle!$B$23*IF(AL269=-2,1+regle!$B$35,1),
IF(S269=regle!$C$11,regle!$C$23,
IF(S269=regle!$D$11,regle!$D$23,
IF(S269=regle!$E$11,regle!$E$23,
IF(S269=regle!$F$11,regle!$F$23,
IF(S269=regle!$G$11,regle!$G$23,
IF(S269=regle!$H$11,regle!$H$23,
IF(S269=regle!$I$11,regle!$I$23,
IF(S269=regle!$J$11,regle!$J$23,
IF(S269=regle!$K$11,regle!$K$23,0))))))))))))</f>
        <v>0</v>
      </c>
      <c r="AD269" s="17">
        <f>IF($A269,$J269*(IF(T269=regle!$B$11,regle!$B$23*IF(AM269=-2,1+regle!$B$35,1),
IF(T269=regle!$C$11,regle!$C$23,
IF(T269=regle!$D$11,regle!$D$23,
IF(T269=regle!$E$11,regle!$E$23,
IF(T269=regle!$F$11,regle!$F$23,
IF(T269=regle!$G$11,regle!$G$23,
IF(T269=regle!$H$11,regle!$H$23,
IF(T269=regle!$I$11,regle!$I$23,
IF(T269=regle!$J$11,regle!$J$23,
IF(T269=regle!$K$11,regle!$K$23,0))))))))))))</f>
        <v>0</v>
      </c>
      <c r="AE269" s="17">
        <f>IF($A269,$J269*(IF(U269=regle!$B$11,regle!$B$23*IF(AN269=-2,1+regle!$B$35,1),
IF(U269=regle!$C$11,regle!$C$23,
IF(U269=regle!$D$11,regle!$D$23,
IF(U269=regle!$E$11,regle!$E$23,
IF(U269=regle!$F$11,regle!$F$23,
IF(U269=regle!$G$11,regle!$G$23,
IF(U269=regle!$H$11,regle!$H$23,
IF(U269=regle!$I$11,regle!$I$23,
IF(U269=regle!$J$11,regle!$J$23,
IF(U269=regle!$K$11,regle!$K$23,0))))))))))))</f>
        <v>412.26240000000001</v>
      </c>
      <c r="AF269" s="17">
        <f>IF($A269,$J269*(IF(V269=regle!$B$11,regle!$B$23*IF(AO269=-2,1+regle!$B$35,1),
IF(V269=regle!$C$11,regle!$C$23,
IF(V269=regle!$D$11,regle!$D$23,
IF(V269=regle!$E$11,regle!$E$23,
IF(V269=regle!$F$11,regle!$F$23,
IF(V269=regle!$G$11,regle!$G$23,
IF(V269=regle!$H$11,regle!$H$23,
IF(V269=regle!$I$11,regle!$I$23,
IF(V269=regle!$J$11,regle!$J$23,
IF(V269=regle!$K$11,regle!$K$23,0))))))))))))</f>
        <v>0</v>
      </c>
      <c r="AG269" s="17">
        <f>IF($A269,$J269*(IF(W269=regle!$B$11,regle!$B$23*IF(AP269=-2,1+regle!$B$35,1),
IF(W269=regle!$C$11,regle!$C$23,
IF(W269=regle!$D$11,regle!$D$23,
IF(W269=regle!$E$11,regle!$E$23,
IF(W269=regle!$F$11,regle!$F$23,
IF(W269=regle!$G$11,regle!$G$23,
IF(W269=regle!$H$11,regle!$H$23,
IF(W269=regle!$I$11,regle!$I$23,
IF(W269=regle!$J$11,regle!$J$23,
IF(W269=regle!$K$11,regle!$K$23,0))))))))))))</f>
        <v>0</v>
      </c>
      <c r="AH269" s="17">
        <f>IF($A269,$J269*(IF(X269=regle!$B$11,regle!$B$23*IF(AQ269=-2,1+regle!$B$35,1),
IF(X269=regle!$C$11,regle!$C$23,
IF(X269=regle!$D$11,regle!$D$23,
IF(X269=regle!$E$11,regle!$E$23,
IF(X269=regle!$F$11,regle!$F$23,
IF(X269=regle!$G$11,regle!$G$23,
IF(X269=regle!$H$11,regle!$H$23,
IF(X269=regle!$I$11,regle!$I$23,
IF(X269=regle!$J$11,regle!$J$23,
IF(X269=regle!$K$11,regle!$K$23,0))))))))))))</f>
        <v>0</v>
      </c>
      <c r="AI269" s="17">
        <f>IF($A269,$J269*(IF(Y269=regle!$B$11,regle!$B$23*IF(AR269=-2,1+regle!$B$35,1),
IF(Y269=regle!$C$11,regle!$C$23,
IF(Y269=regle!$D$11,regle!$D$23,
IF(Y269=regle!$E$11,regle!$E$23,
IF(Y269=regle!$F$11,regle!$F$23,
IF(Y269=regle!$G$11,regle!$G$23,
IF(Y269=regle!$H$11,regle!$H$23,
IF(Y269=regle!$I$11,regle!$I$23,
IF(Y269=regle!$J$11,regle!$J$23,
IF(Y269=regle!$K$11,regle!$K$23,0))))))))))))</f>
        <v>0</v>
      </c>
      <c r="AJ269" s="17">
        <f>IF($A269,$J269*(IF(Z269=regle!$B$11,regle!$B$23*IF(AS269=-2,1+regle!$B$35,1),
IF(Z269=regle!$C$11,regle!$C$23,
IF(Z269=regle!$D$11,regle!$D$23,
IF(Z269=regle!$E$11,regle!$E$23,
IF(Z269=regle!$F$11,regle!$F$23,
IF(Z269=regle!$G$11,regle!$G$23,
IF(Z269=regle!$H$11,regle!$H$23,
IF(Z269=regle!$I$11,regle!$I$23,
IF(Z269=regle!$J$11,regle!$J$23,
IF(Z269=regle!$K$11,regle!$K$23,0))))))))))))</f>
        <v>374.78399999999999</v>
      </c>
      <c r="AK269" s="16">
        <f>IF(OR(Q269=regle!$J$11,Q269=regle!$K$11),-2,IF(Q269=regle!$B$11,0,IF(AK$1=$AK$1,IF($O269,-1,regle!$B$2-$M269),IF(AJ269=-1,-1,AJ269+1))))</f>
        <v>18</v>
      </c>
      <c r="AL269" s="16">
        <f>IF(OR(R269=regle!$J$11,R269=regle!$K$11),-2,IF(R269=regle!$B$11,0,IF(AL$1=$AK$1,IF($O269,-1,regle!$B$2-$M269),IF(AK269=-1,-1,AK269+1))))</f>
        <v>19</v>
      </c>
      <c r="AM269" s="16">
        <f>IF(OR(S269=regle!$J$11,S269=regle!$K$11),-2,IF(S269=regle!$B$11,0,IF(AM$1=$AK$1,IF($O269,-1,regle!$B$2-$M269),IF(AL269=-1,-1,AL269+1))))</f>
        <v>20</v>
      </c>
      <c r="AN269" s="16">
        <f>IF(OR(T269=regle!$J$11,T269=regle!$K$11),-2,IF(T269=regle!$B$11,0,IF(AN$1=$AK$1,IF($O269,-1,regle!$B$2-$M269),IF(AM269=-1,-1,AM269+1))))</f>
        <v>21</v>
      </c>
      <c r="AO269" s="16">
        <f>IF(OR(U269=regle!$J$11,U269=regle!$K$11),-2,IF(U269=regle!$B$11,0,IF(AO$1=$AK$1,IF($O269,-1,regle!$B$2-$M269),IF(AN269=-1,-1,AN269+1))))</f>
        <v>22</v>
      </c>
      <c r="AP269" s="16">
        <f>IF(OR(V269=regle!$J$11,V269=regle!$K$11),-2,IF(V269=regle!$B$11,0,IF(AP$1=$AK$1,IF($O269,-1,regle!$B$2-$M269),IF(AO269=-1,-1,AO269+1))))</f>
        <v>23</v>
      </c>
      <c r="AQ269" s="16">
        <f>IF(OR(W269=regle!$J$11,W269=regle!$K$11),-2,IF(W269=regle!$B$11,0,IF(AQ$1=$AK$1,IF($O269,-1,regle!$B$2-$M269),IF(AP269=-1,-1,AP269+1))))</f>
        <v>24</v>
      </c>
      <c r="AR269" s="16">
        <f>IF(OR(X269=regle!$J$11,X269=regle!$K$11),-2,IF(X269=regle!$B$11,0,IF(AR$1=$AK$1,IF($O269,-1,regle!$B$2-$M269),IF(AQ269=-1,-1,AQ269+1))))</f>
        <v>25</v>
      </c>
      <c r="AS269" s="16">
        <f>IF(OR(Y269=regle!$J$11,Y269=regle!$K$11),-2,IF(Y269=regle!$B$11,0,IF(AS$1=$AK$1,IF($O269,-1,regle!$B$2-$M269),IF(AR269=-1,-1,AR269+1))))</f>
        <v>26</v>
      </c>
      <c r="AT269" s="16">
        <f>IF(OR(Z269=regle!$J$11,Z269=regle!$K$11),-2,IF(Z269=regle!$B$11,0,IF(AT$1=$AK$1,IF($O269,-1,regle!$B$2-$M269),IF(AS269=-1,-1,AS269+1))))</f>
        <v>27</v>
      </c>
    </row>
    <row r="270" spans="1:46" x14ac:dyDescent="0.25">
      <c r="A270" t="b">
        <f>modif0!A158</f>
        <v>1</v>
      </c>
      <c r="B270">
        <f>ROW(modif0!B158)</f>
        <v>158</v>
      </c>
      <c r="C270" t="str">
        <f>modif0!D158</f>
        <v>202</v>
      </c>
      <c r="D270" t="str">
        <f>modif0!E158</f>
        <v>HOSTENS</v>
      </c>
      <c r="E270">
        <f>modif0!F158</f>
        <v>11</v>
      </c>
      <c r="F270" t="str">
        <f>modif0!G158</f>
        <v>LES CAZALAS</v>
      </c>
      <c r="G270" t="str">
        <f>modif0!I158</f>
        <v>0B</v>
      </c>
      <c r="H270">
        <f>modif0!J158</f>
        <v>1182</v>
      </c>
      <c r="I270" t="str">
        <f>modif0!K158</f>
        <v/>
      </c>
      <c r="J270" s="11">
        <f>modif0!M158</f>
        <v>0.28899999999999998</v>
      </c>
      <c r="K270" s="11" t="str">
        <f>modif0!P158</f>
        <v>PLA</v>
      </c>
      <c r="L270" t="str">
        <f>modif0!N158</f>
        <v>PM</v>
      </c>
      <c r="M270">
        <f>modif0!Q158</f>
        <v>2006</v>
      </c>
      <c r="N270" t="str">
        <f>modif0!R158</f>
        <v>PLA-PM_2006</v>
      </c>
      <c r="O270" t="b">
        <f>modif0!S158</f>
        <v>0</v>
      </c>
      <c r="P270">
        <v>40</v>
      </c>
      <c r="Q270" t="s">
        <v>1804</v>
      </c>
      <c r="U270" t="s">
        <v>1805</v>
      </c>
      <c r="Z270" t="s">
        <v>1806</v>
      </c>
      <c r="AA270" s="17">
        <f>IF($A270,$J270*(IF(Q270=regle!$B$11,regle!$B$23*IF(AJ270=-2,1+regle!$B$35,1),
IF(Q270=regle!$C$11,regle!$C$23,
IF(Q270=regle!$D$11,regle!$D$23,
IF(Q270=regle!$E$11,regle!$E$23,
IF(Q270=regle!$F$11,regle!$F$23,
IF(Q270=regle!$G$11,regle!$G$23,
IF(Q270=regle!$H$11,regle!$H$23,
IF(Q270=regle!$I$11,regle!$I$23,
IF(Q270=regle!$J$11,regle!$J$23,
IF(Q270=regle!$K$11,regle!$K$23,0))))))))))))</f>
        <v>242.76</v>
      </c>
      <c r="AB270" s="17">
        <f>IF($A270,$J270*(IF(R270=regle!$B$11,regle!$B$23*IF(AK270=-2,1+regle!$B$35,1),
IF(R270=regle!$C$11,regle!$C$23,
IF(R270=regle!$D$11,regle!$D$23,
IF(R270=regle!$E$11,regle!$E$23,
IF(R270=regle!$F$11,regle!$F$23,
IF(R270=regle!$G$11,regle!$G$23,
IF(R270=regle!$H$11,regle!$H$23,
IF(R270=regle!$I$11,regle!$I$23,
IF(R270=regle!$J$11,regle!$J$23,
IF(R270=regle!$K$11,regle!$K$23,0))))))))))))</f>
        <v>0</v>
      </c>
      <c r="AC270" s="17">
        <f>IF($A270,$J270*(IF(S270=regle!$B$11,regle!$B$23*IF(AL270=-2,1+regle!$B$35,1),
IF(S270=regle!$C$11,regle!$C$23,
IF(S270=regle!$D$11,regle!$D$23,
IF(S270=regle!$E$11,regle!$E$23,
IF(S270=regle!$F$11,regle!$F$23,
IF(S270=regle!$G$11,regle!$G$23,
IF(S270=regle!$H$11,regle!$H$23,
IF(S270=regle!$I$11,regle!$I$23,
IF(S270=regle!$J$11,regle!$J$23,
IF(S270=regle!$K$11,regle!$K$23,0))))))))))))</f>
        <v>0</v>
      </c>
      <c r="AD270" s="17">
        <f>IF($A270,$J270*(IF(T270=regle!$B$11,regle!$B$23*IF(AM270=-2,1+regle!$B$35,1),
IF(T270=regle!$C$11,regle!$C$23,
IF(T270=regle!$D$11,regle!$D$23,
IF(T270=regle!$E$11,regle!$E$23,
IF(T270=regle!$F$11,regle!$F$23,
IF(T270=regle!$G$11,regle!$G$23,
IF(T270=regle!$H$11,regle!$H$23,
IF(T270=regle!$I$11,regle!$I$23,
IF(T270=regle!$J$11,regle!$J$23,
IF(T270=regle!$K$11,regle!$K$23,0))))))))))))</f>
        <v>0</v>
      </c>
      <c r="AE270" s="17">
        <f>IF($A270,$J270*(IF(U270=regle!$B$11,regle!$B$23*IF(AN270=-2,1+regle!$B$35,1),
IF(U270=regle!$C$11,regle!$C$23,
IF(U270=regle!$D$11,regle!$D$23,
IF(U270=regle!$E$11,regle!$E$23,
IF(U270=regle!$F$11,regle!$F$23,
IF(U270=regle!$G$11,regle!$G$23,
IF(U270=regle!$H$11,regle!$H$23,
IF(U270=regle!$I$11,regle!$I$23,
IF(U270=regle!$J$11,regle!$J$23,
IF(U270=regle!$K$11,regle!$K$23,0))))))))))))</f>
        <v>406.91199999999998</v>
      </c>
      <c r="AF270" s="17">
        <f>IF($A270,$J270*(IF(V270=regle!$B$11,regle!$B$23*IF(AO270=-2,1+regle!$B$35,1),
IF(V270=regle!$C$11,regle!$C$23,
IF(V270=regle!$D$11,regle!$D$23,
IF(V270=regle!$E$11,regle!$E$23,
IF(V270=regle!$F$11,regle!$F$23,
IF(V270=regle!$G$11,regle!$G$23,
IF(V270=regle!$H$11,regle!$H$23,
IF(V270=regle!$I$11,regle!$I$23,
IF(V270=regle!$J$11,regle!$J$23,
IF(V270=regle!$K$11,regle!$K$23,0))))))))))))</f>
        <v>0</v>
      </c>
      <c r="AG270" s="17">
        <f>IF($A270,$J270*(IF(W270=regle!$B$11,regle!$B$23*IF(AP270=-2,1+regle!$B$35,1),
IF(W270=regle!$C$11,regle!$C$23,
IF(W270=regle!$D$11,regle!$D$23,
IF(W270=regle!$E$11,regle!$E$23,
IF(W270=regle!$F$11,regle!$F$23,
IF(W270=regle!$G$11,regle!$G$23,
IF(W270=regle!$H$11,regle!$H$23,
IF(W270=regle!$I$11,regle!$I$23,
IF(W270=regle!$J$11,regle!$J$23,
IF(W270=regle!$K$11,regle!$K$23,0))))))))))))</f>
        <v>0</v>
      </c>
      <c r="AH270" s="17">
        <f>IF($A270,$J270*(IF(X270=regle!$B$11,regle!$B$23*IF(AQ270=-2,1+regle!$B$35,1),
IF(X270=regle!$C$11,regle!$C$23,
IF(X270=regle!$D$11,regle!$D$23,
IF(X270=regle!$E$11,regle!$E$23,
IF(X270=regle!$F$11,regle!$F$23,
IF(X270=regle!$G$11,regle!$G$23,
IF(X270=regle!$H$11,regle!$H$23,
IF(X270=regle!$I$11,regle!$I$23,
IF(X270=regle!$J$11,regle!$J$23,
IF(X270=regle!$K$11,regle!$K$23,0))))))))))))</f>
        <v>0</v>
      </c>
      <c r="AI270" s="17">
        <f>IF($A270,$J270*(IF(Y270=regle!$B$11,regle!$B$23*IF(AR270=-2,1+regle!$B$35,1),
IF(Y270=regle!$C$11,regle!$C$23,
IF(Y270=regle!$D$11,regle!$D$23,
IF(Y270=regle!$E$11,regle!$E$23,
IF(Y270=regle!$F$11,regle!$F$23,
IF(Y270=regle!$G$11,regle!$G$23,
IF(Y270=regle!$H$11,regle!$H$23,
IF(Y270=regle!$I$11,regle!$I$23,
IF(Y270=regle!$J$11,regle!$J$23,
IF(Y270=regle!$K$11,regle!$K$23,0))))))))))))</f>
        <v>0</v>
      </c>
      <c r="AJ270" s="17">
        <f>IF($A270,$J270*(IF(Z270=regle!$B$11,regle!$B$23*IF(AS270=-2,1+regle!$B$35,1),
IF(Z270=regle!$C$11,regle!$C$23,
IF(Z270=regle!$D$11,regle!$D$23,
IF(Z270=regle!$E$11,regle!$E$23,
IF(Z270=regle!$F$11,regle!$F$23,
IF(Z270=regle!$G$11,regle!$G$23,
IF(Z270=regle!$H$11,regle!$H$23,
IF(Z270=regle!$I$11,regle!$I$23,
IF(Z270=regle!$J$11,regle!$J$23,
IF(Z270=regle!$K$11,regle!$K$23,0))))))))))))</f>
        <v>369.91999999999996</v>
      </c>
      <c r="AK270" s="16">
        <f>IF(OR(Q270=regle!$J$11,Q270=regle!$K$11),-2,IF(Q270=regle!$B$11,0,IF(AK$1=$AK$1,IF($O270,-1,regle!$B$2-$M270),IF(AJ270=-1,-1,AJ270+1))))</f>
        <v>18</v>
      </c>
      <c r="AL270" s="16">
        <f>IF(OR(R270=regle!$J$11,R270=regle!$K$11),-2,IF(R270=regle!$B$11,0,IF(AL$1=$AK$1,IF($O270,-1,regle!$B$2-$M270),IF(AK270=-1,-1,AK270+1))))</f>
        <v>19</v>
      </c>
      <c r="AM270" s="16">
        <f>IF(OR(S270=regle!$J$11,S270=regle!$K$11),-2,IF(S270=regle!$B$11,0,IF(AM$1=$AK$1,IF($O270,-1,regle!$B$2-$M270),IF(AL270=-1,-1,AL270+1))))</f>
        <v>20</v>
      </c>
      <c r="AN270" s="16">
        <f>IF(OR(T270=regle!$J$11,T270=regle!$K$11),-2,IF(T270=regle!$B$11,0,IF(AN$1=$AK$1,IF($O270,-1,regle!$B$2-$M270),IF(AM270=-1,-1,AM270+1))))</f>
        <v>21</v>
      </c>
      <c r="AO270" s="16">
        <f>IF(OR(U270=regle!$J$11,U270=regle!$K$11),-2,IF(U270=regle!$B$11,0,IF(AO$1=$AK$1,IF($O270,-1,regle!$B$2-$M270),IF(AN270=-1,-1,AN270+1))))</f>
        <v>22</v>
      </c>
      <c r="AP270" s="16">
        <f>IF(OR(V270=regle!$J$11,V270=regle!$K$11),-2,IF(V270=regle!$B$11,0,IF(AP$1=$AK$1,IF($O270,-1,regle!$B$2-$M270),IF(AO270=-1,-1,AO270+1))))</f>
        <v>23</v>
      </c>
      <c r="AQ270" s="16">
        <f>IF(OR(W270=regle!$J$11,W270=regle!$K$11),-2,IF(W270=regle!$B$11,0,IF(AQ$1=$AK$1,IF($O270,-1,regle!$B$2-$M270),IF(AP270=-1,-1,AP270+1))))</f>
        <v>24</v>
      </c>
      <c r="AR270" s="16">
        <f>IF(OR(X270=regle!$J$11,X270=regle!$K$11),-2,IF(X270=regle!$B$11,0,IF(AR$1=$AK$1,IF($O270,-1,regle!$B$2-$M270),IF(AQ270=-1,-1,AQ270+1))))</f>
        <v>25</v>
      </c>
      <c r="AS270" s="16">
        <f>IF(OR(Y270=regle!$J$11,Y270=regle!$K$11),-2,IF(Y270=regle!$B$11,0,IF(AS$1=$AK$1,IF($O270,-1,regle!$B$2-$M270),IF(AR270=-1,-1,AR270+1))))</f>
        <v>26</v>
      </c>
      <c r="AT270" s="16">
        <f>IF(OR(Z270=regle!$J$11,Z270=regle!$K$11),-2,IF(Z270=regle!$B$11,0,IF(AT$1=$AK$1,IF($O270,-1,regle!$B$2-$M270),IF(AS270=-1,-1,AS270+1))))</f>
        <v>27</v>
      </c>
    </row>
    <row r="271" spans="1:46" x14ac:dyDescent="0.25">
      <c r="A271" t="b">
        <f>modif0!A142</f>
        <v>1</v>
      </c>
      <c r="B271">
        <f>ROW(modif0!B142)</f>
        <v>142</v>
      </c>
      <c r="C271" t="str">
        <f>modif0!D142</f>
        <v>202</v>
      </c>
      <c r="D271" t="str">
        <f>modif0!E142</f>
        <v>HOSTENS</v>
      </c>
      <c r="E271">
        <f>modif0!F142</f>
        <v>11</v>
      </c>
      <c r="F271" t="str">
        <f>modif0!G142</f>
        <v>LES CAZALAS</v>
      </c>
      <c r="G271" t="str">
        <f>modif0!I142</f>
        <v>0B</v>
      </c>
      <c r="H271">
        <f>modif0!J142</f>
        <v>1166</v>
      </c>
      <c r="I271" t="str">
        <f>modif0!K142</f>
        <v/>
      </c>
      <c r="J271" s="11">
        <f>modif0!M142</f>
        <v>0.24</v>
      </c>
      <c r="K271" s="11" t="str">
        <f>modif0!P142</f>
        <v>PLA</v>
      </c>
      <c r="L271" t="str">
        <f>modif0!N142</f>
        <v>PM</v>
      </c>
      <c r="M271">
        <f>modif0!Q142</f>
        <v>2006</v>
      </c>
      <c r="N271" t="str">
        <f>modif0!R142</f>
        <v>PLA-PM_2006</v>
      </c>
      <c r="O271" t="b">
        <f>modif0!S142</f>
        <v>0</v>
      </c>
      <c r="P271">
        <v>40</v>
      </c>
      <c r="Q271" t="s">
        <v>1804</v>
      </c>
      <c r="U271" t="s">
        <v>1805</v>
      </c>
      <c r="Z271" t="s">
        <v>1806</v>
      </c>
      <c r="AA271" s="17">
        <f>IF($A271,$J271*(IF(Q271=regle!$B$11,regle!$B$23*IF(AJ271=-2,1+regle!$B$35,1),
IF(Q271=regle!$C$11,regle!$C$23,
IF(Q271=regle!$D$11,regle!$D$23,
IF(Q271=regle!$E$11,regle!$E$23,
IF(Q271=regle!$F$11,regle!$F$23,
IF(Q271=regle!$G$11,regle!$G$23,
IF(Q271=regle!$H$11,regle!$H$23,
IF(Q271=regle!$I$11,regle!$I$23,
IF(Q271=regle!$J$11,regle!$J$23,
IF(Q271=regle!$K$11,regle!$K$23,0))))))))))))</f>
        <v>201.6</v>
      </c>
      <c r="AB271" s="17">
        <f>IF($A271,$J271*(IF(R271=regle!$B$11,regle!$B$23*IF(AK271=-2,1+regle!$B$35,1),
IF(R271=regle!$C$11,regle!$C$23,
IF(R271=regle!$D$11,regle!$D$23,
IF(R271=regle!$E$11,regle!$E$23,
IF(R271=regle!$F$11,regle!$F$23,
IF(R271=regle!$G$11,regle!$G$23,
IF(R271=regle!$H$11,regle!$H$23,
IF(R271=regle!$I$11,regle!$I$23,
IF(R271=regle!$J$11,regle!$J$23,
IF(R271=regle!$K$11,regle!$K$23,0))))))))))))</f>
        <v>0</v>
      </c>
      <c r="AC271" s="17">
        <f>IF($A271,$J271*(IF(S271=regle!$B$11,regle!$B$23*IF(AL271=-2,1+regle!$B$35,1),
IF(S271=regle!$C$11,regle!$C$23,
IF(S271=regle!$D$11,regle!$D$23,
IF(S271=regle!$E$11,regle!$E$23,
IF(S271=regle!$F$11,regle!$F$23,
IF(S271=regle!$G$11,regle!$G$23,
IF(S271=regle!$H$11,regle!$H$23,
IF(S271=regle!$I$11,regle!$I$23,
IF(S271=regle!$J$11,regle!$J$23,
IF(S271=regle!$K$11,regle!$K$23,0))))))))))))</f>
        <v>0</v>
      </c>
      <c r="AD271" s="17">
        <f>IF($A271,$J271*(IF(T271=regle!$B$11,regle!$B$23*IF(AM271=-2,1+regle!$B$35,1),
IF(T271=regle!$C$11,regle!$C$23,
IF(T271=regle!$D$11,regle!$D$23,
IF(T271=regle!$E$11,regle!$E$23,
IF(T271=regle!$F$11,regle!$F$23,
IF(T271=regle!$G$11,regle!$G$23,
IF(T271=regle!$H$11,regle!$H$23,
IF(T271=regle!$I$11,regle!$I$23,
IF(T271=regle!$J$11,regle!$J$23,
IF(T271=regle!$K$11,regle!$K$23,0))))))))))))</f>
        <v>0</v>
      </c>
      <c r="AE271" s="17">
        <f>IF($A271,$J271*(IF(U271=regle!$B$11,regle!$B$23*IF(AN271=-2,1+regle!$B$35,1),
IF(U271=regle!$C$11,regle!$C$23,
IF(U271=regle!$D$11,regle!$D$23,
IF(U271=regle!$E$11,regle!$E$23,
IF(U271=regle!$F$11,regle!$F$23,
IF(U271=regle!$G$11,regle!$G$23,
IF(U271=regle!$H$11,regle!$H$23,
IF(U271=regle!$I$11,regle!$I$23,
IF(U271=regle!$J$11,regle!$J$23,
IF(U271=regle!$K$11,regle!$K$23,0))))))))))))</f>
        <v>337.91999999999996</v>
      </c>
      <c r="AF271" s="17">
        <f>IF($A271,$J271*(IF(V271=regle!$B$11,regle!$B$23*IF(AO271=-2,1+regle!$B$35,1),
IF(V271=regle!$C$11,regle!$C$23,
IF(V271=regle!$D$11,regle!$D$23,
IF(V271=regle!$E$11,regle!$E$23,
IF(V271=regle!$F$11,regle!$F$23,
IF(V271=regle!$G$11,regle!$G$23,
IF(V271=regle!$H$11,regle!$H$23,
IF(V271=regle!$I$11,regle!$I$23,
IF(V271=regle!$J$11,regle!$J$23,
IF(V271=regle!$K$11,regle!$K$23,0))))))))))))</f>
        <v>0</v>
      </c>
      <c r="AG271" s="17">
        <f>IF($A271,$J271*(IF(W271=regle!$B$11,regle!$B$23*IF(AP271=-2,1+regle!$B$35,1),
IF(W271=regle!$C$11,regle!$C$23,
IF(W271=regle!$D$11,regle!$D$23,
IF(W271=regle!$E$11,regle!$E$23,
IF(W271=regle!$F$11,regle!$F$23,
IF(W271=regle!$G$11,regle!$G$23,
IF(W271=regle!$H$11,regle!$H$23,
IF(W271=regle!$I$11,regle!$I$23,
IF(W271=regle!$J$11,regle!$J$23,
IF(W271=regle!$K$11,regle!$K$23,0))))))))))))</f>
        <v>0</v>
      </c>
      <c r="AH271" s="17">
        <f>IF($A271,$J271*(IF(X271=regle!$B$11,regle!$B$23*IF(AQ271=-2,1+regle!$B$35,1),
IF(X271=regle!$C$11,regle!$C$23,
IF(X271=regle!$D$11,regle!$D$23,
IF(X271=regle!$E$11,regle!$E$23,
IF(X271=regle!$F$11,regle!$F$23,
IF(X271=regle!$G$11,regle!$G$23,
IF(X271=regle!$H$11,regle!$H$23,
IF(X271=regle!$I$11,regle!$I$23,
IF(X271=regle!$J$11,regle!$J$23,
IF(X271=regle!$K$11,regle!$K$23,0))))))))))))</f>
        <v>0</v>
      </c>
      <c r="AI271" s="17">
        <f>IF($A271,$J271*(IF(Y271=regle!$B$11,regle!$B$23*IF(AR271=-2,1+regle!$B$35,1),
IF(Y271=regle!$C$11,regle!$C$23,
IF(Y271=regle!$D$11,regle!$D$23,
IF(Y271=regle!$E$11,regle!$E$23,
IF(Y271=regle!$F$11,regle!$F$23,
IF(Y271=regle!$G$11,regle!$G$23,
IF(Y271=regle!$H$11,regle!$H$23,
IF(Y271=regle!$I$11,regle!$I$23,
IF(Y271=regle!$J$11,regle!$J$23,
IF(Y271=regle!$K$11,regle!$K$23,0))))))))))))</f>
        <v>0</v>
      </c>
      <c r="AJ271" s="17">
        <f>IF($A271,$J271*(IF(Z271=regle!$B$11,regle!$B$23*IF(AS271=-2,1+regle!$B$35,1),
IF(Z271=regle!$C$11,regle!$C$23,
IF(Z271=regle!$D$11,regle!$D$23,
IF(Z271=regle!$E$11,regle!$E$23,
IF(Z271=regle!$F$11,regle!$F$23,
IF(Z271=regle!$G$11,regle!$G$23,
IF(Z271=regle!$H$11,regle!$H$23,
IF(Z271=regle!$I$11,regle!$I$23,
IF(Z271=regle!$J$11,regle!$J$23,
IF(Z271=regle!$K$11,regle!$K$23,0))))))))))))</f>
        <v>307.2</v>
      </c>
      <c r="AK271" s="16">
        <f>IF(OR(Q271=regle!$J$11,Q271=regle!$K$11),-2,IF(Q271=regle!$B$11,0,IF(AK$1=$AK$1,IF($O271,-1,regle!$B$2-$M271),IF(AJ271=-1,-1,AJ271+1))))</f>
        <v>18</v>
      </c>
      <c r="AL271" s="16">
        <f>IF(OR(R271=regle!$J$11,R271=regle!$K$11),-2,IF(R271=regle!$B$11,0,IF(AL$1=$AK$1,IF($O271,-1,regle!$B$2-$M271),IF(AK271=-1,-1,AK271+1))))</f>
        <v>19</v>
      </c>
      <c r="AM271" s="16">
        <f>IF(OR(S271=regle!$J$11,S271=regle!$K$11),-2,IF(S271=regle!$B$11,0,IF(AM$1=$AK$1,IF($O271,-1,regle!$B$2-$M271),IF(AL271=-1,-1,AL271+1))))</f>
        <v>20</v>
      </c>
      <c r="AN271" s="16">
        <f>IF(OR(T271=regle!$J$11,T271=regle!$K$11),-2,IF(T271=regle!$B$11,0,IF(AN$1=$AK$1,IF($O271,-1,regle!$B$2-$M271),IF(AM271=-1,-1,AM271+1))))</f>
        <v>21</v>
      </c>
      <c r="AO271" s="16">
        <f>IF(OR(U271=regle!$J$11,U271=regle!$K$11),-2,IF(U271=regle!$B$11,0,IF(AO$1=$AK$1,IF($O271,-1,regle!$B$2-$M271),IF(AN271=-1,-1,AN271+1))))</f>
        <v>22</v>
      </c>
      <c r="AP271" s="16">
        <f>IF(OR(V271=regle!$J$11,V271=regle!$K$11),-2,IF(V271=regle!$B$11,0,IF(AP$1=$AK$1,IF($O271,-1,regle!$B$2-$M271),IF(AO271=-1,-1,AO271+1))))</f>
        <v>23</v>
      </c>
      <c r="AQ271" s="16">
        <f>IF(OR(W271=regle!$J$11,W271=regle!$K$11),-2,IF(W271=regle!$B$11,0,IF(AQ$1=$AK$1,IF($O271,-1,regle!$B$2-$M271),IF(AP271=-1,-1,AP271+1))))</f>
        <v>24</v>
      </c>
      <c r="AR271" s="16">
        <f>IF(OR(X271=regle!$J$11,X271=regle!$K$11),-2,IF(X271=regle!$B$11,0,IF(AR$1=$AK$1,IF($O271,-1,regle!$B$2-$M271),IF(AQ271=-1,-1,AQ271+1))))</f>
        <v>25</v>
      </c>
      <c r="AS271" s="16">
        <f>IF(OR(Y271=regle!$J$11,Y271=regle!$K$11),-2,IF(Y271=regle!$B$11,0,IF(AS$1=$AK$1,IF($O271,-1,regle!$B$2-$M271),IF(AR271=-1,-1,AR271+1))))</f>
        <v>26</v>
      </c>
      <c r="AT271" s="16">
        <f>IF(OR(Z271=regle!$J$11,Z271=regle!$K$11),-2,IF(Z271=regle!$B$11,0,IF(AT$1=$AK$1,IF($O271,-1,regle!$B$2-$M271),IF(AS271=-1,-1,AS271+1))))</f>
        <v>27</v>
      </c>
    </row>
    <row r="272" spans="1:46" x14ac:dyDescent="0.25">
      <c r="A272" t="b">
        <f>modif0!A148</f>
        <v>1</v>
      </c>
      <c r="B272">
        <f>ROW(modif0!B148)</f>
        <v>148</v>
      </c>
      <c r="C272" t="str">
        <f>modif0!D148</f>
        <v>202</v>
      </c>
      <c r="D272" t="str">
        <f>modif0!E148</f>
        <v>HOSTENS</v>
      </c>
      <c r="E272">
        <f>modif0!F148</f>
        <v>11</v>
      </c>
      <c r="F272" t="str">
        <f>modif0!G148</f>
        <v>LES CAZALAS</v>
      </c>
      <c r="G272" t="str">
        <f>modif0!I148</f>
        <v>0B</v>
      </c>
      <c r="H272">
        <f>modif0!J148</f>
        <v>1172</v>
      </c>
      <c r="I272" t="str">
        <f>modif0!K148</f>
        <v/>
      </c>
      <c r="J272" s="11">
        <f>modif0!M148</f>
        <v>0.24</v>
      </c>
      <c r="K272" s="11" t="str">
        <f>modif0!P148</f>
        <v>PLA</v>
      </c>
      <c r="L272" t="str">
        <f>modif0!N148</f>
        <v>PM</v>
      </c>
      <c r="M272">
        <f>modif0!Q148</f>
        <v>2006</v>
      </c>
      <c r="N272" t="str">
        <f>modif0!R148</f>
        <v>PLA-PM_2006</v>
      </c>
      <c r="O272" t="b">
        <f>modif0!S148</f>
        <v>0</v>
      </c>
      <c r="P272">
        <v>40</v>
      </c>
      <c r="Q272" t="s">
        <v>1804</v>
      </c>
      <c r="U272" t="s">
        <v>1805</v>
      </c>
      <c r="Z272" t="s">
        <v>1806</v>
      </c>
      <c r="AA272" s="17">
        <f>IF($A272,$J272*(IF(Q272=regle!$B$11,regle!$B$23*IF(AJ272=-2,1+regle!$B$35,1),
IF(Q272=regle!$C$11,regle!$C$23,
IF(Q272=regle!$D$11,regle!$D$23,
IF(Q272=regle!$E$11,regle!$E$23,
IF(Q272=regle!$F$11,regle!$F$23,
IF(Q272=regle!$G$11,regle!$G$23,
IF(Q272=regle!$H$11,regle!$H$23,
IF(Q272=regle!$I$11,regle!$I$23,
IF(Q272=regle!$J$11,regle!$J$23,
IF(Q272=regle!$K$11,regle!$K$23,0))))))))))))</f>
        <v>201.6</v>
      </c>
      <c r="AB272" s="17">
        <f>IF($A272,$J272*(IF(R272=regle!$B$11,regle!$B$23*IF(AK272=-2,1+regle!$B$35,1),
IF(R272=regle!$C$11,regle!$C$23,
IF(R272=regle!$D$11,regle!$D$23,
IF(R272=regle!$E$11,regle!$E$23,
IF(R272=regle!$F$11,regle!$F$23,
IF(R272=regle!$G$11,regle!$G$23,
IF(R272=regle!$H$11,regle!$H$23,
IF(R272=regle!$I$11,regle!$I$23,
IF(R272=regle!$J$11,regle!$J$23,
IF(R272=regle!$K$11,regle!$K$23,0))))))))))))</f>
        <v>0</v>
      </c>
      <c r="AC272" s="17">
        <f>IF($A272,$J272*(IF(S272=regle!$B$11,regle!$B$23*IF(AL272=-2,1+regle!$B$35,1),
IF(S272=regle!$C$11,regle!$C$23,
IF(S272=regle!$D$11,regle!$D$23,
IF(S272=regle!$E$11,regle!$E$23,
IF(S272=regle!$F$11,regle!$F$23,
IF(S272=regle!$G$11,regle!$G$23,
IF(S272=regle!$H$11,regle!$H$23,
IF(S272=regle!$I$11,regle!$I$23,
IF(S272=regle!$J$11,regle!$J$23,
IF(S272=regle!$K$11,regle!$K$23,0))))))))))))</f>
        <v>0</v>
      </c>
      <c r="AD272" s="17">
        <f>IF($A272,$J272*(IF(T272=regle!$B$11,regle!$B$23*IF(AM272=-2,1+regle!$B$35,1),
IF(T272=regle!$C$11,regle!$C$23,
IF(T272=regle!$D$11,regle!$D$23,
IF(T272=regle!$E$11,regle!$E$23,
IF(T272=regle!$F$11,regle!$F$23,
IF(T272=regle!$G$11,regle!$G$23,
IF(T272=regle!$H$11,regle!$H$23,
IF(T272=regle!$I$11,regle!$I$23,
IF(T272=regle!$J$11,regle!$J$23,
IF(T272=regle!$K$11,regle!$K$23,0))))))))))))</f>
        <v>0</v>
      </c>
      <c r="AE272" s="17">
        <f>IF($A272,$J272*(IF(U272=regle!$B$11,regle!$B$23*IF(AN272=-2,1+regle!$B$35,1),
IF(U272=regle!$C$11,regle!$C$23,
IF(U272=regle!$D$11,regle!$D$23,
IF(U272=regle!$E$11,regle!$E$23,
IF(U272=regle!$F$11,regle!$F$23,
IF(U272=regle!$G$11,regle!$G$23,
IF(U272=regle!$H$11,regle!$H$23,
IF(U272=regle!$I$11,regle!$I$23,
IF(U272=regle!$J$11,regle!$J$23,
IF(U272=regle!$K$11,regle!$K$23,0))))))))))))</f>
        <v>337.91999999999996</v>
      </c>
      <c r="AF272" s="17">
        <f>IF($A272,$J272*(IF(V272=regle!$B$11,regle!$B$23*IF(AO272=-2,1+regle!$B$35,1),
IF(V272=regle!$C$11,regle!$C$23,
IF(V272=regle!$D$11,regle!$D$23,
IF(V272=regle!$E$11,regle!$E$23,
IF(V272=regle!$F$11,regle!$F$23,
IF(V272=regle!$G$11,regle!$G$23,
IF(V272=regle!$H$11,regle!$H$23,
IF(V272=regle!$I$11,regle!$I$23,
IF(V272=regle!$J$11,regle!$J$23,
IF(V272=regle!$K$11,regle!$K$23,0))))))))))))</f>
        <v>0</v>
      </c>
      <c r="AG272" s="17">
        <f>IF($A272,$J272*(IF(W272=regle!$B$11,regle!$B$23*IF(AP272=-2,1+regle!$B$35,1),
IF(W272=regle!$C$11,regle!$C$23,
IF(W272=regle!$D$11,regle!$D$23,
IF(W272=regle!$E$11,regle!$E$23,
IF(W272=regle!$F$11,regle!$F$23,
IF(W272=regle!$G$11,regle!$G$23,
IF(W272=regle!$H$11,regle!$H$23,
IF(W272=regle!$I$11,regle!$I$23,
IF(W272=regle!$J$11,regle!$J$23,
IF(W272=regle!$K$11,regle!$K$23,0))))))))))))</f>
        <v>0</v>
      </c>
      <c r="AH272" s="17">
        <f>IF($A272,$J272*(IF(X272=regle!$B$11,regle!$B$23*IF(AQ272=-2,1+regle!$B$35,1),
IF(X272=regle!$C$11,regle!$C$23,
IF(X272=regle!$D$11,regle!$D$23,
IF(X272=regle!$E$11,regle!$E$23,
IF(X272=regle!$F$11,regle!$F$23,
IF(X272=regle!$G$11,regle!$G$23,
IF(X272=regle!$H$11,regle!$H$23,
IF(X272=regle!$I$11,regle!$I$23,
IF(X272=regle!$J$11,regle!$J$23,
IF(X272=regle!$K$11,regle!$K$23,0))))))))))))</f>
        <v>0</v>
      </c>
      <c r="AI272" s="17">
        <f>IF($A272,$J272*(IF(Y272=regle!$B$11,regle!$B$23*IF(AR272=-2,1+regle!$B$35,1),
IF(Y272=regle!$C$11,regle!$C$23,
IF(Y272=regle!$D$11,regle!$D$23,
IF(Y272=regle!$E$11,regle!$E$23,
IF(Y272=regle!$F$11,regle!$F$23,
IF(Y272=regle!$G$11,regle!$G$23,
IF(Y272=regle!$H$11,regle!$H$23,
IF(Y272=regle!$I$11,regle!$I$23,
IF(Y272=regle!$J$11,regle!$J$23,
IF(Y272=regle!$K$11,regle!$K$23,0))))))))))))</f>
        <v>0</v>
      </c>
      <c r="AJ272" s="17">
        <f>IF($A272,$J272*(IF(Z272=regle!$B$11,regle!$B$23*IF(AS272=-2,1+regle!$B$35,1),
IF(Z272=regle!$C$11,regle!$C$23,
IF(Z272=regle!$D$11,regle!$D$23,
IF(Z272=regle!$E$11,regle!$E$23,
IF(Z272=regle!$F$11,regle!$F$23,
IF(Z272=regle!$G$11,regle!$G$23,
IF(Z272=regle!$H$11,regle!$H$23,
IF(Z272=regle!$I$11,regle!$I$23,
IF(Z272=regle!$J$11,regle!$J$23,
IF(Z272=regle!$K$11,regle!$K$23,0))))))))))))</f>
        <v>307.2</v>
      </c>
      <c r="AK272" s="16">
        <f>IF(OR(Q272=regle!$J$11,Q272=regle!$K$11),-2,IF(Q272=regle!$B$11,0,IF(AK$1=$AK$1,IF($O272,-1,regle!$B$2-$M272),IF(AJ272=-1,-1,AJ272+1))))</f>
        <v>18</v>
      </c>
      <c r="AL272" s="16">
        <f>IF(OR(R272=regle!$J$11,R272=regle!$K$11),-2,IF(R272=regle!$B$11,0,IF(AL$1=$AK$1,IF($O272,-1,regle!$B$2-$M272),IF(AK272=-1,-1,AK272+1))))</f>
        <v>19</v>
      </c>
      <c r="AM272" s="16">
        <f>IF(OR(S272=regle!$J$11,S272=regle!$K$11),-2,IF(S272=regle!$B$11,0,IF(AM$1=$AK$1,IF($O272,-1,regle!$B$2-$M272),IF(AL272=-1,-1,AL272+1))))</f>
        <v>20</v>
      </c>
      <c r="AN272" s="16">
        <f>IF(OR(T272=regle!$J$11,T272=regle!$K$11),-2,IF(T272=regle!$B$11,0,IF(AN$1=$AK$1,IF($O272,-1,regle!$B$2-$M272),IF(AM272=-1,-1,AM272+1))))</f>
        <v>21</v>
      </c>
      <c r="AO272" s="16">
        <f>IF(OR(U272=regle!$J$11,U272=regle!$K$11),-2,IF(U272=regle!$B$11,0,IF(AO$1=$AK$1,IF($O272,-1,regle!$B$2-$M272),IF(AN272=-1,-1,AN272+1))))</f>
        <v>22</v>
      </c>
      <c r="AP272" s="16">
        <f>IF(OR(V272=regle!$J$11,V272=regle!$K$11),-2,IF(V272=regle!$B$11,0,IF(AP$1=$AK$1,IF($O272,-1,regle!$B$2-$M272),IF(AO272=-1,-1,AO272+1))))</f>
        <v>23</v>
      </c>
      <c r="AQ272" s="16">
        <f>IF(OR(W272=regle!$J$11,W272=regle!$K$11),-2,IF(W272=regle!$B$11,0,IF(AQ$1=$AK$1,IF($O272,-1,regle!$B$2-$M272),IF(AP272=-1,-1,AP272+1))))</f>
        <v>24</v>
      </c>
      <c r="AR272" s="16">
        <f>IF(OR(X272=regle!$J$11,X272=regle!$K$11),-2,IF(X272=regle!$B$11,0,IF(AR$1=$AK$1,IF($O272,-1,regle!$B$2-$M272),IF(AQ272=-1,-1,AQ272+1))))</f>
        <v>25</v>
      </c>
      <c r="AS272" s="16">
        <f>IF(OR(Y272=regle!$J$11,Y272=regle!$K$11),-2,IF(Y272=regle!$B$11,0,IF(AS$1=$AK$1,IF($O272,-1,regle!$B$2-$M272),IF(AR272=-1,-1,AR272+1))))</f>
        <v>26</v>
      </c>
      <c r="AT272" s="16">
        <f>IF(OR(Z272=regle!$J$11,Z272=regle!$K$11),-2,IF(Z272=regle!$B$11,0,IF(AT$1=$AK$1,IF($O272,-1,regle!$B$2-$M272),IF(AS272=-1,-1,AS272+1))))</f>
        <v>27</v>
      </c>
    </row>
    <row r="273" spans="1:46" x14ac:dyDescent="0.25">
      <c r="A273" t="b">
        <f>modif0!A153</f>
        <v>1</v>
      </c>
      <c r="B273">
        <f>ROW(modif0!B153)</f>
        <v>153</v>
      </c>
      <c r="C273" t="str">
        <f>modif0!D153</f>
        <v>202</v>
      </c>
      <c r="D273" t="str">
        <f>modif0!E153</f>
        <v>HOSTENS</v>
      </c>
      <c r="E273">
        <f>modif0!F153</f>
        <v>11</v>
      </c>
      <c r="F273" t="str">
        <f>modif0!G153</f>
        <v>LES CAZALAS</v>
      </c>
      <c r="G273" t="str">
        <f>modif0!I153</f>
        <v>0B</v>
      </c>
      <c r="H273">
        <f>modif0!J153</f>
        <v>1177</v>
      </c>
      <c r="I273" t="str">
        <f>modif0!K153</f>
        <v/>
      </c>
      <c r="J273" s="11">
        <f>modif0!M153</f>
        <v>0.224</v>
      </c>
      <c r="K273" s="11" t="str">
        <f>modif0!P153</f>
        <v>PLA</v>
      </c>
      <c r="L273" t="str">
        <f>modif0!N153</f>
        <v>PM</v>
      </c>
      <c r="M273">
        <f>modif0!Q153</f>
        <v>2006</v>
      </c>
      <c r="N273" t="str">
        <f>modif0!R153</f>
        <v>PLA-PM_2006</v>
      </c>
      <c r="O273" t="b">
        <f>modif0!S153</f>
        <v>0</v>
      </c>
      <c r="P273">
        <v>40</v>
      </c>
      <c r="Q273" t="s">
        <v>1804</v>
      </c>
      <c r="U273" t="s">
        <v>1805</v>
      </c>
      <c r="Z273" t="s">
        <v>1806</v>
      </c>
      <c r="AA273" s="17">
        <f>IF($A273,$J273*(IF(Q273=regle!$B$11,regle!$B$23*IF(AJ273=-2,1+regle!$B$35,1),
IF(Q273=regle!$C$11,regle!$C$23,
IF(Q273=regle!$D$11,regle!$D$23,
IF(Q273=regle!$E$11,regle!$E$23,
IF(Q273=regle!$F$11,regle!$F$23,
IF(Q273=regle!$G$11,regle!$G$23,
IF(Q273=regle!$H$11,regle!$H$23,
IF(Q273=regle!$I$11,regle!$I$23,
IF(Q273=regle!$J$11,regle!$J$23,
IF(Q273=regle!$K$11,regle!$K$23,0))))))))))))</f>
        <v>188.16</v>
      </c>
      <c r="AB273" s="17">
        <f>IF($A273,$J273*(IF(R273=regle!$B$11,regle!$B$23*IF(AK273=-2,1+regle!$B$35,1),
IF(R273=regle!$C$11,regle!$C$23,
IF(R273=regle!$D$11,regle!$D$23,
IF(R273=regle!$E$11,regle!$E$23,
IF(R273=regle!$F$11,regle!$F$23,
IF(R273=regle!$G$11,regle!$G$23,
IF(R273=regle!$H$11,regle!$H$23,
IF(R273=regle!$I$11,regle!$I$23,
IF(R273=regle!$J$11,regle!$J$23,
IF(R273=regle!$K$11,regle!$K$23,0))))))))))))</f>
        <v>0</v>
      </c>
      <c r="AC273" s="17">
        <f>IF($A273,$J273*(IF(S273=regle!$B$11,regle!$B$23*IF(AL273=-2,1+regle!$B$35,1),
IF(S273=regle!$C$11,regle!$C$23,
IF(S273=regle!$D$11,regle!$D$23,
IF(S273=regle!$E$11,regle!$E$23,
IF(S273=regle!$F$11,regle!$F$23,
IF(S273=regle!$G$11,regle!$G$23,
IF(S273=regle!$H$11,regle!$H$23,
IF(S273=regle!$I$11,regle!$I$23,
IF(S273=regle!$J$11,regle!$J$23,
IF(S273=regle!$K$11,regle!$K$23,0))))))))))))</f>
        <v>0</v>
      </c>
      <c r="AD273" s="17">
        <f>IF($A273,$J273*(IF(T273=regle!$B$11,regle!$B$23*IF(AM273=-2,1+regle!$B$35,1),
IF(T273=regle!$C$11,regle!$C$23,
IF(T273=regle!$D$11,regle!$D$23,
IF(T273=regle!$E$11,regle!$E$23,
IF(T273=regle!$F$11,regle!$F$23,
IF(T273=regle!$G$11,regle!$G$23,
IF(T273=regle!$H$11,regle!$H$23,
IF(T273=regle!$I$11,regle!$I$23,
IF(T273=regle!$J$11,regle!$J$23,
IF(T273=regle!$K$11,regle!$K$23,0))))))))))))</f>
        <v>0</v>
      </c>
      <c r="AE273" s="17">
        <f>IF($A273,$J273*(IF(U273=regle!$B$11,regle!$B$23*IF(AN273=-2,1+regle!$B$35,1),
IF(U273=regle!$C$11,regle!$C$23,
IF(U273=regle!$D$11,regle!$D$23,
IF(U273=regle!$E$11,regle!$E$23,
IF(U273=regle!$F$11,regle!$F$23,
IF(U273=regle!$G$11,regle!$G$23,
IF(U273=regle!$H$11,regle!$H$23,
IF(U273=regle!$I$11,regle!$I$23,
IF(U273=regle!$J$11,regle!$J$23,
IF(U273=regle!$K$11,regle!$K$23,0))))))))))))</f>
        <v>315.392</v>
      </c>
      <c r="AF273" s="17">
        <f>IF($A273,$J273*(IF(V273=regle!$B$11,regle!$B$23*IF(AO273=-2,1+regle!$B$35,1),
IF(V273=regle!$C$11,regle!$C$23,
IF(V273=regle!$D$11,regle!$D$23,
IF(V273=regle!$E$11,regle!$E$23,
IF(V273=regle!$F$11,regle!$F$23,
IF(V273=regle!$G$11,regle!$G$23,
IF(V273=regle!$H$11,regle!$H$23,
IF(V273=regle!$I$11,regle!$I$23,
IF(V273=regle!$J$11,regle!$J$23,
IF(V273=regle!$K$11,regle!$K$23,0))))))))))))</f>
        <v>0</v>
      </c>
      <c r="AG273" s="17">
        <f>IF($A273,$J273*(IF(W273=regle!$B$11,regle!$B$23*IF(AP273=-2,1+regle!$B$35,1),
IF(W273=regle!$C$11,regle!$C$23,
IF(W273=regle!$D$11,regle!$D$23,
IF(W273=regle!$E$11,regle!$E$23,
IF(W273=regle!$F$11,regle!$F$23,
IF(W273=regle!$G$11,regle!$G$23,
IF(W273=regle!$H$11,regle!$H$23,
IF(W273=regle!$I$11,regle!$I$23,
IF(W273=regle!$J$11,regle!$J$23,
IF(W273=regle!$K$11,regle!$K$23,0))))))))))))</f>
        <v>0</v>
      </c>
      <c r="AH273" s="17">
        <f>IF($A273,$J273*(IF(X273=regle!$B$11,regle!$B$23*IF(AQ273=-2,1+regle!$B$35,1),
IF(X273=regle!$C$11,regle!$C$23,
IF(X273=regle!$D$11,regle!$D$23,
IF(X273=regle!$E$11,regle!$E$23,
IF(X273=regle!$F$11,regle!$F$23,
IF(X273=regle!$G$11,regle!$G$23,
IF(X273=regle!$H$11,regle!$H$23,
IF(X273=regle!$I$11,regle!$I$23,
IF(X273=regle!$J$11,regle!$J$23,
IF(X273=regle!$K$11,regle!$K$23,0))))))))))))</f>
        <v>0</v>
      </c>
      <c r="AI273" s="17">
        <f>IF($A273,$J273*(IF(Y273=regle!$B$11,regle!$B$23*IF(AR273=-2,1+regle!$B$35,1),
IF(Y273=regle!$C$11,regle!$C$23,
IF(Y273=regle!$D$11,regle!$D$23,
IF(Y273=regle!$E$11,regle!$E$23,
IF(Y273=regle!$F$11,regle!$F$23,
IF(Y273=regle!$G$11,regle!$G$23,
IF(Y273=regle!$H$11,regle!$H$23,
IF(Y273=regle!$I$11,regle!$I$23,
IF(Y273=regle!$J$11,regle!$J$23,
IF(Y273=regle!$K$11,regle!$K$23,0))))))))))))</f>
        <v>0</v>
      </c>
      <c r="AJ273" s="17">
        <f>IF($A273,$J273*(IF(Z273=regle!$B$11,regle!$B$23*IF(AS273=-2,1+regle!$B$35,1),
IF(Z273=regle!$C$11,regle!$C$23,
IF(Z273=regle!$D$11,regle!$D$23,
IF(Z273=regle!$E$11,regle!$E$23,
IF(Z273=regle!$F$11,regle!$F$23,
IF(Z273=regle!$G$11,regle!$G$23,
IF(Z273=regle!$H$11,regle!$H$23,
IF(Z273=regle!$I$11,regle!$I$23,
IF(Z273=regle!$J$11,regle!$J$23,
IF(Z273=regle!$K$11,regle!$K$23,0))))))))))))</f>
        <v>286.72000000000003</v>
      </c>
      <c r="AK273" s="16">
        <f>IF(OR(Q273=regle!$J$11,Q273=regle!$K$11),-2,IF(Q273=regle!$B$11,0,IF(AK$1=$AK$1,IF($O273,-1,regle!$B$2-$M273),IF(AJ273=-1,-1,AJ273+1))))</f>
        <v>18</v>
      </c>
      <c r="AL273" s="16">
        <f>IF(OR(R273=regle!$J$11,R273=regle!$K$11),-2,IF(R273=regle!$B$11,0,IF(AL$1=$AK$1,IF($O273,-1,regle!$B$2-$M273),IF(AK273=-1,-1,AK273+1))))</f>
        <v>19</v>
      </c>
      <c r="AM273" s="16">
        <f>IF(OR(S273=regle!$J$11,S273=regle!$K$11),-2,IF(S273=regle!$B$11,0,IF(AM$1=$AK$1,IF($O273,-1,regle!$B$2-$M273),IF(AL273=-1,-1,AL273+1))))</f>
        <v>20</v>
      </c>
      <c r="AN273" s="16">
        <f>IF(OR(T273=regle!$J$11,T273=regle!$K$11),-2,IF(T273=regle!$B$11,0,IF(AN$1=$AK$1,IF($O273,-1,regle!$B$2-$M273),IF(AM273=-1,-1,AM273+1))))</f>
        <v>21</v>
      </c>
      <c r="AO273" s="16">
        <f>IF(OR(U273=regle!$J$11,U273=regle!$K$11),-2,IF(U273=regle!$B$11,0,IF(AO$1=$AK$1,IF($O273,-1,regle!$B$2-$M273),IF(AN273=-1,-1,AN273+1))))</f>
        <v>22</v>
      </c>
      <c r="AP273" s="16">
        <f>IF(OR(V273=regle!$J$11,V273=regle!$K$11),-2,IF(V273=regle!$B$11,0,IF(AP$1=$AK$1,IF($O273,-1,regle!$B$2-$M273),IF(AO273=-1,-1,AO273+1))))</f>
        <v>23</v>
      </c>
      <c r="AQ273" s="16">
        <f>IF(OR(W273=regle!$J$11,W273=regle!$K$11),-2,IF(W273=regle!$B$11,0,IF(AQ$1=$AK$1,IF($O273,-1,regle!$B$2-$M273),IF(AP273=-1,-1,AP273+1))))</f>
        <v>24</v>
      </c>
      <c r="AR273" s="16">
        <f>IF(OR(X273=regle!$J$11,X273=regle!$K$11),-2,IF(X273=regle!$B$11,0,IF(AR$1=$AK$1,IF($O273,-1,regle!$B$2-$M273),IF(AQ273=-1,-1,AQ273+1))))</f>
        <v>25</v>
      </c>
      <c r="AS273" s="16">
        <f>IF(OR(Y273=regle!$J$11,Y273=regle!$K$11),-2,IF(Y273=regle!$B$11,0,IF(AS$1=$AK$1,IF($O273,-1,regle!$B$2-$M273),IF(AR273=-1,-1,AR273+1))))</f>
        <v>26</v>
      </c>
      <c r="AT273" s="16">
        <f>IF(OR(Z273=regle!$J$11,Z273=regle!$K$11),-2,IF(Z273=regle!$B$11,0,IF(AT$1=$AK$1,IF($O273,-1,regle!$B$2-$M273),IF(AS273=-1,-1,AS273+1))))</f>
        <v>27</v>
      </c>
    </row>
    <row r="274" spans="1:46" x14ac:dyDescent="0.25">
      <c r="A274" t="b">
        <f>modif0!A128</f>
        <v>1</v>
      </c>
      <c r="B274">
        <f>ROW(modif0!B128)</f>
        <v>128</v>
      </c>
      <c r="C274" t="str">
        <f>modif0!D128</f>
        <v>202</v>
      </c>
      <c r="D274" t="str">
        <f>modif0!E128</f>
        <v>HOSTENS</v>
      </c>
      <c r="E274">
        <f>modif0!F128</f>
        <v>11</v>
      </c>
      <c r="F274" t="str">
        <f>modif0!G128</f>
        <v>LES CAZALAS</v>
      </c>
      <c r="G274" t="str">
        <f>modif0!I128</f>
        <v>0B</v>
      </c>
      <c r="H274">
        <f>modif0!J128</f>
        <v>1155</v>
      </c>
      <c r="I274" t="str">
        <f>modif0!K128</f>
        <v>j</v>
      </c>
      <c r="J274" s="11">
        <f>modif0!M128</f>
        <v>0.21179999999999999</v>
      </c>
      <c r="K274" s="11" t="str">
        <f>modif0!P128</f>
        <v>PLA</v>
      </c>
      <c r="L274" t="str">
        <f>modif0!N128</f>
        <v>PM</v>
      </c>
      <c r="M274">
        <f>modif0!Q128</f>
        <v>2006</v>
      </c>
      <c r="N274" t="str">
        <f>modif0!R128</f>
        <v>PLA-PM_2006</v>
      </c>
      <c r="O274" t="b">
        <f>modif0!S128</f>
        <v>0</v>
      </c>
      <c r="P274">
        <v>40</v>
      </c>
      <c r="Q274" t="s">
        <v>1804</v>
      </c>
      <c r="U274" t="s">
        <v>1805</v>
      </c>
      <c r="Z274" t="s">
        <v>1806</v>
      </c>
      <c r="AA274" s="17">
        <f>IF($A274,$J274*(IF(Q274=regle!$B$11,regle!$B$23*IF(AJ274=-2,1+regle!$B$35,1),
IF(Q274=regle!$C$11,regle!$C$23,
IF(Q274=regle!$D$11,regle!$D$23,
IF(Q274=regle!$E$11,regle!$E$23,
IF(Q274=regle!$F$11,regle!$F$23,
IF(Q274=regle!$G$11,regle!$G$23,
IF(Q274=regle!$H$11,regle!$H$23,
IF(Q274=regle!$I$11,regle!$I$23,
IF(Q274=regle!$J$11,regle!$J$23,
IF(Q274=regle!$K$11,regle!$K$23,0))))))))))))</f>
        <v>177.91199999999998</v>
      </c>
      <c r="AB274" s="17">
        <f>IF($A274,$J274*(IF(R274=regle!$B$11,regle!$B$23*IF(AK274=-2,1+regle!$B$35,1),
IF(R274=regle!$C$11,regle!$C$23,
IF(R274=regle!$D$11,regle!$D$23,
IF(R274=regle!$E$11,regle!$E$23,
IF(R274=regle!$F$11,regle!$F$23,
IF(R274=regle!$G$11,regle!$G$23,
IF(R274=regle!$H$11,regle!$H$23,
IF(R274=regle!$I$11,regle!$I$23,
IF(R274=regle!$J$11,regle!$J$23,
IF(R274=regle!$K$11,regle!$K$23,0))))))))))))</f>
        <v>0</v>
      </c>
      <c r="AC274" s="17">
        <f>IF($A274,$J274*(IF(S274=regle!$B$11,regle!$B$23*IF(AL274=-2,1+regle!$B$35,1),
IF(S274=regle!$C$11,regle!$C$23,
IF(S274=regle!$D$11,regle!$D$23,
IF(S274=regle!$E$11,regle!$E$23,
IF(S274=regle!$F$11,regle!$F$23,
IF(S274=regle!$G$11,regle!$G$23,
IF(S274=regle!$H$11,regle!$H$23,
IF(S274=regle!$I$11,regle!$I$23,
IF(S274=regle!$J$11,regle!$J$23,
IF(S274=regle!$K$11,regle!$K$23,0))))))))))))</f>
        <v>0</v>
      </c>
      <c r="AD274" s="17">
        <f>IF($A274,$J274*(IF(T274=regle!$B$11,regle!$B$23*IF(AM274=-2,1+regle!$B$35,1),
IF(T274=regle!$C$11,regle!$C$23,
IF(T274=regle!$D$11,regle!$D$23,
IF(T274=regle!$E$11,regle!$E$23,
IF(T274=regle!$F$11,regle!$F$23,
IF(T274=regle!$G$11,regle!$G$23,
IF(T274=regle!$H$11,regle!$H$23,
IF(T274=regle!$I$11,regle!$I$23,
IF(T274=regle!$J$11,regle!$J$23,
IF(T274=regle!$K$11,regle!$K$23,0))))))))))))</f>
        <v>0</v>
      </c>
      <c r="AE274" s="17">
        <f>IF($A274,$J274*(IF(U274=regle!$B$11,regle!$B$23*IF(AN274=-2,1+regle!$B$35,1),
IF(U274=regle!$C$11,regle!$C$23,
IF(U274=regle!$D$11,regle!$D$23,
IF(U274=regle!$E$11,regle!$E$23,
IF(U274=regle!$F$11,regle!$F$23,
IF(U274=regle!$G$11,regle!$G$23,
IF(U274=regle!$H$11,regle!$H$23,
IF(U274=regle!$I$11,regle!$I$23,
IF(U274=regle!$J$11,regle!$J$23,
IF(U274=regle!$K$11,regle!$K$23,0))))))))))))</f>
        <v>298.21439999999996</v>
      </c>
      <c r="AF274" s="17">
        <f>IF($A274,$J274*(IF(V274=regle!$B$11,regle!$B$23*IF(AO274=-2,1+regle!$B$35,1),
IF(V274=regle!$C$11,regle!$C$23,
IF(V274=regle!$D$11,regle!$D$23,
IF(V274=regle!$E$11,regle!$E$23,
IF(V274=regle!$F$11,regle!$F$23,
IF(V274=regle!$G$11,regle!$G$23,
IF(V274=regle!$H$11,regle!$H$23,
IF(V274=regle!$I$11,regle!$I$23,
IF(V274=regle!$J$11,regle!$J$23,
IF(V274=regle!$K$11,regle!$K$23,0))))))))))))</f>
        <v>0</v>
      </c>
      <c r="AG274" s="17">
        <f>IF($A274,$J274*(IF(W274=regle!$B$11,regle!$B$23*IF(AP274=-2,1+regle!$B$35,1),
IF(W274=regle!$C$11,regle!$C$23,
IF(W274=regle!$D$11,regle!$D$23,
IF(W274=regle!$E$11,regle!$E$23,
IF(W274=regle!$F$11,regle!$F$23,
IF(W274=regle!$G$11,regle!$G$23,
IF(W274=regle!$H$11,regle!$H$23,
IF(W274=regle!$I$11,regle!$I$23,
IF(W274=regle!$J$11,regle!$J$23,
IF(W274=regle!$K$11,regle!$K$23,0))))))))))))</f>
        <v>0</v>
      </c>
      <c r="AH274" s="17">
        <f>IF($A274,$J274*(IF(X274=regle!$B$11,regle!$B$23*IF(AQ274=-2,1+regle!$B$35,1),
IF(X274=regle!$C$11,regle!$C$23,
IF(X274=regle!$D$11,regle!$D$23,
IF(X274=regle!$E$11,regle!$E$23,
IF(X274=regle!$F$11,regle!$F$23,
IF(X274=regle!$G$11,regle!$G$23,
IF(X274=regle!$H$11,regle!$H$23,
IF(X274=regle!$I$11,regle!$I$23,
IF(X274=regle!$J$11,regle!$J$23,
IF(X274=regle!$K$11,regle!$K$23,0))))))))))))</f>
        <v>0</v>
      </c>
      <c r="AI274" s="17">
        <f>IF($A274,$J274*(IF(Y274=regle!$B$11,regle!$B$23*IF(AR274=-2,1+regle!$B$35,1),
IF(Y274=regle!$C$11,regle!$C$23,
IF(Y274=regle!$D$11,regle!$D$23,
IF(Y274=regle!$E$11,regle!$E$23,
IF(Y274=regle!$F$11,regle!$F$23,
IF(Y274=regle!$G$11,regle!$G$23,
IF(Y274=regle!$H$11,regle!$H$23,
IF(Y274=regle!$I$11,regle!$I$23,
IF(Y274=regle!$J$11,regle!$J$23,
IF(Y274=regle!$K$11,regle!$K$23,0))))))))))))</f>
        <v>0</v>
      </c>
      <c r="AJ274" s="17">
        <f>IF($A274,$J274*(IF(Z274=regle!$B$11,regle!$B$23*IF(AS274=-2,1+regle!$B$35,1),
IF(Z274=regle!$C$11,regle!$C$23,
IF(Z274=regle!$D$11,regle!$D$23,
IF(Z274=regle!$E$11,regle!$E$23,
IF(Z274=regle!$F$11,regle!$F$23,
IF(Z274=regle!$G$11,regle!$G$23,
IF(Z274=regle!$H$11,regle!$H$23,
IF(Z274=regle!$I$11,regle!$I$23,
IF(Z274=regle!$J$11,regle!$J$23,
IF(Z274=regle!$K$11,regle!$K$23,0))))))))))))</f>
        <v>271.10399999999998</v>
      </c>
      <c r="AK274" s="16">
        <f>IF(OR(Q274=regle!$J$11,Q274=regle!$K$11),-2,IF(Q274=regle!$B$11,0,IF(AK$1=$AK$1,IF($O274,-1,regle!$B$2-$M274),IF(AJ274=-1,-1,AJ274+1))))</f>
        <v>18</v>
      </c>
      <c r="AL274" s="16">
        <f>IF(OR(R274=regle!$J$11,R274=regle!$K$11),-2,IF(R274=regle!$B$11,0,IF(AL$1=$AK$1,IF($O274,-1,regle!$B$2-$M274),IF(AK274=-1,-1,AK274+1))))</f>
        <v>19</v>
      </c>
      <c r="AM274" s="16">
        <f>IF(OR(S274=regle!$J$11,S274=regle!$K$11),-2,IF(S274=regle!$B$11,0,IF(AM$1=$AK$1,IF($O274,-1,regle!$B$2-$M274),IF(AL274=-1,-1,AL274+1))))</f>
        <v>20</v>
      </c>
      <c r="AN274" s="16">
        <f>IF(OR(T274=regle!$J$11,T274=regle!$K$11),-2,IF(T274=regle!$B$11,0,IF(AN$1=$AK$1,IF($O274,-1,regle!$B$2-$M274),IF(AM274=-1,-1,AM274+1))))</f>
        <v>21</v>
      </c>
      <c r="AO274" s="16">
        <f>IF(OR(U274=regle!$J$11,U274=regle!$K$11),-2,IF(U274=regle!$B$11,0,IF(AO$1=$AK$1,IF($O274,-1,regle!$B$2-$M274),IF(AN274=-1,-1,AN274+1))))</f>
        <v>22</v>
      </c>
      <c r="AP274" s="16">
        <f>IF(OR(V274=regle!$J$11,V274=regle!$K$11),-2,IF(V274=regle!$B$11,0,IF(AP$1=$AK$1,IF($O274,-1,regle!$B$2-$M274),IF(AO274=-1,-1,AO274+1))))</f>
        <v>23</v>
      </c>
      <c r="AQ274" s="16">
        <f>IF(OR(W274=regle!$J$11,W274=regle!$K$11),-2,IF(W274=regle!$B$11,0,IF(AQ$1=$AK$1,IF($O274,-1,regle!$B$2-$M274),IF(AP274=-1,-1,AP274+1))))</f>
        <v>24</v>
      </c>
      <c r="AR274" s="16">
        <f>IF(OR(X274=regle!$J$11,X274=regle!$K$11),-2,IF(X274=regle!$B$11,0,IF(AR$1=$AK$1,IF($O274,-1,regle!$B$2-$M274),IF(AQ274=-1,-1,AQ274+1))))</f>
        <v>25</v>
      </c>
      <c r="AS274" s="16">
        <f>IF(OR(Y274=regle!$J$11,Y274=regle!$K$11),-2,IF(Y274=regle!$B$11,0,IF(AS$1=$AK$1,IF($O274,-1,regle!$B$2-$M274),IF(AR274=-1,-1,AR274+1))))</f>
        <v>26</v>
      </c>
      <c r="AT274" s="16">
        <f>IF(OR(Z274=regle!$J$11,Z274=regle!$K$11),-2,IF(Z274=regle!$B$11,0,IF(AT$1=$AK$1,IF($O274,-1,regle!$B$2-$M274),IF(AS274=-1,-1,AS274+1))))</f>
        <v>27</v>
      </c>
    </row>
    <row r="275" spans="1:46" x14ac:dyDescent="0.25">
      <c r="A275" t="b">
        <f>modif0!A146</f>
        <v>1</v>
      </c>
      <c r="B275">
        <f>ROW(modif0!B146)</f>
        <v>146</v>
      </c>
      <c r="C275" t="str">
        <f>modif0!D146</f>
        <v>202</v>
      </c>
      <c r="D275" t="str">
        <f>modif0!E146</f>
        <v>HOSTENS</v>
      </c>
      <c r="E275">
        <f>modif0!F146</f>
        <v>11</v>
      </c>
      <c r="F275" t="str">
        <f>modif0!G146</f>
        <v>LES CAZALAS</v>
      </c>
      <c r="G275" t="str">
        <f>modif0!I146</f>
        <v>0B</v>
      </c>
      <c r="H275">
        <f>modif0!J146</f>
        <v>1170</v>
      </c>
      <c r="I275" t="str">
        <f>modif0!K146</f>
        <v/>
      </c>
      <c r="J275" s="11">
        <f>modif0!M146</f>
        <v>0.20399999999999999</v>
      </c>
      <c r="K275" s="11" t="str">
        <f>modif0!P146</f>
        <v>PLA</v>
      </c>
      <c r="L275" t="str">
        <f>modif0!N146</f>
        <v>PM</v>
      </c>
      <c r="M275">
        <f>modif0!Q146</f>
        <v>2006</v>
      </c>
      <c r="N275" t="str">
        <f>modif0!R146</f>
        <v>PLA-PM_2006</v>
      </c>
      <c r="O275" t="b">
        <f>modif0!S146</f>
        <v>0</v>
      </c>
      <c r="P275">
        <v>40</v>
      </c>
      <c r="Q275" t="s">
        <v>1804</v>
      </c>
      <c r="U275" t="s">
        <v>1805</v>
      </c>
      <c r="Z275" t="s">
        <v>1806</v>
      </c>
      <c r="AA275" s="17">
        <f>IF($A275,$J275*(IF(Q275=regle!$B$11,regle!$B$23*IF(AJ275=-2,1+regle!$B$35,1),
IF(Q275=regle!$C$11,regle!$C$23,
IF(Q275=regle!$D$11,regle!$D$23,
IF(Q275=regle!$E$11,regle!$E$23,
IF(Q275=regle!$F$11,regle!$F$23,
IF(Q275=regle!$G$11,regle!$G$23,
IF(Q275=regle!$H$11,regle!$H$23,
IF(Q275=regle!$I$11,regle!$I$23,
IF(Q275=regle!$J$11,regle!$J$23,
IF(Q275=regle!$K$11,regle!$K$23,0))))))))))))</f>
        <v>171.35999999999999</v>
      </c>
      <c r="AB275" s="17">
        <f>IF($A275,$J275*(IF(R275=regle!$B$11,regle!$B$23*IF(AK275=-2,1+regle!$B$35,1),
IF(R275=regle!$C$11,regle!$C$23,
IF(R275=regle!$D$11,regle!$D$23,
IF(R275=regle!$E$11,regle!$E$23,
IF(R275=regle!$F$11,regle!$F$23,
IF(R275=regle!$G$11,regle!$G$23,
IF(R275=regle!$H$11,regle!$H$23,
IF(R275=regle!$I$11,regle!$I$23,
IF(R275=regle!$J$11,regle!$J$23,
IF(R275=regle!$K$11,regle!$K$23,0))))))))))))</f>
        <v>0</v>
      </c>
      <c r="AC275" s="17">
        <f>IF($A275,$J275*(IF(S275=regle!$B$11,regle!$B$23*IF(AL275=-2,1+regle!$B$35,1),
IF(S275=regle!$C$11,regle!$C$23,
IF(S275=regle!$D$11,regle!$D$23,
IF(S275=regle!$E$11,regle!$E$23,
IF(S275=regle!$F$11,regle!$F$23,
IF(S275=regle!$G$11,regle!$G$23,
IF(S275=regle!$H$11,regle!$H$23,
IF(S275=regle!$I$11,regle!$I$23,
IF(S275=regle!$J$11,regle!$J$23,
IF(S275=regle!$K$11,regle!$K$23,0))))))))))))</f>
        <v>0</v>
      </c>
      <c r="AD275" s="17">
        <f>IF($A275,$J275*(IF(T275=regle!$B$11,regle!$B$23*IF(AM275=-2,1+regle!$B$35,1),
IF(T275=regle!$C$11,regle!$C$23,
IF(T275=regle!$D$11,regle!$D$23,
IF(T275=regle!$E$11,regle!$E$23,
IF(T275=regle!$F$11,regle!$F$23,
IF(T275=regle!$G$11,regle!$G$23,
IF(T275=regle!$H$11,regle!$H$23,
IF(T275=regle!$I$11,regle!$I$23,
IF(T275=regle!$J$11,regle!$J$23,
IF(T275=regle!$K$11,regle!$K$23,0))))))))))))</f>
        <v>0</v>
      </c>
      <c r="AE275" s="17">
        <f>IF($A275,$J275*(IF(U275=regle!$B$11,regle!$B$23*IF(AN275=-2,1+regle!$B$35,1),
IF(U275=regle!$C$11,regle!$C$23,
IF(U275=regle!$D$11,regle!$D$23,
IF(U275=regle!$E$11,regle!$E$23,
IF(U275=regle!$F$11,regle!$F$23,
IF(U275=regle!$G$11,regle!$G$23,
IF(U275=regle!$H$11,regle!$H$23,
IF(U275=regle!$I$11,regle!$I$23,
IF(U275=regle!$J$11,regle!$J$23,
IF(U275=regle!$K$11,regle!$K$23,0))))))))))))</f>
        <v>287.23199999999997</v>
      </c>
      <c r="AF275" s="17">
        <f>IF($A275,$J275*(IF(V275=regle!$B$11,regle!$B$23*IF(AO275=-2,1+regle!$B$35,1),
IF(V275=regle!$C$11,regle!$C$23,
IF(V275=regle!$D$11,regle!$D$23,
IF(V275=regle!$E$11,regle!$E$23,
IF(V275=regle!$F$11,regle!$F$23,
IF(V275=regle!$G$11,regle!$G$23,
IF(V275=regle!$H$11,regle!$H$23,
IF(V275=regle!$I$11,regle!$I$23,
IF(V275=regle!$J$11,regle!$J$23,
IF(V275=regle!$K$11,regle!$K$23,0))))))))))))</f>
        <v>0</v>
      </c>
      <c r="AG275" s="17">
        <f>IF($A275,$J275*(IF(W275=regle!$B$11,regle!$B$23*IF(AP275=-2,1+regle!$B$35,1),
IF(W275=regle!$C$11,regle!$C$23,
IF(W275=regle!$D$11,regle!$D$23,
IF(W275=regle!$E$11,regle!$E$23,
IF(W275=regle!$F$11,regle!$F$23,
IF(W275=regle!$G$11,regle!$G$23,
IF(W275=regle!$H$11,regle!$H$23,
IF(W275=regle!$I$11,regle!$I$23,
IF(W275=regle!$J$11,regle!$J$23,
IF(W275=regle!$K$11,regle!$K$23,0))))))))))))</f>
        <v>0</v>
      </c>
      <c r="AH275" s="17">
        <f>IF($A275,$J275*(IF(X275=regle!$B$11,regle!$B$23*IF(AQ275=-2,1+regle!$B$35,1),
IF(X275=regle!$C$11,regle!$C$23,
IF(X275=regle!$D$11,regle!$D$23,
IF(X275=regle!$E$11,regle!$E$23,
IF(X275=regle!$F$11,regle!$F$23,
IF(X275=regle!$G$11,regle!$G$23,
IF(X275=regle!$H$11,regle!$H$23,
IF(X275=regle!$I$11,regle!$I$23,
IF(X275=regle!$J$11,regle!$J$23,
IF(X275=regle!$K$11,regle!$K$23,0))))))))))))</f>
        <v>0</v>
      </c>
      <c r="AI275" s="17">
        <f>IF($A275,$J275*(IF(Y275=regle!$B$11,regle!$B$23*IF(AR275=-2,1+regle!$B$35,1),
IF(Y275=regle!$C$11,regle!$C$23,
IF(Y275=regle!$D$11,regle!$D$23,
IF(Y275=regle!$E$11,regle!$E$23,
IF(Y275=regle!$F$11,regle!$F$23,
IF(Y275=regle!$G$11,regle!$G$23,
IF(Y275=regle!$H$11,regle!$H$23,
IF(Y275=regle!$I$11,regle!$I$23,
IF(Y275=regle!$J$11,regle!$J$23,
IF(Y275=regle!$K$11,regle!$K$23,0))))))))))))</f>
        <v>0</v>
      </c>
      <c r="AJ275" s="17">
        <f>IF($A275,$J275*(IF(Z275=regle!$B$11,regle!$B$23*IF(AS275=-2,1+regle!$B$35,1),
IF(Z275=regle!$C$11,regle!$C$23,
IF(Z275=regle!$D$11,regle!$D$23,
IF(Z275=regle!$E$11,regle!$E$23,
IF(Z275=regle!$F$11,regle!$F$23,
IF(Z275=regle!$G$11,regle!$G$23,
IF(Z275=regle!$H$11,regle!$H$23,
IF(Z275=regle!$I$11,regle!$I$23,
IF(Z275=regle!$J$11,regle!$J$23,
IF(Z275=regle!$K$11,regle!$K$23,0))))))))))))</f>
        <v>261.12</v>
      </c>
      <c r="AK275" s="16">
        <f>IF(OR(Q275=regle!$J$11,Q275=regle!$K$11),-2,IF(Q275=regle!$B$11,0,IF(AK$1=$AK$1,IF($O275,-1,regle!$B$2-$M275),IF(AJ275=-1,-1,AJ275+1))))</f>
        <v>18</v>
      </c>
      <c r="AL275" s="16">
        <f>IF(OR(R275=regle!$J$11,R275=regle!$K$11),-2,IF(R275=regle!$B$11,0,IF(AL$1=$AK$1,IF($O275,-1,regle!$B$2-$M275),IF(AK275=-1,-1,AK275+1))))</f>
        <v>19</v>
      </c>
      <c r="AM275" s="16">
        <f>IF(OR(S275=regle!$J$11,S275=regle!$K$11),-2,IF(S275=regle!$B$11,0,IF(AM$1=$AK$1,IF($O275,-1,regle!$B$2-$M275),IF(AL275=-1,-1,AL275+1))))</f>
        <v>20</v>
      </c>
      <c r="AN275" s="16">
        <f>IF(OR(T275=regle!$J$11,T275=regle!$K$11),-2,IF(T275=regle!$B$11,0,IF(AN$1=$AK$1,IF($O275,-1,regle!$B$2-$M275),IF(AM275=-1,-1,AM275+1))))</f>
        <v>21</v>
      </c>
      <c r="AO275" s="16">
        <f>IF(OR(U275=regle!$J$11,U275=regle!$K$11),-2,IF(U275=regle!$B$11,0,IF(AO$1=$AK$1,IF($O275,-1,regle!$B$2-$M275),IF(AN275=-1,-1,AN275+1))))</f>
        <v>22</v>
      </c>
      <c r="AP275" s="16">
        <f>IF(OR(V275=regle!$J$11,V275=regle!$K$11),-2,IF(V275=regle!$B$11,0,IF(AP$1=$AK$1,IF($O275,-1,regle!$B$2-$M275),IF(AO275=-1,-1,AO275+1))))</f>
        <v>23</v>
      </c>
      <c r="AQ275" s="16">
        <f>IF(OR(W275=regle!$J$11,W275=regle!$K$11),-2,IF(W275=regle!$B$11,0,IF(AQ$1=$AK$1,IF($O275,-1,regle!$B$2-$M275),IF(AP275=-1,-1,AP275+1))))</f>
        <v>24</v>
      </c>
      <c r="AR275" s="16">
        <f>IF(OR(X275=regle!$J$11,X275=regle!$K$11),-2,IF(X275=regle!$B$11,0,IF(AR$1=$AK$1,IF($O275,-1,regle!$B$2-$M275),IF(AQ275=-1,-1,AQ275+1))))</f>
        <v>25</v>
      </c>
      <c r="AS275" s="16">
        <f>IF(OR(Y275=regle!$J$11,Y275=regle!$K$11),-2,IF(Y275=regle!$B$11,0,IF(AS$1=$AK$1,IF($O275,-1,regle!$B$2-$M275),IF(AR275=-1,-1,AR275+1))))</f>
        <v>26</v>
      </c>
      <c r="AT275" s="16">
        <f>IF(OR(Z275=regle!$J$11,Z275=regle!$K$11),-2,IF(Z275=regle!$B$11,0,IF(AT$1=$AK$1,IF($O275,-1,regle!$B$2-$M275),IF(AS275=-1,-1,AS275+1))))</f>
        <v>27</v>
      </c>
    </row>
    <row r="276" spans="1:46" x14ac:dyDescent="0.25">
      <c r="A276" t="b">
        <f>modif0!A159</f>
        <v>1</v>
      </c>
      <c r="B276">
        <f>ROW(modif0!B159)</f>
        <v>159</v>
      </c>
      <c r="C276" t="str">
        <f>modif0!D159</f>
        <v>202</v>
      </c>
      <c r="D276" t="str">
        <f>modif0!E159</f>
        <v>HOSTENS</v>
      </c>
      <c r="E276">
        <f>modif0!F159</f>
        <v>11</v>
      </c>
      <c r="F276" t="str">
        <f>modif0!G159</f>
        <v>LES CAZALAS</v>
      </c>
      <c r="G276" t="str">
        <f>modif0!I159</f>
        <v>0B</v>
      </c>
      <c r="H276">
        <f>modif0!J159</f>
        <v>1183</v>
      </c>
      <c r="I276" t="str">
        <f>modif0!K159</f>
        <v/>
      </c>
      <c r="J276" s="11">
        <f>modif0!M159</f>
        <v>0.18099999999999999</v>
      </c>
      <c r="K276" s="11" t="str">
        <f>modif0!P159</f>
        <v>PLA</v>
      </c>
      <c r="L276" t="str">
        <f>modif0!N159</f>
        <v>PM</v>
      </c>
      <c r="M276">
        <f>modif0!Q159</f>
        <v>2006</v>
      </c>
      <c r="N276" t="str">
        <f>modif0!R159</f>
        <v>PLA-PM_2006</v>
      </c>
      <c r="O276" t="b">
        <f>modif0!S159</f>
        <v>0</v>
      </c>
      <c r="P276">
        <v>40</v>
      </c>
      <c r="Q276" t="s">
        <v>1804</v>
      </c>
      <c r="U276" t="s">
        <v>1805</v>
      </c>
      <c r="Z276" t="s">
        <v>1806</v>
      </c>
      <c r="AA276" s="17">
        <f>IF($A276,$J276*(IF(Q276=regle!$B$11,regle!$B$23*IF(AJ276=-2,1+regle!$B$35,1),
IF(Q276=regle!$C$11,regle!$C$23,
IF(Q276=regle!$D$11,regle!$D$23,
IF(Q276=regle!$E$11,regle!$E$23,
IF(Q276=regle!$F$11,regle!$F$23,
IF(Q276=regle!$G$11,regle!$G$23,
IF(Q276=regle!$H$11,regle!$H$23,
IF(Q276=regle!$I$11,regle!$I$23,
IF(Q276=regle!$J$11,regle!$J$23,
IF(Q276=regle!$K$11,regle!$K$23,0))))))))))))</f>
        <v>152.04</v>
      </c>
      <c r="AB276" s="17">
        <f>IF($A276,$J276*(IF(R276=regle!$B$11,regle!$B$23*IF(AK276=-2,1+regle!$B$35,1),
IF(R276=regle!$C$11,regle!$C$23,
IF(R276=regle!$D$11,regle!$D$23,
IF(R276=regle!$E$11,regle!$E$23,
IF(R276=regle!$F$11,regle!$F$23,
IF(R276=regle!$G$11,regle!$G$23,
IF(R276=regle!$H$11,regle!$H$23,
IF(R276=regle!$I$11,regle!$I$23,
IF(R276=regle!$J$11,regle!$J$23,
IF(R276=regle!$K$11,regle!$K$23,0))))))))))))</f>
        <v>0</v>
      </c>
      <c r="AC276" s="17">
        <f>IF($A276,$J276*(IF(S276=regle!$B$11,regle!$B$23*IF(AL276=-2,1+regle!$B$35,1),
IF(S276=regle!$C$11,regle!$C$23,
IF(S276=regle!$D$11,regle!$D$23,
IF(S276=regle!$E$11,regle!$E$23,
IF(S276=regle!$F$11,regle!$F$23,
IF(S276=regle!$G$11,regle!$G$23,
IF(S276=regle!$H$11,regle!$H$23,
IF(S276=regle!$I$11,regle!$I$23,
IF(S276=regle!$J$11,regle!$J$23,
IF(S276=regle!$K$11,regle!$K$23,0))))))))))))</f>
        <v>0</v>
      </c>
      <c r="AD276" s="17">
        <f>IF($A276,$J276*(IF(T276=regle!$B$11,regle!$B$23*IF(AM276=-2,1+regle!$B$35,1),
IF(T276=regle!$C$11,regle!$C$23,
IF(T276=regle!$D$11,regle!$D$23,
IF(T276=regle!$E$11,regle!$E$23,
IF(T276=regle!$F$11,regle!$F$23,
IF(T276=regle!$G$11,regle!$G$23,
IF(T276=regle!$H$11,regle!$H$23,
IF(T276=regle!$I$11,regle!$I$23,
IF(T276=regle!$J$11,regle!$J$23,
IF(T276=regle!$K$11,regle!$K$23,0))))))))))))</f>
        <v>0</v>
      </c>
      <c r="AE276" s="17">
        <f>IF($A276,$J276*(IF(U276=regle!$B$11,regle!$B$23*IF(AN276=-2,1+regle!$B$35,1),
IF(U276=regle!$C$11,regle!$C$23,
IF(U276=regle!$D$11,regle!$D$23,
IF(U276=regle!$E$11,regle!$E$23,
IF(U276=regle!$F$11,regle!$F$23,
IF(U276=regle!$G$11,regle!$G$23,
IF(U276=regle!$H$11,regle!$H$23,
IF(U276=regle!$I$11,regle!$I$23,
IF(U276=regle!$J$11,regle!$J$23,
IF(U276=regle!$K$11,regle!$K$23,0))))))))))))</f>
        <v>254.84799999999998</v>
      </c>
      <c r="AF276" s="17">
        <f>IF($A276,$J276*(IF(V276=regle!$B$11,regle!$B$23*IF(AO276=-2,1+regle!$B$35,1),
IF(V276=regle!$C$11,regle!$C$23,
IF(V276=regle!$D$11,regle!$D$23,
IF(V276=regle!$E$11,regle!$E$23,
IF(V276=regle!$F$11,regle!$F$23,
IF(V276=regle!$G$11,regle!$G$23,
IF(V276=regle!$H$11,regle!$H$23,
IF(V276=regle!$I$11,regle!$I$23,
IF(V276=regle!$J$11,regle!$J$23,
IF(V276=regle!$K$11,regle!$K$23,0))))))))))))</f>
        <v>0</v>
      </c>
      <c r="AG276" s="17">
        <f>IF($A276,$J276*(IF(W276=regle!$B$11,regle!$B$23*IF(AP276=-2,1+regle!$B$35,1),
IF(W276=regle!$C$11,regle!$C$23,
IF(W276=regle!$D$11,regle!$D$23,
IF(W276=regle!$E$11,regle!$E$23,
IF(W276=regle!$F$11,regle!$F$23,
IF(W276=regle!$G$11,regle!$G$23,
IF(W276=regle!$H$11,regle!$H$23,
IF(W276=regle!$I$11,regle!$I$23,
IF(W276=regle!$J$11,regle!$J$23,
IF(W276=regle!$K$11,regle!$K$23,0))))))))))))</f>
        <v>0</v>
      </c>
      <c r="AH276" s="17">
        <f>IF($A276,$J276*(IF(X276=regle!$B$11,regle!$B$23*IF(AQ276=-2,1+regle!$B$35,1),
IF(X276=regle!$C$11,regle!$C$23,
IF(X276=regle!$D$11,regle!$D$23,
IF(X276=regle!$E$11,regle!$E$23,
IF(X276=regle!$F$11,regle!$F$23,
IF(X276=regle!$G$11,regle!$G$23,
IF(X276=regle!$H$11,regle!$H$23,
IF(X276=regle!$I$11,regle!$I$23,
IF(X276=regle!$J$11,regle!$J$23,
IF(X276=regle!$K$11,regle!$K$23,0))))))))))))</f>
        <v>0</v>
      </c>
      <c r="AI276" s="17">
        <f>IF($A276,$J276*(IF(Y276=regle!$B$11,regle!$B$23*IF(AR276=-2,1+regle!$B$35,1),
IF(Y276=regle!$C$11,regle!$C$23,
IF(Y276=regle!$D$11,regle!$D$23,
IF(Y276=regle!$E$11,regle!$E$23,
IF(Y276=regle!$F$11,regle!$F$23,
IF(Y276=regle!$G$11,regle!$G$23,
IF(Y276=regle!$H$11,regle!$H$23,
IF(Y276=regle!$I$11,regle!$I$23,
IF(Y276=regle!$J$11,regle!$J$23,
IF(Y276=regle!$K$11,regle!$K$23,0))))))))))))</f>
        <v>0</v>
      </c>
      <c r="AJ276" s="17">
        <f>IF($A276,$J276*(IF(Z276=regle!$B$11,regle!$B$23*IF(AS276=-2,1+regle!$B$35,1),
IF(Z276=regle!$C$11,regle!$C$23,
IF(Z276=regle!$D$11,regle!$D$23,
IF(Z276=regle!$E$11,regle!$E$23,
IF(Z276=regle!$F$11,regle!$F$23,
IF(Z276=regle!$G$11,regle!$G$23,
IF(Z276=regle!$H$11,regle!$H$23,
IF(Z276=regle!$I$11,regle!$I$23,
IF(Z276=regle!$J$11,regle!$J$23,
IF(Z276=regle!$K$11,regle!$K$23,0))))))))))))</f>
        <v>231.68</v>
      </c>
      <c r="AK276" s="16">
        <f>IF(OR(Q276=regle!$J$11,Q276=regle!$K$11),-2,IF(Q276=regle!$B$11,0,IF(AK$1=$AK$1,IF($O276,-1,regle!$B$2-$M276),IF(AJ276=-1,-1,AJ276+1))))</f>
        <v>18</v>
      </c>
      <c r="AL276" s="16">
        <f>IF(OR(R276=regle!$J$11,R276=regle!$K$11),-2,IF(R276=regle!$B$11,0,IF(AL$1=$AK$1,IF($O276,-1,regle!$B$2-$M276),IF(AK276=-1,-1,AK276+1))))</f>
        <v>19</v>
      </c>
      <c r="AM276" s="16">
        <f>IF(OR(S276=regle!$J$11,S276=regle!$K$11),-2,IF(S276=regle!$B$11,0,IF(AM$1=$AK$1,IF($O276,-1,regle!$B$2-$M276),IF(AL276=-1,-1,AL276+1))))</f>
        <v>20</v>
      </c>
      <c r="AN276" s="16">
        <f>IF(OR(T276=regle!$J$11,T276=regle!$K$11),-2,IF(T276=regle!$B$11,0,IF(AN$1=$AK$1,IF($O276,-1,regle!$B$2-$M276),IF(AM276=-1,-1,AM276+1))))</f>
        <v>21</v>
      </c>
      <c r="AO276" s="16">
        <f>IF(OR(U276=regle!$J$11,U276=regle!$K$11),-2,IF(U276=regle!$B$11,0,IF(AO$1=$AK$1,IF($O276,-1,regle!$B$2-$M276),IF(AN276=-1,-1,AN276+1))))</f>
        <v>22</v>
      </c>
      <c r="AP276" s="16">
        <f>IF(OR(V276=regle!$J$11,V276=regle!$K$11),-2,IF(V276=regle!$B$11,0,IF(AP$1=$AK$1,IF($O276,-1,regle!$B$2-$M276),IF(AO276=-1,-1,AO276+1))))</f>
        <v>23</v>
      </c>
      <c r="AQ276" s="16">
        <f>IF(OR(W276=regle!$J$11,W276=regle!$K$11),-2,IF(W276=regle!$B$11,0,IF(AQ$1=$AK$1,IF($O276,-1,regle!$B$2-$M276),IF(AP276=-1,-1,AP276+1))))</f>
        <v>24</v>
      </c>
      <c r="AR276" s="16">
        <f>IF(OR(X276=regle!$J$11,X276=regle!$K$11),-2,IF(X276=regle!$B$11,0,IF(AR$1=$AK$1,IF($O276,-1,regle!$B$2-$M276),IF(AQ276=-1,-1,AQ276+1))))</f>
        <v>25</v>
      </c>
      <c r="AS276" s="16">
        <f>IF(OR(Y276=regle!$J$11,Y276=regle!$K$11),-2,IF(Y276=regle!$B$11,0,IF(AS$1=$AK$1,IF($O276,-1,regle!$B$2-$M276),IF(AR276=-1,-1,AR276+1))))</f>
        <v>26</v>
      </c>
      <c r="AT276" s="16">
        <f>IF(OR(Z276=regle!$J$11,Z276=regle!$K$11),-2,IF(Z276=regle!$B$11,0,IF(AT$1=$AK$1,IF($O276,-1,regle!$B$2-$M276),IF(AS276=-1,-1,AS276+1))))</f>
        <v>27</v>
      </c>
    </row>
    <row r="277" spans="1:46" x14ac:dyDescent="0.25">
      <c r="A277" t="b">
        <f>modif0!A139</f>
        <v>1</v>
      </c>
      <c r="B277">
        <f>ROW(modif0!B139)</f>
        <v>139</v>
      </c>
      <c r="C277" t="str">
        <f>modif0!D139</f>
        <v>202</v>
      </c>
      <c r="D277" t="str">
        <f>modif0!E139</f>
        <v>HOSTENS</v>
      </c>
      <c r="E277">
        <f>modif0!F139</f>
        <v>11</v>
      </c>
      <c r="F277" t="str">
        <f>modif0!G139</f>
        <v>LES CAZALAS</v>
      </c>
      <c r="G277" t="str">
        <f>modif0!I139</f>
        <v>0B</v>
      </c>
      <c r="H277">
        <f>modif0!J139</f>
        <v>1162</v>
      </c>
      <c r="I277" t="str">
        <f>modif0!K139</f>
        <v/>
      </c>
      <c r="J277" s="11">
        <f>modif0!M139</f>
        <v>0.16800000000000001</v>
      </c>
      <c r="K277" s="11" t="str">
        <f>modif0!P139</f>
        <v>PLA</v>
      </c>
      <c r="L277" t="str">
        <f>modif0!N139</f>
        <v>PM</v>
      </c>
      <c r="M277">
        <f>modif0!Q139</f>
        <v>2006</v>
      </c>
      <c r="N277" t="str">
        <f>modif0!R139</f>
        <v>PLA-PM_2006</v>
      </c>
      <c r="O277" t="b">
        <f>modif0!S139</f>
        <v>0</v>
      </c>
      <c r="P277">
        <v>40</v>
      </c>
      <c r="Q277" t="s">
        <v>1804</v>
      </c>
      <c r="U277" t="s">
        <v>1805</v>
      </c>
      <c r="Z277" t="s">
        <v>1806</v>
      </c>
      <c r="AA277" s="17">
        <f>IF($A277,$J277*(IF(Q277=regle!$B$11,regle!$B$23*IF(AJ277=-2,1+regle!$B$35,1),
IF(Q277=regle!$C$11,regle!$C$23,
IF(Q277=regle!$D$11,regle!$D$23,
IF(Q277=regle!$E$11,regle!$E$23,
IF(Q277=regle!$F$11,regle!$F$23,
IF(Q277=regle!$G$11,regle!$G$23,
IF(Q277=regle!$H$11,regle!$H$23,
IF(Q277=regle!$I$11,regle!$I$23,
IF(Q277=regle!$J$11,regle!$J$23,
IF(Q277=regle!$K$11,regle!$K$23,0))))))))))))</f>
        <v>141.12</v>
      </c>
      <c r="AB277" s="17">
        <f>IF($A277,$J277*(IF(R277=regle!$B$11,regle!$B$23*IF(AK277=-2,1+regle!$B$35,1),
IF(R277=regle!$C$11,regle!$C$23,
IF(R277=regle!$D$11,regle!$D$23,
IF(R277=regle!$E$11,regle!$E$23,
IF(R277=regle!$F$11,regle!$F$23,
IF(R277=regle!$G$11,regle!$G$23,
IF(R277=regle!$H$11,regle!$H$23,
IF(R277=regle!$I$11,regle!$I$23,
IF(R277=regle!$J$11,regle!$J$23,
IF(R277=regle!$K$11,regle!$K$23,0))))))))))))</f>
        <v>0</v>
      </c>
      <c r="AC277" s="17">
        <f>IF($A277,$J277*(IF(S277=regle!$B$11,regle!$B$23*IF(AL277=-2,1+regle!$B$35,1),
IF(S277=regle!$C$11,regle!$C$23,
IF(S277=regle!$D$11,regle!$D$23,
IF(S277=regle!$E$11,regle!$E$23,
IF(S277=regle!$F$11,regle!$F$23,
IF(S277=regle!$G$11,regle!$G$23,
IF(S277=regle!$H$11,regle!$H$23,
IF(S277=regle!$I$11,regle!$I$23,
IF(S277=regle!$J$11,regle!$J$23,
IF(S277=regle!$K$11,regle!$K$23,0))))))))))))</f>
        <v>0</v>
      </c>
      <c r="AD277" s="17">
        <f>IF($A277,$J277*(IF(T277=regle!$B$11,regle!$B$23*IF(AM277=-2,1+regle!$B$35,1),
IF(T277=regle!$C$11,regle!$C$23,
IF(T277=regle!$D$11,regle!$D$23,
IF(T277=regle!$E$11,regle!$E$23,
IF(T277=regle!$F$11,regle!$F$23,
IF(T277=regle!$G$11,regle!$G$23,
IF(T277=regle!$H$11,regle!$H$23,
IF(T277=regle!$I$11,regle!$I$23,
IF(T277=regle!$J$11,regle!$J$23,
IF(T277=regle!$K$11,regle!$K$23,0))))))))))))</f>
        <v>0</v>
      </c>
      <c r="AE277" s="17">
        <f>IF($A277,$J277*(IF(U277=regle!$B$11,regle!$B$23*IF(AN277=-2,1+regle!$B$35,1),
IF(U277=regle!$C$11,regle!$C$23,
IF(U277=regle!$D$11,regle!$D$23,
IF(U277=regle!$E$11,regle!$E$23,
IF(U277=regle!$F$11,regle!$F$23,
IF(U277=regle!$G$11,regle!$G$23,
IF(U277=regle!$H$11,regle!$H$23,
IF(U277=regle!$I$11,regle!$I$23,
IF(U277=regle!$J$11,regle!$J$23,
IF(U277=regle!$K$11,regle!$K$23,0))))))))))))</f>
        <v>236.54400000000001</v>
      </c>
      <c r="AF277" s="17">
        <f>IF($A277,$J277*(IF(V277=regle!$B$11,regle!$B$23*IF(AO277=-2,1+regle!$B$35,1),
IF(V277=regle!$C$11,regle!$C$23,
IF(V277=regle!$D$11,regle!$D$23,
IF(V277=regle!$E$11,regle!$E$23,
IF(V277=regle!$F$11,regle!$F$23,
IF(V277=regle!$G$11,regle!$G$23,
IF(V277=regle!$H$11,regle!$H$23,
IF(V277=regle!$I$11,regle!$I$23,
IF(V277=regle!$J$11,regle!$J$23,
IF(V277=regle!$K$11,regle!$K$23,0))))))))))))</f>
        <v>0</v>
      </c>
      <c r="AG277" s="17">
        <f>IF($A277,$J277*(IF(W277=regle!$B$11,regle!$B$23*IF(AP277=-2,1+regle!$B$35,1),
IF(W277=regle!$C$11,regle!$C$23,
IF(W277=regle!$D$11,regle!$D$23,
IF(W277=regle!$E$11,regle!$E$23,
IF(W277=regle!$F$11,regle!$F$23,
IF(W277=regle!$G$11,regle!$G$23,
IF(W277=regle!$H$11,regle!$H$23,
IF(W277=regle!$I$11,regle!$I$23,
IF(W277=regle!$J$11,regle!$J$23,
IF(W277=regle!$K$11,regle!$K$23,0))))))))))))</f>
        <v>0</v>
      </c>
      <c r="AH277" s="17">
        <f>IF($A277,$J277*(IF(X277=regle!$B$11,regle!$B$23*IF(AQ277=-2,1+regle!$B$35,1),
IF(X277=regle!$C$11,regle!$C$23,
IF(X277=regle!$D$11,regle!$D$23,
IF(X277=regle!$E$11,regle!$E$23,
IF(X277=regle!$F$11,regle!$F$23,
IF(X277=regle!$G$11,regle!$G$23,
IF(X277=regle!$H$11,regle!$H$23,
IF(X277=regle!$I$11,regle!$I$23,
IF(X277=regle!$J$11,regle!$J$23,
IF(X277=regle!$K$11,regle!$K$23,0))))))))))))</f>
        <v>0</v>
      </c>
      <c r="AI277" s="17">
        <f>IF($A277,$J277*(IF(Y277=regle!$B$11,regle!$B$23*IF(AR277=-2,1+regle!$B$35,1),
IF(Y277=regle!$C$11,regle!$C$23,
IF(Y277=regle!$D$11,regle!$D$23,
IF(Y277=regle!$E$11,regle!$E$23,
IF(Y277=regle!$F$11,regle!$F$23,
IF(Y277=regle!$G$11,regle!$G$23,
IF(Y277=regle!$H$11,regle!$H$23,
IF(Y277=regle!$I$11,regle!$I$23,
IF(Y277=regle!$J$11,regle!$J$23,
IF(Y277=regle!$K$11,regle!$K$23,0))))))))))))</f>
        <v>0</v>
      </c>
      <c r="AJ277" s="17">
        <f>IF($A277,$J277*(IF(Z277=regle!$B$11,regle!$B$23*IF(AS277=-2,1+regle!$B$35,1),
IF(Z277=regle!$C$11,regle!$C$23,
IF(Z277=regle!$D$11,regle!$D$23,
IF(Z277=regle!$E$11,regle!$E$23,
IF(Z277=regle!$F$11,regle!$F$23,
IF(Z277=regle!$G$11,regle!$G$23,
IF(Z277=regle!$H$11,regle!$H$23,
IF(Z277=regle!$I$11,regle!$I$23,
IF(Z277=regle!$J$11,regle!$J$23,
IF(Z277=regle!$K$11,regle!$K$23,0))))))))))))</f>
        <v>215.04000000000002</v>
      </c>
      <c r="AK277" s="16">
        <f>IF(OR(Q277=regle!$J$11,Q277=regle!$K$11),-2,IF(Q277=regle!$B$11,0,IF(AK$1=$AK$1,IF($O277,-1,regle!$B$2-$M277),IF(AJ277=-1,-1,AJ277+1))))</f>
        <v>18</v>
      </c>
      <c r="AL277" s="16">
        <f>IF(OR(R277=regle!$J$11,R277=regle!$K$11),-2,IF(R277=regle!$B$11,0,IF(AL$1=$AK$1,IF($O277,-1,regle!$B$2-$M277),IF(AK277=-1,-1,AK277+1))))</f>
        <v>19</v>
      </c>
      <c r="AM277" s="16">
        <f>IF(OR(S277=regle!$J$11,S277=regle!$K$11),-2,IF(S277=regle!$B$11,0,IF(AM$1=$AK$1,IF($O277,-1,regle!$B$2-$M277),IF(AL277=-1,-1,AL277+1))))</f>
        <v>20</v>
      </c>
      <c r="AN277" s="16">
        <f>IF(OR(T277=regle!$J$11,T277=regle!$K$11),-2,IF(T277=regle!$B$11,0,IF(AN$1=$AK$1,IF($O277,-1,regle!$B$2-$M277),IF(AM277=-1,-1,AM277+1))))</f>
        <v>21</v>
      </c>
      <c r="AO277" s="16">
        <f>IF(OR(U277=regle!$J$11,U277=regle!$K$11),-2,IF(U277=regle!$B$11,0,IF(AO$1=$AK$1,IF($O277,-1,regle!$B$2-$M277),IF(AN277=-1,-1,AN277+1))))</f>
        <v>22</v>
      </c>
      <c r="AP277" s="16">
        <f>IF(OR(V277=regle!$J$11,V277=regle!$K$11),-2,IF(V277=regle!$B$11,0,IF(AP$1=$AK$1,IF($O277,-1,regle!$B$2-$M277),IF(AO277=-1,-1,AO277+1))))</f>
        <v>23</v>
      </c>
      <c r="AQ277" s="16">
        <f>IF(OR(W277=regle!$J$11,W277=regle!$K$11),-2,IF(W277=regle!$B$11,0,IF(AQ$1=$AK$1,IF($O277,-1,regle!$B$2-$M277),IF(AP277=-1,-1,AP277+1))))</f>
        <v>24</v>
      </c>
      <c r="AR277" s="16">
        <f>IF(OR(X277=regle!$J$11,X277=regle!$K$11),-2,IF(X277=regle!$B$11,0,IF(AR$1=$AK$1,IF($O277,-1,regle!$B$2-$M277),IF(AQ277=-1,-1,AQ277+1))))</f>
        <v>25</v>
      </c>
      <c r="AS277" s="16">
        <f>IF(OR(Y277=regle!$J$11,Y277=regle!$K$11),-2,IF(Y277=regle!$B$11,0,IF(AS$1=$AK$1,IF($O277,-1,regle!$B$2-$M277),IF(AR277=-1,-1,AR277+1))))</f>
        <v>26</v>
      </c>
      <c r="AT277" s="16">
        <f>IF(OR(Z277=regle!$J$11,Z277=regle!$K$11),-2,IF(Z277=regle!$B$11,0,IF(AT$1=$AK$1,IF($O277,-1,regle!$B$2-$M277),IF(AS277=-1,-1,AS277+1))))</f>
        <v>27</v>
      </c>
    </row>
    <row r="278" spans="1:46" x14ac:dyDescent="0.25">
      <c r="A278" t="b">
        <f>modif0!A143</f>
        <v>1</v>
      </c>
      <c r="B278">
        <f>ROW(modif0!B143)</f>
        <v>143</v>
      </c>
      <c r="C278" t="str">
        <f>modif0!D143</f>
        <v>202</v>
      </c>
      <c r="D278" t="str">
        <f>modif0!E143</f>
        <v>HOSTENS</v>
      </c>
      <c r="E278">
        <f>modif0!F143</f>
        <v>11</v>
      </c>
      <c r="F278" t="str">
        <f>modif0!G143</f>
        <v>LES CAZALAS</v>
      </c>
      <c r="G278" t="str">
        <f>modif0!I143</f>
        <v>0B</v>
      </c>
      <c r="H278">
        <f>modif0!J143</f>
        <v>1167</v>
      </c>
      <c r="I278" t="str">
        <f>modif0!K143</f>
        <v/>
      </c>
      <c r="J278" s="11">
        <f>modif0!M143</f>
        <v>0.156</v>
      </c>
      <c r="K278" s="11" t="str">
        <f>modif0!P143</f>
        <v>PLA</v>
      </c>
      <c r="L278" t="str">
        <f>modif0!N143</f>
        <v>PM</v>
      </c>
      <c r="M278">
        <f>modif0!Q143</f>
        <v>2006</v>
      </c>
      <c r="N278" t="str">
        <f>modif0!R143</f>
        <v>PLA-PM_2006</v>
      </c>
      <c r="O278" t="b">
        <f>modif0!S143</f>
        <v>0</v>
      </c>
      <c r="P278">
        <v>40</v>
      </c>
      <c r="Q278" t="s">
        <v>1804</v>
      </c>
      <c r="U278" t="s">
        <v>1805</v>
      </c>
      <c r="Z278" t="s">
        <v>1806</v>
      </c>
      <c r="AA278" s="17">
        <f>IF($A278,$J278*(IF(Q278=regle!$B$11,regle!$B$23*IF(AJ278=-2,1+regle!$B$35,1),
IF(Q278=regle!$C$11,regle!$C$23,
IF(Q278=regle!$D$11,regle!$D$23,
IF(Q278=regle!$E$11,regle!$E$23,
IF(Q278=regle!$F$11,regle!$F$23,
IF(Q278=regle!$G$11,regle!$G$23,
IF(Q278=regle!$H$11,regle!$H$23,
IF(Q278=regle!$I$11,regle!$I$23,
IF(Q278=regle!$J$11,regle!$J$23,
IF(Q278=regle!$K$11,regle!$K$23,0))))))))))))</f>
        <v>131.04</v>
      </c>
      <c r="AB278" s="17">
        <f>IF($A278,$J278*(IF(R278=regle!$B$11,regle!$B$23*IF(AK278=-2,1+regle!$B$35,1),
IF(R278=regle!$C$11,regle!$C$23,
IF(R278=regle!$D$11,regle!$D$23,
IF(R278=regle!$E$11,regle!$E$23,
IF(R278=regle!$F$11,regle!$F$23,
IF(R278=regle!$G$11,regle!$G$23,
IF(R278=regle!$H$11,regle!$H$23,
IF(R278=regle!$I$11,regle!$I$23,
IF(R278=regle!$J$11,regle!$J$23,
IF(R278=regle!$K$11,regle!$K$23,0))))))))))))</f>
        <v>0</v>
      </c>
      <c r="AC278" s="17">
        <f>IF($A278,$J278*(IF(S278=regle!$B$11,regle!$B$23*IF(AL278=-2,1+regle!$B$35,1),
IF(S278=regle!$C$11,regle!$C$23,
IF(S278=regle!$D$11,regle!$D$23,
IF(S278=regle!$E$11,regle!$E$23,
IF(S278=regle!$F$11,regle!$F$23,
IF(S278=regle!$G$11,regle!$G$23,
IF(S278=regle!$H$11,regle!$H$23,
IF(S278=regle!$I$11,regle!$I$23,
IF(S278=regle!$J$11,regle!$J$23,
IF(S278=regle!$K$11,regle!$K$23,0))))))))))))</f>
        <v>0</v>
      </c>
      <c r="AD278" s="17">
        <f>IF($A278,$J278*(IF(T278=regle!$B$11,regle!$B$23*IF(AM278=-2,1+regle!$B$35,1),
IF(T278=regle!$C$11,regle!$C$23,
IF(T278=regle!$D$11,regle!$D$23,
IF(T278=regle!$E$11,regle!$E$23,
IF(T278=regle!$F$11,regle!$F$23,
IF(T278=regle!$G$11,regle!$G$23,
IF(T278=regle!$H$11,regle!$H$23,
IF(T278=regle!$I$11,regle!$I$23,
IF(T278=regle!$J$11,regle!$J$23,
IF(T278=regle!$K$11,regle!$K$23,0))))))))))))</f>
        <v>0</v>
      </c>
      <c r="AE278" s="17">
        <f>IF($A278,$J278*(IF(U278=regle!$B$11,regle!$B$23*IF(AN278=-2,1+regle!$B$35,1),
IF(U278=regle!$C$11,regle!$C$23,
IF(U278=regle!$D$11,regle!$D$23,
IF(U278=regle!$E$11,regle!$E$23,
IF(U278=regle!$F$11,regle!$F$23,
IF(U278=regle!$G$11,regle!$G$23,
IF(U278=regle!$H$11,regle!$H$23,
IF(U278=regle!$I$11,regle!$I$23,
IF(U278=regle!$J$11,regle!$J$23,
IF(U278=regle!$K$11,regle!$K$23,0))))))))))))</f>
        <v>219.648</v>
      </c>
      <c r="AF278" s="17">
        <f>IF($A278,$J278*(IF(V278=regle!$B$11,regle!$B$23*IF(AO278=-2,1+regle!$B$35,1),
IF(V278=regle!$C$11,regle!$C$23,
IF(V278=regle!$D$11,regle!$D$23,
IF(V278=regle!$E$11,regle!$E$23,
IF(V278=regle!$F$11,regle!$F$23,
IF(V278=regle!$G$11,regle!$G$23,
IF(V278=regle!$H$11,regle!$H$23,
IF(V278=regle!$I$11,regle!$I$23,
IF(V278=regle!$J$11,regle!$J$23,
IF(V278=regle!$K$11,regle!$K$23,0))))))))))))</f>
        <v>0</v>
      </c>
      <c r="AG278" s="17">
        <f>IF($A278,$J278*(IF(W278=regle!$B$11,regle!$B$23*IF(AP278=-2,1+regle!$B$35,1),
IF(W278=regle!$C$11,regle!$C$23,
IF(W278=regle!$D$11,regle!$D$23,
IF(W278=regle!$E$11,regle!$E$23,
IF(W278=regle!$F$11,regle!$F$23,
IF(W278=regle!$G$11,regle!$G$23,
IF(W278=regle!$H$11,regle!$H$23,
IF(W278=regle!$I$11,regle!$I$23,
IF(W278=regle!$J$11,regle!$J$23,
IF(W278=regle!$K$11,regle!$K$23,0))))))))))))</f>
        <v>0</v>
      </c>
      <c r="AH278" s="17">
        <f>IF($A278,$J278*(IF(X278=regle!$B$11,regle!$B$23*IF(AQ278=-2,1+regle!$B$35,1),
IF(X278=regle!$C$11,regle!$C$23,
IF(X278=regle!$D$11,regle!$D$23,
IF(X278=regle!$E$11,regle!$E$23,
IF(X278=regle!$F$11,regle!$F$23,
IF(X278=regle!$G$11,regle!$G$23,
IF(X278=regle!$H$11,regle!$H$23,
IF(X278=regle!$I$11,regle!$I$23,
IF(X278=regle!$J$11,regle!$J$23,
IF(X278=regle!$K$11,regle!$K$23,0))))))))))))</f>
        <v>0</v>
      </c>
      <c r="AI278" s="17">
        <f>IF($A278,$J278*(IF(Y278=regle!$B$11,regle!$B$23*IF(AR278=-2,1+regle!$B$35,1),
IF(Y278=regle!$C$11,regle!$C$23,
IF(Y278=regle!$D$11,regle!$D$23,
IF(Y278=regle!$E$11,regle!$E$23,
IF(Y278=regle!$F$11,regle!$F$23,
IF(Y278=regle!$G$11,regle!$G$23,
IF(Y278=regle!$H$11,regle!$H$23,
IF(Y278=regle!$I$11,regle!$I$23,
IF(Y278=regle!$J$11,regle!$J$23,
IF(Y278=regle!$K$11,regle!$K$23,0))))))))))))</f>
        <v>0</v>
      </c>
      <c r="AJ278" s="17">
        <f>IF($A278,$J278*(IF(Z278=regle!$B$11,regle!$B$23*IF(AS278=-2,1+regle!$B$35,1),
IF(Z278=regle!$C$11,regle!$C$23,
IF(Z278=regle!$D$11,regle!$D$23,
IF(Z278=regle!$E$11,regle!$E$23,
IF(Z278=regle!$F$11,regle!$F$23,
IF(Z278=regle!$G$11,regle!$G$23,
IF(Z278=regle!$H$11,regle!$H$23,
IF(Z278=regle!$I$11,regle!$I$23,
IF(Z278=regle!$J$11,regle!$J$23,
IF(Z278=regle!$K$11,regle!$K$23,0))))))))))))</f>
        <v>199.68</v>
      </c>
      <c r="AK278" s="16">
        <f>IF(OR(Q278=regle!$J$11,Q278=regle!$K$11),-2,IF(Q278=regle!$B$11,0,IF(AK$1=$AK$1,IF($O278,-1,regle!$B$2-$M278),IF(AJ278=-1,-1,AJ278+1))))</f>
        <v>18</v>
      </c>
      <c r="AL278" s="16">
        <f>IF(OR(R278=regle!$J$11,R278=regle!$K$11),-2,IF(R278=regle!$B$11,0,IF(AL$1=$AK$1,IF($O278,-1,regle!$B$2-$M278),IF(AK278=-1,-1,AK278+1))))</f>
        <v>19</v>
      </c>
      <c r="AM278" s="16">
        <f>IF(OR(S278=regle!$J$11,S278=regle!$K$11),-2,IF(S278=regle!$B$11,0,IF(AM$1=$AK$1,IF($O278,-1,regle!$B$2-$M278),IF(AL278=-1,-1,AL278+1))))</f>
        <v>20</v>
      </c>
      <c r="AN278" s="16">
        <f>IF(OR(T278=regle!$J$11,T278=regle!$K$11),-2,IF(T278=regle!$B$11,0,IF(AN$1=$AK$1,IF($O278,-1,regle!$B$2-$M278),IF(AM278=-1,-1,AM278+1))))</f>
        <v>21</v>
      </c>
      <c r="AO278" s="16">
        <f>IF(OR(U278=regle!$J$11,U278=regle!$K$11),-2,IF(U278=regle!$B$11,0,IF(AO$1=$AK$1,IF($O278,-1,regle!$B$2-$M278),IF(AN278=-1,-1,AN278+1))))</f>
        <v>22</v>
      </c>
      <c r="AP278" s="16">
        <f>IF(OR(V278=regle!$J$11,V278=regle!$K$11),-2,IF(V278=regle!$B$11,0,IF(AP$1=$AK$1,IF($O278,-1,regle!$B$2-$M278),IF(AO278=-1,-1,AO278+1))))</f>
        <v>23</v>
      </c>
      <c r="AQ278" s="16">
        <f>IF(OR(W278=regle!$J$11,W278=regle!$K$11),-2,IF(W278=regle!$B$11,0,IF(AQ$1=$AK$1,IF($O278,-1,regle!$B$2-$M278),IF(AP278=-1,-1,AP278+1))))</f>
        <v>24</v>
      </c>
      <c r="AR278" s="16">
        <f>IF(OR(X278=regle!$J$11,X278=regle!$K$11),-2,IF(X278=regle!$B$11,0,IF(AR$1=$AK$1,IF($O278,-1,regle!$B$2-$M278),IF(AQ278=-1,-1,AQ278+1))))</f>
        <v>25</v>
      </c>
      <c r="AS278" s="16">
        <f>IF(OR(Y278=regle!$J$11,Y278=regle!$K$11),-2,IF(Y278=regle!$B$11,0,IF(AS$1=$AK$1,IF($O278,-1,regle!$B$2-$M278),IF(AR278=-1,-1,AR278+1))))</f>
        <v>26</v>
      </c>
      <c r="AT278" s="16">
        <f>IF(OR(Z278=regle!$J$11,Z278=regle!$K$11),-2,IF(Z278=regle!$B$11,0,IF(AT$1=$AK$1,IF($O278,-1,regle!$B$2-$M278),IF(AS278=-1,-1,AS278+1))))</f>
        <v>27</v>
      </c>
    </row>
    <row r="279" spans="1:46" x14ac:dyDescent="0.25">
      <c r="A279" t="b">
        <f>modif0!A149</f>
        <v>1</v>
      </c>
      <c r="B279">
        <f>ROW(modif0!B149)</f>
        <v>149</v>
      </c>
      <c r="C279" t="str">
        <f>modif0!D149</f>
        <v>202</v>
      </c>
      <c r="D279" t="str">
        <f>modif0!E149</f>
        <v>HOSTENS</v>
      </c>
      <c r="E279">
        <f>modif0!F149</f>
        <v>11</v>
      </c>
      <c r="F279" t="str">
        <f>modif0!G149</f>
        <v>LES CAZALAS</v>
      </c>
      <c r="G279" t="str">
        <f>modif0!I149</f>
        <v>0B</v>
      </c>
      <c r="H279">
        <f>modif0!J149</f>
        <v>1173</v>
      </c>
      <c r="I279" t="str">
        <f>modif0!K149</f>
        <v/>
      </c>
      <c r="J279" s="11">
        <f>modif0!M149</f>
        <v>0.156</v>
      </c>
      <c r="K279" s="11" t="str">
        <f>modif0!P149</f>
        <v>PLA</v>
      </c>
      <c r="L279" t="str">
        <f>modif0!N149</f>
        <v>PM</v>
      </c>
      <c r="M279">
        <f>modif0!Q149</f>
        <v>2006</v>
      </c>
      <c r="N279" t="str">
        <f>modif0!R149</f>
        <v>PLA-PM_2006</v>
      </c>
      <c r="O279" t="b">
        <f>modif0!S149</f>
        <v>0</v>
      </c>
      <c r="P279">
        <v>40</v>
      </c>
      <c r="Q279" t="s">
        <v>1804</v>
      </c>
      <c r="U279" t="s">
        <v>1805</v>
      </c>
      <c r="Z279" t="s">
        <v>1806</v>
      </c>
      <c r="AA279" s="17">
        <f>IF($A279,$J279*(IF(Q279=regle!$B$11,regle!$B$23*IF(AJ279=-2,1+regle!$B$35,1),
IF(Q279=regle!$C$11,regle!$C$23,
IF(Q279=regle!$D$11,regle!$D$23,
IF(Q279=regle!$E$11,regle!$E$23,
IF(Q279=regle!$F$11,regle!$F$23,
IF(Q279=regle!$G$11,regle!$G$23,
IF(Q279=regle!$H$11,regle!$H$23,
IF(Q279=regle!$I$11,regle!$I$23,
IF(Q279=regle!$J$11,regle!$J$23,
IF(Q279=regle!$K$11,regle!$K$23,0))))))))))))</f>
        <v>131.04</v>
      </c>
      <c r="AB279" s="17">
        <f>IF($A279,$J279*(IF(R279=regle!$B$11,regle!$B$23*IF(AK279=-2,1+regle!$B$35,1),
IF(R279=regle!$C$11,regle!$C$23,
IF(R279=regle!$D$11,regle!$D$23,
IF(R279=regle!$E$11,regle!$E$23,
IF(R279=regle!$F$11,regle!$F$23,
IF(R279=regle!$G$11,regle!$G$23,
IF(R279=regle!$H$11,regle!$H$23,
IF(R279=regle!$I$11,regle!$I$23,
IF(R279=regle!$J$11,regle!$J$23,
IF(R279=regle!$K$11,regle!$K$23,0))))))))))))</f>
        <v>0</v>
      </c>
      <c r="AC279" s="17">
        <f>IF($A279,$J279*(IF(S279=regle!$B$11,regle!$B$23*IF(AL279=-2,1+regle!$B$35,1),
IF(S279=regle!$C$11,regle!$C$23,
IF(S279=regle!$D$11,regle!$D$23,
IF(S279=regle!$E$11,regle!$E$23,
IF(S279=regle!$F$11,regle!$F$23,
IF(S279=regle!$G$11,regle!$G$23,
IF(S279=regle!$H$11,regle!$H$23,
IF(S279=regle!$I$11,regle!$I$23,
IF(S279=regle!$J$11,regle!$J$23,
IF(S279=regle!$K$11,regle!$K$23,0))))))))))))</f>
        <v>0</v>
      </c>
      <c r="AD279" s="17">
        <f>IF($A279,$J279*(IF(T279=regle!$B$11,regle!$B$23*IF(AM279=-2,1+regle!$B$35,1),
IF(T279=regle!$C$11,regle!$C$23,
IF(T279=regle!$D$11,regle!$D$23,
IF(T279=regle!$E$11,regle!$E$23,
IF(T279=regle!$F$11,regle!$F$23,
IF(T279=regle!$G$11,regle!$G$23,
IF(T279=regle!$H$11,regle!$H$23,
IF(T279=regle!$I$11,regle!$I$23,
IF(T279=regle!$J$11,regle!$J$23,
IF(T279=regle!$K$11,regle!$K$23,0))))))))))))</f>
        <v>0</v>
      </c>
      <c r="AE279" s="17">
        <f>IF($A279,$J279*(IF(U279=regle!$B$11,regle!$B$23*IF(AN279=-2,1+regle!$B$35,1),
IF(U279=regle!$C$11,regle!$C$23,
IF(U279=regle!$D$11,regle!$D$23,
IF(U279=regle!$E$11,regle!$E$23,
IF(U279=regle!$F$11,regle!$F$23,
IF(U279=regle!$G$11,regle!$G$23,
IF(U279=regle!$H$11,regle!$H$23,
IF(U279=regle!$I$11,regle!$I$23,
IF(U279=regle!$J$11,regle!$J$23,
IF(U279=regle!$K$11,regle!$K$23,0))))))))))))</f>
        <v>219.648</v>
      </c>
      <c r="AF279" s="17">
        <f>IF($A279,$J279*(IF(V279=regle!$B$11,regle!$B$23*IF(AO279=-2,1+regle!$B$35,1),
IF(V279=regle!$C$11,regle!$C$23,
IF(V279=regle!$D$11,regle!$D$23,
IF(V279=regle!$E$11,regle!$E$23,
IF(V279=regle!$F$11,regle!$F$23,
IF(V279=regle!$G$11,regle!$G$23,
IF(V279=regle!$H$11,regle!$H$23,
IF(V279=regle!$I$11,regle!$I$23,
IF(V279=regle!$J$11,regle!$J$23,
IF(V279=regle!$K$11,regle!$K$23,0))))))))))))</f>
        <v>0</v>
      </c>
      <c r="AG279" s="17">
        <f>IF($A279,$J279*(IF(W279=regle!$B$11,regle!$B$23*IF(AP279=-2,1+regle!$B$35,1),
IF(W279=regle!$C$11,regle!$C$23,
IF(W279=regle!$D$11,regle!$D$23,
IF(W279=regle!$E$11,regle!$E$23,
IF(W279=regle!$F$11,regle!$F$23,
IF(W279=regle!$G$11,regle!$G$23,
IF(W279=regle!$H$11,regle!$H$23,
IF(W279=regle!$I$11,regle!$I$23,
IF(W279=regle!$J$11,regle!$J$23,
IF(W279=regle!$K$11,regle!$K$23,0))))))))))))</f>
        <v>0</v>
      </c>
      <c r="AH279" s="17">
        <f>IF($A279,$J279*(IF(X279=regle!$B$11,regle!$B$23*IF(AQ279=-2,1+regle!$B$35,1),
IF(X279=regle!$C$11,regle!$C$23,
IF(X279=regle!$D$11,regle!$D$23,
IF(X279=regle!$E$11,regle!$E$23,
IF(X279=regle!$F$11,regle!$F$23,
IF(X279=regle!$G$11,regle!$G$23,
IF(X279=regle!$H$11,regle!$H$23,
IF(X279=regle!$I$11,regle!$I$23,
IF(X279=regle!$J$11,regle!$J$23,
IF(X279=regle!$K$11,regle!$K$23,0))))))))))))</f>
        <v>0</v>
      </c>
      <c r="AI279" s="17">
        <f>IF($A279,$J279*(IF(Y279=regle!$B$11,regle!$B$23*IF(AR279=-2,1+regle!$B$35,1),
IF(Y279=regle!$C$11,regle!$C$23,
IF(Y279=regle!$D$11,regle!$D$23,
IF(Y279=regle!$E$11,regle!$E$23,
IF(Y279=regle!$F$11,regle!$F$23,
IF(Y279=regle!$G$11,regle!$G$23,
IF(Y279=regle!$H$11,regle!$H$23,
IF(Y279=regle!$I$11,regle!$I$23,
IF(Y279=regle!$J$11,regle!$J$23,
IF(Y279=regle!$K$11,regle!$K$23,0))))))))))))</f>
        <v>0</v>
      </c>
      <c r="AJ279" s="17">
        <f>IF($A279,$J279*(IF(Z279=regle!$B$11,regle!$B$23*IF(AS279=-2,1+regle!$B$35,1),
IF(Z279=regle!$C$11,regle!$C$23,
IF(Z279=regle!$D$11,regle!$D$23,
IF(Z279=regle!$E$11,regle!$E$23,
IF(Z279=regle!$F$11,regle!$F$23,
IF(Z279=regle!$G$11,regle!$G$23,
IF(Z279=regle!$H$11,regle!$H$23,
IF(Z279=regle!$I$11,regle!$I$23,
IF(Z279=regle!$J$11,regle!$J$23,
IF(Z279=regle!$K$11,regle!$K$23,0))))))))))))</f>
        <v>199.68</v>
      </c>
      <c r="AK279" s="16">
        <f>IF(OR(Q279=regle!$J$11,Q279=regle!$K$11),-2,IF(Q279=regle!$B$11,0,IF(AK$1=$AK$1,IF($O279,-1,regle!$B$2-$M279),IF(AJ279=-1,-1,AJ279+1))))</f>
        <v>18</v>
      </c>
      <c r="AL279" s="16">
        <f>IF(OR(R279=regle!$J$11,R279=regle!$K$11),-2,IF(R279=regle!$B$11,0,IF(AL$1=$AK$1,IF($O279,-1,regle!$B$2-$M279),IF(AK279=-1,-1,AK279+1))))</f>
        <v>19</v>
      </c>
      <c r="AM279" s="16">
        <f>IF(OR(S279=regle!$J$11,S279=regle!$K$11),-2,IF(S279=regle!$B$11,0,IF(AM$1=$AK$1,IF($O279,-1,regle!$B$2-$M279),IF(AL279=-1,-1,AL279+1))))</f>
        <v>20</v>
      </c>
      <c r="AN279" s="16">
        <f>IF(OR(T279=regle!$J$11,T279=regle!$K$11),-2,IF(T279=regle!$B$11,0,IF(AN$1=$AK$1,IF($O279,-1,regle!$B$2-$M279),IF(AM279=-1,-1,AM279+1))))</f>
        <v>21</v>
      </c>
      <c r="AO279" s="16">
        <f>IF(OR(U279=regle!$J$11,U279=regle!$K$11),-2,IF(U279=regle!$B$11,0,IF(AO$1=$AK$1,IF($O279,-1,regle!$B$2-$M279),IF(AN279=-1,-1,AN279+1))))</f>
        <v>22</v>
      </c>
      <c r="AP279" s="16">
        <f>IF(OR(V279=regle!$J$11,V279=regle!$K$11),-2,IF(V279=regle!$B$11,0,IF(AP$1=$AK$1,IF($O279,-1,regle!$B$2-$M279),IF(AO279=-1,-1,AO279+1))))</f>
        <v>23</v>
      </c>
      <c r="AQ279" s="16">
        <f>IF(OR(W279=regle!$J$11,W279=regle!$K$11),-2,IF(W279=regle!$B$11,0,IF(AQ$1=$AK$1,IF($O279,-1,regle!$B$2-$M279),IF(AP279=-1,-1,AP279+1))))</f>
        <v>24</v>
      </c>
      <c r="AR279" s="16">
        <f>IF(OR(X279=regle!$J$11,X279=regle!$K$11),-2,IF(X279=regle!$B$11,0,IF(AR$1=$AK$1,IF($O279,-1,regle!$B$2-$M279),IF(AQ279=-1,-1,AQ279+1))))</f>
        <v>25</v>
      </c>
      <c r="AS279" s="16">
        <f>IF(OR(Y279=regle!$J$11,Y279=regle!$K$11),-2,IF(Y279=regle!$B$11,0,IF(AS$1=$AK$1,IF($O279,-1,regle!$B$2-$M279),IF(AR279=-1,-1,AR279+1))))</f>
        <v>26</v>
      </c>
      <c r="AT279" s="16">
        <f>IF(OR(Z279=regle!$J$11,Z279=regle!$K$11),-2,IF(Z279=regle!$B$11,0,IF(AT$1=$AK$1,IF($O279,-1,regle!$B$2-$M279),IF(AS279=-1,-1,AS279+1))))</f>
        <v>27</v>
      </c>
    </row>
    <row r="280" spans="1:46" x14ac:dyDescent="0.25">
      <c r="A280" t="b">
        <f>modif0!A117</f>
        <v>1</v>
      </c>
      <c r="B280">
        <f>ROW(modif0!B117)</f>
        <v>117</v>
      </c>
      <c r="C280" t="str">
        <f>modif0!D117</f>
        <v>202</v>
      </c>
      <c r="D280" t="str">
        <f>modif0!E117</f>
        <v>HOSTENS</v>
      </c>
      <c r="E280">
        <f>modif0!F117</f>
        <v>11</v>
      </c>
      <c r="F280" t="str">
        <f>modif0!G117</f>
        <v>LES CAZALAS</v>
      </c>
      <c r="G280" t="str">
        <f>modif0!I117</f>
        <v>0B</v>
      </c>
      <c r="H280">
        <f>modif0!J117</f>
        <v>1149</v>
      </c>
      <c r="I280" t="str">
        <f>modif0!K117</f>
        <v>j</v>
      </c>
      <c r="J280" s="11">
        <f>modif0!M117</f>
        <v>0.15079999999999999</v>
      </c>
      <c r="K280" s="11" t="str">
        <f>modif0!P117</f>
        <v>PLA</v>
      </c>
      <c r="L280" t="str">
        <f>modif0!N117</f>
        <v>PM</v>
      </c>
      <c r="M280">
        <f>modif0!Q117</f>
        <v>2006</v>
      </c>
      <c r="N280" t="str">
        <f>modif0!R117</f>
        <v>PLA-PM_2006</v>
      </c>
      <c r="O280" t="b">
        <f>modif0!S117</f>
        <v>0</v>
      </c>
      <c r="P280">
        <v>40</v>
      </c>
      <c r="Q280" t="s">
        <v>1804</v>
      </c>
      <c r="U280" t="s">
        <v>1805</v>
      </c>
      <c r="Z280" t="s">
        <v>1806</v>
      </c>
      <c r="AA280" s="17">
        <f>IF($A280,$J280*(IF(Q280=regle!$B$11,regle!$B$23*IF(AJ280=-2,1+regle!$B$35,1),
IF(Q280=regle!$C$11,regle!$C$23,
IF(Q280=regle!$D$11,regle!$D$23,
IF(Q280=regle!$E$11,regle!$E$23,
IF(Q280=regle!$F$11,regle!$F$23,
IF(Q280=regle!$G$11,regle!$G$23,
IF(Q280=regle!$H$11,regle!$H$23,
IF(Q280=regle!$I$11,regle!$I$23,
IF(Q280=regle!$J$11,regle!$J$23,
IF(Q280=regle!$K$11,regle!$K$23,0))))))))))))</f>
        <v>126.672</v>
      </c>
      <c r="AB280" s="17">
        <f>IF($A280,$J280*(IF(R280=regle!$B$11,regle!$B$23*IF(AK280=-2,1+regle!$B$35,1),
IF(R280=regle!$C$11,regle!$C$23,
IF(R280=regle!$D$11,regle!$D$23,
IF(R280=regle!$E$11,regle!$E$23,
IF(R280=regle!$F$11,regle!$F$23,
IF(R280=regle!$G$11,regle!$G$23,
IF(R280=regle!$H$11,regle!$H$23,
IF(R280=regle!$I$11,regle!$I$23,
IF(R280=regle!$J$11,regle!$J$23,
IF(R280=regle!$K$11,regle!$K$23,0))))))))))))</f>
        <v>0</v>
      </c>
      <c r="AC280" s="17">
        <f>IF($A280,$J280*(IF(S280=regle!$B$11,regle!$B$23*IF(AL280=-2,1+regle!$B$35,1),
IF(S280=regle!$C$11,regle!$C$23,
IF(S280=regle!$D$11,regle!$D$23,
IF(S280=regle!$E$11,regle!$E$23,
IF(S280=regle!$F$11,regle!$F$23,
IF(S280=regle!$G$11,regle!$G$23,
IF(S280=regle!$H$11,regle!$H$23,
IF(S280=regle!$I$11,regle!$I$23,
IF(S280=regle!$J$11,regle!$J$23,
IF(S280=regle!$K$11,regle!$K$23,0))))))))))))</f>
        <v>0</v>
      </c>
      <c r="AD280" s="17">
        <f>IF($A280,$J280*(IF(T280=regle!$B$11,regle!$B$23*IF(AM280=-2,1+regle!$B$35,1),
IF(T280=regle!$C$11,regle!$C$23,
IF(T280=regle!$D$11,regle!$D$23,
IF(T280=regle!$E$11,regle!$E$23,
IF(T280=regle!$F$11,regle!$F$23,
IF(T280=regle!$G$11,regle!$G$23,
IF(T280=regle!$H$11,regle!$H$23,
IF(T280=regle!$I$11,regle!$I$23,
IF(T280=regle!$J$11,regle!$J$23,
IF(T280=regle!$K$11,regle!$K$23,0))))))))))))</f>
        <v>0</v>
      </c>
      <c r="AE280" s="17">
        <f>IF($A280,$J280*(IF(U280=regle!$B$11,regle!$B$23*IF(AN280=-2,1+regle!$B$35,1),
IF(U280=regle!$C$11,regle!$C$23,
IF(U280=regle!$D$11,regle!$D$23,
IF(U280=regle!$E$11,regle!$E$23,
IF(U280=regle!$F$11,regle!$F$23,
IF(U280=regle!$G$11,regle!$G$23,
IF(U280=regle!$H$11,regle!$H$23,
IF(U280=regle!$I$11,regle!$I$23,
IF(U280=regle!$J$11,regle!$J$23,
IF(U280=regle!$K$11,regle!$K$23,0))))))))))))</f>
        <v>212.32639999999998</v>
      </c>
      <c r="AF280" s="17">
        <f>IF($A280,$J280*(IF(V280=regle!$B$11,regle!$B$23*IF(AO280=-2,1+regle!$B$35,1),
IF(V280=regle!$C$11,regle!$C$23,
IF(V280=regle!$D$11,regle!$D$23,
IF(V280=regle!$E$11,regle!$E$23,
IF(V280=regle!$F$11,regle!$F$23,
IF(V280=regle!$G$11,regle!$G$23,
IF(V280=regle!$H$11,regle!$H$23,
IF(V280=regle!$I$11,regle!$I$23,
IF(V280=regle!$J$11,regle!$J$23,
IF(V280=regle!$K$11,regle!$K$23,0))))))))))))</f>
        <v>0</v>
      </c>
      <c r="AG280" s="17">
        <f>IF($A280,$J280*(IF(W280=regle!$B$11,regle!$B$23*IF(AP280=-2,1+regle!$B$35,1),
IF(W280=regle!$C$11,regle!$C$23,
IF(W280=regle!$D$11,regle!$D$23,
IF(W280=regle!$E$11,regle!$E$23,
IF(W280=regle!$F$11,regle!$F$23,
IF(W280=regle!$G$11,regle!$G$23,
IF(W280=regle!$H$11,regle!$H$23,
IF(W280=regle!$I$11,regle!$I$23,
IF(W280=regle!$J$11,regle!$J$23,
IF(W280=regle!$K$11,regle!$K$23,0))))))))))))</f>
        <v>0</v>
      </c>
      <c r="AH280" s="17">
        <f>IF($A280,$J280*(IF(X280=regle!$B$11,regle!$B$23*IF(AQ280=-2,1+regle!$B$35,1),
IF(X280=regle!$C$11,regle!$C$23,
IF(X280=regle!$D$11,regle!$D$23,
IF(X280=regle!$E$11,regle!$E$23,
IF(X280=regle!$F$11,regle!$F$23,
IF(X280=regle!$G$11,regle!$G$23,
IF(X280=regle!$H$11,regle!$H$23,
IF(X280=regle!$I$11,regle!$I$23,
IF(X280=regle!$J$11,regle!$J$23,
IF(X280=regle!$K$11,regle!$K$23,0))))))))))))</f>
        <v>0</v>
      </c>
      <c r="AI280" s="17">
        <f>IF($A280,$J280*(IF(Y280=regle!$B$11,regle!$B$23*IF(AR280=-2,1+regle!$B$35,1),
IF(Y280=regle!$C$11,regle!$C$23,
IF(Y280=regle!$D$11,regle!$D$23,
IF(Y280=regle!$E$11,regle!$E$23,
IF(Y280=regle!$F$11,regle!$F$23,
IF(Y280=regle!$G$11,regle!$G$23,
IF(Y280=regle!$H$11,regle!$H$23,
IF(Y280=regle!$I$11,regle!$I$23,
IF(Y280=regle!$J$11,regle!$J$23,
IF(Y280=regle!$K$11,regle!$K$23,0))))))))))))</f>
        <v>0</v>
      </c>
      <c r="AJ280" s="17">
        <f>IF($A280,$J280*(IF(Z280=regle!$B$11,regle!$B$23*IF(AS280=-2,1+regle!$B$35,1),
IF(Z280=regle!$C$11,regle!$C$23,
IF(Z280=regle!$D$11,regle!$D$23,
IF(Z280=regle!$E$11,regle!$E$23,
IF(Z280=regle!$F$11,regle!$F$23,
IF(Z280=regle!$G$11,regle!$G$23,
IF(Z280=regle!$H$11,regle!$H$23,
IF(Z280=regle!$I$11,regle!$I$23,
IF(Z280=regle!$J$11,regle!$J$23,
IF(Z280=regle!$K$11,regle!$K$23,0))))))))))))</f>
        <v>193.024</v>
      </c>
      <c r="AK280" s="16">
        <f>IF(OR(Q280=regle!$J$11,Q280=regle!$K$11),-2,IF(Q280=regle!$B$11,0,IF(AK$1=$AK$1,IF($O280,-1,regle!$B$2-$M280),IF(AJ280=-1,-1,AJ280+1))))</f>
        <v>18</v>
      </c>
      <c r="AL280" s="16">
        <f>IF(OR(R280=regle!$J$11,R280=regle!$K$11),-2,IF(R280=regle!$B$11,0,IF(AL$1=$AK$1,IF($O280,-1,regle!$B$2-$M280),IF(AK280=-1,-1,AK280+1))))</f>
        <v>19</v>
      </c>
      <c r="AM280" s="16">
        <f>IF(OR(S280=regle!$J$11,S280=regle!$K$11),-2,IF(S280=regle!$B$11,0,IF(AM$1=$AK$1,IF($O280,-1,regle!$B$2-$M280),IF(AL280=-1,-1,AL280+1))))</f>
        <v>20</v>
      </c>
      <c r="AN280" s="16">
        <f>IF(OR(T280=regle!$J$11,T280=regle!$K$11),-2,IF(T280=regle!$B$11,0,IF(AN$1=$AK$1,IF($O280,-1,regle!$B$2-$M280),IF(AM280=-1,-1,AM280+1))))</f>
        <v>21</v>
      </c>
      <c r="AO280" s="16">
        <f>IF(OR(U280=regle!$J$11,U280=regle!$K$11),-2,IF(U280=regle!$B$11,0,IF(AO$1=$AK$1,IF($O280,-1,regle!$B$2-$M280),IF(AN280=-1,-1,AN280+1))))</f>
        <v>22</v>
      </c>
      <c r="AP280" s="16">
        <f>IF(OR(V280=regle!$J$11,V280=regle!$K$11),-2,IF(V280=regle!$B$11,0,IF(AP$1=$AK$1,IF($O280,-1,regle!$B$2-$M280),IF(AO280=-1,-1,AO280+1))))</f>
        <v>23</v>
      </c>
      <c r="AQ280" s="16">
        <f>IF(OR(W280=regle!$J$11,W280=regle!$K$11),-2,IF(W280=regle!$B$11,0,IF(AQ$1=$AK$1,IF($O280,-1,regle!$B$2-$M280),IF(AP280=-1,-1,AP280+1))))</f>
        <v>24</v>
      </c>
      <c r="AR280" s="16">
        <f>IF(OR(X280=regle!$J$11,X280=regle!$K$11),-2,IF(X280=regle!$B$11,0,IF(AR$1=$AK$1,IF($O280,-1,regle!$B$2-$M280),IF(AQ280=-1,-1,AQ280+1))))</f>
        <v>25</v>
      </c>
      <c r="AS280" s="16">
        <f>IF(OR(Y280=regle!$J$11,Y280=regle!$K$11),-2,IF(Y280=regle!$B$11,0,IF(AS$1=$AK$1,IF($O280,-1,regle!$B$2-$M280),IF(AR280=-1,-1,AR280+1))))</f>
        <v>26</v>
      </c>
      <c r="AT280" s="16">
        <f>IF(OR(Z280=regle!$J$11,Z280=regle!$K$11),-2,IF(Z280=regle!$B$11,0,IF(AT$1=$AK$1,IF($O280,-1,regle!$B$2-$M280),IF(AS280=-1,-1,AS280+1))))</f>
        <v>27</v>
      </c>
    </row>
    <row r="281" spans="1:46" x14ac:dyDescent="0.25">
      <c r="A281" t="b">
        <f>modif0!A176</f>
        <v>1</v>
      </c>
      <c r="B281">
        <f>ROW(modif0!B176)</f>
        <v>176</v>
      </c>
      <c r="C281" t="str">
        <f>modif0!D176</f>
        <v>202</v>
      </c>
      <c r="D281" t="str">
        <f>modif0!E176</f>
        <v>HOSTENS</v>
      </c>
      <c r="E281">
        <f>modif0!F176</f>
        <v>11</v>
      </c>
      <c r="F281" t="str">
        <f>modif0!G176</f>
        <v>LES CAZALAS</v>
      </c>
      <c r="G281" t="str">
        <f>modif0!I176</f>
        <v>0B</v>
      </c>
      <c r="H281">
        <f>modif0!J176</f>
        <v>1201</v>
      </c>
      <c r="I281" t="str">
        <f>modif0!K176</f>
        <v>j</v>
      </c>
      <c r="J281" s="11">
        <f>modif0!M176</f>
        <v>0.1205</v>
      </c>
      <c r="K281" s="11" t="str">
        <f>modif0!P176</f>
        <v>PLA</v>
      </c>
      <c r="L281" t="str">
        <f>modif0!N176</f>
        <v>PM</v>
      </c>
      <c r="M281">
        <f>modif0!Q176</f>
        <v>2006</v>
      </c>
      <c r="N281" t="str">
        <f>modif0!R176</f>
        <v>PLA-PM_2006</v>
      </c>
      <c r="O281" t="b">
        <f>modif0!S176</f>
        <v>0</v>
      </c>
      <c r="P281">
        <v>40</v>
      </c>
      <c r="Q281" t="s">
        <v>1804</v>
      </c>
      <c r="U281" t="s">
        <v>1805</v>
      </c>
      <c r="Z281" t="s">
        <v>1806</v>
      </c>
      <c r="AA281" s="17">
        <f>IF($A281,$J281*(IF(Q281=regle!$B$11,regle!$B$23*IF(AJ281=-2,1+regle!$B$35,1),
IF(Q281=regle!$C$11,regle!$C$23,
IF(Q281=regle!$D$11,regle!$D$23,
IF(Q281=regle!$E$11,regle!$E$23,
IF(Q281=regle!$F$11,regle!$F$23,
IF(Q281=regle!$G$11,regle!$G$23,
IF(Q281=regle!$H$11,regle!$H$23,
IF(Q281=regle!$I$11,regle!$I$23,
IF(Q281=regle!$J$11,regle!$J$23,
IF(Q281=regle!$K$11,regle!$K$23,0))))))))))))</f>
        <v>101.22</v>
      </c>
      <c r="AB281" s="17">
        <f>IF($A281,$J281*(IF(R281=regle!$B$11,regle!$B$23*IF(AK281=-2,1+regle!$B$35,1),
IF(R281=regle!$C$11,regle!$C$23,
IF(R281=regle!$D$11,regle!$D$23,
IF(R281=regle!$E$11,regle!$E$23,
IF(R281=regle!$F$11,regle!$F$23,
IF(R281=regle!$G$11,regle!$G$23,
IF(R281=regle!$H$11,regle!$H$23,
IF(R281=regle!$I$11,regle!$I$23,
IF(R281=regle!$J$11,regle!$J$23,
IF(R281=regle!$K$11,regle!$K$23,0))))))))))))</f>
        <v>0</v>
      </c>
      <c r="AC281" s="17">
        <f>IF($A281,$J281*(IF(S281=regle!$B$11,regle!$B$23*IF(AL281=-2,1+regle!$B$35,1),
IF(S281=regle!$C$11,regle!$C$23,
IF(S281=regle!$D$11,regle!$D$23,
IF(S281=regle!$E$11,regle!$E$23,
IF(S281=regle!$F$11,regle!$F$23,
IF(S281=regle!$G$11,regle!$G$23,
IF(S281=regle!$H$11,regle!$H$23,
IF(S281=regle!$I$11,regle!$I$23,
IF(S281=regle!$J$11,regle!$J$23,
IF(S281=regle!$K$11,regle!$K$23,0))))))))))))</f>
        <v>0</v>
      </c>
      <c r="AD281" s="17">
        <f>IF($A281,$J281*(IF(T281=regle!$B$11,regle!$B$23*IF(AM281=-2,1+regle!$B$35,1),
IF(T281=regle!$C$11,regle!$C$23,
IF(T281=regle!$D$11,regle!$D$23,
IF(T281=regle!$E$11,regle!$E$23,
IF(T281=regle!$F$11,regle!$F$23,
IF(T281=regle!$G$11,regle!$G$23,
IF(T281=regle!$H$11,regle!$H$23,
IF(T281=regle!$I$11,regle!$I$23,
IF(T281=regle!$J$11,regle!$J$23,
IF(T281=regle!$K$11,regle!$K$23,0))))))))))))</f>
        <v>0</v>
      </c>
      <c r="AE281" s="17">
        <f>IF($A281,$J281*(IF(U281=regle!$B$11,regle!$B$23*IF(AN281=-2,1+regle!$B$35,1),
IF(U281=regle!$C$11,regle!$C$23,
IF(U281=regle!$D$11,regle!$D$23,
IF(U281=regle!$E$11,regle!$E$23,
IF(U281=regle!$F$11,regle!$F$23,
IF(U281=regle!$G$11,regle!$G$23,
IF(U281=regle!$H$11,regle!$H$23,
IF(U281=regle!$I$11,regle!$I$23,
IF(U281=regle!$J$11,regle!$J$23,
IF(U281=regle!$K$11,regle!$K$23,0))))))))))))</f>
        <v>169.66399999999999</v>
      </c>
      <c r="AF281" s="17">
        <f>IF($A281,$J281*(IF(V281=regle!$B$11,regle!$B$23*IF(AO281=-2,1+regle!$B$35,1),
IF(V281=regle!$C$11,regle!$C$23,
IF(V281=regle!$D$11,regle!$D$23,
IF(V281=regle!$E$11,regle!$E$23,
IF(V281=regle!$F$11,regle!$F$23,
IF(V281=regle!$G$11,regle!$G$23,
IF(V281=regle!$H$11,regle!$H$23,
IF(V281=regle!$I$11,regle!$I$23,
IF(V281=regle!$J$11,regle!$J$23,
IF(V281=regle!$K$11,regle!$K$23,0))))))))))))</f>
        <v>0</v>
      </c>
      <c r="AG281" s="17">
        <f>IF($A281,$J281*(IF(W281=regle!$B$11,regle!$B$23*IF(AP281=-2,1+regle!$B$35,1),
IF(W281=regle!$C$11,regle!$C$23,
IF(W281=regle!$D$11,regle!$D$23,
IF(W281=regle!$E$11,regle!$E$23,
IF(W281=regle!$F$11,regle!$F$23,
IF(W281=regle!$G$11,regle!$G$23,
IF(W281=regle!$H$11,regle!$H$23,
IF(W281=regle!$I$11,regle!$I$23,
IF(W281=regle!$J$11,regle!$J$23,
IF(W281=regle!$K$11,regle!$K$23,0))))))))))))</f>
        <v>0</v>
      </c>
      <c r="AH281" s="17">
        <f>IF($A281,$J281*(IF(X281=regle!$B$11,regle!$B$23*IF(AQ281=-2,1+regle!$B$35,1),
IF(X281=regle!$C$11,regle!$C$23,
IF(X281=regle!$D$11,regle!$D$23,
IF(X281=regle!$E$11,regle!$E$23,
IF(X281=regle!$F$11,regle!$F$23,
IF(X281=regle!$G$11,regle!$G$23,
IF(X281=regle!$H$11,regle!$H$23,
IF(X281=regle!$I$11,regle!$I$23,
IF(X281=regle!$J$11,regle!$J$23,
IF(X281=regle!$K$11,regle!$K$23,0))))))))))))</f>
        <v>0</v>
      </c>
      <c r="AI281" s="17">
        <f>IF($A281,$J281*(IF(Y281=regle!$B$11,regle!$B$23*IF(AR281=-2,1+regle!$B$35,1),
IF(Y281=regle!$C$11,regle!$C$23,
IF(Y281=regle!$D$11,regle!$D$23,
IF(Y281=regle!$E$11,regle!$E$23,
IF(Y281=regle!$F$11,regle!$F$23,
IF(Y281=regle!$G$11,regle!$G$23,
IF(Y281=regle!$H$11,regle!$H$23,
IF(Y281=regle!$I$11,regle!$I$23,
IF(Y281=regle!$J$11,regle!$J$23,
IF(Y281=regle!$K$11,regle!$K$23,0))))))))))))</f>
        <v>0</v>
      </c>
      <c r="AJ281" s="17">
        <f>IF($A281,$J281*(IF(Z281=regle!$B$11,regle!$B$23*IF(AS281=-2,1+regle!$B$35,1),
IF(Z281=regle!$C$11,regle!$C$23,
IF(Z281=regle!$D$11,regle!$D$23,
IF(Z281=regle!$E$11,regle!$E$23,
IF(Z281=regle!$F$11,regle!$F$23,
IF(Z281=regle!$G$11,regle!$G$23,
IF(Z281=regle!$H$11,regle!$H$23,
IF(Z281=regle!$I$11,regle!$I$23,
IF(Z281=regle!$J$11,regle!$J$23,
IF(Z281=regle!$K$11,regle!$K$23,0))))))))))))</f>
        <v>154.24</v>
      </c>
      <c r="AK281" s="16">
        <f>IF(OR(Q281=regle!$J$11,Q281=regle!$K$11),-2,IF(Q281=regle!$B$11,0,IF(AK$1=$AK$1,IF($O281,-1,regle!$B$2-$M281),IF(AJ281=-1,-1,AJ281+1))))</f>
        <v>18</v>
      </c>
      <c r="AL281" s="16">
        <f>IF(OR(R281=regle!$J$11,R281=regle!$K$11),-2,IF(R281=regle!$B$11,0,IF(AL$1=$AK$1,IF($O281,-1,regle!$B$2-$M281),IF(AK281=-1,-1,AK281+1))))</f>
        <v>19</v>
      </c>
      <c r="AM281" s="16">
        <f>IF(OR(S281=regle!$J$11,S281=regle!$K$11),-2,IF(S281=regle!$B$11,0,IF(AM$1=$AK$1,IF($O281,-1,regle!$B$2-$M281),IF(AL281=-1,-1,AL281+1))))</f>
        <v>20</v>
      </c>
      <c r="AN281" s="16">
        <f>IF(OR(T281=regle!$J$11,T281=regle!$K$11),-2,IF(T281=regle!$B$11,0,IF(AN$1=$AK$1,IF($O281,-1,regle!$B$2-$M281),IF(AM281=-1,-1,AM281+1))))</f>
        <v>21</v>
      </c>
      <c r="AO281" s="16">
        <f>IF(OR(U281=regle!$J$11,U281=regle!$K$11),-2,IF(U281=regle!$B$11,0,IF(AO$1=$AK$1,IF($O281,-1,regle!$B$2-$M281),IF(AN281=-1,-1,AN281+1))))</f>
        <v>22</v>
      </c>
      <c r="AP281" s="16">
        <f>IF(OR(V281=regle!$J$11,V281=regle!$K$11),-2,IF(V281=regle!$B$11,0,IF(AP$1=$AK$1,IF($O281,-1,regle!$B$2-$M281),IF(AO281=-1,-1,AO281+1))))</f>
        <v>23</v>
      </c>
      <c r="AQ281" s="16">
        <f>IF(OR(W281=regle!$J$11,W281=regle!$K$11),-2,IF(W281=regle!$B$11,0,IF(AQ$1=$AK$1,IF($O281,-1,regle!$B$2-$M281),IF(AP281=-1,-1,AP281+1))))</f>
        <v>24</v>
      </c>
      <c r="AR281" s="16">
        <f>IF(OR(X281=regle!$J$11,X281=regle!$K$11),-2,IF(X281=regle!$B$11,0,IF(AR$1=$AK$1,IF($O281,-1,regle!$B$2-$M281),IF(AQ281=-1,-1,AQ281+1))))</f>
        <v>25</v>
      </c>
      <c r="AS281" s="16">
        <f>IF(OR(Y281=regle!$J$11,Y281=regle!$K$11),-2,IF(Y281=regle!$B$11,0,IF(AS$1=$AK$1,IF($O281,-1,regle!$B$2-$M281),IF(AR281=-1,-1,AR281+1))))</f>
        <v>26</v>
      </c>
      <c r="AT281" s="16">
        <f>IF(OR(Z281=regle!$J$11,Z281=regle!$K$11),-2,IF(Z281=regle!$B$11,0,IF(AT$1=$AK$1,IF($O281,-1,regle!$B$2-$M281),IF(AS281=-1,-1,AS281+1))))</f>
        <v>27</v>
      </c>
    </row>
    <row r="282" spans="1:46" x14ac:dyDescent="0.25">
      <c r="A282" t="b">
        <f>modif0!A147</f>
        <v>1</v>
      </c>
      <c r="B282">
        <f>ROW(modif0!B147)</f>
        <v>147</v>
      </c>
      <c r="C282" t="str">
        <f>modif0!D147</f>
        <v>202</v>
      </c>
      <c r="D282" t="str">
        <f>modif0!E147</f>
        <v>HOSTENS</v>
      </c>
      <c r="E282">
        <f>modif0!F147</f>
        <v>11</v>
      </c>
      <c r="F282" t="str">
        <f>modif0!G147</f>
        <v>LES CAZALAS</v>
      </c>
      <c r="G282" t="str">
        <f>modif0!I147</f>
        <v>0B</v>
      </c>
      <c r="H282">
        <f>modif0!J147</f>
        <v>1171</v>
      </c>
      <c r="I282" t="str">
        <f>modif0!K147</f>
        <v/>
      </c>
      <c r="J282" s="11">
        <f>modif0!M147</f>
        <v>9.7500000000000003E-2</v>
      </c>
      <c r="K282" s="11" t="str">
        <f>modif0!P147</f>
        <v>PLA</v>
      </c>
      <c r="L282" t="str">
        <f>modif0!N147</f>
        <v>PM</v>
      </c>
      <c r="M282">
        <f>modif0!Q147</f>
        <v>2006</v>
      </c>
      <c r="N282" t="str">
        <f>modif0!R147</f>
        <v>PLA-PM_2006</v>
      </c>
      <c r="O282" t="b">
        <f>modif0!S147</f>
        <v>0</v>
      </c>
      <c r="P282">
        <v>40</v>
      </c>
      <c r="Q282" t="s">
        <v>1804</v>
      </c>
      <c r="U282" t="s">
        <v>1805</v>
      </c>
      <c r="Z282" t="s">
        <v>1806</v>
      </c>
      <c r="AA282" s="17">
        <f>IF($A282,$J282*(IF(Q282=regle!$B$11,regle!$B$23*IF(AJ282=-2,1+regle!$B$35,1),
IF(Q282=regle!$C$11,regle!$C$23,
IF(Q282=regle!$D$11,regle!$D$23,
IF(Q282=regle!$E$11,regle!$E$23,
IF(Q282=regle!$F$11,regle!$F$23,
IF(Q282=regle!$G$11,regle!$G$23,
IF(Q282=regle!$H$11,regle!$H$23,
IF(Q282=regle!$I$11,regle!$I$23,
IF(Q282=regle!$J$11,regle!$J$23,
IF(Q282=regle!$K$11,regle!$K$23,0))))))))))))</f>
        <v>81.900000000000006</v>
      </c>
      <c r="AB282" s="17">
        <f>IF($A282,$J282*(IF(R282=regle!$B$11,regle!$B$23*IF(AK282=-2,1+regle!$B$35,1),
IF(R282=regle!$C$11,regle!$C$23,
IF(R282=regle!$D$11,regle!$D$23,
IF(R282=regle!$E$11,regle!$E$23,
IF(R282=regle!$F$11,regle!$F$23,
IF(R282=regle!$G$11,regle!$G$23,
IF(R282=regle!$H$11,regle!$H$23,
IF(R282=regle!$I$11,regle!$I$23,
IF(R282=regle!$J$11,regle!$J$23,
IF(R282=regle!$K$11,regle!$K$23,0))))))))))))</f>
        <v>0</v>
      </c>
      <c r="AC282" s="17">
        <f>IF($A282,$J282*(IF(S282=regle!$B$11,regle!$B$23*IF(AL282=-2,1+regle!$B$35,1),
IF(S282=regle!$C$11,regle!$C$23,
IF(S282=regle!$D$11,regle!$D$23,
IF(S282=regle!$E$11,regle!$E$23,
IF(S282=regle!$F$11,regle!$F$23,
IF(S282=regle!$G$11,regle!$G$23,
IF(S282=regle!$H$11,regle!$H$23,
IF(S282=regle!$I$11,regle!$I$23,
IF(S282=regle!$J$11,regle!$J$23,
IF(S282=regle!$K$11,regle!$K$23,0))))))))))))</f>
        <v>0</v>
      </c>
      <c r="AD282" s="17">
        <f>IF($A282,$J282*(IF(T282=regle!$B$11,regle!$B$23*IF(AM282=-2,1+regle!$B$35,1),
IF(T282=regle!$C$11,regle!$C$23,
IF(T282=regle!$D$11,regle!$D$23,
IF(T282=regle!$E$11,regle!$E$23,
IF(T282=regle!$F$11,regle!$F$23,
IF(T282=regle!$G$11,regle!$G$23,
IF(T282=regle!$H$11,regle!$H$23,
IF(T282=regle!$I$11,regle!$I$23,
IF(T282=regle!$J$11,regle!$J$23,
IF(T282=regle!$K$11,regle!$K$23,0))))))))))))</f>
        <v>0</v>
      </c>
      <c r="AE282" s="17">
        <f>IF($A282,$J282*(IF(U282=regle!$B$11,regle!$B$23*IF(AN282=-2,1+regle!$B$35,1),
IF(U282=regle!$C$11,regle!$C$23,
IF(U282=regle!$D$11,regle!$D$23,
IF(U282=regle!$E$11,regle!$E$23,
IF(U282=regle!$F$11,regle!$F$23,
IF(U282=regle!$G$11,regle!$G$23,
IF(U282=regle!$H$11,regle!$H$23,
IF(U282=regle!$I$11,regle!$I$23,
IF(U282=regle!$J$11,regle!$J$23,
IF(U282=regle!$K$11,regle!$K$23,0))))))))))))</f>
        <v>137.28</v>
      </c>
      <c r="AF282" s="17">
        <f>IF($A282,$J282*(IF(V282=regle!$B$11,regle!$B$23*IF(AO282=-2,1+regle!$B$35,1),
IF(V282=regle!$C$11,regle!$C$23,
IF(V282=regle!$D$11,regle!$D$23,
IF(V282=regle!$E$11,regle!$E$23,
IF(V282=regle!$F$11,regle!$F$23,
IF(V282=regle!$G$11,regle!$G$23,
IF(V282=regle!$H$11,regle!$H$23,
IF(V282=regle!$I$11,regle!$I$23,
IF(V282=regle!$J$11,regle!$J$23,
IF(V282=regle!$K$11,regle!$K$23,0))))))))))))</f>
        <v>0</v>
      </c>
      <c r="AG282" s="17">
        <f>IF($A282,$J282*(IF(W282=regle!$B$11,regle!$B$23*IF(AP282=-2,1+regle!$B$35,1),
IF(W282=regle!$C$11,regle!$C$23,
IF(W282=regle!$D$11,regle!$D$23,
IF(W282=regle!$E$11,regle!$E$23,
IF(W282=regle!$F$11,regle!$F$23,
IF(W282=regle!$G$11,regle!$G$23,
IF(W282=regle!$H$11,regle!$H$23,
IF(W282=regle!$I$11,regle!$I$23,
IF(W282=regle!$J$11,regle!$J$23,
IF(W282=regle!$K$11,regle!$K$23,0))))))))))))</f>
        <v>0</v>
      </c>
      <c r="AH282" s="17">
        <f>IF($A282,$J282*(IF(X282=regle!$B$11,regle!$B$23*IF(AQ282=-2,1+regle!$B$35,1),
IF(X282=regle!$C$11,regle!$C$23,
IF(X282=regle!$D$11,regle!$D$23,
IF(X282=regle!$E$11,regle!$E$23,
IF(X282=regle!$F$11,regle!$F$23,
IF(X282=regle!$G$11,regle!$G$23,
IF(X282=regle!$H$11,regle!$H$23,
IF(X282=regle!$I$11,regle!$I$23,
IF(X282=regle!$J$11,regle!$J$23,
IF(X282=regle!$K$11,regle!$K$23,0))))))))))))</f>
        <v>0</v>
      </c>
      <c r="AI282" s="17">
        <f>IF($A282,$J282*(IF(Y282=regle!$B$11,regle!$B$23*IF(AR282=-2,1+regle!$B$35,1),
IF(Y282=regle!$C$11,regle!$C$23,
IF(Y282=regle!$D$11,regle!$D$23,
IF(Y282=regle!$E$11,regle!$E$23,
IF(Y282=regle!$F$11,regle!$F$23,
IF(Y282=regle!$G$11,regle!$G$23,
IF(Y282=regle!$H$11,regle!$H$23,
IF(Y282=regle!$I$11,regle!$I$23,
IF(Y282=regle!$J$11,regle!$J$23,
IF(Y282=regle!$K$11,regle!$K$23,0))))))))))))</f>
        <v>0</v>
      </c>
      <c r="AJ282" s="17">
        <f>IF($A282,$J282*(IF(Z282=regle!$B$11,regle!$B$23*IF(AS282=-2,1+regle!$B$35,1),
IF(Z282=regle!$C$11,regle!$C$23,
IF(Z282=regle!$D$11,regle!$D$23,
IF(Z282=regle!$E$11,regle!$E$23,
IF(Z282=regle!$F$11,regle!$F$23,
IF(Z282=regle!$G$11,regle!$G$23,
IF(Z282=regle!$H$11,regle!$H$23,
IF(Z282=regle!$I$11,regle!$I$23,
IF(Z282=regle!$J$11,regle!$J$23,
IF(Z282=regle!$K$11,regle!$K$23,0))))))))))))</f>
        <v>124.80000000000001</v>
      </c>
      <c r="AK282" s="16">
        <f>IF(OR(Q282=regle!$J$11,Q282=regle!$K$11),-2,IF(Q282=regle!$B$11,0,IF(AK$1=$AK$1,IF($O282,-1,regle!$B$2-$M282),IF(AJ282=-1,-1,AJ282+1))))</f>
        <v>18</v>
      </c>
      <c r="AL282" s="16">
        <f>IF(OR(R282=regle!$J$11,R282=regle!$K$11),-2,IF(R282=regle!$B$11,0,IF(AL$1=$AK$1,IF($O282,-1,regle!$B$2-$M282),IF(AK282=-1,-1,AK282+1))))</f>
        <v>19</v>
      </c>
      <c r="AM282" s="16">
        <f>IF(OR(S282=regle!$J$11,S282=regle!$K$11),-2,IF(S282=regle!$B$11,0,IF(AM$1=$AK$1,IF($O282,-1,regle!$B$2-$M282),IF(AL282=-1,-1,AL282+1))))</f>
        <v>20</v>
      </c>
      <c r="AN282" s="16">
        <f>IF(OR(T282=regle!$J$11,T282=regle!$K$11),-2,IF(T282=regle!$B$11,0,IF(AN$1=$AK$1,IF($O282,-1,regle!$B$2-$M282),IF(AM282=-1,-1,AM282+1))))</f>
        <v>21</v>
      </c>
      <c r="AO282" s="16">
        <f>IF(OR(U282=regle!$J$11,U282=regle!$K$11),-2,IF(U282=regle!$B$11,0,IF(AO$1=$AK$1,IF($O282,-1,regle!$B$2-$M282),IF(AN282=-1,-1,AN282+1))))</f>
        <v>22</v>
      </c>
      <c r="AP282" s="16">
        <f>IF(OR(V282=regle!$J$11,V282=regle!$K$11),-2,IF(V282=regle!$B$11,0,IF(AP$1=$AK$1,IF($O282,-1,regle!$B$2-$M282),IF(AO282=-1,-1,AO282+1))))</f>
        <v>23</v>
      </c>
      <c r="AQ282" s="16">
        <f>IF(OR(W282=regle!$J$11,W282=regle!$K$11),-2,IF(W282=regle!$B$11,0,IF(AQ$1=$AK$1,IF($O282,-1,regle!$B$2-$M282),IF(AP282=-1,-1,AP282+1))))</f>
        <v>24</v>
      </c>
      <c r="AR282" s="16">
        <f>IF(OR(X282=regle!$J$11,X282=regle!$K$11),-2,IF(X282=regle!$B$11,0,IF(AR$1=$AK$1,IF($O282,-1,regle!$B$2-$M282),IF(AQ282=-1,-1,AQ282+1))))</f>
        <v>25</v>
      </c>
      <c r="AS282" s="16">
        <f>IF(OR(Y282=regle!$J$11,Y282=regle!$K$11),-2,IF(Y282=regle!$B$11,0,IF(AS$1=$AK$1,IF($O282,-1,regle!$B$2-$M282),IF(AR282=-1,-1,AR282+1))))</f>
        <v>26</v>
      </c>
      <c r="AT282" s="16">
        <f>IF(OR(Z282=regle!$J$11,Z282=regle!$K$11),-2,IF(Z282=regle!$B$11,0,IF(AT$1=$AK$1,IF($O282,-1,regle!$B$2-$M282),IF(AS282=-1,-1,AS282+1))))</f>
        <v>27</v>
      </c>
    </row>
    <row r="283" spans="1:46" x14ac:dyDescent="0.25">
      <c r="A283" t="b">
        <f>modif0!A152</f>
        <v>1</v>
      </c>
      <c r="B283">
        <f>ROW(modif0!B152)</f>
        <v>152</v>
      </c>
      <c r="C283" t="str">
        <f>modif0!D152</f>
        <v>202</v>
      </c>
      <c r="D283" t="str">
        <f>modif0!E152</f>
        <v>HOSTENS</v>
      </c>
      <c r="E283">
        <f>modif0!F152</f>
        <v>11</v>
      </c>
      <c r="F283" t="str">
        <f>modif0!G152</f>
        <v>LES CAZALAS</v>
      </c>
      <c r="G283" t="str">
        <f>modif0!I152</f>
        <v>0B</v>
      </c>
      <c r="H283">
        <f>modif0!J152</f>
        <v>1176</v>
      </c>
      <c r="I283" t="str">
        <f>modif0!K152</f>
        <v/>
      </c>
      <c r="J283" s="11">
        <f>modif0!M152</f>
        <v>5.0500000000000003E-2</v>
      </c>
      <c r="K283" s="11" t="str">
        <f>modif0!P152</f>
        <v>PLA</v>
      </c>
      <c r="L283" t="str">
        <f>modif0!N152</f>
        <v>PM</v>
      </c>
      <c r="M283">
        <f>modif0!Q152</f>
        <v>2006</v>
      </c>
      <c r="N283" t="str">
        <f>modif0!R152</f>
        <v>PLA-PM_2006</v>
      </c>
      <c r="O283" t="b">
        <f>modif0!S152</f>
        <v>0</v>
      </c>
      <c r="P283">
        <v>40</v>
      </c>
      <c r="Q283" t="s">
        <v>1804</v>
      </c>
      <c r="U283" t="s">
        <v>1805</v>
      </c>
      <c r="Z283" t="s">
        <v>1806</v>
      </c>
      <c r="AA283" s="17">
        <f>IF($A283,$J283*(IF(Q283=regle!$B$11,regle!$B$23*IF(AJ283=-2,1+regle!$B$35,1),
IF(Q283=regle!$C$11,regle!$C$23,
IF(Q283=regle!$D$11,regle!$D$23,
IF(Q283=regle!$E$11,regle!$E$23,
IF(Q283=regle!$F$11,regle!$F$23,
IF(Q283=regle!$G$11,regle!$G$23,
IF(Q283=regle!$H$11,regle!$H$23,
IF(Q283=regle!$I$11,regle!$I$23,
IF(Q283=regle!$J$11,regle!$J$23,
IF(Q283=regle!$K$11,regle!$K$23,0))))))))))))</f>
        <v>42.42</v>
      </c>
      <c r="AB283" s="17">
        <f>IF($A283,$J283*(IF(R283=regle!$B$11,regle!$B$23*IF(AK283=-2,1+regle!$B$35,1),
IF(R283=regle!$C$11,regle!$C$23,
IF(R283=regle!$D$11,regle!$D$23,
IF(R283=regle!$E$11,regle!$E$23,
IF(R283=regle!$F$11,regle!$F$23,
IF(R283=regle!$G$11,regle!$G$23,
IF(R283=regle!$H$11,regle!$H$23,
IF(R283=regle!$I$11,regle!$I$23,
IF(R283=regle!$J$11,regle!$J$23,
IF(R283=regle!$K$11,regle!$K$23,0))))))))))))</f>
        <v>0</v>
      </c>
      <c r="AC283" s="17">
        <f>IF($A283,$J283*(IF(S283=regle!$B$11,regle!$B$23*IF(AL283=-2,1+regle!$B$35,1),
IF(S283=regle!$C$11,regle!$C$23,
IF(S283=regle!$D$11,regle!$D$23,
IF(S283=regle!$E$11,regle!$E$23,
IF(S283=regle!$F$11,regle!$F$23,
IF(S283=regle!$G$11,regle!$G$23,
IF(S283=regle!$H$11,regle!$H$23,
IF(S283=regle!$I$11,regle!$I$23,
IF(S283=regle!$J$11,regle!$J$23,
IF(S283=regle!$K$11,regle!$K$23,0))))))))))))</f>
        <v>0</v>
      </c>
      <c r="AD283" s="17">
        <f>IF($A283,$J283*(IF(T283=regle!$B$11,regle!$B$23*IF(AM283=-2,1+regle!$B$35,1),
IF(T283=regle!$C$11,regle!$C$23,
IF(T283=regle!$D$11,regle!$D$23,
IF(T283=regle!$E$11,regle!$E$23,
IF(T283=regle!$F$11,regle!$F$23,
IF(T283=regle!$G$11,regle!$G$23,
IF(T283=regle!$H$11,regle!$H$23,
IF(T283=regle!$I$11,regle!$I$23,
IF(T283=regle!$J$11,regle!$J$23,
IF(T283=regle!$K$11,regle!$K$23,0))))))))))))</f>
        <v>0</v>
      </c>
      <c r="AE283" s="17">
        <f>IF($A283,$J283*(IF(U283=regle!$B$11,regle!$B$23*IF(AN283=-2,1+regle!$B$35,1),
IF(U283=regle!$C$11,regle!$C$23,
IF(U283=regle!$D$11,regle!$D$23,
IF(U283=regle!$E$11,regle!$E$23,
IF(U283=regle!$F$11,regle!$F$23,
IF(U283=regle!$G$11,regle!$G$23,
IF(U283=regle!$H$11,regle!$H$23,
IF(U283=regle!$I$11,regle!$I$23,
IF(U283=regle!$J$11,regle!$J$23,
IF(U283=regle!$K$11,regle!$K$23,0))))))))))))</f>
        <v>71.103999999999999</v>
      </c>
      <c r="AF283" s="17">
        <f>IF($A283,$J283*(IF(V283=regle!$B$11,regle!$B$23*IF(AO283=-2,1+regle!$B$35,1),
IF(V283=regle!$C$11,regle!$C$23,
IF(V283=regle!$D$11,regle!$D$23,
IF(V283=regle!$E$11,regle!$E$23,
IF(V283=regle!$F$11,regle!$F$23,
IF(V283=regle!$G$11,regle!$G$23,
IF(V283=regle!$H$11,regle!$H$23,
IF(V283=regle!$I$11,regle!$I$23,
IF(V283=regle!$J$11,regle!$J$23,
IF(V283=regle!$K$11,regle!$K$23,0))))))))))))</f>
        <v>0</v>
      </c>
      <c r="AG283" s="17">
        <f>IF($A283,$J283*(IF(W283=regle!$B$11,regle!$B$23*IF(AP283=-2,1+regle!$B$35,1),
IF(W283=regle!$C$11,regle!$C$23,
IF(W283=regle!$D$11,regle!$D$23,
IF(W283=regle!$E$11,regle!$E$23,
IF(W283=regle!$F$11,regle!$F$23,
IF(W283=regle!$G$11,regle!$G$23,
IF(W283=regle!$H$11,regle!$H$23,
IF(W283=regle!$I$11,regle!$I$23,
IF(W283=regle!$J$11,regle!$J$23,
IF(W283=regle!$K$11,regle!$K$23,0))))))))))))</f>
        <v>0</v>
      </c>
      <c r="AH283" s="17">
        <f>IF($A283,$J283*(IF(X283=regle!$B$11,regle!$B$23*IF(AQ283=-2,1+regle!$B$35,1),
IF(X283=regle!$C$11,regle!$C$23,
IF(X283=regle!$D$11,regle!$D$23,
IF(X283=regle!$E$11,regle!$E$23,
IF(X283=regle!$F$11,regle!$F$23,
IF(X283=regle!$G$11,regle!$G$23,
IF(X283=regle!$H$11,regle!$H$23,
IF(X283=regle!$I$11,regle!$I$23,
IF(X283=regle!$J$11,regle!$J$23,
IF(X283=regle!$K$11,regle!$K$23,0))))))))))))</f>
        <v>0</v>
      </c>
      <c r="AI283" s="17">
        <f>IF($A283,$J283*(IF(Y283=regle!$B$11,regle!$B$23*IF(AR283=-2,1+regle!$B$35,1),
IF(Y283=regle!$C$11,regle!$C$23,
IF(Y283=regle!$D$11,regle!$D$23,
IF(Y283=regle!$E$11,regle!$E$23,
IF(Y283=regle!$F$11,regle!$F$23,
IF(Y283=regle!$G$11,regle!$G$23,
IF(Y283=regle!$H$11,regle!$H$23,
IF(Y283=regle!$I$11,regle!$I$23,
IF(Y283=regle!$J$11,regle!$J$23,
IF(Y283=regle!$K$11,regle!$K$23,0))))))))))))</f>
        <v>0</v>
      </c>
      <c r="AJ283" s="17">
        <f>IF($A283,$J283*(IF(Z283=regle!$B$11,regle!$B$23*IF(AS283=-2,1+regle!$B$35,1),
IF(Z283=regle!$C$11,regle!$C$23,
IF(Z283=regle!$D$11,regle!$D$23,
IF(Z283=regle!$E$11,regle!$E$23,
IF(Z283=regle!$F$11,regle!$F$23,
IF(Z283=regle!$G$11,regle!$G$23,
IF(Z283=regle!$H$11,regle!$H$23,
IF(Z283=regle!$I$11,regle!$I$23,
IF(Z283=regle!$J$11,regle!$J$23,
IF(Z283=regle!$K$11,regle!$K$23,0))))))))))))</f>
        <v>64.64</v>
      </c>
      <c r="AK283" s="16">
        <f>IF(OR(Q283=regle!$J$11,Q283=regle!$K$11),-2,IF(Q283=regle!$B$11,0,IF(AK$1=$AK$1,IF($O283,-1,regle!$B$2-$M283),IF(AJ283=-1,-1,AJ283+1))))</f>
        <v>18</v>
      </c>
      <c r="AL283" s="16">
        <f>IF(OR(R283=regle!$J$11,R283=regle!$K$11),-2,IF(R283=regle!$B$11,0,IF(AL$1=$AK$1,IF($O283,-1,regle!$B$2-$M283),IF(AK283=-1,-1,AK283+1))))</f>
        <v>19</v>
      </c>
      <c r="AM283" s="16">
        <f>IF(OR(S283=regle!$J$11,S283=regle!$K$11),-2,IF(S283=regle!$B$11,0,IF(AM$1=$AK$1,IF($O283,-1,regle!$B$2-$M283),IF(AL283=-1,-1,AL283+1))))</f>
        <v>20</v>
      </c>
      <c r="AN283" s="16">
        <f>IF(OR(T283=regle!$J$11,T283=regle!$K$11),-2,IF(T283=regle!$B$11,0,IF(AN$1=$AK$1,IF($O283,-1,regle!$B$2-$M283),IF(AM283=-1,-1,AM283+1))))</f>
        <v>21</v>
      </c>
      <c r="AO283" s="16">
        <f>IF(OR(U283=regle!$J$11,U283=regle!$K$11),-2,IF(U283=regle!$B$11,0,IF(AO$1=$AK$1,IF($O283,-1,regle!$B$2-$M283),IF(AN283=-1,-1,AN283+1))))</f>
        <v>22</v>
      </c>
      <c r="AP283" s="16">
        <f>IF(OR(V283=regle!$J$11,V283=regle!$K$11),-2,IF(V283=regle!$B$11,0,IF(AP$1=$AK$1,IF($O283,-1,regle!$B$2-$M283),IF(AO283=-1,-1,AO283+1))))</f>
        <v>23</v>
      </c>
      <c r="AQ283" s="16">
        <f>IF(OR(W283=regle!$J$11,W283=regle!$K$11),-2,IF(W283=regle!$B$11,0,IF(AQ$1=$AK$1,IF($O283,-1,regle!$B$2-$M283),IF(AP283=-1,-1,AP283+1))))</f>
        <v>24</v>
      </c>
      <c r="AR283" s="16">
        <f>IF(OR(X283=regle!$J$11,X283=regle!$K$11),-2,IF(X283=regle!$B$11,0,IF(AR$1=$AK$1,IF($O283,-1,regle!$B$2-$M283),IF(AQ283=-1,-1,AQ283+1))))</f>
        <v>25</v>
      </c>
      <c r="AS283" s="16">
        <f>IF(OR(Y283=regle!$J$11,Y283=regle!$K$11),-2,IF(Y283=regle!$B$11,0,IF(AS$1=$AK$1,IF($O283,-1,regle!$B$2-$M283),IF(AR283=-1,-1,AR283+1))))</f>
        <v>26</v>
      </c>
      <c r="AT283" s="16">
        <f>IF(OR(Z283=regle!$J$11,Z283=regle!$K$11),-2,IF(Z283=regle!$B$11,0,IF(AT$1=$AK$1,IF($O283,-1,regle!$B$2-$M283),IF(AS283=-1,-1,AS283+1))))</f>
        <v>27</v>
      </c>
    </row>
    <row r="284" spans="1:46" x14ac:dyDescent="0.25">
      <c r="A284" t="b">
        <f>modif0!A292</f>
        <v>1</v>
      </c>
      <c r="B284">
        <f>ROW(modif0!B292)</f>
        <v>292</v>
      </c>
      <c r="C284" t="str">
        <f>modif0!D292</f>
        <v>536</v>
      </c>
      <c r="D284" t="str">
        <f>modif0!E292</f>
        <v>LE TUZAN</v>
      </c>
      <c r="E284">
        <f>modif0!F292</f>
        <v>14</v>
      </c>
      <c r="F284" t="str">
        <f>modif0!G292</f>
        <v>TABARTON-OUEST</v>
      </c>
      <c r="G284" t="str">
        <f>modif0!I292</f>
        <v>0B</v>
      </c>
      <c r="H284">
        <f>modif0!J292</f>
        <v>659</v>
      </c>
      <c r="I284" t="str">
        <f>modif0!K292</f>
        <v>j</v>
      </c>
      <c r="J284" s="11">
        <f>modif0!M292</f>
        <v>9.4685000000000006</v>
      </c>
      <c r="K284" s="11" t="str">
        <f>modif0!P292</f>
        <v>PLA</v>
      </c>
      <c r="L284" t="str">
        <f>modif0!N292</f>
        <v>PM</v>
      </c>
      <c r="M284">
        <f>modif0!Q292</f>
        <v>2005</v>
      </c>
      <c r="N284" t="str">
        <f>modif0!R292</f>
        <v>PLA-PM_2005</v>
      </c>
      <c r="O284" t="b">
        <f>modif0!S292</f>
        <v>0</v>
      </c>
      <c r="P284">
        <v>40</v>
      </c>
      <c r="Z284" s="22" t="s">
        <v>1181</v>
      </c>
      <c r="AA284" s="17">
        <f>IF($A284,$J284*(IF(Q284=regle!$B$11,regle!$B$23*IF(AJ284=-2,1+regle!$B$35,1),
IF(Q284=regle!$C$11,regle!$C$23,
IF(Q284=regle!$D$11,regle!$D$23,
IF(Q284=regle!$E$11,regle!$E$23,
IF(Q284=regle!$F$11,regle!$F$23,
IF(Q284=regle!$G$11,regle!$G$23,
IF(Q284=regle!$H$11,regle!$H$23,
IF(Q284=regle!$I$11,regle!$I$23,
IF(Q284=regle!$J$11,regle!$J$23,
IF(Q284=regle!$K$11,regle!$K$23,0))))))))))))</f>
        <v>0</v>
      </c>
      <c r="AB284" s="17">
        <f>IF($A284,$J284*(IF(R284=regle!$B$11,regle!$B$23*IF(AK284=-2,1+regle!$B$35,1),
IF(R284=regle!$C$11,regle!$C$23,
IF(R284=regle!$D$11,regle!$D$23,
IF(R284=regle!$E$11,regle!$E$23,
IF(R284=regle!$F$11,regle!$F$23,
IF(R284=regle!$G$11,regle!$G$23,
IF(R284=regle!$H$11,regle!$H$23,
IF(R284=regle!$I$11,regle!$I$23,
IF(R284=regle!$J$11,regle!$J$23,
IF(R284=regle!$K$11,regle!$K$23,0))))))))))))</f>
        <v>0</v>
      </c>
      <c r="AC284" s="17">
        <f>IF($A284,$J284*(IF(S284=regle!$B$11,regle!$B$23*IF(AL284=-2,1+regle!$B$35,1),
IF(S284=regle!$C$11,regle!$C$23,
IF(S284=regle!$D$11,regle!$D$23,
IF(S284=regle!$E$11,regle!$E$23,
IF(S284=regle!$F$11,regle!$F$23,
IF(S284=regle!$G$11,regle!$G$23,
IF(S284=regle!$H$11,regle!$H$23,
IF(S284=regle!$I$11,regle!$I$23,
IF(S284=regle!$J$11,regle!$J$23,
IF(S284=regle!$K$11,regle!$K$23,0))))))))))))</f>
        <v>0</v>
      </c>
      <c r="AD284" s="17">
        <f>IF($A284,$J284*(IF(T284=regle!$B$11,regle!$B$23*IF(AM284=-2,1+regle!$B$35,1),
IF(T284=regle!$C$11,regle!$C$23,
IF(T284=regle!$D$11,regle!$D$23,
IF(T284=regle!$E$11,regle!$E$23,
IF(T284=regle!$F$11,regle!$F$23,
IF(T284=regle!$G$11,regle!$G$23,
IF(T284=regle!$H$11,regle!$H$23,
IF(T284=regle!$I$11,regle!$I$23,
IF(T284=regle!$J$11,regle!$J$23,
IF(T284=regle!$K$11,regle!$K$23,0))))))))))))</f>
        <v>0</v>
      </c>
      <c r="AE284" s="17">
        <f>IF($A284,$J284*(IF(U284=regle!$B$11,regle!$B$23*IF(AN284=-2,1+regle!$B$35,1),
IF(U284=regle!$C$11,regle!$C$23,
IF(U284=regle!$D$11,regle!$D$23,
IF(U284=regle!$E$11,regle!$E$23,
IF(U284=regle!$F$11,regle!$F$23,
IF(U284=regle!$G$11,regle!$G$23,
IF(U284=regle!$H$11,regle!$H$23,
IF(U284=regle!$I$11,regle!$I$23,
IF(U284=regle!$J$11,regle!$J$23,
IF(U284=regle!$K$11,regle!$K$23,0))))))))))))</f>
        <v>0</v>
      </c>
      <c r="AF284" s="17">
        <f>IF($A284,$J284*(IF(V284=regle!$B$11,regle!$B$23*IF(AO284=-2,1+regle!$B$35,1),
IF(V284=regle!$C$11,regle!$C$23,
IF(V284=regle!$D$11,regle!$D$23,
IF(V284=regle!$E$11,regle!$E$23,
IF(V284=regle!$F$11,regle!$F$23,
IF(V284=regle!$G$11,regle!$G$23,
IF(V284=regle!$H$11,regle!$H$23,
IF(V284=regle!$I$11,regle!$I$23,
IF(V284=regle!$J$11,regle!$J$23,
IF(V284=regle!$K$11,regle!$K$23,0))))))))))))</f>
        <v>0</v>
      </c>
      <c r="AG284" s="17">
        <f>IF($A284,$J284*(IF(W284=regle!$B$11,regle!$B$23*IF(AP284=-2,1+regle!$B$35,1),
IF(W284=regle!$C$11,regle!$C$23,
IF(W284=regle!$D$11,regle!$D$23,
IF(W284=regle!$E$11,regle!$E$23,
IF(W284=regle!$F$11,regle!$F$23,
IF(W284=regle!$G$11,regle!$G$23,
IF(W284=regle!$H$11,regle!$H$23,
IF(W284=regle!$I$11,regle!$I$23,
IF(W284=regle!$J$11,regle!$J$23,
IF(W284=regle!$K$11,regle!$K$23,0))))))))))))</f>
        <v>0</v>
      </c>
      <c r="AH284" s="17">
        <f>IF($A284,$J284*(IF(X284=regle!$B$11,regle!$B$23*IF(AQ284=-2,1+regle!$B$35,1),
IF(X284=regle!$C$11,regle!$C$23,
IF(X284=regle!$D$11,regle!$D$23,
IF(X284=regle!$E$11,regle!$E$23,
IF(X284=regle!$F$11,regle!$F$23,
IF(X284=regle!$G$11,regle!$G$23,
IF(X284=regle!$H$11,regle!$H$23,
IF(X284=regle!$I$11,regle!$I$23,
IF(X284=regle!$J$11,regle!$J$23,
IF(X284=regle!$K$11,regle!$K$23,0))))))))))))</f>
        <v>0</v>
      </c>
      <c r="AI284" s="17">
        <f>IF($A284,$J284*(IF(Y284=regle!$B$11,regle!$B$23*IF(AR284=-2,1+regle!$B$35,1),
IF(Y284=regle!$C$11,regle!$C$23,
IF(Y284=regle!$D$11,regle!$D$23,
IF(Y284=regle!$E$11,regle!$E$23,
IF(Y284=regle!$F$11,regle!$F$23,
IF(Y284=regle!$G$11,regle!$G$23,
IF(Y284=regle!$H$11,regle!$H$23,
IF(Y284=regle!$I$11,regle!$I$23,
IF(Y284=regle!$J$11,regle!$J$23,
IF(Y284=regle!$K$11,regle!$K$23,0))))))))))))</f>
        <v>0</v>
      </c>
      <c r="AJ284" s="17">
        <f>IF($A284,$J284*(IF(Z284=regle!$B$11,regle!$B$23*IF(AS284=-2,1+regle!$B$35,1),
IF(Z284=regle!$C$11,regle!$C$23,
IF(Z284=regle!$D$11,regle!$D$23,
IF(Z284=regle!$E$11,regle!$E$23,
IF(Z284=regle!$F$11,regle!$F$23,
IF(Z284=regle!$G$11,regle!$G$23,
IF(Z284=regle!$H$11,regle!$H$23,
IF(Z284=regle!$I$11,regle!$I$23,
IF(Z284=regle!$J$11,regle!$J$23,
IF(Z284=regle!$K$11,regle!$K$23,0))))))))))))</f>
        <v>49236.200000000004</v>
      </c>
      <c r="AK284" s="16">
        <f>IF(OR(Q284=regle!$J$11,Q284=regle!$K$11),-2,IF(Q284=regle!$B$11,0,IF(AK$1=$AK$1,IF($O284,-1,regle!$B$2-$M284),IF(AJ284=-1,-1,AJ284+1))))</f>
        <v>19</v>
      </c>
      <c r="AL284" s="16">
        <f>IF(OR(R284=regle!$J$11,R284=regle!$K$11),-2,IF(R284=regle!$B$11,0,IF(AL$1=$AK$1,IF($O284,-1,regle!$B$2-$M284),IF(AK284=-1,-1,AK284+1))))</f>
        <v>20</v>
      </c>
      <c r="AM284" s="16">
        <f>IF(OR(S284=regle!$J$11,S284=regle!$K$11),-2,IF(S284=regle!$B$11,0,IF(AM$1=$AK$1,IF($O284,-1,regle!$B$2-$M284),IF(AL284=-1,-1,AL284+1))))</f>
        <v>21</v>
      </c>
      <c r="AN284" s="16">
        <f>IF(OR(T284=regle!$J$11,T284=regle!$K$11),-2,IF(T284=regle!$B$11,0,IF(AN$1=$AK$1,IF($O284,-1,regle!$B$2-$M284),IF(AM284=-1,-1,AM284+1))))</f>
        <v>22</v>
      </c>
      <c r="AO284" s="16">
        <f>IF(OR(U284=regle!$J$11,U284=regle!$K$11),-2,IF(U284=regle!$B$11,0,IF(AO$1=$AK$1,IF($O284,-1,regle!$B$2-$M284),IF(AN284=-1,-1,AN284+1))))</f>
        <v>23</v>
      </c>
      <c r="AP284" s="16">
        <f>IF(OR(V284=regle!$J$11,V284=regle!$K$11),-2,IF(V284=regle!$B$11,0,IF(AP$1=$AK$1,IF($O284,-1,regle!$B$2-$M284),IF(AO284=-1,-1,AO284+1))))</f>
        <v>24</v>
      </c>
      <c r="AQ284" s="16">
        <f>IF(OR(W284=regle!$J$11,W284=regle!$K$11),-2,IF(W284=regle!$B$11,0,IF(AQ$1=$AK$1,IF($O284,-1,regle!$B$2-$M284),IF(AP284=-1,-1,AP284+1))))</f>
        <v>25</v>
      </c>
      <c r="AR284" s="16">
        <f>IF(OR(X284=regle!$J$11,X284=regle!$K$11),-2,IF(X284=regle!$B$11,0,IF(AR$1=$AK$1,IF($O284,-1,regle!$B$2-$M284),IF(AQ284=-1,-1,AQ284+1))))</f>
        <v>26</v>
      </c>
      <c r="AS284" s="16">
        <f>IF(OR(Y284=regle!$J$11,Y284=regle!$K$11),-2,IF(Y284=regle!$B$11,0,IF(AS$1=$AK$1,IF($O284,-1,regle!$B$2-$M284),IF(AR284=-1,-1,AR284+1))))</f>
        <v>27</v>
      </c>
      <c r="AT284" s="16">
        <f>IF(OR(Z284=regle!$J$11,Z284=regle!$K$11),-2,IF(Z284=regle!$B$11,0,IF(AT$1=$AK$1,IF($O284,-1,regle!$B$2-$M284),IF(AS284=-1,-1,AS284+1))))</f>
        <v>-2</v>
      </c>
    </row>
    <row r="285" spans="1:46" x14ac:dyDescent="0.25">
      <c r="A285" t="b">
        <f>modif0!A254</f>
        <v>1</v>
      </c>
      <c r="B285">
        <f>ROW(modif0!B254)</f>
        <v>254</v>
      </c>
      <c r="C285" t="str">
        <f>modif0!D254</f>
        <v>171</v>
      </c>
      <c r="D285" t="str">
        <f>modif0!E254</f>
        <v>MANO</v>
      </c>
      <c r="E285">
        <f>modif0!F254</f>
        <v>17</v>
      </c>
      <c r="F285" t="str">
        <f>modif0!G254</f>
        <v>LANDE DE TABARTON</v>
      </c>
      <c r="G285" t="str">
        <f>modif0!I254</f>
        <v>0B</v>
      </c>
      <c r="H285">
        <f>modif0!J254</f>
        <v>266</v>
      </c>
      <c r="I285" t="str">
        <f>modif0!K254</f>
        <v>l</v>
      </c>
      <c r="J285" s="11">
        <f>modif0!M254</f>
        <v>8.4014000000000006</v>
      </c>
      <c r="K285" s="11" t="str">
        <f>modif0!P254</f>
        <v>PLA</v>
      </c>
      <c r="L285" t="str">
        <f>modif0!N254</f>
        <v>PM</v>
      </c>
      <c r="M285">
        <f>modif0!Q254</f>
        <v>2005</v>
      </c>
      <c r="N285" t="str">
        <f>modif0!R254</f>
        <v>PLA-PM_2005</v>
      </c>
      <c r="O285" t="b">
        <f>modif0!S254</f>
        <v>0</v>
      </c>
      <c r="P285">
        <v>40</v>
      </c>
      <c r="T285" t="s">
        <v>1805</v>
      </c>
      <c r="Y285" t="s">
        <v>1806</v>
      </c>
      <c r="AA285" s="17">
        <f>IF($A285,$J285*(IF(Q285=regle!$B$11,regle!$B$23*IF(AJ285=-2,1+regle!$B$35,1),
IF(Q285=regle!$C$11,regle!$C$23,
IF(Q285=regle!$D$11,regle!$D$23,
IF(Q285=regle!$E$11,regle!$E$23,
IF(Q285=regle!$F$11,regle!$F$23,
IF(Q285=regle!$G$11,regle!$G$23,
IF(Q285=regle!$H$11,regle!$H$23,
IF(Q285=regle!$I$11,regle!$I$23,
IF(Q285=regle!$J$11,regle!$J$23,
IF(Q285=regle!$K$11,regle!$K$23,0))))))))))))</f>
        <v>0</v>
      </c>
      <c r="AB285" s="17">
        <f>IF($A285,$J285*(IF(R285=regle!$B$11,regle!$B$23*IF(AK285=-2,1+regle!$B$35,1),
IF(R285=regle!$C$11,regle!$C$23,
IF(R285=regle!$D$11,regle!$D$23,
IF(R285=regle!$E$11,regle!$E$23,
IF(R285=regle!$F$11,regle!$F$23,
IF(R285=regle!$G$11,regle!$G$23,
IF(R285=regle!$H$11,regle!$H$23,
IF(R285=regle!$I$11,regle!$I$23,
IF(R285=regle!$J$11,regle!$J$23,
IF(R285=regle!$K$11,regle!$K$23,0))))))))))))</f>
        <v>0</v>
      </c>
      <c r="AC285" s="17">
        <f>IF($A285,$J285*(IF(S285=regle!$B$11,regle!$B$23*IF(AL285=-2,1+regle!$B$35,1),
IF(S285=regle!$C$11,regle!$C$23,
IF(S285=regle!$D$11,regle!$D$23,
IF(S285=regle!$E$11,regle!$E$23,
IF(S285=regle!$F$11,regle!$F$23,
IF(S285=regle!$G$11,regle!$G$23,
IF(S285=regle!$H$11,regle!$H$23,
IF(S285=regle!$I$11,regle!$I$23,
IF(S285=regle!$J$11,regle!$J$23,
IF(S285=regle!$K$11,regle!$K$23,0))))))))))))</f>
        <v>0</v>
      </c>
      <c r="AD285" s="17">
        <f>IF($A285,$J285*(IF(T285=regle!$B$11,regle!$B$23*IF(AM285=-2,1+regle!$B$35,1),
IF(T285=regle!$C$11,regle!$C$23,
IF(T285=regle!$D$11,regle!$D$23,
IF(T285=regle!$E$11,regle!$E$23,
IF(T285=regle!$F$11,regle!$F$23,
IF(T285=regle!$G$11,regle!$G$23,
IF(T285=regle!$H$11,regle!$H$23,
IF(T285=regle!$I$11,regle!$I$23,
IF(T285=regle!$J$11,regle!$J$23,
IF(T285=regle!$K$11,regle!$K$23,0))))))))))))</f>
        <v>11829.171200000001</v>
      </c>
      <c r="AE285" s="17">
        <f>IF($A285,$J285*(IF(U285=regle!$B$11,regle!$B$23*IF(AN285=-2,1+regle!$B$35,1),
IF(U285=regle!$C$11,regle!$C$23,
IF(U285=regle!$D$11,regle!$D$23,
IF(U285=regle!$E$11,regle!$E$23,
IF(U285=regle!$F$11,regle!$F$23,
IF(U285=regle!$G$11,regle!$G$23,
IF(U285=regle!$H$11,regle!$H$23,
IF(U285=regle!$I$11,regle!$I$23,
IF(U285=regle!$J$11,regle!$J$23,
IF(U285=regle!$K$11,regle!$K$23,0))))))))))))</f>
        <v>0</v>
      </c>
      <c r="AF285" s="17">
        <f>IF($A285,$J285*(IF(V285=regle!$B$11,regle!$B$23*IF(AO285=-2,1+regle!$B$35,1),
IF(V285=regle!$C$11,regle!$C$23,
IF(V285=regle!$D$11,regle!$D$23,
IF(V285=regle!$E$11,regle!$E$23,
IF(V285=regle!$F$11,regle!$F$23,
IF(V285=regle!$G$11,regle!$G$23,
IF(V285=regle!$H$11,regle!$H$23,
IF(V285=regle!$I$11,regle!$I$23,
IF(V285=regle!$J$11,regle!$J$23,
IF(V285=regle!$K$11,regle!$K$23,0))))))))))))</f>
        <v>0</v>
      </c>
      <c r="AG285" s="17">
        <f>IF($A285,$J285*(IF(W285=regle!$B$11,regle!$B$23*IF(AP285=-2,1+regle!$B$35,1),
IF(W285=regle!$C$11,regle!$C$23,
IF(W285=regle!$D$11,regle!$D$23,
IF(W285=regle!$E$11,regle!$E$23,
IF(W285=regle!$F$11,regle!$F$23,
IF(W285=regle!$G$11,regle!$G$23,
IF(W285=regle!$H$11,regle!$H$23,
IF(W285=regle!$I$11,regle!$I$23,
IF(W285=regle!$J$11,regle!$J$23,
IF(W285=regle!$K$11,regle!$K$23,0))))))))))))</f>
        <v>0</v>
      </c>
      <c r="AH285" s="17">
        <f>IF($A285,$J285*(IF(X285=regle!$B$11,regle!$B$23*IF(AQ285=-2,1+regle!$B$35,1),
IF(X285=regle!$C$11,regle!$C$23,
IF(X285=regle!$D$11,regle!$D$23,
IF(X285=regle!$E$11,regle!$E$23,
IF(X285=regle!$F$11,regle!$F$23,
IF(X285=regle!$G$11,regle!$G$23,
IF(X285=regle!$H$11,regle!$H$23,
IF(X285=regle!$I$11,regle!$I$23,
IF(X285=regle!$J$11,regle!$J$23,
IF(X285=regle!$K$11,regle!$K$23,0))))))))))))</f>
        <v>0</v>
      </c>
      <c r="AI285" s="17">
        <f>IF($A285,$J285*(IF(Y285=regle!$B$11,regle!$B$23*IF(AR285=-2,1+regle!$B$35,1),
IF(Y285=regle!$C$11,regle!$C$23,
IF(Y285=regle!$D$11,regle!$D$23,
IF(Y285=regle!$E$11,regle!$E$23,
IF(Y285=regle!$F$11,regle!$F$23,
IF(Y285=regle!$G$11,regle!$G$23,
IF(Y285=regle!$H$11,regle!$H$23,
IF(Y285=regle!$I$11,regle!$I$23,
IF(Y285=regle!$J$11,regle!$J$23,
IF(Y285=regle!$K$11,regle!$K$23,0))))))))))))</f>
        <v>10753.792000000001</v>
      </c>
      <c r="AJ285" s="17">
        <f>IF($A285,$J285*(IF(Z285=regle!$B$11,regle!$B$23*IF(AS285=-2,1+regle!$B$35,1),
IF(Z285=regle!$C$11,regle!$C$23,
IF(Z285=regle!$D$11,regle!$D$23,
IF(Z285=regle!$E$11,regle!$E$23,
IF(Z285=regle!$F$11,regle!$F$23,
IF(Z285=regle!$G$11,regle!$G$23,
IF(Z285=regle!$H$11,regle!$H$23,
IF(Z285=regle!$I$11,regle!$I$23,
IF(Z285=regle!$J$11,regle!$J$23,
IF(Z285=regle!$K$11,regle!$K$23,0))))))))))))</f>
        <v>0</v>
      </c>
      <c r="AK285" s="16">
        <f>IF(OR(Q285=regle!$J$11,Q285=regle!$K$11),-2,IF(Q285=regle!$B$11,0,IF(AK$1=$AK$1,IF($O285,-1,regle!$B$2-$M285),IF(AJ285=-1,-1,AJ285+1))))</f>
        <v>19</v>
      </c>
      <c r="AL285" s="16">
        <f>IF(OR(R285=regle!$J$11,R285=regle!$K$11),-2,IF(R285=regle!$B$11,0,IF(AL$1=$AK$1,IF($O285,-1,regle!$B$2-$M285),IF(AK285=-1,-1,AK285+1))))</f>
        <v>20</v>
      </c>
      <c r="AM285" s="16">
        <f>IF(OR(S285=regle!$J$11,S285=regle!$K$11),-2,IF(S285=regle!$B$11,0,IF(AM$1=$AK$1,IF($O285,-1,regle!$B$2-$M285),IF(AL285=-1,-1,AL285+1))))</f>
        <v>21</v>
      </c>
      <c r="AN285" s="16">
        <f>IF(OR(T285=regle!$J$11,T285=regle!$K$11),-2,IF(T285=regle!$B$11,0,IF(AN$1=$AK$1,IF($O285,-1,regle!$B$2-$M285),IF(AM285=-1,-1,AM285+1))))</f>
        <v>22</v>
      </c>
      <c r="AO285" s="16">
        <f>IF(OR(U285=regle!$J$11,U285=regle!$K$11),-2,IF(U285=regle!$B$11,0,IF(AO$1=$AK$1,IF($O285,-1,regle!$B$2-$M285),IF(AN285=-1,-1,AN285+1))))</f>
        <v>23</v>
      </c>
      <c r="AP285" s="16">
        <f>IF(OR(V285=regle!$J$11,V285=regle!$K$11),-2,IF(V285=regle!$B$11,0,IF(AP$1=$AK$1,IF($O285,-1,regle!$B$2-$M285),IF(AO285=-1,-1,AO285+1))))</f>
        <v>24</v>
      </c>
      <c r="AQ285" s="16">
        <f>IF(OR(W285=regle!$J$11,W285=regle!$K$11),-2,IF(W285=regle!$B$11,0,IF(AQ$1=$AK$1,IF($O285,-1,regle!$B$2-$M285),IF(AP285=-1,-1,AP285+1))))</f>
        <v>25</v>
      </c>
      <c r="AR285" s="16">
        <f>IF(OR(X285=regle!$J$11,X285=regle!$K$11),-2,IF(X285=regle!$B$11,0,IF(AR$1=$AK$1,IF($O285,-1,regle!$B$2-$M285),IF(AQ285=-1,-1,AQ285+1))))</f>
        <v>26</v>
      </c>
      <c r="AS285" s="16">
        <f>IF(OR(Y285=regle!$J$11,Y285=regle!$K$11),-2,IF(Y285=regle!$B$11,0,IF(AS$1=$AK$1,IF($O285,-1,regle!$B$2-$M285),IF(AR285=-1,-1,AR285+1))))</f>
        <v>27</v>
      </c>
      <c r="AT285" s="16">
        <f>IF(OR(Z285=regle!$J$11,Z285=regle!$K$11),-2,IF(Z285=regle!$B$11,0,IF(AT$1=$AK$1,IF($O285,-1,regle!$B$2-$M285),IF(AS285=-1,-1,AS285+1))))</f>
        <v>28</v>
      </c>
    </row>
    <row r="286" spans="1:46" x14ac:dyDescent="0.25">
      <c r="A286" t="b">
        <f>modif0!A69</f>
        <v>1</v>
      </c>
      <c r="B286">
        <f>ROW(modif0!B69)</f>
        <v>69</v>
      </c>
      <c r="C286" t="str">
        <f>modif0!D69</f>
        <v>536</v>
      </c>
      <c r="D286" t="str">
        <f>modif0!E69</f>
        <v>LE TUZAN</v>
      </c>
      <c r="E286">
        <f>modif0!F69</f>
        <v>21</v>
      </c>
      <c r="F286" t="str">
        <f>modif0!G69</f>
        <v>METAIRIES DE TABARTON</v>
      </c>
      <c r="G286" t="str">
        <f>modif0!I69</f>
        <v>0A</v>
      </c>
      <c r="H286">
        <f>modif0!J69</f>
        <v>523</v>
      </c>
      <c r="I286" t="str">
        <f>modif0!K69</f>
        <v>r</v>
      </c>
      <c r="J286" s="11">
        <f>modif0!M69</f>
        <v>7.0640999999999998</v>
      </c>
      <c r="K286" s="11" t="str">
        <f>modif0!P69</f>
        <v>PLA</v>
      </c>
      <c r="L286" t="str">
        <f>modif0!N69</f>
        <v>PM</v>
      </c>
      <c r="M286">
        <f>modif0!Q69</f>
        <v>2005</v>
      </c>
      <c r="N286" t="str">
        <f>modif0!R69</f>
        <v>PLA-PM_2005</v>
      </c>
      <c r="O286" t="b">
        <f>modif0!S69</f>
        <v>0</v>
      </c>
      <c r="P286">
        <v>40</v>
      </c>
      <c r="T286" t="s">
        <v>1805</v>
      </c>
      <c r="Y286" t="s">
        <v>1806</v>
      </c>
      <c r="AA286" s="17">
        <f>IF($A286,$J286*(IF(Q286=regle!$B$11,regle!$B$23*IF(AJ286=-2,1+regle!$B$35,1),
IF(Q286=regle!$C$11,regle!$C$23,
IF(Q286=regle!$D$11,regle!$D$23,
IF(Q286=regle!$E$11,regle!$E$23,
IF(Q286=regle!$F$11,regle!$F$23,
IF(Q286=regle!$G$11,regle!$G$23,
IF(Q286=regle!$H$11,regle!$H$23,
IF(Q286=regle!$I$11,regle!$I$23,
IF(Q286=regle!$J$11,regle!$J$23,
IF(Q286=regle!$K$11,regle!$K$23,0))))))))))))</f>
        <v>0</v>
      </c>
      <c r="AB286" s="17">
        <f>IF($A286,$J286*(IF(R286=regle!$B$11,regle!$B$23*IF(AK286=-2,1+regle!$B$35,1),
IF(R286=regle!$C$11,regle!$C$23,
IF(R286=regle!$D$11,regle!$D$23,
IF(R286=regle!$E$11,regle!$E$23,
IF(R286=regle!$F$11,regle!$F$23,
IF(R286=regle!$G$11,regle!$G$23,
IF(R286=regle!$H$11,regle!$H$23,
IF(R286=regle!$I$11,regle!$I$23,
IF(R286=regle!$J$11,regle!$J$23,
IF(R286=regle!$K$11,regle!$K$23,0))))))))))))</f>
        <v>0</v>
      </c>
      <c r="AC286" s="17">
        <f>IF($A286,$J286*(IF(S286=regle!$B$11,regle!$B$23*IF(AL286=-2,1+regle!$B$35,1),
IF(S286=regle!$C$11,regle!$C$23,
IF(S286=regle!$D$11,regle!$D$23,
IF(S286=regle!$E$11,regle!$E$23,
IF(S286=regle!$F$11,regle!$F$23,
IF(S286=regle!$G$11,regle!$G$23,
IF(S286=regle!$H$11,regle!$H$23,
IF(S286=regle!$I$11,regle!$I$23,
IF(S286=regle!$J$11,regle!$J$23,
IF(S286=regle!$K$11,regle!$K$23,0))))))))))))</f>
        <v>0</v>
      </c>
      <c r="AD286" s="17">
        <f>IF($A286,$J286*(IF(T286=regle!$B$11,regle!$B$23*IF(AM286=-2,1+regle!$B$35,1),
IF(T286=regle!$C$11,regle!$C$23,
IF(T286=regle!$D$11,regle!$D$23,
IF(T286=regle!$E$11,regle!$E$23,
IF(T286=regle!$F$11,regle!$F$23,
IF(T286=regle!$G$11,regle!$G$23,
IF(T286=regle!$H$11,regle!$H$23,
IF(T286=regle!$I$11,regle!$I$23,
IF(T286=regle!$J$11,regle!$J$23,
IF(T286=regle!$K$11,regle!$K$23,0))))))))))))</f>
        <v>9946.2528000000002</v>
      </c>
      <c r="AE286" s="17">
        <f>IF($A286,$J286*(IF(U286=regle!$B$11,regle!$B$23*IF(AN286=-2,1+regle!$B$35,1),
IF(U286=regle!$C$11,regle!$C$23,
IF(U286=regle!$D$11,regle!$D$23,
IF(U286=regle!$E$11,regle!$E$23,
IF(U286=regle!$F$11,regle!$F$23,
IF(U286=regle!$G$11,regle!$G$23,
IF(U286=regle!$H$11,regle!$H$23,
IF(U286=regle!$I$11,regle!$I$23,
IF(U286=regle!$J$11,regle!$J$23,
IF(U286=regle!$K$11,regle!$K$23,0))))))))))))</f>
        <v>0</v>
      </c>
      <c r="AF286" s="17">
        <f>IF($A286,$J286*(IF(V286=regle!$B$11,regle!$B$23*IF(AO286=-2,1+regle!$B$35,1),
IF(V286=regle!$C$11,regle!$C$23,
IF(V286=regle!$D$11,regle!$D$23,
IF(V286=regle!$E$11,regle!$E$23,
IF(V286=regle!$F$11,regle!$F$23,
IF(V286=regle!$G$11,regle!$G$23,
IF(V286=regle!$H$11,regle!$H$23,
IF(V286=regle!$I$11,regle!$I$23,
IF(V286=regle!$J$11,regle!$J$23,
IF(V286=regle!$K$11,regle!$K$23,0))))))))))))</f>
        <v>0</v>
      </c>
      <c r="AG286" s="17">
        <f>IF($A286,$J286*(IF(W286=regle!$B$11,regle!$B$23*IF(AP286=-2,1+regle!$B$35,1),
IF(W286=regle!$C$11,regle!$C$23,
IF(W286=regle!$D$11,regle!$D$23,
IF(W286=regle!$E$11,regle!$E$23,
IF(W286=regle!$F$11,regle!$F$23,
IF(W286=regle!$G$11,regle!$G$23,
IF(W286=regle!$H$11,regle!$H$23,
IF(W286=regle!$I$11,regle!$I$23,
IF(W286=regle!$J$11,regle!$J$23,
IF(W286=regle!$K$11,regle!$K$23,0))))))))))))</f>
        <v>0</v>
      </c>
      <c r="AH286" s="17">
        <f>IF($A286,$J286*(IF(X286=regle!$B$11,regle!$B$23*IF(AQ286=-2,1+regle!$B$35,1),
IF(X286=regle!$C$11,regle!$C$23,
IF(X286=regle!$D$11,regle!$D$23,
IF(X286=regle!$E$11,regle!$E$23,
IF(X286=regle!$F$11,regle!$F$23,
IF(X286=regle!$G$11,regle!$G$23,
IF(X286=regle!$H$11,regle!$H$23,
IF(X286=regle!$I$11,regle!$I$23,
IF(X286=regle!$J$11,regle!$J$23,
IF(X286=regle!$K$11,regle!$K$23,0))))))))))))</f>
        <v>0</v>
      </c>
      <c r="AI286" s="17">
        <f>IF($A286,$J286*(IF(Y286=regle!$B$11,regle!$B$23*IF(AR286=-2,1+regle!$B$35,1),
IF(Y286=regle!$C$11,regle!$C$23,
IF(Y286=regle!$D$11,regle!$D$23,
IF(Y286=regle!$E$11,regle!$E$23,
IF(Y286=regle!$F$11,regle!$F$23,
IF(Y286=regle!$G$11,regle!$G$23,
IF(Y286=regle!$H$11,regle!$H$23,
IF(Y286=regle!$I$11,regle!$I$23,
IF(Y286=regle!$J$11,regle!$J$23,
IF(Y286=regle!$K$11,regle!$K$23,0))))))))))))</f>
        <v>9042.0479999999989</v>
      </c>
      <c r="AJ286" s="17">
        <f>IF($A286,$J286*(IF(Z286=regle!$B$11,regle!$B$23*IF(AS286=-2,1+regle!$B$35,1),
IF(Z286=regle!$C$11,regle!$C$23,
IF(Z286=regle!$D$11,regle!$D$23,
IF(Z286=regle!$E$11,regle!$E$23,
IF(Z286=regle!$F$11,regle!$F$23,
IF(Z286=regle!$G$11,regle!$G$23,
IF(Z286=regle!$H$11,regle!$H$23,
IF(Z286=regle!$I$11,regle!$I$23,
IF(Z286=regle!$J$11,regle!$J$23,
IF(Z286=regle!$K$11,regle!$K$23,0))))))))))))</f>
        <v>0</v>
      </c>
      <c r="AK286" s="16">
        <f>IF(OR(Q286=regle!$J$11,Q286=regle!$K$11),-2,IF(Q286=regle!$B$11,0,IF(AK$1=$AK$1,IF($O286,-1,regle!$B$2-$M286),IF(AJ286=-1,-1,AJ286+1))))</f>
        <v>19</v>
      </c>
      <c r="AL286" s="16">
        <f>IF(OR(R286=regle!$J$11,R286=regle!$K$11),-2,IF(R286=regle!$B$11,0,IF(AL$1=$AK$1,IF($O286,-1,regle!$B$2-$M286),IF(AK286=-1,-1,AK286+1))))</f>
        <v>20</v>
      </c>
      <c r="AM286" s="16">
        <f>IF(OR(S286=regle!$J$11,S286=regle!$K$11),-2,IF(S286=regle!$B$11,0,IF(AM$1=$AK$1,IF($O286,-1,regle!$B$2-$M286),IF(AL286=-1,-1,AL286+1))))</f>
        <v>21</v>
      </c>
      <c r="AN286" s="16">
        <f>IF(OR(T286=regle!$J$11,T286=regle!$K$11),-2,IF(T286=regle!$B$11,0,IF(AN$1=$AK$1,IF($O286,-1,regle!$B$2-$M286),IF(AM286=-1,-1,AM286+1))))</f>
        <v>22</v>
      </c>
      <c r="AO286" s="16">
        <f>IF(OR(U286=regle!$J$11,U286=regle!$K$11),-2,IF(U286=regle!$B$11,0,IF(AO$1=$AK$1,IF($O286,-1,regle!$B$2-$M286),IF(AN286=-1,-1,AN286+1))))</f>
        <v>23</v>
      </c>
      <c r="AP286" s="16">
        <f>IF(OR(V286=regle!$J$11,V286=regle!$K$11),-2,IF(V286=regle!$B$11,0,IF(AP$1=$AK$1,IF($O286,-1,regle!$B$2-$M286),IF(AO286=-1,-1,AO286+1))))</f>
        <v>24</v>
      </c>
      <c r="AQ286" s="16">
        <f>IF(OR(W286=regle!$J$11,W286=regle!$K$11),-2,IF(W286=regle!$B$11,0,IF(AQ$1=$AK$1,IF($O286,-1,regle!$B$2-$M286),IF(AP286=-1,-1,AP286+1))))</f>
        <v>25</v>
      </c>
      <c r="AR286" s="16">
        <f>IF(OR(X286=regle!$J$11,X286=regle!$K$11),-2,IF(X286=regle!$B$11,0,IF(AR$1=$AK$1,IF($O286,-1,regle!$B$2-$M286),IF(AQ286=-1,-1,AQ286+1))))</f>
        <v>26</v>
      </c>
      <c r="AS286" s="16">
        <f>IF(OR(Y286=regle!$J$11,Y286=regle!$K$11),-2,IF(Y286=regle!$B$11,0,IF(AS$1=$AK$1,IF($O286,-1,regle!$B$2-$M286),IF(AR286=-1,-1,AR286+1))))</f>
        <v>27</v>
      </c>
      <c r="AT286" s="16">
        <f>IF(OR(Z286=regle!$J$11,Z286=regle!$K$11),-2,IF(Z286=regle!$B$11,0,IF(AT$1=$AK$1,IF($O286,-1,regle!$B$2-$M286),IF(AS286=-1,-1,AS286+1))))</f>
        <v>28</v>
      </c>
    </row>
    <row r="287" spans="1:46" x14ac:dyDescent="0.25">
      <c r="A287" t="b">
        <f>modif0!A68</f>
        <v>1</v>
      </c>
      <c r="B287">
        <f>ROW(modif0!B68)</f>
        <v>68</v>
      </c>
      <c r="C287" t="str">
        <f>modif0!D68</f>
        <v>536</v>
      </c>
      <c r="D287" t="str">
        <f>modif0!E68</f>
        <v>LE TUZAN</v>
      </c>
      <c r="E287">
        <f>modif0!F68</f>
        <v>21</v>
      </c>
      <c r="F287" t="str">
        <f>modif0!G68</f>
        <v>METAIRIES DE TABARTON</v>
      </c>
      <c r="G287" t="str">
        <f>modif0!I68</f>
        <v>0A</v>
      </c>
      <c r="H287">
        <f>modif0!J68</f>
        <v>523</v>
      </c>
      <c r="I287" t="str">
        <f>modif0!K68</f>
        <v>q</v>
      </c>
      <c r="J287" s="11">
        <f>modif0!M68</f>
        <v>6.8734999999999999</v>
      </c>
      <c r="K287" s="11" t="str">
        <f>modif0!P68</f>
        <v>PLA</v>
      </c>
      <c r="L287" t="str">
        <f>modif0!N68</f>
        <v>PM</v>
      </c>
      <c r="M287">
        <f>modif0!Q68</f>
        <v>2005</v>
      </c>
      <c r="N287" t="str">
        <f>modif0!R68</f>
        <v>PLA-PM_2005</v>
      </c>
      <c r="O287" t="b">
        <f>modif0!S68</f>
        <v>0</v>
      </c>
      <c r="P287">
        <v>40</v>
      </c>
      <c r="T287" t="s">
        <v>1805</v>
      </c>
      <c r="Y287" t="s">
        <v>1806</v>
      </c>
      <c r="AA287" s="17">
        <f>IF($A287,$J287*(IF(Q287=regle!$B$11,regle!$B$23*IF(AJ287=-2,1+regle!$B$35,1),
IF(Q287=regle!$C$11,regle!$C$23,
IF(Q287=regle!$D$11,regle!$D$23,
IF(Q287=regle!$E$11,regle!$E$23,
IF(Q287=regle!$F$11,regle!$F$23,
IF(Q287=regle!$G$11,regle!$G$23,
IF(Q287=regle!$H$11,regle!$H$23,
IF(Q287=regle!$I$11,regle!$I$23,
IF(Q287=regle!$J$11,regle!$J$23,
IF(Q287=regle!$K$11,regle!$K$23,0))))))))))))</f>
        <v>0</v>
      </c>
      <c r="AB287" s="17">
        <f>IF($A287,$J287*(IF(R287=regle!$B$11,regle!$B$23*IF(AK287=-2,1+regle!$B$35,1),
IF(R287=regle!$C$11,regle!$C$23,
IF(R287=regle!$D$11,regle!$D$23,
IF(R287=regle!$E$11,regle!$E$23,
IF(R287=regle!$F$11,regle!$F$23,
IF(R287=regle!$G$11,regle!$G$23,
IF(R287=regle!$H$11,regle!$H$23,
IF(R287=regle!$I$11,regle!$I$23,
IF(R287=regle!$J$11,regle!$J$23,
IF(R287=regle!$K$11,regle!$K$23,0))))))))))))</f>
        <v>0</v>
      </c>
      <c r="AC287" s="17">
        <f>IF($A287,$J287*(IF(S287=regle!$B$11,regle!$B$23*IF(AL287=-2,1+regle!$B$35,1),
IF(S287=regle!$C$11,regle!$C$23,
IF(S287=regle!$D$11,regle!$D$23,
IF(S287=regle!$E$11,regle!$E$23,
IF(S287=regle!$F$11,regle!$F$23,
IF(S287=regle!$G$11,regle!$G$23,
IF(S287=regle!$H$11,regle!$H$23,
IF(S287=regle!$I$11,regle!$I$23,
IF(S287=regle!$J$11,regle!$J$23,
IF(S287=regle!$K$11,regle!$K$23,0))))))))))))</f>
        <v>0</v>
      </c>
      <c r="AD287" s="17">
        <f>IF($A287,$J287*(IF(T287=regle!$B$11,regle!$B$23*IF(AM287=-2,1+regle!$B$35,1),
IF(T287=regle!$C$11,regle!$C$23,
IF(T287=regle!$D$11,regle!$D$23,
IF(T287=regle!$E$11,regle!$E$23,
IF(T287=regle!$F$11,regle!$F$23,
IF(T287=regle!$G$11,regle!$G$23,
IF(T287=regle!$H$11,regle!$H$23,
IF(T287=regle!$I$11,regle!$I$23,
IF(T287=regle!$J$11,regle!$J$23,
IF(T287=regle!$K$11,regle!$K$23,0))))))))))))</f>
        <v>9677.887999999999</v>
      </c>
      <c r="AE287" s="17">
        <f>IF($A287,$J287*(IF(U287=regle!$B$11,regle!$B$23*IF(AN287=-2,1+regle!$B$35,1),
IF(U287=regle!$C$11,regle!$C$23,
IF(U287=regle!$D$11,regle!$D$23,
IF(U287=regle!$E$11,regle!$E$23,
IF(U287=regle!$F$11,regle!$F$23,
IF(U287=regle!$G$11,regle!$G$23,
IF(U287=regle!$H$11,regle!$H$23,
IF(U287=regle!$I$11,regle!$I$23,
IF(U287=regle!$J$11,regle!$J$23,
IF(U287=regle!$K$11,regle!$K$23,0))))))))))))</f>
        <v>0</v>
      </c>
      <c r="AF287" s="17">
        <f>IF($A287,$J287*(IF(V287=regle!$B$11,regle!$B$23*IF(AO287=-2,1+regle!$B$35,1),
IF(V287=regle!$C$11,regle!$C$23,
IF(V287=regle!$D$11,regle!$D$23,
IF(V287=regle!$E$11,regle!$E$23,
IF(V287=regle!$F$11,regle!$F$23,
IF(V287=regle!$G$11,regle!$G$23,
IF(V287=regle!$H$11,regle!$H$23,
IF(V287=regle!$I$11,regle!$I$23,
IF(V287=regle!$J$11,regle!$J$23,
IF(V287=regle!$K$11,regle!$K$23,0))))))))))))</f>
        <v>0</v>
      </c>
      <c r="AG287" s="17">
        <f>IF($A287,$J287*(IF(W287=regle!$B$11,regle!$B$23*IF(AP287=-2,1+regle!$B$35,1),
IF(W287=regle!$C$11,regle!$C$23,
IF(W287=regle!$D$11,regle!$D$23,
IF(W287=regle!$E$11,regle!$E$23,
IF(W287=regle!$F$11,regle!$F$23,
IF(W287=regle!$G$11,regle!$G$23,
IF(W287=regle!$H$11,regle!$H$23,
IF(W287=regle!$I$11,regle!$I$23,
IF(W287=regle!$J$11,regle!$J$23,
IF(W287=regle!$K$11,regle!$K$23,0))))))))))))</f>
        <v>0</v>
      </c>
      <c r="AH287" s="17">
        <f>IF($A287,$J287*(IF(X287=regle!$B$11,regle!$B$23*IF(AQ287=-2,1+regle!$B$35,1),
IF(X287=regle!$C$11,regle!$C$23,
IF(X287=regle!$D$11,regle!$D$23,
IF(X287=regle!$E$11,regle!$E$23,
IF(X287=regle!$F$11,regle!$F$23,
IF(X287=regle!$G$11,regle!$G$23,
IF(X287=regle!$H$11,regle!$H$23,
IF(X287=regle!$I$11,regle!$I$23,
IF(X287=regle!$J$11,regle!$J$23,
IF(X287=regle!$K$11,regle!$K$23,0))))))))))))</f>
        <v>0</v>
      </c>
      <c r="AI287" s="17">
        <f>IF($A287,$J287*(IF(Y287=regle!$B$11,regle!$B$23*IF(AR287=-2,1+regle!$B$35,1),
IF(Y287=regle!$C$11,regle!$C$23,
IF(Y287=regle!$D$11,regle!$D$23,
IF(Y287=regle!$E$11,regle!$E$23,
IF(Y287=regle!$F$11,regle!$F$23,
IF(Y287=regle!$G$11,regle!$G$23,
IF(Y287=regle!$H$11,regle!$H$23,
IF(Y287=regle!$I$11,regle!$I$23,
IF(Y287=regle!$J$11,regle!$J$23,
IF(Y287=regle!$K$11,regle!$K$23,0))))))))))))</f>
        <v>8798.08</v>
      </c>
      <c r="AJ287" s="17">
        <f>IF($A287,$J287*(IF(Z287=regle!$B$11,regle!$B$23*IF(AS287=-2,1+regle!$B$35,1),
IF(Z287=regle!$C$11,regle!$C$23,
IF(Z287=regle!$D$11,regle!$D$23,
IF(Z287=regle!$E$11,regle!$E$23,
IF(Z287=regle!$F$11,regle!$F$23,
IF(Z287=regle!$G$11,regle!$G$23,
IF(Z287=regle!$H$11,regle!$H$23,
IF(Z287=regle!$I$11,regle!$I$23,
IF(Z287=regle!$J$11,regle!$J$23,
IF(Z287=regle!$K$11,regle!$K$23,0))))))))))))</f>
        <v>0</v>
      </c>
      <c r="AK287" s="16">
        <f>IF(OR(Q287=regle!$J$11,Q287=regle!$K$11),-2,IF(Q287=regle!$B$11,0,IF(AK$1=$AK$1,IF($O287,-1,regle!$B$2-$M287),IF(AJ287=-1,-1,AJ287+1))))</f>
        <v>19</v>
      </c>
      <c r="AL287" s="16">
        <f>IF(OR(R287=regle!$J$11,R287=regle!$K$11),-2,IF(R287=regle!$B$11,0,IF(AL$1=$AK$1,IF($O287,-1,regle!$B$2-$M287),IF(AK287=-1,-1,AK287+1))))</f>
        <v>20</v>
      </c>
      <c r="AM287" s="16">
        <f>IF(OR(S287=regle!$J$11,S287=regle!$K$11),-2,IF(S287=regle!$B$11,0,IF(AM$1=$AK$1,IF($O287,-1,regle!$B$2-$M287),IF(AL287=-1,-1,AL287+1))))</f>
        <v>21</v>
      </c>
      <c r="AN287" s="16">
        <f>IF(OR(T287=regle!$J$11,T287=regle!$K$11),-2,IF(T287=regle!$B$11,0,IF(AN$1=$AK$1,IF($O287,-1,regle!$B$2-$M287),IF(AM287=-1,-1,AM287+1))))</f>
        <v>22</v>
      </c>
      <c r="AO287" s="16">
        <f>IF(OR(U287=regle!$J$11,U287=regle!$K$11),-2,IF(U287=regle!$B$11,0,IF(AO$1=$AK$1,IF($O287,-1,regle!$B$2-$M287),IF(AN287=-1,-1,AN287+1))))</f>
        <v>23</v>
      </c>
      <c r="AP287" s="16">
        <f>IF(OR(V287=regle!$J$11,V287=regle!$K$11),-2,IF(V287=regle!$B$11,0,IF(AP$1=$AK$1,IF($O287,-1,regle!$B$2-$M287),IF(AO287=-1,-1,AO287+1))))</f>
        <v>24</v>
      </c>
      <c r="AQ287" s="16">
        <f>IF(OR(W287=regle!$J$11,W287=regle!$K$11),-2,IF(W287=regle!$B$11,0,IF(AQ$1=$AK$1,IF($O287,-1,regle!$B$2-$M287),IF(AP287=-1,-1,AP287+1))))</f>
        <v>25</v>
      </c>
      <c r="AR287" s="16">
        <f>IF(OR(X287=regle!$J$11,X287=regle!$K$11),-2,IF(X287=regle!$B$11,0,IF(AR$1=$AK$1,IF($O287,-1,regle!$B$2-$M287),IF(AQ287=-1,-1,AQ287+1))))</f>
        <v>26</v>
      </c>
      <c r="AS287" s="16">
        <f>IF(OR(Y287=regle!$J$11,Y287=regle!$K$11),-2,IF(Y287=regle!$B$11,0,IF(AS$1=$AK$1,IF($O287,-1,regle!$B$2-$M287),IF(AR287=-1,-1,AR287+1))))</f>
        <v>27</v>
      </c>
      <c r="AT287" s="16">
        <f>IF(OR(Z287=regle!$J$11,Z287=regle!$K$11),-2,IF(Z287=regle!$B$11,0,IF(AT$1=$AK$1,IF($O287,-1,regle!$B$2-$M287),IF(AS287=-1,-1,AS287+1))))</f>
        <v>28</v>
      </c>
    </row>
    <row r="288" spans="1:46" x14ac:dyDescent="0.25">
      <c r="A288" t="b">
        <f>modif0!A331</f>
        <v>1</v>
      </c>
      <c r="B288">
        <f>ROW(modif0!B331)</f>
        <v>331</v>
      </c>
      <c r="C288" t="str">
        <f>modif0!D331</f>
        <v>077</v>
      </c>
      <c r="D288" t="str">
        <f>modif0!E331</f>
        <v>CABANAC-ET-VILLAGRAINS</v>
      </c>
      <c r="E288">
        <f>modif0!F331</f>
        <v>12</v>
      </c>
      <c r="F288" t="str">
        <f>modif0!G331</f>
        <v>LES JEANNOTS</v>
      </c>
      <c r="G288" t="str">
        <f>modif0!I331</f>
        <v>0D</v>
      </c>
      <c r="H288">
        <f>modif0!J331</f>
        <v>2295</v>
      </c>
      <c r="I288" t="str">
        <f>modif0!K331</f>
        <v>l</v>
      </c>
      <c r="J288" s="11">
        <f>modif0!M331</f>
        <v>5.4044999999999996</v>
      </c>
      <c r="K288" s="11" t="str">
        <f>modif0!P331</f>
        <v>PLA</v>
      </c>
      <c r="L288" t="str">
        <f>modif0!N331</f>
        <v>PM</v>
      </c>
      <c r="M288">
        <f>modif0!Q331</f>
        <v>2005</v>
      </c>
      <c r="N288" t="str">
        <f>modif0!R331</f>
        <v>PLA-PM_2005</v>
      </c>
      <c r="O288" t="b">
        <f>modif0!S331</f>
        <v>0</v>
      </c>
      <c r="P288">
        <v>40</v>
      </c>
      <c r="W288" s="22" t="s">
        <v>1181</v>
      </c>
      <c r="X288" t="s">
        <v>1868</v>
      </c>
      <c r="Z288" t="s">
        <v>1872</v>
      </c>
      <c r="AA288" s="17">
        <f>IF($A288,$J288*(IF(Q288=regle!$B$11,regle!$B$23*IF(AJ288=-2,1+regle!$B$35,1),
IF(Q288=regle!$C$11,regle!$C$23,
IF(Q288=regle!$D$11,regle!$D$23,
IF(Q288=regle!$E$11,regle!$E$23,
IF(Q288=regle!$F$11,regle!$F$23,
IF(Q288=regle!$G$11,regle!$G$23,
IF(Q288=regle!$H$11,regle!$H$23,
IF(Q288=regle!$I$11,regle!$I$23,
IF(Q288=regle!$J$11,regle!$J$23,
IF(Q288=regle!$K$11,regle!$K$23,0))))))))))))</f>
        <v>0</v>
      </c>
      <c r="AB288" s="17">
        <f>IF($A288,$J288*(IF(R288=regle!$B$11,regle!$B$23*IF(AK288=-2,1+regle!$B$35,1),
IF(R288=regle!$C$11,regle!$C$23,
IF(R288=regle!$D$11,regle!$D$23,
IF(R288=regle!$E$11,regle!$E$23,
IF(R288=regle!$F$11,regle!$F$23,
IF(R288=regle!$G$11,regle!$G$23,
IF(R288=regle!$H$11,regle!$H$23,
IF(R288=regle!$I$11,regle!$I$23,
IF(R288=regle!$J$11,regle!$J$23,
IF(R288=regle!$K$11,regle!$K$23,0))))))))))))</f>
        <v>0</v>
      </c>
      <c r="AC288" s="17">
        <f>IF($A288,$J288*(IF(S288=regle!$B$11,regle!$B$23*IF(AL288=-2,1+regle!$B$35,1),
IF(S288=regle!$C$11,regle!$C$23,
IF(S288=regle!$D$11,regle!$D$23,
IF(S288=regle!$E$11,regle!$E$23,
IF(S288=regle!$F$11,regle!$F$23,
IF(S288=regle!$G$11,regle!$G$23,
IF(S288=regle!$H$11,regle!$H$23,
IF(S288=regle!$I$11,regle!$I$23,
IF(S288=regle!$J$11,regle!$J$23,
IF(S288=regle!$K$11,regle!$K$23,0))))))))))))</f>
        <v>0</v>
      </c>
      <c r="AD288" s="17">
        <f>IF($A288,$J288*(IF(T288=regle!$B$11,regle!$B$23*IF(AM288=-2,1+regle!$B$35,1),
IF(T288=regle!$C$11,regle!$C$23,
IF(T288=regle!$D$11,regle!$D$23,
IF(T288=regle!$E$11,regle!$E$23,
IF(T288=regle!$F$11,regle!$F$23,
IF(T288=regle!$G$11,regle!$G$23,
IF(T288=regle!$H$11,regle!$H$23,
IF(T288=regle!$I$11,regle!$I$23,
IF(T288=regle!$J$11,regle!$J$23,
IF(T288=regle!$K$11,regle!$K$23,0))))))))))))</f>
        <v>0</v>
      </c>
      <c r="AE288" s="17">
        <f>IF($A288,$J288*(IF(U288=regle!$B$11,regle!$B$23*IF(AN288=-2,1+regle!$B$35,1),
IF(U288=regle!$C$11,regle!$C$23,
IF(U288=regle!$D$11,regle!$D$23,
IF(U288=regle!$E$11,regle!$E$23,
IF(U288=regle!$F$11,regle!$F$23,
IF(U288=regle!$G$11,regle!$G$23,
IF(U288=regle!$H$11,regle!$H$23,
IF(U288=regle!$I$11,regle!$I$23,
IF(U288=regle!$J$11,regle!$J$23,
IF(U288=regle!$K$11,regle!$K$23,0))))))))))))</f>
        <v>0</v>
      </c>
      <c r="AF288" s="17">
        <f>IF($A288,$J288*(IF(V288=regle!$B$11,regle!$B$23*IF(AO288=-2,1+regle!$B$35,1),
IF(V288=regle!$C$11,regle!$C$23,
IF(V288=regle!$D$11,regle!$D$23,
IF(V288=regle!$E$11,regle!$E$23,
IF(V288=regle!$F$11,regle!$F$23,
IF(V288=regle!$G$11,regle!$G$23,
IF(V288=regle!$H$11,regle!$H$23,
IF(V288=regle!$I$11,regle!$I$23,
IF(V288=regle!$J$11,regle!$J$23,
IF(V288=regle!$K$11,regle!$K$23,0))))))))))))</f>
        <v>0</v>
      </c>
      <c r="AG288" s="17">
        <f>IF($A288,$J288*(IF(W288=regle!$B$11,regle!$B$23*IF(AP288=-2,1+regle!$B$35,1),
IF(W288=regle!$C$11,regle!$C$23,
IF(W288=regle!$D$11,regle!$D$23,
IF(W288=regle!$E$11,regle!$E$23,
IF(W288=regle!$F$11,regle!$F$23,
IF(W288=regle!$G$11,regle!$G$23,
IF(W288=regle!$H$11,regle!$H$23,
IF(W288=regle!$I$11,regle!$I$23,
IF(W288=regle!$J$11,regle!$J$23,
IF(W288=regle!$K$11,regle!$K$23,0))))))))))))</f>
        <v>28103.399999999998</v>
      </c>
      <c r="AH288" s="17">
        <f>IF($A288,$J288*(IF(X288=regle!$B$11,regle!$B$23*IF(AQ288=-2,1+regle!$B$35,1),
IF(X288=regle!$C$11,regle!$C$23,
IF(X288=regle!$D$11,regle!$D$23,
IF(X288=regle!$E$11,regle!$E$23,
IF(X288=regle!$F$11,regle!$F$23,
IF(X288=regle!$G$11,regle!$G$23,
IF(X288=regle!$H$11,regle!$H$23,
IF(X288=regle!$I$11,regle!$I$23,
IF(X288=regle!$J$11,regle!$J$23,
IF(X288=regle!$K$11,regle!$K$23,0))))))))))))</f>
        <v>-10106.415000000001</v>
      </c>
      <c r="AI288" s="17">
        <f>IF($A288,$J288*(IF(Y288=regle!$B$11,regle!$B$23*IF(AR288=-2,1+regle!$B$35,1),
IF(Y288=regle!$C$11,regle!$C$23,
IF(Y288=regle!$D$11,regle!$D$23,
IF(Y288=regle!$E$11,regle!$E$23,
IF(Y288=regle!$F$11,regle!$F$23,
IF(Y288=regle!$G$11,regle!$G$23,
IF(Y288=regle!$H$11,regle!$H$23,
IF(Y288=regle!$I$11,regle!$I$23,
IF(Y288=regle!$J$11,regle!$J$23,
IF(Y288=regle!$K$11,regle!$K$23,0))))))))))))</f>
        <v>0</v>
      </c>
      <c r="AJ288" s="17">
        <f>IF($A288,$J288*(IF(Z288=regle!$B$11,regle!$B$23*IF(AS288=-2,1+regle!$B$35,1),
IF(Z288=regle!$C$11,regle!$C$23,
IF(Z288=regle!$D$11,regle!$D$23,
IF(Z288=regle!$E$11,regle!$E$23,
IF(Z288=regle!$F$11,regle!$F$23,
IF(Z288=regle!$G$11,regle!$G$23,
IF(Z288=regle!$H$11,regle!$H$23,
IF(Z288=regle!$I$11,regle!$I$23,
IF(Z288=regle!$J$11,regle!$J$23,
IF(Z288=regle!$K$11,regle!$K$23,0))))))))))))</f>
        <v>-405.33749999999998</v>
      </c>
      <c r="AK288" s="16">
        <f>IF(OR(Q288=regle!$J$11,Q288=regle!$K$11),-2,IF(Q288=regle!$B$11,0,IF(AK$1=$AK$1,IF($O288,-1,regle!$B$2-$M288),IF(AJ288=-1,-1,AJ288+1))))</f>
        <v>19</v>
      </c>
      <c r="AL288" s="16">
        <f>IF(OR(R288=regle!$J$11,R288=regle!$K$11),-2,IF(R288=regle!$B$11,0,IF(AL$1=$AK$1,IF($O288,-1,regle!$B$2-$M288),IF(AK288=-1,-1,AK288+1))))</f>
        <v>20</v>
      </c>
      <c r="AM288" s="16">
        <f>IF(OR(S288=regle!$J$11,S288=regle!$K$11),-2,IF(S288=regle!$B$11,0,IF(AM$1=$AK$1,IF($O288,-1,regle!$B$2-$M288),IF(AL288=-1,-1,AL288+1))))</f>
        <v>21</v>
      </c>
      <c r="AN288" s="16">
        <f>IF(OR(T288=regle!$J$11,T288=regle!$K$11),-2,IF(T288=regle!$B$11,0,IF(AN$1=$AK$1,IF($O288,-1,regle!$B$2-$M288),IF(AM288=-1,-1,AM288+1))))</f>
        <v>22</v>
      </c>
      <c r="AO288" s="16">
        <f>IF(OR(U288=regle!$J$11,U288=regle!$K$11),-2,IF(U288=regle!$B$11,0,IF(AO$1=$AK$1,IF($O288,-1,regle!$B$2-$M288),IF(AN288=-1,-1,AN288+1))))</f>
        <v>23</v>
      </c>
      <c r="AP288" s="16">
        <f>IF(OR(V288=regle!$J$11,V288=regle!$K$11),-2,IF(V288=regle!$B$11,0,IF(AP$1=$AK$1,IF($O288,-1,regle!$B$2-$M288),IF(AO288=-1,-1,AO288+1))))</f>
        <v>24</v>
      </c>
      <c r="AQ288" s="16">
        <f>IF(OR(W288=regle!$J$11,W288=regle!$K$11),-2,IF(W288=regle!$B$11,0,IF(AQ$1=$AK$1,IF($O288,-1,regle!$B$2-$M288),IF(AP288=-1,-1,AP288+1))))</f>
        <v>-2</v>
      </c>
      <c r="AR288" s="16">
        <f>IF(OR(X288=regle!$J$11,X288=regle!$K$11),-2,IF(X288=regle!$B$11,0,IF(AR$1=$AK$1,IF($O288,-1,regle!$B$2-$M288),IF(AQ288=-1,-1,AQ288+1))))</f>
        <v>0</v>
      </c>
      <c r="AS288" s="16">
        <f>IF(OR(Y288=regle!$J$11,Y288=regle!$K$11),-2,IF(Y288=regle!$B$11,0,IF(AS$1=$AK$1,IF($O288,-1,regle!$B$2-$M288),IF(AR288=-1,-1,AR288+1))))</f>
        <v>1</v>
      </c>
      <c r="AT288" s="16">
        <f>IF(OR(Z288=regle!$J$11,Z288=regle!$K$11),-2,IF(Z288=regle!$B$11,0,IF(AT$1=$AK$1,IF($O288,-1,regle!$B$2-$M288),IF(AS288=-1,-1,AS288+1))))</f>
        <v>2</v>
      </c>
    </row>
    <row r="289" spans="1:46" x14ac:dyDescent="0.25">
      <c r="A289" t="b">
        <f>modif0!A327</f>
        <v>1</v>
      </c>
      <c r="B289">
        <f>ROW(modif0!B327)</f>
        <v>327</v>
      </c>
      <c r="C289" t="str">
        <f>modif0!D327</f>
        <v>077</v>
      </c>
      <c r="D289" t="str">
        <f>modif0!E327</f>
        <v>CABANAC-ET-VILLAGRAINS</v>
      </c>
      <c r="E289">
        <f>modif0!F327</f>
        <v>13</v>
      </c>
      <c r="F289" t="str">
        <f>modif0!G327</f>
        <v>LAGUNE LONGUE</v>
      </c>
      <c r="G289" t="str">
        <f>modif0!I327</f>
        <v>0D</v>
      </c>
      <c r="H289">
        <f>modif0!J327</f>
        <v>1511</v>
      </c>
      <c r="I289" t="str">
        <f>modif0!K327</f>
        <v>n</v>
      </c>
      <c r="J289" s="11">
        <f>modif0!M327</f>
        <v>5.0824999999999996</v>
      </c>
      <c r="K289" s="11" t="str">
        <f>modif0!P327</f>
        <v>PLA</v>
      </c>
      <c r="L289" t="str">
        <f>modif0!N327</f>
        <v>PM</v>
      </c>
      <c r="M289">
        <f>modif0!Q327</f>
        <v>2005</v>
      </c>
      <c r="N289" t="str">
        <f>modif0!R327</f>
        <v>PLA-PM_2005</v>
      </c>
      <c r="O289" t="b">
        <f>modif0!S327</f>
        <v>0</v>
      </c>
      <c r="P289">
        <v>40</v>
      </c>
      <c r="T289" t="s">
        <v>1805</v>
      </c>
      <c r="Y289" t="s">
        <v>1806</v>
      </c>
      <c r="AA289" s="17">
        <f>IF($A289,$J289*(IF(Q289=regle!$B$11,regle!$B$23*IF(AJ289=-2,1+regle!$B$35,1),
IF(Q289=regle!$C$11,regle!$C$23,
IF(Q289=regle!$D$11,regle!$D$23,
IF(Q289=regle!$E$11,regle!$E$23,
IF(Q289=regle!$F$11,regle!$F$23,
IF(Q289=regle!$G$11,regle!$G$23,
IF(Q289=regle!$H$11,regle!$H$23,
IF(Q289=regle!$I$11,regle!$I$23,
IF(Q289=regle!$J$11,regle!$J$23,
IF(Q289=regle!$K$11,regle!$K$23,0))))))))))))</f>
        <v>0</v>
      </c>
      <c r="AB289" s="17">
        <f>IF($A289,$J289*(IF(R289=regle!$B$11,regle!$B$23*IF(AK289=-2,1+regle!$B$35,1),
IF(R289=regle!$C$11,regle!$C$23,
IF(R289=regle!$D$11,regle!$D$23,
IF(R289=regle!$E$11,regle!$E$23,
IF(R289=regle!$F$11,regle!$F$23,
IF(R289=regle!$G$11,regle!$G$23,
IF(R289=regle!$H$11,regle!$H$23,
IF(R289=regle!$I$11,regle!$I$23,
IF(R289=regle!$J$11,regle!$J$23,
IF(R289=regle!$K$11,regle!$K$23,0))))))))))))</f>
        <v>0</v>
      </c>
      <c r="AC289" s="17">
        <f>IF($A289,$J289*(IF(S289=regle!$B$11,regle!$B$23*IF(AL289=-2,1+regle!$B$35,1),
IF(S289=regle!$C$11,regle!$C$23,
IF(S289=regle!$D$11,regle!$D$23,
IF(S289=regle!$E$11,regle!$E$23,
IF(S289=regle!$F$11,regle!$F$23,
IF(S289=regle!$G$11,regle!$G$23,
IF(S289=regle!$H$11,regle!$H$23,
IF(S289=regle!$I$11,regle!$I$23,
IF(S289=regle!$J$11,regle!$J$23,
IF(S289=regle!$K$11,regle!$K$23,0))))))))))))</f>
        <v>0</v>
      </c>
      <c r="AD289" s="17">
        <f>IF($A289,$J289*(IF(T289=regle!$B$11,regle!$B$23*IF(AM289=-2,1+regle!$B$35,1),
IF(T289=regle!$C$11,regle!$C$23,
IF(T289=regle!$D$11,regle!$D$23,
IF(T289=regle!$E$11,regle!$E$23,
IF(T289=regle!$F$11,regle!$F$23,
IF(T289=regle!$G$11,regle!$G$23,
IF(T289=regle!$H$11,regle!$H$23,
IF(T289=regle!$I$11,regle!$I$23,
IF(T289=regle!$J$11,regle!$J$23,
IF(T289=regle!$K$11,regle!$K$23,0))))))))))))</f>
        <v>7156.16</v>
      </c>
      <c r="AE289" s="17">
        <f>IF($A289,$J289*(IF(U289=regle!$B$11,regle!$B$23*IF(AN289=-2,1+regle!$B$35,1),
IF(U289=regle!$C$11,regle!$C$23,
IF(U289=regle!$D$11,regle!$D$23,
IF(U289=regle!$E$11,regle!$E$23,
IF(U289=regle!$F$11,regle!$F$23,
IF(U289=regle!$G$11,regle!$G$23,
IF(U289=regle!$H$11,regle!$H$23,
IF(U289=regle!$I$11,regle!$I$23,
IF(U289=regle!$J$11,regle!$J$23,
IF(U289=regle!$K$11,regle!$K$23,0))))))))))))</f>
        <v>0</v>
      </c>
      <c r="AF289" s="17">
        <f>IF($A289,$J289*(IF(V289=regle!$B$11,regle!$B$23*IF(AO289=-2,1+regle!$B$35,1),
IF(V289=regle!$C$11,regle!$C$23,
IF(V289=regle!$D$11,regle!$D$23,
IF(V289=regle!$E$11,regle!$E$23,
IF(V289=regle!$F$11,regle!$F$23,
IF(V289=regle!$G$11,regle!$G$23,
IF(V289=regle!$H$11,regle!$H$23,
IF(V289=regle!$I$11,regle!$I$23,
IF(V289=regle!$J$11,regle!$J$23,
IF(V289=regle!$K$11,regle!$K$23,0))))))))))))</f>
        <v>0</v>
      </c>
      <c r="AG289" s="17">
        <f>IF($A289,$J289*(IF(W289=regle!$B$11,regle!$B$23*IF(AP289=-2,1+regle!$B$35,1),
IF(W289=regle!$C$11,regle!$C$23,
IF(W289=regle!$D$11,regle!$D$23,
IF(W289=regle!$E$11,regle!$E$23,
IF(W289=regle!$F$11,regle!$F$23,
IF(W289=regle!$G$11,regle!$G$23,
IF(W289=regle!$H$11,regle!$H$23,
IF(W289=regle!$I$11,regle!$I$23,
IF(W289=regle!$J$11,regle!$J$23,
IF(W289=regle!$K$11,regle!$K$23,0))))))))))))</f>
        <v>0</v>
      </c>
      <c r="AH289" s="17">
        <f>IF($A289,$J289*(IF(X289=regle!$B$11,regle!$B$23*IF(AQ289=-2,1+regle!$B$35,1),
IF(X289=regle!$C$11,regle!$C$23,
IF(X289=regle!$D$11,regle!$D$23,
IF(X289=regle!$E$11,regle!$E$23,
IF(X289=regle!$F$11,regle!$F$23,
IF(X289=regle!$G$11,regle!$G$23,
IF(X289=regle!$H$11,regle!$H$23,
IF(X289=regle!$I$11,regle!$I$23,
IF(X289=regle!$J$11,regle!$J$23,
IF(X289=regle!$K$11,regle!$K$23,0))))))))))))</f>
        <v>0</v>
      </c>
      <c r="AI289" s="17">
        <f>IF($A289,$J289*(IF(Y289=regle!$B$11,regle!$B$23*IF(AR289=-2,1+regle!$B$35,1),
IF(Y289=regle!$C$11,regle!$C$23,
IF(Y289=regle!$D$11,regle!$D$23,
IF(Y289=regle!$E$11,regle!$E$23,
IF(Y289=regle!$F$11,regle!$F$23,
IF(Y289=regle!$G$11,regle!$G$23,
IF(Y289=regle!$H$11,regle!$H$23,
IF(Y289=regle!$I$11,regle!$I$23,
IF(Y289=regle!$J$11,regle!$J$23,
IF(Y289=regle!$K$11,regle!$K$23,0))))))))))))</f>
        <v>6505.5999999999995</v>
      </c>
      <c r="AJ289" s="17">
        <f>IF($A289,$J289*(IF(Z289=regle!$B$11,regle!$B$23*IF(AS289=-2,1+regle!$B$35,1),
IF(Z289=regle!$C$11,regle!$C$23,
IF(Z289=regle!$D$11,regle!$D$23,
IF(Z289=regle!$E$11,regle!$E$23,
IF(Z289=regle!$F$11,regle!$F$23,
IF(Z289=regle!$G$11,regle!$G$23,
IF(Z289=regle!$H$11,regle!$H$23,
IF(Z289=regle!$I$11,regle!$I$23,
IF(Z289=regle!$J$11,regle!$J$23,
IF(Z289=regle!$K$11,regle!$K$23,0))))))))))))</f>
        <v>0</v>
      </c>
      <c r="AK289" s="16">
        <f>IF(OR(Q289=regle!$J$11,Q289=regle!$K$11),-2,IF(Q289=regle!$B$11,0,IF(AK$1=$AK$1,IF($O289,-1,regle!$B$2-$M289),IF(AJ289=-1,-1,AJ289+1))))</f>
        <v>19</v>
      </c>
      <c r="AL289" s="16">
        <f>IF(OR(R289=regle!$J$11,R289=regle!$K$11),-2,IF(R289=regle!$B$11,0,IF(AL$1=$AK$1,IF($O289,-1,regle!$B$2-$M289),IF(AK289=-1,-1,AK289+1))))</f>
        <v>20</v>
      </c>
      <c r="AM289" s="16">
        <f>IF(OR(S289=regle!$J$11,S289=regle!$K$11),-2,IF(S289=regle!$B$11,0,IF(AM$1=$AK$1,IF($O289,-1,regle!$B$2-$M289),IF(AL289=-1,-1,AL289+1))))</f>
        <v>21</v>
      </c>
      <c r="AN289" s="16">
        <f>IF(OR(T289=regle!$J$11,T289=regle!$K$11),-2,IF(T289=regle!$B$11,0,IF(AN$1=$AK$1,IF($O289,-1,regle!$B$2-$M289),IF(AM289=-1,-1,AM289+1))))</f>
        <v>22</v>
      </c>
      <c r="AO289" s="16">
        <f>IF(OR(U289=regle!$J$11,U289=regle!$K$11),-2,IF(U289=regle!$B$11,0,IF(AO$1=$AK$1,IF($O289,-1,regle!$B$2-$M289),IF(AN289=-1,-1,AN289+1))))</f>
        <v>23</v>
      </c>
      <c r="AP289" s="16">
        <f>IF(OR(V289=regle!$J$11,V289=regle!$K$11),-2,IF(V289=regle!$B$11,0,IF(AP$1=$AK$1,IF($O289,-1,regle!$B$2-$M289),IF(AO289=-1,-1,AO289+1))))</f>
        <v>24</v>
      </c>
      <c r="AQ289" s="16">
        <f>IF(OR(W289=regle!$J$11,W289=regle!$K$11),-2,IF(W289=regle!$B$11,0,IF(AQ$1=$AK$1,IF($O289,-1,regle!$B$2-$M289),IF(AP289=-1,-1,AP289+1))))</f>
        <v>25</v>
      </c>
      <c r="AR289" s="16">
        <f>IF(OR(X289=regle!$J$11,X289=regle!$K$11),-2,IF(X289=regle!$B$11,0,IF(AR$1=$AK$1,IF($O289,-1,regle!$B$2-$M289),IF(AQ289=-1,-1,AQ289+1))))</f>
        <v>26</v>
      </c>
      <c r="AS289" s="16">
        <f>IF(OR(Y289=regle!$J$11,Y289=regle!$K$11),-2,IF(Y289=regle!$B$11,0,IF(AS$1=$AK$1,IF($O289,-1,regle!$B$2-$M289),IF(AR289=-1,-1,AR289+1))))</f>
        <v>27</v>
      </c>
      <c r="AT289" s="16">
        <f>IF(OR(Z289=regle!$J$11,Z289=regle!$K$11),-2,IF(Z289=regle!$B$11,0,IF(AT$1=$AK$1,IF($O289,-1,regle!$B$2-$M289),IF(AS289=-1,-1,AS289+1))))</f>
        <v>28</v>
      </c>
    </row>
    <row r="290" spans="1:46" x14ac:dyDescent="0.25">
      <c r="A290" t="b">
        <f>modif0!A19</f>
        <v>1</v>
      </c>
      <c r="B290">
        <f>ROW(modif0!B19)</f>
        <v>19</v>
      </c>
      <c r="C290" t="str">
        <f>modif0!D19</f>
        <v>536</v>
      </c>
      <c r="D290" t="str">
        <f>modif0!E19</f>
        <v>LE TUZAN</v>
      </c>
      <c r="E290">
        <f>modif0!F19</f>
        <v>8</v>
      </c>
      <c r="F290" t="str">
        <f>modif0!G19</f>
        <v>AU BLANC</v>
      </c>
      <c r="G290" t="str">
        <f>modif0!I19</f>
        <v>0A</v>
      </c>
      <c r="H290">
        <f>modif0!J19</f>
        <v>390</v>
      </c>
      <c r="I290" t="str">
        <f>modif0!K19</f>
        <v/>
      </c>
      <c r="J290" s="11">
        <f>modif0!M19</f>
        <v>4.0069999999999997</v>
      </c>
      <c r="K290" s="11" t="str">
        <f>modif0!P19</f>
        <v>PLA</v>
      </c>
      <c r="L290" t="str">
        <f>modif0!N19</f>
        <v>PM</v>
      </c>
      <c r="M290">
        <f>modif0!Q19</f>
        <v>2005</v>
      </c>
      <c r="N290" t="str">
        <f>modif0!R19</f>
        <v>PLA-PM_2005</v>
      </c>
      <c r="O290" t="b">
        <f>modif0!S19</f>
        <v>0</v>
      </c>
      <c r="P290">
        <v>40</v>
      </c>
      <c r="T290" t="s">
        <v>1805</v>
      </c>
      <c r="Y290" t="s">
        <v>1806</v>
      </c>
      <c r="AA290" s="17">
        <f>IF($A290,$J290*(IF(Q290=regle!$B$11,regle!$B$23*IF(AJ290=-2,1+regle!$B$35,1),
IF(Q290=regle!$C$11,regle!$C$23,
IF(Q290=regle!$D$11,regle!$D$23,
IF(Q290=regle!$E$11,regle!$E$23,
IF(Q290=regle!$F$11,regle!$F$23,
IF(Q290=regle!$G$11,regle!$G$23,
IF(Q290=regle!$H$11,regle!$H$23,
IF(Q290=regle!$I$11,regle!$I$23,
IF(Q290=regle!$J$11,regle!$J$23,
IF(Q290=regle!$K$11,regle!$K$23,0))))))))))))</f>
        <v>0</v>
      </c>
      <c r="AB290" s="17">
        <f>IF($A290,$J290*(IF(R290=regle!$B$11,regle!$B$23*IF(AK290=-2,1+regle!$B$35,1),
IF(R290=regle!$C$11,regle!$C$23,
IF(R290=regle!$D$11,regle!$D$23,
IF(R290=regle!$E$11,regle!$E$23,
IF(R290=regle!$F$11,regle!$F$23,
IF(R290=regle!$G$11,regle!$G$23,
IF(R290=regle!$H$11,regle!$H$23,
IF(R290=regle!$I$11,regle!$I$23,
IF(R290=regle!$J$11,regle!$J$23,
IF(R290=regle!$K$11,regle!$K$23,0))))))))))))</f>
        <v>0</v>
      </c>
      <c r="AC290" s="17">
        <f>IF($A290,$J290*(IF(S290=regle!$B$11,regle!$B$23*IF(AL290=-2,1+regle!$B$35,1),
IF(S290=regle!$C$11,regle!$C$23,
IF(S290=regle!$D$11,regle!$D$23,
IF(S290=regle!$E$11,regle!$E$23,
IF(S290=regle!$F$11,regle!$F$23,
IF(S290=regle!$G$11,regle!$G$23,
IF(S290=regle!$H$11,regle!$H$23,
IF(S290=regle!$I$11,regle!$I$23,
IF(S290=regle!$J$11,regle!$J$23,
IF(S290=regle!$K$11,regle!$K$23,0))))))))))))</f>
        <v>0</v>
      </c>
      <c r="AD290" s="17">
        <f>IF($A290,$J290*(IF(T290=regle!$B$11,regle!$B$23*IF(AM290=-2,1+regle!$B$35,1),
IF(T290=regle!$C$11,regle!$C$23,
IF(T290=regle!$D$11,regle!$D$23,
IF(T290=regle!$E$11,regle!$E$23,
IF(T290=regle!$F$11,regle!$F$23,
IF(T290=regle!$G$11,regle!$G$23,
IF(T290=regle!$H$11,regle!$H$23,
IF(T290=regle!$I$11,regle!$I$23,
IF(T290=regle!$J$11,regle!$J$23,
IF(T290=regle!$K$11,regle!$K$23,0))))))))))))</f>
        <v>5641.8559999999998</v>
      </c>
      <c r="AE290" s="17">
        <f>IF($A290,$J290*(IF(U290=regle!$B$11,regle!$B$23*IF(AN290=-2,1+regle!$B$35,1),
IF(U290=regle!$C$11,regle!$C$23,
IF(U290=regle!$D$11,regle!$D$23,
IF(U290=regle!$E$11,regle!$E$23,
IF(U290=regle!$F$11,regle!$F$23,
IF(U290=regle!$G$11,regle!$G$23,
IF(U290=regle!$H$11,regle!$H$23,
IF(U290=regle!$I$11,regle!$I$23,
IF(U290=regle!$J$11,regle!$J$23,
IF(U290=regle!$K$11,regle!$K$23,0))))))))))))</f>
        <v>0</v>
      </c>
      <c r="AF290" s="17">
        <f>IF($A290,$J290*(IF(V290=regle!$B$11,regle!$B$23*IF(AO290=-2,1+regle!$B$35,1),
IF(V290=regle!$C$11,regle!$C$23,
IF(V290=regle!$D$11,regle!$D$23,
IF(V290=regle!$E$11,regle!$E$23,
IF(V290=regle!$F$11,regle!$F$23,
IF(V290=regle!$G$11,regle!$G$23,
IF(V290=regle!$H$11,regle!$H$23,
IF(V290=regle!$I$11,regle!$I$23,
IF(V290=regle!$J$11,regle!$J$23,
IF(V290=regle!$K$11,regle!$K$23,0))))))))))))</f>
        <v>0</v>
      </c>
      <c r="AG290" s="17">
        <f>IF($A290,$J290*(IF(W290=regle!$B$11,regle!$B$23*IF(AP290=-2,1+regle!$B$35,1),
IF(W290=regle!$C$11,regle!$C$23,
IF(W290=regle!$D$11,regle!$D$23,
IF(W290=regle!$E$11,regle!$E$23,
IF(W290=regle!$F$11,regle!$F$23,
IF(W290=regle!$G$11,regle!$G$23,
IF(W290=regle!$H$11,regle!$H$23,
IF(W290=regle!$I$11,regle!$I$23,
IF(W290=regle!$J$11,regle!$J$23,
IF(W290=regle!$K$11,regle!$K$23,0))))))))))))</f>
        <v>0</v>
      </c>
      <c r="AH290" s="17">
        <f>IF($A290,$J290*(IF(X290=regle!$B$11,regle!$B$23*IF(AQ290=-2,1+regle!$B$35,1),
IF(X290=regle!$C$11,regle!$C$23,
IF(X290=regle!$D$11,regle!$D$23,
IF(X290=regle!$E$11,regle!$E$23,
IF(X290=regle!$F$11,regle!$F$23,
IF(X290=regle!$G$11,regle!$G$23,
IF(X290=regle!$H$11,regle!$H$23,
IF(X290=regle!$I$11,regle!$I$23,
IF(X290=regle!$J$11,regle!$J$23,
IF(X290=regle!$K$11,regle!$K$23,0))))))))))))</f>
        <v>0</v>
      </c>
      <c r="AI290" s="17">
        <f>IF($A290,$J290*(IF(Y290=regle!$B$11,regle!$B$23*IF(AR290=-2,1+regle!$B$35,1),
IF(Y290=regle!$C$11,regle!$C$23,
IF(Y290=regle!$D$11,regle!$D$23,
IF(Y290=regle!$E$11,regle!$E$23,
IF(Y290=regle!$F$11,regle!$F$23,
IF(Y290=regle!$G$11,regle!$G$23,
IF(Y290=regle!$H$11,regle!$H$23,
IF(Y290=regle!$I$11,regle!$I$23,
IF(Y290=regle!$J$11,regle!$J$23,
IF(Y290=regle!$K$11,regle!$K$23,0))))))))))))</f>
        <v>5128.9599999999991</v>
      </c>
      <c r="AJ290" s="17">
        <f>IF($A290,$J290*(IF(Z290=regle!$B$11,regle!$B$23*IF(AS290=-2,1+regle!$B$35,1),
IF(Z290=regle!$C$11,regle!$C$23,
IF(Z290=regle!$D$11,regle!$D$23,
IF(Z290=regle!$E$11,regle!$E$23,
IF(Z290=regle!$F$11,regle!$F$23,
IF(Z290=regle!$G$11,regle!$G$23,
IF(Z290=regle!$H$11,regle!$H$23,
IF(Z290=regle!$I$11,regle!$I$23,
IF(Z290=regle!$J$11,regle!$J$23,
IF(Z290=regle!$K$11,regle!$K$23,0))))))))))))</f>
        <v>0</v>
      </c>
      <c r="AK290" s="16">
        <f>IF(OR(Q290=regle!$J$11,Q290=regle!$K$11),-2,IF(Q290=regle!$B$11,0,IF(AK$1=$AK$1,IF($O290,-1,regle!$B$2-$M290),IF(AJ290=-1,-1,AJ290+1))))</f>
        <v>19</v>
      </c>
      <c r="AL290" s="16">
        <f>IF(OR(R290=regle!$J$11,R290=regle!$K$11),-2,IF(R290=regle!$B$11,0,IF(AL$1=$AK$1,IF($O290,-1,regle!$B$2-$M290),IF(AK290=-1,-1,AK290+1))))</f>
        <v>20</v>
      </c>
      <c r="AM290" s="16">
        <f>IF(OR(S290=regle!$J$11,S290=regle!$K$11),-2,IF(S290=regle!$B$11,0,IF(AM$1=$AK$1,IF($O290,-1,regle!$B$2-$M290),IF(AL290=-1,-1,AL290+1))))</f>
        <v>21</v>
      </c>
      <c r="AN290" s="16">
        <f>IF(OR(T290=regle!$J$11,T290=regle!$K$11),-2,IF(T290=regle!$B$11,0,IF(AN$1=$AK$1,IF($O290,-1,regle!$B$2-$M290),IF(AM290=-1,-1,AM290+1))))</f>
        <v>22</v>
      </c>
      <c r="AO290" s="16">
        <f>IF(OR(U290=regle!$J$11,U290=regle!$K$11),-2,IF(U290=regle!$B$11,0,IF(AO$1=$AK$1,IF($O290,-1,regle!$B$2-$M290),IF(AN290=-1,-1,AN290+1))))</f>
        <v>23</v>
      </c>
      <c r="AP290" s="16">
        <f>IF(OR(V290=regle!$J$11,V290=regle!$K$11),-2,IF(V290=regle!$B$11,0,IF(AP$1=$AK$1,IF($O290,-1,regle!$B$2-$M290),IF(AO290=-1,-1,AO290+1))))</f>
        <v>24</v>
      </c>
      <c r="AQ290" s="16">
        <f>IF(OR(W290=regle!$J$11,W290=regle!$K$11),-2,IF(W290=regle!$B$11,0,IF(AQ$1=$AK$1,IF($O290,-1,regle!$B$2-$M290),IF(AP290=-1,-1,AP290+1))))</f>
        <v>25</v>
      </c>
      <c r="AR290" s="16">
        <f>IF(OR(X290=regle!$J$11,X290=regle!$K$11),-2,IF(X290=regle!$B$11,0,IF(AR$1=$AK$1,IF($O290,-1,regle!$B$2-$M290),IF(AQ290=-1,-1,AQ290+1))))</f>
        <v>26</v>
      </c>
      <c r="AS290" s="16">
        <f>IF(OR(Y290=regle!$J$11,Y290=regle!$K$11),-2,IF(Y290=regle!$B$11,0,IF(AS$1=$AK$1,IF($O290,-1,regle!$B$2-$M290),IF(AR290=-1,-1,AR290+1))))</f>
        <v>27</v>
      </c>
      <c r="AT290" s="16">
        <f>IF(OR(Z290=regle!$J$11,Z290=regle!$K$11),-2,IF(Z290=regle!$B$11,0,IF(AT$1=$AK$1,IF($O290,-1,regle!$B$2-$M290),IF(AS290=-1,-1,AS290+1))))</f>
        <v>28</v>
      </c>
    </row>
    <row r="291" spans="1:46" x14ac:dyDescent="0.25">
      <c r="A291" t="b">
        <f>modif0!A14</f>
        <v>1</v>
      </c>
      <c r="B291">
        <f>ROW(modif0!B14)</f>
        <v>14</v>
      </c>
      <c r="C291" t="str">
        <f>modif0!D14</f>
        <v>536</v>
      </c>
      <c r="D291" t="str">
        <f>modif0!E14</f>
        <v>LE TUZAN</v>
      </c>
      <c r="E291">
        <f>modif0!F14</f>
        <v>11</v>
      </c>
      <c r="F291" t="str">
        <f>modif0!G14</f>
        <v>LA HONTEYRE</v>
      </c>
      <c r="G291" t="str">
        <f>modif0!I14</f>
        <v>0A</v>
      </c>
      <c r="H291">
        <f>modif0!J14</f>
        <v>253</v>
      </c>
      <c r="I291" t="str">
        <f>modif0!K14</f>
        <v/>
      </c>
      <c r="J291" s="11">
        <f>modif0!M14</f>
        <v>3.5975000000000001</v>
      </c>
      <c r="K291" s="11" t="str">
        <f>modif0!P14</f>
        <v>PLA</v>
      </c>
      <c r="L291" t="str">
        <f>modif0!N14</f>
        <v>PM</v>
      </c>
      <c r="M291">
        <f>modif0!Q14</f>
        <v>2005</v>
      </c>
      <c r="N291" t="str">
        <f>modif0!R14</f>
        <v>PLA-PM_2005</v>
      </c>
      <c r="O291" t="b">
        <f>modif0!S14</f>
        <v>0</v>
      </c>
      <c r="P291">
        <v>40</v>
      </c>
      <c r="T291" t="s">
        <v>1805</v>
      </c>
      <c r="Y291" t="s">
        <v>1806</v>
      </c>
      <c r="AA291" s="17">
        <f>IF($A291,$J291*(IF(Q291=regle!$B$11,regle!$B$23*IF(AJ291=-2,1+regle!$B$35,1),
IF(Q291=regle!$C$11,regle!$C$23,
IF(Q291=regle!$D$11,regle!$D$23,
IF(Q291=regle!$E$11,regle!$E$23,
IF(Q291=regle!$F$11,regle!$F$23,
IF(Q291=regle!$G$11,regle!$G$23,
IF(Q291=regle!$H$11,regle!$H$23,
IF(Q291=regle!$I$11,regle!$I$23,
IF(Q291=regle!$J$11,regle!$J$23,
IF(Q291=regle!$K$11,regle!$K$23,0))))))))))))</f>
        <v>0</v>
      </c>
      <c r="AB291" s="17">
        <f>IF($A291,$J291*(IF(R291=regle!$B$11,regle!$B$23*IF(AK291=-2,1+regle!$B$35,1),
IF(R291=regle!$C$11,regle!$C$23,
IF(R291=regle!$D$11,regle!$D$23,
IF(R291=regle!$E$11,regle!$E$23,
IF(R291=regle!$F$11,regle!$F$23,
IF(R291=regle!$G$11,regle!$G$23,
IF(R291=regle!$H$11,regle!$H$23,
IF(R291=regle!$I$11,regle!$I$23,
IF(R291=regle!$J$11,regle!$J$23,
IF(R291=regle!$K$11,regle!$K$23,0))))))))))))</f>
        <v>0</v>
      </c>
      <c r="AC291" s="17">
        <f>IF($A291,$J291*(IF(S291=regle!$B$11,regle!$B$23*IF(AL291=-2,1+regle!$B$35,1),
IF(S291=regle!$C$11,regle!$C$23,
IF(S291=regle!$D$11,regle!$D$23,
IF(S291=regle!$E$11,regle!$E$23,
IF(S291=regle!$F$11,regle!$F$23,
IF(S291=regle!$G$11,regle!$G$23,
IF(S291=regle!$H$11,regle!$H$23,
IF(S291=regle!$I$11,regle!$I$23,
IF(S291=regle!$J$11,regle!$J$23,
IF(S291=regle!$K$11,regle!$K$23,0))))))))))))</f>
        <v>0</v>
      </c>
      <c r="AD291" s="17">
        <f>IF($A291,$J291*(IF(T291=regle!$B$11,regle!$B$23*IF(AM291=-2,1+regle!$B$35,1),
IF(T291=regle!$C$11,regle!$C$23,
IF(T291=regle!$D$11,regle!$D$23,
IF(T291=regle!$E$11,regle!$E$23,
IF(T291=regle!$F$11,regle!$F$23,
IF(T291=regle!$G$11,regle!$G$23,
IF(T291=regle!$H$11,regle!$H$23,
IF(T291=regle!$I$11,regle!$I$23,
IF(T291=regle!$J$11,regle!$J$23,
IF(T291=regle!$K$11,regle!$K$23,0))))))))))))</f>
        <v>5065.2800000000007</v>
      </c>
      <c r="AE291" s="17">
        <f>IF($A291,$J291*(IF(U291=regle!$B$11,regle!$B$23*IF(AN291=-2,1+regle!$B$35,1),
IF(U291=regle!$C$11,regle!$C$23,
IF(U291=regle!$D$11,regle!$D$23,
IF(U291=regle!$E$11,regle!$E$23,
IF(U291=regle!$F$11,regle!$F$23,
IF(U291=regle!$G$11,regle!$G$23,
IF(U291=regle!$H$11,regle!$H$23,
IF(U291=regle!$I$11,regle!$I$23,
IF(U291=regle!$J$11,regle!$J$23,
IF(U291=regle!$K$11,regle!$K$23,0))))))))))))</f>
        <v>0</v>
      </c>
      <c r="AF291" s="17">
        <f>IF($A291,$J291*(IF(V291=regle!$B$11,regle!$B$23*IF(AO291=-2,1+regle!$B$35,1),
IF(V291=regle!$C$11,regle!$C$23,
IF(V291=regle!$D$11,regle!$D$23,
IF(V291=regle!$E$11,regle!$E$23,
IF(V291=regle!$F$11,regle!$F$23,
IF(V291=regle!$G$11,regle!$G$23,
IF(V291=regle!$H$11,regle!$H$23,
IF(V291=regle!$I$11,regle!$I$23,
IF(V291=regle!$J$11,regle!$J$23,
IF(V291=regle!$K$11,regle!$K$23,0))))))))))))</f>
        <v>0</v>
      </c>
      <c r="AG291" s="17">
        <f>IF($A291,$J291*(IF(W291=regle!$B$11,regle!$B$23*IF(AP291=-2,1+regle!$B$35,1),
IF(W291=regle!$C$11,regle!$C$23,
IF(W291=regle!$D$11,regle!$D$23,
IF(W291=regle!$E$11,regle!$E$23,
IF(W291=regle!$F$11,regle!$F$23,
IF(W291=regle!$G$11,regle!$G$23,
IF(W291=regle!$H$11,regle!$H$23,
IF(W291=regle!$I$11,regle!$I$23,
IF(W291=regle!$J$11,regle!$J$23,
IF(W291=regle!$K$11,regle!$K$23,0))))))))))))</f>
        <v>0</v>
      </c>
      <c r="AH291" s="17">
        <f>IF($A291,$J291*(IF(X291=regle!$B$11,regle!$B$23*IF(AQ291=-2,1+regle!$B$35,1),
IF(X291=regle!$C$11,regle!$C$23,
IF(X291=regle!$D$11,regle!$D$23,
IF(X291=regle!$E$11,regle!$E$23,
IF(X291=regle!$F$11,regle!$F$23,
IF(X291=regle!$G$11,regle!$G$23,
IF(X291=regle!$H$11,regle!$H$23,
IF(X291=regle!$I$11,regle!$I$23,
IF(X291=regle!$J$11,regle!$J$23,
IF(X291=regle!$K$11,regle!$K$23,0))))))))))))</f>
        <v>0</v>
      </c>
      <c r="AI291" s="17">
        <f>IF($A291,$J291*(IF(Y291=regle!$B$11,regle!$B$23*IF(AR291=-2,1+regle!$B$35,1),
IF(Y291=regle!$C$11,regle!$C$23,
IF(Y291=regle!$D$11,regle!$D$23,
IF(Y291=regle!$E$11,regle!$E$23,
IF(Y291=regle!$F$11,regle!$F$23,
IF(Y291=regle!$G$11,regle!$G$23,
IF(Y291=regle!$H$11,regle!$H$23,
IF(Y291=regle!$I$11,regle!$I$23,
IF(Y291=regle!$J$11,regle!$J$23,
IF(Y291=regle!$K$11,regle!$K$23,0))))))))))))</f>
        <v>4604.8</v>
      </c>
      <c r="AJ291" s="17">
        <f>IF($A291,$J291*(IF(Z291=regle!$B$11,regle!$B$23*IF(AS291=-2,1+regle!$B$35,1),
IF(Z291=regle!$C$11,regle!$C$23,
IF(Z291=regle!$D$11,regle!$D$23,
IF(Z291=regle!$E$11,regle!$E$23,
IF(Z291=regle!$F$11,regle!$F$23,
IF(Z291=regle!$G$11,regle!$G$23,
IF(Z291=regle!$H$11,regle!$H$23,
IF(Z291=regle!$I$11,regle!$I$23,
IF(Z291=regle!$J$11,regle!$J$23,
IF(Z291=regle!$K$11,regle!$K$23,0))))))))))))</f>
        <v>0</v>
      </c>
      <c r="AK291" s="16">
        <f>IF(OR(Q291=regle!$J$11,Q291=regle!$K$11),-2,IF(Q291=regle!$B$11,0,IF(AK$1=$AK$1,IF($O291,-1,regle!$B$2-$M291),IF(AJ291=-1,-1,AJ291+1))))</f>
        <v>19</v>
      </c>
      <c r="AL291" s="16">
        <f>IF(OR(R291=regle!$J$11,R291=regle!$K$11),-2,IF(R291=regle!$B$11,0,IF(AL$1=$AK$1,IF($O291,-1,regle!$B$2-$M291),IF(AK291=-1,-1,AK291+1))))</f>
        <v>20</v>
      </c>
      <c r="AM291" s="16">
        <f>IF(OR(S291=regle!$J$11,S291=regle!$K$11),-2,IF(S291=regle!$B$11,0,IF(AM$1=$AK$1,IF($O291,-1,regle!$B$2-$M291),IF(AL291=-1,-1,AL291+1))))</f>
        <v>21</v>
      </c>
      <c r="AN291" s="16">
        <f>IF(OR(T291=regle!$J$11,T291=regle!$K$11),-2,IF(T291=regle!$B$11,0,IF(AN$1=$AK$1,IF($O291,-1,regle!$B$2-$M291),IF(AM291=-1,-1,AM291+1))))</f>
        <v>22</v>
      </c>
      <c r="AO291" s="16">
        <f>IF(OR(U291=regle!$J$11,U291=regle!$K$11),-2,IF(U291=regle!$B$11,0,IF(AO$1=$AK$1,IF($O291,-1,regle!$B$2-$M291),IF(AN291=-1,-1,AN291+1))))</f>
        <v>23</v>
      </c>
      <c r="AP291" s="16">
        <f>IF(OR(V291=regle!$J$11,V291=regle!$K$11),-2,IF(V291=regle!$B$11,0,IF(AP$1=$AK$1,IF($O291,-1,regle!$B$2-$M291),IF(AO291=-1,-1,AO291+1))))</f>
        <v>24</v>
      </c>
      <c r="AQ291" s="16">
        <f>IF(OR(W291=regle!$J$11,W291=regle!$K$11),-2,IF(W291=regle!$B$11,0,IF(AQ$1=$AK$1,IF($O291,-1,regle!$B$2-$M291),IF(AP291=-1,-1,AP291+1))))</f>
        <v>25</v>
      </c>
      <c r="AR291" s="16">
        <f>IF(OR(X291=regle!$J$11,X291=regle!$K$11),-2,IF(X291=regle!$B$11,0,IF(AR$1=$AK$1,IF($O291,-1,regle!$B$2-$M291),IF(AQ291=-1,-1,AQ291+1))))</f>
        <v>26</v>
      </c>
      <c r="AS291" s="16">
        <f>IF(OR(Y291=regle!$J$11,Y291=regle!$K$11),-2,IF(Y291=regle!$B$11,0,IF(AS$1=$AK$1,IF($O291,-1,regle!$B$2-$M291),IF(AR291=-1,-1,AR291+1))))</f>
        <v>27</v>
      </c>
      <c r="AT291" s="16">
        <f>IF(OR(Z291=regle!$J$11,Z291=regle!$K$11),-2,IF(Z291=regle!$B$11,0,IF(AT$1=$AK$1,IF($O291,-1,regle!$B$2-$M291),IF(AS291=-1,-1,AS291+1))))</f>
        <v>28</v>
      </c>
    </row>
    <row r="292" spans="1:46" x14ac:dyDescent="0.25">
      <c r="A292" t="b">
        <f>modif0!A253</f>
        <v>1</v>
      </c>
      <c r="B292">
        <f>ROW(modif0!B253)</f>
        <v>253</v>
      </c>
      <c r="C292" t="str">
        <f>modif0!D253</f>
        <v>171</v>
      </c>
      <c r="D292" t="str">
        <f>modif0!E253</f>
        <v>MANO</v>
      </c>
      <c r="E292">
        <f>modif0!F253</f>
        <v>17</v>
      </c>
      <c r="F292" t="str">
        <f>modif0!G253</f>
        <v>LANDE DE TABARTON</v>
      </c>
      <c r="G292" t="str">
        <f>modif0!I253</f>
        <v>0B</v>
      </c>
      <c r="H292">
        <f>modif0!J253</f>
        <v>266</v>
      </c>
      <c r="I292" t="str">
        <f>modif0!K253</f>
        <v>k</v>
      </c>
      <c r="J292" s="11">
        <f>modif0!M253</f>
        <v>3.3702000000000001</v>
      </c>
      <c r="K292" s="11" t="str">
        <f>modif0!P253</f>
        <v>PLA</v>
      </c>
      <c r="L292" t="str">
        <f>modif0!N253</f>
        <v>PM</v>
      </c>
      <c r="M292">
        <f>modif0!Q253</f>
        <v>2005</v>
      </c>
      <c r="N292" t="str">
        <f>modif0!R253</f>
        <v>PLA-PM_2005</v>
      </c>
      <c r="O292" t="b">
        <f>modif0!S253</f>
        <v>0</v>
      </c>
      <c r="P292">
        <v>40</v>
      </c>
      <c r="T292" t="s">
        <v>1805</v>
      </c>
      <c r="Y292" t="s">
        <v>1806</v>
      </c>
      <c r="AA292" s="17">
        <f>IF($A292,$J292*(IF(Q292=regle!$B$11,regle!$B$23*IF(AJ292=-2,1+regle!$B$35,1),
IF(Q292=regle!$C$11,regle!$C$23,
IF(Q292=regle!$D$11,regle!$D$23,
IF(Q292=regle!$E$11,regle!$E$23,
IF(Q292=regle!$F$11,regle!$F$23,
IF(Q292=regle!$G$11,regle!$G$23,
IF(Q292=regle!$H$11,regle!$H$23,
IF(Q292=regle!$I$11,regle!$I$23,
IF(Q292=regle!$J$11,regle!$J$23,
IF(Q292=regle!$K$11,regle!$K$23,0))))))))))))</f>
        <v>0</v>
      </c>
      <c r="AB292" s="17">
        <f>IF($A292,$J292*(IF(R292=regle!$B$11,regle!$B$23*IF(AK292=-2,1+regle!$B$35,1),
IF(R292=regle!$C$11,regle!$C$23,
IF(R292=regle!$D$11,regle!$D$23,
IF(R292=regle!$E$11,regle!$E$23,
IF(R292=regle!$F$11,regle!$F$23,
IF(R292=regle!$G$11,regle!$G$23,
IF(R292=regle!$H$11,regle!$H$23,
IF(R292=regle!$I$11,regle!$I$23,
IF(R292=regle!$J$11,regle!$J$23,
IF(R292=regle!$K$11,regle!$K$23,0))))))))))))</f>
        <v>0</v>
      </c>
      <c r="AC292" s="17">
        <f>IF($A292,$J292*(IF(S292=regle!$B$11,regle!$B$23*IF(AL292=-2,1+regle!$B$35,1),
IF(S292=regle!$C$11,regle!$C$23,
IF(S292=regle!$D$11,regle!$D$23,
IF(S292=regle!$E$11,regle!$E$23,
IF(S292=regle!$F$11,regle!$F$23,
IF(S292=regle!$G$11,regle!$G$23,
IF(S292=regle!$H$11,regle!$H$23,
IF(S292=regle!$I$11,regle!$I$23,
IF(S292=regle!$J$11,regle!$J$23,
IF(S292=regle!$K$11,regle!$K$23,0))))))))))))</f>
        <v>0</v>
      </c>
      <c r="AD292" s="17">
        <f>IF($A292,$J292*(IF(T292=regle!$B$11,regle!$B$23*IF(AM292=-2,1+regle!$B$35,1),
IF(T292=regle!$C$11,regle!$C$23,
IF(T292=regle!$D$11,regle!$D$23,
IF(T292=regle!$E$11,regle!$E$23,
IF(T292=regle!$F$11,regle!$F$23,
IF(T292=regle!$G$11,regle!$G$23,
IF(T292=regle!$H$11,regle!$H$23,
IF(T292=regle!$I$11,regle!$I$23,
IF(T292=regle!$J$11,regle!$J$23,
IF(T292=regle!$K$11,regle!$K$23,0))))))))))))</f>
        <v>4745.2416000000003</v>
      </c>
      <c r="AE292" s="17">
        <f>IF($A292,$J292*(IF(U292=regle!$B$11,regle!$B$23*IF(AN292=-2,1+regle!$B$35,1),
IF(U292=regle!$C$11,regle!$C$23,
IF(U292=regle!$D$11,regle!$D$23,
IF(U292=regle!$E$11,regle!$E$23,
IF(U292=regle!$F$11,regle!$F$23,
IF(U292=regle!$G$11,regle!$G$23,
IF(U292=regle!$H$11,regle!$H$23,
IF(U292=regle!$I$11,regle!$I$23,
IF(U292=regle!$J$11,regle!$J$23,
IF(U292=regle!$K$11,regle!$K$23,0))))))))))))</f>
        <v>0</v>
      </c>
      <c r="AF292" s="17">
        <f>IF($A292,$J292*(IF(V292=regle!$B$11,regle!$B$23*IF(AO292=-2,1+regle!$B$35,1),
IF(V292=regle!$C$11,regle!$C$23,
IF(V292=regle!$D$11,regle!$D$23,
IF(V292=regle!$E$11,regle!$E$23,
IF(V292=regle!$F$11,regle!$F$23,
IF(V292=regle!$G$11,regle!$G$23,
IF(V292=regle!$H$11,regle!$H$23,
IF(V292=regle!$I$11,regle!$I$23,
IF(V292=regle!$J$11,regle!$J$23,
IF(V292=regle!$K$11,regle!$K$23,0))))))))))))</f>
        <v>0</v>
      </c>
      <c r="AG292" s="17">
        <f>IF($A292,$J292*(IF(W292=regle!$B$11,regle!$B$23*IF(AP292=-2,1+regle!$B$35,1),
IF(W292=regle!$C$11,regle!$C$23,
IF(W292=regle!$D$11,regle!$D$23,
IF(W292=regle!$E$11,regle!$E$23,
IF(W292=regle!$F$11,regle!$F$23,
IF(W292=regle!$G$11,regle!$G$23,
IF(W292=regle!$H$11,regle!$H$23,
IF(W292=regle!$I$11,regle!$I$23,
IF(W292=regle!$J$11,regle!$J$23,
IF(W292=regle!$K$11,regle!$K$23,0))))))))))))</f>
        <v>0</v>
      </c>
      <c r="AH292" s="17">
        <f>IF($A292,$J292*(IF(X292=regle!$B$11,regle!$B$23*IF(AQ292=-2,1+regle!$B$35,1),
IF(X292=regle!$C$11,regle!$C$23,
IF(X292=regle!$D$11,regle!$D$23,
IF(X292=regle!$E$11,regle!$E$23,
IF(X292=regle!$F$11,regle!$F$23,
IF(X292=regle!$G$11,regle!$G$23,
IF(X292=regle!$H$11,regle!$H$23,
IF(X292=regle!$I$11,regle!$I$23,
IF(X292=regle!$J$11,regle!$J$23,
IF(X292=regle!$K$11,regle!$K$23,0))))))))))))</f>
        <v>0</v>
      </c>
      <c r="AI292" s="17">
        <f>IF($A292,$J292*(IF(Y292=regle!$B$11,regle!$B$23*IF(AR292=-2,1+regle!$B$35,1),
IF(Y292=regle!$C$11,regle!$C$23,
IF(Y292=regle!$D$11,regle!$D$23,
IF(Y292=regle!$E$11,regle!$E$23,
IF(Y292=regle!$F$11,regle!$F$23,
IF(Y292=regle!$G$11,regle!$G$23,
IF(Y292=regle!$H$11,regle!$H$23,
IF(Y292=regle!$I$11,regle!$I$23,
IF(Y292=regle!$J$11,regle!$J$23,
IF(Y292=regle!$K$11,regle!$K$23,0))))))))))))</f>
        <v>4313.8559999999998</v>
      </c>
      <c r="AJ292" s="17">
        <f>IF($A292,$J292*(IF(Z292=regle!$B$11,regle!$B$23*IF(AS292=-2,1+regle!$B$35,1),
IF(Z292=regle!$C$11,regle!$C$23,
IF(Z292=regle!$D$11,regle!$D$23,
IF(Z292=regle!$E$11,regle!$E$23,
IF(Z292=regle!$F$11,regle!$F$23,
IF(Z292=regle!$G$11,regle!$G$23,
IF(Z292=regle!$H$11,regle!$H$23,
IF(Z292=regle!$I$11,regle!$I$23,
IF(Z292=regle!$J$11,regle!$J$23,
IF(Z292=regle!$K$11,regle!$K$23,0))))))))))))</f>
        <v>0</v>
      </c>
      <c r="AK292" s="16">
        <f>IF(OR(Q292=regle!$J$11,Q292=regle!$K$11),-2,IF(Q292=regle!$B$11,0,IF(AK$1=$AK$1,IF($O292,-1,regle!$B$2-$M292),IF(AJ292=-1,-1,AJ292+1))))</f>
        <v>19</v>
      </c>
      <c r="AL292" s="16">
        <f>IF(OR(R292=regle!$J$11,R292=regle!$K$11),-2,IF(R292=regle!$B$11,0,IF(AL$1=$AK$1,IF($O292,-1,regle!$B$2-$M292),IF(AK292=-1,-1,AK292+1))))</f>
        <v>20</v>
      </c>
      <c r="AM292" s="16">
        <f>IF(OR(S292=regle!$J$11,S292=regle!$K$11),-2,IF(S292=regle!$B$11,0,IF(AM$1=$AK$1,IF($O292,-1,regle!$B$2-$M292),IF(AL292=-1,-1,AL292+1))))</f>
        <v>21</v>
      </c>
      <c r="AN292" s="16">
        <f>IF(OR(T292=regle!$J$11,T292=regle!$K$11),-2,IF(T292=regle!$B$11,0,IF(AN$1=$AK$1,IF($O292,-1,regle!$B$2-$M292),IF(AM292=-1,-1,AM292+1))))</f>
        <v>22</v>
      </c>
      <c r="AO292" s="16">
        <f>IF(OR(U292=regle!$J$11,U292=regle!$K$11),-2,IF(U292=regle!$B$11,0,IF(AO$1=$AK$1,IF($O292,-1,regle!$B$2-$M292),IF(AN292=-1,-1,AN292+1))))</f>
        <v>23</v>
      </c>
      <c r="AP292" s="16">
        <f>IF(OR(V292=regle!$J$11,V292=regle!$K$11),-2,IF(V292=regle!$B$11,0,IF(AP$1=$AK$1,IF($O292,-1,regle!$B$2-$M292),IF(AO292=-1,-1,AO292+1))))</f>
        <v>24</v>
      </c>
      <c r="AQ292" s="16">
        <f>IF(OR(W292=regle!$J$11,W292=regle!$K$11),-2,IF(W292=regle!$B$11,0,IF(AQ$1=$AK$1,IF($O292,-1,regle!$B$2-$M292),IF(AP292=-1,-1,AP292+1))))</f>
        <v>25</v>
      </c>
      <c r="AR292" s="16">
        <f>IF(OR(X292=regle!$J$11,X292=regle!$K$11),-2,IF(X292=regle!$B$11,0,IF(AR$1=$AK$1,IF($O292,-1,regle!$B$2-$M292),IF(AQ292=-1,-1,AQ292+1))))</f>
        <v>26</v>
      </c>
      <c r="AS292" s="16">
        <f>IF(OR(Y292=regle!$J$11,Y292=regle!$K$11),-2,IF(Y292=regle!$B$11,0,IF(AS$1=$AK$1,IF($O292,-1,regle!$B$2-$M292),IF(AR292=-1,-1,AR292+1))))</f>
        <v>27</v>
      </c>
      <c r="AT292" s="16">
        <f>IF(OR(Z292=regle!$J$11,Z292=regle!$K$11),-2,IF(Z292=regle!$B$11,0,IF(AT$1=$AK$1,IF($O292,-1,regle!$B$2-$M292),IF(AS292=-1,-1,AS292+1))))</f>
        <v>28</v>
      </c>
    </row>
    <row r="293" spans="1:46" x14ac:dyDescent="0.25">
      <c r="A293" t="b">
        <f>modif0!A315</f>
        <v>1</v>
      </c>
      <c r="B293">
        <f>ROW(modif0!B315)</f>
        <v>315</v>
      </c>
      <c r="C293" t="str">
        <f>modif0!D315</f>
        <v>077</v>
      </c>
      <c r="D293" t="str">
        <f>modif0!E315</f>
        <v>CABANAC-ET-VILLAGRAINS</v>
      </c>
      <c r="E293">
        <f>modif0!F315</f>
        <v>13</v>
      </c>
      <c r="F293" t="str">
        <f>modif0!G315</f>
        <v>LAGUNE LONGUE</v>
      </c>
      <c r="G293" t="str">
        <f>modif0!I315</f>
        <v>0D</v>
      </c>
      <c r="H293">
        <f>modif0!J315</f>
        <v>1389</v>
      </c>
      <c r="I293" t="str">
        <f>modif0!K315</f>
        <v>k</v>
      </c>
      <c r="J293" s="11">
        <f>modif0!M315</f>
        <v>3.2867999999999999</v>
      </c>
      <c r="K293" s="11" t="str">
        <f>modif0!P315</f>
        <v>PLA</v>
      </c>
      <c r="L293" t="str">
        <f>modif0!N315</f>
        <v>PM</v>
      </c>
      <c r="M293">
        <f>modif0!Q315</f>
        <v>2005</v>
      </c>
      <c r="N293" t="str">
        <f>modif0!R315</f>
        <v>PLA-PM_2005</v>
      </c>
      <c r="O293" t="b">
        <f>modif0!S315</f>
        <v>0</v>
      </c>
      <c r="P293">
        <v>40</v>
      </c>
      <c r="T293" t="s">
        <v>1805</v>
      </c>
      <c r="Y293" t="s">
        <v>1806</v>
      </c>
      <c r="AA293" s="17">
        <f>IF($A293,$J293*(IF(Q293=regle!$B$11,regle!$B$23*IF(AJ293=-2,1+regle!$B$35,1),
IF(Q293=regle!$C$11,regle!$C$23,
IF(Q293=regle!$D$11,regle!$D$23,
IF(Q293=regle!$E$11,regle!$E$23,
IF(Q293=regle!$F$11,regle!$F$23,
IF(Q293=regle!$G$11,regle!$G$23,
IF(Q293=regle!$H$11,regle!$H$23,
IF(Q293=regle!$I$11,regle!$I$23,
IF(Q293=regle!$J$11,regle!$J$23,
IF(Q293=regle!$K$11,regle!$K$23,0))))))))))))</f>
        <v>0</v>
      </c>
      <c r="AB293" s="17">
        <f>IF($A293,$J293*(IF(R293=regle!$B$11,regle!$B$23*IF(AK293=-2,1+regle!$B$35,1),
IF(R293=regle!$C$11,regle!$C$23,
IF(R293=regle!$D$11,regle!$D$23,
IF(R293=regle!$E$11,regle!$E$23,
IF(R293=regle!$F$11,regle!$F$23,
IF(R293=regle!$G$11,regle!$G$23,
IF(R293=regle!$H$11,regle!$H$23,
IF(R293=regle!$I$11,regle!$I$23,
IF(R293=regle!$J$11,regle!$J$23,
IF(R293=regle!$K$11,regle!$K$23,0))))))))))))</f>
        <v>0</v>
      </c>
      <c r="AC293" s="17">
        <f>IF($A293,$J293*(IF(S293=regle!$B$11,regle!$B$23*IF(AL293=-2,1+regle!$B$35,1),
IF(S293=regle!$C$11,regle!$C$23,
IF(S293=regle!$D$11,regle!$D$23,
IF(S293=regle!$E$11,regle!$E$23,
IF(S293=regle!$F$11,regle!$F$23,
IF(S293=regle!$G$11,regle!$G$23,
IF(S293=regle!$H$11,regle!$H$23,
IF(S293=regle!$I$11,regle!$I$23,
IF(S293=regle!$J$11,regle!$J$23,
IF(S293=regle!$K$11,regle!$K$23,0))))))))))))</f>
        <v>0</v>
      </c>
      <c r="AD293" s="17">
        <f>IF($A293,$J293*(IF(T293=regle!$B$11,regle!$B$23*IF(AM293=-2,1+regle!$B$35,1),
IF(T293=regle!$C$11,regle!$C$23,
IF(T293=regle!$D$11,regle!$D$23,
IF(T293=regle!$E$11,regle!$E$23,
IF(T293=regle!$F$11,regle!$F$23,
IF(T293=regle!$G$11,regle!$G$23,
IF(T293=regle!$H$11,regle!$H$23,
IF(T293=regle!$I$11,regle!$I$23,
IF(T293=regle!$J$11,regle!$J$23,
IF(T293=regle!$K$11,regle!$K$23,0))))))))))))</f>
        <v>4627.8144000000002</v>
      </c>
      <c r="AE293" s="17">
        <f>IF($A293,$J293*(IF(U293=regle!$B$11,regle!$B$23*IF(AN293=-2,1+regle!$B$35,1),
IF(U293=regle!$C$11,regle!$C$23,
IF(U293=regle!$D$11,regle!$D$23,
IF(U293=regle!$E$11,regle!$E$23,
IF(U293=regle!$F$11,regle!$F$23,
IF(U293=regle!$G$11,regle!$G$23,
IF(U293=regle!$H$11,regle!$H$23,
IF(U293=regle!$I$11,regle!$I$23,
IF(U293=regle!$J$11,regle!$J$23,
IF(U293=regle!$K$11,regle!$K$23,0))))))))))))</f>
        <v>0</v>
      </c>
      <c r="AF293" s="17">
        <f>IF($A293,$J293*(IF(V293=regle!$B$11,regle!$B$23*IF(AO293=-2,1+regle!$B$35,1),
IF(V293=regle!$C$11,regle!$C$23,
IF(V293=regle!$D$11,regle!$D$23,
IF(V293=regle!$E$11,regle!$E$23,
IF(V293=regle!$F$11,regle!$F$23,
IF(V293=regle!$G$11,regle!$G$23,
IF(V293=regle!$H$11,regle!$H$23,
IF(V293=regle!$I$11,regle!$I$23,
IF(V293=regle!$J$11,regle!$J$23,
IF(V293=regle!$K$11,regle!$K$23,0))))))))))))</f>
        <v>0</v>
      </c>
      <c r="AG293" s="17">
        <f>IF($A293,$J293*(IF(W293=regle!$B$11,regle!$B$23*IF(AP293=-2,1+regle!$B$35,1),
IF(W293=regle!$C$11,regle!$C$23,
IF(W293=regle!$D$11,regle!$D$23,
IF(W293=regle!$E$11,regle!$E$23,
IF(W293=regle!$F$11,regle!$F$23,
IF(W293=regle!$G$11,regle!$G$23,
IF(W293=regle!$H$11,regle!$H$23,
IF(W293=regle!$I$11,regle!$I$23,
IF(W293=regle!$J$11,regle!$J$23,
IF(W293=regle!$K$11,regle!$K$23,0))))))))))))</f>
        <v>0</v>
      </c>
      <c r="AH293" s="17">
        <f>IF($A293,$J293*(IF(X293=regle!$B$11,regle!$B$23*IF(AQ293=-2,1+regle!$B$35,1),
IF(X293=regle!$C$11,regle!$C$23,
IF(X293=regle!$D$11,regle!$D$23,
IF(X293=regle!$E$11,regle!$E$23,
IF(X293=regle!$F$11,regle!$F$23,
IF(X293=regle!$G$11,regle!$G$23,
IF(X293=regle!$H$11,regle!$H$23,
IF(X293=regle!$I$11,regle!$I$23,
IF(X293=regle!$J$11,regle!$J$23,
IF(X293=regle!$K$11,regle!$K$23,0))))))))))))</f>
        <v>0</v>
      </c>
      <c r="AI293" s="17">
        <f>IF($A293,$J293*(IF(Y293=regle!$B$11,regle!$B$23*IF(AR293=-2,1+regle!$B$35,1),
IF(Y293=regle!$C$11,regle!$C$23,
IF(Y293=regle!$D$11,regle!$D$23,
IF(Y293=regle!$E$11,regle!$E$23,
IF(Y293=regle!$F$11,regle!$F$23,
IF(Y293=regle!$G$11,regle!$G$23,
IF(Y293=regle!$H$11,regle!$H$23,
IF(Y293=regle!$I$11,regle!$I$23,
IF(Y293=regle!$J$11,regle!$J$23,
IF(Y293=regle!$K$11,regle!$K$23,0))))))))))))</f>
        <v>4207.1040000000003</v>
      </c>
      <c r="AJ293" s="17">
        <f>IF($A293,$J293*(IF(Z293=regle!$B$11,regle!$B$23*IF(AS293=-2,1+regle!$B$35,1),
IF(Z293=regle!$C$11,regle!$C$23,
IF(Z293=regle!$D$11,regle!$D$23,
IF(Z293=regle!$E$11,regle!$E$23,
IF(Z293=regle!$F$11,regle!$F$23,
IF(Z293=regle!$G$11,regle!$G$23,
IF(Z293=regle!$H$11,regle!$H$23,
IF(Z293=regle!$I$11,regle!$I$23,
IF(Z293=regle!$J$11,regle!$J$23,
IF(Z293=regle!$K$11,regle!$K$23,0))))))))))))</f>
        <v>0</v>
      </c>
      <c r="AK293" s="16">
        <f>IF(OR(Q293=regle!$J$11,Q293=regle!$K$11),-2,IF(Q293=regle!$B$11,0,IF(AK$1=$AK$1,IF($O293,-1,regle!$B$2-$M293),IF(AJ293=-1,-1,AJ293+1))))</f>
        <v>19</v>
      </c>
      <c r="AL293" s="16">
        <f>IF(OR(R293=regle!$J$11,R293=regle!$K$11),-2,IF(R293=regle!$B$11,0,IF(AL$1=$AK$1,IF($O293,-1,regle!$B$2-$M293),IF(AK293=-1,-1,AK293+1))))</f>
        <v>20</v>
      </c>
      <c r="AM293" s="16">
        <f>IF(OR(S293=regle!$J$11,S293=regle!$K$11),-2,IF(S293=regle!$B$11,0,IF(AM$1=$AK$1,IF($O293,-1,regle!$B$2-$M293),IF(AL293=-1,-1,AL293+1))))</f>
        <v>21</v>
      </c>
      <c r="AN293" s="16">
        <f>IF(OR(T293=regle!$J$11,T293=regle!$K$11),-2,IF(T293=regle!$B$11,0,IF(AN$1=$AK$1,IF($O293,-1,regle!$B$2-$M293),IF(AM293=-1,-1,AM293+1))))</f>
        <v>22</v>
      </c>
      <c r="AO293" s="16">
        <f>IF(OR(U293=regle!$J$11,U293=regle!$K$11),-2,IF(U293=regle!$B$11,0,IF(AO$1=$AK$1,IF($O293,-1,regle!$B$2-$M293),IF(AN293=-1,-1,AN293+1))))</f>
        <v>23</v>
      </c>
      <c r="AP293" s="16">
        <f>IF(OR(V293=regle!$J$11,V293=regle!$K$11),-2,IF(V293=regle!$B$11,0,IF(AP$1=$AK$1,IF($O293,-1,regle!$B$2-$M293),IF(AO293=-1,-1,AO293+1))))</f>
        <v>24</v>
      </c>
      <c r="AQ293" s="16">
        <f>IF(OR(W293=regle!$J$11,W293=regle!$K$11),-2,IF(W293=regle!$B$11,0,IF(AQ$1=$AK$1,IF($O293,-1,regle!$B$2-$M293),IF(AP293=-1,-1,AP293+1))))</f>
        <v>25</v>
      </c>
      <c r="AR293" s="16">
        <f>IF(OR(X293=regle!$J$11,X293=regle!$K$11),-2,IF(X293=regle!$B$11,0,IF(AR$1=$AK$1,IF($O293,-1,regle!$B$2-$M293),IF(AQ293=-1,-1,AQ293+1))))</f>
        <v>26</v>
      </c>
      <c r="AS293" s="16">
        <f>IF(OR(Y293=regle!$J$11,Y293=regle!$K$11),-2,IF(Y293=regle!$B$11,0,IF(AS$1=$AK$1,IF($O293,-1,regle!$B$2-$M293),IF(AR293=-1,-1,AR293+1))))</f>
        <v>27</v>
      </c>
      <c r="AT293" s="16">
        <f>IF(OR(Z293=regle!$J$11,Z293=regle!$K$11),-2,IF(Z293=regle!$B$11,0,IF(AT$1=$AK$1,IF($O293,-1,regle!$B$2-$M293),IF(AS293=-1,-1,AS293+1))))</f>
        <v>28</v>
      </c>
    </row>
    <row r="294" spans="1:46" x14ac:dyDescent="0.25">
      <c r="A294" t="b">
        <f>modif0!A322</f>
        <v>1</v>
      </c>
      <c r="B294">
        <f>ROW(modif0!B322)</f>
        <v>322</v>
      </c>
      <c r="C294" t="str">
        <f>modif0!D322</f>
        <v>077</v>
      </c>
      <c r="D294" t="str">
        <f>modif0!E322</f>
        <v>CABANAC-ET-VILLAGRAINS</v>
      </c>
      <c r="E294">
        <f>modif0!F322</f>
        <v>13</v>
      </c>
      <c r="F294" t="str">
        <f>modif0!G322</f>
        <v>LAGUNE LONGUE</v>
      </c>
      <c r="G294" t="str">
        <f>modif0!I322</f>
        <v>0D</v>
      </c>
      <c r="H294">
        <f>modif0!J322</f>
        <v>1510</v>
      </c>
      <c r="I294" t="str">
        <f>modif0!K322</f>
        <v>k</v>
      </c>
      <c r="J294" s="11">
        <f>modif0!M322</f>
        <v>2.4076</v>
      </c>
      <c r="K294" s="11" t="str">
        <f>modif0!P322</f>
        <v>PLA</v>
      </c>
      <c r="L294" t="str">
        <f>modif0!N322</f>
        <v>PM</v>
      </c>
      <c r="M294">
        <f>modif0!Q322</f>
        <v>2005</v>
      </c>
      <c r="N294" t="str">
        <f>modif0!R322</f>
        <v>PLA-PM_2005</v>
      </c>
      <c r="O294" t="b">
        <f>modif0!S322</f>
        <v>0</v>
      </c>
      <c r="P294">
        <v>40</v>
      </c>
      <c r="T294" t="s">
        <v>1805</v>
      </c>
      <c r="Y294" t="s">
        <v>1806</v>
      </c>
      <c r="AA294" s="17">
        <f>IF($A294,$J294*(IF(Q294=regle!$B$11,regle!$B$23*IF(AJ294=-2,1+regle!$B$35,1),
IF(Q294=regle!$C$11,regle!$C$23,
IF(Q294=regle!$D$11,regle!$D$23,
IF(Q294=regle!$E$11,regle!$E$23,
IF(Q294=regle!$F$11,regle!$F$23,
IF(Q294=regle!$G$11,regle!$G$23,
IF(Q294=regle!$H$11,regle!$H$23,
IF(Q294=regle!$I$11,regle!$I$23,
IF(Q294=regle!$J$11,regle!$J$23,
IF(Q294=regle!$K$11,regle!$K$23,0))))))))))))</f>
        <v>0</v>
      </c>
      <c r="AB294" s="17">
        <f>IF($A294,$J294*(IF(R294=regle!$B$11,regle!$B$23*IF(AK294=-2,1+regle!$B$35,1),
IF(R294=regle!$C$11,regle!$C$23,
IF(R294=regle!$D$11,regle!$D$23,
IF(R294=regle!$E$11,regle!$E$23,
IF(R294=regle!$F$11,regle!$F$23,
IF(R294=regle!$G$11,regle!$G$23,
IF(R294=regle!$H$11,regle!$H$23,
IF(R294=regle!$I$11,regle!$I$23,
IF(R294=regle!$J$11,regle!$J$23,
IF(R294=regle!$K$11,regle!$K$23,0))))))))))))</f>
        <v>0</v>
      </c>
      <c r="AC294" s="17">
        <f>IF($A294,$J294*(IF(S294=regle!$B$11,regle!$B$23*IF(AL294=-2,1+regle!$B$35,1),
IF(S294=regle!$C$11,regle!$C$23,
IF(S294=regle!$D$11,regle!$D$23,
IF(S294=regle!$E$11,regle!$E$23,
IF(S294=regle!$F$11,regle!$F$23,
IF(S294=regle!$G$11,regle!$G$23,
IF(S294=regle!$H$11,regle!$H$23,
IF(S294=regle!$I$11,regle!$I$23,
IF(S294=regle!$J$11,regle!$J$23,
IF(S294=regle!$K$11,regle!$K$23,0))))))))))))</f>
        <v>0</v>
      </c>
      <c r="AD294" s="17">
        <f>IF($A294,$J294*(IF(T294=regle!$B$11,regle!$B$23*IF(AM294=-2,1+regle!$B$35,1),
IF(T294=regle!$C$11,regle!$C$23,
IF(T294=regle!$D$11,regle!$D$23,
IF(T294=regle!$E$11,regle!$E$23,
IF(T294=regle!$F$11,regle!$F$23,
IF(T294=regle!$G$11,regle!$G$23,
IF(T294=regle!$H$11,regle!$H$23,
IF(T294=regle!$I$11,regle!$I$23,
IF(T294=regle!$J$11,regle!$J$23,
IF(T294=regle!$K$11,regle!$K$23,0))))))))))))</f>
        <v>3389.9007999999999</v>
      </c>
      <c r="AE294" s="17">
        <f>IF($A294,$J294*(IF(U294=regle!$B$11,regle!$B$23*IF(AN294=-2,1+regle!$B$35,1),
IF(U294=regle!$C$11,regle!$C$23,
IF(U294=regle!$D$11,regle!$D$23,
IF(U294=regle!$E$11,regle!$E$23,
IF(U294=regle!$F$11,regle!$F$23,
IF(U294=regle!$G$11,regle!$G$23,
IF(U294=regle!$H$11,regle!$H$23,
IF(U294=regle!$I$11,regle!$I$23,
IF(U294=regle!$J$11,regle!$J$23,
IF(U294=regle!$K$11,regle!$K$23,0))))))))))))</f>
        <v>0</v>
      </c>
      <c r="AF294" s="17">
        <f>IF($A294,$J294*(IF(V294=regle!$B$11,regle!$B$23*IF(AO294=-2,1+regle!$B$35,1),
IF(V294=regle!$C$11,regle!$C$23,
IF(V294=regle!$D$11,regle!$D$23,
IF(V294=regle!$E$11,regle!$E$23,
IF(V294=regle!$F$11,regle!$F$23,
IF(V294=regle!$G$11,regle!$G$23,
IF(V294=regle!$H$11,regle!$H$23,
IF(V294=regle!$I$11,regle!$I$23,
IF(V294=regle!$J$11,regle!$J$23,
IF(V294=regle!$K$11,regle!$K$23,0))))))))))))</f>
        <v>0</v>
      </c>
      <c r="AG294" s="17">
        <f>IF($A294,$J294*(IF(W294=regle!$B$11,regle!$B$23*IF(AP294=-2,1+regle!$B$35,1),
IF(W294=regle!$C$11,regle!$C$23,
IF(W294=regle!$D$11,regle!$D$23,
IF(W294=regle!$E$11,regle!$E$23,
IF(W294=regle!$F$11,regle!$F$23,
IF(W294=regle!$G$11,regle!$G$23,
IF(W294=regle!$H$11,regle!$H$23,
IF(W294=regle!$I$11,regle!$I$23,
IF(W294=regle!$J$11,regle!$J$23,
IF(W294=regle!$K$11,regle!$K$23,0))))))))))))</f>
        <v>0</v>
      </c>
      <c r="AH294" s="17">
        <f>IF($A294,$J294*(IF(X294=regle!$B$11,regle!$B$23*IF(AQ294=-2,1+regle!$B$35,1),
IF(X294=regle!$C$11,regle!$C$23,
IF(X294=regle!$D$11,regle!$D$23,
IF(X294=regle!$E$11,regle!$E$23,
IF(X294=regle!$F$11,regle!$F$23,
IF(X294=regle!$G$11,regle!$G$23,
IF(X294=regle!$H$11,regle!$H$23,
IF(X294=regle!$I$11,regle!$I$23,
IF(X294=regle!$J$11,regle!$J$23,
IF(X294=regle!$K$11,regle!$K$23,0))))))))))))</f>
        <v>0</v>
      </c>
      <c r="AI294" s="17">
        <f>IF($A294,$J294*(IF(Y294=regle!$B$11,regle!$B$23*IF(AR294=-2,1+regle!$B$35,1),
IF(Y294=regle!$C$11,regle!$C$23,
IF(Y294=regle!$D$11,regle!$D$23,
IF(Y294=regle!$E$11,regle!$E$23,
IF(Y294=regle!$F$11,regle!$F$23,
IF(Y294=regle!$G$11,regle!$G$23,
IF(Y294=regle!$H$11,regle!$H$23,
IF(Y294=regle!$I$11,regle!$I$23,
IF(Y294=regle!$J$11,regle!$J$23,
IF(Y294=regle!$K$11,regle!$K$23,0))))))))))))</f>
        <v>3081.7280000000001</v>
      </c>
      <c r="AJ294" s="17">
        <f>IF($A294,$J294*(IF(Z294=regle!$B$11,regle!$B$23*IF(AS294=-2,1+regle!$B$35,1),
IF(Z294=regle!$C$11,regle!$C$23,
IF(Z294=regle!$D$11,regle!$D$23,
IF(Z294=regle!$E$11,regle!$E$23,
IF(Z294=regle!$F$11,regle!$F$23,
IF(Z294=regle!$G$11,regle!$G$23,
IF(Z294=regle!$H$11,regle!$H$23,
IF(Z294=regle!$I$11,regle!$I$23,
IF(Z294=regle!$J$11,regle!$J$23,
IF(Z294=regle!$K$11,regle!$K$23,0))))))))))))</f>
        <v>0</v>
      </c>
      <c r="AK294" s="16">
        <f>IF(OR(Q294=regle!$J$11,Q294=regle!$K$11),-2,IF(Q294=regle!$B$11,0,IF(AK$1=$AK$1,IF($O294,-1,regle!$B$2-$M294),IF(AJ294=-1,-1,AJ294+1))))</f>
        <v>19</v>
      </c>
      <c r="AL294" s="16">
        <f>IF(OR(R294=regle!$J$11,R294=regle!$K$11),-2,IF(R294=regle!$B$11,0,IF(AL$1=$AK$1,IF($O294,-1,regle!$B$2-$M294),IF(AK294=-1,-1,AK294+1))))</f>
        <v>20</v>
      </c>
      <c r="AM294" s="16">
        <f>IF(OR(S294=regle!$J$11,S294=regle!$K$11),-2,IF(S294=regle!$B$11,0,IF(AM$1=$AK$1,IF($O294,-1,regle!$B$2-$M294),IF(AL294=-1,-1,AL294+1))))</f>
        <v>21</v>
      </c>
      <c r="AN294" s="16">
        <f>IF(OR(T294=regle!$J$11,T294=regle!$K$11),-2,IF(T294=regle!$B$11,0,IF(AN$1=$AK$1,IF($O294,-1,regle!$B$2-$M294),IF(AM294=-1,-1,AM294+1))))</f>
        <v>22</v>
      </c>
      <c r="AO294" s="16">
        <f>IF(OR(U294=regle!$J$11,U294=regle!$K$11),-2,IF(U294=regle!$B$11,0,IF(AO$1=$AK$1,IF($O294,-1,regle!$B$2-$M294),IF(AN294=-1,-1,AN294+1))))</f>
        <v>23</v>
      </c>
      <c r="AP294" s="16">
        <f>IF(OR(V294=regle!$J$11,V294=regle!$K$11),-2,IF(V294=regle!$B$11,0,IF(AP$1=$AK$1,IF($O294,-1,regle!$B$2-$M294),IF(AO294=-1,-1,AO294+1))))</f>
        <v>24</v>
      </c>
      <c r="AQ294" s="16">
        <f>IF(OR(W294=regle!$J$11,W294=regle!$K$11),-2,IF(W294=regle!$B$11,0,IF(AQ$1=$AK$1,IF($O294,-1,regle!$B$2-$M294),IF(AP294=-1,-1,AP294+1))))</f>
        <v>25</v>
      </c>
      <c r="AR294" s="16">
        <f>IF(OR(X294=regle!$J$11,X294=regle!$K$11),-2,IF(X294=regle!$B$11,0,IF(AR$1=$AK$1,IF($O294,-1,regle!$B$2-$M294),IF(AQ294=-1,-1,AQ294+1))))</f>
        <v>26</v>
      </c>
      <c r="AS294" s="16">
        <f>IF(OR(Y294=regle!$J$11,Y294=regle!$K$11),-2,IF(Y294=regle!$B$11,0,IF(AS$1=$AK$1,IF($O294,-1,regle!$B$2-$M294),IF(AR294=-1,-1,AR294+1))))</f>
        <v>27</v>
      </c>
      <c r="AT294" s="16">
        <f>IF(OR(Z294=regle!$J$11,Z294=regle!$K$11),-2,IF(Z294=regle!$B$11,0,IF(AT$1=$AK$1,IF($O294,-1,regle!$B$2-$M294),IF(AS294=-1,-1,AS294+1))))</f>
        <v>28</v>
      </c>
    </row>
    <row r="295" spans="1:46" x14ac:dyDescent="0.25">
      <c r="A295" t="b">
        <f>modif0!A49</f>
        <v>1</v>
      </c>
      <c r="B295">
        <f>ROW(modif0!B49)</f>
        <v>49</v>
      </c>
      <c r="C295" t="str">
        <f>modif0!D49</f>
        <v>536</v>
      </c>
      <c r="D295" t="str">
        <f>modif0!E49</f>
        <v>LE TUZAN</v>
      </c>
      <c r="E295">
        <f>modif0!F49</f>
        <v>21</v>
      </c>
      <c r="F295" t="str">
        <f>modif0!G49</f>
        <v>METAIRIES DE TABARTON</v>
      </c>
      <c r="G295" t="str">
        <f>modif0!I49</f>
        <v>0A</v>
      </c>
      <c r="H295">
        <f>modif0!J49</f>
        <v>460</v>
      </c>
      <c r="I295" t="str">
        <f>modif0!K49</f>
        <v>j</v>
      </c>
      <c r="J295" s="11">
        <f>modif0!M49</f>
        <v>2.0224000000000002</v>
      </c>
      <c r="K295" s="11" t="str">
        <f>modif0!P49</f>
        <v>PLA</v>
      </c>
      <c r="L295" t="str">
        <f>modif0!N49</f>
        <v>PM</v>
      </c>
      <c r="M295">
        <f>modif0!Q49</f>
        <v>2005</v>
      </c>
      <c r="N295" t="str">
        <f>modif0!R49</f>
        <v>PLA-PM_2005</v>
      </c>
      <c r="O295" t="b">
        <f>modif0!S49</f>
        <v>0</v>
      </c>
      <c r="P295">
        <v>40</v>
      </c>
      <c r="T295" t="s">
        <v>1805</v>
      </c>
      <c r="Y295" t="s">
        <v>1806</v>
      </c>
      <c r="AA295" s="17">
        <f>IF($A295,$J295*(IF(Q295=regle!$B$11,regle!$B$23*IF(AJ295=-2,1+regle!$B$35,1),
IF(Q295=regle!$C$11,regle!$C$23,
IF(Q295=regle!$D$11,regle!$D$23,
IF(Q295=regle!$E$11,regle!$E$23,
IF(Q295=regle!$F$11,regle!$F$23,
IF(Q295=regle!$G$11,regle!$G$23,
IF(Q295=regle!$H$11,regle!$H$23,
IF(Q295=regle!$I$11,regle!$I$23,
IF(Q295=regle!$J$11,regle!$J$23,
IF(Q295=regle!$K$11,regle!$K$23,0))))))))))))</f>
        <v>0</v>
      </c>
      <c r="AB295" s="17">
        <f>IF($A295,$J295*(IF(R295=regle!$B$11,regle!$B$23*IF(AK295=-2,1+regle!$B$35,1),
IF(R295=regle!$C$11,regle!$C$23,
IF(R295=regle!$D$11,regle!$D$23,
IF(R295=regle!$E$11,regle!$E$23,
IF(R295=regle!$F$11,regle!$F$23,
IF(R295=regle!$G$11,regle!$G$23,
IF(R295=regle!$H$11,regle!$H$23,
IF(R295=regle!$I$11,regle!$I$23,
IF(R295=regle!$J$11,regle!$J$23,
IF(R295=regle!$K$11,regle!$K$23,0))))))))))))</f>
        <v>0</v>
      </c>
      <c r="AC295" s="17">
        <f>IF($A295,$J295*(IF(S295=regle!$B$11,regle!$B$23*IF(AL295=-2,1+regle!$B$35,1),
IF(S295=regle!$C$11,regle!$C$23,
IF(S295=regle!$D$11,regle!$D$23,
IF(S295=regle!$E$11,regle!$E$23,
IF(S295=regle!$F$11,regle!$F$23,
IF(S295=regle!$G$11,regle!$G$23,
IF(S295=regle!$H$11,regle!$H$23,
IF(S295=regle!$I$11,regle!$I$23,
IF(S295=regle!$J$11,regle!$J$23,
IF(S295=regle!$K$11,regle!$K$23,0))))))))))))</f>
        <v>0</v>
      </c>
      <c r="AD295" s="17">
        <f>IF($A295,$J295*(IF(T295=regle!$B$11,regle!$B$23*IF(AM295=-2,1+regle!$B$35,1),
IF(T295=regle!$C$11,regle!$C$23,
IF(T295=regle!$D$11,regle!$D$23,
IF(T295=regle!$E$11,regle!$E$23,
IF(T295=regle!$F$11,regle!$F$23,
IF(T295=regle!$G$11,regle!$G$23,
IF(T295=regle!$H$11,regle!$H$23,
IF(T295=regle!$I$11,regle!$I$23,
IF(T295=regle!$J$11,regle!$J$23,
IF(T295=regle!$K$11,regle!$K$23,0))))))))))))</f>
        <v>2847.5392000000002</v>
      </c>
      <c r="AE295" s="17">
        <f>IF($A295,$J295*(IF(U295=regle!$B$11,regle!$B$23*IF(AN295=-2,1+regle!$B$35,1),
IF(U295=regle!$C$11,regle!$C$23,
IF(U295=regle!$D$11,regle!$D$23,
IF(U295=regle!$E$11,regle!$E$23,
IF(U295=regle!$F$11,regle!$F$23,
IF(U295=regle!$G$11,regle!$G$23,
IF(U295=regle!$H$11,regle!$H$23,
IF(U295=regle!$I$11,regle!$I$23,
IF(U295=regle!$J$11,regle!$J$23,
IF(U295=regle!$K$11,regle!$K$23,0))))))))))))</f>
        <v>0</v>
      </c>
      <c r="AF295" s="17">
        <f>IF($A295,$J295*(IF(V295=regle!$B$11,regle!$B$23*IF(AO295=-2,1+regle!$B$35,1),
IF(V295=regle!$C$11,regle!$C$23,
IF(V295=regle!$D$11,regle!$D$23,
IF(V295=regle!$E$11,regle!$E$23,
IF(V295=regle!$F$11,regle!$F$23,
IF(V295=regle!$G$11,regle!$G$23,
IF(V295=regle!$H$11,regle!$H$23,
IF(V295=regle!$I$11,regle!$I$23,
IF(V295=regle!$J$11,regle!$J$23,
IF(V295=regle!$K$11,regle!$K$23,0))))))))))))</f>
        <v>0</v>
      </c>
      <c r="AG295" s="17">
        <f>IF($A295,$J295*(IF(W295=regle!$B$11,regle!$B$23*IF(AP295=-2,1+regle!$B$35,1),
IF(W295=regle!$C$11,regle!$C$23,
IF(W295=regle!$D$11,regle!$D$23,
IF(W295=regle!$E$11,regle!$E$23,
IF(W295=regle!$F$11,regle!$F$23,
IF(W295=regle!$G$11,regle!$G$23,
IF(W295=regle!$H$11,regle!$H$23,
IF(W295=regle!$I$11,regle!$I$23,
IF(W295=regle!$J$11,regle!$J$23,
IF(W295=regle!$K$11,regle!$K$23,0))))))))))))</f>
        <v>0</v>
      </c>
      <c r="AH295" s="17">
        <f>IF($A295,$J295*(IF(X295=regle!$B$11,regle!$B$23*IF(AQ295=-2,1+regle!$B$35,1),
IF(X295=regle!$C$11,regle!$C$23,
IF(X295=regle!$D$11,regle!$D$23,
IF(X295=regle!$E$11,regle!$E$23,
IF(X295=regle!$F$11,regle!$F$23,
IF(X295=regle!$G$11,regle!$G$23,
IF(X295=regle!$H$11,regle!$H$23,
IF(X295=regle!$I$11,regle!$I$23,
IF(X295=regle!$J$11,regle!$J$23,
IF(X295=regle!$K$11,regle!$K$23,0))))))))))))</f>
        <v>0</v>
      </c>
      <c r="AI295" s="17">
        <f>IF($A295,$J295*(IF(Y295=regle!$B$11,regle!$B$23*IF(AR295=-2,1+regle!$B$35,1),
IF(Y295=regle!$C$11,regle!$C$23,
IF(Y295=regle!$D$11,regle!$D$23,
IF(Y295=regle!$E$11,regle!$E$23,
IF(Y295=regle!$F$11,regle!$F$23,
IF(Y295=regle!$G$11,regle!$G$23,
IF(Y295=regle!$H$11,regle!$H$23,
IF(Y295=regle!$I$11,regle!$I$23,
IF(Y295=regle!$J$11,regle!$J$23,
IF(Y295=regle!$K$11,regle!$K$23,0))))))))))))</f>
        <v>2588.6720000000005</v>
      </c>
      <c r="AJ295" s="17">
        <f>IF($A295,$J295*(IF(Z295=regle!$B$11,regle!$B$23*IF(AS295=-2,1+regle!$B$35,1),
IF(Z295=regle!$C$11,regle!$C$23,
IF(Z295=regle!$D$11,regle!$D$23,
IF(Z295=regle!$E$11,regle!$E$23,
IF(Z295=regle!$F$11,regle!$F$23,
IF(Z295=regle!$G$11,regle!$G$23,
IF(Z295=regle!$H$11,regle!$H$23,
IF(Z295=regle!$I$11,regle!$I$23,
IF(Z295=regle!$J$11,regle!$J$23,
IF(Z295=regle!$K$11,regle!$K$23,0))))))))))))</f>
        <v>0</v>
      </c>
      <c r="AK295" s="16">
        <f>IF(OR(Q295=regle!$J$11,Q295=regle!$K$11),-2,IF(Q295=regle!$B$11,0,IF(AK$1=$AK$1,IF($O295,-1,regle!$B$2-$M295),IF(AJ295=-1,-1,AJ295+1))))</f>
        <v>19</v>
      </c>
      <c r="AL295" s="16">
        <f>IF(OR(R295=regle!$J$11,R295=regle!$K$11),-2,IF(R295=regle!$B$11,0,IF(AL$1=$AK$1,IF($O295,-1,regle!$B$2-$M295),IF(AK295=-1,-1,AK295+1))))</f>
        <v>20</v>
      </c>
      <c r="AM295" s="16">
        <f>IF(OR(S295=regle!$J$11,S295=regle!$K$11),-2,IF(S295=regle!$B$11,0,IF(AM$1=$AK$1,IF($O295,-1,regle!$B$2-$M295),IF(AL295=-1,-1,AL295+1))))</f>
        <v>21</v>
      </c>
      <c r="AN295" s="16">
        <f>IF(OR(T295=regle!$J$11,T295=regle!$K$11),-2,IF(T295=regle!$B$11,0,IF(AN$1=$AK$1,IF($O295,-1,regle!$B$2-$M295),IF(AM295=-1,-1,AM295+1))))</f>
        <v>22</v>
      </c>
      <c r="AO295" s="16">
        <f>IF(OR(U295=regle!$J$11,U295=regle!$K$11),-2,IF(U295=regle!$B$11,0,IF(AO$1=$AK$1,IF($O295,-1,regle!$B$2-$M295),IF(AN295=-1,-1,AN295+1))))</f>
        <v>23</v>
      </c>
      <c r="AP295" s="16">
        <f>IF(OR(V295=regle!$J$11,V295=regle!$K$11),-2,IF(V295=regle!$B$11,0,IF(AP$1=$AK$1,IF($O295,-1,regle!$B$2-$M295),IF(AO295=-1,-1,AO295+1))))</f>
        <v>24</v>
      </c>
      <c r="AQ295" s="16">
        <f>IF(OR(W295=regle!$J$11,W295=regle!$K$11),-2,IF(W295=regle!$B$11,0,IF(AQ$1=$AK$1,IF($O295,-1,regle!$B$2-$M295),IF(AP295=-1,-1,AP295+1))))</f>
        <v>25</v>
      </c>
      <c r="AR295" s="16">
        <f>IF(OR(X295=regle!$J$11,X295=regle!$K$11),-2,IF(X295=regle!$B$11,0,IF(AR$1=$AK$1,IF($O295,-1,regle!$B$2-$M295),IF(AQ295=-1,-1,AQ295+1))))</f>
        <v>26</v>
      </c>
      <c r="AS295" s="16">
        <f>IF(OR(Y295=regle!$J$11,Y295=regle!$K$11),-2,IF(Y295=regle!$B$11,0,IF(AS$1=$AK$1,IF($O295,-1,regle!$B$2-$M295),IF(AR295=-1,-1,AR295+1))))</f>
        <v>27</v>
      </c>
      <c r="AT295" s="16">
        <f>IF(OR(Z295=regle!$J$11,Z295=regle!$K$11),-2,IF(Z295=regle!$B$11,0,IF(AT$1=$AK$1,IF($O295,-1,regle!$B$2-$M295),IF(AS295=-1,-1,AS295+1))))</f>
        <v>28</v>
      </c>
    </row>
    <row r="296" spans="1:46" x14ac:dyDescent="0.25">
      <c r="A296" t="b">
        <f>modif0!A15</f>
        <v>1</v>
      </c>
      <c r="B296">
        <f>ROW(modif0!B15)</f>
        <v>15</v>
      </c>
      <c r="C296" t="str">
        <f>modif0!D15</f>
        <v>536</v>
      </c>
      <c r="D296" t="str">
        <f>modif0!E15</f>
        <v>LE TUZAN</v>
      </c>
      <c r="E296">
        <f>modif0!F15</f>
        <v>11</v>
      </c>
      <c r="F296" t="str">
        <f>modif0!G15</f>
        <v>LA HONTEYRE</v>
      </c>
      <c r="G296" t="str">
        <f>modif0!I15</f>
        <v>0A</v>
      </c>
      <c r="H296">
        <f>modif0!J15</f>
        <v>254</v>
      </c>
      <c r="I296" t="str">
        <f>modif0!K15</f>
        <v>k</v>
      </c>
      <c r="J296" s="11">
        <f>modif0!M15</f>
        <v>2.0192999999999999</v>
      </c>
      <c r="K296" s="11" t="str">
        <f>modif0!P15</f>
        <v>PLA</v>
      </c>
      <c r="L296" t="str">
        <f>modif0!N15</f>
        <v>PM</v>
      </c>
      <c r="M296">
        <f>modif0!Q15</f>
        <v>2005</v>
      </c>
      <c r="N296" t="str">
        <f>modif0!R15</f>
        <v>PLA-PM_2005</v>
      </c>
      <c r="O296" t="b">
        <f>modif0!S15</f>
        <v>0</v>
      </c>
      <c r="P296">
        <v>40</v>
      </c>
      <c r="T296" t="s">
        <v>1805</v>
      </c>
      <c r="Y296" t="s">
        <v>1806</v>
      </c>
      <c r="AA296" s="17">
        <f>IF($A296,$J296*(IF(Q296=regle!$B$11,regle!$B$23*IF(AJ296=-2,1+regle!$B$35,1),
IF(Q296=regle!$C$11,regle!$C$23,
IF(Q296=regle!$D$11,regle!$D$23,
IF(Q296=regle!$E$11,regle!$E$23,
IF(Q296=regle!$F$11,regle!$F$23,
IF(Q296=regle!$G$11,regle!$G$23,
IF(Q296=regle!$H$11,regle!$H$23,
IF(Q296=regle!$I$11,regle!$I$23,
IF(Q296=regle!$J$11,regle!$J$23,
IF(Q296=regle!$K$11,regle!$K$23,0))))))))))))</f>
        <v>0</v>
      </c>
      <c r="AB296" s="17">
        <f>IF($A296,$J296*(IF(R296=regle!$B$11,regle!$B$23*IF(AK296=-2,1+regle!$B$35,1),
IF(R296=regle!$C$11,regle!$C$23,
IF(R296=regle!$D$11,regle!$D$23,
IF(R296=regle!$E$11,regle!$E$23,
IF(R296=regle!$F$11,regle!$F$23,
IF(R296=regle!$G$11,regle!$G$23,
IF(R296=regle!$H$11,regle!$H$23,
IF(R296=regle!$I$11,regle!$I$23,
IF(R296=regle!$J$11,regle!$J$23,
IF(R296=regle!$K$11,regle!$K$23,0))))))))))))</f>
        <v>0</v>
      </c>
      <c r="AC296" s="17">
        <f>IF($A296,$J296*(IF(S296=regle!$B$11,regle!$B$23*IF(AL296=-2,1+regle!$B$35,1),
IF(S296=regle!$C$11,regle!$C$23,
IF(S296=regle!$D$11,regle!$D$23,
IF(S296=regle!$E$11,regle!$E$23,
IF(S296=regle!$F$11,regle!$F$23,
IF(S296=regle!$G$11,regle!$G$23,
IF(S296=regle!$H$11,regle!$H$23,
IF(S296=regle!$I$11,regle!$I$23,
IF(S296=regle!$J$11,regle!$J$23,
IF(S296=regle!$K$11,regle!$K$23,0))))))))))))</f>
        <v>0</v>
      </c>
      <c r="AD296" s="17">
        <f>IF($A296,$J296*(IF(T296=regle!$B$11,regle!$B$23*IF(AM296=-2,1+regle!$B$35,1),
IF(T296=regle!$C$11,regle!$C$23,
IF(T296=regle!$D$11,regle!$D$23,
IF(T296=regle!$E$11,regle!$E$23,
IF(T296=regle!$F$11,regle!$F$23,
IF(T296=regle!$G$11,regle!$G$23,
IF(T296=regle!$H$11,regle!$H$23,
IF(T296=regle!$I$11,regle!$I$23,
IF(T296=regle!$J$11,regle!$J$23,
IF(T296=regle!$K$11,regle!$K$23,0))))))))))))</f>
        <v>2843.1743999999999</v>
      </c>
      <c r="AE296" s="17">
        <f>IF($A296,$J296*(IF(U296=regle!$B$11,regle!$B$23*IF(AN296=-2,1+regle!$B$35,1),
IF(U296=regle!$C$11,regle!$C$23,
IF(U296=regle!$D$11,regle!$D$23,
IF(U296=regle!$E$11,regle!$E$23,
IF(U296=regle!$F$11,regle!$F$23,
IF(U296=regle!$G$11,regle!$G$23,
IF(U296=regle!$H$11,regle!$H$23,
IF(U296=regle!$I$11,regle!$I$23,
IF(U296=regle!$J$11,regle!$J$23,
IF(U296=regle!$K$11,regle!$K$23,0))))))))))))</f>
        <v>0</v>
      </c>
      <c r="AF296" s="17">
        <f>IF($A296,$J296*(IF(V296=regle!$B$11,regle!$B$23*IF(AO296=-2,1+regle!$B$35,1),
IF(V296=regle!$C$11,regle!$C$23,
IF(V296=regle!$D$11,regle!$D$23,
IF(V296=regle!$E$11,regle!$E$23,
IF(V296=regle!$F$11,regle!$F$23,
IF(V296=regle!$G$11,regle!$G$23,
IF(V296=regle!$H$11,regle!$H$23,
IF(V296=regle!$I$11,regle!$I$23,
IF(V296=regle!$J$11,regle!$J$23,
IF(V296=regle!$K$11,regle!$K$23,0))))))))))))</f>
        <v>0</v>
      </c>
      <c r="AG296" s="17">
        <f>IF($A296,$J296*(IF(W296=regle!$B$11,regle!$B$23*IF(AP296=-2,1+regle!$B$35,1),
IF(W296=regle!$C$11,regle!$C$23,
IF(W296=regle!$D$11,regle!$D$23,
IF(W296=regle!$E$11,regle!$E$23,
IF(W296=regle!$F$11,regle!$F$23,
IF(W296=regle!$G$11,regle!$G$23,
IF(W296=regle!$H$11,regle!$H$23,
IF(W296=regle!$I$11,regle!$I$23,
IF(W296=regle!$J$11,regle!$J$23,
IF(W296=regle!$K$11,regle!$K$23,0))))))))))))</f>
        <v>0</v>
      </c>
      <c r="AH296" s="17">
        <f>IF($A296,$J296*(IF(X296=regle!$B$11,regle!$B$23*IF(AQ296=-2,1+regle!$B$35,1),
IF(X296=regle!$C$11,regle!$C$23,
IF(X296=regle!$D$11,regle!$D$23,
IF(X296=regle!$E$11,regle!$E$23,
IF(X296=regle!$F$11,regle!$F$23,
IF(X296=regle!$G$11,regle!$G$23,
IF(X296=regle!$H$11,regle!$H$23,
IF(X296=regle!$I$11,regle!$I$23,
IF(X296=regle!$J$11,regle!$J$23,
IF(X296=regle!$K$11,regle!$K$23,0))))))))))))</f>
        <v>0</v>
      </c>
      <c r="AI296" s="17">
        <f>IF($A296,$J296*(IF(Y296=regle!$B$11,regle!$B$23*IF(AR296=-2,1+regle!$B$35,1),
IF(Y296=regle!$C$11,regle!$C$23,
IF(Y296=regle!$D$11,regle!$D$23,
IF(Y296=regle!$E$11,regle!$E$23,
IF(Y296=regle!$F$11,regle!$F$23,
IF(Y296=regle!$G$11,regle!$G$23,
IF(Y296=regle!$H$11,regle!$H$23,
IF(Y296=regle!$I$11,regle!$I$23,
IF(Y296=regle!$J$11,regle!$J$23,
IF(Y296=regle!$K$11,regle!$K$23,0))))))))))))</f>
        <v>2584.7039999999997</v>
      </c>
      <c r="AJ296" s="17">
        <f>IF($A296,$J296*(IF(Z296=regle!$B$11,regle!$B$23*IF(AS296=-2,1+regle!$B$35,1),
IF(Z296=regle!$C$11,regle!$C$23,
IF(Z296=regle!$D$11,regle!$D$23,
IF(Z296=regle!$E$11,regle!$E$23,
IF(Z296=regle!$F$11,regle!$F$23,
IF(Z296=regle!$G$11,regle!$G$23,
IF(Z296=regle!$H$11,regle!$H$23,
IF(Z296=regle!$I$11,regle!$I$23,
IF(Z296=regle!$J$11,regle!$J$23,
IF(Z296=regle!$K$11,regle!$K$23,0))))))))))))</f>
        <v>0</v>
      </c>
      <c r="AK296" s="16">
        <f>IF(OR(Q296=regle!$J$11,Q296=regle!$K$11),-2,IF(Q296=regle!$B$11,0,IF(AK$1=$AK$1,IF($O296,-1,regle!$B$2-$M296),IF(AJ296=-1,-1,AJ296+1))))</f>
        <v>19</v>
      </c>
      <c r="AL296" s="16">
        <f>IF(OR(R296=regle!$J$11,R296=regle!$K$11),-2,IF(R296=regle!$B$11,0,IF(AL$1=$AK$1,IF($O296,-1,regle!$B$2-$M296),IF(AK296=-1,-1,AK296+1))))</f>
        <v>20</v>
      </c>
      <c r="AM296" s="16">
        <f>IF(OR(S296=regle!$J$11,S296=regle!$K$11),-2,IF(S296=regle!$B$11,0,IF(AM$1=$AK$1,IF($O296,-1,regle!$B$2-$M296),IF(AL296=-1,-1,AL296+1))))</f>
        <v>21</v>
      </c>
      <c r="AN296" s="16">
        <f>IF(OR(T296=regle!$J$11,T296=regle!$K$11),-2,IF(T296=regle!$B$11,0,IF(AN$1=$AK$1,IF($O296,-1,regle!$B$2-$M296),IF(AM296=-1,-1,AM296+1))))</f>
        <v>22</v>
      </c>
      <c r="AO296" s="16">
        <f>IF(OR(U296=regle!$J$11,U296=regle!$K$11),-2,IF(U296=regle!$B$11,0,IF(AO$1=$AK$1,IF($O296,-1,regle!$B$2-$M296),IF(AN296=-1,-1,AN296+1))))</f>
        <v>23</v>
      </c>
      <c r="AP296" s="16">
        <f>IF(OR(V296=regle!$J$11,V296=regle!$K$11),-2,IF(V296=regle!$B$11,0,IF(AP$1=$AK$1,IF($O296,-1,regle!$B$2-$M296),IF(AO296=-1,-1,AO296+1))))</f>
        <v>24</v>
      </c>
      <c r="AQ296" s="16">
        <f>IF(OR(W296=regle!$J$11,W296=regle!$K$11),-2,IF(W296=regle!$B$11,0,IF(AQ$1=$AK$1,IF($O296,-1,regle!$B$2-$M296),IF(AP296=-1,-1,AP296+1))))</f>
        <v>25</v>
      </c>
      <c r="AR296" s="16">
        <f>IF(OR(X296=regle!$J$11,X296=regle!$K$11),-2,IF(X296=regle!$B$11,0,IF(AR$1=$AK$1,IF($O296,-1,regle!$B$2-$M296),IF(AQ296=-1,-1,AQ296+1))))</f>
        <v>26</v>
      </c>
      <c r="AS296" s="16">
        <f>IF(OR(Y296=regle!$J$11,Y296=regle!$K$11),-2,IF(Y296=regle!$B$11,0,IF(AS$1=$AK$1,IF($O296,-1,regle!$B$2-$M296),IF(AR296=-1,-1,AR296+1))))</f>
        <v>27</v>
      </c>
      <c r="AT296" s="16">
        <f>IF(OR(Z296=regle!$J$11,Z296=regle!$K$11),-2,IF(Z296=regle!$B$11,0,IF(AT$1=$AK$1,IF($O296,-1,regle!$B$2-$M296),IF(AS296=-1,-1,AS296+1))))</f>
        <v>28</v>
      </c>
    </row>
    <row r="297" spans="1:46" x14ac:dyDescent="0.25">
      <c r="A297" t="b">
        <f>modif0!A90</f>
        <v>1</v>
      </c>
      <c r="B297">
        <f>ROW(modif0!B90)</f>
        <v>90</v>
      </c>
      <c r="C297" t="str">
        <f>modif0!D90</f>
        <v>536</v>
      </c>
      <c r="D297" t="str">
        <f>modif0!E90</f>
        <v>LE TUZAN</v>
      </c>
      <c r="E297">
        <f>modif0!F90</f>
        <v>21</v>
      </c>
      <c r="F297" t="str">
        <f>modif0!G90</f>
        <v>METAIRIES DE TABARTON</v>
      </c>
      <c r="G297" t="str">
        <f>modif0!I90</f>
        <v>0A</v>
      </c>
      <c r="H297">
        <f>modif0!J90</f>
        <v>847</v>
      </c>
      <c r="I297" t="str">
        <f>modif0!K90</f>
        <v>kj</v>
      </c>
      <c r="J297" s="11">
        <f>modif0!M90</f>
        <v>2.0122</v>
      </c>
      <c r="K297" s="11" t="str">
        <f>modif0!P90</f>
        <v>PLA</v>
      </c>
      <c r="L297" t="str">
        <f>modif0!N90</f>
        <v>PM</v>
      </c>
      <c r="M297">
        <f>modif0!Q90</f>
        <v>2005</v>
      </c>
      <c r="N297" t="str">
        <f>modif0!R90</f>
        <v>PLA-PM_2005</v>
      </c>
      <c r="O297" t="b">
        <f>modif0!S90</f>
        <v>0</v>
      </c>
      <c r="P297">
        <v>40</v>
      </c>
      <c r="T297" t="s">
        <v>1805</v>
      </c>
      <c r="Y297" t="s">
        <v>1806</v>
      </c>
      <c r="AA297" s="17">
        <f>IF($A297,$J297*(IF(Q297=regle!$B$11,regle!$B$23*IF(AJ297=-2,1+regle!$B$35,1),
IF(Q297=regle!$C$11,regle!$C$23,
IF(Q297=regle!$D$11,regle!$D$23,
IF(Q297=regle!$E$11,regle!$E$23,
IF(Q297=regle!$F$11,regle!$F$23,
IF(Q297=regle!$G$11,regle!$G$23,
IF(Q297=regle!$H$11,regle!$H$23,
IF(Q297=regle!$I$11,regle!$I$23,
IF(Q297=regle!$J$11,regle!$J$23,
IF(Q297=regle!$K$11,regle!$K$23,0))))))))))))</f>
        <v>0</v>
      </c>
      <c r="AB297" s="17">
        <f>IF($A297,$J297*(IF(R297=regle!$B$11,regle!$B$23*IF(AK297=-2,1+regle!$B$35,1),
IF(R297=regle!$C$11,regle!$C$23,
IF(R297=regle!$D$11,regle!$D$23,
IF(R297=regle!$E$11,regle!$E$23,
IF(R297=regle!$F$11,regle!$F$23,
IF(R297=regle!$G$11,regle!$G$23,
IF(R297=regle!$H$11,regle!$H$23,
IF(R297=regle!$I$11,regle!$I$23,
IF(R297=regle!$J$11,regle!$J$23,
IF(R297=regle!$K$11,regle!$K$23,0))))))))))))</f>
        <v>0</v>
      </c>
      <c r="AC297" s="17">
        <f>IF($A297,$J297*(IF(S297=regle!$B$11,regle!$B$23*IF(AL297=-2,1+regle!$B$35,1),
IF(S297=regle!$C$11,regle!$C$23,
IF(S297=regle!$D$11,regle!$D$23,
IF(S297=regle!$E$11,regle!$E$23,
IF(S297=regle!$F$11,regle!$F$23,
IF(S297=regle!$G$11,regle!$G$23,
IF(S297=regle!$H$11,regle!$H$23,
IF(S297=regle!$I$11,regle!$I$23,
IF(S297=regle!$J$11,regle!$J$23,
IF(S297=regle!$K$11,regle!$K$23,0))))))))))))</f>
        <v>0</v>
      </c>
      <c r="AD297" s="17">
        <f>IF($A297,$J297*(IF(T297=regle!$B$11,regle!$B$23*IF(AM297=-2,1+regle!$B$35,1),
IF(T297=regle!$C$11,regle!$C$23,
IF(T297=regle!$D$11,regle!$D$23,
IF(T297=regle!$E$11,regle!$E$23,
IF(T297=regle!$F$11,regle!$F$23,
IF(T297=regle!$G$11,regle!$G$23,
IF(T297=regle!$H$11,regle!$H$23,
IF(T297=regle!$I$11,regle!$I$23,
IF(T297=regle!$J$11,regle!$J$23,
IF(T297=regle!$K$11,regle!$K$23,0))))))))))))</f>
        <v>2833.1776</v>
      </c>
      <c r="AE297" s="17">
        <f>IF($A297,$J297*(IF(U297=regle!$B$11,regle!$B$23*IF(AN297=-2,1+regle!$B$35,1),
IF(U297=regle!$C$11,regle!$C$23,
IF(U297=regle!$D$11,regle!$D$23,
IF(U297=regle!$E$11,regle!$E$23,
IF(U297=regle!$F$11,regle!$F$23,
IF(U297=regle!$G$11,regle!$G$23,
IF(U297=regle!$H$11,regle!$H$23,
IF(U297=regle!$I$11,regle!$I$23,
IF(U297=regle!$J$11,regle!$J$23,
IF(U297=regle!$K$11,regle!$K$23,0))))))))))))</f>
        <v>0</v>
      </c>
      <c r="AF297" s="17">
        <f>IF($A297,$J297*(IF(V297=regle!$B$11,regle!$B$23*IF(AO297=-2,1+regle!$B$35,1),
IF(V297=regle!$C$11,regle!$C$23,
IF(V297=regle!$D$11,regle!$D$23,
IF(V297=regle!$E$11,regle!$E$23,
IF(V297=regle!$F$11,regle!$F$23,
IF(V297=regle!$G$11,regle!$G$23,
IF(V297=regle!$H$11,regle!$H$23,
IF(V297=regle!$I$11,regle!$I$23,
IF(V297=regle!$J$11,regle!$J$23,
IF(V297=regle!$K$11,regle!$K$23,0))))))))))))</f>
        <v>0</v>
      </c>
      <c r="AG297" s="17">
        <f>IF($A297,$J297*(IF(W297=regle!$B$11,regle!$B$23*IF(AP297=-2,1+regle!$B$35,1),
IF(W297=regle!$C$11,regle!$C$23,
IF(W297=regle!$D$11,regle!$D$23,
IF(W297=regle!$E$11,regle!$E$23,
IF(W297=regle!$F$11,regle!$F$23,
IF(W297=regle!$G$11,regle!$G$23,
IF(W297=regle!$H$11,regle!$H$23,
IF(W297=regle!$I$11,regle!$I$23,
IF(W297=regle!$J$11,regle!$J$23,
IF(W297=regle!$K$11,regle!$K$23,0))))))))))))</f>
        <v>0</v>
      </c>
      <c r="AH297" s="17">
        <f>IF($A297,$J297*(IF(X297=regle!$B$11,regle!$B$23*IF(AQ297=-2,1+regle!$B$35,1),
IF(X297=regle!$C$11,regle!$C$23,
IF(X297=regle!$D$11,regle!$D$23,
IF(X297=regle!$E$11,regle!$E$23,
IF(X297=regle!$F$11,regle!$F$23,
IF(X297=regle!$G$11,regle!$G$23,
IF(X297=regle!$H$11,regle!$H$23,
IF(X297=regle!$I$11,regle!$I$23,
IF(X297=regle!$J$11,regle!$J$23,
IF(X297=regle!$K$11,regle!$K$23,0))))))))))))</f>
        <v>0</v>
      </c>
      <c r="AI297" s="17">
        <f>IF($A297,$J297*(IF(Y297=regle!$B$11,regle!$B$23*IF(AR297=-2,1+regle!$B$35,1),
IF(Y297=regle!$C$11,regle!$C$23,
IF(Y297=regle!$D$11,regle!$D$23,
IF(Y297=regle!$E$11,regle!$E$23,
IF(Y297=regle!$F$11,regle!$F$23,
IF(Y297=regle!$G$11,regle!$G$23,
IF(Y297=regle!$H$11,regle!$H$23,
IF(Y297=regle!$I$11,regle!$I$23,
IF(Y297=regle!$J$11,regle!$J$23,
IF(Y297=regle!$K$11,regle!$K$23,0))))))))))))</f>
        <v>2575.616</v>
      </c>
      <c r="AJ297" s="17">
        <f>IF($A297,$J297*(IF(Z297=regle!$B$11,regle!$B$23*IF(AS297=-2,1+regle!$B$35,1),
IF(Z297=regle!$C$11,regle!$C$23,
IF(Z297=regle!$D$11,regle!$D$23,
IF(Z297=regle!$E$11,regle!$E$23,
IF(Z297=regle!$F$11,regle!$F$23,
IF(Z297=regle!$G$11,regle!$G$23,
IF(Z297=regle!$H$11,regle!$H$23,
IF(Z297=regle!$I$11,regle!$I$23,
IF(Z297=regle!$J$11,regle!$J$23,
IF(Z297=regle!$K$11,regle!$K$23,0))))))))))))</f>
        <v>0</v>
      </c>
      <c r="AK297" s="16">
        <f>IF(OR(Q297=regle!$J$11,Q297=regle!$K$11),-2,IF(Q297=regle!$B$11,0,IF(AK$1=$AK$1,IF($O297,-1,regle!$B$2-$M297),IF(AJ297=-1,-1,AJ297+1))))</f>
        <v>19</v>
      </c>
      <c r="AL297" s="16">
        <f>IF(OR(R297=regle!$J$11,R297=regle!$K$11),-2,IF(R297=regle!$B$11,0,IF(AL$1=$AK$1,IF($O297,-1,regle!$B$2-$M297),IF(AK297=-1,-1,AK297+1))))</f>
        <v>20</v>
      </c>
      <c r="AM297" s="16">
        <f>IF(OR(S297=regle!$J$11,S297=regle!$K$11),-2,IF(S297=regle!$B$11,0,IF(AM$1=$AK$1,IF($O297,-1,regle!$B$2-$M297),IF(AL297=-1,-1,AL297+1))))</f>
        <v>21</v>
      </c>
      <c r="AN297" s="16">
        <f>IF(OR(T297=regle!$J$11,T297=regle!$K$11),-2,IF(T297=regle!$B$11,0,IF(AN$1=$AK$1,IF($O297,-1,regle!$B$2-$M297),IF(AM297=-1,-1,AM297+1))))</f>
        <v>22</v>
      </c>
      <c r="AO297" s="16">
        <f>IF(OR(U297=regle!$J$11,U297=regle!$K$11),-2,IF(U297=regle!$B$11,0,IF(AO$1=$AK$1,IF($O297,-1,regle!$B$2-$M297),IF(AN297=-1,-1,AN297+1))))</f>
        <v>23</v>
      </c>
      <c r="AP297" s="16">
        <f>IF(OR(V297=regle!$J$11,V297=regle!$K$11),-2,IF(V297=regle!$B$11,0,IF(AP$1=$AK$1,IF($O297,-1,regle!$B$2-$M297),IF(AO297=-1,-1,AO297+1))))</f>
        <v>24</v>
      </c>
      <c r="AQ297" s="16">
        <f>IF(OR(W297=regle!$J$11,W297=regle!$K$11),-2,IF(W297=regle!$B$11,0,IF(AQ$1=$AK$1,IF($O297,-1,regle!$B$2-$M297),IF(AP297=-1,-1,AP297+1))))</f>
        <v>25</v>
      </c>
      <c r="AR297" s="16">
        <f>IF(OR(X297=regle!$J$11,X297=regle!$K$11),-2,IF(X297=regle!$B$11,0,IF(AR$1=$AK$1,IF($O297,-1,regle!$B$2-$M297),IF(AQ297=-1,-1,AQ297+1))))</f>
        <v>26</v>
      </c>
      <c r="AS297" s="16">
        <f>IF(OR(Y297=regle!$J$11,Y297=regle!$K$11),-2,IF(Y297=regle!$B$11,0,IF(AS$1=$AK$1,IF($O297,-1,regle!$B$2-$M297),IF(AR297=-1,-1,AR297+1))))</f>
        <v>27</v>
      </c>
      <c r="AT297" s="16">
        <f>IF(OR(Z297=regle!$J$11,Z297=regle!$K$11),-2,IF(Z297=regle!$B$11,0,IF(AT$1=$AK$1,IF($O297,-1,regle!$B$2-$M297),IF(AS297=-1,-1,AS297+1))))</f>
        <v>28</v>
      </c>
    </row>
    <row r="298" spans="1:46" x14ac:dyDescent="0.25">
      <c r="A298" t="b">
        <f>modif0!A70</f>
        <v>1</v>
      </c>
      <c r="B298">
        <f>ROW(modif0!B70)</f>
        <v>70</v>
      </c>
      <c r="C298" t="str">
        <f>modif0!D70</f>
        <v>536</v>
      </c>
      <c r="D298" t="str">
        <f>modif0!E70</f>
        <v>LE TUZAN</v>
      </c>
      <c r="E298">
        <f>modif0!F70</f>
        <v>21</v>
      </c>
      <c r="F298" t="str">
        <f>modif0!G70</f>
        <v>METAIRIES DE TABARTON</v>
      </c>
      <c r="G298" t="str">
        <f>modif0!I70</f>
        <v>0A</v>
      </c>
      <c r="H298">
        <f>modif0!J70</f>
        <v>523</v>
      </c>
      <c r="I298" t="str">
        <f>modif0!K70</f>
        <v>x</v>
      </c>
      <c r="J298" s="11">
        <f>modif0!M70</f>
        <v>1.7747999999999999</v>
      </c>
      <c r="K298" s="11" t="str">
        <f>modif0!P70</f>
        <v>PLA</v>
      </c>
      <c r="L298" t="str">
        <f>modif0!N70</f>
        <v>PM</v>
      </c>
      <c r="M298">
        <f>modif0!Q70</f>
        <v>2005</v>
      </c>
      <c r="N298" t="str">
        <f>modif0!R70</f>
        <v>PLA-PM_2005</v>
      </c>
      <c r="O298" t="b">
        <f>modif0!S70</f>
        <v>0</v>
      </c>
      <c r="P298">
        <v>40</v>
      </c>
      <c r="T298" t="s">
        <v>1805</v>
      </c>
      <c r="Y298" t="s">
        <v>1806</v>
      </c>
      <c r="AA298" s="17">
        <f>IF($A298,$J298*(IF(Q298=regle!$B$11,regle!$B$23*IF(AJ298=-2,1+regle!$B$35,1),
IF(Q298=regle!$C$11,regle!$C$23,
IF(Q298=regle!$D$11,regle!$D$23,
IF(Q298=regle!$E$11,regle!$E$23,
IF(Q298=regle!$F$11,regle!$F$23,
IF(Q298=regle!$G$11,regle!$G$23,
IF(Q298=regle!$H$11,regle!$H$23,
IF(Q298=regle!$I$11,regle!$I$23,
IF(Q298=regle!$J$11,regle!$J$23,
IF(Q298=regle!$K$11,regle!$K$23,0))))))))))))</f>
        <v>0</v>
      </c>
      <c r="AB298" s="17">
        <f>IF($A298,$J298*(IF(R298=regle!$B$11,regle!$B$23*IF(AK298=-2,1+regle!$B$35,1),
IF(R298=regle!$C$11,regle!$C$23,
IF(R298=regle!$D$11,regle!$D$23,
IF(R298=regle!$E$11,regle!$E$23,
IF(R298=regle!$F$11,regle!$F$23,
IF(R298=regle!$G$11,regle!$G$23,
IF(R298=regle!$H$11,regle!$H$23,
IF(R298=regle!$I$11,regle!$I$23,
IF(R298=regle!$J$11,regle!$J$23,
IF(R298=regle!$K$11,regle!$K$23,0))))))))))))</f>
        <v>0</v>
      </c>
      <c r="AC298" s="17">
        <f>IF($A298,$J298*(IF(S298=regle!$B$11,regle!$B$23*IF(AL298=-2,1+regle!$B$35,1),
IF(S298=regle!$C$11,regle!$C$23,
IF(S298=regle!$D$11,regle!$D$23,
IF(S298=regle!$E$11,regle!$E$23,
IF(S298=regle!$F$11,regle!$F$23,
IF(S298=regle!$G$11,regle!$G$23,
IF(S298=regle!$H$11,regle!$H$23,
IF(S298=regle!$I$11,regle!$I$23,
IF(S298=regle!$J$11,regle!$J$23,
IF(S298=regle!$K$11,regle!$K$23,0))))))))))))</f>
        <v>0</v>
      </c>
      <c r="AD298" s="17">
        <f>IF($A298,$J298*(IF(T298=regle!$B$11,regle!$B$23*IF(AM298=-2,1+regle!$B$35,1),
IF(T298=regle!$C$11,regle!$C$23,
IF(T298=regle!$D$11,regle!$D$23,
IF(T298=regle!$E$11,regle!$E$23,
IF(T298=regle!$F$11,regle!$F$23,
IF(T298=regle!$G$11,regle!$G$23,
IF(T298=regle!$H$11,regle!$H$23,
IF(T298=regle!$I$11,regle!$I$23,
IF(T298=regle!$J$11,regle!$J$23,
IF(T298=regle!$K$11,regle!$K$23,0))))))))))))</f>
        <v>2498.9184</v>
      </c>
      <c r="AE298" s="17">
        <f>IF($A298,$J298*(IF(U298=regle!$B$11,regle!$B$23*IF(AN298=-2,1+regle!$B$35,1),
IF(U298=regle!$C$11,regle!$C$23,
IF(U298=regle!$D$11,regle!$D$23,
IF(U298=regle!$E$11,regle!$E$23,
IF(U298=regle!$F$11,regle!$F$23,
IF(U298=regle!$G$11,regle!$G$23,
IF(U298=regle!$H$11,regle!$H$23,
IF(U298=regle!$I$11,regle!$I$23,
IF(U298=regle!$J$11,regle!$J$23,
IF(U298=regle!$K$11,regle!$K$23,0))))))))))))</f>
        <v>0</v>
      </c>
      <c r="AF298" s="17">
        <f>IF($A298,$J298*(IF(V298=regle!$B$11,regle!$B$23*IF(AO298=-2,1+regle!$B$35,1),
IF(V298=regle!$C$11,regle!$C$23,
IF(V298=regle!$D$11,regle!$D$23,
IF(V298=regle!$E$11,regle!$E$23,
IF(V298=regle!$F$11,regle!$F$23,
IF(V298=regle!$G$11,regle!$G$23,
IF(V298=regle!$H$11,regle!$H$23,
IF(V298=regle!$I$11,regle!$I$23,
IF(V298=regle!$J$11,regle!$J$23,
IF(V298=regle!$K$11,regle!$K$23,0))))))))))))</f>
        <v>0</v>
      </c>
      <c r="AG298" s="17">
        <f>IF($A298,$J298*(IF(W298=regle!$B$11,regle!$B$23*IF(AP298=-2,1+regle!$B$35,1),
IF(W298=regle!$C$11,regle!$C$23,
IF(W298=regle!$D$11,regle!$D$23,
IF(W298=regle!$E$11,regle!$E$23,
IF(W298=regle!$F$11,regle!$F$23,
IF(W298=regle!$G$11,regle!$G$23,
IF(W298=regle!$H$11,regle!$H$23,
IF(W298=regle!$I$11,regle!$I$23,
IF(W298=regle!$J$11,regle!$J$23,
IF(W298=regle!$K$11,regle!$K$23,0))))))))))))</f>
        <v>0</v>
      </c>
      <c r="AH298" s="17">
        <f>IF($A298,$J298*(IF(X298=regle!$B$11,regle!$B$23*IF(AQ298=-2,1+regle!$B$35,1),
IF(X298=regle!$C$11,regle!$C$23,
IF(X298=regle!$D$11,regle!$D$23,
IF(X298=regle!$E$11,regle!$E$23,
IF(X298=regle!$F$11,regle!$F$23,
IF(X298=regle!$G$11,regle!$G$23,
IF(X298=regle!$H$11,regle!$H$23,
IF(X298=regle!$I$11,regle!$I$23,
IF(X298=regle!$J$11,regle!$J$23,
IF(X298=regle!$K$11,regle!$K$23,0))))))))))))</f>
        <v>0</v>
      </c>
      <c r="AI298" s="17">
        <f>IF($A298,$J298*(IF(Y298=regle!$B$11,regle!$B$23*IF(AR298=-2,1+regle!$B$35,1),
IF(Y298=regle!$C$11,regle!$C$23,
IF(Y298=regle!$D$11,regle!$D$23,
IF(Y298=regle!$E$11,regle!$E$23,
IF(Y298=regle!$F$11,regle!$F$23,
IF(Y298=regle!$G$11,regle!$G$23,
IF(Y298=regle!$H$11,regle!$H$23,
IF(Y298=regle!$I$11,regle!$I$23,
IF(Y298=regle!$J$11,regle!$J$23,
IF(Y298=regle!$K$11,regle!$K$23,0))))))))))))</f>
        <v>2271.7439999999997</v>
      </c>
      <c r="AJ298" s="17">
        <f>IF($A298,$J298*(IF(Z298=regle!$B$11,regle!$B$23*IF(AS298=-2,1+regle!$B$35,1),
IF(Z298=regle!$C$11,regle!$C$23,
IF(Z298=regle!$D$11,regle!$D$23,
IF(Z298=regle!$E$11,regle!$E$23,
IF(Z298=regle!$F$11,regle!$F$23,
IF(Z298=regle!$G$11,regle!$G$23,
IF(Z298=regle!$H$11,regle!$H$23,
IF(Z298=regle!$I$11,regle!$I$23,
IF(Z298=regle!$J$11,regle!$J$23,
IF(Z298=regle!$K$11,regle!$K$23,0))))))))))))</f>
        <v>0</v>
      </c>
      <c r="AK298" s="16">
        <f>IF(OR(Q298=regle!$J$11,Q298=regle!$K$11),-2,IF(Q298=regle!$B$11,0,IF(AK$1=$AK$1,IF($O298,-1,regle!$B$2-$M298),IF(AJ298=-1,-1,AJ298+1))))</f>
        <v>19</v>
      </c>
      <c r="AL298" s="16">
        <f>IF(OR(R298=regle!$J$11,R298=regle!$K$11),-2,IF(R298=regle!$B$11,0,IF(AL$1=$AK$1,IF($O298,-1,regle!$B$2-$M298),IF(AK298=-1,-1,AK298+1))))</f>
        <v>20</v>
      </c>
      <c r="AM298" s="16">
        <f>IF(OR(S298=regle!$J$11,S298=regle!$K$11),-2,IF(S298=regle!$B$11,0,IF(AM$1=$AK$1,IF($O298,-1,regle!$B$2-$M298),IF(AL298=-1,-1,AL298+1))))</f>
        <v>21</v>
      </c>
      <c r="AN298" s="16">
        <f>IF(OR(T298=regle!$J$11,T298=regle!$K$11),-2,IF(T298=regle!$B$11,0,IF(AN$1=$AK$1,IF($O298,-1,regle!$B$2-$M298),IF(AM298=-1,-1,AM298+1))))</f>
        <v>22</v>
      </c>
      <c r="AO298" s="16">
        <f>IF(OR(U298=regle!$J$11,U298=regle!$K$11),-2,IF(U298=regle!$B$11,0,IF(AO$1=$AK$1,IF($O298,-1,regle!$B$2-$M298),IF(AN298=-1,-1,AN298+1))))</f>
        <v>23</v>
      </c>
      <c r="AP298" s="16">
        <f>IF(OR(V298=regle!$J$11,V298=regle!$K$11),-2,IF(V298=regle!$B$11,0,IF(AP$1=$AK$1,IF($O298,-1,regle!$B$2-$M298),IF(AO298=-1,-1,AO298+1))))</f>
        <v>24</v>
      </c>
      <c r="AQ298" s="16">
        <f>IF(OR(W298=regle!$J$11,W298=regle!$K$11),-2,IF(W298=regle!$B$11,0,IF(AQ$1=$AK$1,IF($O298,-1,regle!$B$2-$M298),IF(AP298=-1,-1,AP298+1))))</f>
        <v>25</v>
      </c>
      <c r="AR298" s="16">
        <f>IF(OR(X298=regle!$J$11,X298=regle!$K$11),-2,IF(X298=regle!$B$11,0,IF(AR$1=$AK$1,IF($O298,-1,regle!$B$2-$M298),IF(AQ298=-1,-1,AQ298+1))))</f>
        <v>26</v>
      </c>
      <c r="AS298" s="16">
        <f>IF(OR(Y298=regle!$J$11,Y298=regle!$K$11),-2,IF(Y298=regle!$B$11,0,IF(AS$1=$AK$1,IF($O298,-1,regle!$B$2-$M298),IF(AR298=-1,-1,AR298+1))))</f>
        <v>27</v>
      </c>
      <c r="AT298" s="16">
        <f>IF(OR(Z298=regle!$J$11,Z298=regle!$K$11),-2,IF(Z298=regle!$B$11,0,IF(AT$1=$AK$1,IF($O298,-1,regle!$B$2-$M298),IF(AS298=-1,-1,AS298+1))))</f>
        <v>28</v>
      </c>
    </row>
    <row r="299" spans="1:46" x14ac:dyDescent="0.25">
      <c r="A299" t="b">
        <f>modif0!A96</f>
        <v>1</v>
      </c>
      <c r="B299">
        <f>ROW(modif0!B96)</f>
        <v>96</v>
      </c>
      <c r="C299" t="str">
        <f>modif0!D96</f>
        <v>197</v>
      </c>
      <c r="D299" t="str">
        <f>modif0!E96</f>
        <v>GUILLOS</v>
      </c>
      <c r="E299">
        <f>modif0!F96</f>
        <v>22</v>
      </c>
      <c r="F299" t="str">
        <f>modif0!G96</f>
        <v>LE TRETIN DES JEANNOTS</v>
      </c>
      <c r="G299" t="str">
        <f>modif0!I96</f>
        <v>0A</v>
      </c>
      <c r="H299">
        <f>modif0!J96</f>
        <v>878</v>
      </c>
      <c r="I299" t="str">
        <f>modif0!K96</f>
        <v>l</v>
      </c>
      <c r="J299" s="11">
        <f>modif0!M96</f>
        <v>1.7087000000000001</v>
      </c>
      <c r="K299" s="11" t="str">
        <f>modif0!P96</f>
        <v>PLA</v>
      </c>
      <c r="L299" t="str">
        <f>modif0!N96</f>
        <v>PM</v>
      </c>
      <c r="M299">
        <f>modif0!Q96</f>
        <v>2005</v>
      </c>
      <c r="N299" t="str">
        <f>modif0!R96</f>
        <v>PLA-PM_2005</v>
      </c>
      <c r="O299" t="b">
        <f>modif0!S96</f>
        <v>0</v>
      </c>
      <c r="P299">
        <v>40</v>
      </c>
      <c r="T299" t="s">
        <v>1805</v>
      </c>
      <c r="Y299" t="s">
        <v>1806</v>
      </c>
      <c r="AA299" s="17">
        <f>IF($A299,$J299*(IF(Q299=regle!$B$11,regle!$B$23*IF(AJ299=-2,1+regle!$B$35,1),
IF(Q299=regle!$C$11,regle!$C$23,
IF(Q299=regle!$D$11,regle!$D$23,
IF(Q299=regle!$E$11,regle!$E$23,
IF(Q299=regle!$F$11,regle!$F$23,
IF(Q299=regle!$G$11,regle!$G$23,
IF(Q299=regle!$H$11,regle!$H$23,
IF(Q299=regle!$I$11,regle!$I$23,
IF(Q299=regle!$J$11,regle!$J$23,
IF(Q299=regle!$K$11,regle!$K$23,0))))))))))))</f>
        <v>0</v>
      </c>
      <c r="AB299" s="17">
        <f>IF($A299,$J299*(IF(R299=regle!$B$11,regle!$B$23*IF(AK299=-2,1+regle!$B$35,1),
IF(R299=regle!$C$11,regle!$C$23,
IF(R299=regle!$D$11,regle!$D$23,
IF(R299=regle!$E$11,regle!$E$23,
IF(R299=regle!$F$11,regle!$F$23,
IF(R299=regle!$G$11,regle!$G$23,
IF(R299=regle!$H$11,regle!$H$23,
IF(R299=regle!$I$11,regle!$I$23,
IF(R299=regle!$J$11,regle!$J$23,
IF(R299=regle!$K$11,regle!$K$23,0))))))))))))</f>
        <v>0</v>
      </c>
      <c r="AC299" s="17">
        <f>IF($A299,$J299*(IF(S299=regle!$B$11,regle!$B$23*IF(AL299=-2,1+regle!$B$35,1),
IF(S299=regle!$C$11,regle!$C$23,
IF(S299=regle!$D$11,regle!$D$23,
IF(S299=regle!$E$11,regle!$E$23,
IF(S299=regle!$F$11,regle!$F$23,
IF(S299=regle!$G$11,regle!$G$23,
IF(S299=regle!$H$11,regle!$H$23,
IF(S299=regle!$I$11,regle!$I$23,
IF(S299=regle!$J$11,regle!$J$23,
IF(S299=regle!$K$11,regle!$K$23,0))))))))))))</f>
        <v>0</v>
      </c>
      <c r="AD299" s="17">
        <f>IF($A299,$J299*(IF(T299=regle!$B$11,regle!$B$23*IF(AM299=-2,1+regle!$B$35,1),
IF(T299=regle!$C$11,regle!$C$23,
IF(T299=regle!$D$11,regle!$D$23,
IF(T299=regle!$E$11,regle!$E$23,
IF(T299=regle!$F$11,regle!$F$23,
IF(T299=regle!$G$11,regle!$G$23,
IF(T299=regle!$H$11,regle!$H$23,
IF(T299=regle!$I$11,regle!$I$23,
IF(T299=regle!$J$11,regle!$J$23,
IF(T299=regle!$K$11,regle!$K$23,0))))))))))))</f>
        <v>2405.8496</v>
      </c>
      <c r="AE299" s="17">
        <f>IF($A299,$J299*(IF(U299=regle!$B$11,regle!$B$23*IF(AN299=-2,1+regle!$B$35,1),
IF(U299=regle!$C$11,regle!$C$23,
IF(U299=regle!$D$11,regle!$D$23,
IF(U299=regle!$E$11,regle!$E$23,
IF(U299=regle!$F$11,regle!$F$23,
IF(U299=regle!$G$11,regle!$G$23,
IF(U299=regle!$H$11,regle!$H$23,
IF(U299=regle!$I$11,regle!$I$23,
IF(U299=regle!$J$11,regle!$J$23,
IF(U299=regle!$K$11,regle!$K$23,0))))))))))))</f>
        <v>0</v>
      </c>
      <c r="AF299" s="17">
        <f>IF($A299,$J299*(IF(V299=regle!$B$11,regle!$B$23*IF(AO299=-2,1+regle!$B$35,1),
IF(V299=regle!$C$11,regle!$C$23,
IF(V299=regle!$D$11,regle!$D$23,
IF(V299=regle!$E$11,regle!$E$23,
IF(V299=regle!$F$11,regle!$F$23,
IF(V299=regle!$G$11,regle!$G$23,
IF(V299=regle!$H$11,regle!$H$23,
IF(V299=regle!$I$11,regle!$I$23,
IF(V299=regle!$J$11,regle!$J$23,
IF(V299=regle!$K$11,regle!$K$23,0))))))))))))</f>
        <v>0</v>
      </c>
      <c r="AG299" s="17">
        <f>IF($A299,$J299*(IF(W299=regle!$B$11,regle!$B$23*IF(AP299=-2,1+regle!$B$35,1),
IF(W299=regle!$C$11,regle!$C$23,
IF(W299=regle!$D$11,regle!$D$23,
IF(W299=regle!$E$11,regle!$E$23,
IF(W299=regle!$F$11,regle!$F$23,
IF(W299=regle!$G$11,regle!$G$23,
IF(W299=regle!$H$11,regle!$H$23,
IF(W299=regle!$I$11,regle!$I$23,
IF(W299=regle!$J$11,regle!$J$23,
IF(W299=regle!$K$11,regle!$K$23,0))))))))))))</f>
        <v>0</v>
      </c>
      <c r="AH299" s="17">
        <f>IF($A299,$J299*(IF(X299=regle!$B$11,regle!$B$23*IF(AQ299=-2,1+regle!$B$35,1),
IF(X299=regle!$C$11,regle!$C$23,
IF(X299=regle!$D$11,regle!$D$23,
IF(X299=regle!$E$11,regle!$E$23,
IF(X299=regle!$F$11,regle!$F$23,
IF(X299=regle!$G$11,regle!$G$23,
IF(X299=regle!$H$11,regle!$H$23,
IF(X299=regle!$I$11,regle!$I$23,
IF(X299=regle!$J$11,regle!$J$23,
IF(X299=regle!$K$11,regle!$K$23,0))))))))))))</f>
        <v>0</v>
      </c>
      <c r="AI299" s="17">
        <f>IF($A299,$J299*(IF(Y299=regle!$B$11,regle!$B$23*IF(AR299=-2,1+regle!$B$35,1),
IF(Y299=regle!$C$11,regle!$C$23,
IF(Y299=regle!$D$11,regle!$D$23,
IF(Y299=regle!$E$11,regle!$E$23,
IF(Y299=regle!$F$11,regle!$F$23,
IF(Y299=regle!$G$11,regle!$G$23,
IF(Y299=regle!$H$11,regle!$H$23,
IF(Y299=regle!$I$11,regle!$I$23,
IF(Y299=regle!$J$11,regle!$J$23,
IF(Y299=regle!$K$11,regle!$K$23,0))))))))))))</f>
        <v>2187.136</v>
      </c>
      <c r="AJ299" s="17">
        <f>IF($A299,$J299*(IF(Z299=regle!$B$11,regle!$B$23*IF(AS299=-2,1+regle!$B$35,1),
IF(Z299=regle!$C$11,regle!$C$23,
IF(Z299=regle!$D$11,regle!$D$23,
IF(Z299=regle!$E$11,regle!$E$23,
IF(Z299=regle!$F$11,regle!$F$23,
IF(Z299=regle!$G$11,regle!$G$23,
IF(Z299=regle!$H$11,regle!$H$23,
IF(Z299=regle!$I$11,regle!$I$23,
IF(Z299=regle!$J$11,regle!$J$23,
IF(Z299=regle!$K$11,regle!$K$23,0))))))))))))</f>
        <v>0</v>
      </c>
      <c r="AK299" s="16">
        <f>IF(OR(Q299=regle!$J$11,Q299=regle!$K$11),-2,IF(Q299=regle!$B$11,0,IF(AK$1=$AK$1,IF($O299,-1,regle!$B$2-$M299),IF(AJ299=-1,-1,AJ299+1))))</f>
        <v>19</v>
      </c>
      <c r="AL299" s="16">
        <f>IF(OR(R299=regle!$J$11,R299=regle!$K$11),-2,IF(R299=regle!$B$11,0,IF(AL$1=$AK$1,IF($O299,-1,regle!$B$2-$M299),IF(AK299=-1,-1,AK299+1))))</f>
        <v>20</v>
      </c>
      <c r="AM299" s="16">
        <f>IF(OR(S299=regle!$J$11,S299=regle!$K$11),-2,IF(S299=regle!$B$11,0,IF(AM$1=$AK$1,IF($O299,-1,regle!$B$2-$M299),IF(AL299=-1,-1,AL299+1))))</f>
        <v>21</v>
      </c>
      <c r="AN299" s="16">
        <f>IF(OR(T299=regle!$J$11,T299=regle!$K$11),-2,IF(T299=regle!$B$11,0,IF(AN$1=$AK$1,IF($O299,-1,regle!$B$2-$M299),IF(AM299=-1,-1,AM299+1))))</f>
        <v>22</v>
      </c>
      <c r="AO299" s="16">
        <f>IF(OR(U299=regle!$J$11,U299=regle!$K$11),-2,IF(U299=regle!$B$11,0,IF(AO$1=$AK$1,IF($O299,-1,regle!$B$2-$M299),IF(AN299=-1,-1,AN299+1))))</f>
        <v>23</v>
      </c>
      <c r="AP299" s="16">
        <f>IF(OR(V299=regle!$J$11,V299=regle!$K$11),-2,IF(V299=regle!$B$11,0,IF(AP$1=$AK$1,IF($O299,-1,regle!$B$2-$M299),IF(AO299=-1,-1,AO299+1))))</f>
        <v>24</v>
      </c>
      <c r="AQ299" s="16">
        <f>IF(OR(W299=regle!$J$11,W299=regle!$K$11),-2,IF(W299=regle!$B$11,0,IF(AQ$1=$AK$1,IF($O299,-1,regle!$B$2-$M299),IF(AP299=-1,-1,AP299+1))))</f>
        <v>25</v>
      </c>
      <c r="AR299" s="16">
        <f>IF(OR(X299=regle!$J$11,X299=regle!$K$11),-2,IF(X299=regle!$B$11,0,IF(AR$1=$AK$1,IF($O299,-1,regle!$B$2-$M299),IF(AQ299=-1,-1,AQ299+1))))</f>
        <v>26</v>
      </c>
      <c r="AS299" s="16">
        <f>IF(OR(Y299=regle!$J$11,Y299=regle!$K$11),-2,IF(Y299=regle!$B$11,0,IF(AS$1=$AK$1,IF($O299,-1,regle!$B$2-$M299),IF(AR299=-1,-1,AR299+1))))</f>
        <v>27</v>
      </c>
      <c r="AT299" s="16">
        <f>IF(OR(Z299=regle!$J$11,Z299=regle!$K$11),-2,IF(Z299=regle!$B$11,0,IF(AT$1=$AK$1,IF($O299,-1,regle!$B$2-$M299),IF(AS299=-1,-1,AS299+1))))</f>
        <v>28</v>
      </c>
    </row>
    <row r="300" spans="1:46" x14ac:dyDescent="0.25">
      <c r="A300" t="b">
        <f>modif0!A27</f>
        <v>1</v>
      </c>
      <c r="B300">
        <f>ROW(modif0!B27)</f>
        <v>27</v>
      </c>
      <c r="C300" t="str">
        <f>modif0!D27</f>
        <v>536</v>
      </c>
      <c r="D300" t="str">
        <f>modif0!E27</f>
        <v>LE TUZAN</v>
      </c>
      <c r="E300">
        <f>modif0!F27</f>
        <v>21</v>
      </c>
      <c r="F300" t="str">
        <f>modif0!G27</f>
        <v>METAIRIES DE TABARTON</v>
      </c>
      <c r="G300" t="str">
        <f>modif0!I27</f>
        <v>0A</v>
      </c>
      <c r="H300">
        <f>modif0!J27</f>
        <v>408</v>
      </c>
      <c r="I300" t="str">
        <f>modif0!K27</f>
        <v>j</v>
      </c>
      <c r="J300" s="11">
        <f>modif0!M27</f>
        <v>1.5445</v>
      </c>
      <c r="K300" s="11" t="str">
        <f>modif0!P27</f>
        <v>PLA</v>
      </c>
      <c r="L300" t="str">
        <f>modif0!N27</f>
        <v>PM</v>
      </c>
      <c r="M300">
        <f>modif0!Q27</f>
        <v>2005</v>
      </c>
      <c r="N300" t="str">
        <f>modif0!R27</f>
        <v>PLA-PM_2005</v>
      </c>
      <c r="O300" t="b">
        <f>modif0!S27</f>
        <v>0</v>
      </c>
      <c r="P300">
        <v>40</v>
      </c>
      <c r="T300" t="s">
        <v>1805</v>
      </c>
      <c r="Y300" t="s">
        <v>1806</v>
      </c>
      <c r="AA300" s="17">
        <f>IF($A300,$J300*(IF(Q300=regle!$B$11,regle!$B$23*IF(AJ300=-2,1+regle!$B$35,1),
IF(Q300=regle!$C$11,regle!$C$23,
IF(Q300=regle!$D$11,regle!$D$23,
IF(Q300=regle!$E$11,regle!$E$23,
IF(Q300=regle!$F$11,regle!$F$23,
IF(Q300=regle!$G$11,regle!$G$23,
IF(Q300=regle!$H$11,regle!$H$23,
IF(Q300=regle!$I$11,regle!$I$23,
IF(Q300=regle!$J$11,regle!$J$23,
IF(Q300=regle!$K$11,regle!$K$23,0))))))))))))</f>
        <v>0</v>
      </c>
      <c r="AB300" s="17">
        <f>IF($A300,$J300*(IF(R300=regle!$B$11,regle!$B$23*IF(AK300=-2,1+regle!$B$35,1),
IF(R300=regle!$C$11,regle!$C$23,
IF(R300=regle!$D$11,regle!$D$23,
IF(R300=regle!$E$11,regle!$E$23,
IF(R300=regle!$F$11,regle!$F$23,
IF(R300=regle!$G$11,regle!$G$23,
IF(R300=regle!$H$11,regle!$H$23,
IF(R300=regle!$I$11,regle!$I$23,
IF(R300=regle!$J$11,regle!$J$23,
IF(R300=regle!$K$11,regle!$K$23,0))))))))))))</f>
        <v>0</v>
      </c>
      <c r="AC300" s="17">
        <f>IF($A300,$J300*(IF(S300=regle!$B$11,regle!$B$23*IF(AL300=-2,1+regle!$B$35,1),
IF(S300=regle!$C$11,regle!$C$23,
IF(S300=regle!$D$11,regle!$D$23,
IF(S300=regle!$E$11,regle!$E$23,
IF(S300=regle!$F$11,regle!$F$23,
IF(S300=regle!$G$11,regle!$G$23,
IF(S300=regle!$H$11,regle!$H$23,
IF(S300=regle!$I$11,regle!$I$23,
IF(S300=regle!$J$11,regle!$J$23,
IF(S300=regle!$K$11,regle!$K$23,0))))))))))))</f>
        <v>0</v>
      </c>
      <c r="AD300" s="17">
        <f>IF($A300,$J300*(IF(T300=regle!$B$11,regle!$B$23*IF(AM300=-2,1+regle!$B$35,1),
IF(T300=regle!$C$11,regle!$C$23,
IF(T300=regle!$D$11,regle!$D$23,
IF(T300=regle!$E$11,regle!$E$23,
IF(T300=regle!$F$11,regle!$F$23,
IF(T300=regle!$G$11,regle!$G$23,
IF(T300=regle!$H$11,regle!$H$23,
IF(T300=regle!$I$11,regle!$I$23,
IF(T300=regle!$J$11,regle!$J$23,
IF(T300=regle!$K$11,regle!$K$23,0))))))))))))</f>
        <v>2174.6559999999999</v>
      </c>
      <c r="AE300" s="17">
        <f>IF($A300,$J300*(IF(U300=regle!$B$11,regle!$B$23*IF(AN300=-2,1+regle!$B$35,1),
IF(U300=regle!$C$11,regle!$C$23,
IF(U300=regle!$D$11,regle!$D$23,
IF(U300=regle!$E$11,regle!$E$23,
IF(U300=regle!$F$11,regle!$F$23,
IF(U300=regle!$G$11,regle!$G$23,
IF(U300=regle!$H$11,regle!$H$23,
IF(U300=regle!$I$11,regle!$I$23,
IF(U300=regle!$J$11,regle!$J$23,
IF(U300=regle!$K$11,regle!$K$23,0))))))))))))</f>
        <v>0</v>
      </c>
      <c r="AF300" s="17">
        <f>IF($A300,$J300*(IF(V300=regle!$B$11,regle!$B$23*IF(AO300=-2,1+regle!$B$35,1),
IF(V300=regle!$C$11,regle!$C$23,
IF(V300=regle!$D$11,regle!$D$23,
IF(V300=regle!$E$11,regle!$E$23,
IF(V300=regle!$F$11,regle!$F$23,
IF(V300=regle!$G$11,regle!$G$23,
IF(V300=regle!$H$11,regle!$H$23,
IF(V300=regle!$I$11,regle!$I$23,
IF(V300=regle!$J$11,regle!$J$23,
IF(V300=regle!$K$11,regle!$K$23,0))))))))))))</f>
        <v>0</v>
      </c>
      <c r="AG300" s="17">
        <f>IF($A300,$J300*(IF(W300=regle!$B$11,regle!$B$23*IF(AP300=-2,1+regle!$B$35,1),
IF(W300=regle!$C$11,regle!$C$23,
IF(W300=regle!$D$11,regle!$D$23,
IF(W300=regle!$E$11,regle!$E$23,
IF(W300=regle!$F$11,regle!$F$23,
IF(W300=regle!$G$11,regle!$G$23,
IF(W300=regle!$H$11,regle!$H$23,
IF(W300=regle!$I$11,regle!$I$23,
IF(W300=regle!$J$11,regle!$J$23,
IF(W300=regle!$K$11,regle!$K$23,0))))))))))))</f>
        <v>0</v>
      </c>
      <c r="AH300" s="17">
        <f>IF($A300,$J300*(IF(X300=regle!$B$11,regle!$B$23*IF(AQ300=-2,1+regle!$B$35,1),
IF(X300=regle!$C$11,regle!$C$23,
IF(X300=regle!$D$11,regle!$D$23,
IF(X300=regle!$E$11,regle!$E$23,
IF(X300=regle!$F$11,regle!$F$23,
IF(X300=regle!$G$11,regle!$G$23,
IF(X300=regle!$H$11,regle!$H$23,
IF(X300=regle!$I$11,regle!$I$23,
IF(X300=regle!$J$11,regle!$J$23,
IF(X300=regle!$K$11,regle!$K$23,0))))))))))))</f>
        <v>0</v>
      </c>
      <c r="AI300" s="17">
        <f>IF($A300,$J300*(IF(Y300=regle!$B$11,regle!$B$23*IF(AR300=-2,1+regle!$B$35,1),
IF(Y300=regle!$C$11,regle!$C$23,
IF(Y300=regle!$D$11,regle!$D$23,
IF(Y300=regle!$E$11,regle!$E$23,
IF(Y300=regle!$F$11,regle!$F$23,
IF(Y300=regle!$G$11,regle!$G$23,
IF(Y300=regle!$H$11,regle!$H$23,
IF(Y300=regle!$I$11,regle!$I$23,
IF(Y300=regle!$J$11,regle!$J$23,
IF(Y300=regle!$K$11,regle!$K$23,0))))))))))))</f>
        <v>1976.96</v>
      </c>
      <c r="AJ300" s="17">
        <f>IF($A300,$J300*(IF(Z300=regle!$B$11,regle!$B$23*IF(AS300=-2,1+regle!$B$35,1),
IF(Z300=regle!$C$11,regle!$C$23,
IF(Z300=regle!$D$11,regle!$D$23,
IF(Z300=regle!$E$11,regle!$E$23,
IF(Z300=regle!$F$11,regle!$F$23,
IF(Z300=regle!$G$11,regle!$G$23,
IF(Z300=regle!$H$11,regle!$H$23,
IF(Z300=regle!$I$11,regle!$I$23,
IF(Z300=regle!$J$11,regle!$J$23,
IF(Z300=regle!$K$11,regle!$K$23,0))))))))))))</f>
        <v>0</v>
      </c>
      <c r="AK300" s="16">
        <f>IF(OR(Q300=regle!$J$11,Q300=regle!$K$11),-2,IF(Q300=regle!$B$11,0,IF(AK$1=$AK$1,IF($O300,-1,regle!$B$2-$M300),IF(AJ300=-1,-1,AJ300+1))))</f>
        <v>19</v>
      </c>
      <c r="AL300" s="16">
        <f>IF(OR(R300=regle!$J$11,R300=regle!$K$11),-2,IF(R300=regle!$B$11,0,IF(AL$1=$AK$1,IF($O300,-1,regle!$B$2-$M300),IF(AK300=-1,-1,AK300+1))))</f>
        <v>20</v>
      </c>
      <c r="AM300" s="16">
        <f>IF(OR(S300=regle!$J$11,S300=regle!$K$11),-2,IF(S300=regle!$B$11,0,IF(AM$1=$AK$1,IF($O300,-1,regle!$B$2-$M300),IF(AL300=-1,-1,AL300+1))))</f>
        <v>21</v>
      </c>
      <c r="AN300" s="16">
        <f>IF(OR(T300=regle!$J$11,T300=regle!$K$11),-2,IF(T300=regle!$B$11,0,IF(AN$1=$AK$1,IF($O300,-1,regle!$B$2-$M300),IF(AM300=-1,-1,AM300+1))))</f>
        <v>22</v>
      </c>
      <c r="AO300" s="16">
        <f>IF(OR(U300=regle!$J$11,U300=regle!$K$11),-2,IF(U300=regle!$B$11,0,IF(AO$1=$AK$1,IF($O300,-1,regle!$B$2-$M300),IF(AN300=-1,-1,AN300+1))))</f>
        <v>23</v>
      </c>
      <c r="AP300" s="16">
        <f>IF(OR(V300=regle!$J$11,V300=regle!$K$11),-2,IF(V300=regle!$B$11,0,IF(AP$1=$AK$1,IF($O300,-1,regle!$B$2-$M300),IF(AO300=-1,-1,AO300+1))))</f>
        <v>24</v>
      </c>
      <c r="AQ300" s="16">
        <f>IF(OR(W300=regle!$J$11,W300=regle!$K$11),-2,IF(W300=regle!$B$11,0,IF(AQ$1=$AK$1,IF($O300,-1,regle!$B$2-$M300),IF(AP300=-1,-1,AP300+1))))</f>
        <v>25</v>
      </c>
      <c r="AR300" s="16">
        <f>IF(OR(X300=regle!$J$11,X300=regle!$K$11),-2,IF(X300=regle!$B$11,0,IF(AR$1=$AK$1,IF($O300,-1,regle!$B$2-$M300),IF(AQ300=-1,-1,AQ300+1))))</f>
        <v>26</v>
      </c>
      <c r="AS300" s="16">
        <f>IF(OR(Y300=regle!$J$11,Y300=regle!$K$11),-2,IF(Y300=regle!$B$11,0,IF(AS$1=$AK$1,IF($O300,-1,regle!$B$2-$M300),IF(AR300=-1,-1,AR300+1))))</f>
        <v>27</v>
      </c>
      <c r="AT300" s="16">
        <f>IF(OR(Z300=regle!$J$11,Z300=regle!$K$11),-2,IF(Z300=regle!$B$11,0,IF(AT$1=$AK$1,IF($O300,-1,regle!$B$2-$M300),IF(AS300=-1,-1,AS300+1))))</f>
        <v>28</v>
      </c>
    </row>
    <row r="301" spans="1:46" x14ac:dyDescent="0.25">
      <c r="A301" t="b">
        <f>modif0!A94</f>
        <v>1</v>
      </c>
      <c r="B301">
        <f>ROW(modif0!B94)</f>
        <v>94</v>
      </c>
      <c r="C301" t="str">
        <f>modif0!D94</f>
        <v>197</v>
      </c>
      <c r="D301" t="str">
        <f>modif0!E94</f>
        <v>GUILLOS</v>
      </c>
      <c r="E301">
        <f>modif0!F94</f>
        <v>22</v>
      </c>
      <c r="F301" t="str">
        <f>modif0!G94</f>
        <v>LE TRETIN DES JEANNOTS</v>
      </c>
      <c r="G301" t="str">
        <f>modif0!I94</f>
        <v>0A</v>
      </c>
      <c r="H301">
        <f>modif0!J94</f>
        <v>878</v>
      </c>
      <c r="I301" t="str">
        <f>modif0!K94</f>
        <v>j</v>
      </c>
      <c r="J301" s="11">
        <f>modif0!M94</f>
        <v>1.3727</v>
      </c>
      <c r="K301" s="11" t="str">
        <f>modif0!P94</f>
        <v>PLA</v>
      </c>
      <c r="L301" t="str">
        <f>modif0!N94</f>
        <v>PM</v>
      </c>
      <c r="M301">
        <f>modif0!Q94</f>
        <v>2005</v>
      </c>
      <c r="N301" t="str">
        <f>modif0!R94</f>
        <v>PLA-PM_2005</v>
      </c>
      <c r="O301" t="b">
        <f>modif0!S94</f>
        <v>0</v>
      </c>
      <c r="P301">
        <v>40</v>
      </c>
      <c r="W301" s="22" t="s">
        <v>1181</v>
      </c>
      <c r="X301" t="s">
        <v>1868</v>
      </c>
      <c r="Z301" t="s">
        <v>1872</v>
      </c>
      <c r="AA301" s="17">
        <f>IF($A301,$J301*(IF(Q301=regle!$B$11,regle!$B$23*IF(AJ301=-2,1+regle!$B$35,1),
IF(Q301=regle!$C$11,regle!$C$23,
IF(Q301=regle!$D$11,regle!$D$23,
IF(Q301=regle!$E$11,regle!$E$23,
IF(Q301=regle!$F$11,regle!$F$23,
IF(Q301=regle!$G$11,regle!$G$23,
IF(Q301=regle!$H$11,regle!$H$23,
IF(Q301=regle!$I$11,regle!$I$23,
IF(Q301=regle!$J$11,regle!$J$23,
IF(Q301=regle!$K$11,regle!$K$23,0))))))))))))</f>
        <v>0</v>
      </c>
      <c r="AB301" s="17">
        <f>IF($A301,$J301*(IF(R301=regle!$B$11,regle!$B$23*IF(AK301=-2,1+regle!$B$35,1),
IF(R301=regle!$C$11,regle!$C$23,
IF(R301=regle!$D$11,regle!$D$23,
IF(R301=regle!$E$11,regle!$E$23,
IF(R301=regle!$F$11,regle!$F$23,
IF(R301=regle!$G$11,regle!$G$23,
IF(R301=regle!$H$11,regle!$H$23,
IF(R301=regle!$I$11,regle!$I$23,
IF(R301=regle!$J$11,regle!$J$23,
IF(R301=regle!$K$11,regle!$K$23,0))))))))))))</f>
        <v>0</v>
      </c>
      <c r="AC301" s="17">
        <f>IF($A301,$J301*(IF(S301=regle!$B$11,regle!$B$23*IF(AL301=-2,1+regle!$B$35,1),
IF(S301=regle!$C$11,regle!$C$23,
IF(S301=regle!$D$11,regle!$D$23,
IF(S301=regle!$E$11,regle!$E$23,
IF(S301=regle!$F$11,regle!$F$23,
IF(S301=regle!$G$11,regle!$G$23,
IF(S301=regle!$H$11,regle!$H$23,
IF(S301=regle!$I$11,regle!$I$23,
IF(S301=regle!$J$11,regle!$J$23,
IF(S301=regle!$K$11,regle!$K$23,0))))))))))))</f>
        <v>0</v>
      </c>
      <c r="AD301" s="17">
        <f>IF($A301,$J301*(IF(T301=regle!$B$11,regle!$B$23*IF(AM301=-2,1+regle!$B$35,1),
IF(T301=regle!$C$11,regle!$C$23,
IF(T301=regle!$D$11,regle!$D$23,
IF(T301=regle!$E$11,regle!$E$23,
IF(T301=regle!$F$11,regle!$F$23,
IF(T301=regle!$G$11,regle!$G$23,
IF(T301=regle!$H$11,regle!$H$23,
IF(T301=regle!$I$11,regle!$I$23,
IF(T301=regle!$J$11,regle!$J$23,
IF(T301=regle!$K$11,regle!$K$23,0))))))))))))</f>
        <v>0</v>
      </c>
      <c r="AE301" s="17">
        <f>IF($A301,$J301*(IF(U301=regle!$B$11,regle!$B$23*IF(AN301=-2,1+regle!$B$35,1),
IF(U301=regle!$C$11,regle!$C$23,
IF(U301=regle!$D$11,regle!$D$23,
IF(U301=regle!$E$11,regle!$E$23,
IF(U301=regle!$F$11,regle!$F$23,
IF(U301=regle!$G$11,regle!$G$23,
IF(U301=regle!$H$11,regle!$H$23,
IF(U301=regle!$I$11,regle!$I$23,
IF(U301=regle!$J$11,regle!$J$23,
IF(U301=regle!$K$11,regle!$K$23,0))))))))))))</f>
        <v>0</v>
      </c>
      <c r="AF301" s="17">
        <f>IF($A301,$J301*(IF(V301=regle!$B$11,regle!$B$23*IF(AO301=-2,1+regle!$B$35,1),
IF(V301=regle!$C$11,regle!$C$23,
IF(V301=regle!$D$11,regle!$D$23,
IF(V301=regle!$E$11,regle!$E$23,
IF(V301=regle!$F$11,regle!$F$23,
IF(V301=regle!$G$11,regle!$G$23,
IF(V301=regle!$H$11,regle!$H$23,
IF(V301=regle!$I$11,regle!$I$23,
IF(V301=regle!$J$11,regle!$J$23,
IF(V301=regle!$K$11,regle!$K$23,0))))))))))))</f>
        <v>0</v>
      </c>
      <c r="AG301" s="17">
        <f>IF($A301,$J301*(IF(W301=regle!$B$11,regle!$B$23*IF(AP301=-2,1+regle!$B$35,1),
IF(W301=regle!$C$11,regle!$C$23,
IF(W301=regle!$D$11,regle!$D$23,
IF(W301=regle!$E$11,regle!$E$23,
IF(W301=regle!$F$11,regle!$F$23,
IF(W301=regle!$G$11,regle!$G$23,
IF(W301=regle!$H$11,regle!$H$23,
IF(W301=regle!$I$11,regle!$I$23,
IF(W301=regle!$J$11,regle!$J$23,
IF(W301=regle!$K$11,regle!$K$23,0))))))))))))</f>
        <v>7138.04</v>
      </c>
      <c r="AH301" s="17">
        <f>IF($A301,$J301*(IF(X301=regle!$B$11,regle!$B$23*IF(AQ301=-2,1+regle!$B$35,1),
IF(X301=regle!$C$11,regle!$C$23,
IF(X301=regle!$D$11,regle!$D$23,
IF(X301=regle!$E$11,regle!$E$23,
IF(X301=regle!$F$11,regle!$F$23,
IF(X301=regle!$G$11,regle!$G$23,
IF(X301=regle!$H$11,regle!$H$23,
IF(X301=regle!$I$11,regle!$I$23,
IF(X301=regle!$J$11,regle!$J$23,
IF(X301=regle!$K$11,regle!$K$23,0))))))))))))</f>
        <v>-2566.9490000000005</v>
      </c>
      <c r="AI301" s="17">
        <f>IF($A301,$J301*(IF(Y301=regle!$B$11,regle!$B$23*IF(AR301=-2,1+regle!$B$35,1),
IF(Y301=regle!$C$11,regle!$C$23,
IF(Y301=regle!$D$11,regle!$D$23,
IF(Y301=regle!$E$11,regle!$E$23,
IF(Y301=regle!$F$11,regle!$F$23,
IF(Y301=regle!$G$11,regle!$G$23,
IF(Y301=regle!$H$11,regle!$H$23,
IF(Y301=regle!$I$11,regle!$I$23,
IF(Y301=regle!$J$11,regle!$J$23,
IF(Y301=regle!$K$11,regle!$K$23,0))))))))))))</f>
        <v>0</v>
      </c>
      <c r="AJ301" s="17">
        <f>IF($A301,$J301*(IF(Z301=regle!$B$11,regle!$B$23*IF(AS301=-2,1+regle!$B$35,1),
IF(Z301=regle!$C$11,regle!$C$23,
IF(Z301=regle!$D$11,regle!$D$23,
IF(Z301=regle!$E$11,regle!$E$23,
IF(Z301=regle!$F$11,regle!$F$23,
IF(Z301=regle!$G$11,regle!$G$23,
IF(Z301=regle!$H$11,regle!$H$23,
IF(Z301=regle!$I$11,regle!$I$23,
IF(Z301=regle!$J$11,regle!$J$23,
IF(Z301=regle!$K$11,regle!$K$23,0))))))))))))</f>
        <v>-102.9525</v>
      </c>
      <c r="AK301" s="16">
        <f>IF(OR(Q301=regle!$J$11,Q301=regle!$K$11),-2,IF(Q301=regle!$B$11,0,IF(AK$1=$AK$1,IF($O301,-1,regle!$B$2-$M301),IF(AJ301=-1,-1,AJ301+1))))</f>
        <v>19</v>
      </c>
      <c r="AL301" s="16">
        <f>IF(OR(R301=regle!$J$11,R301=regle!$K$11),-2,IF(R301=regle!$B$11,0,IF(AL$1=$AK$1,IF($O301,-1,regle!$B$2-$M301),IF(AK301=-1,-1,AK301+1))))</f>
        <v>20</v>
      </c>
      <c r="AM301" s="16">
        <f>IF(OR(S301=regle!$J$11,S301=regle!$K$11),-2,IF(S301=regle!$B$11,0,IF(AM$1=$AK$1,IF($O301,-1,regle!$B$2-$M301),IF(AL301=-1,-1,AL301+1))))</f>
        <v>21</v>
      </c>
      <c r="AN301" s="16">
        <f>IF(OR(T301=regle!$J$11,T301=regle!$K$11),-2,IF(T301=regle!$B$11,0,IF(AN$1=$AK$1,IF($O301,-1,regle!$B$2-$M301),IF(AM301=-1,-1,AM301+1))))</f>
        <v>22</v>
      </c>
      <c r="AO301" s="16">
        <f>IF(OR(U301=regle!$J$11,U301=regle!$K$11),-2,IF(U301=regle!$B$11,0,IF(AO$1=$AK$1,IF($O301,-1,regle!$B$2-$M301),IF(AN301=-1,-1,AN301+1))))</f>
        <v>23</v>
      </c>
      <c r="AP301" s="16">
        <f>IF(OR(V301=regle!$J$11,V301=regle!$K$11),-2,IF(V301=regle!$B$11,0,IF(AP$1=$AK$1,IF($O301,-1,regle!$B$2-$M301),IF(AO301=-1,-1,AO301+1))))</f>
        <v>24</v>
      </c>
      <c r="AQ301" s="16">
        <f>IF(OR(W301=regle!$J$11,W301=regle!$K$11),-2,IF(W301=regle!$B$11,0,IF(AQ$1=$AK$1,IF($O301,-1,regle!$B$2-$M301),IF(AP301=-1,-1,AP301+1))))</f>
        <v>-2</v>
      </c>
      <c r="AR301" s="16">
        <f>IF(OR(X301=regle!$J$11,X301=regle!$K$11),-2,IF(X301=regle!$B$11,0,IF(AR$1=$AK$1,IF($O301,-1,regle!$B$2-$M301),IF(AQ301=-1,-1,AQ301+1))))</f>
        <v>0</v>
      </c>
      <c r="AS301" s="16">
        <f>IF(OR(Y301=regle!$J$11,Y301=regle!$K$11),-2,IF(Y301=regle!$B$11,0,IF(AS$1=$AK$1,IF($O301,-1,regle!$B$2-$M301),IF(AR301=-1,-1,AR301+1))))</f>
        <v>1</v>
      </c>
      <c r="AT301" s="16">
        <f>IF(OR(Z301=regle!$J$11,Z301=regle!$K$11),-2,IF(Z301=regle!$B$11,0,IF(AT$1=$AK$1,IF($O301,-1,regle!$B$2-$M301),IF(AS301=-1,-1,AS301+1))))</f>
        <v>2</v>
      </c>
    </row>
    <row r="302" spans="1:46" x14ac:dyDescent="0.25">
      <c r="A302" t="b">
        <f>modif0!A333</f>
        <v>1</v>
      </c>
      <c r="B302">
        <f>ROW(modif0!B333)</f>
        <v>333</v>
      </c>
      <c r="C302" t="str">
        <f>modif0!D333</f>
        <v>077</v>
      </c>
      <c r="D302" t="str">
        <f>modif0!E333</f>
        <v>CABANAC-ET-VILLAGRAINS</v>
      </c>
      <c r="E302">
        <f>modif0!F333</f>
        <v>12</v>
      </c>
      <c r="F302" t="str">
        <f>modif0!G333</f>
        <v>LES JEANNOTS</v>
      </c>
      <c r="G302" t="str">
        <f>modif0!I333</f>
        <v>0D</v>
      </c>
      <c r="H302">
        <f>modif0!J333</f>
        <v>2299</v>
      </c>
      <c r="I302" t="str">
        <f>modif0!K333</f>
        <v/>
      </c>
      <c r="J302" s="11">
        <f>modif0!M333</f>
        <v>1.1830000000000001</v>
      </c>
      <c r="K302" s="11" t="str">
        <f>modif0!P333</f>
        <v>PLA</v>
      </c>
      <c r="L302" t="str">
        <f>modif0!N333</f>
        <v>PM</v>
      </c>
      <c r="M302">
        <f>modif0!Q333</f>
        <v>2005</v>
      </c>
      <c r="N302" t="str">
        <f>modif0!R333</f>
        <v>PLA-PM_2005</v>
      </c>
      <c r="O302" t="b">
        <f>modif0!S333</f>
        <v>0</v>
      </c>
      <c r="P302">
        <v>40</v>
      </c>
      <c r="Y302" s="22" t="s">
        <v>1181</v>
      </c>
      <c r="Z302" t="s">
        <v>1868</v>
      </c>
      <c r="AA302" s="17">
        <f>IF($A302,$J302*(IF(Q302=regle!$B$11,regle!$B$23*IF(AJ302=-2,1+regle!$B$35,1),
IF(Q302=regle!$C$11,regle!$C$23,
IF(Q302=regle!$D$11,regle!$D$23,
IF(Q302=regle!$E$11,regle!$E$23,
IF(Q302=regle!$F$11,regle!$F$23,
IF(Q302=regle!$G$11,regle!$G$23,
IF(Q302=regle!$H$11,regle!$H$23,
IF(Q302=regle!$I$11,regle!$I$23,
IF(Q302=regle!$J$11,regle!$J$23,
IF(Q302=regle!$K$11,regle!$K$23,0))))))))))))</f>
        <v>0</v>
      </c>
      <c r="AB302" s="17">
        <f>IF($A302,$J302*(IF(R302=regle!$B$11,regle!$B$23*IF(AK302=-2,1+regle!$B$35,1),
IF(R302=regle!$C$11,regle!$C$23,
IF(R302=regle!$D$11,regle!$D$23,
IF(R302=regle!$E$11,regle!$E$23,
IF(R302=regle!$F$11,regle!$F$23,
IF(R302=regle!$G$11,regle!$G$23,
IF(R302=regle!$H$11,regle!$H$23,
IF(R302=regle!$I$11,regle!$I$23,
IF(R302=regle!$J$11,regle!$J$23,
IF(R302=regle!$K$11,regle!$K$23,0))))))))))))</f>
        <v>0</v>
      </c>
      <c r="AC302" s="17">
        <f>IF($A302,$J302*(IF(S302=regle!$B$11,regle!$B$23*IF(AL302=-2,1+regle!$B$35,1),
IF(S302=regle!$C$11,regle!$C$23,
IF(S302=regle!$D$11,regle!$D$23,
IF(S302=regle!$E$11,regle!$E$23,
IF(S302=regle!$F$11,regle!$F$23,
IF(S302=regle!$G$11,regle!$G$23,
IF(S302=regle!$H$11,regle!$H$23,
IF(S302=regle!$I$11,regle!$I$23,
IF(S302=regle!$J$11,regle!$J$23,
IF(S302=regle!$K$11,regle!$K$23,0))))))))))))</f>
        <v>0</v>
      </c>
      <c r="AD302" s="17">
        <f>IF($A302,$J302*(IF(T302=regle!$B$11,regle!$B$23*IF(AM302=-2,1+regle!$B$35,1),
IF(T302=regle!$C$11,regle!$C$23,
IF(T302=regle!$D$11,regle!$D$23,
IF(T302=regle!$E$11,regle!$E$23,
IF(T302=regle!$F$11,regle!$F$23,
IF(T302=regle!$G$11,regle!$G$23,
IF(T302=regle!$H$11,regle!$H$23,
IF(T302=regle!$I$11,regle!$I$23,
IF(T302=regle!$J$11,regle!$J$23,
IF(T302=regle!$K$11,regle!$K$23,0))))))))))))</f>
        <v>0</v>
      </c>
      <c r="AE302" s="17">
        <f>IF($A302,$J302*(IF(U302=regle!$B$11,regle!$B$23*IF(AN302=-2,1+regle!$B$35,1),
IF(U302=regle!$C$11,regle!$C$23,
IF(U302=regle!$D$11,regle!$D$23,
IF(U302=regle!$E$11,regle!$E$23,
IF(U302=regle!$F$11,regle!$F$23,
IF(U302=regle!$G$11,regle!$G$23,
IF(U302=regle!$H$11,regle!$H$23,
IF(U302=regle!$I$11,regle!$I$23,
IF(U302=regle!$J$11,regle!$J$23,
IF(U302=regle!$K$11,regle!$K$23,0))))))))))))</f>
        <v>0</v>
      </c>
      <c r="AF302" s="17">
        <f>IF($A302,$J302*(IF(V302=regle!$B$11,regle!$B$23*IF(AO302=-2,1+regle!$B$35,1),
IF(V302=regle!$C$11,regle!$C$23,
IF(V302=regle!$D$11,regle!$D$23,
IF(V302=regle!$E$11,regle!$E$23,
IF(V302=regle!$F$11,regle!$F$23,
IF(V302=regle!$G$11,regle!$G$23,
IF(V302=regle!$H$11,regle!$H$23,
IF(V302=regle!$I$11,regle!$I$23,
IF(V302=regle!$J$11,regle!$J$23,
IF(V302=regle!$K$11,regle!$K$23,0))))))))))))</f>
        <v>0</v>
      </c>
      <c r="AG302" s="17">
        <f>IF($A302,$J302*(IF(W302=regle!$B$11,regle!$B$23*IF(AP302=-2,1+regle!$B$35,1),
IF(W302=regle!$C$11,regle!$C$23,
IF(W302=regle!$D$11,regle!$D$23,
IF(W302=regle!$E$11,regle!$E$23,
IF(W302=regle!$F$11,regle!$F$23,
IF(W302=regle!$G$11,regle!$G$23,
IF(W302=regle!$H$11,regle!$H$23,
IF(W302=regle!$I$11,regle!$I$23,
IF(W302=regle!$J$11,regle!$J$23,
IF(W302=regle!$K$11,regle!$K$23,0))))))))))))</f>
        <v>0</v>
      </c>
      <c r="AH302" s="17">
        <f>IF($A302,$J302*(IF(X302=regle!$B$11,regle!$B$23*IF(AQ302=-2,1+regle!$B$35,1),
IF(X302=regle!$C$11,regle!$C$23,
IF(X302=regle!$D$11,regle!$D$23,
IF(X302=regle!$E$11,regle!$E$23,
IF(X302=regle!$F$11,regle!$F$23,
IF(X302=regle!$G$11,regle!$G$23,
IF(X302=regle!$H$11,regle!$H$23,
IF(X302=regle!$I$11,regle!$I$23,
IF(X302=regle!$J$11,regle!$J$23,
IF(X302=regle!$K$11,regle!$K$23,0))))))))))))</f>
        <v>0</v>
      </c>
      <c r="AI302" s="17">
        <f>IF($A302,$J302*(IF(Y302=regle!$B$11,regle!$B$23*IF(AR302=-2,1+regle!$B$35,1),
IF(Y302=regle!$C$11,regle!$C$23,
IF(Y302=regle!$D$11,regle!$D$23,
IF(Y302=regle!$E$11,regle!$E$23,
IF(Y302=regle!$F$11,regle!$F$23,
IF(Y302=regle!$G$11,regle!$G$23,
IF(Y302=regle!$H$11,regle!$H$23,
IF(Y302=regle!$I$11,regle!$I$23,
IF(Y302=regle!$J$11,regle!$J$23,
IF(Y302=regle!$K$11,regle!$K$23,0))))))))))))</f>
        <v>6151.6</v>
      </c>
      <c r="AJ302" s="17">
        <f>IF($A302,$J302*(IF(Z302=regle!$B$11,regle!$B$23*IF(AS302=-2,1+regle!$B$35,1),
IF(Z302=regle!$C$11,regle!$C$23,
IF(Z302=regle!$D$11,regle!$D$23,
IF(Z302=regle!$E$11,regle!$E$23,
IF(Z302=regle!$F$11,regle!$F$23,
IF(Z302=regle!$G$11,regle!$G$23,
IF(Z302=regle!$H$11,regle!$H$23,
IF(Z302=regle!$I$11,regle!$I$23,
IF(Z302=regle!$J$11,regle!$J$23,
IF(Z302=regle!$K$11,regle!$K$23,0))))))))))))</f>
        <v>-2212.2100000000005</v>
      </c>
      <c r="AK302" s="16">
        <f>IF(OR(Q302=regle!$J$11,Q302=regle!$K$11),-2,IF(Q302=regle!$B$11,0,IF(AK$1=$AK$1,IF($O302,-1,regle!$B$2-$M302),IF(AJ302=-1,-1,AJ302+1))))</f>
        <v>19</v>
      </c>
      <c r="AL302" s="16">
        <f>IF(OR(R302=regle!$J$11,R302=regle!$K$11),-2,IF(R302=regle!$B$11,0,IF(AL$1=$AK$1,IF($O302,-1,regle!$B$2-$M302),IF(AK302=-1,-1,AK302+1))))</f>
        <v>20</v>
      </c>
      <c r="AM302" s="16">
        <f>IF(OR(S302=regle!$J$11,S302=regle!$K$11),-2,IF(S302=regle!$B$11,0,IF(AM$1=$AK$1,IF($O302,-1,regle!$B$2-$M302),IF(AL302=-1,-1,AL302+1))))</f>
        <v>21</v>
      </c>
      <c r="AN302" s="16">
        <f>IF(OR(T302=regle!$J$11,T302=regle!$K$11),-2,IF(T302=regle!$B$11,0,IF(AN$1=$AK$1,IF($O302,-1,regle!$B$2-$M302),IF(AM302=-1,-1,AM302+1))))</f>
        <v>22</v>
      </c>
      <c r="AO302" s="16">
        <f>IF(OR(U302=regle!$J$11,U302=regle!$K$11),-2,IF(U302=regle!$B$11,0,IF(AO$1=$AK$1,IF($O302,-1,regle!$B$2-$M302),IF(AN302=-1,-1,AN302+1))))</f>
        <v>23</v>
      </c>
      <c r="AP302" s="16">
        <f>IF(OR(V302=regle!$J$11,V302=regle!$K$11),-2,IF(V302=regle!$B$11,0,IF(AP$1=$AK$1,IF($O302,-1,regle!$B$2-$M302),IF(AO302=-1,-1,AO302+1))))</f>
        <v>24</v>
      </c>
      <c r="AQ302" s="16">
        <f>IF(OR(W302=regle!$J$11,W302=regle!$K$11),-2,IF(W302=regle!$B$11,0,IF(AQ$1=$AK$1,IF($O302,-1,regle!$B$2-$M302),IF(AP302=-1,-1,AP302+1))))</f>
        <v>25</v>
      </c>
      <c r="AR302" s="16">
        <f>IF(OR(X302=regle!$J$11,X302=regle!$K$11),-2,IF(X302=regle!$B$11,0,IF(AR$1=$AK$1,IF($O302,-1,regle!$B$2-$M302),IF(AQ302=-1,-1,AQ302+1))))</f>
        <v>26</v>
      </c>
      <c r="AS302" s="16">
        <f>IF(OR(Y302=regle!$J$11,Y302=regle!$K$11),-2,IF(Y302=regle!$B$11,0,IF(AS$1=$AK$1,IF($O302,-1,regle!$B$2-$M302),IF(AR302=-1,-1,AR302+1))))</f>
        <v>-2</v>
      </c>
      <c r="AT302" s="16">
        <f>IF(OR(Z302=regle!$J$11,Z302=regle!$K$11),-2,IF(Z302=regle!$B$11,0,IF(AT$1=$AK$1,IF($O302,-1,regle!$B$2-$M302),IF(AS302=-1,-1,AS302+1))))</f>
        <v>0</v>
      </c>
    </row>
    <row r="303" spans="1:46" x14ac:dyDescent="0.25">
      <c r="A303" t="b">
        <f>modif0!A293</f>
        <v>1</v>
      </c>
      <c r="B303">
        <f>ROW(modif0!B293)</f>
        <v>293</v>
      </c>
      <c r="C303" t="str">
        <f>modif0!D293</f>
        <v>536</v>
      </c>
      <c r="D303" t="str">
        <f>modif0!E293</f>
        <v>LE TUZAN</v>
      </c>
      <c r="E303">
        <f>modif0!F293</f>
        <v>14</v>
      </c>
      <c r="F303" t="str">
        <f>modif0!G293</f>
        <v>TABARTON-OUEST</v>
      </c>
      <c r="G303" t="str">
        <f>modif0!I293</f>
        <v>0B</v>
      </c>
      <c r="H303">
        <f>modif0!J293</f>
        <v>659</v>
      </c>
      <c r="I303" t="str">
        <f>modif0!K293</f>
        <v>l</v>
      </c>
      <c r="J303" s="11">
        <f>modif0!M293</f>
        <v>1.0181</v>
      </c>
      <c r="K303" s="11" t="str">
        <f>modif0!P293</f>
        <v>PLA</v>
      </c>
      <c r="L303" t="str">
        <f>modif0!N293</f>
        <v>PM</v>
      </c>
      <c r="M303">
        <f>modif0!Q293</f>
        <v>2005</v>
      </c>
      <c r="N303" t="str">
        <f>modif0!R293</f>
        <v>PLA-PM_2005</v>
      </c>
      <c r="O303" t="b">
        <f>modif0!S293</f>
        <v>0</v>
      </c>
      <c r="P303">
        <v>40</v>
      </c>
      <c r="Z303" s="22" t="s">
        <v>1181</v>
      </c>
      <c r="AA303" s="17">
        <f>IF($A303,$J303*(IF(Q303=regle!$B$11,regle!$B$23*IF(AJ303=-2,1+regle!$B$35,1),
IF(Q303=regle!$C$11,regle!$C$23,
IF(Q303=regle!$D$11,regle!$D$23,
IF(Q303=regle!$E$11,regle!$E$23,
IF(Q303=regle!$F$11,regle!$F$23,
IF(Q303=regle!$G$11,regle!$G$23,
IF(Q303=regle!$H$11,regle!$H$23,
IF(Q303=regle!$I$11,regle!$I$23,
IF(Q303=regle!$J$11,regle!$J$23,
IF(Q303=regle!$K$11,regle!$K$23,0))))))))))))</f>
        <v>0</v>
      </c>
      <c r="AB303" s="17">
        <f>IF($A303,$J303*(IF(R303=regle!$B$11,regle!$B$23*IF(AK303=-2,1+regle!$B$35,1),
IF(R303=regle!$C$11,regle!$C$23,
IF(R303=regle!$D$11,regle!$D$23,
IF(R303=regle!$E$11,regle!$E$23,
IF(R303=regle!$F$11,regle!$F$23,
IF(R303=regle!$G$11,regle!$G$23,
IF(R303=regle!$H$11,regle!$H$23,
IF(R303=regle!$I$11,regle!$I$23,
IF(R303=regle!$J$11,regle!$J$23,
IF(R303=regle!$K$11,regle!$K$23,0))))))))))))</f>
        <v>0</v>
      </c>
      <c r="AC303" s="17">
        <f>IF($A303,$J303*(IF(S303=regle!$B$11,regle!$B$23*IF(AL303=-2,1+regle!$B$35,1),
IF(S303=regle!$C$11,regle!$C$23,
IF(S303=regle!$D$11,regle!$D$23,
IF(S303=regle!$E$11,regle!$E$23,
IF(S303=regle!$F$11,regle!$F$23,
IF(S303=regle!$G$11,regle!$G$23,
IF(S303=regle!$H$11,regle!$H$23,
IF(S303=regle!$I$11,regle!$I$23,
IF(S303=regle!$J$11,regle!$J$23,
IF(S303=regle!$K$11,regle!$K$23,0))))))))))))</f>
        <v>0</v>
      </c>
      <c r="AD303" s="17">
        <f>IF($A303,$J303*(IF(T303=regle!$B$11,regle!$B$23*IF(AM303=-2,1+regle!$B$35,1),
IF(T303=regle!$C$11,regle!$C$23,
IF(T303=regle!$D$11,regle!$D$23,
IF(T303=regle!$E$11,regle!$E$23,
IF(T303=regle!$F$11,regle!$F$23,
IF(T303=regle!$G$11,regle!$G$23,
IF(T303=regle!$H$11,regle!$H$23,
IF(T303=regle!$I$11,regle!$I$23,
IF(T303=regle!$J$11,regle!$J$23,
IF(T303=regle!$K$11,regle!$K$23,0))))))))))))</f>
        <v>0</v>
      </c>
      <c r="AE303" s="17">
        <f>IF($A303,$J303*(IF(U303=regle!$B$11,regle!$B$23*IF(AN303=-2,1+regle!$B$35,1),
IF(U303=regle!$C$11,regle!$C$23,
IF(U303=regle!$D$11,regle!$D$23,
IF(U303=regle!$E$11,regle!$E$23,
IF(U303=regle!$F$11,regle!$F$23,
IF(U303=regle!$G$11,regle!$G$23,
IF(U303=regle!$H$11,regle!$H$23,
IF(U303=regle!$I$11,regle!$I$23,
IF(U303=regle!$J$11,regle!$J$23,
IF(U303=regle!$K$11,regle!$K$23,0))))))))))))</f>
        <v>0</v>
      </c>
      <c r="AF303" s="17">
        <f>IF($A303,$J303*(IF(V303=regle!$B$11,regle!$B$23*IF(AO303=-2,1+regle!$B$35,1),
IF(V303=regle!$C$11,regle!$C$23,
IF(V303=regle!$D$11,regle!$D$23,
IF(V303=regle!$E$11,regle!$E$23,
IF(V303=regle!$F$11,regle!$F$23,
IF(V303=regle!$G$11,regle!$G$23,
IF(V303=regle!$H$11,regle!$H$23,
IF(V303=regle!$I$11,regle!$I$23,
IF(V303=regle!$J$11,regle!$J$23,
IF(V303=regle!$K$11,regle!$K$23,0))))))))))))</f>
        <v>0</v>
      </c>
      <c r="AG303" s="17">
        <f>IF($A303,$J303*(IF(W303=regle!$B$11,regle!$B$23*IF(AP303=-2,1+regle!$B$35,1),
IF(W303=regle!$C$11,regle!$C$23,
IF(W303=regle!$D$11,regle!$D$23,
IF(W303=regle!$E$11,regle!$E$23,
IF(W303=regle!$F$11,regle!$F$23,
IF(W303=regle!$G$11,regle!$G$23,
IF(W303=regle!$H$11,regle!$H$23,
IF(W303=regle!$I$11,regle!$I$23,
IF(W303=regle!$J$11,regle!$J$23,
IF(W303=regle!$K$11,regle!$K$23,0))))))))))))</f>
        <v>0</v>
      </c>
      <c r="AH303" s="17">
        <f>IF($A303,$J303*(IF(X303=regle!$B$11,regle!$B$23*IF(AQ303=-2,1+regle!$B$35,1),
IF(X303=regle!$C$11,regle!$C$23,
IF(X303=regle!$D$11,regle!$D$23,
IF(X303=regle!$E$11,regle!$E$23,
IF(X303=regle!$F$11,regle!$F$23,
IF(X303=regle!$G$11,regle!$G$23,
IF(X303=regle!$H$11,regle!$H$23,
IF(X303=regle!$I$11,regle!$I$23,
IF(X303=regle!$J$11,regle!$J$23,
IF(X303=regle!$K$11,regle!$K$23,0))))))))))))</f>
        <v>0</v>
      </c>
      <c r="AI303" s="17">
        <f>IF($A303,$J303*(IF(Y303=regle!$B$11,regle!$B$23*IF(AR303=-2,1+regle!$B$35,1),
IF(Y303=regle!$C$11,regle!$C$23,
IF(Y303=regle!$D$11,regle!$D$23,
IF(Y303=regle!$E$11,regle!$E$23,
IF(Y303=regle!$F$11,regle!$F$23,
IF(Y303=regle!$G$11,regle!$G$23,
IF(Y303=regle!$H$11,regle!$H$23,
IF(Y303=regle!$I$11,regle!$I$23,
IF(Y303=regle!$J$11,regle!$J$23,
IF(Y303=regle!$K$11,regle!$K$23,0))))))))))))</f>
        <v>0</v>
      </c>
      <c r="AJ303" s="17">
        <f>IF($A303,$J303*(IF(Z303=regle!$B$11,regle!$B$23*IF(AS303=-2,1+regle!$B$35,1),
IF(Z303=regle!$C$11,regle!$C$23,
IF(Z303=regle!$D$11,regle!$D$23,
IF(Z303=regle!$E$11,regle!$E$23,
IF(Z303=regle!$F$11,regle!$F$23,
IF(Z303=regle!$G$11,regle!$G$23,
IF(Z303=regle!$H$11,regle!$H$23,
IF(Z303=regle!$I$11,regle!$I$23,
IF(Z303=regle!$J$11,regle!$J$23,
IF(Z303=regle!$K$11,regle!$K$23,0))))))))))))</f>
        <v>5294.12</v>
      </c>
      <c r="AK303" s="16">
        <f>IF(OR(Q303=regle!$J$11,Q303=regle!$K$11),-2,IF(Q303=regle!$B$11,0,IF(AK$1=$AK$1,IF($O303,-1,regle!$B$2-$M303),IF(AJ303=-1,-1,AJ303+1))))</f>
        <v>19</v>
      </c>
      <c r="AL303" s="16">
        <f>IF(OR(R303=regle!$J$11,R303=regle!$K$11),-2,IF(R303=regle!$B$11,0,IF(AL$1=$AK$1,IF($O303,-1,regle!$B$2-$M303),IF(AK303=-1,-1,AK303+1))))</f>
        <v>20</v>
      </c>
      <c r="AM303" s="16">
        <f>IF(OR(S303=regle!$J$11,S303=regle!$K$11),-2,IF(S303=regle!$B$11,0,IF(AM$1=$AK$1,IF($O303,-1,regle!$B$2-$M303),IF(AL303=-1,-1,AL303+1))))</f>
        <v>21</v>
      </c>
      <c r="AN303" s="16">
        <f>IF(OR(T303=regle!$J$11,T303=regle!$K$11),-2,IF(T303=regle!$B$11,0,IF(AN$1=$AK$1,IF($O303,-1,regle!$B$2-$M303),IF(AM303=-1,-1,AM303+1))))</f>
        <v>22</v>
      </c>
      <c r="AO303" s="16">
        <f>IF(OR(U303=regle!$J$11,U303=regle!$K$11),-2,IF(U303=regle!$B$11,0,IF(AO$1=$AK$1,IF($O303,-1,regle!$B$2-$M303),IF(AN303=-1,-1,AN303+1))))</f>
        <v>23</v>
      </c>
      <c r="AP303" s="16">
        <f>IF(OR(V303=regle!$J$11,V303=regle!$K$11),-2,IF(V303=regle!$B$11,0,IF(AP$1=$AK$1,IF($O303,-1,regle!$B$2-$M303),IF(AO303=-1,-1,AO303+1))))</f>
        <v>24</v>
      </c>
      <c r="AQ303" s="16">
        <f>IF(OR(W303=regle!$J$11,W303=regle!$K$11),-2,IF(W303=regle!$B$11,0,IF(AQ$1=$AK$1,IF($O303,-1,regle!$B$2-$M303),IF(AP303=-1,-1,AP303+1))))</f>
        <v>25</v>
      </c>
      <c r="AR303" s="16">
        <f>IF(OR(X303=regle!$J$11,X303=regle!$K$11),-2,IF(X303=regle!$B$11,0,IF(AR$1=$AK$1,IF($O303,-1,regle!$B$2-$M303),IF(AQ303=-1,-1,AQ303+1))))</f>
        <v>26</v>
      </c>
      <c r="AS303" s="16">
        <f>IF(OR(Y303=regle!$J$11,Y303=regle!$K$11),-2,IF(Y303=regle!$B$11,0,IF(AS$1=$AK$1,IF($O303,-1,regle!$B$2-$M303),IF(AR303=-1,-1,AR303+1))))</f>
        <v>27</v>
      </c>
      <c r="AT303" s="16">
        <f>IF(OR(Z303=regle!$J$11,Z303=regle!$K$11),-2,IF(Z303=regle!$B$11,0,IF(AT$1=$AK$1,IF($O303,-1,regle!$B$2-$M303),IF(AS303=-1,-1,AS303+1))))</f>
        <v>-2</v>
      </c>
    </row>
    <row r="304" spans="1:46" x14ac:dyDescent="0.25">
      <c r="A304" t="b">
        <f>modif0!A83</f>
        <v>1</v>
      </c>
      <c r="B304">
        <f>ROW(modif0!B83)</f>
        <v>83</v>
      </c>
      <c r="C304" t="str">
        <f>modif0!D83</f>
        <v>536</v>
      </c>
      <c r="D304" t="str">
        <f>modif0!E83</f>
        <v>LE TUZAN</v>
      </c>
      <c r="E304">
        <f>modif0!F83</f>
        <v>7</v>
      </c>
      <c r="F304" t="str">
        <f>modif0!G83</f>
        <v>CHOUSSE</v>
      </c>
      <c r="G304" t="str">
        <f>modif0!I83</f>
        <v>0A</v>
      </c>
      <c r="H304">
        <f>modif0!J83</f>
        <v>750</v>
      </c>
      <c r="I304" t="str">
        <f>modif0!K83</f>
        <v/>
      </c>
      <c r="J304" s="11">
        <f>modif0!M83</f>
        <v>0.98929999999999996</v>
      </c>
      <c r="K304" s="11" t="str">
        <f>modif0!P83</f>
        <v>PLA</v>
      </c>
      <c r="L304" t="str">
        <f>modif0!N83</f>
        <v>PM</v>
      </c>
      <c r="M304">
        <f>modif0!Q83</f>
        <v>2005</v>
      </c>
      <c r="N304" t="str">
        <f>modif0!R83</f>
        <v>PLA-PM_2005</v>
      </c>
      <c r="O304" t="b">
        <f>modif0!S83</f>
        <v>0</v>
      </c>
      <c r="P304">
        <v>40</v>
      </c>
      <c r="T304" t="s">
        <v>1805</v>
      </c>
      <c r="Y304" t="s">
        <v>1806</v>
      </c>
      <c r="AA304" s="17">
        <f>IF($A304,$J304*(IF(Q304=regle!$B$11,regle!$B$23*IF(AJ304=-2,1+regle!$B$35,1),
IF(Q304=regle!$C$11,regle!$C$23,
IF(Q304=regle!$D$11,regle!$D$23,
IF(Q304=regle!$E$11,regle!$E$23,
IF(Q304=regle!$F$11,regle!$F$23,
IF(Q304=regle!$G$11,regle!$G$23,
IF(Q304=regle!$H$11,regle!$H$23,
IF(Q304=regle!$I$11,regle!$I$23,
IF(Q304=regle!$J$11,regle!$J$23,
IF(Q304=regle!$K$11,regle!$K$23,0))))))))))))</f>
        <v>0</v>
      </c>
      <c r="AB304" s="17">
        <f>IF($A304,$J304*(IF(R304=regle!$B$11,regle!$B$23*IF(AK304=-2,1+regle!$B$35,1),
IF(R304=regle!$C$11,regle!$C$23,
IF(R304=regle!$D$11,regle!$D$23,
IF(R304=regle!$E$11,regle!$E$23,
IF(R304=regle!$F$11,regle!$F$23,
IF(R304=regle!$G$11,regle!$G$23,
IF(R304=regle!$H$11,regle!$H$23,
IF(R304=regle!$I$11,regle!$I$23,
IF(R304=regle!$J$11,regle!$J$23,
IF(R304=regle!$K$11,regle!$K$23,0))))))))))))</f>
        <v>0</v>
      </c>
      <c r="AC304" s="17">
        <f>IF($A304,$J304*(IF(S304=regle!$B$11,regle!$B$23*IF(AL304=-2,1+regle!$B$35,1),
IF(S304=regle!$C$11,regle!$C$23,
IF(S304=regle!$D$11,regle!$D$23,
IF(S304=regle!$E$11,regle!$E$23,
IF(S304=regle!$F$11,regle!$F$23,
IF(S304=regle!$G$11,regle!$G$23,
IF(S304=regle!$H$11,regle!$H$23,
IF(S304=regle!$I$11,regle!$I$23,
IF(S304=regle!$J$11,regle!$J$23,
IF(S304=regle!$K$11,regle!$K$23,0))))))))))))</f>
        <v>0</v>
      </c>
      <c r="AD304" s="17">
        <f>IF($A304,$J304*(IF(T304=regle!$B$11,regle!$B$23*IF(AM304=-2,1+regle!$B$35,1),
IF(T304=regle!$C$11,regle!$C$23,
IF(T304=regle!$D$11,regle!$D$23,
IF(T304=regle!$E$11,regle!$E$23,
IF(T304=regle!$F$11,regle!$F$23,
IF(T304=regle!$G$11,regle!$G$23,
IF(T304=regle!$H$11,regle!$H$23,
IF(T304=regle!$I$11,regle!$I$23,
IF(T304=regle!$J$11,regle!$J$23,
IF(T304=regle!$K$11,regle!$K$23,0))))))))))))</f>
        <v>1392.9343999999999</v>
      </c>
      <c r="AE304" s="17">
        <f>IF($A304,$J304*(IF(U304=regle!$B$11,regle!$B$23*IF(AN304=-2,1+regle!$B$35,1),
IF(U304=regle!$C$11,regle!$C$23,
IF(U304=regle!$D$11,regle!$D$23,
IF(U304=regle!$E$11,regle!$E$23,
IF(U304=regle!$F$11,regle!$F$23,
IF(U304=regle!$G$11,regle!$G$23,
IF(U304=regle!$H$11,regle!$H$23,
IF(U304=regle!$I$11,regle!$I$23,
IF(U304=regle!$J$11,regle!$J$23,
IF(U304=regle!$K$11,regle!$K$23,0))))))))))))</f>
        <v>0</v>
      </c>
      <c r="AF304" s="17">
        <f>IF($A304,$J304*(IF(V304=regle!$B$11,regle!$B$23*IF(AO304=-2,1+regle!$B$35,1),
IF(V304=regle!$C$11,regle!$C$23,
IF(V304=regle!$D$11,regle!$D$23,
IF(V304=regle!$E$11,regle!$E$23,
IF(V304=regle!$F$11,regle!$F$23,
IF(V304=regle!$G$11,regle!$G$23,
IF(V304=regle!$H$11,regle!$H$23,
IF(V304=regle!$I$11,regle!$I$23,
IF(V304=regle!$J$11,regle!$J$23,
IF(V304=regle!$K$11,regle!$K$23,0))))))))))))</f>
        <v>0</v>
      </c>
      <c r="AG304" s="17">
        <f>IF($A304,$J304*(IF(W304=regle!$B$11,regle!$B$23*IF(AP304=-2,1+regle!$B$35,1),
IF(W304=regle!$C$11,regle!$C$23,
IF(W304=regle!$D$11,regle!$D$23,
IF(W304=regle!$E$11,regle!$E$23,
IF(W304=regle!$F$11,regle!$F$23,
IF(W304=regle!$G$11,regle!$G$23,
IF(W304=regle!$H$11,regle!$H$23,
IF(W304=regle!$I$11,regle!$I$23,
IF(W304=regle!$J$11,regle!$J$23,
IF(W304=regle!$K$11,regle!$K$23,0))))))))))))</f>
        <v>0</v>
      </c>
      <c r="AH304" s="17">
        <f>IF($A304,$J304*(IF(X304=regle!$B$11,regle!$B$23*IF(AQ304=-2,1+regle!$B$35,1),
IF(X304=regle!$C$11,regle!$C$23,
IF(X304=regle!$D$11,regle!$D$23,
IF(X304=regle!$E$11,regle!$E$23,
IF(X304=regle!$F$11,regle!$F$23,
IF(X304=regle!$G$11,regle!$G$23,
IF(X304=regle!$H$11,regle!$H$23,
IF(X304=regle!$I$11,regle!$I$23,
IF(X304=regle!$J$11,regle!$J$23,
IF(X304=regle!$K$11,regle!$K$23,0))))))))))))</f>
        <v>0</v>
      </c>
      <c r="AI304" s="17">
        <f>IF($A304,$J304*(IF(Y304=regle!$B$11,regle!$B$23*IF(AR304=-2,1+regle!$B$35,1),
IF(Y304=regle!$C$11,regle!$C$23,
IF(Y304=regle!$D$11,regle!$D$23,
IF(Y304=regle!$E$11,regle!$E$23,
IF(Y304=regle!$F$11,regle!$F$23,
IF(Y304=regle!$G$11,regle!$G$23,
IF(Y304=regle!$H$11,regle!$H$23,
IF(Y304=regle!$I$11,regle!$I$23,
IF(Y304=regle!$J$11,regle!$J$23,
IF(Y304=regle!$K$11,regle!$K$23,0))))))))))))</f>
        <v>1266.3039999999999</v>
      </c>
      <c r="AJ304" s="17">
        <f>IF($A304,$J304*(IF(Z304=regle!$B$11,regle!$B$23*IF(AS304=-2,1+regle!$B$35,1),
IF(Z304=regle!$C$11,regle!$C$23,
IF(Z304=regle!$D$11,regle!$D$23,
IF(Z304=regle!$E$11,regle!$E$23,
IF(Z304=regle!$F$11,regle!$F$23,
IF(Z304=regle!$G$11,regle!$G$23,
IF(Z304=regle!$H$11,regle!$H$23,
IF(Z304=regle!$I$11,regle!$I$23,
IF(Z304=regle!$J$11,regle!$J$23,
IF(Z304=regle!$K$11,regle!$K$23,0))))))))))))</f>
        <v>0</v>
      </c>
      <c r="AK304" s="16">
        <f>IF(OR(Q304=regle!$J$11,Q304=regle!$K$11),-2,IF(Q304=regle!$B$11,0,IF(AK$1=$AK$1,IF($O304,-1,regle!$B$2-$M304),IF(AJ304=-1,-1,AJ304+1))))</f>
        <v>19</v>
      </c>
      <c r="AL304" s="16">
        <f>IF(OR(R304=regle!$J$11,R304=regle!$K$11),-2,IF(R304=regle!$B$11,0,IF(AL$1=$AK$1,IF($O304,-1,regle!$B$2-$M304),IF(AK304=-1,-1,AK304+1))))</f>
        <v>20</v>
      </c>
      <c r="AM304" s="16">
        <f>IF(OR(S304=regle!$J$11,S304=regle!$K$11),-2,IF(S304=regle!$B$11,0,IF(AM$1=$AK$1,IF($O304,-1,regle!$B$2-$M304),IF(AL304=-1,-1,AL304+1))))</f>
        <v>21</v>
      </c>
      <c r="AN304" s="16">
        <f>IF(OR(T304=regle!$J$11,T304=regle!$K$11),-2,IF(T304=regle!$B$11,0,IF(AN$1=$AK$1,IF($O304,-1,regle!$B$2-$M304),IF(AM304=-1,-1,AM304+1))))</f>
        <v>22</v>
      </c>
      <c r="AO304" s="16">
        <f>IF(OR(U304=regle!$J$11,U304=regle!$K$11),-2,IF(U304=regle!$B$11,0,IF(AO$1=$AK$1,IF($O304,-1,regle!$B$2-$M304),IF(AN304=-1,-1,AN304+1))))</f>
        <v>23</v>
      </c>
      <c r="AP304" s="16">
        <f>IF(OR(V304=regle!$J$11,V304=regle!$K$11),-2,IF(V304=regle!$B$11,0,IF(AP$1=$AK$1,IF($O304,-1,regle!$B$2-$M304),IF(AO304=-1,-1,AO304+1))))</f>
        <v>24</v>
      </c>
      <c r="AQ304" s="16">
        <f>IF(OR(W304=regle!$J$11,W304=regle!$K$11),-2,IF(W304=regle!$B$11,0,IF(AQ$1=$AK$1,IF($O304,-1,regle!$B$2-$M304),IF(AP304=-1,-1,AP304+1))))</f>
        <v>25</v>
      </c>
      <c r="AR304" s="16">
        <f>IF(OR(X304=regle!$J$11,X304=regle!$K$11),-2,IF(X304=regle!$B$11,0,IF(AR$1=$AK$1,IF($O304,-1,regle!$B$2-$M304),IF(AQ304=-1,-1,AQ304+1))))</f>
        <v>26</v>
      </c>
      <c r="AS304" s="16">
        <f>IF(OR(Y304=regle!$J$11,Y304=regle!$K$11),-2,IF(Y304=regle!$B$11,0,IF(AS$1=$AK$1,IF($O304,-1,regle!$B$2-$M304),IF(AR304=-1,-1,AR304+1))))</f>
        <v>27</v>
      </c>
      <c r="AT304" s="16">
        <f>IF(OR(Z304=regle!$J$11,Z304=regle!$K$11),-2,IF(Z304=regle!$B$11,0,IF(AT$1=$AK$1,IF($O304,-1,regle!$B$2-$M304),IF(AS304=-1,-1,AS304+1))))</f>
        <v>28</v>
      </c>
    </row>
    <row r="305" spans="1:46" x14ac:dyDescent="0.25">
      <c r="A305" t="b">
        <f>modif0!A316</f>
        <v>1</v>
      </c>
      <c r="B305">
        <f>ROW(modif0!B316)</f>
        <v>316</v>
      </c>
      <c r="C305" t="str">
        <f>modif0!D316</f>
        <v>077</v>
      </c>
      <c r="D305" t="str">
        <f>modif0!E316</f>
        <v>CABANAC-ET-VILLAGRAINS</v>
      </c>
      <c r="E305">
        <f>modif0!F316</f>
        <v>13</v>
      </c>
      <c r="F305" t="str">
        <f>modif0!G316</f>
        <v>LAGUNE LONGUE</v>
      </c>
      <c r="G305" t="str">
        <f>modif0!I316</f>
        <v>0D</v>
      </c>
      <c r="H305">
        <f>modif0!J316</f>
        <v>1389</v>
      </c>
      <c r="I305" t="str">
        <f>modif0!K316</f>
        <v>l</v>
      </c>
      <c r="J305" s="11">
        <f>modif0!M316</f>
        <v>0.68510000000000004</v>
      </c>
      <c r="K305" s="11" t="str">
        <f>modif0!P316</f>
        <v>PLA</v>
      </c>
      <c r="L305" t="str">
        <f>modif0!N316</f>
        <v>PM</v>
      </c>
      <c r="M305">
        <f>modif0!Q316</f>
        <v>2005</v>
      </c>
      <c r="N305" t="str">
        <f>modif0!R316</f>
        <v>PLA-PM_2005</v>
      </c>
      <c r="O305" t="b">
        <f>modif0!S316</f>
        <v>0</v>
      </c>
      <c r="P305">
        <v>40</v>
      </c>
      <c r="T305" t="s">
        <v>1805</v>
      </c>
      <c r="Y305" t="s">
        <v>1806</v>
      </c>
      <c r="AA305" s="17">
        <f>IF($A305,$J305*(IF(Q305=regle!$B$11,regle!$B$23*IF(AJ305=-2,1+regle!$B$35,1),
IF(Q305=regle!$C$11,regle!$C$23,
IF(Q305=regle!$D$11,regle!$D$23,
IF(Q305=regle!$E$11,regle!$E$23,
IF(Q305=regle!$F$11,regle!$F$23,
IF(Q305=regle!$G$11,regle!$G$23,
IF(Q305=regle!$H$11,regle!$H$23,
IF(Q305=regle!$I$11,regle!$I$23,
IF(Q305=regle!$J$11,regle!$J$23,
IF(Q305=regle!$K$11,regle!$K$23,0))))))))))))</f>
        <v>0</v>
      </c>
      <c r="AB305" s="17">
        <f>IF($A305,$J305*(IF(R305=regle!$B$11,regle!$B$23*IF(AK305=-2,1+regle!$B$35,1),
IF(R305=regle!$C$11,regle!$C$23,
IF(R305=regle!$D$11,regle!$D$23,
IF(R305=regle!$E$11,regle!$E$23,
IF(R305=regle!$F$11,regle!$F$23,
IF(R305=regle!$G$11,regle!$G$23,
IF(R305=regle!$H$11,regle!$H$23,
IF(R305=regle!$I$11,regle!$I$23,
IF(R305=regle!$J$11,regle!$J$23,
IF(R305=regle!$K$11,regle!$K$23,0))))))))))))</f>
        <v>0</v>
      </c>
      <c r="AC305" s="17">
        <f>IF($A305,$J305*(IF(S305=regle!$B$11,regle!$B$23*IF(AL305=-2,1+regle!$B$35,1),
IF(S305=regle!$C$11,regle!$C$23,
IF(S305=regle!$D$11,regle!$D$23,
IF(S305=regle!$E$11,regle!$E$23,
IF(S305=regle!$F$11,regle!$F$23,
IF(S305=regle!$G$11,regle!$G$23,
IF(S305=regle!$H$11,regle!$H$23,
IF(S305=regle!$I$11,regle!$I$23,
IF(S305=regle!$J$11,regle!$J$23,
IF(S305=regle!$K$11,regle!$K$23,0))))))))))))</f>
        <v>0</v>
      </c>
      <c r="AD305" s="17">
        <f>IF($A305,$J305*(IF(T305=regle!$B$11,regle!$B$23*IF(AM305=-2,1+regle!$B$35,1),
IF(T305=regle!$C$11,regle!$C$23,
IF(T305=regle!$D$11,regle!$D$23,
IF(T305=regle!$E$11,regle!$E$23,
IF(T305=regle!$F$11,regle!$F$23,
IF(T305=regle!$G$11,regle!$G$23,
IF(T305=regle!$H$11,regle!$H$23,
IF(T305=regle!$I$11,regle!$I$23,
IF(T305=regle!$J$11,regle!$J$23,
IF(T305=regle!$K$11,regle!$K$23,0))))))))))))</f>
        <v>964.62080000000003</v>
      </c>
      <c r="AE305" s="17">
        <f>IF($A305,$J305*(IF(U305=regle!$B$11,regle!$B$23*IF(AN305=-2,1+regle!$B$35,1),
IF(U305=regle!$C$11,regle!$C$23,
IF(U305=regle!$D$11,regle!$D$23,
IF(U305=regle!$E$11,regle!$E$23,
IF(U305=regle!$F$11,regle!$F$23,
IF(U305=regle!$G$11,regle!$G$23,
IF(U305=regle!$H$11,regle!$H$23,
IF(U305=regle!$I$11,regle!$I$23,
IF(U305=regle!$J$11,regle!$J$23,
IF(U305=regle!$K$11,regle!$K$23,0))))))))))))</f>
        <v>0</v>
      </c>
      <c r="AF305" s="17">
        <f>IF($A305,$J305*(IF(V305=regle!$B$11,regle!$B$23*IF(AO305=-2,1+regle!$B$35,1),
IF(V305=regle!$C$11,regle!$C$23,
IF(V305=regle!$D$11,regle!$D$23,
IF(V305=regle!$E$11,regle!$E$23,
IF(V305=regle!$F$11,regle!$F$23,
IF(V305=regle!$G$11,regle!$G$23,
IF(V305=regle!$H$11,regle!$H$23,
IF(V305=regle!$I$11,regle!$I$23,
IF(V305=regle!$J$11,regle!$J$23,
IF(V305=regle!$K$11,regle!$K$23,0))))))))))))</f>
        <v>0</v>
      </c>
      <c r="AG305" s="17">
        <f>IF($A305,$J305*(IF(W305=regle!$B$11,regle!$B$23*IF(AP305=-2,1+regle!$B$35,1),
IF(W305=regle!$C$11,regle!$C$23,
IF(W305=regle!$D$11,regle!$D$23,
IF(W305=regle!$E$11,regle!$E$23,
IF(W305=regle!$F$11,regle!$F$23,
IF(W305=regle!$G$11,regle!$G$23,
IF(W305=regle!$H$11,regle!$H$23,
IF(W305=regle!$I$11,regle!$I$23,
IF(W305=regle!$J$11,regle!$J$23,
IF(W305=regle!$K$11,regle!$K$23,0))))))))))))</f>
        <v>0</v>
      </c>
      <c r="AH305" s="17">
        <f>IF($A305,$J305*(IF(X305=regle!$B$11,regle!$B$23*IF(AQ305=-2,1+regle!$B$35,1),
IF(X305=regle!$C$11,regle!$C$23,
IF(X305=regle!$D$11,regle!$D$23,
IF(X305=regle!$E$11,regle!$E$23,
IF(X305=regle!$F$11,regle!$F$23,
IF(X305=regle!$G$11,regle!$G$23,
IF(X305=regle!$H$11,regle!$H$23,
IF(X305=regle!$I$11,regle!$I$23,
IF(X305=regle!$J$11,regle!$J$23,
IF(X305=regle!$K$11,regle!$K$23,0))))))))))))</f>
        <v>0</v>
      </c>
      <c r="AI305" s="17">
        <f>IF($A305,$J305*(IF(Y305=regle!$B$11,regle!$B$23*IF(AR305=-2,1+regle!$B$35,1),
IF(Y305=regle!$C$11,regle!$C$23,
IF(Y305=regle!$D$11,regle!$D$23,
IF(Y305=regle!$E$11,regle!$E$23,
IF(Y305=regle!$F$11,regle!$F$23,
IF(Y305=regle!$G$11,regle!$G$23,
IF(Y305=regle!$H$11,regle!$H$23,
IF(Y305=regle!$I$11,regle!$I$23,
IF(Y305=regle!$J$11,regle!$J$23,
IF(Y305=regle!$K$11,regle!$K$23,0))))))))))))</f>
        <v>876.92800000000011</v>
      </c>
      <c r="AJ305" s="17">
        <f>IF($A305,$J305*(IF(Z305=regle!$B$11,regle!$B$23*IF(AS305=-2,1+regle!$B$35,1),
IF(Z305=regle!$C$11,regle!$C$23,
IF(Z305=regle!$D$11,regle!$D$23,
IF(Z305=regle!$E$11,regle!$E$23,
IF(Z305=regle!$F$11,regle!$F$23,
IF(Z305=regle!$G$11,regle!$G$23,
IF(Z305=regle!$H$11,regle!$H$23,
IF(Z305=regle!$I$11,regle!$I$23,
IF(Z305=regle!$J$11,regle!$J$23,
IF(Z305=regle!$K$11,regle!$K$23,0))))))))))))</f>
        <v>0</v>
      </c>
      <c r="AK305" s="16">
        <f>IF(OR(Q305=regle!$J$11,Q305=regle!$K$11),-2,IF(Q305=regle!$B$11,0,IF(AK$1=$AK$1,IF($O305,-1,regle!$B$2-$M305),IF(AJ305=-1,-1,AJ305+1))))</f>
        <v>19</v>
      </c>
      <c r="AL305" s="16">
        <f>IF(OR(R305=regle!$J$11,R305=regle!$K$11),-2,IF(R305=regle!$B$11,0,IF(AL$1=$AK$1,IF($O305,-1,regle!$B$2-$M305),IF(AK305=-1,-1,AK305+1))))</f>
        <v>20</v>
      </c>
      <c r="AM305" s="16">
        <f>IF(OR(S305=regle!$J$11,S305=regle!$K$11),-2,IF(S305=regle!$B$11,0,IF(AM$1=$AK$1,IF($O305,-1,regle!$B$2-$M305),IF(AL305=-1,-1,AL305+1))))</f>
        <v>21</v>
      </c>
      <c r="AN305" s="16">
        <f>IF(OR(T305=regle!$J$11,T305=regle!$K$11),-2,IF(T305=regle!$B$11,0,IF(AN$1=$AK$1,IF($O305,-1,regle!$B$2-$M305),IF(AM305=-1,-1,AM305+1))))</f>
        <v>22</v>
      </c>
      <c r="AO305" s="16">
        <f>IF(OR(U305=regle!$J$11,U305=regle!$K$11),-2,IF(U305=regle!$B$11,0,IF(AO$1=$AK$1,IF($O305,-1,regle!$B$2-$M305),IF(AN305=-1,-1,AN305+1))))</f>
        <v>23</v>
      </c>
      <c r="AP305" s="16">
        <f>IF(OR(V305=regle!$J$11,V305=regle!$K$11),-2,IF(V305=regle!$B$11,0,IF(AP$1=$AK$1,IF($O305,-1,regle!$B$2-$M305),IF(AO305=-1,-1,AO305+1))))</f>
        <v>24</v>
      </c>
      <c r="AQ305" s="16">
        <f>IF(OR(W305=regle!$J$11,W305=regle!$K$11),-2,IF(W305=regle!$B$11,0,IF(AQ$1=$AK$1,IF($O305,-1,regle!$B$2-$M305),IF(AP305=-1,-1,AP305+1))))</f>
        <v>25</v>
      </c>
      <c r="AR305" s="16">
        <f>IF(OR(X305=regle!$J$11,X305=regle!$K$11),-2,IF(X305=regle!$B$11,0,IF(AR$1=$AK$1,IF($O305,-1,regle!$B$2-$M305),IF(AQ305=-1,-1,AQ305+1))))</f>
        <v>26</v>
      </c>
      <c r="AS305" s="16">
        <f>IF(OR(Y305=regle!$J$11,Y305=regle!$K$11),-2,IF(Y305=regle!$B$11,0,IF(AS$1=$AK$1,IF($O305,-1,regle!$B$2-$M305),IF(AR305=-1,-1,AR305+1))))</f>
        <v>27</v>
      </c>
      <c r="AT305" s="16">
        <f>IF(OR(Z305=regle!$J$11,Z305=regle!$K$11),-2,IF(Z305=regle!$B$11,0,IF(AT$1=$AK$1,IF($O305,-1,regle!$B$2-$M305),IF(AS305=-1,-1,AS305+1))))</f>
        <v>28</v>
      </c>
    </row>
    <row r="306" spans="1:46" x14ac:dyDescent="0.25">
      <c r="A306" t="b">
        <f>modif0!A24</f>
        <v>1</v>
      </c>
      <c r="B306">
        <f>ROW(modif0!B24)</f>
        <v>24</v>
      </c>
      <c r="C306" t="str">
        <f>modif0!D24</f>
        <v>536</v>
      </c>
      <c r="D306" t="str">
        <f>modif0!E24</f>
        <v>LE TUZAN</v>
      </c>
      <c r="E306">
        <f>modif0!F24</f>
        <v>21</v>
      </c>
      <c r="F306" t="str">
        <f>modif0!G24</f>
        <v>METAIRIES DE TABARTON</v>
      </c>
      <c r="G306" t="str">
        <f>modif0!I24</f>
        <v>0A</v>
      </c>
      <c r="H306">
        <f>modif0!J24</f>
        <v>407</v>
      </c>
      <c r="I306" t="str">
        <f>modif0!K24</f>
        <v>f</v>
      </c>
      <c r="J306" s="11">
        <f>modif0!M24</f>
        <v>0.6603</v>
      </c>
      <c r="K306" s="11" t="str">
        <f>modif0!P24</f>
        <v>PLA</v>
      </c>
      <c r="L306" t="str">
        <f>modif0!N24</f>
        <v>PM</v>
      </c>
      <c r="M306">
        <f>modif0!Q24</f>
        <v>2005</v>
      </c>
      <c r="N306" t="str">
        <f>modif0!R24</f>
        <v>PLA-PM_2005</v>
      </c>
      <c r="O306" t="b">
        <f>modif0!S24</f>
        <v>0</v>
      </c>
      <c r="P306">
        <v>40</v>
      </c>
      <c r="T306" t="s">
        <v>1805</v>
      </c>
      <c r="Y306" t="s">
        <v>1806</v>
      </c>
      <c r="AA306" s="17">
        <f>IF($A306,$J306*(IF(Q306=regle!$B$11,regle!$B$23*IF(AJ306=-2,1+regle!$B$35,1),
IF(Q306=regle!$C$11,regle!$C$23,
IF(Q306=regle!$D$11,regle!$D$23,
IF(Q306=regle!$E$11,regle!$E$23,
IF(Q306=regle!$F$11,regle!$F$23,
IF(Q306=regle!$G$11,regle!$G$23,
IF(Q306=regle!$H$11,regle!$H$23,
IF(Q306=regle!$I$11,regle!$I$23,
IF(Q306=regle!$J$11,regle!$J$23,
IF(Q306=regle!$K$11,regle!$K$23,0))))))))))))</f>
        <v>0</v>
      </c>
      <c r="AB306" s="17">
        <f>IF($A306,$J306*(IF(R306=regle!$B$11,regle!$B$23*IF(AK306=-2,1+regle!$B$35,1),
IF(R306=regle!$C$11,regle!$C$23,
IF(R306=regle!$D$11,regle!$D$23,
IF(R306=regle!$E$11,regle!$E$23,
IF(R306=regle!$F$11,regle!$F$23,
IF(R306=regle!$G$11,regle!$G$23,
IF(R306=regle!$H$11,regle!$H$23,
IF(R306=regle!$I$11,regle!$I$23,
IF(R306=regle!$J$11,regle!$J$23,
IF(R306=regle!$K$11,regle!$K$23,0))))))))))))</f>
        <v>0</v>
      </c>
      <c r="AC306" s="17">
        <f>IF($A306,$J306*(IF(S306=regle!$B$11,regle!$B$23*IF(AL306=-2,1+regle!$B$35,1),
IF(S306=regle!$C$11,regle!$C$23,
IF(S306=regle!$D$11,regle!$D$23,
IF(S306=regle!$E$11,regle!$E$23,
IF(S306=regle!$F$11,regle!$F$23,
IF(S306=regle!$G$11,regle!$G$23,
IF(S306=regle!$H$11,regle!$H$23,
IF(S306=regle!$I$11,regle!$I$23,
IF(S306=regle!$J$11,regle!$J$23,
IF(S306=regle!$K$11,regle!$K$23,0))))))))))))</f>
        <v>0</v>
      </c>
      <c r="AD306" s="17">
        <f>IF($A306,$J306*(IF(T306=regle!$B$11,regle!$B$23*IF(AM306=-2,1+regle!$B$35,1),
IF(T306=regle!$C$11,regle!$C$23,
IF(T306=regle!$D$11,regle!$D$23,
IF(T306=regle!$E$11,regle!$E$23,
IF(T306=regle!$F$11,regle!$F$23,
IF(T306=regle!$G$11,regle!$G$23,
IF(T306=regle!$H$11,regle!$H$23,
IF(T306=regle!$I$11,regle!$I$23,
IF(T306=regle!$J$11,regle!$J$23,
IF(T306=regle!$K$11,regle!$K$23,0))))))))))))</f>
        <v>929.70240000000001</v>
      </c>
      <c r="AE306" s="17">
        <f>IF($A306,$J306*(IF(U306=regle!$B$11,regle!$B$23*IF(AN306=-2,1+regle!$B$35,1),
IF(U306=regle!$C$11,regle!$C$23,
IF(U306=regle!$D$11,regle!$D$23,
IF(U306=regle!$E$11,regle!$E$23,
IF(U306=regle!$F$11,regle!$F$23,
IF(U306=regle!$G$11,regle!$G$23,
IF(U306=regle!$H$11,regle!$H$23,
IF(U306=regle!$I$11,regle!$I$23,
IF(U306=regle!$J$11,regle!$J$23,
IF(U306=regle!$K$11,regle!$K$23,0))))))))))))</f>
        <v>0</v>
      </c>
      <c r="AF306" s="17">
        <f>IF($A306,$J306*(IF(V306=regle!$B$11,regle!$B$23*IF(AO306=-2,1+regle!$B$35,1),
IF(V306=regle!$C$11,regle!$C$23,
IF(V306=regle!$D$11,regle!$D$23,
IF(V306=regle!$E$11,regle!$E$23,
IF(V306=regle!$F$11,regle!$F$23,
IF(V306=regle!$G$11,regle!$G$23,
IF(V306=regle!$H$11,regle!$H$23,
IF(V306=regle!$I$11,regle!$I$23,
IF(V306=regle!$J$11,regle!$J$23,
IF(V306=regle!$K$11,regle!$K$23,0))))))))))))</f>
        <v>0</v>
      </c>
      <c r="AG306" s="17">
        <f>IF($A306,$J306*(IF(W306=regle!$B$11,regle!$B$23*IF(AP306=-2,1+regle!$B$35,1),
IF(W306=regle!$C$11,regle!$C$23,
IF(W306=regle!$D$11,regle!$D$23,
IF(W306=regle!$E$11,regle!$E$23,
IF(W306=regle!$F$11,regle!$F$23,
IF(W306=regle!$G$11,regle!$G$23,
IF(W306=regle!$H$11,regle!$H$23,
IF(W306=regle!$I$11,regle!$I$23,
IF(W306=regle!$J$11,regle!$J$23,
IF(W306=regle!$K$11,regle!$K$23,0))))))))))))</f>
        <v>0</v>
      </c>
      <c r="AH306" s="17">
        <f>IF($A306,$J306*(IF(X306=regle!$B$11,regle!$B$23*IF(AQ306=-2,1+regle!$B$35,1),
IF(X306=regle!$C$11,regle!$C$23,
IF(X306=regle!$D$11,regle!$D$23,
IF(X306=regle!$E$11,regle!$E$23,
IF(X306=regle!$F$11,regle!$F$23,
IF(X306=regle!$G$11,regle!$G$23,
IF(X306=regle!$H$11,regle!$H$23,
IF(X306=regle!$I$11,regle!$I$23,
IF(X306=regle!$J$11,regle!$J$23,
IF(X306=regle!$K$11,regle!$K$23,0))))))))))))</f>
        <v>0</v>
      </c>
      <c r="AI306" s="17">
        <f>IF($A306,$J306*(IF(Y306=regle!$B$11,regle!$B$23*IF(AR306=-2,1+regle!$B$35,1),
IF(Y306=regle!$C$11,regle!$C$23,
IF(Y306=regle!$D$11,regle!$D$23,
IF(Y306=regle!$E$11,regle!$E$23,
IF(Y306=regle!$F$11,regle!$F$23,
IF(Y306=regle!$G$11,regle!$G$23,
IF(Y306=regle!$H$11,regle!$H$23,
IF(Y306=regle!$I$11,regle!$I$23,
IF(Y306=regle!$J$11,regle!$J$23,
IF(Y306=regle!$K$11,regle!$K$23,0))))))))))))</f>
        <v>845.18399999999997</v>
      </c>
      <c r="AJ306" s="17">
        <f>IF($A306,$J306*(IF(Z306=regle!$B$11,regle!$B$23*IF(AS306=-2,1+regle!$B$35,1),
IF(Z306=regle!$C$11,regle!$C$23,
IF(Z306=regle!$D$11,regle!$D$23,
IF(Z306=regle!$E$11,regle!$E$23,
IF(Z306=regle!$F$11,regle!$F$23,
IF(Z306=regle!$G$11,regle!$G$23,
IF(Z306=regle!$H$11,regle!$H$23,
IF(Z306=regle!$I$11,regle!$I$23,
IF(Z306=regle!$J$11,regle!$J$23,
IF(Z306=regle!$K$11,regle!$K$23,0))))))))))))</f>
        <v>0</v>
      </c>
      <c r="AK306" s="16">
        <f>IF(OR(Q306=regle!$J$11,Q306=regle!$K$11),-2,IF(Q306=regle!$B$11,0,IF(AK$1=$AK$1,IF($O306,-1,regle!$B$2-$M306),IF(AJ306=-1,-1,AJ306+1))))</f>
        <v>19</v>
      </c>
      <c r="AL306" s="16">
        <f>IF(OR(R306=regle!$J$11,R306=regle!$K$11),-2,IF(R306=regle!$B$11,0,IF(AL$1=$AK$1,IF($O306,-1,regle!$B$2-$M306),IF(AK306=-1,-1,AK306+1))))</f>
        <v>20</v>
      </c>
      <c r="AM306" s="16">
        <f>IF(OR(S306=regle!$J$11,S306=regle!$K$11),-2,IF(S306=regle!$B$11,0,IF(AM$1=$AK$1,IF($O306,-1,regle!$B$2-$M306),IF(AL306=-1,-1,AL306+1))))</f>
        <v>21</v>
      </c>
      <c r="AN306" s="16">
        <f>IF(OR(T306=regle!$J$11,T306=regle!$K$11),-2,IF(T306=regle!$B$11,0,IF(AN$1=$AK$1,IF($O306,-1,regle!$B$2-$M306),IF(AM306=-1,-1,AM306+1))))</f>
        <v>22</v>
      </c>
      <c r="AO306" s="16">
        <f>IF(OR(U306=regle!$J$11,U306=regle!$K$11),-2,IF(U306=regle!$B$11,0,IF(AO$1=$AK$1,IF($O306,-1,regle!$B$2-$M306),IF(AN306=-1,-1,AN306+1))))</f>
        <v>23</v>
      </c>
      <c r="AP306" s="16">
        <f>IF(OR(V306=regle!$J$11,V306=regle!$K$11),-2,IF(V306=regle!$B$11,0,IF(AP$1=$AK$1,IF($O306,-1,regle!$B$2-$M306),IF(AO306=-1,-1,AO306+1))))</f>
        <v>24</v>
      </c>
      <c r="AQ306" s="16">
        <f>IF(OR(W306=regle!$J$11,W306=regle!$K$11),-2,IF(W306=regle!$B$11,0,IF(AQ$1=$AK$1,IF($O306,-1,regle!$B$2-$M306),IF(AP306=-1,-1,AP306+1))))</f>
        <v>25</v>
      </c>
      <c r="AR306" s="16">
        <f>IF(OR(X306=regle!$J$11,X306=regle!$K$11),-2,IF(X306=regle!$B$11,0,IF(AR$1=$AK$1,IF($O306,-1,regle!$B$2-$M306),IF(AQ306=-1,-1,AQ306+1))))</f>
        <v>26</v>
      </c>
      <c r="AS306" s="16">
        <f>IF(OR(Y306=regle!$J$11,Y306=regle!$K$11),-2,IF(Y306=regle!$B$11,0,IF(AS$1=$AK$1,IF($O306,-1,regle!$B$2-$M306),IF(AR306=-1,-1,AR306+1))))</f>
        <v>27</v>
      </c>
      <c r="AT306" s="16">
        <f>IF(OR(Z306=regle!$J$11,Z306=regle!$K$11),-2,IF(Z306=regle!$B$11,0,IF(AT$1=$AK$1,IF($O306,-1,regle!$B$2-$M306),IF(AS306=-1,-1,AS306+1))))</f>
        <v>28</v>
      </c>
    </row>
    <row r="307" spans="1:46" x14ac:dyDescent="0.25">
      <c r="A307" t="b">
        <f>modif0!A336</f>
        <v>1</v>
      </c>
      <c r="B307">
        <f>ROW(modif0!B336)</f>
        <v>336</v>
      </c>
      <c r="C307" t="str">
        <f>modif0!D336</f>
        <v>077</v>
      </c>
      <c r="D307" t="str">
        <f>modif0!E336</f>
        <v>CABANAC-ET-VILLAGRAINS</v>
      </c>
      <c r="E307">
        <f>modif0!F336</f>
        <v>12</v>
      </c>
      <c r="F307" t="str">
        <f>modif0!G336</f>
        <v>LES JEANNOTS</v>
      </c>
      <c r="G307" t="str">
        <f>modif0!I336</f>
        <v>0D</v>
      </c>
      <c r="H307">
        <f>modif0!J336</f>
        <v>2305</v>
      </c>
      <c r="I307" t="str">
        <f>modif0!K336</f>
        <v>k</v>
      </c>
      <c r="J307" s="11">
        <f>modif0!M336</f>
        <v>0.53249999999999997</v>
      </c>
      <c r="K307" s="11" t="str">
        <f>modif0!P336</f>
        <v>PLA</v>
      </c>
      <c r="L307" t="str">
        <f>modif0!N336</f>
        <v>PM</v>
      </c>
      <c r="M307">
        <f>modif0!Q336</f>
        <v>2005</v>
      </c>
      <c r="N307" t="str">
        <f>modif0!R336</f>
        <v>PLA-PM_2005</v>
      </c>
      <c r="O307" t="b">
        <f>modif0!S336</f>
        <v>0</v>
      </c>
      <c r="P307">
        <v>40</v>
      </c>
      <c r="T307" t="s">
        <v>1805</v>
      </c>
      <c r="Y307" t="s">
        <v>1806</v>
      </c>
      <c r="AA307" s="17">
        <f>IF($A307,$J307*(IF(Q307=regle!$B$11,regle!$B$23*IF(AJ307=-2,1+regle!$B$35,1),
IF(Q307=regle!$C$11,regle!$C$23,
IF(Q307=regle!$D$11,regle!$D$23,
IF(Q307=regle!$E$11,regle!$E$23,
IF(Q307=regle!$F$11,regle!$F$23,
IF(Q307=regle!$G$11,regle!$G$23,
IF(Q307=regle!$H$11,regle!$H$23,
IF(Q307=regle!$I$11,regle!$I$23,
IF(Q307=regle!$J$11,regle!$J$23,
IF(Q307=regle!$K$11,regle!$K$23,0))))))))))))</f>
        <v>0</v>
      </c>
      <c r="AB307" s="17">
        <f>IF($A307,$J307*(IF(R307=regle!$B$11,regle!$B$23*IF(AK307=-2,1+regle!$B$35,1),
IF(R307=regle!$C$11,regle!$C$23,
IF(R307=regle!$D$11,regle!$D$23,
IF(R307=regle!$E$11,regle!$E$23,
IF(R307=regle!$F$11,regle!$F$23,
IF(R307=regle!$G$11,regle!$G$23,
IF(R307=regle!$H$11,regle!$H$23,
IF(R307=regle!$I$11,regle!$I$23,
IF(R307=regle!$J$11,regle!$J$23,
IF(R307=regle!$K$11,regle!$K$23,0))))))))))))</f>
        <v>0</v>
      </c>
      <c r="AC307" s="17">
        <f>IF($A307,$J307*(IF(S307=regle!$B$11,regle!$B$23*IF(AL307=-2,1+regle!$B$35,1),
IF(S307=regle!$C$11,regle!$C$23,
IF(S307=regle!$D$11,regle!$D$23,
IF(S307=regle!$E$11,regle!$E$23,
IF(S307=regle!$F$11,regle!$F$23,
IF(S307=regle!$G$11,regle!$G$23,
IF(S307=regle!$H$11,regle!$H$23,
IF(S307=regle!$I$11,regle!$I$23,
IF(S307=regle!$J$11,regle!$J$23,
IF(S307=regle!$K$11,regle!$K$23,0))))))))))))</f>
        <v>0</v>
      </c>
      <c r="AD307" s="17">
        <f>IF($A307,$J307*(IF(T307=regle!$B$11,regle!$B$23*IF(AM307=-2,1+regle!$B$35,1),
IF(T307=regle!$C$11,regle!$C$23,
IF(T307=regle!$D$11,regle!$D$23,
IF(T307=regle!$E$11,regle!$E$23,
IF(T307=regle!$F$11,regle!$F$23,
IF(T307=regle!$G$11,regle!$G$23,
IF(T307=regle!$H$11,regle!$H$23,
IF(T307=regle!$I$11,regle!$I$23,
IF(T307=regle!$J$11,regle!$J$23,
IF(T307=regle!$K$11,regle!$K$23,0))))))))))))</f>
        <v>749.76</v>
      </c>
      <c r="AE307" s="17">
        <f>IF($A307,$J307*(IF(U307=regle!$B$11,regle!$B$23*IF(AN307=-2,1+regle!$B$35,1),
IF(U307=regle!$C$11,regle!$C$23,
IF(U307=regle!$D$11,regle!$D$23,
IF(U307=regle!$E$11,regle!$E$23,
IF(U307=regle!$F$11,regle!$F$23,
IF(U307=regle!$G$11,regle!$G$23,
IF(U307=regle!$H$11,regle!$H$23,
IF(U307=regle!$I$11,regle!$I$23,
IF(U307=regle!$J$11,regle!$J$23,
IF(U307=regle!$K$11,regle!$K$23,0))))))))))))</f>
        <v>0</v>
      </c>
      <c r="AF307" s="17">
        <f>IF($A307,$J307*(IF(V307=regle!$B$11,regle!$B$23*IF(AO307=-2,1+regle!$B$35,1),
IF(V307=regle!$C$11,regle!$C$23,
IF(V307=regle!$D$11,regle!$D$23,
IF(V307=regle!$E$11,regle!$E$23,
IF(V307=regle!$F$11,regle!$F$23,
IF(V307=regle!$G$11,regle!$G$23,
IF(V307=regle!$H$11,regle!$H$23,
IF(V307=regle!$I$11,regle!$I$23,
IF(V307=regle!$J$11,regle!$J$23,
IF(V307=regle!$K$11,regle!$K$23,0))))))))))))</f>
        <v>0</v>
      </c>
      <c r="AG307" s="17">
        <f>IF($A307,$J307*(IF(W307=regle!$B$11,regle!$B$23*IF(AP307=-2,1+regle!$B$35,1),
IF(W307=regle!$C$11,regle!$C$23,
IF(W307=regle!$D$11,regle!$D$23,
IF(W307=regle!$E$11,regle!$E$23,
IF(W307=regle!$F$11,regle!$F$23,
IF(W307=regle!$G$11,regle!$G$23,
IF(W307=regle!$H$11,regle!$H$23,
IF(W307=regle!$I$11,regle!$I$23,
IF(W307=regle!$J$11,regle!$J$23,
IF(W307=regle!$K$11,regle!$K$23,0))))))))))))</f>
        <v>0</v>
      </c>
      <c r="AH307" s="17">
        <f>IF($A307,$J307*(IF(X307=regle!$B$11,regle!$B$23*IF(AQ307=-2,1+regle!$B$35,1),
IF(X307=regle!$C$11,regle!$C$23,
IF(X307=regle!$D$11,regle!$D$23,
IF(X307=regle!$E$11,regle!$E$23,
IF(X307=regle!$F$11,regle!$F$23,
IF(X307=regle!$G$11,regle!$G$23,
IF(X307=regle!$H$11,regle!$H$23,
IF(X307=regle!$I$11,regle!$I$23,
IF(X307=regle!$J$11,regle!$J$23,
IF(X307=regle!$K$11,regle!$K$23,0))))))))))))</f>
        <v>0</v>
      </c>
      <c r="AI307" s="17">
        <f>IF($A307,$J307*(IF(Y307=regle!$B$11,regle!$B$23*IF(AR307=-2,1+regle!$B$35,1),
IF(Y307=regle!$C$11,regle!$C$23,
IF(Y307=regle!$D$11,regle!$D$23,
IF(Y307=regle!$E$11,regle!$E$23,
IF(Y307=regle!$F$11,regle!$F$23,
IF(Y307=regle!$G$11,regle!$G$23,
IF(Y307=regle!$H$11,regle!$H$23,
IF(Y307=regle!$I$11,regle!$I$23,
IF(Y307=regle!$J$11,regle!$J$23,
IF(Y307=regle!$K$11,regle!$K$23,0))))))))))))</f>
        <v>681.59999999999991</v>
      </c>
      <c r="AJ307" s="17">
        <f>IF($A307,$J307*(IF(Z307=regle!$B$11,regle!$B$23*IF(AS307=-2,1+regle!$B$35,1),
IF(Z307=regle!$C$11,regle!$C$23,
IF(Z307=regle!$D$11,regle!$D$23,
IF(Z307=regle!$E$11,regle!$E$23,
IF(Z307=regle!$F$11,regle!$F$23,
IF(Z307=regle!$G$11,regle!$G$23,
IF(Z307=regle!$H$11,regle!$H$23,
IF(Z307=regle!$I$11,regle!$I$23,
IF(Z307=regle!$J$11,regle!$J$23,
IF(Z307=regle!$K$11,regle!$K$23,0))))))))))))</f>
        <v>0</v>
      </c>
      <c r="AK307" s="16">
        <f>IF(OR(Q307=regle!$J$11,Q307=regle!$K$11),-2,IF(Q307=regle!$B$11,0,IF(AK$1=$AK$1,IF($O307,-1,regle!$B$2-$M307),IF(AJ307=-1,-1,AJ307+1))))</f>
        <v>19</v>
      </c>
      <c r="AL307" s="16">
        <f>IF(OR(R307=regle!$J$11,R307=regle!$K$11),-2,IF(R307=regle!$B$11,0,IF(AL$1=$AK$1,IF($O307,-1,regle!$B$2-$M307),IF(AK307=-1,-1,AK307+1))))</f>
        <v>20</v>
      </c>
      <c r="AM307" s="16">
        <f>IF(OR(S307=regle!$J$11,S307=regle!$K$11),-2,IF(S307=regle!$B$11,0,IF(AM$1=$AK$1,IF($O307,-1,regle!$B$2-$M307),IF(AL307=-1,-1,AL307+1))))</f>
        <v>21</v>
      </c>
      <c r="AN307" s="16">
        <f>IF(OR(T307=regle!$J$11,T307=regle!$K$11),-2,IF(T307=regle!$B$11,0,IF(AN$1=$AK$1,IF($O307,-1,regle!$B$2-$M307),IF(AM307=-1,-1,AM307+1))))</f>
        <v>22</v>
      </c>
      <c r="AO307" s="16">
        <f>IF(OR(U307=regle!$J$11,U307=regle!$K$11),-2,IF(U307=regle!$B$11,0,IF(AO$1=$AK$1,IF($O307,-1,regle!$B$2-$M307),IF(AN307=-1,-1,AN307+1))))</f>
        <v>23</v>
      </c>
      <c r="AP307" s="16">
        <f>IF(OR(V307=regle!$J$11,V307=regle!$K$11),-2,IF(V307=regle!$B$11,0,IF(AP$1=$AK$1,IF($O307,-1,regle!$B$2-$M307),IF(AO307=-1,-1,AO307+1))))</f>
        <v>24</v>
      </c>
      <c r="AQ307" s="16">
        <f>IF(OR(W307=regle!$J$11,W307=regle!$K$11),-2,IF(W307=regle!$B$11,0,IF(AQ$1=$AK$1,IF($O307,-1,regle!$B$2-$M307),IF(AP307=-1,-1,AP307+1))))</f>
        <v>25</v>
      </c>
      <c r="AR307" s="16">
        <f>IF(OR(X307=regle!$J$11,X307=regle!$K$11),-2,IF(X307=regle!$B$11,0,IF(AR$1=$AK$1,IF($O307,-1,regle!$B$2-$M307),IF(AQ307=-1,-1,AQ307+1))))</f>
        <v>26</v>
      </c>
      <c r="AS307" s="16">
        <f>IF(OR(Y307=regle!$J$11,Y307=regle!$K$11),-2,IF(Y307=regle!$B$11,0,IF(AS$1=$AK$1,IF($O307,-1,regle!$B$2-$M307),IF(AR307=-1,-1,AR307+1))))</f>
        <v>27</v>
      </c>
      <c r="AT307" s="16">
        <f>IF(OR(Z307=regle!$J$11,Z307=regle!$K$11),-2,IF(Z307=regle!$B$11,0,IF(AT$1=$AK$1,IF($O307,-1,regle!$B$2-$M307),IF(AS307=-1,-1,AS307+1))))</f>
        <v>28</v>
      </c>
    </row>
    <row r="308" spans="1:46" x14ac:dyDescent="0.25">
      <c r="A308" t="b">
        <f>modif0!A62</f>
        <v>1</v>
      </c>
      <c r="B308">
        <f>ROW(modif0!B62)</f>
        <v>62</v>
      </c>
      <c r="C308" t="str">
        <f>modif0!D62</f>
        <v>536</v>
      </c>
      <c r="D308" t="str">
        <f>modif0!E62</f>
        <v>LE TUZAN</v>
      </c>
      <c r="E308">
        <f>modif0!F62</f>
        <v>21</v>
      </c>
      <c r="F308" t="str">
        <f>modif0!G62</f>
        <v>METAIRIES DE TABARTON</v>
      </c>
      <c r="G308" t="str">
        <f>modif0!I62</f>
        <v>0A</v>
      </c>
      <c r="H308">
        <f>modif0!J62</f>
        <v>523</v>
      </c>
      <c r="I308" t="str">
        <f>modif0!K62</f>
        <v>k</v>
      </c>
      <c r="J308" s="11">
        <f>modif0!M62</f>
        <v>0.46089999999999998</v>
      </c>
      <c r="K308" s="11" t="str">
        <f>modif0!P62</f>
        <v>PLA</v>
      </c>
      <c r="L308" t="str">
        <f>modif0!N62</f>
        <v>PM</v>
      </c>
      <c r="M308">
        <f>modif0!Q62</f>
        <v>2005</v>
      </c>
      <c r="N308" t="str">
        <f>modif0!R62</f>
        <v>PLA-PM_2005</v>
      </c>
      <c r="O308" t="b">
        <f>modif0!S62</f>
        <v>0</v>
      </c>
      <c r="P308">
        <v>40</v>
      </c>
      <c r="T308" t="s">
        <v>1805</v>
      </c>
      <c r="Y308" t="s">
        <v>1806</v>
      </c>
      <c r="AA308" s="17">
        <f>IF($A308,$J308*(IF(Q308=regle!$B$11,regle!$B$23*IF(AJ308=-2,1+regle!$B$35,1),
IF(Q308=regle!$C$11,regle!$C$23,
IF(Q308=regle!$D$11,regle!$D$23,
IF(Q308=regle!$E$11,regle!$E$23,
IF(Q308=regle!$F$11,regle!$F$23,
IF(Q308=regle!$G$11,regle!$G$23,
IF(Q308=regle!$H$11,regle!$H$23,
IF(Q308=regle!$I$11,regle!$I$23,
IF(Q308=regle!$J$11,regle!$J$23,
IF(Q308=regle!$K$11,regle!$K$23,0))))))))))))</f>
        <v>0</v>
      </c>
      <c r="AB308" s="17">
        <f>IF($A308,$J308*(IF(R308=regle!$B$11,regle!$B$23*IF(AK308=-2,1+regle!$B$35,1),
IF(R308=regle!$C$11,regle!$C$23,
IF(R308=regle!$D$11,regle!$D$23,
IF(R308=regle!$E$11,regle!$E$23,
IF(R308=regle!$F$11,regle!$F$23,
IF(R308=regle!$G$11,regle!$G$23,
IF(R308=regle!$H$11,regle!$H$23,
IF(R308=regle!$I$11,regle!$I$23,
IF(R308=regle!$J$11,regle!$J$23,
IF(R308=regle!$K$11,regle!$K$23,0))))))))))))</f>
        <v>0</v>
      </c>
      <c r="AC308" s="17">
        <f>IF($A308,$J308*(IF(S308=regle!$B$11,regle!$B$23*IF(AL308=-2,1+regle!$B$35,1),
IF(S308=regle!$C$11,regle!$C$23,
IF(S308=regle!$D$11,regle!$D$23,
IF(S308=regle!$E$11,regle!$E$23,
IF(S308=regle!$F$11,regle!$F$23,
IF(S308=regle!$G$11,regle!$G$23,
IF(S308=regle!$H$11,regle!$H$23,
IF(S308=regle!$I$11,regle!$I$23,
IF(S308=regle!$J$11,regle!$J$23,
IF(S308=regle!$K$11,regle!$K$23,0))))))))))))</f>
        <v>0</v>
      </c>
      <c r="AD308" s="17">
        <f>IF($A308,$J308*(IF(T308=regle!$B$11,regle!$B$23*IF(AM308=-2,1+regle!$B$35,1),
IF(T308=regle!$C$11,regle!$C$23,
IF(T308=regle!$D$11,regle!$D$23,
IF(T308=regle!$E$11,regle!$E$23,
IF(T308=regle!$F$11,regle!$F$23,
IF(T308=regle!$G$11,regle!$G$23,
IF(T308=regle!$H$11,regle!$H$23,
IF(T308=regle!$I$11,regle!$I$23,
IF(T308=regle!$J$11,regle!$J$23,
IF(T308=regle!$K$11,regle!$K$23,0))))))))))))</f>
        <v>648.94719999999995</v>
      </c>
      <c r="AE308" s="17">
        <f>IF($A308,$J308*(IF(U308=regle!$B$11,regle!$B$23*IF(AN308=-2,1+regle!$B$35,1),
IF(U308=regle!$C$11,regle!$C$23,
IF(U308=regle!$D$11,regle!$D$23,
IF(U308=regle!$E$11,regle!$E$23,
IF(U308=regle!$F$11,regle!$F$23,
IF(U308=regle!$G$11,regle!$G$23,
IF(U308=regle!$H$11,regle!$H$23,
IF(U308=regle!$I$11,regle!$I$23,
IF(U308=regle!$J$11,regle!$J$23,
IF(U308=regle!$K$11,regle!$K$23,0))))))))))))</f>
        <v>0</v>
      </c>
      <c r="AF308" s="17">
        <f>IF($A308,$J308*(IF(V308=regle!$B$11,regle!$B$23*IF(AO308=-2,1+regle!$B$35,1),
IF(V308=regle!$C$11,regle!$C$23,
IF(V308=regle!$D$11,regle!$D$23,
IF(V308=regle!$E$11,regle!$E$23,
IF(V308=regle!$F$11,regle!$F$23,
IF(V308=regle!$G$11,regle!$G$23,
IF(V308=regle!$H$11,regle!$H$23,
IF(V308=regle!$I$11,regle!$I$23,
IF(V308=regle!$J$11,regle!$J$23,
IF(V308=regle!$K$11,regle!$K$23,0))))))))))))</f>
        <v>0</v>
      </c>
      <c r="AG308" s="17">
        <f>IF($A308,$J308*(IF(W308=regle!$B$11,regle!$B$23*IF(AP308=-2,1+regle!$B$35,1),
IF(W308=regle!$C$11,regle!$C$23,
IF(W308=regle!$D$11,regle!$D$23,
IF(W308=regle!$E$11,regle!$E$23,
IF(W308=regle!$F$11,regle!$F$23,
IF(W308=regle!$G$11,regle!$G$23,
IF(W308=regle!$H$11,regle!$H$23,
IF(W308=regle!$I$11,regle!$I$23,
IF(W308=regle!$J$11,regle!$J$23,
IF(W308=regle!$K$11,regle!$K$23,0))))))))))))</f>
        <v>0</v>
      </c>
      <c r="AH308" s="17">
        <f>IF($A308,$J308*(IF(X308=regle!$B$11,regle!$B$23*IF(AQ308=-2,1+regle!$B$35,1),
IF(X308=regle!$C$11,regle!$C$23,
IF(X308=regle!$D$11,regle!$D$23,
IF(X308=regle!$E$11,regle!$E$23,
IF(X308=regle!$F$11,regle!$F$23,
IF(X308=regle!$G$11,regle!$G$23,
IF(X308=regle!$H$11,regle!$H$23,
IF(X308=regle!$I$11,regle!$I$23,
IF(X308=regle!$J$11,regle!$J$23,
IF(X308=regle!$K$11,regle!$K$23,0))))))))))))</f>
        <v>0</v>
      </c>
      <c r="AI308" s="17">
        <f>IF($A308,$J308*(IF(Y308=regle!$B$11,regle!$B$23*IF(AR308=-2,1+regle!$B$35,1),
IF(Y308=regle!$C$11,regle!$C$23,
IF(Y308=regle!$D$11,regle!$D$23,
IF(Y308=regle!$E$11,regle!$E$23,
IF(Y308=regle!$F$11,regle!$F$23,
IF(Y308=regle!$G$11,regle!$G$23,
IF(Y308=regle!$H$11,regle!$H$23,
IF(Y308=regle!$I$11,regle!$I$23,
IF(Y308=regle!$J$11,regle!$J$23,
IF(Y308=regle!$K$11,regle!$K$23,0))))))))))))</f>
        <v>589.952</v>
      </c>
      <c r="AJ308" s="17">
        <f>IF($A308,$J308*(IF(Z308=regle!$B$11,regle!$B$23*IF(AS308=-2,1+regle!$B$35,1),
IF(Z308=regle!$C$11,regle!$C$23,
IF(Z308=regle!$D$11,regle!$D$23,
IF(Z308=regle!$E$11,regle!$E$23,
IF(Z308=regle!$F$11,regle!$F$23,
IF(Z308=regle!$G$11,regle!$G$23,
IF(Z308=regle!$H$11,regle!$H$23,
IF(Z308=regle!$I$11,regle!$I$23,
IF(Z308=regle!$J$11,regle!$J$23,
IF(Z308=regle!$K$11,regle!$K$23,0))))))))))))</f>
        <v>0</v>
      </c>
      <c r="AK308" s="16">
        <f>IF(OR(Q308=regle!$J$11,Q308=regle!$K$11),-2,IF(Q308=regle!$B$11,0,IF(AK$1=$AK$1,IF($O308,-1,regle!$B$2-$M308),IF(AJ308=-1,-1,AJ308+1))))</f>
        <v>19</v>
      </c>
      <c r="AL308" s="16">
        <f>IF(OR(R308=regle!$J$11,R308=regle!$K$11),-2,IF(R308=regle!$B$11,0,IF(AL$1=$AK$1,IF($O308,-1,regle!$B$2-$M308),IF(AK308=-1,-1,AK308+1))))</f>
        <v>20</v>
      </c>
      <c r="AM308" s="16">
        <f>IF(OR(S308=regle!$J$11,S308=regle!$K$11),-2,IF(S308=regle!$B$11,0,IF(AM$1=$AK$1,IF($O308,-1,regle!$B$2-$M308),IF(AL308=-1,-1,AL308+1))))</f>
        <v>21</v>
      </c>
      <c r="AN308" s="16">
        <f>IF(OR(T308=regle!$J$11,T308=regle!$K$11),-2,IF(T308=regle!$B$11,0,IF(AN$1=$AK$1,IF($O308,-1,regle!$B$2-$M308),IF(AM308=-1,-1,AM308+1))))</f>
        <v>22</v>
      </c>
      <c r="AO308" s="16">
        <f>IF(OR(U308=regle!$J$11,U308=regle!$K$11),-2,IF(U308=regle!$B$11,0,IF(AO$1=$AK$1,IF($O308,-1,regle!$B$2-$M308),IF(AN308=-1,-1,AN308+1))))</f>
        <v>23</v>
      </c>
      <c r="AP308" s="16">
        <f>IF(OR(V308=regle!$J$11,V308=regle!$K$11),-2,IF(V308=regle!$B$11,0,IF(AP$1=$AK$1,IF($O308,-1,regle!$B$2-$M308),IF(AO308=-1,-1,AO308+1))))</f>
        <v>24</v>
      </c>
      <c r="AQ308" s="16">
        <f>IF(OR(W308=regle!$J$11,W308=regle!$K$11),-2,IF(W308=regle!$B$11,0,IF(AQ$1=$AK$1,IF($O308,-1,regle!$B$2-$M308),IF(AP308=-1,-1,AP308+1))))</f>
        <v>25</v>
      </c>
      <c r="AR308" s="16">
        <f>IF(OR(X308=regle!$J$11,X308=regle!$K$11),-2,IF(X308=regle!$B$11,0,IF(AR$1=$AK$1,IF($O308,-1,regle!$B$2-$M308),IF(AQ308=-1,-1,AQ308+1))))</f>
        <v>26</v>
      </c>
      <c r="AS308" s="16">
        <f>IF(OR(Y308=regle!$J$11,Y308=regle!$K$11),-2,IF(Y308=regle!$B$11,0,IF(AS$1=$AK$1,IF($O308,-1,regle!$B$2-$M308),IF(AR308=-1,-1,AR308+1))))</f>
        <v>27</v>
      </c>
      <c r="AT308" s="16">
        <f>IF(OR(Z308=regle!$J$11,Z308=regle!$K$11),-2,IF(Z308=regle!$B$11,0,IF(AT$1=$AK$1,IF($O308,-1,regle!$B$2-$M308),IF(AS308=-1,-1,AS308+1))))</f>
        <v>28</v>
      </c>
    </row>
    <row r="309" spans="1:46" x14ac:dyDescent="0.25">
      <c r="A309" t="b">
        <f>modif0!A73</f>
        <v>1</v>
      </c>
      <c r="B309">
        <f>ROW(modif0!B73)</f>
        <v>73</v>
      </c>
      <c r="C309" t="str">
        <f>modif0!D73</f>
        <v>536</v>
      </c>
      <c r="D309" t="str">
        <f>modif0!E73</f>
        <v>LE TUZAN</v>
      </c>
      <c r="E309">
        <f>modif0!F73</f>
        <v>21</v>
      </c>
      <c r="F309" t="str">
        <f>modif0!G73</f>
        <v>METAIRIES DE TABARTON</v>
      </c>
      <c r="G309" t="str">
        <f>modif0!I73</f>
        <v>0A</v>
      </c>
      <c r="H309">
        <f>modif0!J73</f>
        <v>528</v>
      </c>
      <c r="I309" t="str">
        <f>modif0!K73</f>
        <v>m</v>
      </c>
      <c r="J309" s="11">
        <f>modif0!M73</f>
        <v>0.45369999999999999</v>
      </c>
      <c r="K309" s="11" t="str">
        <f>modif0!P73</f>
        <v>PLA</v>
      </c>
      <c r="L309" t="str">
        <f>modif0!N73</f>
        <v>PM</v>
      </c>
      <c r="M309">
        <f>modif0!Q73</f>
        <v>2005</v>
      </c>
      <c r="N309" t="str">
        <f>modif0!R73</f>
        <v>PLA-PM_2005</v>
      </c>
      <c r="O309" t="b">
        <f>modif0!S73</f>
        <v>0</v>
      </c>
      <c r="P309">
        <v>40</v>
      </c>
      <c r="T309" t="s">
        <v>1805</v>
      </c>
      <c r="Y309" t="s">
        <v>1806</v>
      </c>
      <c r="AA309" s="17">
        <f>IF($A309,$J309*(IF(Q309=regle!$B$11,regle!$B$23*IF(AJ309=-2,1+regle!$B$35,1),
IF(Q309=regle!$C$11,regle!$C$23,
IF(Q309=regle!$D$11,regle!$D$23,
IF(Q309=regle!$E$11,regle!$E$23,
IF(Q309=regle!$F$11,regle!$F$23,
IF(Q309=regle!$G$11,regle!$G$23,
IF(Q309=regle!$H$11,regle!$H$23,
IF(Q309=regle!$I$11,regle!$I$23,
IF(Q309=regle!$J$11,regle!$J$23,
IF(Q309=regle!$K$11,regle!$K$23,0))))))))))))</f>
        <v>0</v>
      </c>
      <c r="AB309" s="17">
        <f>IF($A309,$J309*(IF(R309=regle!$B$11,regle!$B$23*IF(AK309=-2,1+regle!$B$35,1),
IF(R309=regle!$C$11,regle!$C$23,
IF(R309=regle!$D$11,regle!$D$23,
IF(R309=regle!$E$11,regle!$E$23,
IF(R309=regle!$F$11,regle!$F$23,
IF(R309=regle!$G$11,regle!$G$23,
IF(R309=regle!$H$11,regle!$H$23,
IF(R309=regle!$I$11,regle!$I$23,
IF(R309=regle!$J$11,regle!$J$23,
IF(R309=regle!$K$11,regle!$K$23,0))))))))))))</f>
        <v>0</v>
      </c>
      <c r="AC309" s="17">
        <f>IF($A309,$J309*(IF(S309=regle!$B$11,regle!$B$23*IF(AL309=-2,1+regle!$B$35,1),
IF(S309=regle!$C$11,regle!$C$23,
IF(S309=regle!$D$11,regle!$D$23,
IF(S309=regle!$E$11,regle!$E$23,
IF(S309=regle!$F$11,regle!$F$23,
IF(S309=regle!$G$11,regle!$G$23,
IF(S309=regle!$H$11,regle!$H$23,
IF(S309=regle!$I$11,regle!$I$23,
IF(S309=regle!$J$11,regle!$J$23,
IF(S309=regle!$K$11,regle!$K$23,0))))))))))))</f>
        <v>0</v>
      </c>
      <c r="AD309" s="17">
        <f>IF($A309,$J309*(IF(T309=regle!$B$11,regle!$B$23*IF(AM309=-2,1+regle!$B$35,1),
IF(T309=regle!$C$11,regle!$C$23,
IF(T309=regle!$D$11,regle!$D$23,
IF(T309=regle!$E$11,regle!$E$23,
IF(T309=regle!$F$11,regle!$F$23,
IF(T309=regle!$G$11,regle!$G$23,
IF(T309=regle!$H$11,regle!$H$23,
IF(T309=regle!$I$11,regle!$I$23,
IF(T309=regle!$J$11,regle!$J$23,
IF(T309=regle!$K$11,regle!$K$23,0))))))))))))</f>
        <v>638.80960000000005</v>
      </c>
      <c r="AE309" s="17">
        <f>IF($A309,$J309*(IF(U309=regle!$B$11,regle!$B$23*IF(AN309=-2,1+regle!$B$35,1),
IF(U309=regle!$C$11,regle!$C$23,
IF(U309=regle!$D$11,regle!$D$23,
IF(U309=regle!$E$11,regle!$E$23,
IF(U309=regle!$F$11,regle!$F$23,
IF(U309=regle!$G$11,regle!$G$23,
IF(U309=regle!$H$11,regle!$H$23,
IF(U309=regle!$I$11,regle!$I$23,
IF(U309=regle!$J$11,regle!$J$23,
IF(U309=regle!$K$11,regle!$K$23,0))))))))))))</f>
        <v>0</v>
      </c>
      <c r="AF309" s="17">
        <f>IF($A309,$J309*(IF(V309=regle!$B$11,regle!$B$23*IF(AO309=-2,1+regle!$B$35,1),
IF(V309=regle!$C$11,regle!$C$23,
IF(V309=regle!$D$11,regle!$D$23,
IF(V309=regle!$E$11,regle!$E$23,
IF(V309=regle!$F$11,regle!$F$23,
IF(V309=regle!$G$11,regle!$G$23,
IF(V309=regle!$H$11,regle!$H$23,
IF(V309=regle!$I$11,regle!$I$23,
IF(V309=regle!$J$11,regle!$J$23,
IF(V309=regle!$K$11,regle!$K$23,0))))))))))))</f>
        <v>0</v>
      </c>
      <c r="AG309" s="17">
        <f>IF($A309,$J309*(IF(W309=regle!$B$11,regle!$B$23*IF(AP309=-2,1+regle!$B$35,1),
IF(W309=regle!$C$11,regle!$C$23,
IF(W309=regle!$D$11,regle!$D$23,
IF(W309=regle!$E$11,regle!$E$23,
IF(W309=regle!$F$11,regle!$F$23,
IF(W309=regle!$G$11,regle!$G$23,
IF(W309=regle!$H$11,regle!$H$23,
IF(W309=regle!$I$11,regle!$I$23,
IF(W309=regle!$J$11,regle!$J$23,
IF(W309=regle!$K$11,regle!$K$23,0))))))))))))</f>
        <v>0</v>
      </c>
      <c r="AH309" s="17">
        <f>IF($A309,$J309*(IF(X309=regle!$B$11,regle!$B$23*IF(AQ309=-2,1+regle!$B$35,1),
IF(X309=regle!$C$11,regle!$C$23,
IF(X309=regle!$D$11,regle!$D$23,
IF(X309=regle!$E$11,regle!$E$23,
IF(X309=regle!$F$11,regle!$F$23,
IF(X309=regle!$G$11,regle!$G$23,
IF(X309=regle!$H$11,regle!$H$23,
IF(X309=regle!$I$11,regle!$I$23,
IF(X309=regle!$J$11,regle!$J$23,
IF(X309=regle!$K$11,regle!$K$23,0))))))))))))</f>
        <v>0</v>
      </c>
      <c r="AI309" s="17">
        <f>IF($A309,$J309*(IF(Y309=regle!$B$11,regle!$B$23*IF(AR309=-2,1+regle!$B$35,1),
IF(Y309=regle!$C$11,regle!$C$23,
IF(Y309=regle!$D$11,regle!$D$23,
IF(Y309=regle!$E$11,regle!$E$23,
IF(Y309=regle!$F$11,regle!$F$23,
IF(Y309=regle!$G$11,regle!$G$23,
IF(Y309=regle!$H$11,regle!$H$23,
IF(Y309=regle!$I$11,regle!$I$23,
IF(Y309=regle!$J$11,regle!$J$23,
IF(Y309=regle!$K$11,regle!$K$23,0))))))))))))</f>
        <v>580.73599999999999</v>
      </c>
      <c r="AJ309" s="17">
        <f>IF($A309,$J309*(IF(Z309=regle!$B$11,regle!$B$23*IF(AS309=-2,1+regle!$B$35,1),
IF(Z309=regle!$C$11,regle!$C$23,
IF(Z309=regle!$D$11,regle!$D$23,
IF(Z309=regle!$E$11,regle!$E$23,
IF(Z309=regle!$F$11,regle!$F$23,
IF(Z309=regle!$G$11,regle!$G$23,
IF(Z309=regle!$H$11,regle!$H$23,
IF(Z309=regle!$I$11,regle!$I$23,
IF(Z309=regle!$J$11,regle!$J$23,
IF(Z309=regle!$K$11,regle!$K$23,0))))))))))))</f>
        <v>0</v>
      </c>
      <c r="AK309" s="16">
        <f>IF(OR(Q309=regle!$J$11,Q309=regle!$K$11),-2,IF(Q309=regle!$B$11,0,IF(AK$1=$AK$1,IF($O309,-1,regle!$B$2-$M309),IF(AJ309=-1,-1,AJ309+1))))</f>
        <v>19</v>
      </c>
      <c r="AL309" s="16">
        <f>IF(OR(R309=regle!$J$11,R309=regle!$K$11),-2,IF(R309=regle!$B$11,0,IF(AL$1=$AK$1,IF($O309,-1,regle!$B$2-$M309),IF(AK309=-1,-1,AK309+1))))</f>
        <v>20</v>
      </c>
      <c r="AM309" s="16">
        <f>IF(OR(S309=regle!$J$11,S309=regle!$K$11),-2,IF(S309=regle!$B$11,0,IF(AM$1=$AK$1,IF($O309,-1,regle!$B$2-$M309),IF(AL309=-1,-1,AL309+1))))</f>
        <v>21</v>
      </c>
      <c r="AN309" s="16">
        <f>IF(OR(T309=regle!$J$11,T309=regle!$K$11),-2,IF(T309=regle!$B$11,0,IF(AN$1=$AK$1,IF($O309,-1,regle!$B$2-$M309),IF(AM309=-1,-1,AM309+1))))</f>
        <v>22</v>
      </c>
      <c r="AO309" s="16">
        <f>IF(OR(U309=regle!$J$11,U309=regle!$K$11),-2,IF(U309=regle!$B$11,0,IF(AO$1=$AK$1,IF($O309,-1,regle!$B$2-$M309),IF(AN309=-1,-1,AN309+1))))</f>
        <v>23</v>
      </c>
      <c r="AP309" s="16">
        <f>IF(OR(V309=regle!$J$11,V309=regle!$K$11),-2,IF(V309=regle!$B$11,0,IF(AP$1=$AK$1,IF($O309,-1,regle!$B$2-$M309),IF(AO309=-1,-1,AO309+1))))</f>
        <v>24</v>
      </c>
      <c r="AQ309" s="16">
        <f>IF(OR(W309=regle!$J$11,W309=regle!$K$11),-2,IF(W309=regle!$B$11,0,IF(AQ$1=$AK$1,IF($O309,-1,regle!$B$2-$M309),IF(AP309=-1,-1,AP309+1))))</f>
        <v>25</v>
      </c>
      <c r="AR309" s="16">
        <f>IF(OR(X309=regle!$J$11,X309=regle!$K$11),-2,IF(X309=regle!$B$11,0,IF(AR$1=$AK$1,IF($O309,-1,regle!$B$2-$M309),IF(AQ309=-1,-1,AQ309+1))))</f>
        <v>26</v>
      </c>
      <c r="AS309" s="16">
        <f>IF(OR(Y309=regle!$J$11,Y309=regle!$K$11),-2,IF(Y309=regle!$B$11,0,IF(AS$1=$AK$1,IF($O309,-1,regle!$B$2-$M309),IF(AR309=-1,-1,AR309+1))))</f>
        <v>27</v>
      </c>
      <c r="AT309" s="16">
        <f>IF(OR(Z309=regle!$J$11,Z309=regle!$K$11),-2,IF(Z309=regle!$B$11,0,IF(AT$1=$AK$1,IF($O309,-1,regle!$B$2-$M309),IF(AS309=-1,-1,AS309+1))))</f>
        <v>28</v>
      </c>
    </row>
    <row r="310" spans="1:46" x14ac:dyDescent="0.25">
      <c r="A310" t="b">
        <f>modif0!A334</f>
        <v>1</v>
      </c>
      <c r="B310">
        <f>ROW(modif0!B334)</f>
        <v>334</v>
      </c>
      <c r="C310" t="str">
        <f>modif0!D334</f>
        <v>077</v>
      </c>
      <c r="D310" t="str">
        <f>modif0!E334</f>
        <v>CABANAC-ET-VILLAGRAINS</v>
      </c>
      <c r="E310">
        <f>modif0!F334</f>
        <v>12</v>
      </c>
      <c r="F310" t="str">
        <f>modif0!G334</f>
        <v>LES JEANNOTS</v>
      </c>
      <c r="G310" t="str">
        <f>modif0!I334</f>
        <v>0D</v>
      </c>
      <c r="H310">
        <f>modif0!J334</f>
        <v>2303</v>
      </c>
      <c r="I310" t="str">
        <f>modif0!K334</f>
        <v/>
      </c>
      <c r="J310" s="11">
        <f>modif0!M334</f>
        <v>0.37540000000000001</v>
      </c>
      <c r="K310" s="11" t="str">
        <f>modif0!P334</f>
        <v>PLA</v>
      </c>
      <c r="L310" t="str">
        <f>modif0!N334</f>
        <v>PM</v>
      </c>
      <c r="M310">
        <f>modif0!Q334</f>
        <v>2005</v>
      </c>
      <c r="N310" t="str">
        <f>modif0!R334</f>
        <v>PLA-PM_2005</v>
      </c>
      <c r="O310" t="b">
        <f>modif0!S334</f>
        <v>0</v>
      </c>
      <c r="P310">
        <v>40</v>
      </c>
      <c r="T310" t="s">
        <v>1805</v>
      </c>
      <c r="Y310" t="s">
        <v>1806</v>
      </c>
      <c r="AA310" s="17">
        <f>IF($A310,$J310*(IF(Q310=regle!$B$11,regle!$B$23*IF(AJ310=-2,1+regle!$B$35,1),
IF(Q310=regle!$C$11,regle!$C$23,
IF(Q310=regle!$D$11,regle!$D$23,
IF(Q310=regle!$E$11,regle!$E$23,
IF(Q310=regle!$F$11,regle!$F$23,
IF(Q310=regle!$G$11,regle!$G$23,
IF(Q310=regle!$H$11,regle!$H$23,
IF(Q310=regle!$I$11,regle!$I$23,
IF(Q310=regle!$J$11,regle!$J$23,
IF(Q310=regle!$K$11,regle!$K$23,0))))))))))))</f>
        <v>0</v>
      </c>
      <c r="AB310" s="17">
        <f>IF($A310,$J310*(IF(R310=regle!$B$11,regle!$B$23*IF(AK310=-2,1+regle!$B$35,1),
IF(R310=regle!$C$11,regle!$C$23,
IF(R310=regle!$D$11,regle!$D$23,
IF(R310=regle!$E$11,regle!$E$23,
IF(R310=regle!$F$11,regle!$F$23,
IF(R310=regle!$G$11,regle!$G$23,
IF(R310=regle!$H$11,regle!$H$23,
IF(R310=regle!$I$11,regle!$I$23,
IF(R310=regle!$J$11,regle!$J$23,
IF(R310=regle!$K$11,regle!$K$23,0))))))))))))</f>
        <v>0</v>
      </c>
      <c r="AC310" s="17">
        <f>IF($A310,$J310*(IF(S310=regle!$B$11,regle!$B$23*IF(AL310=-2,1+regle!$B$35,1),
IF(S310=regle!$C$11,regle!$C$23,
IF(S310=regle!$D$11,regle!$D$23,
IF(S310=regle!$E$11,regle!$E$23,
IF(S310=regle!$F$11,regle!$F$23,
IF(S310=regle!$G$11,regle!$G$23,
IF(S310=regle!$H$11,regle!$H$23,
IF(S310=regle!$I$11,regle!$I$23,
IF(S310=regle!$J$11,regle!$J$23,
IF(S310=regle!$K$11,regle!$K$23,0))))))))))))</f>
        <v>0</v>
      </c>
      <c r="AD310" s="17">
        <f>IF($A310,$J310*(IF(T310=regle!$B$11,regle!$B$23*IF(AM310=-2,1+regle!$B$35,1),
IF(T310=regle!$C$11,regle!$C$23,
IF(T310=regle!$D$11,regle!$D$23,
IF(T310=regle!$E$11,regle!$E$23,
IF(T310=regle!$F$11,regle!$F$23,
IF(T310=regle!$G$11,regle!$G$23,
IF(T310=regle!$H$11,regle!$H$23,
IF(T310=regle!$I$11,regle!$I$23,
IF(T310=regle!$J$11,regle!$J$23,
IF(T310=regle!$K$11,regle!$K$23,0))))))))))))</f>
        <v>528.56320000000005</v>
      </c>
      <c r="AE310" s="17">
        <f>IF($A310,$J310*(IF(U310=regle!$B$11,regle!$B$23*IF(AN310=-2,1+regle!$B$35,1),
IF(U310=regle!$C$11,regle!$C$23,
IF(U310=regle!$D$11,regle!$D$23,
IF(U310=regle!$E$11,regle!$E$23,
IF(U310=regle!$F$11,regle!$F$23,
IF(U310=regle!$G$11,regle!$G$23,
IF(U310=regle!$H$11,regle!$H$23,
IF(U310=regle!$I$11,regle!$I$23,
IF(U310=regle!$J$11,regle!$J$23,
IF(U310=regle!$K$11,regle!$K$23,0))))))))))))</f>
        <v>0</v>
      </c>
      <c r="AF310" s="17">
        <f>IF($A310,$J310*(IF(V310=regle!$B$11,regle!$B$23*IF(AO310=-2,1+regle!$B$35,1),
IF(V310=regle!$C$11,regle!$C$23,
IF(V310=regle!$D$11,regle!$D$23,
IF(V310=regle!$E$11,regle!$E$23,
IF(V310=regle!$F$11,regle!$F$23,
IF(V310=regle!$G$11,regle!$G$23,
IF(V310=regle!$H$11,regle!$H$23,
IF(V310=regle!$I$11,regle!$I$23,
IF(V310=regle!$J$11,regle!$J$23,
IF(V310=regle!$K$11,regle!$K$23,0))))))))))))</f>
        <v>0</v>
      </c>
      <c r="AG310" s="17">
        <f>IF($A310,$J310*(IF(W310=regle!$B$11,regle!$B$23*IF(AP310=-2,1+regle!$B$35,1),
IF(W310=regle!$C$11,regle!$C$23,
IF(W310=regle!$D$11,regle!$D$23,
IF(W310=regle!$E$11,regle!$E$23,
IF(W310=regle!$F$11,regle!$F$23,
IF(W310=regle!$G$11,regle!$G$23,
IF(W310=regle!$H$11,regle!$H$23,
IF(W310=regle!$I$11,regle!$I$23,
IF(W310=regle!$J$11,regle!$J$23,
IF(W310=regle!$K$11,regle!$K$23,0))))))))))))</f>
        <v>0</v>
      </c>
      <c r="AH310" s="17">
        <f>IF($A310,$J310*(IF(X310=regle!$B$11,regle!$B$23*IF(AQ310=-2,1+regle!$B$35,1),
IF(X310=regle!$C$11,regle!$C$23,
IF(X310=regle!$D$11,regle!$D$23,
IF(X310=regle!$E$11,regle!$E$23,
IF(X310=regle!$F$11,regle!$F$23,
IF(X310=regle!$G$11,regle!$G$23,
IF(X310=regle!$H$11,regle!$H$23,
IF(X310=regle!$I$11,regle!$I$23,
IF(X310=regle!$J$11,regle!$J$23,
IF(X310=regle!$K$11,regle!$K$23,0))))))))))))</f>
        <v>0</v>
      </c>
      <c r="AI310" s="17">
        <f>IF($A310,$J310*(IF(Y310=regle!$B$11,regle!$B$23*IF(AR310=-2,1+regle!$B$35,1),
IF(Y310=regle!$C$11,regle!$C$23,
IF(Y310=regle!$D$11,regle!$D$23,
IF(Y310=regle!$E$11,regle!$E$23,
IF(Y310=regle!$F$11,regle!$F$23,
IF(Y310=regle!$G$11,regle!$G$23,
IF(Y310=regle!$H$11,regle!$H$23,
IF(Y310=regle!$I$11,regle!$I$23,
IF(Y310=regle!$J$11,regle!$J$23,
IF(Y310=regle!$K$11,regle!$K$23,0))))))))))))</f>
        <v>480.512</v>
      </c>
      <c r="AJ310" s="17">
        <f>IF($A310,$J310*(IF(Z310=regle!$B$11,regle!$B$23*IF(AS310=-2,1+regle!$B$35,1),
IF(Z310=regle!$C$11,regle!$C$23,
IF(Z310=regle!$D$11,regle!$D$23,
IF(Z310=regle!$E$11,regle!$E$23,
IF(Z310=regle!$F$11,regle!$F$23,
IF(Z310=regle!$G$11,regle!$G$23,
IF(Z310=regle!$H$11,regle!$H$23,
IF(Z310=regle!$I$11,regle!$I$23,
IF(Z310=regle!$J$11,regle!$J$23,
IF(Z310=regle!$K$11,regle!$K$23,0))))))))))))</f>
        <v>0</v>
      </c>
      <c r="AK310" s="16">
        <f>IF(OR(Q310=regle!$J$11,Q310=regle!$K$11),-2,IF(Q310=regle!$B$11,0,IF(AK$1=$AK$1,IF($O310,-1,regle!$B$2-$M310),IF(AJ310=-1,-1,AJ310+1))))</f>
        <v>19</v>
      </c>
      <c r="AL310" s="16">
        <f>IF(OR(R310=regle!$J$11,R310=regle!$K$11),-2,IF(R310=regle!$B$11,0,IF(AL$1=$AK$1,IF($O310,-1,regle!$B$2-$M310),IF(AK310=-1,-1,AK310+1))))</f>
        <v>20</v>
      </c>
      <c r="AM310" s="16">
        <f>IF(OR(S310=regle!$J$11,S310=regle!$K$11),-2,IF(S310=regle!$B$11,0,IF(AM$1=$AK$1,IF($O310,-1,regle!$B$2-$M310),IF(AL310=-1,-1,AL310+1))))</f>
        <v>21</v>
      </c>
      <c r="AN310" s="16">
        <f>IF(OR(T310=regle!$J$11,T310=regle!$K$11),-2,IF(T310=regle!$B$11,0,IF(AN$1=$AK$1,IF($O310,-1,regle!$B$2-$M310),IF(AM310=-1,-1,AM310+1))))</f>
        <v>22</v>
      </c>
      <c r="AO310" s="16">
        <f>IF(OR(U310=regle!$J$11,U310=regle!$K$11),-2,IF(U310=regle!$B$11,0,IF(AO$1=$AK$1,IF($O310,-1,regle!$B$2-$M310),IF(AN310=-1,-1,AN310+1))))</f>
        <v>23</v>
      </c>
      <c r="AP310" s="16">
        <f>IF(OR(V310=regle!$J$11,V310=regle!$K$11),-2,IF(V310=regle!$B$11,0,IF(AP$1=$AK$1,IF($O310,-1,regle!$B$2-$M310),IF(AO310=-1,-1,AO310+1))))</f>
        <v>24</v>
      </c>
      <c r="AQ310" s="16">
        <f>IF(OR(W310=regle!$J$11,W310=regle!$K$11),-2,IF(W310=regle!$B$11,0,IF(AQ$1=$AK$1,IF($O310,-1,regle!$B$2-$M310),IF(AP310=-1,-1,AP310+1))))</f>
        <v>25</v>
      </c>
      <c r="AR310" s="16">
        <f>IF(OR(X310=regle!$J$11,X310=regle!$K$11),-2,IF(X310=regle!$B$11,0,IF(AR$1=$AK$1,IF($O310,-1,regle!$B$2-$M310),IF(AQ310=-1,-1,AQ310+1))))</f>
        <v>26</v>
      </c>
      <c r="AS310" s="16">
        <f>IF(OR(Y310=regle!$J$11,Y310=regle!$K$11),-2,IF(Y310=regle!$B$11,0,IF(AS$1=$AK$1,IF($O310,-1,regle!$B$2-$M310),IF(AR310=-1,-1,AR310+1))))</f>
        <v>27</v>
      </c>
      <c r="AT310" s="16">
        <f>IF(OR(Z310=regle!$J$11,Z310=regle!$K$11),-2,IF(Z310=regle!$B$11,0,IF(AT$1=$AK$1,IF($O310,-1,regle!$B$2-$M310),IF(AS310=-1,-1,AS310+1))))</f>
        <v>28</v>
      </c>
    </row>
    <row r="311" spans="1:46" x14ac:dyDescent="0.25">
      <c r="A311" t="b">
        <f>modif0!A13</f>
        <v>1</v>
      </c>
      <c r="B311">
        <f>ROW(modif0!B13)</f>
        <v>13</v>
      </c>
      <c r="C311" t="str">
        <f>modif0!D13</f>
        <v>536</v>
      </c>
      <c r="D311" t="str">
        <f>modif0!E13</f>
        <v>LE TUZAN</v>
      </c>
      <c r="E311">
        <f>modif0!F13</f>
        <v>11</v>
      </c>
      <c r="F311" t="str">
        <f>modif0!G13</f>
        <v>LA HONTEYRE</v>
      </c>
      <c r="G311" t="str">
        <f>modif0!I13</f>
        <v>0A</v>
      </c>
      <c r="H311">
        <f>modif0!J13</f>
        <v>251</v>
      </c>
      <c r="I311" t="str">
        <f>modif0!K13</f>
        <v/>
      </c>
      <c r="J311" s="11">
        <f>modif0!M13</f>
        <v>0.3125</v>
      </c>
      <c r="K311" s="11" t="str">
        <f>modif0!P13</f>
        <v>PLA</v>
      </c>
      <c r="L311" t="str">
        <f>modif0!N13</f>
        <v>PM</v>
      </c>
      <c r="M311">
        <f>modif0!Q13</f>
        <v>2005</v>
      </c>
      <c r="N311" t="str">
        <f>modif0!R13</f>
        <v>PLA-PM_2005</v>
      </c>
      <c r="O311" t="b">
        <f>modif0!S13</f>
        <v>0</v>
      </c>
      <c r="P311">
        <v>40</v>
      </c>
      <c r="T311" t="s">
        <v>1805</v>
      </c>
      <c r="Y311" t="s">
        <v>1806</v>
      </c>
      <c r="AA311" s="17">
        <f>IF($A311,$J311*(IF(Q311=regle!$B$11,regle!$B$23*IF(AJ311=-2,1+regle!$B$35,1),
IF(Q311=regle!$C$11,regle!$C$23,
IF(Q311=regle!$D$11,regle!$D$23,
IF(Q311=regle!$E$11,regle!$E$23,
IF(Q311=regle!$F$11,regle!$F$23,
IF(Q311=regle!$G$11,regle!$G$23,
IF(Q311=regle!$H$11,regle!$H$23,
IF(Q311=regle!$I$11,regle!$I$23,
IF(Q311=regle!$J$11,regle!$J$23,
IF(Q311=regle!$K$11,regle!$K$23,0))))))))))))</f>
        <v>0</v>
      </c>
      <c r="AB311" s="17">
        <f>IF($A311,$J311*(IF(R311=regle!$B$11,regle!$B$23*IF(AK311=-2,1+regle!$B$35,1),
IF(R311=regle!$C$11,regle!$C$23,
IF(R311=regle!$D$11,regle!$D$23,
IF(R311=regle!$E$11,regle!$E$23,
IF(R311=regle!$F$11,regle!$F$23,
IF(R311=regle!$G$11,regle!$G$23,
IF(R311=regle!$H$11,regle!$H$23,
IF(R311=regle!$I$11,regle!$I$23,
IF(R311=regle!$J$11,regle!$J$23,
IF(R311=regle!$K$11,regle!$K$23,0))))))))))))</f>
        <v>0</v>
      </c>
      <c r="AC311" s="17">
        <f>IF($A311,$J311*(IF(S311=regle!$B$11,regle!$B$23*IF(AL311=-2,1+regle!$B$35,1),
IF(S311=regle!$C$11,regle!$C$23,
IF(S311=regle!$D$11,regle!$D$23,
IF(S311=regle!$E$11,regle!$E$23,
IF(S311=regle!$F$11,regle!$F$23,
IF(S311=regle!$G$11,regle!$G$23,
IF(S311=regle!$H$11,regle!$H$23,
IF(S311=regle!$I$11,regle!$I$23,
IF(S311=regle!$J$11,regle!$J$23,
IF(S311=regle!$K$11,regle!$K$23,0))))))))))))</f>
        <v>0</v>
      </c>
      <c r="AD311" s="17">
        <f>IF($A311,$J311*(IF(T311=regle!$B$11,regle!$B$23*IF(AM311=-2,1+regle!$B$35,1),
IF(T311=regle!$C$11,regle!$C$23,
IF(T311=regle!$D$11,regle!$D$23,
IF(T311=regle!$E$11,regle!$E$23,
IF(T311=regle!$F$11,regle!$F$23,
IF(T311=regle!$G$11,regle!$G$23,
IF(T311=regle!$H$11,regle!$H$23,
IF(T311=regle!$I$11,regle!$I$23,
IF(T311=regle!$J$11,regle!$J$23,
IF(T311=regle!$K$11,regle!$K$23,0))))))))))))</f>
        <v>440</v>
      </c>
      <c r="AE311" s="17">
        <f>IF($A311,$J311*(IF(U311=regle!$B$11,regle!$B$23*IF(AN311=-2,1+regle!$B$35,1),
IF(U311=regle!$C$11,regle!$C$23,
IF(U311=regle!$D$11,regle!$D$23,
IF(U311=regle!$E$11,regle!$E$23,
IF(U311=regle!$F$11,regle!$F$23,
IF(U311=regle!$G$11,regle!$G$23,
IF(U311=regle!$H$11,regle!$H$23,
IF(U311=regle!$I$11,regle!$I$23,
IF(U311=regle!$J$11,regle!$J$23,
IF(U311=regle!$K$11,regle!$K$23,0))))))))))))</f>
        <v>0</v>
      </c>
      <c r="AF311" s="17">
        <f>IF($A311,$J311*(IF(V311=regle!$B$11,regle!$B$23*IF(AO311=-2,1+regle!$B$35,1),
IF(V311=regle!$C$11,regle!$C$23,
IF(V311=regle!$D$11,regle!$D$23,
IF(V311=regle!$E$11,regle!$E$23,
IF(V311=regle!$F$11,regle!$F$23,
IF(V311=regle!$G$11,regle!$G$23,
IF(V311=regle!$H$11,regle!$H$23,
IF(V311=regle!$I$11,regle!$I$23,
IF(V311=regle!$J$11,regle!$J$23,
IF(V311=regle!$K$11,regle!$K$23,0))))))))))))</f>
        <v>0</v>
      </c>
      <c r="AG311" s="17">
        <f>IF($A311,$J311*(IF(W311=regle!$B$11,regle!$B$23*IF(AP311=-2,1+regle!$B$35,1),
IF(W311=regle!$C$11,regle!$C$23,
IF(W311=regle!$D$11,regle!$D$23,
IF(W311=regle!$E$11,regle!$E$23,
IF(W311=regle!$F$11,regle!$F$23,
IF(W311=regle!$G$11,regle!$G$23,
IF(W311=regle!$H$11,regle!$H$23,
IF(W311=regle!$I$11,regle!$I$23,
IF(W311=regle!$J$11,regle!$J$23,
IF(W311=regle!$K$11,regle!$K$23,0))))))))))))</f>
        <v>0</v>
      </c>
      <c r="AH311" s="17">
        <f>IF($A311,$J311*(IF(X311=regle!$B$11,regle!$B$23*IF(AQ311=-2,1+regle!$B$35,1),
IF(X311=regle!$C$11,regle!$C$23,
IF(X311=regle!$D$11,regle!$D$23,
IF(X311=regle!$E$11,regle!$E$23,
IF(X311=regle!$F$11,regle!$F$23,
IF(X311=regle!$G$11,regle!$G$23,
IF(X311=regle!$H$11,regle!$H$23,
IF(X311=regle!$I$11,regle!$I$23,
IF(X311=regle!$J$11,regle!$J$23,
IF(X311=regle!$K$11,regle!$K$23,0))))))))))))</f>
        <v>0</v>
      </c>
      <c r="AI311" s="17">
        <f>IF($A311,$J311*(IF(Y311=regle!$B$11,regle!$B$23*IF(AR311=-2,1+regle!$B$35,1),
IF(Y311=regle!$C$11,regle!$C$23,
IF(Y311=regle!$D$11,regle!$D$23,
IF(Y311=regle!$E$11,regle!$E$23,
IF(Y311=regle!$F$11,regle!$F$23,
IF(Y311=regle!$G$11,regle!$G$23,
IF(Y311=regle!$H$11,regle!$H$23,
IF(Y311=regle!$I$11,regle!$I$23,
IF(Y311=regle!$J$11,regle!$J$23,
IF(Y311=regle!$K$11,regle!$K$23,0))))))))))))</f>
        <v>400</v>
      </c>
      <c r="AJ311" s="17">
        <f>IF($A311,$J311*(IF(Z311=regle!$B$11,regle!$B$23*IF(AS311=-2,1+regle!$B$35,1),
IF(Z311=regle!$C$11,regle!$C$23,
IF(Z311=regle!$D$11,regle!$D$23,
IF(Z311=regle!$E$11,regle!$E$23,
IF(Z311=regle!$F$11,regle!$F$23,
IF(Z311=regle!$G$11,regle!$G$23,
IF(Z311=regle!$H$11,regle!$H$23,
IF(Z311=regle!$I$11,regle!$I$23,
IF(Z311=regle!$J$11,regle!$J$23,
IF(Z311=regle!$K$11,regle!$K$23,0))))))))))))</f>
        <v>0</v>
      </c>
      <c r="AK311" s="16">
        <f>IF(OR(Q311=regle!$J$11,Q311=regle!$K$11),-2,IF(Q311=regle!$B$11,0,IF(AK$1=$AK$1,IF($O311,-1,regle!$B$2-$M311),IF(AJ311=-1,-1,AJ311+1))))</f>
        <v>19</v>
      </c>
      <c r="AL311" s="16">
        <f>IF(OR(R311=regle!$J$11,R311=regle!$K$11),-2,IF(R311=regle!$B$11,0,IF(AL$1=$AK$1,IF($O311,-1,regle!$B$2-$M311),IF(AK311=-1,-1,AK311+1))))</f>
        <v>20</v>
      </c>
      <c r="AM311" s="16">
        <f>IF(OR(S311=regle!$J$11,S311=regle!$K$11),-2,IF(S311=regle!$B$11,0,IF(AM$1=$AK$1,IF($O311,-1,regle!$B$2-$M311),IF(AL311=-1,-1,AL311+1))))</f>
        <v>21</v>
      </c>
      <c r="AN311" s="16">
        <f>IF(OR(T311=regle!$J$11,T311=regle!$K$11),-2,IF(T311=regle!$B$11,0,IF(AN$1=$AK$1,IF($O311,-1,regle!$B$2-$M311),IF(AM311=-1,-1,AM311+1))))</f>
        <v>22</v>
      </c>
      <c r="AO311" s="16">
        <f>IF(OR(U311=regle!$J$11,U311=regle!$K$11),-2,IF(U311=regle!$B$11,0,IF(AO$1=$AK$1,IF($O311,-1,regle!$B$2-$M311),IF(AN311=-1,-1,AN311+1))))</f>
        <v>23</v>
      </c>
      <c r="AP311" s="16">
        <f>IF(OR(V311=regle!$J$11,V311=regle!$K$11),-2,IF(V311=regle!$B$11,0,IF(AP$1=$AK$1,IF($O311,-1,regle!$B$2-$M311),IF(AO311=-1,-1,AO311+1))))</f>
        <v>24</v>
      </c>
      <c r="AQ311" s="16">
        <f>IF(OR(W311=regle!$J$11,W311=regle!$K$11),-2,IF(W311=regle!$B$11,0,IF(AQ$1=$AK$1,IF($O311,-1,regle!$B$2-$M311),IF(AP311=-1,-1,AP311+1))))</f>
        <v>25</v>
      </c>
      <c r="AR311" s="16">
        <f>IF(OR(X311=regle!$J$11,X311=regle!$K$11),-2,IF(X311=regle!$B$11,0,IF(AR$1=$AK$1,IF($O311,-1,regle!$B$2-$M311),IF(AQ311=-1,-1,AQ311+1))))</f>
        <v>26</v>
      </c>
      <c r="AS311" s="16">
        <f>IF(OR(Y311=regle!$J$11,Y311=regle!$K$11),-2,IF(Y311=regle!$B$11,0,IF(AS$1=$AK$1,IF($O311,-1,regle!$B$2-$M311),IF(AR311=-1,-1,AR311+1))))</f>
        <v>27</v>
      </c>
      <c r="AT311" s="16">
        <f>IF(OR(Z311=regle!$J$11,Z311=regle!$K$11),-2,IF(Z311=regle!$B$11,0,IF(AT$1=$AK$1,IF($O311,-1,regle!$B$2-$M311),IF(AS311=-1,-1,AS311+1))))</f>
        <v>28</v>
      </c>
    </row>
    <row r="312" spans="1:46" x14ac:dyDescent="0.25">
      <c r="A312" t="b">
        <f>modif0!A36</f>
        <v>1</v>
      </c>
      <c r="B312">
        <f>ROW(modif0!B36)</f>
        <v>36</v>
      </c>
      <c r="C312" t="str">
        <f>modif0!D36</f>
        <v>536</v>
      </c>
      <c r="D312" t="str">
        <f>modif0!E36</f>
        <v>LE TUZAN</v>
      </c>
      <c r="E312">
        <f>modif0!F36</f>
        <v>21</v>
      </c>
      <c r="F312" t="str">
        <f>modif0!G36</f>
        <v>METAIRIES DE TABARTON</v>
      </c>
      <c r="G312" t="str">
        <f>modif0!I36</f>
        <v>0A</v>
      </c>
      <c r="H312">
        <f>modif0!J36</f>
        <v>416</v>
      </c>
      <c r="I312" t="str">
        <f>modif0!K36</f>
        <v>j</v>
      </c>
      <c r="J312" s="11">
        <f>modif0!M36</f>
        <v>0.25740000000000002</v>
      </c>
      <c r="K312" s="11" t="str">
        <f>modif0!P36</f>
        <v>PLA</v>
      </c>
      <c r="L312" t="str">
        <f>modif0!N36</f>
        <v>PM</v>
      </c>
      <c r="M312">
        <f>modif0!Q36</f>
        <v>2005</v>
      </c>
      <c r="N312" t="str">
        <f>modif0!R36</f>
        <v>PLA-PM_2005</v>
      </c>
      <c r="O312" t="b">
        <f>modif0!S36</f>
        <v>0</v>
      </c>
      <c r="P312">
        <v>40</v>
      </c>
      <c r="T312" t="s">
        <v>1805</v>
      </c>
      <c r="Y312" t="s">
        <v>1806</v>
      </c>
      <c r="AA312" s="17">
        <f>IF($A312,$J312*(IF(Q312=regle!$B$11,regle!$B$23*IF(AJ312=-2,1+regle!$B$35,1),
IF(Q312=regle!$C$11,regle!$C$23,
IF(Q312=regle!$D$11,regle!$D$23,
IF(Q312=regle!$E$11,regle!$E$23,
IF(Q312=regle!$F$11,regle!$F$23,
IF(Q312=regle!$G$11,regle!$G$23,
IF(Q312=regle!$H$11,regle!$H$23,
IF(Q312=regle!$I$11,regle!$I$23,
IF(Q312=regle!$J$11,regle!$J$23,
IF(Q312=regle!$K$11,regle!$K$23,0))))))))))))</f>
        <v>0</v>
      </c>
      <c r="AB312" s="17">
        <f>IF($A312,$J312*(IF(R312=regle!$B$11,regle!$B$23*IF(AK312=-2,1+regle!$B$35,1),
IF(R312=regle!$C$11,regle!$C$23,
IF(R312=regle!$D$11,regle!$D$23,
IF(R312=regle!$E$11,regle!$E$23,
IF(R312=regle!$F$11,regle!$F$23,
IF(R312=regle!$G$11,regle!$G$23,
IF(R312=regle!$H$11,regle!$H$23,
IF(R312=regle!$I$11,regle!$I$23,
IF(R312=regle!$J$11,regle!$J$23,
IF(R312=regle!$K$11,regle!$K$23,0))))))))))))</f>
        <v>0</v>
      </c>
      <c r="AC312" s="17">
        <f>IF($A312,$J312*(IF(S312=regle!$B$11,regle!$B$23*IF(AL312=-2,1+regle!$B$35,1),
IF(S312=regle!$C$11,regle!$C$23,
IF(S312=regle!$D$11,regle!$D$23,
IF(S312=regle!$E$11,regle!$E$23,
IF(S312=regle!$F$11,regle!$F$23,
IF(S312=regle!$G$11,regle!$G$23,
IF(S312=regle!$H$11,regle!$H$23,
IF(S312=regle!$I$11,regle!$I$23,
IF(S312=regle!$J$11,regle!$J$23,
IF(S312=regle!$K$11,regle!$K$23,0))))))))))))</f>
        <v>0</v>
      </c>
      <c r="AD312" s="17">
        <f>IF($A312,$J312*(IF(T312=regle!$B$11,regle!$B$23*IF(AM312=-2,1+regle!$B$35,1),
IF(T312=regle!$C$11,regle!$C$23,
IF(T312=regle!$D$11,regle!$D$23,
IF(T312=regle!$E$11,regle!$E$23,
IF(T312=regle!$F$11,regle!$F$23,
IF(T312=regle!$G$11,regle!$G$23,
IF(T312=regle!$H$11,regle!$H$23,
IF(T312=regle!$I$11,regle!$I$23,
IF(T312=regle!$J$11,regle!$J$23,
IF(T312=regle!$K$11,regle!$K$23,0))))))))))))</f>
        <v>362.41920000000005</v>
      </c>
      <c r="AE312" s="17">
        <f>IF($A312,$J312*(IF(U312=regle!$B$11,regle!$B$23*IF(AN312=-2,1+regle!$B$35,1),
IF(U312=regle!$C$11,regle!$C$23,
IF(U312=regle!$D$11,regle!$D$23,
IF(U312=regle!$E$11,regle!$E$23,
IF(U312=regle!$F$11,regle!$F$23,
IF(U312=regle!$G$11,regle!$G$23,
IF(U312=regle!$H$11,regle!$H$23,
IF(U312=regle!$I$11,regle!$I$23,
IF(U312=regle!$J$11,regle!$J$23,
IF(U312=regle!$K$11,regle!$K$23,0))))))))))))</f>
        <v>0</v>
      </c>
      <c r="AF312" s="17">
        <f>IF($A312,$J312*(IF(V312=regle!$B$11,regle!$B$23*IF(AO312=-2,1+regle!$B$35,1),
IF(V312=regle!$C$11,regle!$C$23,
IF(V312=regle!$D$11,regle!$D$23,
IF(V312=regle!$E$11,regle!$E$23,
IF(V312=regle!$F$11,regle!$F$23,
IF(V312=regle!$G$11,regle!$G$23,
IF(V312=regle!$H$11,regle!$H$23,
IF(V312=regle!$I$11,regle!$I$23,
IF(V312=regle!$J$11,regle!$J$23,
IF(V312=regle!$K$11,regle!$K$23,0))))))))))))</f>
        <v>0</v>
      </c>
      <c r="AG312" s="17">
        <f>IF($A312,$J312*(IF(W312=regle!$B$11,regle!$B$23*IF(AP312=-2,1+regle!$B$35,1),
IF(W312=regle!$C$11,regle!$C$23,
IF(W312=regle!$D$11,regle!$D$23,
IF(W312=regle!$E$11,regle!$E$23,
IF(W312=regle!$F$11,regle!$F$23,
IF(W312=regle!$G$11,regle!$G$23,
IF(W312=regle!$H$11,regle!$H$23,
IF(W312=regle!$I$11,regle!$I$23,
IF(W312=regle!$J$11,regle!$J$23,
IF(W312=regle!$K$11,regle!$K$23,0))))))))))))</f>
        <v>0</v>
      </c>
      <c r="AH312" s="17">
        <f>IF($A312,$J312*(IF(X312=regle!$B$11,regle!$B$23*IF(AQ312=-2,1+regle!$B$35,1),
IF(X312=regle!$C$11,regle!$C$23,
IF(X312=regle!$D$11,regle!$D$23,
IF(X312=regle!$E$11,regle!$E$23,
IF(X312=regle!$F$11,regle!$F$23,
IF(X312=regle!$G$11,regle!$G$23,
IF(X312=regle!$H$11,regle!$H$23,
IF(X312=regle!$I$11,regle!$I$23,
IF(X312=regle!$J$11,regle!$J$23,
IF(X312=regle!$K$11,regle!$K$23,0))))))))))))</f>
        <v>0</v>
      </c>
      <c r="AI312" s="17">
        <f>IF($A312,$J312*(IF(Y312=regle!$B$11,regle!$B$23*IF(AR312=-2,1+regle!$B$35,1),
IF(Y312=regle!$C$11,regle!$C$23,
IF(Y312=regle!$D$11,regle!$D$23,
IF(Y312=regle!$E$11,regle!$E$23,
IF(Y312=regle!$F$11,regle!$F$23,
IF(Y312=regle!$G$11,regle!$G$23,
IF(Y312=regle!$H$11,regle!$H$23,
IF(Y312=regle!$I$11,regle!$I$23,
IF(Y312=regle!$J$11,regle!$J$23,
IF(Y312=regle!$K$11,regle!$K$23,0))))))))))))</f>
        <v>329.47200000000004</v>
      </c>
      <c r="AJ312" s="17">
        <f>IF($A312,$J312*(IF(Z312=regle!$B$11,regle!$B$23*IF(AS312=-2,1+regle!$B$35,1),
IF(Z312=regle!$C$11,regle!$C$23,
IF(Z312=regle!$D$11,regle!$D$23,
IF(Z312=regle!$E$11,regle!$E$23,
IF(Z312=regle!$F$11,regle!$F$23,
IF(Z312=regle!$G$11,regle!$G$23,
IF(Z312=regle!$H$11,regle!$H$23,
IF(Z312=regle!$I$11,regle!$I$23,
IF(Z312=regle!$J$11,regle!$J$23,
IF(Z312=regle!$K$11,regle!$K$23,0))))))))))))</f>
        <v>0</v>
      </c>
      <c r="AK312" s="16">
        <f>IF(OR(Q312=regle!$J$11,Q312=regle!$K$11),-2,IF(Q312=regle!$B$11,0,IF(AK$1=$AK$1,IF($O312,-1,regle!$B$2-$M312),IF(AJ312=-1,-1,AJ312+1))))</f>
        <v>19</v>
      </c>
      <c r="AL312" s="16">
        <f>IF(OR(R312=regle!$J$11,R312=regle!$K$11),-2,IF(R312=regle!$B$11,0,IF(AL$1=$AK$1,IF($O312,-1,regle!$B$2-$M312),IF(AK312=-1,-1,AK312+1))))</f>
        <v>20</v>
      </c>
      <c r="AM312" s="16">
        <f>IF(OR(S312=regle!$J$11,S312=regle!$K$11),-2,IF(S312=regle!$B$11,0,IF(AM$1=$AK$1,IF($O312,-1,regle!$B$2-$M312),IF(AL312=-1,-1,AL312+1))))</f>
        <v>21</v>
      </c>
      <c r="AN312" s="16">
        <f>IF(OR(T312=regle!$J$11,T312=regle!$K$11),-2,IF(T312=regle!$B$11,0,IF(AN$1=$AK$1,IF($O312,-1,regle!$B$2-$M312),IF(AM312=-1,-1,AM312+1))))</f>
        <v>22</v>
      </c>
      <c r="AO312" s="16">
        <f>IF(OR(U312=regle!$J$11,U312=regle!$K$11),-2,IF(U312=regle!$B$11,0,IF(AO$1=$AK$1,IF($O312,-1,regle!$B$2-$M312),IF(AN312=-1,-1,AN312+1))))</f>
        <v>23</v>
      </c>
      <c r="AP312" s="16">
        <f>IF(OR(V312=regle!$J$11,V312=regle!$K$11),-2,IF(V312=regle!$B$11,0,IF(AP$1=$AK$1,IF($O312,-1,regle!$B$2-$M312),IF(AO312=-1,-1,AO312+1))))</f>
        <v>24</v>
      </c>
      <c r="AQ312" s="16">
        <f>IF(OR(W312=regle!$J$11,W312=regle!$K$11),-2,IF(W312=regle!$B$11,0,IF(AQ$1=$AK$1,IF($O312,-1,regle!$B$2-$M312),IF(AP312=-1,-1,AP312+1))))</f>
        <v>25</v>
      </c>
      <c r="AR312" s="16">
        <f>IF(OR(X312=regle!$J$11,X312=regle!$K$11),-2,IF(X312=regle!$B$11,0,IF(AR$1=$AK$1,IF($O312,-1,regle!$B$2-$M312),IF(AQ312=-1,-1,AQ312+1))))</f>
        <v>26</v>
      </c>
      <c r="AS312" s="16">
        <f>IF(OR(Y312=regle!$J$11,Y312=regle!$K$11),-2,IF(Y312=regle!$B$11,0,IF(AS$1=$AK$1,IF($O312,-1,regle!$B$2-$M312),IF(AR312=-1,-1,AR312+1))))</f>
        <v>27</v>
      </c>
      <c r="AT312" s="16">
        <f>IF(OR(Z312=regle!$J$11,Z312=regle!$K$11),-2,IF(Z312=regle!$B$11,0,IF(AT$1=$AK$1,IF($O312,-1,regle!$B$2-$M312),IF(AS312=-1,-1,AS312+1))))</f>
        <v>28</v>
      </c>
    </row>
    <row r="313" spans="1:46" x14ac:dyDescent="0.25">
      <c r="A313" t="b">
        <f>modif0!A51</f>
        <v>1</v>
      </c>
      <c r="B313">
        <f>ROW(modif0!B51)</f>
        <v>51</v>
      </c>
      <c r="C313" t="str">
        <f>modif0!D51</f>
        <v>536</v>
      </c>
      <c r="D313" t="str">
        <f>modif0!E51</f>
        <v>LE TUZAN</v>
      </c>
      <c r="E313">
        <f>modif0!F51</f>
        <v>21</v>
      </c>
      <c r="F313" t="str">
        <f>modif0!G51</f>
        <v>METAIRIES DE TABARTON</v>
      </c>
      <c r="G313" t="str">
        <f>modif0!I51</f>
        <v>0A</v>
      </c>
      <c r="H313">
        <f>modif0!J51</f>
        <v>461</v>
      </c>
      <c r="I313" t="str">
        <f>modif0!K51</f>
        <v/>
      </c>
      <c r="J313" s="11">
        <f>modif0!M51</f>
        <v>0.20399999999999999</v>
      </c>
      <c r="K313" s="11" t="str">
        <f>modif0!P51</f>
        <v>PLA</v>
      </c>
      <c r="L313" t="str">
        <f>modif0!N51</f>
        <v>PM</v>
      </c>
      <c r="M313">
        <f>modif0!Q51</f>
        <v>2005</v>
      </c>
      <c r="N313" t="str">
        <f>modif0!R51</f>
        <v>PLA-PM_2005</v>
      </c>
      <c r="O313" t="b">
        <f>modif0!S51</f>
        <v>0</v>
      </c>
      <c r="P313">
        <v>40</v>
      </c>
      <c r="T313" t="s">
        <v>1805</v>
      </c>
      <c r="Y313" t="s">
        <v>1806</v>
      </c>
      <c r="AA313" s="17">
        <f>IF($A313,$J313*(IF(Q313=regle!$B$11,regle!$B$23*IF(AJ313=-2,1+regle!$B$35,1),
IF(Q313=regle!$C$11,regle!$C$23,
IF(Q313=regle!$D$11,regle!$D$23,
IF(Q313=regle!$E$11,regle!$E$23,
IF(Q313=regle!$F$11,regle!$F$23,
IF(Q313=regle!$G$11,regle!$G$23,
IF(Q313=regle!$H$11,regle!$H$23,
IF(Q313=regle!$I$11,regle!$I$23,
IF(Q313=regle!$J$11,regle!$J$23,
IF(Q313=regle!$K$11,regle!$K$23,0))))))))))))</f>
        <v>0</v>
      </c>
      <c r="AB313" s="17">
        <f>IF($A313,$J313*(IF(R313=regle!$B$11,regle!$B$23*IF(AK313=-2,1+regle!$B$35,1),
IF(R313=regle!$C$11,regle!$C$23,
IF(R313=regle!$D$11,regle!$D$23,
IF(R313=regle!$E$11,regle!$E$23,
IF(R313=regle!$F$11,regle!$F$23,
IF(R313=regle!$G$11,regle!$G$23,
IF(R313=regle!$H$11,regle!$H$23,
IF(R313=regle!$I$11,regle!$I$23,
IF(R313=regle!$J$11,regle!$J$23,
IF(R313=regle!$K$11,regle!$K$23,0))))))))))))</f>
        <v>0</v>
      </c>
      <c r="AC313" s="17">
        <f>IF($A313,$J313*(IF(S313=regle!$B$11,regle!$B$23*IF(AL313=-2,1+regle!$B$35,1),
IF(S313=regle!$C$11,regle!$C$23,
IF(S313=regle!$D$11,regle!$D$23,
IF(S313=regle!$E$11,regle!$E$23,
IF(S313=regle!$F$11,regle!$F$23,
IF(S313=regle!$G$11,regle!$G$23,
IF(S313=regle!$H$11,regle!$H$23,
IF(S313=regle!$I$11,regle!$I$23,
IF(S313=regle!$J$11,regle!$J$23,
IF(S313=regle!$K$11,regle!$K$23,0))))))))))))</f>
        <v>0</v>
      </c>
      <c r="AD313" s="17">
        <f>IF($A313,$J313*(IF(T313=regle!$B$11,regle!$B$23*IF(AM313=-2,1+regle!$B$35,1),
IF(T313=regle!$C$11,regle!$C$23,
IF(T313=regle!$D$11,regle!$D$23,
IF(T313=regle!$E$11,regle!$E$23,
IF(T313=regle!$F$11,regle!$F$23,
IF(T313=regle!$G$11,regle!$G$23,
IF(T313=regle!$H$11,regle!$H$23,
IF(T313=regle!$I$11,regle!$I$23,
IF(T313=regle!$J$11,regle!$J$23,
IF(T313=regle!$K$11,regle!$K$23,0))))))))))))</f>
        <v>287.23199999999997</v>
      </c>
      <c r="AE313" s="17">
        <f>IF($A313,$J313*(IF(U313=regle!$B$11,regle!$B$23*IF(AN313=-2,1+regle!$B$35,1),
IF(U313=regle!$C$11,regle!$C$23,
IF(U313=regle!$D$11,regle!$D$23,
IF(U313=regle!$E$11,regle!$E$23,
IF(U313=regle!$F$11,regle!$F$23,
IF(U313=regle!$G$11,regle!$G$23,
IF(U313=regle!$H$11,regle!$H$23,
IF(U313=regle!$I$11,regle!$I$23,
IF(U313=regle!$J$11,regle!$J$23,
IF(U313=regle!$K$11,regle!$K$23,0))))))))))))</f>
        <v>0</v>
      </c>
      <c r="AF313" s="17">
        <f>IF($A313,$J313*(IF(V313=regle!$B$11,regle!$B$23*IF(AO313=-2,1+regle!$B$35,1),
IF(V313=regle!$C$11,regle!$C$23,
IF(V313=regle!$D$11,regle!$D$23,
IF(V313=regle!$E$11,regle!$E$23,
IF(V313=regle!$F$11,regle!$F$23,
IF(V313=regle!$G$11,regle!$G$23,
IF(V313=regle!$H$11,regle!$H$23,
IF(V313=regle!$I$11,regle!$I$23,
IF(V313=regle!$J$11,regle!$J$23,
IF(V313=regle!$K$11,regle!$K$23,0))))))))))))</f>
        <v>0</v>
      </c>
      <c r="AG313" s="17">
        <f>IF($A313,$J313*(IF(W313=regle!$B$11,regle!$B$23*IF(AP313=-2,1+regle!$B$35,1),
IF(W313=regle!$C$11,regle!$C$23,
IF(W313=regle!$D$11,regle!$D$23,
IF(W313=regle!$E$11,regle!$E$23,
IF(W313=regle!$F$11,regle!$F$23,
IF(W313=regle!$G$11,regle!$G$23,
IF(W313=regle!$H$11,regle!$H$23,
IF(W313=regle!$I$11,regle!$I$23,
IF(W313=regle!$J$11,regle!$J$23,
IF(W313=regle!$K$11,regle!$K$23,0))))))))))))</f>
        <v>0</v>
      </c>
      <c r="AH313" s="17">
        <f>IF($A313,$J313*(IF(X313=regle!$B$11,regle!$B$23*IF(AQ313=-2,1+regle!$B$35,1),
IF(X313=regle!$C$11,regle!$C$23,
IF(X313=regle!$D$11,regle!$D$23,
IF(X313=regle!$E$11,regle!$E$23,
IF(X313=regle!$F$11,regle!$F$23,
IF(X313=regle!$G$11,regle!$G$23,
IF(X313=regle!$H$11,regle!$H$23,
IF(X313=regle!$I$11,regle!$I$23,
IF(X313=regle!$J$11,regle!$J$23,
IF(X313=regle!$K$11,regle!$K$23,0))))))))))))</f>
        <v>0</v>
      </c>
      <c r="AI313" s="17">
        <f>IF($A313,$J313*(IF(Y313=regle!$B$11,regle!$B$23*IF(AR313=-2,1+regle!$B$35,1),
IF(Y313=regle!$C$11,regle!$C$23,
IF(Y313=regle!$D$11,regle!$D$23,
IF(Y313=regle!$E$11,regle!$E$23,
IF(Y313=regle!$F$11,regle!$F$23,
IF(Y313=regle!$G$11,regle!$G$23,
IF(Y313=regle!$H$11,regle!$H$23,
IF(Y313=regle!$I$11,regle!$I$23,
IF(Y313=regle!$J$11,regle!$J$23,
IF(Y313=regle!$K$11,regle!$K$23,0))))))))))))</f>
        <v>261.12</v>
      </c>
      <c r="AJ313" s="17">
        <f>IF($A313,$J313*(IF(Z313=regle!$B$11,regle!$B$23*IF(AS313=-2,1+regle!$B$35,1),
IF(Z313=regle!$C$11,regle!$C$23,
IF(Z313=regle!$D$11,regle!$D$23,
IF(Z313=regle!$E$11,regle!$E$23,
IF(Z313=regle!$F$11,regle!$F$23,
IF(Z313=regle!$G$11,regle!$G$23,
IF(Z313=regle!$H$11,regle!$H$23,
IF(Z313=regle!$I$11,regle!$I$23,
IF(Z313=regle!$J$11,regle!$J$23,
IF(Z313=regle!$K$11,regle!$K$23,0))))))))))))</f>
        <v>0</v>
      </c>
      <c r="AK313" s="16">
        <f>IF(OR(Q313=regle!$J$11,Q313=regle!$K$11),-2,IF(Q313=regle!$B$11,0,IF(AK$1=$AK$1,IF($O313,-1,regle!$B$2-$M313),IF(AJ313=-1,-1,AJ313+1))))</f>
        <v>19</v>
      </c>
      <c r="AL313" s="16">
        <f>IF(OR(R313=regle!$J$11,R313=regle!$K$11),-2,IF(R313=regle!$B$11,0,IF(AL$1=$AK$1,IF($O313,-1,regle!$B$2-$M313),IF(AK313=-1,-1,AK313+1))))</f>
        <v>20</v>
      </c>
      <c r="AM313" s="16">
        <f>IF(OR(S313=regle!$J$11,S313=regle!$K$11),-2,IF(S313=regle!$B$11,0,IF(AM$1=$AK$1,IF($O313,-1,regle!$B$2-$M313),IF(AL313=-1,-1,AL313+1))))</f>
        <v>21</v>
      </c>
      <c r="AN313" s="16">
        <f>IF(OR(T313=regle!$J$11,T313=regle!$K$11),-2,IF(T313=regle!$B$11,0,IF(AN$1=$AK$1,IF($O313,-1,regle!$B$2-$M313),IF(AM313=-1,-1,AM313+1))))</f>
        <v>22</v>
      </c>
      <c r="AO313" s="16">
        <f>IF(OR(U313=regle!$J$11,U313=regle!$K$11),-2,IF(U313=regle!$B$11,0,IF(AO$1=$AK$1,IF($O313,-1,regle!$B$2-$M313),IF(AN313=-1,-1,AN313+1))))</f>
        <v>23</v>
      </c>
      <c r="AP313" s="16">
        <f>IF(OR(V313=regle!$J$11,V313=regle!$K$11),-2,IF(V313=regle!$B$11,0,IF(AP$1=$AK$1,IF($O313,-1,regle!$B$2-$M313),IF(AO313=-1,-1,AO313+1))))</f>
        <v>24</v>
      </c>
      <c r="AQ313" s="16">
        <f>IF(OR(W313=regle!$J$11,W313=regle!$K$11),-2,IF(W313=regle!$B$11,0,IF(AQ$1=$AK$1,IF($O313,-1,regle!$B$2-$M313),IF(AP313=-1,-1,AP313+1))))</f>
        <v>25</v>
      </c>
      <c r="AR313" s="16">
        <f>IF(OR(X313=regle!$J$11,X313=regle!$K$11),-2,IF(X313=regle!$B$11,0,IF(AR$1=$AK$1,IF($O313,-1,regle!$B$2-$M313),IF(AQ313=-1,-1,AQ313+1))))</f>
        <v>26</v>
      </c>
      <c r="AS313" s="16">
        <f>IF(OR(Y313=regle!$J$11,Y313=regle!$K$11),-2,IF(Y313=regle!$B$11,0,IF(AS$1=$AK$1,IF($O313,-1,regle!$B$2-$M313),IF(AR313=-1,-1,AR313+1))))</f>
        <v>27</v>
      </c>
      <c r="AT313" s="16">
        <f>IF(OR(Z313=regle!$J$11,Z313=regle!$K$11),-2,IF(Z313=regle!$B$11,0,IF(AT$1=$AK$1,IF($O313,-1,regle!$B$2-$M313),IF(AS313=-1,-1,AS313+1))))</f>
        <v>28</v>
      </c>
    </row>
    <row r="314" spans="1:46" x14ac:dyDescent="0.25">
      <c r="A314" t="b">
        <f>modif0!A20</f>
        <v>1</v>
      </c>
      <c r="B314">
        <f>ROW(modif0!B20)</f>
        <v>20</v>
      </c>
      <c r="C314" t="str">
        <f>modif0!D20</f>
        <v>536</v>
      </c>
      <c r="D314" t="str">
        <f>modif0!E20</f>
        <v>LE TUZAN</v>
      </c>
      <c r="E314">
        <f>modif0!F20</f>
        <v>21</v>
      </c>
      <c r="F314" t="str">
        <f>modif0!G20</f>
        <v>METAIRIES DE TABARTON</v>
      </c>
      <c r="G314" t="str">
        <f>modif0!I20</f>
        <v>0A</v>
      </c>
      <c r="H314">
        <f>modif0!J20</f>
        <v>405</v>
      </c>
      <c r="I314" t="str">
        <f>modif0!K20</f>
        <v>l</v>
      </c>
      <c r="J314" s="11">
        <f>modif0!M20</f>
        <v>0.1946</v>
      </c>
      <c r="K314" s="11" t="str">
        <f>modif0!P20</f>
        <v>PLA</v>
      </c>
      <c r="L314" t="str">
        <f>modif0!N20</f>
        <v>PM</v>
      </c>
      <c r="M314">
        <f>modif0!Q20</f>
        <v>2005</v>
      </c>
      <c r="N314" t="str">
        <f>modif0!R20</f>
        <v>PLA-PM_2005</v>
      </c>
      <c r="O314" t="b">
        <f>modif0!S20</f>
        <v>0</v>
      </c>
      <c r="P314">
        <v>40</v>
      </c>
      <c r="T314" t="s">
        <v>1805</v>
      </c>
      <c r="Y314" t="s">
        <v>1806</v>
      </c>
      <c r="AA314" s="17">
        <f>IF($A314,$J314*(IF(Q314=regle!$B$11,regle!$B$23*IF(AJ314=-2,1+regle!$B$35,1),
IF(Q314=regle!$C$11,regle!$C$23,
IF(Q314=regle!$D$11,regle!$D$23,
IF(Q314=regle!$E$11,regle!$E$23,
IF(Q314=regle!$F$11,regle!$F$23,
IF(Q314=regle!$G$11,regle!$G$23,
IF(Q314=regle!$H$11,regle!$H$23,
IF(Q314=regle!$I$11,regle!$I$23,
IF(Q314=regle!$J$11,regle!$J$23,
IF(Q314=regle!$K$11,regle!$K$23,0))))))))))))</f>
        <v>0</v>
      </c>
      <c r="AB314" s="17">
        <f>IF($A314,$J314*(IF(R314=regle!$B$11,regle!$B$23*IF(AK314=-2,1+regle!$B$35,1),
IF(R314=regle!$C$11,regle!$C$23,
IF(R314=regle!$D$11,regle!$D$23,
IF(R314=regle!$E$11,regle!$E$23,
IF(R314=regle!$F$11,regle!$F$23,
IF(R314=regle!$G$11,regle!$G$23,
IF(R314=regle!$H$11,regle!$H$23,
IF(R314=regle!$I$11,regle!$I$23,
IF(R314=regle!$J$11,regle!$J$23,
IF(R314=regle!$K$11,regle!$K$23,0))))))))))))</f>
        <v>0</v>
      </c>
      <c r="AC314" s="17">
        <f>IF($A314,$J314*(IF(S314=regle!$B$11,regle!$B$23*IF(AL314=-2,1+regle!$B$35,1),
IF(S314=regle!$C$11,regle!$C$23,
IF(S314=regle!$D$11,regle!$D$23,
IF(S314=regle!$E$11,regle!$E$23,
IF(S314=regle!$F$11,regle!$F$23,
IF(S314=regle!$G$11,regle!$G$23,
IF(S314=regle!$H$11,regle!$H$23,
IF(S314=regle!$I$11,regle!$I$23,
IF(S314=regle!$J$11,regle!$J$23,
IF(S314=regle!$K$11,regle!$K$23,0))))))))))))</f>
        <v>0</v>
      </c>
      <c r="AD314" s="17">
        <f>IF($A314,$J314*(IF(T314=regle!$B$11,regle!$B$23*IF(AM314=-2,1+regle!$B$35,1),
IF(T314=regle!$C$11,regle!$C$23,
IF(T314=regle!$D$11,regle!$D$23,
IF(T314=regle!$E$11,regle!$E$23,
IF(T314=regle!$F$11,regle!$F$23,
IF(T314=regle!$G$11,regle!$G$23,
IF(T314=regle!$H$11,regle!$H$23,
IF(T314=regle!$I$11,regle!$I$23,
IF(T314=regle!$J$11,regle!$J$23,
IF(T314=regle!$K$11,regle!$K$23,0))))))))))))</f>
        <v>273.99680000000001</v>
      </c>
      <c r="AE314" s="17">
        <f>IF($A314,$J314*(IF(U314=regle!$B$11,regle!$B$23*IF(AN314=-2,1+regle!$B$35,1),
IF(U314=regle!$C$11,regle!$C$23,
IF(U314=regle!$D$11,regle!$D$23,
IF(U314=regle!$E$11,regle!$E$23,
IF(U314=regle!$F$11,regle!$F$23,
IF(U314=regle!$G$11,regle!$G$23,
IF(U314=regle!$H$11,regle!$H$23,
IF(U314=regle!$I$11,regle!$I$23,
IF(U314=regle!$J$11,regle!$J$23,
IF(U314=regle!$K$11,regle!$K$23,0))))))))))))</f>
        <v>0</v>
      </c>
      <c r="AF314" s="17">
        <f>IF($A314,$J314*(IF(V314=regle!$B$11,regle!$B$23*IF(AO314=-2,1+regle!$B$35,1),
IF(V314=regle!$C$11,regle!$C$23,
IF(V314=regle!$D$11,regle!$D$23,
IF(V314=regle!$E$11,regle!$E$23,
IF(V314=regle!$F$11,regle!$F$23,
IF(V314=regle!$G$11,regle!$G$23,
IF(V314=regle!$H$11,regle!$H$23,
IF(V314=regle!$I$11,regle!$I$23,
IF(V314=regle!$J$11,regle!$J$23,
IF(V314=regle!$K$11,regle!$K$23,0))))))))))))</f>
        <v>0</v>
      </c>
      <c r="AG314" s="17">
        <f>IF($A314,$J314*(IF(W314=regle!$B$11,regle!$B$23*IF(AP314=-2,1+regle!$B$35,1),
IF(W314=regle!$C$11,regle!$C$23,
IF(W314=regle!$D$11,regle!$D$23,
IF(W314=regle!$E$11,regle!$E$23,
IF(W314=regle!$F$11,regle!$F$23,
IF(W314=regle!$G$11,regle!$G$23,
IF(W314=regle!$H$11,regle!$H$23,
IF(W314=regle!$I$11,regle!$I$23,
IF(W314=regle!$J$11,regle!$J$23,
IF(W314=regle!$K$11,regle!$K$23,0))))))))))))</f>
        <v>0</v>
      </c>
      <c r="AH314" s="17">
        <f>IF($A314,$J314*(IF(X314=regle!$B$11,regle!$B$23*IF(AQ314=-2,1+regle!$B$35,1),
IF(X314=regle!$C$11,regle!$C$23,
IF(X314=regle!$D$11,regle!$D$23,
IF(X314=regle!$E$11,regle!$E$23,
IF(X314=regle!$F$11,regle!$F$23,
IF(X314=regle!$G$11,regle!$G$23,
IF(X314=regle!$H$11,regle!$H$23,
IF(X314=regle!$I$11,regle!$I$23,
IF(X314=regle!$J$11,regle!$J$23,
IF(X314=regle!$K$11,regle!$K$23,0))))))))))))</f>
        <v>0</v>
      </c>
      <c r="AI314" s="17">
        <f>IF($A314,$J314*(IF(Y314=regle!$B$11,regle!$B$23*IF(AR314=-2,1+regle!$B$35,1),
IF(Y314=regle!$C$11,regle!$C$23,
IF(Y314=regle!$D$11,regle!$D$23,
IF(Y314=regle!$E$11,regle!$E$23,
IF(Y314=regle!$F$11,regle!$F$23,
IF(Y314=regle!$G$11,regle!$G$23,
IF(Y314=regle!$H$11,regle!$H$23,
IF(Y314=regle!$I$11,regle!$I$23,
IF(Y314=regle!$J$11,regle!$J$23,
IF(Y314=regle!$K$11,regle!$K$23,0))))))))))))</f>
        <v>249.08799999999999</v>
      </c>
      <c r="AJ314" s="17">
        <f>IF($A314,$J314*(IF(Z314=regle!$B$11,regle!$B$23*IF(AS314=-2,1+regle!$B$35,1),
IF(Z314=regle!$C$11,regle!$C$23,
IF(Z314=regle!$D$11,regle!$D$23,
IF(Z314=regle!$E$11,regle!$E$23,
IF(Z314=regle!$F$11,regle!$F$23,
IF(Z314=regle!$G$11,regle!$G$23,
IF(Z314=regle!$H$11,regle!$H$23,
IF(Z314=regle!$I$11,regle!$I$23,
IF(Z314=regle!$J$11,regle!$J$23,
IF(Z314=regle!$K$11,regle!$K$23,0))))))))))))</f>
        <v>0</v>
      </c>
      <c r="AK314" s="16">
        <f>IF(OR(Q314=regle!$J$11,Q314=regle!$K$11),-2,IF(Q314=regle!$B$11,0,IF(AK$1=$AK$1,IF($O314,-1,regle!$B$2-$M314),IF(AJ314=-1,-1,AJ314+1))))</f>
        <v>19</v>
      </c>
      <c r="AL314" s="16">
        <f>IF(OR(R314=regle!$J$11,R314=regle!$K$11),-2,IF(R314=regle!$B$11,0,IF(AL$1=$AK$1,IF($O314,-1,regle!$B$2-$M314),IF(AK314=-1,-1,AK314+1))))</f>
        <v>20</v>
      </c>
      <c r="AM314" s="16">
        <f>IF(OR(S314=regle!$J$11,S314=regle!$K$11),-2,IF(S314=regle!$B$11,0,IF(AM$1=$AK$1,IF($O314,-1,regle!$B$2-$M314),IF(AL314=-1,-1,AL314+1))))</f>
        <v>21</v>
      </c>
      <c r="AN314" s="16">
        <f>IF(OR(T314=regle!$J$11,T314=regle!$K$11),-2,IF(T314=regle!$B$11,0,IF(AN$1=$AK$1,IF($O314,-1,regle!$B$2-$M314),IF(AM314=-1,-1,AM314+1))))</f>
        <v>22</v>
      </c>
      <c r="AO314" s="16">
        <f>IF(OR(U314=regle!$J$11,U314=regle!$K$11),-2,IF(U314=regle!$B$11,0,IF(AO$1=$AK$1,IF($O314,-1,regle!$B$2-$M314),IF(AN314=-1,-1,AN314+1))))</f>
        <v>23</v>
      </c>
      <c r="AP314" s="16">
        <f>IF(OR(V314=regle!$J$11,V314=regle!$K$11),-2,IF(V314=regle!$B$11,0,IF(AP$1=$AK$1,IF($O314,-1,regle!$B$2-$M314),IF(AO314=-1,-1,AO314+1))))</f>
        <v>24</v>
      </c>
      <c r="AQ314" s="16">
        <f>IF(OR(W314=regle!$J$11,W314=regle!$K$11),-2,IF(W314=regle!$B$11,0,IF(AQ$1=$AK$1,IF($O314,-1,regle!$B$2-$M314),IF(AP314=-1,-1,AP314+1))))</f>
        <v>25</v>
      </c>
      <c r="AR314" s="16">
        <f>IF(OR(X314=regle!$J$11,X314=regle!$K$11),-2,IF(X314=regle!$B$11,0,IF(AR$1=$AK$1,IF($O314,-1,regle!$B$2-$M314),IF(AQ314=-1,-1,AQ314+1))))</f>
        <v>26</v>
      </c>
      <c r="AS314" s="16">
        <f>IF(OR(Y314=regle!$J$11,Y314=regle!$K$11),-2,IF(Y314=regle!$B$11,0,IF(AS$1=$AK$1,IF($O314,-1,regle!$B$2-$M314),IF(AR314=-1,-1,AR314+1))))</f>
        <v>27</v>
      </c>
      <c r="AT314" s="16">
        <f>IF(OR(Z314=regle!$J$11,Z314=regle!$K$11),-2,IF(Z314=regle!$B$11,0,IF(AT$1=$AK$1,IF($O314,-1,regle!$B$2-$M314),IF(AS314=-1,-1,AS314+1))))</f>
        <v>28</v>
      </c>
    </row>
    <row r="315" spans="1:46" x14ac:dyDescent="0.25">
      <c r="A315" t="b">
        <f>modif0!A332</f>
        <v>1</v>
      </c>
      <c r="B315">
        <f>ROW(modif0!B332)</f>
        <v>332</v>
      </c>
      <c r="C315" t="str">
        <f>modif0!D332</f>
        <v>077</v>
      </c>
      <c r="D315" t="str">
        <f>modif0!E332</f>
        <v>CABANAC-ET-VILLAGRAINS</v>
      </c>
      <c r="E315">
        <f>modif0!F332</f>
        <v>12</v>
      </c>
      <c r="F315" t="str">
        <f>modif0!G332</f>
        <v>LES JEANNOTS</v>
      </c>
      <c r="G315" t="str">
        <f>modif0!I332</f>
        <v>0D</v>
      </c>
      <c r="H315">
        <f>modif0!J332</f>
        <v>2297</v>
      </c>
      <c r="I315" t="str">
        <f>modif0!K332</f>
        <v/>
      </c>
      <c r="J315" s="11">
        <f>modif0!M332</f>
        <v>0.16370000000000001</v>
      </c>
      <c r="K315" s="11" t="str">
        <f>modif0!P332</f>
        <v>PLA</v>
      </c>
      <c r="L315" t="str">
        <f>modif0!N332</f>
        <v>PM</v>
      </c>
      <c r="M315">
        <f>modif0!Q332</f>
        <v>2005</v>
      </c>
      <c r="N315" t="str">
        <f>modif0!R332</f>
        <v>PLA-PM_2005</v>
      </c>
      <c r="O315" t="b">
        <f>modif0!S332</f>
        <v>0</v>
      </c>
      <c r="P315">
        <v>40</v>
      </c>
      <c r="T315" t="s">
        <v>1805</v>
      </c>
      <c r="Y315" t="s">
        <v>1806</v>
      </c>
      <c r="AA315" s="17">
        <f>IF($A315,$J315*(IF(Q315=regle!$B$11,regle!$B$23*IF(AJ315=-2,1+regle!$B$35,1),
IF(Q315=regle!$C$11,regle!$C$23,
IF(Q315=regle!$D$11,regle!$D$23,
IF(Q315=regle!$E$11,regle!$E$23,
IF(Q315=regle!$F$11,regle!$F$23,
IF(Q315=regle!$G$11,regle!$G$23,
IF(Q315=regle!$H$11,regle!$H$23,
IF(Q315=regle!$I$11,regle!$I$23,
IF(Q315=regle!$J$11,regle!$J$23,
IF(Q315=regle!$K$11,regle!$K$23,0))))))))))))</f>
        <v>0</v>
      </c>
      <c r="AB315" s="17">
        <f>IF($A315,$J315*(IF(R315=regle!$B$11,regle!$B$23*IF(AK315=-2,1+regle!$B$35,1),
IF(R315=regle!$C$11,regle!$C$23,
IF(R315=regle!$D$11,regle!$D$23,
IF(R315=regle!$E$11,regle!$E$23,
IF(R315=regle!$F$11,regle!$F$23,
IF(R315=regle!$G$11,regle!$G$23,
IF(R315=regle!$H$11,regle!$H$23,
IF(R315=regle!$I$11,regle!$I$23,
IF(R315=regle!$J$11,regle!$J$23,
IF(R315=regle!$K$11,regle!$K$23,0))))))))))))</f>
        <v>0</v>
      </c>
      <c r="AC315" s="17">
        <f>IF($A315,$J315*(IF(S315=regle!$B$11,regle!$B$23*IF(AL315=-2,1+regle!$B$35,1),
IF(S315=regle!$C$11,regle!$C$23,
IF(S315=regle!$D$11,regle!$D$23,
IF(S315=regle!$E$11,regle!$E$23,
IF(S315=regle!$F$11,regle!$F$23,
IF(S315=regle!$G$11,regle!$G$23,
IF(S315=regle!$H$11,regle!$H$23,
IF(S315=regle!$I$11,regle!$I$23,
IF(S315=regle!$J$11,regle!$J$23,
IF(S315=regle!$K$11,regle!$K$23,0))))))))))))</f>
        <v>0</v>
      </c>
      <c r="AD315" s="17">
        <f>IF($A315,$J315*(IF(T315=regle!$B$11,regle!$B$23*IF(AM315=-2,1+regle!$B$35,1),
IF(T315=regle!$C$11,regle!$C$23,
IF(T315=regle!$D$11,regle!$D$23,
IF(T315=regle!$E$11,regle!$E$23,
IF(T315=regle!$F$11,regle!$F$23,
IF(T315=regle!$G$11,regle!$G$23,
IF(T315=regle!$H$11,regle!$H$23,
IF(T315=regle!$I$11,regle!$I$23,
IF(T315=regle!$J$11,regle!$J$23,
IF(T315=regle!$K$11,regle!$K$23,0))))))))))))</f>
        <v>230.48960000000002</v>
      </c>
      <c r="AE315" s="17">
        <f>IF($A315,$J315*(IF(U315=regle!$B$11,regle!$B$23*IF(AN315=-2,1+regle!$B$35,1),
IF(U315=regle!$C$11,regle!$C$23,
IF(U315=regle!$D$11,regle!$D$23,
IF(U315=regle!$E$11,regle!$E$23,
IF(U315=regle!$F$11,regle!$F$23,
IF(U315=regle!$G$11,regle!$G$23,
IF(U315=regle!$H$11,regle!$H$23,
IF(U315=regle!$I$11,regle!$I$23,
IF(U315=regle!$J$11,regle!$J$23,
IF(U315=regle!$K$11,regle!$K$23,0))))))))))))</f>
        <v>0</v>
      </c>
      <c r="AF315" s="17">
        <f>IF($A315,$J315*(IF(V315=regle!$B$11,regle!$B$23*IF(AO315=-2,1+regle!$B$35,1),
IF(V315=regle!$C$11,regle!$C$23,
IF(V315=regle!$D$11,regle!$D$23,
IF(V315=regle!$E$11,regle!$E$23,
IF(V315=regle!$F$11,regle!$F$23,
IF(V315=regle!$G$11,regle!$G$23,
IF(V315=regle!$H$11,regle!$H$23,
IF(V315=regle!$I$11,regle!$I$23,
IF(V315=regle!$J$11,regle!$J$23,
IF(V315=regle!$K$11,regle!$K$23,0))))))))))))</f>
        <v>0</v>
      </c>
      <c r="AG315" s="17">
        <f>IF($A315,$J315*(IF(W315=regle!$B$11,regle!$B$23*IF(AP315=-2,1+regle!$B$35,1),
IF(W315=regle!$C$11,regle!$C$23,
IF(W315=regle!$D$11,regle!$D$23,
IF(W315=regle!$E$11,regle!$E$23,
IF(W315=regle!$F$11,regle!$F$23,
IF(W315=regle!$G$11,regle!$G$23,
IF(W315=regle!$H$11,regle!$H$23,
IF(W315=regle!$I$11,regle!$I$23,
IF(W315=regle!$J$11,regle!$J$23,
IF(W315=regle!$K$11,regle!$K$23,0))))))))))))</f>
        <v>0</v>
      </c>
      <c r="AH315" s="17">
        <f>IF($A315,$J315*(IF(X315=regle!$B$11,regle!$B$23*IF(AQ315=-2,1+regle!$B$35,1),
IF(X315=regle!$C$11,regle!$C$23,
IF(X315=regle!$D$11,regle!$D$23,
IF(X315=regle!$E$11,regle!$E$23,
IF(X315=regle!$F$11,regle!$F$23,
IF(X315=regle!$G$11,regle!$G$23,
IF(X315=regle!$H$11,regle!$H$23,
IF(X315=regle!$I$11,regle!$I$23,
IF(X315=regle!$J$11,regle!$J$23,
IF(X315=regle!$K$11,regle!$K$23,0))))))))))))</f>
        <v>0</v>
      </c>
      <c r="AI315" s="17">
        <f>IF($A315,$J315*(IF(Y315=regle!$B$11,regle!$B$23*IF(AR315=-2,1+regle!$B$35,1),
IF(Y315=regle!$C$11,regle!$C$23,
IF(Y315=regle!$D$11,regle!$D$23,
IF(Y315=regle!$E$11,regle!$E$23,
IF(Y315=regle!$F$11,regle!$F$23,
IF(Y315=regle!$G$11,regle!$G$23,
IF(Y315=regle!$H$11,regle!$H$23,
IF(Y315=regle!$I$11,regle!$I$23,
IF(Y315=regle!$J$11,regle!$J$23,
IF(Y315=regle!$K$11,regle!$K$23,0))))))))))))</f>
        <v>209.536</v>
      </c>
      <c r="AJ315" s="17">
        <f>IF($A315,$J315*(IF(Z315=regle!$B$11,regle!$B$23*IF(AS315=-2,1+regle!$B$35,1),
IF(Z315=regle!$C$11,regle!$C$23,
IF(Z315=regle!$D$11,regle!$D$23,
IF(Z315=regle!$E$11,regle!$E$23,
IF(Z315=regle!$F$11,regle!$F$23,
IF(Z315=regle!$G$11,regle!$G$23,
IF(Z315=regle!$H$11,regle!$H$23,
IF(Z315=regle!$I$11,regle!$I$23,
IF(Z315=regle!$J$11,regle!$J$23,
IF(Z315=regle!$K$11,regle!$K$23,0))))))))))))</f>
        <v>0</v>
      </c>
      <c r="AK315" s="16">
        <f>IF(OR(Q315=regle!$J$11,Q315=regle!$K$11),-2,IF(Q315=regle!$B$11,0,IF(AK$1=$AK$1,IF($O315,-1,regle!$B$2-$M315),IF(AJ315=-1,-1,AJ315+1))))</f>
        <v>19</v>
      </c>
      <c r="AL315" s="16">
        <f>IF(OR(R315=regle!$J$11,R315=regle!$K$11),-2,IF(R315=regle!$B$11,0,IF(AL$1=$AK$1,IF($O315,-1,regle!$B$2-$M315),IF(AK315=-1,-1,AK315+1))))</f>
        <v>20</v>
      </c>
      <c r="AM315" s="16">
        <f>IF(OR(S315=regle!$J$11,S315=regle!$K$11),-2,IF(S315=regle!$B$11,0,IF(AM$1=$AK$1,IF($O315,-1,regle!$B$2-$M315),IF(AL315=-1,-1,AL315+1))))</f>
        <v>21</v>
      </c>
      <c r="AN315" s="16">
        <f>IF(OR(T315=regle!$J$11,T315=regle!$K$11),-2,IF(T315=regle!$B$11,0,IF(AN$1=$AK$1,IF($O315,-1,regle!$B$2-$M315),IF(AM315=-1,-1,AM315+1))))</f>
        <v>22</v>
      </c>
      <c r="AO315" s="16">
        <f>IF(OR(U315=regle!$J$11,U315=regle!$K$11),-2,IF(U315=regle!$B$11,0,IF(AO$1=$AK$1,IF($O315,-1,regle!$B$2-$M315),IF(AN315=-1,-1,AN315+1))))</f>
        <v>23</v>
      </c>
      <c r="AP315" s="16">
        <f>IF(OR(V315=regle!$J$11,V315=regle!$K$11),-2,IF(V315=regle!$B$11,0,IF(AP$1=$AK$1,IF($O315,-1,regle!$B$2-$M315),IF(AO315=-1,-1,AO315+1))))</f>
        <v>24</v>
      </c>
      <c r="AQ315" s="16">
        <f>IF(OR(W315=regle!$J$11,W315=regle!$K$11),-2,IF(W315=regle!$B$11,0,IF(AQ$1=$AK$1,IF($O315,-1,regle!$B$2-$M315),IF(AP315=-1,-1,AP315+1))))</f>
        <v>25</v>
      </c>
      <c r="AR315" s="16">
        <f>IF(OR(X315=regle!$J$11,X315=regle!$K$11),-2,IF(X315=regle!$B$11,0,IF(AR$1=$AK$1,IF($O315,-1,regle!$B$2-$M315),IF(AQ315=-1,-1,AQ315+1))))</f>
        <v>26</v>
      </c>
      <c r="AS315" s="16">
        <f>IF(OR(Y315=regle!$J$11,Y315=regle!$K$11),-2,IF(Y315=regle!$B$11,0,IF(AS$1=$AK$1,IF($O315,-1,regle!$B$2-$M315),IF(AR315=-1,-1,AR315+1))))</f>
        <v>27</v>
      </c>
      <c r="AT315" s="16">
        <f>IF(OR(Z315=regle!$J$11,Z315=regle!$K$11),-2,IF(Z315=regle!$B$11,0,IF(AT$1=$AK$1,IF($O315,-1,regle!$B$2-$M315),IF(AS315=-1,-1,AS315+1))))</f>
        <v>28</v>
      </c>
    </row>
    <row r="316" spans="1:46" x14ac:dyDescent="0.25">
      <c r="A316" t="b">
        <f>modif0!A74</f>
        <v>1</v>
      </c>
      <c r="B316">
        <f>ROW(modif0!B74)</f>
        <v>74</v>
      </c>
      <c r="C316" t="str">
        <f>modif0!D74</f>
        <v>536</v>
      </c>
      <c r="D316" t="str">
        <f>modif0!E74</f>
        <v>LE TUZAN</v>
      </c>
      <c r="E316">
        <f>modif0!F74</f>
        <v>21</v>
      </c>
      <c r="F316" t="str">
        <f>modif0!G74</f>
        <v>METAIRIES DE TABARTON</v>
      </c>
      <c r="G316" t="str">
        <f>modif0!I74</f>
        <v>0A</v>
      </c>
      <c r="H316">
        <f>modif0!J74</f>
        <v>531</v>
      </c>
      <c r="I316" t="str">
        <f>modif0!K74</f>
        <v/>
      </c>
      <c r="J316" s="11">
        <f>modif0!M74</f>
        <v>0.154</v>
      </c>
      <c r="K316" s="11" t="str">
        <f>modif0!P74</f>
        <v>PLA</v>
      </c>
      <c r="L316" t="str">
        <f>modif0!N74</f>
        <v>PM</v>
      </c>
      <c r="M316">
        <f>modif0!Q74</f>
        <v>2005</v>
      </c>
      <c r="N316" t="str">
        <f>modif0!R74</f>
        <v>PLA-PM_2005</v>
      </c>
      <c r="O316" t="b">
        <f>modif0!S74</f>
        <v>0</v>
      </c>
      <c r="P316">
        <v>40</v>
      </c>
      <c r="T316" t="s">
        <v>1805</v>
      </c>
      <c r="Y316" t="s">
        <v>1806</v>
      </c>
      <c r="AA316" s="17">
        <f>IF($A316,$J316*(IF(Q316=regle!$B$11,regle!$B$23*IF(AJ316=-2,1+regle!$B$35,1),
IF(Q316=regle!$C$11,regle!$C$23,
IF(Q316=regle!$D$11,regle!$D$23,
IF(Q316=regle!$E$11,regle!$E$23,
IF(Q316=regle!$F$11,regle!$F$23,
IF(Q316=regle!$G$11,regle!$G$23,
IF(Q316=regle!$H$11,regle!$H$23,
IF(Q316=regle!$I$11,regle!$I$23,
IF(Q316=regle!$J$11,regle!$J$23,
IF(Q316=regle!$K$11,regle!$K$23,0))))))))))))</f>
        <v>0</v>
      </c>
      <c r="AB316" s="17">
        <f>IF($A316,$J316*(IF(R316=regle!$B$11,regle!$B$23*IF(AK316=-2,1+regle!$B$35,1),
IF(R316=regle!$C$11,regle!$C$23,
IF(R316=regle!$D$11,regle!$D$23,
IF(R316=regle!$E$11,regle!$E$23,
IF(R316=regle!$F$11,regle!$F$23,
IF(R316=regle!$G$11,regle!$G$23,
IF(R316=regle!$H$11,regle!$H$23,
IF(R316=regle!$I$11,regle!$I$23,
IF(R316=regle!$J$11,regle!$J$23,
IF(R316=regle!$K$11,regle!$K$23,0))))))))))))</f>
        <v>0</v>
      </c>
      <c r="AC316" s="17">
        <f>IF($A316,$J316*(IF(S316=regle!$B$11,regle!$B$23*IF(AL316=-2,1+regle!$B$35,1),
IF(S316=regle!$C$11,regle!$C$23,
IF(S316=regle!$D$11,regle!$D$23,
IF(S316=regle!$E$11,regle!$E$23,
IF(S316=regle!$F$11,regle!$F$23,
IF(S316=regle!$G$11,regle!$G$23,
IF(S316=regle!$H$11,regle!$H$23,
IF(S316=regle!$I$11,regle!$I$23,
IF(S316=regle!$J$11,regle!$J$23,
IF(S316=regle!$K$11,regle!$K$23,0))))))))))))</f>
        <v>0</v>
      </c>
      <c r="AD316" s="17">
        <f>IF($A316,$J316*(IF(T316=regle!$B$11,regle!$B$23*IF(AM316=-2,1+regle!$B$35,1),
IF(T316=regle!$C$11,regle!$C$23,
IF(T316=regle!$D$11,regle!$D$23,
IF(T316=regle!$E$11,regle!$E$23,
IF(T316=regle!$F$11,regle!$F$23,
IF(T316=regle!$G$11,regle!$G$23,
IF(T316=regle!$H$11,regle!$H$23,
IF(T316=regle!$I$11,regle!$I$23,
IF(T316=regle!$J$11,regle!$J$23,
IF(T316=regle!$K$11,regle!$K$23,0))))))))))))</f>
        <v>216.83199999999999</v>
      </c>
      <c r="AE316" s="17">
        <f>IF($A316,$J316*(IF(U316=regle!$B$11,regle!$B$23*IF(AN316=-2,1+regle!$B$35,1),
IF(U316=regle!$C$11,regle!$C$23,
IF(U316=regle!$D$11,regle!$D$23,
IF(U316=regle!$E$11,regle!$E$23,
IF(U316=regle!$F$11,regle!$F$23,
IF(U316=regle!$G$11,regle!$G$23,
IF(U316=regle!$H$11,regle!$H$23,
IF(U316=regle!$I$11,regle!$I$23,
IF(U316=regle!$J$11,regle!$J$23,
IF(U316=regle!$K$11,regle!$K$23,0))))))))))))</f>
        <v>0</v>
      </c>
      <c r="AF316" s="17">
        <f>IF($A316,$J316*(IF(V316=regle!$B$11,regle!$B$23*IF(AO316=-2,1+regle!$B$35,1),
IF(V316=regle!$C$11,regle!$C$23,
IF(V316=regle!$D$11,regle!$D$23,
IF(V316=regle!$E$11,regle!$E$23,
IF(V316=regle!$F$11,regle!$F$23,
IF(V316=regle!$G$11,regle!$G$23,
IF(V316=regle!$H$11,regle!$H$23,
IF(V316=regle!$I$11,regle!$I$23,
IF(V316=regle!$J$11,regle!$J$23,
IF(V316=regle!$K$11,regle!$K$23,0))))))))))))</f>
        <v>0</v>
      </c>
      <c r="AG316" s="17">
        <f>IF($A316,$J316*(IF(W316=regle!$B$11,regle!$B$23*IF(AP316=-2,1+regle!$B$35,1),
IF(W316=regle!$C$11,regle!$C$23,
IF(W316=regle!$D$11,regle!$D$23,
IF(W316=regle!$E$11,regle!$E$23,
IF(W316=regle!$F$11,regle!$F$23,
IF(W316=regle!$G$11,regle!$G$23,
IF(W316=regle!$H$11,regle!$H$23,
IF(W316=regle!$I$11,regle!$I$23,
IF(W316=regle!$J$11,regle!$J$23,
IF(W316=regle!$K$11,regle!$K$23,0))))))))))))</f>
        <v>0</v>
      </c>
      <c r="AH316" s="17">
        <f>IF($A316,$J316*(IF(X316=regle!$B$11,regle!$B$23*IF(AQ316=-2,1+regle!$B$35,1),
IF(X316=regle!$C$11,regle!$C$23,
IF(X316=regle!$D$11,regle!$D$23,
IF(X316=regle!$E$11,regle!$E$23,
IF(X316=regle!$F$11,regle!$F$23,
IF(X316=regle!$G$11,regle!$G$23,
IF(X316=regle!$H$11,regle!$H$23,
IF(X316=regle!$I$11,regle!$I$23,
IF(X316=regle!$J$11,regle!$J$23,
IF(X316=regle!$K$11,regle!$K$23,0))))))))))))</f>
        <v>0</v>
      </c>
      <c r="AI316" s="17">
        <f>IF($A316,$J316*(IF(Y316=regle!$B$11,regle!$B$23*IF(AR316=-2,1+regle!$B$35,1),
IF(Y316=regle!$C$11,regle!$C$23,
IF(Y316=regle!$D$11,regle!$D$23,
IF(Y316=regle!$E$11,regle!$E$23,
IF(Y316=regle!$F$11,regle!$F$23,
IF(Y316=regle!$G$11,regle!$G$23,
IF(Y316=regle!$H$11,regle!$H$23,
IF(Y316=regle!$I$11,regle!$I$23,
IF(Y316=regle!$J$11,regle!$J$23,
IF(Y316=regle!$K$11,regle!$K$23,0))))))))))))</f>
        <v>197.12</v>
      </c>
      <c r="AJ316" s="17">
        <f>IF($A316,$J316*(IF(Z316=regle!$B$11,regle!$B$23*IF(AS316=-2,1+regle!$B$35,1),
IF(Z316=regle!$C$11,regle!$C$23,
IF(Z316=regle!$D$11,regle!$D$23,
IF(Z316=regle!$E$11,regle!$E$23,
IF(Z316=regle!$F$11,regle!$F$23,
IF(Z316=regle!$G$11,regle!$G$23,
IF(Z316=regle!$H$11,regle!$H$23,
IF(Z316=regle!$I$11,regle!$I$23,
IF(Z316=regle!$J$11,regle!$J$23,
IF(Z316=regle!$K$11,regle!$K$23,0))))))))))))</f>
        <v>0</v>
      </c>
      <c r="AK316" s="16">
        <f>IF(OR(Q316=regle!$J$11,Q316=regle!$K$11),-2,IF(Q316=regle!$B$11,0,IF(AK$1=$AK$1,IF($O316,-1,regle!$B$2-$M316),IF(AJ316=-1,-1,AJ316+1))))</f>
        <v>19</v>
      </c>
      <c r="AL316" s="16">
        <f>IF(OR(R316=regle!$J$11,R316=regle!$K$11),-2,IF(R316=regle!$B$11,0,IF(AL$1=$AK$1,IF($O316,-1,regle!$B$2-$M316),IF(AK316=-1,-1,AK316+1))))</f>
        <v>20</v>
      </c>
      <c r="AM316" s="16">
        <f>IF(OR(S316=regle!$J$11,S316=regle!$K$11),-2,IF(S316=regle!$B$11,0,IF(AM$1=$AK$1,IF($O316,-1,regle!$B$2-$M316),IF(AL316=-1,-1,AL316+1))))</f>
        <v>21</v>
      </c>
      <c r="AN316" s="16">
        <f>IF(OR(T316=regle!$J$11,T316=regle!$K$11),-2,IF(T316=regle!$B$11,0,IF(AN$1=$AK$1,IF($O316,-1,regle!$B$2-$M316),IF(AM316=-1,-1,AM316+1))))</f>
        <v>22</v>
      </c>
      <c r="AO316" s="16">
        <f>IF(OR(U316=regle!$J$11,U316=regle!$K$11),-2,IF(U316=regle!$B$11,0,IF(AO$1=$AK$1,IF($O316,-1,regle!$B$2-$M316),IF(AN316=-1,-1,AN316+1))))</f>
        <v>23</v>
      </c>
      <c r="AP316" s="16">
        <f>IF(OR(V316=regle!$J$11,V316=regle!$K$11),-2,IF(V316=regle!$B$11,0,IF(AP$1=$AK$1,IF($O316,-1,regle!$B$2-$M316),IF(AO316=-1,-1,AO316+1))))</f>
        <v>24</v>
      </c>
      <c r="AQ316" s="16">
        <f>IF(OR(W316=regle!$J$11,W316=regle!$K$11),-2,IF(W316=regle!$B$11,0,IF(AQ$1=$AK$1,IF($O316,-1,regle!$B$2-$M316),IF(AP316=-1,-1,AP316+1))))</f>
        <v>25</v>
      </c>
      <c r="AR316" s="16">
        <f>IF(OR(X316=regle!$J$11,X316=regle!$K$11),-2,IF(X316=regle!$B$11,0,IF(AR$1=$AK$1,IF($O316,-1,regle!$B$2-$M316),IF(AQ316=-1,-1,AQ316+1))))</f>
        <v>26</v>
      </c>
      <c r="AS316" s="16">
        <f>IF(OR(Y316=regle!$J$11,Y316=regle!$K$11),-2,IF(Y316=regle!$B$11,0,IF(AS$1=$AK$1,IF($O316,-1,regle!$B$2-$M316),IF(AR316=-1,-1,AR316+1))))</f>
        <v>27</v>
      </c>
      <c r="AT316" s="16">
        <f>IF(OR(Z316=regle!$J$11,Z316=regle!$K$11),-2,IF(Z316=regle!$B$11,0,IF(AT$1=$AK$1,IF($O316,-1,regle!$B$2-$M316),IF(AS316=-1,-1,AS316+1))))</f>
        <v>28</v>
      </c>
    </row>
    <row r="317" spans="1:46" x14ac:dyDescent="0.25">
      <c r="A317" t="b">
        <f>modif0!A54</f>
        <v>1</v>
      </c>
      <c r="B317">
        <f>ROW(modif0!B54)</f>
        <v>54</v>
      </c>
      <c r="C317" t="str">
        <f>modif0!D54</f>
        <v>536</v>
      </c>
      <c r="D317" t="str">
        <f>modif0!E54</f>
        <v>LE TUZAN</v>
      </c>
      <c r="E317">
        <f>modif0!F54</f>
        <v>21</v>
      </c>
      <c r="F317" t="str">
        <f>modif0!G54</f>
        <v>METAIRIES DE TABARTON</v>
      </c>
      <c r="G317" t="str">
        <f>modif0!I54</f>
        <v>0A</v>
      </c>
      <c r="H317">
        <f>modif0!J54</f>
        <v>463</v>
      </c>
      <c r="I317" t="str">
        <f>modif0!K54</f>
        <v/>
      </c>
      <c r="J317" s="11">
        <f>modif0!M54</f>
        <v>0.152</v>
      </c>
      <c r="K317" s="11" t="str">
        <f>modif0!P54</f>
        <v>PLA</v>
      </c>
      <c r="L317" t="str">
        <f>modif0!N54</f>
        <v>PM</v>
      </c>
      <c r="M317">
        <f>modif0!Q54</f>
        <v>2005</v>
      </c>
      <c r="N317" t="str">
        <f>modif0!R54</f>
        <v>PLA-PM_2005</v>
      </c>
      <c r="O317" t="b">
        <f>modif0!S54</f>
        <v>0</v>
      </c>
      <c r="P317">
        <v>40</v>
      </c>
      <c r="T317" t="s">
        <v>1805</v>
      </c>
      <c r="Y317" t="s">
        <v>1806</v>
      </c>
      <c r="AA317" s="17">
        <f>IF($A317,$J317*(IF(Q317=regle!$B$11,regle!$B$23*IF(AJ317=-2,1+regle!$B$35,1),
IF(Q317=regle!$C$11,regle!$C$23,
IF(Q317=regle!$D$11,regle!$D$23,
IF(Q317=regle!$E$11,regle!$E$23,
IF(Q317=regle!$F$11,regle!$F$23,
IF(Q317=regle!$G$11,regle!$G$23,
IF(Q317=regle!$H$11,regle!$H$23,
IF(Q317=regle!$I$11,regle!$I$23,
IF(Q317=regle!$J$11,regle!$J$23,
IF(Q317=regle!$K$11,regle!$K$23,0))))))))))))</f>
        <v>0</v>
      </c>
      <c r="AB317" s="17">
        <f>IF($A317,$J317*(IF(R317=regle!$B$11,regle!$B$23*IF(AK317=-2,1+regle!$B$35,1),
IF(R317=regle!$C$11,regle!$C$23,
IF(R317=regle!$D$11,regle!$D$23,
IF(R317=regle!$E$11,regle!$E$23,
IF(R317=regle!$F$11,regle!$F$23,
IF(R317=regle!$G$11,regle!$G$23,
IF(R317=regle!$H$11,regle!$H$23,
IF(R317=regle!$I$11,regle!$I$23,
IF(R317=regle!$J$11,regle!$J$23,
IF(R317=regle!$K$11,regle!$K$23,0))))))))))))</f>
        <v>0</v>
      </c>
      <c r="AC317" s="17">
        <f>IF($A317,$J317*(IF(S317=regle!$B$11,regle!$B$23*IF(AL317=-2,1+regle!$B$35,1),
IF(S317=regle!$C$11,regle!$C$23,
IF(S317=regle!$D$11,regle!$D$23,
IF(S317=regle!$E$11,regle!$E$23,
IF(S317=regle!$F$11,regle!$F$23,
IF(S317=regle!$G$11,regle!$G$23,
IF(S317=regle!$H$11,regle!$H$23,
IF(S317=regle!$I$11,regle!$I$23,
IF(S317=regle!$J$11,regle!$J$23,
IF(S317=regle!$K$11,regle!$K$23,0))))))))))))</f>
        <v>0</v>
      </c>
      <c r="AD317" s="17">
        <f>IF($A317,$J317*(IF(T317=regle!$B$11,regle!$B$23*IF(AM317=-2,1+regle!$B$35,1),
IF(T317=regle!$C$11,regle!$C$23,
IF(T317=regle!$D$11,regle!$D$23,
IF(T317=regle!$E$11,regle!$E$23,
IF(T317=regle!$F$11,regle!$F$23,
IF(T317=regle!$G$11,regle!$G$23,
IF(T317=regle!$H$11,regle!$H$23,
IF(T317=regle!$I$11,regle!$I$23,
IF(T317=regle!$J$11,regle!$J$23,
IF(T317=regle!$K$11,regle!$K$23,0))))))))))))</f>
        <v>214.01599999999999</v>
      </c>
      <c r="AE317" s="17">
        <f>IF($A317,$J317*(IF(U317=regle!$B$11,regle!$B$23*IF(AN317=-2,1+regle!$B$35,1),
IF(U317=regle!$C$11,regle!$C$23,
IF(U317=regle!$D$11,regle!$D$23,
IF(U317=regle!$E$11,regle!$E$23,
IF(U317=regle!$F$11,regle!$F$23,
IF(U317=regle!$G$11,regle!$G$23,
IF(U317=regle!$H$11,regle!$H$23,
IF(U317=regle!$I$11,regle!$I$23,
IF(U317=regle!$J$11,regle!$J$23,
IF(U317=regle!$K$11,regle!$K$23,0))))))))))))</f>
        <v>0</v>
      </c>
      <c r="AF317" s="17">
        <f>IF($A317,$J317*(IF(V317=regle!$B$11,regle!$B$23*IF(AO317=-2,1+regle!$B$35,1),
IF(V317=regle!$C$11,regle!$C$23,
IF(V317=regle!$D$11,regle!$D$23,
IF(V317=regle!$E$11,regle!$E$23,
IF(V317=regle!$F$11,regle!$F$23,
IF(V317=regle!$G$11,regle!$G$23,
IF(V317=regle!$H$11,regle!$H$23,
IF(V317=regle!$I$11,regle!$I$23,
IF(V317=regle!$J$11,regle!$J$23,
IF(V317=regle!$K$11,regle!$K$23,0))))))))))))</f>
        <v>0</v>
      </c>
      <c r="AG317" s="17">
        <f>IF($A317,$J317*(IF(W317=regle!$B$11,regle!$B$23*IF(AP317=-2,1+regle!$B$35,1),
IF(W317=regle!$C$11,regle!$C$23,
IF(W317=regle!$D$11,regle!$D$23,
IF(W317=regle!$E$11,regle!$E$23,
IF(W317=regle!$F$11,regle!$F$23,
IF(W317=regle!$G$11,regle!$G$23,
IF(W317=regle!$H$11,regle!$H$23,
IF(W317=regle!$I$11,regle!$I$23,
IF(W317=regle!$J$11,regle!$J$23,
IF(W317=regle!$K$11,regle!$K$23,0))))))))))))</f>
        <v>0</v>
      </c>
      <c r="AH317" s="17">
        <f>IF($A317,$J317*(IF(X317=regle!$B$11,regle!$B$23*IF(AQ317=-2,1+regle!$B$35,1),
IF(X317=regle!$C$11,regle!$C$23,
IF(X317=regle!$D$11,regle!$D$23,
IF(X317=regle!$E$11,regle!$E$23,
IF(X317=regle!$F$11,regle!$F$23,
IF(X317=regle!$G$11,regle!$G$23,
IF(X317=regle!$H$11,regle!$H$23,
IF(X317=regle!$I$11,regle!$I$23,
IF(X317=regle!$J$11,regle!$J$23,
IF(X317=regle!$K$11,regle!$K$23,0))))))))))))</f>
        <v>0</v>
      </c>
      <c r="AI317" s="17">
        <f>IF($A317,$J317*(IF(Y317=regle!$B$11,regle!$B$23*IF(AR317=-2,1+regle!$B$35,1),
IF(Y317=regle!$C$11,regle!$C$23,
IF(Y317=regle!$D$11,regle!$D$23,
IF(Y317=regle!$E$11,regle!$E$23,
IF(Y317=regle!$F$11,regle!$F$23,
IF(Y317=regle!$G$11,regle!$G$23,
IF(Y317=regle!$H$11,regle!$H$23,
IF(Y317=regle!$I$11,regle!$I$23,
IF(Y317=regle!$J$11,regle!$J$23,
IF(Y317=regle!$K$11,regle!$K$23,0))))))))))))</f>
        <v>194.56</v>
      </c>
      <c r="AJ317" s="17">
        <f>IF($A317,$J317*(IF(Z317=regle!$B$11,regle!$B$23*IF(AS317=-2,1+regle!$B$35,1),
IF(Z317=regle!$C$11,regle!$C$23,
IF(Z317=regle!$D$11,regle!$D$23,
IF(Z317=regle!$E$11,regle!$E$23,
IF(Z317=regle!$F$11,regle!$F$23,
IF(Z317=regle!$G$11,regle!$G$23,
IF(Z317=regle!$H$11,regle!$H$23,
IF(Z317=regle!$I$11,regle!$I$23,
IF(Z317=regle!$J$11,regle!$J$23,
IF(Z317=regle!$K$11,regle!$K$23,0))))))))))))</f>
        <v>0</v>
      </c>
      <c r="AK317" s="16">
        <f>IF(OR(Q317=regle!$J$11,Q317=regle!$K$11),-2,IF(Q317=regle!$B$11,0,IF(AK$1=$AK$1,IF($O317,-1,regle!$B$2-$M317),IF(AJ317=-1,-1,AJ317+1))))</f>
        <v>19</v>
      </c>
      <c r="AL317" s="16">
        <f>IF(OR(R317=regle!$J$11,R317=regle!$K$11),-2,IF(R317=regle!$B$11,0,IF(AL$1=$AK$1,IF($O317,-1,regle!$B$2-$M317),IF(AK317=-1,-1,AK317+1))))</f>
        <v>20</v>
      </c>
      <c r="AM317" s="16">
        <f>IF(OR(S317=regle!$J$11,S317=regle!$K$11),-2,IF(S317=regle!$B$11,0,IF(AM$1=$AK$1,IF($O317,-1,regle!$B$2-$M317),IF(AL317=-1,-1,AL317+1))))</f>
        <v>21</v>
      </c>
      <c r="AN317" s="16">
        <f>IF(OR(T317=regle!$J$11,T317=regle!$K$11),-2,IF(T317=regle!$B$11,0,IF(AN$1=$AK$1,IF($O317,-1,regle!$B$2-$M317),IF(AM317=-1,-1,AM317+1))))</f>
        <v>22</v>
      </c>
      <c r="AO317" s="16">
        <f>IF(OR(U317=regle!$J$11,U317=regle!$K$11),-2,IF(U317=regle!$B$11,0,IF(AO$1=$AK$1,IF($O317,-1,regle!$B$2-$M317),IF(AN317=-1,-1,AN317+1))))</f>
        <v>23</v>
      </c>
      <c r="AP317" s="16">
        <f>IF(OR(V317=regle!$J$11,V317=regle!$K$11),-2,IF(V317=regle!$B$11,0,IF(AP$1=$AK$1,IF($O317,-1,regle!$B$2-$M317),IF(AO317=-1,-1,AO317+1))))</f>
        <v>24</v>
      </c>
      <c r="AQ317" s="16">
        <f>IF(OR(W317=regle!$J$11,W317=regle!$K$11),-2,IF(W317=regle!$B$11,0,IF(AQ$1=$AK$1,IF($O317,-1,regle!$B$2-$M317),IF(AP317=-1,-1,AP317+1))))</f>
        <v>25</v>
      </c>
      <c r="AR317" s="16">
        <f>IF(OR(X317=regle!$J$11,X317=regle!$K$11),-2,IF(X317=regle!$B$11,0,IF(AR$1=$AK$1,IF($O317,-1,regle!$B$2-$M317),IF(AQ317=-1,-1,AQ317+1))))</f>
        <v>26</v>
      </c>
      <c r="AS317" s="16">
        <f>IF(OR(Y317=regle!$J$11,Y317=regle!$K$11),-2,IF(Y317=regle!$B$11,0,IF(AS$1=$AK$1,IF($O317,-1,regle!$B$2-$M317),IF(AR317=-1,-1,AR317+1))))</f>
        <v>27</v>
      </c>
      <c r="AT317" s="16">
        <f>IF(OR(Z317=regle!$J$11,Z317=regle!$K$11),-2,IF(Z317=regle!$B$11,0,IF(AT$1=$AK$1,IF($O317,-1,regle!$B$2-$M317),IF(AS317=-1,-1,AS317+1))))</f>
        <v>28</v>
      </c>
    </row>
    <row r="318" spans="1:46" x14ac:dyDescent="0.25">
      <c r="A318" t="b">
        <f>modif0!A31</f>
        <v>1</v>
      </c>
      <c r="B318">
        <f>ROW(modif0!B31)</f>
        <v>31</v>
      </c>
      <c r="C318" t="str">
        <f>modif0!D31</f>
        <v>536</v>
      </c>
      <c r="D318" t="str">
        <f>modif0!E31</f>
        <v>LE TUZAN</v>
      </c>
      <c r="E318">
        <f>modif0!F31</f>
        <v>21</v>
      </c>
      <c r="F318" t="str">
        <f>modif0!G31</f>
        <v>METAIRIES DE TABARTON</v>
      </c>
      <c r="G318" t="str">
        <f>modif0!I31</f>
        <v>0A</v>
      </c>
      <c r="H318">
        <f>modif0!J31</f>
        <v>414</v>
      </c>
      <c r="I318" t="str">
        <f>modif0!K31</f>
        <v>j</v>
      </c>
      <c r="J318" s="11">
        <f>modif0!M31</f>
        <v>0.12330000000000001</v>
      </c>
      <c r="K318" s="11" t="str">
        <f>modif0!P31</f>
        <v>PLA</v>
      </c>
      <c r="L318" t="str">
        <f>modif0!N31</f>
        <v>PM</v>
      </c>
      <c r="M318">
        <f>modif0!Q31</f>
        <v>2005</v>
      </c>
      <c r="N318" t="str">
        <f>modif0!R31</f>
        <v>PLA-PM_2005</v>
      </c>
      <c r="O318" t="b">
        <f>modif0!S31</f>
        <v>0</v>
      </c>
      <c r="P318">
        <v>40</v>
      </c>
      <c r="T318" t="s">
        <v>1805</v>
      </c>
      <c r="Y318" t="s">
        <v>1806</v>
      </c>
      <c r="AA318" s="17">
        <f>IF($A318,$J318*(IF(Q318=regle!$B$11,regle!$B$23*IF(AJ318=-2,1+regle!$B$35,1),
IF(Q318=regle!$C$11,regle!$C$23,
IF(Q318=regle!$D$11,regle!$D$23,
IF(Q318=regle!$E$11,regle!$E$23,
IF(Q318=regle!$F$11,regle!$F$23,
IF(Q318=regle!$G$11,regle!$G$23,
IF(Q318=regle!$H$11,regle!$H$23,
IF(Q318=regle!$I$11,regle!$I$23,
IF(Q318=regle!$J$11,regle!$J$23,
IF(Q318=regle!$K$11,regle!$K$23,0))))))))))))</f>
        <v>0</v>
      </c>
      <c r="AB318" s="17">
        <f>IF($A318,$J318*(IF(R318=regle!$B$11,regle!$B$23*IF(AK318=-2,1+regle!$B$35,1),
IF(R318=regle!$C$11,regle!$C$23,
IF(R318=regle!$D$11,regle!$D$23,
IF(R318=regle!$E$11,regle!$E$23,
IF(R318=regle!$F$11,regle!$F$23,
IF(R318=regle!$G$11,regle!$G$23,
IF(R318=regle!$H$11,regle!$H$23,
IF(R318=regle!$I$11,regle!$I$23,
IF(R318=regle!$J$11,regle!$J$23,
IF(R318=regle!$K$11,regle!$K$23,0))))))))))))</f>
        <v>0</v>
      </c>
      <c r="AC318" s="17">
        <f>IF($A318,$J318*(IF(S318=regle!$B$11,regle!$B$23*IF(AL318=-2,1+regle!$B$35,1),
IF(S318=regle!$C$11,regle!$C$23,
IF(S318=regle!$D$11,regle!$D$23,
IF(S318=regle!$E$11,regle!$E$23,
IF(S318=regle!$F$11,regle!$F$23,
IF(S318=regle!$G$11,regle!$G$23,
IF(S318=regle!$H$11,regle!$H$23,
IF(S318=regle!$I$11,regle!$I$23,
IF(S318=regle!$J$11,regle!$J$23,
IF(S318=regle!$K$11,regle!$K$23,0))))))))))))</f>
        <v>0</v>
      </c>
      <c r="AD318" s="17">
        <f>IF($A318,$J318*(IF(T318=regle!$B$11,regle!$B$23*IF(AM318=-2,1+regle!$B$35,1),
IF(T318=regle!$C$11,regle!$C$23,
IF(T318=regle!$D$11,regle!$D$23,
IF(T318=regle!$E$11,regle!$E$23,
IF(T318=regle!$F$11,regle!$F$23,
IF(T318=regle!$G$11,regle!$G$23,
IF(T318=regle!$H$11,regle!$H$23,
IF(T318=regle!$I$11,regle!$I$23,
IF(T318=regle!$J$11,regle!$J$23,
IF(T318=regle!$K$11,regle!$K$23,0))))))))))))</f>
        <v>173.60640000000001</v>
      </c>
      <c r="AE318" s="17">
        <f>IF($A318,$J318*(IF(U318=regle!$B$11,regle!$B$23*IF(AN318=-2,1+regle!$B$35,1),
IF(U318=regle!$C$11,regle!$C$23,
IF(U318=regle!$D$11,regle!$D$23,
IF(U318=regle!$E$11,regle!$E$23,
IF(U318=regle!$F$11,regle!$F$23,
IF(U318=regle!$G$11,regle!$G$23,
IF(U318=regle!$H$11,regle!$H$23,
IF(U318=regle!$I$11,regle!$I$23,
IF(U318=regle!$J$11,regle!$J$23,
IF(U318=regle!$K$11,regle!$K$23,0))))))))))))</f>
        <v>0</v>
      </c>
      <c r="AF318" s="17">
        <f>IF($A318,$J318*(IF(V318=regle!$B$11,regle!$B$23*IF(AO318=-2,1+regle!$B$35,1),
IF(V318=regle!$C$11,regle!$C$23,
IF(V318=regle!$D$11,regle!$D$23,
IF(V318=regle!$E$11,regle!$E$23,
IF(V318=regle!$F$11,regle!$F$23,
IF(V318=regle!$G$11,regle!$G$23,
IF(V318=regle!$H$11,regle!$H$23,
IF(V318=regle!$I$11,regle!$I$23,
IF(V318=regle!$J$11,regle!$J$23,
IF(V318=regle!$K$11,regle!$K$23,0))))))))))))</f>
        <v>0</v>
      </c>
      <c r="AG318" s="17">
        <f>IF($A318,$J318*(IF(W318=regle!$B$11,regle!$B$23*IF(AP318=-2,1+regle!$B$35,1),
IF(W318=regle!$C$11,regle!$C$23,
IF(W318=regle!$D$11,regle!$D$23,
IF(W318=regle!$E$11,regle!$E$23,
IF(W318=regle!$F$11,regle!$F$23,
IF(W318=regle!$G$11,regle!$G$23,
IF(W318=regle!$H$11,regle!$H$23,
IF(W318=regle!$I$11,regle!$I$23,
IF(W318=regle!$J$11,regle!$J$23,
IF(W318=regle!$K$11,regle!$K$23,0))))))))))))</f>
        <v>0</v>
      </c>
      <c r="AH318" s="17">
        <f>IF($A318,$J318*(IF(X318=regle!$B$11,regle!$B$23*IF(AQ318=-2,1+regle!$B$35,1),
IF(X318=regle!$C$11,regle!$C$23,
IF(X318=regle!$D$11,regle!$D$23,
IF(X318=regle!$E$11,regle!$E$23,
IF(X318=regle!$F$11,regle!$F$23,
IF(X318=regle!$G$11,regle!$G$23,
IF(X318=regle!$H$11,regle!$H$23,
IF(X318=regle!$I$11,regle!$I$23,
IF(X318=regle!$J$11,regle!$J$23,
IF(X318=regle!$K$11,regle!$K$23,0))))))))))))</f>
        <v>0</v>
      </c>
      <c r="AI318" s="17">
        <f>IF($A318,$J318*(IF(Y318=regle!$B$11,regle!$B$23*IF(AR318=-2,1+regle!$B$35,1),
IF(Y318=regle!$C$11,regle!$C$23,
IF(Y318=regle!$D$11,regle!$D$23,
IF(Y318=regle!$E$11,regle!$E$23,
IF(Y318=regle!$F$11,regle!$F$23,
IF(Y318=regle!$G$11,regle!$G$23,
IF(Y318=regle!$H$11,regle!$H$23,
IF(Y318=regle!$I$11,regle!$I$23,
IF(Y318=regle!$J$11,regle!$J$23,
IF(Y318=regle!$K$11,regle!$K$23,0))))))))))))</f>
        <v>157.82400000000001</v>
      </c>
      <c r="AJ318" s="17">
        <f>IF($A318,$J318*(IF(Z318=regle!$B$11,regle!$B$23*IF(AS318=-2,1+regle!$B$35,1),
IF(Z318=regle!$C$11,regle!$C$23,
IF(Z318=regle!$D$11,regle!$D$23,
IF(Z318=regle!$E$11,regle!$E$23,
IF(Z318=regle!$F$11,regle!$F$23,
IF(Z318=regle!$G$11,regle!$G$23,
IF(Z318=regle!$H$11,regle!$H$23,
IF(Z318=regle!$I$11,regle!$I$23,
IF(Z318=regle!$J$11,regle!$J$23,
IF(Z318=regle!$K$11,regle!$K$23,0))))))))))))</f>
        <v>0</v>
      </c>
      <c r="AK318" s="16">
        <f>IF(OR(Q318=regle!$J$11,Q318=regle!$K$11),-2,IF(Q318=regle!$B$11,0,IF(AK$1=$AK$1,IF($O318,-1,regle!$B$2-$M318),IF(AJ318=-1,-1,AJ318+1))))</f>
        <v>19</v>
      </c>
      <c r="AL318" s="16">
        <f>IF(OR(R318=regle!$J$11,R318=regle!$K$11),-2,IF(R318=regle!$B$11,0,IF(AL$1=$AK$1,IF($O318,-1,regle!$B$2-$M318),IF(AK318=-1,-1,AK318+1))))</f>
        <v>20</v>
      </c>
      <c r="AM318" s="16">
        <f>IF(OR(S318=regle!$J$11,S318=regle!$K$11),-2,IF(S318=regle!$B$11,0,IF(AM$1=$AK$1,IF($O318,-1,regle!$B$2-$M318),IF(AL318=-1,-1,AL318+1))))</f>
        <v>21</v>
      </c>
      <c r="AN318" s="16">
        <f>IF(OR(T318=regle!$J$11,T318=regle!$K$11),-2,IF(T318=regle!$B$11,0,IF(AN$1=$AK$1,IF($O318,-1,regle!$B$2-$M318),IF(AM318=-1,-1,AM318+1))))</f>
        <v>22</v>
      </c>
      <c r="AO318" s="16">
        <f>IF(OR(U318=regle!$J$11,U318=regle!$K$11),-2,IF(U318=regle!$B$11,0,IF(AO$1=$AK$1,IF($O318,-1,regle!$B$2-$M318),IF(AN318=-1,-1,AN318+1))))</f>
        <v>23</v>
      </c>
      <c r="AP318" s="16">
        <f>IF(OR(V318=regle!$J$11,V318=regle!$K$11),-2,IF(V318=regle!$B$11,0,IF(AP$1=$AK$1,IF($O318,-1,regle!$B$2-$M318),IF(AO318=-1,-1,AO318+1))))</f>
        <v>24</v>
      </c>
      <c r="AQ318" s="16">
        <f>IF(OR(W318=regle!$J$11,W318=regle!$K$11),-2,IF(W318=regle!$B$11,0,IF(AQ$1=$AK$1,IF($O318,-1,regle!$B$2-$M318),IF(AP318=-1,-1,AP318+1))))</f>
        <v>25</v>
      </c>
      <c r="AR318" s="16">
        <f>IF(OR(X318=regle!$J$11,X318=regle!$K$11),-2,IF(X318=regle!$B$11,0,IF(AR$1=$AK$1,IF($O318,-1,regle!$B$2-$M318),IF(AQ318=-1,-1,AQ318+1))))</f>
        <v>26</v>
      </c>
      <c r="AS318" s="16">
        <f>IF(OR(Y318=regle!$J$11,Y318=regle!$K$11),-2,IF(Y318=regle!$B$11,0,IF(AS$1=$AK$1,IF($O318,-1,regle!$B$2-$M318),IF(AR318=-1,-1,AR318+1))))</f>
        <v>27</v>
      </c>
      <c r="AT318" s="16">
        <f>IF(OR(Z318=regle!$J$11,Z318=regle!$K$11),-2,IF(Z318=regle!$B$11,0,IF(AT$1=$AK$1,IF($O318,-1,regle!$B$2-$M318),IF(AS318=-1,-1,AS318+1))))</f>
        <v>28</v>
      </c>
    </row>
    <row r="319" spans="1:46" x14ac:dyDescent="0.25">
      <c r="A319" t="b">
        <f>modif0!A23</f>
        <v>1</v>
      </c>
      <c r="B319">
        <f>ROW(modif0!B23)</f>
        <v>23</v>
      </c>
      <c r="C319" t="str">
        <f>modif0!D23</f>
        <v>536</v>
      </c>
      <c r="D319" t="str">
        <f>modif0!E23</f>
        <v>LE TUZAN</v>
      </c>
      <c r="E319">
        <f>modif0!F23</f>
        <v>21</v>
      </c>
      <c r="F319" t="str">
        <f>modif0!G23</f>
        <v>METAIRIES DE TABARTON</v>
      </c>
      <c r="G319" t="str">
        <f>modif0!I23</f>
        <v>0A</v>
      </c>
      <c r="H319">
        <f>modif0!J23</f>
        <v>407</v>
      </c>
      <c r="I319" t="str">
        <f>modif0!K23</f>
        <v>d</v>
      </c>
      <c r="J319" s="11">
        <f>modif0!M23</f>
        <v>0.1159</v>
      </c>
      <c r="K319" s="11" t="str">
        <f>modif0!P23</f>
        <v>PLA</v>
      </c>
      <c r="L319" t="str">
        <f>modif0!N23</f>
        <v>PM</v>
      </c>
      <c r="M319">
        <f>modif0!Q23</f>
        <v>2005</v>
      </c>
      <c r="N319" t="str">
        <f>modif0!R23</f>
        <v>PLA-PM_2005</v>
      </c>
      <c r="O319" t="b">
        <f>modif0!S23</f>
        <v>0</v>
      </c>
      <c r="P319">
        <v>40</v>
      </c>
      <c r="T319" t="s">
        <v>1805</v>
      </c>
      <c r="Y319" t="s">
        <v>1806</v>
      </c>
      <c r="AA319" s="17">
        <f>IF($A319,$J319*(IF(Q319=regle!$B$11,regle!$B$23*IF(AJ319=-2,1+regle!$B$35,1),
IF(Q319=regle!$C$11,regle!$C$23,
IF(Q319=regle!$D$11,regle!$D$23,
IF(Q319=regle!$E$11,regle!$E$23,
IF(Q319=regle!$F$11,regle!$F$23,
IF(Q319=regle!$G$11,regle!$G$23,
IF(Q319=regle!$H$11,regle!$H$23,
IF(Q319=regle!$I$11,regle!$I$23,
IF(Q319=regle!$J$11,regle!$J$23,
IF(Q319=regle!$K$11,regle!$K$23,0))))))))))))</f>
        <v>0</v>
      </c>
      <c r="AB319" s="17">
        <f>IF($A319,$J319*(IF(R319=regle!$B$11,regle!$B$23*IF(AK319=-2,1+regle!$B$35,1),
IF(R319=regle!$C$11,regle!$C$23,
IF(R319=regle!$D$11,regle!$D$23,
IF(R319=regle!$E$11,regle!$E$23,
IF(R319=regle!$F$11,regle!$F$23,
IF(R319=regle!$G$11,regle!$G$23,
IF(R319=regle!$H$11,regle!$H$23,
IF(R319=regle!$I$11,regle!$I$23,
IF(R319=regle!$J$11,regle!$J$23,
IF(R319=regle!$K$11,regle!$K$23,0))))))))))))</f>
        <v>0</v>
      </c>
      <c r="AC319" s="17">
        <f>IF($A319,$J319*(IF(S319=regle!$B$11,regle!$B$23*IF(AL319=-2,1+regle!$B$35,1),
IF(S319=regle!$C$11,regle!$C$23,
IF(S319=regle!$D$11,regle!$D$23,
IF(S319=regle!$E$11,regle!$E$23,
IF(S319=regle!$F$11,regle!$F$23,
IF(S319=regle!$G$11,regle!$G$23,
IF(S319=regle!$H$11,regle!$H$23,
IF(S319=regle!$I$11,regle!$I$23,
IF(S319=regle!$J$11,regle!$J$23,
IF(S319=regle!$K$11,regle!$K$23,0))))))))))))</f>
        <v>0</v>
      </c>
      <c r="AD319" s="17">
        <f>IF($A319,$J319*(IF(T319=regle!$B$11,regle!$B$23*IF(AM319=-2,1+regle!$B$35,1),
IF(T319=regle!$C$11,regle!$C$23,
IF(T319=regle!$D$11,regle!$D$23,
IF(T319=regle!$E$11,regle!$E$23,
IF(T319=regle!$F$11,regle!$F$23,
IF(T319=regle!$G$11,regle!$G$23,
IF(T319=regle!$H$11,regle!$H$23,
IF(T319=regle!$I$11,regle!$I$23,
IF(T319=regle!$J$11,regle!$J$23,
IF(T319=regle!$K$11,regle!$K$23,0))))))))))))</f>
        <v>163.18720000000002</v>
      </c>
      <c r="AE319" s="17">
        <f>IF($A319,$J319*(IF(U319=regle!$B$11,regle!$B$23*IF(AN319=-2,1+regle!$B$35,1),
IF(U319=regle!$C$11,regle!$C$23,
IF(U319=regle!$D$11,regle!$D$23,
IF(U319=regle!$E$11,regle!$E$23,
IF(U319=regle!$F$11,regle!$F$23,
IF(U319=regle!$G$11,regle!$G$23,
IF(U319=regle!$H$11,regle!$H$23,
IF(U319=regle!$I$11,regle!$I$23,
IF(U319=regle!$J$11,regle!$J$23,
IF(U319=regle!$K$11,regle!$K$23,0))))))))))))</f>
        <v>0</v>
      </c>
      <c r="AF319" s="17">
        <f>IF($A319,$J319*(IF(V319=regle!$B$11,regle!$B$23*IF(AO319=-2,1+regle!$B$35,1),
IF(V319=regle!$C$11,regle!$C$23,
IF(V319=regle!$D$11,regle!$D$23,
IF(V319=regle!$E$11,regle!$E$23,
IF(V319=regle!$F$11,regle!$F$23,
IF(V319=regle!$G$11,regle!$G$23,
IF(V319=regle!$H$11,regle!$H$23,
IF(V319=regle!$I$11,regle!$I$23,
IF(V319=regle!$J$11,regle!$J$23,
IF(V319=regle!$K$11,regle!$K$23,0))))))))))))</f>
        <v>0</v>
      </c>
      <c r="AG319" s="17">
        <f>IF($A319,$J319*(IF(W319=regle!$B$11,regle!$B$23*IF(AP319=-2,1+regle!$B$35,1),
IF(W319=regle!$C$11,regle!$C$23,
IF(W319=regle!$D$11,regle!$D$23,
IF(W319=regle!$E$11,regle!$E$23,
IF(W319=regle!$F$11,regle!$F$23,
IF(W319=regle!$G$11,regle!$G$23,
IF(W319=regle!$H$11,regle!$H$23,
IF(W319=regle!$I$11,regle!$I$23,
IF(W319=regle!$J$11,regle!$J$23,
IF(W319=regle!$K$11,regle!$K$23,0))))))))))))</f>
        <v>0</v>
      </c>
      <c r="AH319" s="17">
        <f>IF($A319,$J319*(IF(X319=regle!$B$11,regle!$B$23*IF(AQ319=-2,1+regle!$B$35,1),
IF(X319=regle!$C$11,regle!$C$23,
IF(X319=regle!$D$11,regle!$D$23,
IF(X319=regle!$E$11,regle!$E$23,
IF(X319=regle!$F$11,regle!$F$23,
IF(X319=regle!$G$11,regle!$G$23,
IF(X319=regle!$H$11,regle!$H$23,
IF(X319=regle!$I$11,regle!$I$23,
IF(X319=regle!$J$11,regle!$J$23,
IF(X319=regle!$K$11,regle!$K$23,0))))))))))))</f>
        <v>0</v>
      </c>
      <c r="AI319" s="17">
        <f>IF($A319,$J319*(IF(Y319=regle!$B$11,regle!$B$23*IF(AR319=-2,1+regle!$B$35,1),
IF(Y319=regle!$C$11,regle!$C$23,
IF(Y319=regle!$D$11,regle!$D$23,
IF(Y319=regle!$E$11,regle!$E$23,
IF(Y319=regle!$F$11,regle!$F$23,
IF(Y319=regle!$G$11,regle!$G$23,
IF(Y319=regle!$H$11,regle!$H$23,
IF(Y319=regle!$I$11,regle!$I$23,
IF(Y319=regle!$J$11,regle!$J$23,
IF(Y319=regle!$K$11,regle!$K$23,0))))))))))))</f>
        <v>148.352</v>
      </c>
      <c r="AJ319" s="17">
        <f>IF($A319,$J319*(IF(Z319=regle!$B$11,regle!$B$23*IF(AS319=-2,1+regle!$B$35,1),
IF(Z319=regle!$C$11,regle!$C$23,
IF(Z319=regle!$D$11,regle!$D$23,
IF(Z319=regle!$E$11,regle!$E$23,
IF(Z319=regle!$F$11,regle!$F$23,
IF(Z319=regle!$G$11,regle!$G$23,
IF(Z319=regle!$H$11,regle!$H$23,
IF(Z319=regle!$I$11,regle!$I$23,
IF(Z319=regle!$J$11,regle!$J$23,
IF(Z319=regle!$K$11,regle!$K$23,0))))))))))))</f>
        <v>0</v>
      </c>
      <c r="AK319" s="16">
        <f>IF(OR(Q319=regle!$J$11,Q319=regle!$K$11),-2,IF(Q319=regle!$B$11,0,IF(AK$1=$AK$1,IF($O319,-1,regle!$B$2-$M319),IF(AJ319=-1,-1,AJ319+1))))</f>
        <v>19</v>
      </c>
      <c r="AL319" s="16">
        <f>IF(OR(R319=regle!$J$11,R319=regle!$K$11),-2,IF(R319=regle!$B$11,0,IF(AL$1=$AK$1,IF($O319,-1,regle!$B$2-$M319),IF(AK319=-1,-1,AK319+1))))</f>
        <v>20</v>
      </c>
      <c r="AM319" s="16">
        <f>IF(OR(S319=regle!$J$11,S319=regle!$K$11),-2,IF(S319=regle!$B$11,0,IF(AM$1=$AK$1,IF($O319,-1,regle!$B$2-$M319),IF(AL319=-1,-1,AL319+1))))</f>
        <v>21</v>
      </c>
      <c r="AN319" s="16">
        <f>IF(OR(T319=regle!$J$11,T319=regle!$K$11),-2,IF(T319=regle!$B$11,0,IF(AN$1=$AK$1,IF($O319,-1,regle!$B$2-$M319),IF(AM319=-1,-1,AM319+1))))</f>
        <v>22</v>
      </c>
      <c r="AO319" s="16">
        <f>IF(OR(U319=regle!$J$11,U319=regle!$K$11),-2,IF(U319=regle!$B$11,0,IF(AO$1=$AK$1,IF($O319,-1,regle!$B$2-$M319),IF(AN319=-1,-1,AN319+1))))</f>
        <v>23</v>
      </c>
      <c r="AP319" s="16">
        <f>IF(OR(V319=regle!$J$11,V319=regle!$K$11),-2,IF(V319=regle!$B$11,0,IF(AP$1=$AK$1,IF($O319,-1,regle!$B$2-$M319),IF(AO319=-1,-1,AO319+1))))</f>
        <v>24</v>
      </c>
      <c r="AQ319" s="16">
        <f>IF(OR(W319=regle!$J$11,W319=regle!$K$11),-2,IF(W319=regle!$B$11,0,IF(AQ$1=$AK$1,IF($O319,-1,regle!$B$2-$M319),IF(AP319=-1,-1,AP319+1))))</f>
        <v>25</v>
      </c>
      <c r="AR319" s="16">
        <f>IF(OR(X319=regle!$J$11,X319=regle!$K$11),-2,IF(X319=regle!$B$11,0,IF(AR$1=$AK$1,IF($O319,-1,regle!$B$2-$M319),IF(AQ319=-1,-1,AQ319+1))))</f>
        <v>26</v>
      </c>
      <c r="AS319" s="16">
        <f>IF(OR(Y319=regle!$J$11,Y319=regle!$K$11),-2,IF(Y319=regle!$B$11,0,IF(AS$1=$AK$1,IF($O319,-1,regle!$B$2-$M319),IF(AR319=-1,-1,AR319+1))))</f>
        <v>27</v>
      </c>
      <c r="AT319" s="16">
        <f>IF(OR(Z319=regle!$J$11,Z319=regle!$K$11),-2,IF(Z319=regle!$B$11,0,IF(AT$1=$AK$1,IF($O319,-1,regle!$B$2-$M319),IF(AS319=-1,-1,AS319+1))))</f>
        <v>28</v>
      </c>
    </row>
    <row r="320" spans="1:46" x14ac:dyDescent="0.25">
      <c r="A320" t="b">
        <f>modif0!A63</f>
        <v>1</v>
      </c>
      <c r="B320">
        <f>ROW(modif0!B63)</f>
        <v>63</v>
      </c>
      <c r="C320" t="str">
        <f>modif0!D63</f>
        <v>536</v>
      </c>
      <c r="D320" t="str">
        <f>modif0!E63</f>
        <v>LE TUZAN</v>
      </c>
      <c r="E320">
        <f>modif0!F63</f>
        <v>21</v>
      </c>
      <c r="F320" t="str">
        <f>modif0!G63</f>
        <v>METAIRIES DE TABARTON</v>
      </c>
      <c r="G320" t="str">
        <f>modif0!I63</f>
        <v>0A</v>
      </c>
      <c r="H320">
        <f>modif0!J63</f>
        <v>523</v>
      </c>
      <c r="I320" t="str">
        <f>modif0!K63</f>
        <v>l</v>
      </c>
      <c r="J320" s="11">
        <f>modif0!M63</f>
        <v>0.1149</v>
      </c>
      <c r="K320" s="11" t="str">
        <f>modif0!P63</f>
        <v>PLA</v>
      </c>
      <c r="L320" t="str">
        <f>modif0!N63</f>
        <v>PM</v>
      </c>
      <c r="M320">
        <f>modif0!Q63</f>
        <v>2005</v>
      </c>
      <c r="N320" t="str">
        <f>modif0!R63</f>
        <v>PLA-PM_2005</v>
      </c>
      <c r="O320" t="b">
        <f>modif0!S63</f>
        <v>0</v>
      </c>
      <c r="P320">
        <v>40</v>
      </c>
      <c r="T320" t="s">
        <v>1805</v>
      </c>
      <c r="Y320" t="s">
        <v>1806</v>
      </c>
      <c r="AA320" s="17">
        <f>IF($A320,$J320*(IF(Q320=regle!$B$11,regle!$B$23*IF(AJ320=-2,1+regle!$B$35,1),
IF(Q320=regle!$C$11,regle!$C$23,
IF(Q320=regle!$D$11,regle!$D$23,
IF(Q320=regle!$E$11,regle!$E$23,
IF(Q320=regle!$F$11,regle!$F$23,
IF(Q320=regle!$G$11,regle!$G$23,
IF(Q320=regle!$H$11,regle!$H$23,
IF(Q320=regle!$I$11,regle!$I$23,
IF(Q320=regle!$J$11,regle!$J$23,
IF(Q320=regle!$K$11,regle!$K$23,0))))))))))))</f>
        <v>0</v>
      </c>
      <c r="AB320" s="17">
        <f>IF($A320,$J320*(IF(R320=regle!$B$11,regle!$B$23*IF(AK320=-2,1+regle!$B$35,1),
IF(R320=regle!$C$11,regle!$C$23,
IF(R320=regle!$D$11,regle!$D$23,
IF(R320=regle!$E$11,regle!$E$23,
IF(R320=regle!$F$11,regle!$F$23,
IF(R320=regle!$G$11,regle!$G$23,
IF(R320=regle!$H$11,regle!$H$23,
IF(R320=regle!$I$11,regle!$I$23,
IF(R320=regle!$J$11,regle!$J$23,
IF(R320=regle!$K$11,regle!$K$23,0))))))))))))</f>
        <v>0</v>
      </c>
      <c r="AC320" s="17">
        <f>IF($A320,$J320*(IF(S320=regle!$B$11,regle!$B$23*IF(AL320=-2,1+regle!$B$35,1),
IF(S320=regle!$C$11,regle!$C$23,
IF(S320=regle!$D$11,regle!$D$23,
IF(S320=regle!$E$11,regle!$E$23,
IF(S320=regle!$F$11,regle!$F$23,
IF(S320=regle!$G$11,regle!$G$23,
IF(S320=regle!$H$11,regle!$H$23,
IF(S320=regle!$I$11,regle!$I$23,
IF(S320=regle!$J$11,regle!$J$23,
IF(S320=regle!$K$11,regle!$K$23,0))))))))))))</f>
        <v>0</v>
      </c>
      <c r="AD320" s="17">
        <f>IF($A320,$J320*(IF(T320=regle!$B$11,regle!$B$23*IF(AM320=-2,1+regle!$B$35,1),
IF(T320=regle!$C$11,regle!$C$23,
IF(T320=regle!$D$11,regle!$D$23,
IF(T320=regle!$E$11,regle!$E$23,
IF(T320=regle!$F$11,regle!$F$23,
IF(T320=regle!$G$11,regle!$G$23,
IF(T320=regle!$H$11,regle!$H$23,
IF(T320=regle!$I$11,regle!$I$23,
IF(T320=regle!$J$11,regle!$J$23,
IF(T320=regle!$K$11,regle!$K$23,0))))))))))))</f>
        <v>161.7792</v>
      </c>
      <c r="AE320" s="17">
        <f>IF($A320,$J320*(IF(U320=regle!$B$11,regle!$B$23*IF(AN320=-2,1+regle!$B$35,1),
IF(U320=regle!$C$11,regle!$C$23,
IF(U320=regle!$D$11,regle!$D$23,
IF(U320=regle!$E$11,regle!$E$23,
IF(U320=regle!$F$11,regle!$F$23,
IF(U320=regle!$G$11,regle!$G$23,
IF(U320=regle!$H$11,regle!$H$23,
IF(U320=regle!$I$11,regle!$I$23,
IF(U320=regle!$J$11,regle!$J$23,
IF(U320=regle!$K$11,regle!$K$23,0))))))))))))</f>
        <v>0</v>
      </c>
      <c r="AF320" s="17">
        <f>IF($A320,$J320*(IF(V320=regle!$B$11,regle!$B$23*IF(AO320=-2,1+regle!$B$35,1),
IF(V320=regle!$C$11,regle!$C$23,
IF(V320=regle!$D$11,regle!$D$23,
IF(V320=regle!$E$11,regle!$E$23,
IF(V320=regle!$F$11,regle!$F$23,
IF(V320=regle!$G$11,regle!$G$23,
IF(V320=regle!$H$11,regle!$H$23,
IF(V320=regle!$I$11,regle!$I$23,
IF(V320=regle!$J$11,regle!$J$23,
IF(V320=regle!$K$11,regle!$K$23,0))))))))))))</f>
        <v>0</v>
      </c>
      <c r="AG320" s="17">
        <f>IF($A320,$J320*(IF(W320=regle!$B$11,regle!$B$23*IF(AP320=-2,1+regle!$B$35,1),
IF(W320=regle!$C$11,regle!$C$23,
IF(W320=regle!$D$11,regle!$D$23,
IF(W320=regle!$E$11,regle!$E$23,
IF(W320=regle!$F$11,regle!$F$23,
IF(W320=regle!$G$11,regle!$G$23,
IF(W320=regle!$H$11,regle!$H$23,
IF(W320=regle!$I$11,regle!$I$23,
IF(W320=regle!$J$11,regle!$J$23,
IF(W320=regle!$K$11,regle!$K$23,0))))))))))))</f>
        <v>0</v>
      </c>
      <c r="AH320" s="17">
        <f>IF($A320,$J320*(IF(X320=regle!$B$11,regle!$B$23*IF(AQ320=-2,1+regle!$B$35,1),
IF(X320=regle!$C$11,regle!$C$23,
IF(X320=regle!$D$11,regle!$D$23,
IF(X320=regle!$E$11,regle!$E$23,
IF(X320=regle!$F$11,regle!$F$23,
IF(X320=regle!$G$11,regle!$G$23,
IF(X320=regle!$H$11,regle!$H$23,
IF(X320=regle!$I$11,regle!$I$23,
IF(X320=regle!$J$11,regle!$J$23,
IF(X320=regle!$K$11,regle!$K$23,0))))))))))))</f>
        <v>0</v>
      </c>
      <c r="AI320" s="17">
        <f>IF($A320,$J320*(IF(Y320=regle!$B$11,regle!$B$23*IF(AR320=-2,1+regle!$B$35,1),
IF(Y320=regle!$C$11,regle!$C$23,
IF(Y320=regle!$D$11,regle!$D$23,
IF(Y320=regle!$E$11,regle!$E$23,
IF(Y320=regle!$F$11,regle!$F$23,
IF(Y320=regle!$G$11,regle!$G$23,
IF(Y320=regle!$H$11,regle!$H$23,
IF(Y320=regle!$I$11,regle!$I$23,
IF(Y320=regle!$J$11,regle!$J$23,
IF(Y320=regle!$K$11,regle!$K$23,0))))))))))))</f>
        <v>147.072</v>
      </c>
      <c r="AJ320" s="17">
        <f>IF($A320,$J320*(IF(Z320=regle!$B$11,regle!$B$23*IF(AS320=-2,1+regle!$B$35,1),
IF(Z320=regle!$C$11,regle!$C$23,
IF(Z320=regle!$D$11,regle!$D$23,
IF(Z320=regle!$E$11,regle!$E$23,
IF(Z320=regle!$F$11,regle!$F$23,
IF(Z320=regle!$G$11,regle!$G$23,
IF(Z320=regle!$H$11,regle!$H$23,
IF(Z320=regle!$I$11,regle!$I$23,
IF(Z320=regle!$J$11,regle!$J$23,
IF(Z320=regle!$K$11,regle!$K$23,0))))))))))))</f>
        <v>0</v>
      </c>
      <c r="AK320" s="16">
        <f>IF(OR(Q320=regle!$J$11,Q320=regle!$K$11),-2,IF(Q320=regle!$B$11,0,IF(AK$1=$AK$1,IF($O320,-1,regle!$B$2-$M320),IF(AJ320=-1,-1,AJ320+1))))</f>
        <v>19</v>
      </c>
      <c r="AL320" s="16">
        <f>IF(OR(R320=regle!$J$11,R320=regle!$K$11),-2,IF(R320=regle!$B$11,0,IF(AL$1=$AK$1,IF($O320,-1,regle!$B$2-$M320),IF(AK320=-1,-1,AK320+1))))</f>
        <v>20</v>
      </c>
      <c r="AM320" s="16">
        <f>IF(OR(S320=regle!$J$11,S320=regle!$K$11),-2,IF(S320=regle!$B$11,0,IF(AM$1=$AK$1,IF($O320,-1,regle!$B$2-$M320),IF(AL320=-1,-1,AL320+1))))</f>
        <v>21</v>
      </c>
      <c r="AN320" s="16">
        <f>IF(OR(T320=regle!$J$11,T320=regle!$K$11),-2,IF(T320=regle!$B$11,0,IF(AN$1=$AK$1,IF($O320,-1,regle!$B$2-$M320),IF(AM320=-1,-1,AM320+1))))</f>
        <v>22</v>
      </c>
      <c r="AO320" s="16">
        <f>IF(OR(U320=regle!$J$11,U320=regle!$K$11),-2,IF(U320=regle!$B$11,0,IF(AO$1=$AK$1,IF($O320,-1,regle!$B$2-$M320),IF(AN320=-1,-1,AN320+1))))</f>
        <v>23</v>
      </c>
      <c r="AP320" s="16">
        <f>IF(OR(V320=regle!$J$11,V320=regle!$K$11),-2,IF(V320=regle!$B$11,0,IF(AP$1=$AK$1,IF($O320,-1,regle!$B$2-$M320),IF(AO320=-1,-1,AO320+1))))</f>
        <v>24</v>
      </c>
      <c r="AQ320" s="16">
        <f>IF(OR(W320=regle!$J$11,W320=regle!$K$11),-2,IF(W320=regle!$B$11,0,IF(AQ$1=$AK$1,IF($O320,-1,regle!$B$2-$M320),IF(AP320=-1,-1,AP320+1))))</f>
        <v>25</v>
      </c>
      <c r="AR320" s="16">
        <f>IF(OR(X320=regle!$J$11,X320=regle!$K$11),-2,IF(X320=regle!$B$11,0,IF(AR$1=$AK$1,IF($O320,-1,regle!$B$2-$M320),IF(AQ320=-1,-1,AQ320+1))))</f>
        <v>26</v>
      </c>
      <c r="AS320" s="16">
        <f>IF(OR(Y320=regle!$J$11,Y320=regle!$K$11),-2,IF(Y320=regle!$B$11,0,IF(AS$1=$AK$1,IF($O320,-1,regle!$B$2-$M320),IF(AR320=-1,-1,AR320+1))))</f>
        <v>27</v>
      </c>
      <c r="AT320" s="16">
        <f>IF(OR(Z320=regle!$J$11,Z320=regle!$K$11),-2,IF(Z320=regle!$B$11,0,IF(AT$1=$AK$1,IF($O320,-1,regle!$B$2-$M320),IF(AS320=-1,-1,AS320+1))))</f>
        <v>28</v>
      </c>
    </row>
    <row r="321" spans="1:46" x14ac:dyDescent="0.25">
      <c r="A321" t="b">
        <f>modif0!A97</f>
        <v>1</v>
      </c>
      <c r="B321">
        <f>ROW(modif0!B97)</f>
        <v>97</v>
      </c>
      <c r="C321" t="str">
        <f>modif0!D97</f>
        <v>197</v>
      </c>
      <c r="D321" t="str">
        <f>modif0!E97</f>
        <v>GUILLOS</v>
      </c>
      <c r="E321">
        <f>modif0!F97</f>
        <v>22</v>
      </c>
      <c r="F321" t="str">
        <f>modif0!G97</f>
        <v>LE TRETIN DES JEANNOTS</v>
      </c>
      <c r="G321" t="str">
        <f>modif0!I97</f>
        <v>0A</v>
      </c>
      <c r="H321">
        <f>modif0!J97</f>
        <v>987</v>
      </c>
      <c r="I321" t="str">
        <f>modif0!K97</f>
        <v/>
      </c>
      <c r="J321" s="11">
        <f>modif0!M97</f>
        <v>0.1043</v>
      </c>
      <c r="K321" s="11" t="str">
        <f>modif0!P97</f>
        <v>PLA</v>
      </c>
      <c r="L321" t="str">
        <f>modif0!N97</f>
        <v>PM</v>
      </c>
      <c r="M321">
        <f>modif0!Q97</f>
        <v>2005</v>
      </c>
      <c r="N321" t="str">
        <f>modif0!R97</f>
        <v>PLA-PM_2005</v>
      </c>
      <c r="O321" t="b">
        <f>modif0!S97</f>
        <v>0</v>
      </c>
      <c r="P321">
        <v>40</v>
      </c>
      <c r="T321" t="s">
        <v>1805</v>
      </c>
      <c r="Y321" t="s">
        <v>1806</v>
      </c>
      <c r="AA321" s="17">
        <f>IF($A321,$J321*(IF(Q321=regle!$B$11,regle!$B$23*IF(AJ321=-2,1+regle!$B$35,1),
IF(Q321=regle!$C$11,regle!$C$23,
IF(Q321=regle!$D$11,regle!$D$23,
IF(Q321=regle!$E$11,regle!$E$23,
IF(Q321=regle!$F$11,regle!$F$23,
IF(Q321=regle!$G$11,regle!$G$23,
IF(Q321=regle!$H$11,regle!$H$23,
IF(Q321=regle!$I$11,regle!$I$23,
IF(Q321=regle!$J$11,regle!$J$23,
IF(Q321=regle!$K$11,regle!$K$23,0))))))))))))</f>
        <v>0</v>
      </c>
      <c r="AB321" s="17">
        <f>IF($A321,$J321*(IF(R321=regle!$B$11,regle!$B$23*IF(AK321=-2,1+regle!$B$35,1),
IF(R321=regle!$C$11,regle!$C$23,
IF(R321=regle!$D$11,regle!$D$23,
IF(R321=regle!$E$11,regle!$E$23,
IF(R321=regle!$F$11,regle!$F$23,
IF(R321=regle!$G$11,regle!$G$23,
IF(R321=regle!$H$11,regle!$H$23,
IF(R321=regle!$I$11,regle!$I$23,
IF(R321=regle!$J$11,regle!$J$23,
IF(R321=regle!$K$11,regle!$K$23,0))))))))))))</f>
        <v>0</v>
      </c>
      <c r="AC321" s="17">
        <f>IF($A321,$J321*(IF(S321=regle!$B$11,regle!$B$23*IF(AL321=-2,1+regle!$B$35,1),
IF(S321=regle!$C$11,regle!$C$23,
IF(S321=regle!$D$11,regle!$D$23,
IF(S321=regle!$E$11,regle!$E$23,
IF(S321=regle!$F$11,regle!$F$23,
IF(S321=regle!$G$11,regle!$G$23,
IF(S321=regle!$H$11,regle!$H$23,
IF(S321=regle!$I$11,regle!$I$23,
IF(S321=regle!$J$11,regle!$J$23,
IF(S321=regle!$K$11,regle!$K$23,0))))))))))))</f>
        <v>0</v>
      </c>
      <c r="AD321" s="17">
        <f>IF($A321,$J321*(IF(T321=regle!$B$11,regle!$B$23*IF(AM321=-2,1+regle!$B$35,1),
IF(T321=regle!$C$11,regle!$C$23,
IF(T321=regle!$D$11,regle!$D$23,
IF(T321=regle!$E$11,regle!$E$23,
IF(T321=regle!$F$11,regle!$F$23,
IF(T321=regle!$G$11,regle!$G$23,
IF(T321=regle!$H$11,regle!$H$23,
IF(T321=regle!$I$11,regle!$I$23,
IF(T321=regle!$J$11,regle!$J$23,
IF(T321=regle!$K$11,regle!$K$23,0))))))))))))</f>
        <v>146.8544</v>
      </c>
      <c r="AE321" s="17">
        <f>IF($A321,$J321*(IF(U321=regle!$B$11,regle!$B$23*IF(AN321=-2,1+regle!$B$35,1),
IF(U321=regle!$C$11,regle!$C$23,
IF(U321=regle!$D$11,regle!$D$23,
IF(U321=regle!$E$11,regle!$E$23,
IF(U321=regle!$F$11,regle!$F$23,
IF(U321=regle!$G$11,regle!$G$23,
IF(U321=regle!$H$11,regle!$H$23,
IF(U321=regle!$I$11,regle!$I$23,
IF(U321=regle!$J$11,regle!$J$23,
IF(U321=regle!$K$11,regle!$K$23,0))))))))))))</f>
        <v>0</v>
      </c>
      <c r="AF321" s="17">
        <f>IF($A321,$J321*(IF(V321=regle!$B$11,regle!$B$23*IF(AO321=-2,1+regle!$B$35,1),
IF(V321=regle!$C$11,regle!$C$23,
IF(V321=regle!$D$11,regle!$D$23,
IF(V321=regle!$E$11,regle!$E$23,
IF(V321=regle!$F$11,regle!$F$23,
IF(V321=regle!$G$11,regle!$G$23,
IF(V321=regle!$H$11,regle!$H$23,
IF(V321=regle!$I$11,regle!$I$23,
IF(V321=regle!$J$11,regle!$J$23,
IF(V321=regle!$K$11,regle!$K$23,0))))))))))))</f>
        <v>0</v>
      </c>
      <c r="AG321" s="17">
        <f>IF($A321,$J321*(IF(W321=regle!$B$11,regle!$B$23*IF(AP321=-2,1+regle!$B$35,1),
IF(W321=regle!$C$11,regle!$C$23,
IF(W321=regle!$D$11,regle!$D$23,
IF(W321=regle!$E$11,regle!$E$23,
IF(W321=regle!$F$11,regle!$F$23,
IF(W321=regle!$G$11,regle!$G$23,
IF(W321=regle!$H$11,regle!$H$23,
IF(W321=regle!$I$11,regle!$I$23,
IF(W321=regle!$J$11,regle!$J$23,
IF(W321=regle!$K$11,regle!$K$23,0))))))))))))</f>
        <v>0</v>
      </c>
      <c r="AH321" s="17">
        <f>IF($A321,$J321*(IF(X321=regle!$B$11,regle!$B$23*IF(AQ321=-2,1+regle!$B$35,1),
IF(X321=regle!$C$11,regle!$C$23,
IF(X321=regle!$D$11,regle!$D$23,
IF(X321=regle!$E$11,regle!$E$23,
IF(X321=regle!$F$11,regle!$F$23,
IF(X321=regle!$G$11,regle!$G$23,
IF(X321=regle!$H$11,regle!$H$23,
IF(X321=regle!$I$11,regle!$I$23,
IF(X321=regle!$J$11,regle!$J$23,
IF(X321=regle!$K$11,regle!$K$23,0))))))))))))</f>
        <v>0</v>
      </c>
      <c r="AI321" s="17">
        <f>IF($A321,$J321*(IF(Y321=regle!$B$11,regle!$B$23*IF(AR321=-2,1+regle!$B$35,1),
IF(Y321=regle!$C$11,regle!$C$23,
IF(Y321=regle!$D$11,regle!$D$23,
IF(Y321=regle!$E$11,regle!$E$23,
IF(Y321=regle!$F$11,regle!$F$23,
IF(Y321=regle!$G$11,regle!$G$23,
IF(Y321=regle!$H$11,regle!$H$23,
IF(Y321=regle!$I$11,regle!$I$23,
IF(Y321=regle!$J$11,regle!$J$23,
IF(Y321=regle!$K$11,regle!$K$23,0))))))))))))</f>
        <v>133.50400000000002</v>
      </c>
      <c r="AJ321" s="17">
        <f>IF($A321,$J321*(IF(Z321=regle!$B$11,regle!$B$23*IF(AS321=-2,1+regle!$B$35,1),
IF(Z321=regle!$C$11,regle!$C$23,
IF(Z321=regle!$D$11,regle!$D$23,
IF(Z321=regle!$E$11,regle!$E$23,
IF(Z321=regle!$F$11,regle!$F$23,
IF(Z321=regle!$G$11,regle!$G$23,
IF(Z321=regle!$H$11,regle!$H$23,
IF(Z321=regle!$I$11,regle!$I$23,
IF(Z321=regle!$J$11,regle!$J$23,
IF(Z321=regle!$K$11,regle!$K$23,0))))))))))))</f>
        <v>0</v>
      </c>
      <c r="AK321" s="16">
        <f>IF(OR(Q321=regle!$J$11,Q321=regle!$K$11),-2,IF(Q321=regle!$B$11,0,IF(AK$1=$AK$1,IF($O321,-1,regle!$B$2-$M321),IF(AJ321=-1,-1,AJ321+1))))</f>
        <v>19</v>
      </c>
      <c r="AL321" s="16">
        <f>IF(OR(R321=regle!$J$11,R321=regle!$K$11),-2,IF(R321=regle!$B$11,0,IF(AL$1=$AK$1,IF($O321,-1,regle!$B$2-$M321),IF(AK321=-1,-1,AK321+1))))</f>
        <v>20</v>
      </c>
      <c r="AM321" s="16">
        <f>IF(OR(S321=regle!$J$11,S321=regle!$K$11),-2,IF(S321=regle!$B$11,0,IF(AM$1=$AK$1,IF($O321,-1,regle!$B$2-$M321),IF(AL321=-1,-1,AL321+1))))</f>
        <v>21</v>
      </c>
      <c r="AN321" s="16">
        <f>IF(OR(T321=regle!$J$11,T321=regle!$K$11),-2,IF(T321=regle!$B$11,0,IF(AN$1=$AK$1,IF($O321,-1,regle!$B$2-$M321),IF(AM321=-1,-1,AM321+1))))</f>
        <v>22</v>
      </c>
      <c r="AO321" s="16">
        <f>IF(OR(U321=regle!$J$11,U321=regle!$K$11),-2,IF(U321=regle!$B$11,0,IF(AO$1=$AK$1,IF($O321,-1,regle!$B$2-$M321),IF(AN321=-1,-1,AN321+1))))</f>
        <v>23</v>
      </c>
      <c r="AP321" s="16">
        <f>IF(OR(V321=regle!$J$11,V321=regle!$K$11),-2,IF(V321=regle!$B$11,0,IF(AP$1=$AK$1,IF($O321,-1,regle!$B$2-$M321),IF(AO321=-1,-1,AO321+1))))</f>
        <v>24</v>
      </c>
      <c r="AQ321" s="16">
        <f>IF(OR(W321=regle!$J$11,W321=regle!$K$11),-2,IF(W321=regle!$B$11,0,IF(AQ$1=$AK$1,IF($O321,-1,regle!$B$2-$M321),IF(AP321=-1,-1,AP321+1))))</f>
        <v>25</v>
      </c>
      <c r="AR321" s="16">
        <f>IF(OR(X321=regle!$J$11,X321=regle!$K$11),-2,IF(X321=regle!$B$11,0,IF(AR$1=$AK$1,IF($O321,-1,regle!$B$2-$M321),IF(AQ321=-1,-1,AQ321+1))))</f>
        <v>26</v>
      </c>
      <c r="AS321" s="16">
        <f>IF(OR(Y321=regle!$J$11,Y321=regle!$K$11),-2,IF(Y321=regle!$B$11,0,IF(AS$1=$AK$1,IF($O321,-1,regle!$B$2-$M321),IF(AR321=-1,-1,AR321+1))))</f>
        <v>27</v>
      </c>
      <c r="AT321" s="16">
        <f>IF(OR(Z321=regle!$J$11,Z321=regle!$K$11),-2,IF(Z321=regle!$B$11,0,IF(AT$1=$AK$1,IF($O321,-1,regle!$B$2-$M321),IF(AS321=-1,-1,AS321+1))))</f>
        <v>28</v>
      </c>
    </row>
    <row r="322" spans="1:46" x14ac:dyDescent="0.25">
      <c r="A322" t="b">
        <f>modif0!A72</f>
        <v>1</v>
      </c>
      <c r="B322">
        <f>ROW(modif0!B72)</f>
        <v>72</v>
      </c>
      <c r="C322" t="str">
        <f>modif0!D72</f>
        <v>536</v>
      </c>
      <c r="D322" t="str">
        <f>modif0!E72</f>
        <v>LE TUZAN</v>
      </c>
      <c r="E322">
        <f>modif0!F72</f>
        <v>21</v>
      </c>
      <c r="F322" t="str">
        <f>modif0!G72</f>
        <v>METAIRIES DE TABARTON</v>
      </c>
      <c r="G322" t="str">
        <f>modif0!I72</f>
        <v>0A</v>
      </c>
      <c r="H322">
        <f>modif0!J72</f>
        <v>528</v>
      </c>
      <c r="I322" t="str">
        <f>modif0!K72</f>
        <v>j</v>
      </c>
      <c r="J322" s="11">
        <f>modif0!M72</f>
        <v>9.3799999999999994E-2</v>
      </c>
      <c r="K322" s="11" t="str">
        <f>modif0!P72</f>
        <v>PLA</v>
      </c>
      <c r="L322" t="str">
        <f>modif0!N72</f>
        <v>PM</v>
      </c>
      <c r="M322">
        <f>modif0!Q72</f>
        <v>2005</v>
      </c>
      <c r="N322" t="str">
        <f>modif0!R72</f>
        <v>PLA-PM_2005</v>
      </c>
      <c r="O322" t="b">
        <f>modif0!S72</f>
        <v>0</v>
      </c>
      <c r="P322">
        <v>40</v>
      </c>
      <c r="T322" t="s">
        <v>1805</v>
      </c>
      <c r="Y322" t="s">
        <v>1806</v>
      </c>
      <c r="AA322" s="17">
        <f>IF($A322,$J322*(IF(Q322=regle!$B$11,regle!$B$23*IF(AJ322=-2,1+regle!$B$35,1),
IF(Q322=regle!$C$11,regle!$C$23,
IF(Q322=regle!$D$11,regle!$D$23,
IF(Q322=regle!$E$11,regle!$E$23,
IF(Q322=regle!$F$11,regle!$F$23,
IF(Q322=regle!$G$11,regle!$G$23,
IF(Q322=regle!$H$11,regle!$H$23,
IF(Q322=regle!$I$11,regle!$I$23,
IF(Q322=regle!$J$11,regle!$J$23,
IF(Q322=regle!$K$11,regle!$K$23,0))))))))))))</f>
        <v>0</v>
      </c>
      <c r="AB322" s="17">
        <f>IF($A322,$J322*(IF(R322=regle!$B$11,regle!$B$23*IF(AK322=-2,1+regle!$B$35,1),
IF(R322=regle!$C$11,regle!$C$23,
IF(R322=regle!$D$11,regle!$D$23,
IF(R322=regle!$E$11,regle!$E$23,
IF(R322=regle!$F$11,regle!$F$23,
IF(R322=regle!$G$11,regle!$G$23,
IF(R322=regle!$H$11,regle!$H$23,
IF(R322=regle!$I$11,regle!$I$23,
IF(R322=regle!$J$11,regle!$J$23,
IF(R322=regle!$K$11,regle!$K$23,0))))))))))))</f>
        <v>0</v>
      </c>
      <c r="AC322" s="17">
        <f>IF($A322,$J322*(IF(S322=regle!$B$11,regle!$B$23*IF(AL322=-2,1+regle!$B$35,1),
IF(S322=regle!$C$11,regle!$C$23,
IF(S322=regle!$D$11,regle!$D$23,
IF(S322=regle!$E$11,regle!$E$23,
IF(S322=regle!$F$11,regle!$F$23,
IF(S322=regle!$G$11,regle!$G$23,
IF(S322=regle!$H$11,regle!$H$23,
IF(S322=regle!$I$11,regle!$I$23,
IF(S322=regle!$J$11,regle!$J$23,
IF(S322=regle!$K$11,regle!$K$23,0))))))))))))</f>
        <v>0</v>
      </c>
      <c r="AD322" s="17">
        <f>IF($A322,$J322*(IF(T322=regle!$B$11,regle!$B$23*IF(AM322=-2,1+regle!$B$35,1),
IF(T322=regle!$C$11,regle!$C$23,
IF(T322=regle!$D$11,regle!$D$23,
IF(T322=regle!$E$11,regle!$E$23,
IF(T322=regle!$F$11,regle!$F$23,
IF(T322=regle!$G$11,regle!$G$23,
IF(T322=regle!$H$11,regle!$H$23,
IF(T322=regle!$I$11,regle!$I$23,
IF(T322=regle!$J$11,regle!$J$23,
IF(T322=regle!$K$11,regle!$K$23,0))))))))))))</f>
        <v>132.07040000000001</v>
      </c>
      <c r="AE322" s="17">
        <f>IF($A322,$J322*(IF(U322=regle!$B$11,regle!$B$23*IF(AN322=-2,1+regle!$B$35,1),
IF(U322=regle!$C$11,regle!$C$23,
IF(U322=regle!$D$11,regle!$D$23,
IF(U322=regle!$E$11,regle!$E$23,
IF(U322=regle!$F$11,regle!$F$23,
IF(U322=regle!$G$11,regle!$G$23,
IF(U322=regle!$H$11,regle!$H$23,
IF(U322=regle!$I$11,regle!$I$23,
IF(U322=regle!$J$11,regle!$J$23,
IF(U322=regle!$K$11,regle!$K$23,0))))))))))))</f>
        <v>0</v>
      </c>
      <c r="AF322" s="17">
        <f>IF($A322,$J322*(IF(V322=regle!$B$11,regle!$B$23*IF(AO322=-2,1+regle!$B$35,1),
IF(V322=regle!$C$11,regle!$C$23,
IF(V322=regle!$D$11,regle!$D$23,
IF(V322=regle!$E$11,regle!$E$23,
IF(V322=regle!$F$11,regle!$F$23,
IF(V322=regle!$G$11,regle!$G$23,
IF(V322=regle!$H$11,regle!$H$23,
IF(V322=regle!$I$11,regle!$I$23,
IF(V322=regle!$J$11,regle!$J$23,
IF(V322=regle!$K$11,regle!$K$23,0))))))))))))</f>
        <v>0</v>
      </c>
      <c r="AG322" s="17">
        <f>IF($A322,$J322*(IF(W322=regle!$B$11,regle!$B$23*IF(AP322=-2,1+regle!$B$35,1),
IF(W322=regle!$C$11,regle!$C$23,
IF(W322=regle!$D$11,regle!$D$23,
IF(W322=regle!$E$11,regle!$E$23,
IF(W322=regle!$F$11,regle!$F$23,
IF(W322=regle!$G$11,regle!$G$23,
IF(W322=regle!$H$11,regle!$H$23,
IF(W322=regle!$I$11,regle!$I$23,
IF(W322=regle!$J$11,regle!$J$23,
IF(W322=regle!$K$11,regle!$K$23,0))))))))))))</f>
        <v>0</v>
      </c>
      <c r="AH322" s="17">
        <f>IF($A322,$J322*(IF(X322=regle!$B$11,regle!$B$23*IF(AQ322=-2,1+regle!$B$35,1),
IF(X322=regle!$C$11,regle!$C$23,
IF(X322=regle!$D$11,regle!$D$23,
IF(X322=regle!$E$11,regle!$E$23,
IF(X322=regle!$F$11,regle!$F$23,
IF(X322=regle!$G$11,regle!$G$23,
IF(X322=regle!$H$11,regle!$H$23,
IF(X322=regle!$I$11,regle!$I$23,
IF(X322=regle!$J$11,regle!$J$23,
IF(X322=regle!$K$11,regle!$K$23,0))))))))))))</f>
        <v>0</v>
      </c>
      <c r="AI322" s="17">
        <f>IF($A322,$J322*(IF(Y322=regle!$B$11,regle!$B$23*IF(AR322=-2,1+regle!$B$35,1),
IF(Y322=regle!$C$11,regle!$C$23,
IF(Y322=regle!$D$11,regle!$D$23,
IF(Y322=regle!$E$11,regle!$E$23,
IF(Y322=regle!$F$11,regle!$F$23,
IF(Y322=regle!$G$11,regle!$G$23,
IF(Y322=regle!$H$11,regle!$H$23,
IF(Y322=regle!$I$11,regle!$I$23,
IF(Y322=regle!$J$11,regle!$J$23,
IF(Y322=regle!$K$11,regle!$K$23,0))))))))))))</f>
        <v>120.06399999999999</v>
      </c>
      <c r="AJ322" s="17">
        <f>IF($A322,$J322*(IF(Z322=regle!$B$11,regle!$B$23*IF(AS322=-2,1+regle!$B$35,1),
IF(Z322=regle!$C$11,regle!$C$23,
IF(Z322=regle!$D$11,regle!$D$23,
IF(Z322=regle!$E$11,regle!$E$23,
IF(Z322=regle!$F$11,regle!$F$23,
IF(Z322=regle!$G$11,regle!$G$23,
IF(Z322=regle!$H$11,regle!$H$23,
IF(Z322=regle!$I$11,regle!$I$23,
IF(Z322=regle!$J$11,regle!$J$23,
IF(Z322=regle!$K$11,regle!$K$23,0))))))))))))</f>
        <v>0</v>
      </c>
      <c r="AK322" s="16">
        <f>IF(OR(Q322=regle!$J$11,Q322=regle!$K$11),-2,IF(Q322=regle!$B$11,0,IF(AK$1=$AK$1,IF($O322,-1,regle!$B$2-$M322),IF(AJ322=-1,-1,AJ322+1))))</f>
        <v>19</v>
      </c>
      <c r="AL322" s="16">
        <f>IF(OR(R322=regle!$J$11,R322=regle!$K$11),-2,IF(R322=regle!$B$11,0,IF(AL$1=$AK$1,IF($O322,-1,regle!$B$2-$M322),IF(AK322=-1,-1,AK322+1))))</f>
        <v>20</v>
      </c>
      <c r="AM322" s="16">
        <f>IF(OR(S322=regle!$J$11,S322=regle!$K$11),-2,IF(S322=regle!$B$11,0,IF(AM$1=$AK$1,IF($O322,-1,regle!$B$2-$M322),IF(AL322=-1,-1,AL322+1))))</f>
        <v>21</v>
      </c>
      <c r="AN322" s="16">
        <f>IF(OR(T322=regle!$J$11,T322=regle!$K$11),-2,IF(T322=regle!$B$11,0,IF(AN$1=$AK$1,IF($O322,-1,regle!$B$2-$M322),IF(AM322=-1,-1,AM322+1))))</f>
        <v>22</v>
      </c>
      <c r="AO322" s="16">
        <f>IF(OR(U322=regle!$J$11,U322=regle!$K$11),-2,IF(U322=regle!$B$11,0,IF(AO$1=$AK$1,IF($O322,-1,regle!$B$2-$M322),IF(AN322=-1,-1,AN322+1))))</f>
        <v>23</v>
      </c>
      <c r="AP322" s="16">
        <f>IF(OR(V322=regle!$J$11,V322=regle!$K$11),-2,IF(V322=regle!$B$11,0,IF(AP$1=$AK$1,IF($O322,-1,regle!$B$2-$M322),IF(AO322=-1,-1,AO322+1))))</f>
        <v>24</v>
      </c>
      <c r="AQ322" s="16">
        <f>IF(OR(W322=regle!$J$11,W322=regle!$K$11),-2,IF(W322=regle!$B$11,0,IF(AQ$1=$AK$1,IF($O322,-1,regle!$B$2-$M322),IF(AP322=-1,-1,AP322+1))))</f>
        <v>25</v>
      </c>
      <c r="AR322" s="16">
        <f>IF(OR(X322=regle!$J$11,X322=regle!$K$11),-2,IF(X322=regle!$B$11,0,IF(AR$1=$AK$1,IF($O322,-1,regle!$B$2-$M322),IF(AQ322=-1,-1,AQ322+1))))</f>
        <v>26</v>
      </c>
      <c r="AS322" s="16">
        <f>IF(OR(Y322=regle!$J$11,Y322=regle!$K$11),-2,IF(Y322=regle!$B$11,0,IF(AS$1=$AK$1,IF($O322,-1,regle!$B$2-$M322),IF(AR322=-1,-1,AR322+1))))</f>
        <v>27</v>
      </c>
      <c r="AT322" s="16">
        <f>IF(OR(Z322=regle!$J$11,Z322=regle!$K$11),-2,IF(Z322=regle!$B$11,0,IF(AT$1=$AK$1,IF($O322,-1,regle!$B$2-$M322),IF(AS322=-1,-1,AS322+1))))</f>
        <v>28</v>
      </c>
    </row>
    <row r="323" spans="1:46" x14ac:dyDescent="0.25">
      <c r="A323" t="b">
        <f>modif0!A34</f>
        <v>1</v>
      </c>
      <c r="B323">
        <f>ROW(modif0!B34)</f>
        <v>34</v>
      </c>
      <c r="C323" t="str">
        <f>modif0!D34</f>
        <v>536</v>
      </c>
      <c r="D323" t="str">
        <f>modif0!E34</f>
        <v>LE TUZAN</v>
      </c>
      <c r="E323">
        <f>modif0!F34</f>
        <v>21</v>
      </c>
      <c r="F323" t="str">
        <f>modif0!G34</f>
        <v>METAIRIES DE TABARTON</v>
      </c>
      <c r="G323" t="str">
        <f>modif0!I34</f>
        <v>0A</v>
      </c>
      <c r="H323">
        <f>modif0!J34</f>
        <v>416</v>
      </c>
      <c r="I323" t="str">
        <f>modif0!K34</f>
        <v>d</v>
      </c>
      <c r="J323" s="11">
        <f>modif0!M34</f>
        <v>8.3699999999999997E-2</v>
      </c>
      <c r="K323" s="11" t="str">
        <f>modif0!P34</f>
        <v>PLA</v>
      </c>
      <c r="L323" t="str">
        <f>modif0!N34</f>
        <v>PM</v>
      </c>
      <c r="M323">
        <f>modif0!Q34</f>
        <v>2005</v>
      </c>
      <c r="N323" t="str">
        <f>modif0!R34</f>
        <v>PLA-PM_2005</v>
      </c>
      <c r="O323" t="b">
        <f>modif0!S34</f>
        <v>0</v>
      </c>
      <c r="P323">
        <v>40</v>
      </c>
      <c r="T323" t="s">
        <v>1805</v>
      </c>
      <c r="Y323" t="s">
        <v>1806</v>
      </c>
      <c r="AA323" s="17">
        <f>IF($A323,$J323*(IF(Q323=regle!$B$11,regle!$B$23*IF(AJ323=-2,1+regle!$B$35,1),
IF(Q323=regle!$C$11,regle!$C$23,
IF(Q323=regle!$D$11,regle!$D$23,
IF(Q323=regle!$E$11,regle!$E$23,
IF(Q323=regle!$F$11,regle!$F$23,
IF(Q323=regle!$G$11,regle!$G$23,
IF(Q323=regle!$H$11,regle!$H$23,
IF(Q323=regle!$I$11,regle!$I$23,
IF(Q323=regle!$J$11,regle!$J$23,
IF(Q323=regle!$K$11,regle!$K$23,0))))))))))))</f>
        <v>0</v>
      </c>
      <c r="AB323" s="17">
        <f>IF($A323,$J323*(IF(R323=regle!$B$11,regle!$B$23*IF(AK323=-2,1+regle!$B$35,1),
IF(R323=regle!$C$11,regle!$C$23,
IF(R323=regle!$D$11,regle!$D$23,
IF(R323=regle!$E$11,regle!$E$23,
IF(R323=regle!$F$11,regle!$F$23,
IF(R323=regle!$G$11,regle!$G$23,
IF(R323=regle!$H$11,regle!$H$23,
IF(R323=regle!$I$11,regle!$I$23,
IF(R323=regle!$J$11,regle!$J$23,
IF(R323=regle!$K$11,regle!$K$23,0))))))))))))</f>
        <v>0</v>
      </c>
      <c r="AC323" s="17">
        <f>IF($A323,$J323*(IF(S323=regle!$B$11,regle!$B$23*IF(AL323=-2,1+regle!$B$35,1),
IF(S323=regle!$C$11,regle!$C$23,
IF(S323=regle!$D$11,regle!$D$23,
IF(S323=regle!$E$11,regle!$E$23,
IF(S323=regle!$F$11,regle!$F$23,
IF(S323=regle!$G$11,regle!$G$23,
IF(S323=regle!$H$11,regle!$H$23,
IF(S323=regle!$I$11,regle!$I$23,
IF(S323=regle!$J$11,regle!$J$23,
IF(S323=regle!$K$11,regle!$K$23,0))))))))))))</f>
        <v>0</v>
      </c>
      <c r="AD323" s="17">
        <f>IF($A323,$J323*(IF(T323=regle!$B$11,regle!$B$23*IF(AM323=-2,1+regle!$B$35,1),
IF(T323=regle!$C$11,regle!$C$23,
IF(T323=regle!$D$11,regle!$D$23,
IF(T323=regle!$E$11,regle!$E$23,
IF(T323=regle!$F$11,regle!$F$23,
IF(T323=regle!$G$11,regle!$G$23,
IF(T323=regle!$H$11,regle!$H$23,
IF(T323=regle!$I$11,regle!$I$23,
IF(T323=regle!$J$11,regle!$J$23,
IF(T323=regle!$K$11,regle!$K$23,0))))))))))))</f>
        <v>117.8496</v>
      </c>
      <c r="AE323" s="17">
        <f>IF($A323,$J323*(IF(U323=regle!$B$11,regle!$B$23*IF(AN323=-2,1+regle!$B$35,1),
IF(U323=regle!$C$11,regle!$C$23,
IF(U323=regle!$D$11,regle!$D$23,
IF(U323=regle!$E$11,regle!$E$23,
IF(U323=regle!$F$11,regle!$F$23,
IF(U323=regle!$G$11,regle!$G$23,
IF(U323=regle!$H$11,regle!$H$23,
IF(U323=regle!$I$11,regle!$I$23,
IF(U323=regle!$J$11,regle!$J$23,
IF(U323=regle!$K$11,regle!$K$23,0))))))))))))</f>
        <v>0</v>
      </c>
      <c r="AF323" s="17">
        <f>IF($A323,$J323*(IF(V323=regle!$B$11,regle!$B$23*IF(AO323=-2,1+regle!$B$35,1),
IF(V323=regle!$C$11,regle!$C$23,
IF(V323=regle!$D$11,regle!$D$23,
IF(V323=regle!$E$11,regle!$E$23,
IF(V323=regle!$F$11,regle!$F$23,
IF(V323=regle!$G$11,regle!$G$23,
IF(V323=regle!$H$11,regle!$H$23,
IF(V323=regle!$I$11,regle!$I$23,
IF(V323=regle!$J$11,regle!$J$23,
IF(V323=regle!$K$11,regle!$K$23,0))))))))))))</f>
        <v>0</v>
      </c>
      <c r="AG323" s="17">
        <f>IF($A323,$J323*(IF(W323=regle!$B$11,regle!$B$23*IF(AP323=-2,1+regle!$B$35,1),
IF(W323=regle!$C$11,regle!$C$23,
IF(W323=regle!$D$11,regle!$D$23,
IF(W323=regle!$E$11,regle!$E$23,
IF(W323=regle!$F$11,regle!$F$23,
IF(W323=regle!$G$11,regle!$G$23,
IF(W323=regle!$H$11,regle!$H$23,
IF(W323=regle!$I$11,regle!$I$23,
IF(W323=regle!$J$11,regle!$J$23,
IF(W323=regle!$K$11,regle!$K$23,0))))))))))))</f>
        <v>0</v>
      </c>
      <c r="AH323" s="17">
        <f>IF($A323,$J323*(IF(X323=regle!$B$11,regle!$B$23*IF(AQ323=-2,1+regle!$B$35,1),
IF(X323=regle!$C$11,regle!$C$23,
IF(X323=regle!$D$11,regle!$D$23,
IF(X323=regle!$E$11,regle!$E$23,
IF(X323=regle!$F$11,regle!$F$23,
IF(X323=regle!$G$11,regle!$G$23,
IF(X323=regle!$H$11,regle!$H$23,
IF(X323=regle!$I$11,regle!$I$23,
IF(X323=regle!$J$11,regle!$J$23,
IF(X323=regle!$K$11,regle!$K$23,0))))))))))))</f>
        <v>0</v>
      </c>
      <c r="AI323" s="17">
        <f>IF($A323,$J323*(IF(Y323=regle!$B$11,regle!$B$23*IF(AR323=-2,1+regle!$B$35,1),
IF(Y323=regle!$C$11,regle!$C$23,
IF(Y323=regle!$D$11,regle!$D$23,
IF(Y323=regle!$E$11,regle!$E$23,
IF(Y323=regle!$F$11,regle!$F$23,
IF(Y323=regle!$G$11,regle!$G$23,
IF(Y323=regle!$H$11,regle!$H$23,
IF(Y323=regle!$I$11,regle!$I$23,
IF(Y323=regle!$J$11,regle!$J$23,
IF(Y323=regle!$K$11,regle!$K$23,0))))))))))))</f>
        <v>107.136</v>
      </c>
      <c r="AJ323" s="17">
        <f>IF($A323,$J323*(IF(Z323=regle!$B$11,regle!$B$23*IF(AS323=-2,1+regle!$B$35,1),
IF(Z323=regle!$C$11,regle!$C$23,
IF(Z323=regle!$D$11,regle!$D$23,
IF(Z323=regle!$E$11,regle!$E$23,
IF(Z323=regle!$F$11,regle!$F$23,
IF(Z323=regle!$G$11,regle!$G$23,
IF(Z323=regle!$H$11,regle!$H$23,
IF(Z323=regle!$I$11,regle!$I$23,
IF(Z323=regle!$J$11,regle!$J$23,
IF(Z323=regle!$K$11,regle!$K$23,0))))))))))))</f>
        <v>0</v>
      </c>
      <c r="AK323" s="16">
        <f>IF(OR(Q323=regle!$J$11,Q323=regle!$K$11),-2,IF(Q323=regle!$B$11,0,IF(AK$1=$AK$1,IF($O323,-1,regle!$B$2-$M323),IF(AJ323=-1,-1,AJ323+1))))</f>
        <v>19</v>
      </c>
      <c r="AL323" s="16">
        <f>IF(OR(R323=regle!$J$11,R323=regle!$K$11),-2,IF(R323=regle!$B$11,0,IF(AL$1=$AK$1,IF($O323,-1,regle!$B$2-$M323),IF(AK323=-1,-1,AK323+1))))</f>
        <v>20</v>
      </c>
      <c r="AM323" s="16">
        <f>IF(OR(S323=regle!$J$11,S323=regle!$K$11),-2,IF(S323=regle!$B$11,0,IF(AM$1=$AK$1,IF($O323,-1,regle!$B$2-$M323),IF(AL323=-1,-1,AL323+1))))</f>
        <v>21</v>
      </c>
      <c r="AN323" s="16">
        <f>IF(OR(T323=regle!$J$11,T323=regle!$K$11),-2,IF(T323=regle!$B$11,0,IF(AN$1=$AK$1,IF($O323,-1,regle!$B$2-$M323),IF(AM323=-1,-1,AM323+1))))</f>
        <v>22</v>
      </c>
      <c r="AO323" s="16">
        <f>IF(OR(U323=regle!$J$11,U323=regle!$K$11),-2,IF(U323=regle!$B$11,0,IF(AO$1=$AK$1,IF($O323,-1,regle!$B$2-$M323),IF(AN323=-1,-1,AN323+1))))</f>
        <v>23</v>
      </c>
      <c r="AP323" s="16">
        <f>IF(OR(V323=regle!$J$11,V323=regle!$K$11),-2,IF(V323=regle!$B$11,0,IF(AP$1=$AK$1,IF($O323,-1,regle!$B$2-$M323),IF(AO323=-1,-1,AO323+1))))</f>
        <v>24</v>
      </c>
      <c r="AQ323" s="16">
        <f>IF(OR(W323=regle!$J$11,W323=regle!$K$11),-2,IF(W323=regle!$B$11,0,IF(AQ$1=$AK$1,IF($O323,-1,regle!$B$2-$M323),IF(AP323=-1,-1,AP323+1))))</f>
        <v>25</v>
      </c>
      <c r="AR323" s="16">
        <f>IF(OR(X323=regle!$J$11,X323=regle!$K$11),-2,IF(X323=regle!$B$11,0,IF(AR$1=$AK$1,IF($O323,-1,regle!$B$2-$M323),IF(AQ323=-1,-1,AQ323+1))))</f>
        <v>26</v>
      </c>
      <c r="AS323" s="16">
        <f>IF(OR(Y323=regle!$J$11,Y323=regle!$K$11),-2,IF(Y323=regle!$B$11,0,IF(AS$1=$AK$1,IF($O323,-1,regle!$B$2-$M323),IF(AR323=-1,-1,AR323+1))))</f>
        <v>27</v>
      </c>
      <c r="AT323" s="16">
        <f>IF(OR(Z323=regle!$J$11,Z323=regle!$K$11),-2,IF(Z323=regle!$B$11,0,IF(AT$1=$AK$1,IF($O323,-1,regle!$B$2-$M323),IF(AS323=-1,-1,AS323+1))))</f>
        <v>28</v>
      </c>
    </row>
    <row r="324" spans="1:46" x14ac:dyDescent="0.25">
      <c r="A324" t="b">
        <f>modif0!A29</f>
        <v>1</v>
      </c>
      <c r="B324">
        <f>ROW(modif0!B29)</f>
        <v>29</v>
      </c>
      <c r="C324" t="str">
        <f>modif0!D29</f>
        <v>536</v>
      </c>
      <c r="D324" t="str">
        <f>modif0!E29</f>
        <v>LE TUZAN</v>
      </c>
      <c r="E324">
        <f>modif0!F29</f>
        <v>21</v>
      </c>
      <c r="F324" t="str">
        <f>modif0!G29</f>
        <v>METAIRIES DE TABARTON</v>
      </c>
      <c r="G324" t="str">
        <f>modif0!I29</f>
        <v>0A</v>
      </c>
      <c r="H324">
        <f>modif0!J29</f>
        <v>409</v>
      </c>
      <c r="I324" t="str">
        <f>modif0!K29</f>
        <v>k</v>
      </c>
      <c r="J324" s="11">
        <f>modif0!M29</f>
        <v>8.0399999999999999E-2</v>
      </c>
      <c r="K324" s="11" t="str">
        <f>modif0!P29</f>
        <v>PLA</v>
      </c>
      <c r="L324" t="str">
        <f>modif0!N29</f>
        <v>PM</v>
      </c>
      <c r="M324">
        <f>modif0!Q29</f>
        <v>2005</v>
      </c>
      <c r="N324" t="str">
        <f>modif0!R29</f>
        <v>PLA-PM_2005</v>
      </c>
      <c r="O324" t="b">
        <f>modif0!S29</f>
        <v>0</v>
      </c>
      <c r="P324">
        <v>40</v>
      </c>
      <c r="T324" t="s">
        <v>1805</v>
      </c>
      <c r="Y324" t="s">
        <v>1806</v>
      </c>
      <c r="AA324" s="17">
        <f>IF($A324,$J324*(IF(Q324=regle!$B$11,regle!$B$23*IF(AJ324=-2,1+regle!$B$35,1),
IF(Q324=regle!$C$11,regle!$C$23,
IF(Q324=regle!$D$11,regle!$D$23,
IF(Q324=regle!$E$11,regle!$E$23,
IF(Q324=regle!$F$11,regle!$F$23,
IF(Q324=regle!$G$11,regle!$G$23,
IF(Q324=regle!$H$11,regle!$H$23,
IF(Q324=regle!$I$11,regle!$I$23,
IF(Q324=regle!$J$11,regle!$J$23,
IF(Q324=regle!$K$11,regle!$K$23,0))))))))))))</f>
        <v>0</v>
      </c>
      <c r="AB324" s="17">
        <f>IF($A324,$J324*(IF(R324=regle!$B$11,regle!$B$23*IF(AK324=-2,1+regle!$B$35,1),
IF(R324=regle!$C$11,regle!$C$23,
IF(R324=regle!$D$11,regle!$D$23,
IF(R324=regle!$E$11,regle!$E$23,
IF(R324=regle!$F$11,regle!$F$23,
IF(R324=regle!$G$11,regle!$G$23,
IF(R324=regle!$H$11,regle!$H$23,
IF(R324=regle!$I$11,regle!$I$23,
IF(R324=regle!$J$11,regle!$J$23,
IF(R324=regle!$K$11,regle!$K$23,0))))))))))))</f>
        <v>0</v>
      </c>
      <c r="AC324" s="17">
        <f>IF($A324,$J324*(IF(S324=regle!$B$11,regle!$B$23*IF(AL324=-2,1+regle!$B$35,1),
IF(S324=regle!$C$11,regle!$C$23,
IF(S324=regle!$D$11,regle!$D$23,
IF(S324=regle!$E$11,regle!$E$23,
IF(S324=regle!$F$11,regle!$F$23,
IF(S324=regle!$G$11,regle!$G$23,
IF(S324=regle!$H$11,regle!$H$23,
IF(S324=regle!$I$11,regle!$I$23,
IF(S324=regle!$J$11,regle!$J$23,
IF(S324=regle!$K$11,regle!$K$23,0))))))))))))</f>
        <v>0</v>
      </c>
      <c r="AD324" s="17">
        <f>IF($A324,$J324*(IF(T324=regle!$B$11,regle!$B$23*IF(AM324=-2,1+regle!$B$35,1),
IF(T324=regle!$C$11,regle!$C$23,
IF(T324=regle!$D$11,regle!$D$23,
IF(T324=regle!$E$11,regle!$E$23,
IF(T324=regle!$F$11,regle!$F$23,
IF(T324=regle!$G$11,regle!$G$23,
IF(T324=regle!$H$11,regle!$H$23,
IF(T324=regle!$I$11,regle!$I$23,
IF(T324=regle!$J$11,regle!$J$23,
IF(T324=regle!$K$11,regle!$K$23,0))))))))))))</f>
        <v>113.2032</v>
      </c>
      <c r="AE324" s="17">
        <f>IF($A324,$J324*(IF(U324=regle!$B$11,regle!$B$23*IF(AN324=-2,1+regle!$B$35,1),
IF(U324=regle!$C$11,regle!$C$23,
IF(U324=regle!$D$11,regle!$D$23,
IF(U324=regle!$E$11,regle!$E$23,
IF(U324=regle!$F$11,regle!$F$23,
IF(U324=regle!$G$11,regle!$G$23,
IF(U324=regle!$H$11,regle!$H$23,
IF(U324=regle!$I$11,regle!$I$23,
IF(U324=regle!$J$11,regle!$J$23,
IF(U324=regle!$K$11,regle!$K$23,0))))))))))))</f>
        <v>0</v>
      </c>
      <c r="AF324" s="17">
        <f>IF($A324,$J324*(IF(V324=regle!$B$11,regle!$B$23*IF(AO324=-2,1+regle!$B$35,1),
IF(V324=regle!$C$11,regle!$C$23,
IF(V324=regle!$D$11,regle!$D$23,
IF(V324=regle!$E$11,regle!$E$23,
IF(V324=regle!$F$11,regle!$F$23,
IF(V324=regle!$G$11,regle!$G$23,
IF(V324=regle!$H$11,regle!$H$23,
IF(V324=regle!$I$11,regle!$I$23,
IF(V324=regle!$J$11,regle!$J$23,
IF(V324=regle!$K$11,regle!$K$23,0))))))))))))</f>
        <v>0</v>
      </c>
      <c r="AG324" s="17">
        <f>IF($A324,$J324*(IF(W324=regle!$B$11,regle!$B$23*IF(AP324=-2,1+regle!$B$35,1),
IF(W324=regle!$C$11,regle!$C$23,
IF(W324=regle!$D$11,regle!$D$23,
IF(W324=regle!$E$11,regle!$E$23,
IF(W324=regle!$F$11,regle!$F$23,
IF(W324=regle!$G$11,regle!$G$23,
IF(W324=regle!$H$11,regle!$H$23,
IF(W324=regle!$I$11,regle!$I$23,
IF(W324=regle!$J$11,regle!$J$23,
IF(W324=regle!$K$11,regle!$K$23,0))))))))))))</f>
        <v>0</v>
      </c>
      <c r="AH324" s="17">
        <f>IF($A324,$J324*(IF(X324=regle!$B$11,regle!$B$23*IF(AQ324=-2,1+regle!$B$35,1),
IF(X324=regle!$C$11,regle!$C$23,
IF(X324=regle!$D$11,regle!$D$23,
IF(X324=regle!$E$11,regle!$E$23,
IF(X324=regle!$F$11,regle!$F$23,
IF(X324=regle!$G$11,regle!$G$23,
IF(X324=regle!$H$11,regle!$H$23,
IF(X324=regle!$I$11,regle!$I$23,
IF(X324=regle!$J$11,regle!$J$23,
IF(X324=regle!$K$11,regle!$K$23,0))))))))))))</f>
        <v>0</v>
      </c>
      <c r="AI324" s="17">
        <f>IF($A324,$J324*(IF(Y324=regle!$B$11,regle!$B$23*IF(AR324=-2,1+regle!$B$35,1),
IF(Y324=regle!$C$11,regle!$C$23,
IF(Y324=regle!$D$11,regle!$D$23,
IF(Y324=regle!$E$11,regle!$E$23,
IF(Y324=regle!$F$11,regle!$F$23,
IF(Y324=regle!$G$11,regle!$G$23,
IF(Y324=regle!$H$11,regle!$H$23,
IF(Y324=regle!$I$11,regle!$I$23,
IF(Y324=regle!$J$11,regle!$J$23,
IF(Y324=regle!$K$11,regle!$K$23,0))))))))))))</f>
        <v>102.91200000000001</v>
      </c>
      <c r="AJ324" s="17">
        <f>IF($A324,$J324*(IF(Z324=regle!$B$11,regle!$B$23*IF(AS324=-2,1+regle!$B$35,1),
IF(Z324=regle!$C$11,regle!$C$23,
IF(Z324=regle!$D$11,regle!$D$23,
IF(Z324=regle!$E$11,regle!$E$23,
IF(Z324=regle!$F$11,regle!$F$23,
IF(Z324=regle!$G$11,regle!$G$23,
IF(Z324=regle!$H$11,regle!$H$23,
IF(Z324=regle!$I$11,regle!$I$23,
IF(Z324=regle!$J$11,regle!$J$23,
IF(Z324=regle!$K$11,regle!$K$23,0))))))))))))</f>
        <v>0</v>
      </c>
      <c r="AK324" s="16">
        <f>IF(OR(Q324=regle!$J$11,Q324=regle!$K$11),-2,IF(Q324=regle!$B$11,0,IF(AK$1=$AK$1,IF($O324,-1,regle!$B$2-$M324),IF(AJ324=-1,-1,AJ324+1))))</f>
        <v>19</v>
      </c>
      <c r="AL324" s="16">
        <f>IF(OR(R324=regle!$J$11,R324=regle!$K$11),-2,IF(R324=regle!$B$11,0,IF(AL$1=$AK$1,IF($O324,-1,regle!$B$2-$M324),IF(AK324=-1,-1,AK324+1))))</f>
        <v>20</v>
      </c>
      <c r="AM324" s="16">
        <f>IF(OR(S324=regle!$J$11,S324=regle!$K$11),-2,IF(S324=regle!$B$11,0,IF(AM$1=$AK$1,IF($O324,-1,regle!$B$2-$M324),IF(AL324=-1,-1,AL324+1))))</f>
        <v>21</v>
      </c>
      <c r="AN324" s="16">
        <f>IF(OR(T324=regle!$J$11,T324=regle!$K$11),-2,IF(T324=regle!$B$11,0,IF(AN$1=$AK$1,IF($O324,-1,regle!$B$2-$M324),IF(AM324=-1,-1,AM324+1))))</f>
        <v>22</v>
      </c>
      <c r="AO324" s="16">
        <f>IF(OR(U324=regle!$J$11,U324=regle!$K$11),-2,IF(U324=regle!$B$11,0,IF(AO$1=$AK$1,IF($O324,-1,regle!$B$2-$M324),IF(AN324=-1,-1,AN324+1))))</f>
        <v>23</v>
      </c>
      <c r="AP324" s="16">
        <f>IF(OR(V324=regle!$J$11,V324=regle!$K$11),-2,IF(V324=regle!$B$11,0,IF(AP$1=$AK$1,IF($O324,-1,regle!$B$2-$M324),IF(AO324=-1,-1,AO324+1))))</f>
        <v>24</v>
      </c>
      <c r="AQ324" s="16">
        <f>IF(OR(W324=regle!$J$11,W324=regle!$K$11),-2,IF(W324=regle!$B$11,0,IF(AQ$1=$AK$1,IF($O324,-1,regle!$B$2-$M324),IF(AP324=-1,-1,AP324+1))))</f>
        <v>25</v>
      </c>
      <c r="AR324" s="16">
        <f>IF(OR(X324=regle!$J$11,X324=regle!$K$11),-2,IF(X324=regle!$B$11,0,IF(AR$1=$AK$1,IF($O324,-1,regle!$B$2-$M324),IF(AQ324=-1,-1,AQ324+1))))</f>
        <v>26</v>
      </c>
      <c r="AS324" s="16">
        <f>IF(OR(Y324=regle!$J$11,Y324=regle!$K$11),-2,IF(Y324=regle!$B$11,0,IF(AS$1=$AK$1,IF($O324,-1,regle!$B$2-$M324),IF(AR324=-1,-1,AR324+1))))</f>
        <v>27</v>
      </c>
      <c r="AT324" s="16">
        <f>IF(OR(Z324=regle!$J$11,Z324=regle!$K$11),-2,IF(Z324=regle!$B$11,0,IF(AT$1=$AK$1,IF($O324,-1,regle!$B$2-$M324),IF(AS324=-1,-1,AS324+1))))</f>
        <v>28</v>
      </c>
    </row>
    <row r="325" spans="1:46" x14ac:dyDescent="0.25">
      <c r="A325" t="b">
        <f>modif0!A319</f>
        <v>1</v>
      </c>
      <c r="B325">
        <f>ROW(modif0!B319)</f>
        <v>319</v>
      </c>
      <c r="C325" t="str">
        <f>modif0!D319</f>
        <v>077</v>
      </c>
      <c r="D325" t="str">
        <f>modif0!E319</f>
        <v>CABANAC-ET-VILLAGRAINS</v>
      </c>
      <c r="E325">
        <f>modif0!F319</f>
        <v>12</v>
      </c>
      <c r="F325" t="str">
        <f>modif0!G319</f>
        <v>LES JEANNOTS</v>
      </c>
      <c r="G325" t="str">
        <f>modif0!I319</f>
        <v>0D</v>
      </c>
      <c r="H325">
        <f>modif0!J319</f>
        <v>1437</v>
      </c>
      <c r="I325" t="str">
        <f>modif0!K319</f>
        <v>k</v>
      </c>
      <c r="J325" s="11">
        <f>modif0!M319</f>
        <v>4.36E-2</v>
      </c>
      <c r="K325" s="11" t="str">
        <f>modif0!P319</f>
        <v>PLA</v>
      </c>
      <c r="L325" t="str">
        <f>modif0!N319</f>
        <v>PM</v>
      </c>
      <c r="M325">
        <f>modif0!Q319</f>
        <v>2005</v>
      </c>
      <c r="N325" t="str">
        <f>modif0!R319</f>
        <v>PLA-PM_2005</v>
      </c>
      <c r="O325" t="b">
        <f>modif0!S319</f>
        <v>0</v>
      </c>
      <c r="P325">
        <v>40</v>
      </c>
      <c r="T325" t="s">
        <v>1805</v>
      </c>
      <c r="Y325" t="s">
        <v>1806</v>
      </c>
      <c r="AA325" s="17">
        <f>IF($A325,$J325*(IF(Q325=regle!$B$11,regle!$B$23*IF(AJ325=-2,1+regle!$B$35,1),
IF(Q325=regle!$C$11,regle!$C$23,
IF(Q325=regle!$D$11,regle!$D$23,
IF(Q325=regle!$E$11,regle!$E$23,
IF(Q325=regle!$F$11,regle!$F$23,
IF(Q325=regle!$G$11,regle!$G$23,
IF(Q325=regle!$H$11,regle!$H$23,
IF(Q325=regle!$I$11,regle!$I$23,
IF(Q325=regle!$J$11,regle!$J$23,
IF(Q325=regle!$K$11,regle!$K$23,0))))))))))))</f>
        <v>0</v>
      </c>
      <c r="AB325" s="17">
        <f>IF($A325,$J325*(IF(R325=regle!$B$11,regle!$B$23*IF(AK325=-2,1+regle!$B$35,1),
IF(R325=regle!$C$11,regle!$C$23,
IF(R325=regle!$D$11,regle!$D$23,
IF(R325=regle!$E$11,regle!$E$23,
IF(R325=regle!$F$11,regle!$F$23,
IF(R325=regle!$G$11,regle!$G$23,
IF(R325=regle!$H$11,regle!$H$23,
IF(R325=regle!$I$11,regle!$I$23,
IF(R325=regle!$J$11,regle!$J$23,
IF(R325=regle!$K$11,regle!$K$23,0))))))))))))</f>
        <v>0</v>
      </c>
      <c r="AC325" s="17">
        <f>IF($A325,$J325*(IF(S325=regle!$B$11,regle!$B$23*IF(AL325=-2,1+regle!$B$35,1),
IF(S325=regle!$C$11,regle!$C$23,
IF(S325=regle!$D$11,regle!$D$23,
IF(S325=regle!$E$11,regle!$E$23,
IF(S325=regle!$F$11,regle!$F$23,
IF(S325=regle!$G$11,regle!$G$23,
IF(S325=regle!$H$11,regle!$H$23,
IF(S325=regle!$I$11,regle!$I$23,
IF(S325=regle!$J$11,regle!$J$23,
IF(S325=regle!$K$11,regle!$K$23,0))))))))))))</f>
        <v>0</v>
      </c>
      <c r="AD325" s="17">
        <f>IF($A325,$J325*(IF(T325=regle!$B$11,regle!$B$23*IF(AM325=-2,1+regle!$B$35,1),
IF(T325=regle!$C$11,regle!$C$23,
IF(T325=regle!$D$11,regle!$D$23,
IF(T325=regle!$E$11,regle!$E$23,
IF(T325=regle!$F$11,regle!$F$23,
IF(T325=regle!$G$11,regle!$G$23,
IF(T325=regle!$H$11,regle!$H$23,
IF(T325=regle!$I$11,regle!$I$23,
IF(T325=regle!$J$11,regle!$J$23,
IF(T325=regle!$K$11,regle!$K$23,0))))))))))))</f>
        <v>61.388800000000003</v>
      </c>
      <c r="AE325" s="17">
        <f>IF($A325,$J325*(IF(U325=regle!$B$11,regle!$B$23*IF(AN325=-2,1+regle!$B$35,1),
IF(U325=regle!$C$11,regle!$C$23,
IF(U325=regle!$D$11,regle!$D$23,
IF(U325=regle!$E$11,regle!$E$23,
IF(U325=regle!$F$11,regle!$F$23,
IF(U325=regle!$G$11,regle!$G$23,
IF(U325=regle!$H$11,regle!$H$23,
IF(U325=regle!$I$11,regle!$I$23,
IF(U325=regle!$J$11,regle!$J$23,
IF(U325=regle!$K$11,regle!$K$23,0))))))))))))</f>
        <v>0</v>
      </c>
      <c r="AF325" s="17">
        <f>IF($A325,$J325*(IF(V325=regle!$B$11,regle!$B$23*IF(AO325=-2,1+regle!$B$35,1),
IF(V325=regle!$C$11,regle!$C$23,
IF(V325=regle!$D$11,regle!$D$23,
IF(V325=regle!$E$11,regle!$E$23,
IF(V325=regle!$F$11,regle!$F$23,
IF(V325=regle!$G$11,regle!$G$23,
IF(V325=regle!$H$11,regle!$H$23,
IF(V325=regle!$I$11,regle!$I$23,
IF(V325=regle!$J$11,regle!$J$23,
IF(V325=regle!$K$11,regle!$K$23,0))))))))))))</f>
        <v>0</v>
      </c>
      <c r="AG325" s="17">
        <f>IF($A325,$J325*(IF(W325=regle!$B$11,regle!$B$23*IF(AP325=-2,1+regle!$B$35,1),
IF(W325=regle!$C$11,regle!$C$23,
IF(W325=regle!$D$11,regle!$D$23,
IF(W325=regle!$E$11,regle!$E$23,
IF(W325=regle!$F$11,regle!$F$23,
IF(W325=regle!$G$11,regle!$G$23,
IF(W325=regle!$H$11,regle!$H$23,
IF(W325=regle!$I$11,regle!$I$23,
IF(W325=regle!$J$11,regle!$J$23,
IF(W325=regle!$K$11,regle!$K$23,0))))))))))))</f>
        <v>0</v>
      </c>
      <c r="AH325" s="17">
        <f>IF($A325,$J325*(IF(X325=regle!$B$11,regle!$B$23*IF(AQ325=-2,1+regle!$B$35,1),
IF(X325=regle!$C$11,regle!$C$23,
IF(X325=regle!$D$11,regle!$D$23,
IF(X325=regle!$E$11,regle!$E$23,
IF(X325=regle!$F$11,regle!$F$23,
IF(X325=regle!$G$11,regle!$G$23,
IF(X325=regle!$H$11,regle!$H$23,
IF(X325=regle!$I$11,regle!$I$23,
IF(X325=regle!$J$11,regle!$J$23,
IF(X325=regle!$K$11,regle!$K$23,0))))))))))))</f>
        <v>0</v>
      </c>
      <c r="AI325" s="17">
        <f>IF($A325,$J325*(IF(Y325=regle!$B$11,regle!$B$23*IF(AR325=-2,1+regle!$B$35,1),
IF(Y325=regle!$C$11,regle!$C$23,
IF(Y325=regle!$D$11,regle!$D$23,
IF(Y325=regle!$E$11,regle!$E$23,
IF(Y325=regle!$F$11,regle!$F$23,
IF(Y325=regle!$G$11,regle!$G$23,
IF(Y325=regle!$H$11,regle!$H$23,
IF(Y325=regle!$I$11,regle!$I$23,
IF(Y325=regle!$J$11,regle!$J$23,
IF(Y325=regle!$K$11,regle!$K$23,0))))))))))))</f>
        <v>55.808</v>
      </c>
      <c r="AJ325" s="17">
        <f>IF($A325,$J325*(IF(Z325=regle!$B$11,regle!$B$23*IF(AS325=-2,1+regle!$B$35,1),
IF(Z325=regle!$C$11,regle!$C$23,
IF(Z325=regle!$D$11,regle!$D$23,
IF(Z325=regle!$E$11,regle!$E$23,
IF(Z325=regle!$F$11,regle!$F$23,
IF(Z325=regle!$G$11,regle!$G$23,
IF(Z325=regle!$H$11,regle!$H$23,
IF(Z325=regle!$I$11,regle!$I$23,
IF(Z325=regle!$J$11,regle!$J$23,
IF(Z325=regle!$K$11,regle!$K$23,0))))))))))))</f>
        <v>0</v>
      </c>
      <c r="AK325" s="16">
        <f>IF(OR(Q325=regle!$J$11,Q325=regle!$K$11),-2,IF(Q325=regle!$B$11,0,IF(AK$1=$AK$1,IF($O325,-1,regle!$B$2-$M325),IF(AJ325=-1,-1,AJ325+1))))</f>
        <v>19</v>
      </c>
      <c r="AL325" s="16">
        <f>IF(OR(R325=regle!$J$11,R325=regle!$K$11),-2,IF(R325=regle!$B$11,0,IF(AL$1=$AK$1,IF($O325,-1,regle!$B$2-$M325),IF(AK325=-1,-1,AK325+1))))</f>
        <v>20</v>
      </c>
      <c r="AM325" s="16">
        <f>IF(OR(S325=regle!$J$11,S325=regle!$K$11),-2,IF(S325=regle!$B$11,0,IF(AM$1=$AK$1,IF($O325,-1,regle!$B$2-$M325),IF(AL325=-1,-1,AL325+1))))</f>
        <v>21</v>
      </c>
      <c r="AN325" s="16">
        <f>IF(OR(T325=regle!$J$11,T325=regle!$K$11),-2,IF(T325=regle!$B$11,0,IF(AN$1=$AK$1,IF($O325,-1,regle!$B$2-$M325),IF(AM325=-1,-1,AM325+1))))</f>
        <v>22</v>
      </c>
      <c r="AO325" s="16">
        <f>IF(OR(U325=regle!$J$11,U325=regle!$K$11),-2,IF(U325=regle!$B$11,0,IF(AO$1=$AK$1,IF($O325,-1,regle!$B$2-$M325),IF(AN325=-1,-1,AN325+1))))</f>
        <v>23</v>
      </c>
      <c r="AP325" s="16">
        <f>IF(OR(V325=regle!$J$11,V325=regle!$K$11),-2,IF(V325=regle!$B$11,0,IF(AP$1=$AK$1,IF($O325,-1,regle!$B$2-$M325),IF(AO325=-1,-1,AO325+1))))</f>
        <v>24</v>
      </c>
      <c r="AQ325" s="16">
        <f>IF(OR(W325=regle!$J$11,W325=regle!$K$11),-2,IF(W325=regle!$B$11,0,IF(AQ$1=$AK$1,IF($O325,-1,regle!$B$2-$M325),IF(AP325=-1,-1,AP325+1))))</f>
        <v>25</v>
      </c>
      <c r="AR325" s="16">
        <f>IF(OR(X325=regle!$J$11,X325=regle!$K$11),-2,IF(X325=regle!$B$11,0,IF(AR$1=$AK$1,IF($O325,-1,regle!$B$2-$M325),IF(AQ325=-1,-1,AQ325+1))))</f>
        <v>26</v>
      </c>
      <c r="AS325" s="16">
        <f>IF(OR(Y325=regle!$J$11,Y325=regle!$K$11),-2,IF(Y325=regle!$B$11,0,IF(AS$1=$AK$1,IF($O325,-1,regle!$B$2-$M325),IF(AR325=-1,-1,AR325+1))))</f>
        <v>27</v>
      </c>
      <c r="AT325" s="16">
        <f>IF(OR(Z325=regle!$J$11,Z325=regle!$K$11),-2,IF(Z325=regle!$B$11,0,IF(AT$1=$AK$1,IF($O325,-1,regle!$B$2-$M325),IF(AS325=-1,-1,AS325+1))))</f>
        <v>28</v>
      </c>
    </row>
    <row r="326" spans="1:46" x14ac:dyDescent="0.25">
      <c r="A326" t="b">
        <f>modif0!A21</f>
        <v>1</v>
      </c>
      <c r="B326">
        <f>ROW(modif0!B21)</f>
        <v>21</v>
      </c>
      <c r="C326" t="str">
        <f>modif0!D21</f>
        <v>536</v>
      </c>
      <c r="D326" t="str">
        <f>modif0!E21</f>
        <v>LE TUZAN</v>
      </c>
      <c r="E326">
        <f>modif0!F21</f>
        <v>21</v>
      </c>
      <c r="F326" t="str">
        <f>modif0!G21</f>
        <v>METAIRIES DE TABARTON</v>
      </c>
      <c r="G326" t="str">
        <f>modif0!I21</f>
        <v>0A</v>
      </c>
      <c r="H326">
        <f>modif0!J21</f>
        <v>406</v>
      </c>
      <c r="I326" t="str">
        <f>modif0!K21</f>
        <v/>
      </c>
      <c r="J326" s="11">
        <f>modif0!M21</f>
        <v>1.7999999999999999E-2</v>
      </c>
      <c r="K326" s="11" t="str">
        <f>modif0!P21</f>
        <v>PLA</v>
      </c>
      <c r="L326" t="str">
        <f>modif0!N21</f>
        <v>PM</v>
      </c>
      <c r="M326">
        <f>modif0!Q21</f>
        <v>2005</v>
      </c>
      <c r="N326" t="str">
        <f>modif0!R21</f>
        <v>PLA-PM_2005</v>
      </c>
      <c r="O326" t="b">
        <f>modif0!S21</f>
        <v>0</v>
      </c>
      <c r="P326">
        <v>40</v>
      </c>
      <c r="T326" t="s">
        <v>1805</v>
      </c>
      <c r="Y326" t="s">
        <v>1806</v>
      </c>
      <c r="AA326" s="17">
        <f>IF($A326,$J326*(IF(Q326=regle!$B$11,regle!$B$23*IF(AJ326=-2,1+regle!$B$35,1),
IF(Q326=regle!$C$11,regle!$C$23,
IF(Q326=regle!$D$11,regle!$D$23,
IF(Q326=regle!$E$11,regle!$E$23,
IF(Q326=regle!$F$11,regle!$F$23,
IF(Q326=regle!$G$11,regle!$G$23,
IF(Q326=regle!$H$11,regle!$H$23,
IF(Q326=regle!$I$11,regle!$I$23,
IF(Q326=regle!$J$11,regle!$J$23,
IF(Q326=regle!$K$11,regle!$K$23,0))))))))))))</f>
        <v>0</v>
      </c>
      <c r="AB326" s="17">
        <f>IF($A326,$J326*(IF(R326=regle!$B$11,regle!$B$23*IF(AK326=-2,1+regle!$B$35,1),
IF(R326=regle!$C$11,regle!$C$23,
IF(R326=regle!$D$11,regle!$D$23,
IF(R326=regle!$E$11,regle!$E$23,
IF(R326=regle!$F$11,regle!$F$23,
IF(R326=regle!$G$11,regle!$G$23,
IF(R326=regle!$H$11,regle!$H$23,
IF(R326=regle!$I$11,regle!$I$23,
IF(R326=regle!$J$11,regle!$J$23,
IF(R326=regle!$K$11,regle!$K$23,0))))))))))))</f>
        <v>0</v>
      </c>
      <c r="AC326" s="17">
        <f>IF($A326,$J326*(IF(S326=regle!$B$11,regle!$B$23*IF(AL326=-2,1+regle!$B$35,1),
IF(S326=regle!$C$11,regle!$C$23,
IF(S326=regle!$D$11,regle!$D$23,
IF(S326=regle!$E$11,regle!$E$23,
IF(S326=regle!$F$11,regle!$F$23,
IF(S326=regle!$G$11,regle!$G$23,
IF(S326=regle!$H$11,regle!$H$23,
IF(S326=regle!$I$11,regle!$I$23,
IF(S326=regle!$J$11,regle!$J$23,
IF(S326=regle!$K$11,regle!$K$23,0))))))))))))</f>
        <v>0</v>
      </c>
      <c r="AD326" s="17">
        <f>IF($A326,$J326*(IF(T326=regle!$B$11,regle!$B$23*IF(AM326=-2,1+regle!$B$35,1),
IF(T326=regle!$C$11,regle!$C$23,
IF(T326=regle!$D$11,regle!$D$23,
IF(T326=regle!$E$11,regle!$E$23,
IF(T326=regle!$F$11,regle!$F$23,
IF(T326=regle!$G$11,regle!$G$23,
IF(T326=regle!$H$11,regle!$H$23,
IF(T326=regle!$I$11,regle!$I$23,
IF(T326=regle!$J$11,regle!$J$23,
IF(T326=regle!$K$11,regle!$K$23,0))))))))))))</f>
        <v>25.343999999999998</v>
      </c>
      <c r="AE326" s="17">
        <f>IF($A326,$J326*(IF(U326=regle!$B$11,regle!$B$23*IF(AN326=-2,1+regle!$B$35,1),
IF(U326=regle!$C$11,regle!$C$23,
IF(U326=regle!$D$11,regle!$D$23,
IF(U326=regle!$E$11,regle!$E$23,
IF(U326=regle!$F$11,regle!$F$23,
IF(U326=regle!$G$11,regle!$G$23,
IF(U326=regle!$H$11,regle!$H$23,
IF(U326=regle!$I$11,regle!$I$23,
IF(U326=regle!$J$11,regle!$J$23,
IF(U326=regle!$K$11,regle!$K$23,0))))))))))))</f>
        <v>0</v>
      </c>
      <c r="AF326" s="17">
        <f>IF($A326,$J326*(IF(V326=regle!$B$11,regle!$B$23*IF(AO326=-2,1+regle!$B$35,1),
IF(V326=regle!$C$11,regle!$C$23,
IF(V326=regle!$D$11,regle!$D$23,
IF(V326=regle!$E$11,regle!$E$23,
IF(V326=regle!$F$11,regle!$F$23,
IF(V326=regle!$G$11,regle!$G$23,
IF(V326=regle!$H$11,regle!$H$23,
IF(V326=regle!$I$11,regle!$I$23,
IF(V326=regle!$J$11,regle!$J$23,
IF(V326=regle!$K$11,regle!$K$23,0))))))))))))</f>
        <v>0</v>
      </c>
      <c r="AG326" s="17">
        <f>IF($A326,$J326*(IF(W326=regle!$B$11,regle!$B$23*IF(AP326=-2,1+regle!$B$35,1),
IF(W326=regle!$C$11,regle!$C$23,
IF(W326=regle!$D$11,regle!$D$23,
IF(W326=regle!$E$11,regle!$E$23,
IF(W326=regle!$F$11,regle!$F$23,
IF(W326=regle!$G$11,regle!$G$23,
IF(W326=regle!$H$11,regle!$H$23,
IF(W326=regle!$I$11,regle!$I$23,
IF(W326=regle!$J$11,regle!$J$23,
IF(W326=regle!$K$11,regle!$K$23,0))))))))))))</f>
        <v>0</v>
      </c>
      <c r="AH326" s="17">
        <f>IF($A326,$J326*(IF(X326=regle!$B$11,regle!$B$23*IF(AQ326=-2,1+regle!$B$35,1),
IF(X326=regle!$C$11,regle!$C$23,
IF(X326=regle!$D$11,regle!$D$23,
IF(X326=regle!$E$11,regle!$E$23,
IF(X326=regle!$F$11,regle!$F$23,
IF(X326=regle!$G$11,regle!$G$23,
IF(X326=regle!$H$11,regle!$H$23,
IF(X326=regle!$I$11,regle!$I$23,
IF(X326=regle!$J$11,regle!$J$23,
IF(X326=regle!$K$11,regle!$K$23,0))))))))))))</f>
        <v>0</v>
      </c>
      <c r="AI326" s="17">
        <f>IF($A326,$J326*(IF(Y326=regle!$B$11,regle!$B$23*IF(AR326=-2,1+regle!$B$35,1),
IF(Y326=regle!$C$11,regle!$C$23,
IF(Y326=regle!$D$11,regle!$D$23,
IF(Y326=regle!$E$11,regle!$E$23,
IF(Y326=regle!$F$11,regle!$F$23,
IF(Y326=regle!$G$11,regle!$G$23,
IF(Y326=regle!$H$11,regle!$H$23,
IF(Y326=regle!$I$11,regle!$I$23,
IF(Y326=regle!$J$11,regle!$J$23,
IF(Y326=regle!$K$11,regle!$K$23,0))))))))))))</f>
        <v>23.04</v>
      </c>
      <c r="AJ326" s="17">
        <f>IF($A326,$J326*(IF(Z326=regle!$B$11,regle!$B$23*IF(AS326=-2,1+regle!$B$35,1),
IF(Z326=regle!$C$11,regle!$C$23,
IF(Z326=regle!$D$11,regle!$D$23,
IF(Z326=regle!$E$11,regle!$E$23,
IF(Z326=regle!$F$11,regle!$F$23,
IF(Z326=regle!$G$11,regle!$G$23,
IF(Z326=regle!$H$11,regle!$H$23,
IF(Z326=regle!$I$11,regle!$I$23,
IF(Z326=regle!$J$11,regle!$J$23,
IF(Z326=regle!$K$11,regle!$K$23,0))))))))))))</f>
        <v>0</v>
      </c>
      <c r="AK326" s="16">
        <f>IF(OR(Q326=regle!$J$11,Q326=regle!$K$11),-2,IF(Q326=regle!$B$11,0,IF(AK$1=$AK$1,IF($O326,-1,regle!$B$2-$M326),IF(AJ326=-1,-1,AJ326+1))))</f>
        <v>19</v>
      </c>
      <c r="AL326" s="16">
        <f>IF(OR(R326=regle!$J$11,R326=regle!$K$11),-2,IF(R326=regle!$B$11,0,IF(AL$1=$AK$1,IF($O326,-1,regle!$B$2-$M326),IF(AK326=-1,-1,AK326+1))))</f>
        <v>20</v>
      </c>
      <c r="AM326" s="16">
        <f>IF(OR(S326=regle!$J$11,S326=regle!$K$11),-2,IF(S326=regle!$B$11,0,IF(AM$1=$AK$1,IF($O326,-1,regle!$B$2-$M326),IF(AL326=-1,-1,AL326+1))))</f>
        <v>21</v>
      </c>
      <c r="AN326" s="16">
        <f>IF(OR(T326=regle!$J$11,T326=regle!$K$11),-2,IF(T326=regle!$B$11,0,IF(AN$1=$AK$1,IF($O326,-1,regle!$B$2-$M326),IF(AM326=-1,-1,AM326+1))))</f>
        <v>22</v>
      </c>
      <c r="AO326" s="16">
        <f>IF(OR(U326=regle!$J$11,U326=regle!$K$11),-2,IF(U326=regle!$B$11,0,IF(AO$1=$AK$1,IF($O326,-1,regle!$B$2-$M326),IF(AN326=-1,-1,AN326+1))))</f>
        <v>23</v>
      </c>
      <c r="AP326" s="16">
        <f>IF(OR(V326=regle!$J$11,V326=regle!$K$11),-2,IF(V326=regle!$B$11,0,IF(AP$1=$AK$1,IF($O326,-1,regle!$B$2-$M326),IF(AO326=-1,-1,AO326+1))))</f>
        <v>24</v>
      </c>
      <c r="AQ326" s="16">
        <f>IF(OR(W326=regle!$J$11,W326=regle!$K$11),-2,IF(W326=regle!$B$11,0,IF(AQ$1=$AK$1,IF($O326,-1,regle!$B$2-$M326),IF(AP326=-1,-1,AP326+1))))</f>
        <v>25</v>
      </c>
      <c r="AR326" s="16">
        <f>IF(OR(X326=regle!$J$11,X326=regle!$K$11),-2,IF(X326=regle!$B$11,0,IF(AR$1=$AK$1,IF($O326,-1,regle!$B$2-$M326),IF(AQ326=-1,-1,AQ326+1))))</f>
        <v>26</v>
      </c>
      <c r="AS326" s="16">
        <f>IF(OR(Y326=regle!$J$11,Y326=regle!$K$11),-2,IF(Y326=regle!$B$11,0,IF(AS$1=$AK$1,IF($O326,-1,regle!$B$2-$M326),IF(AR326=-1,-1,AR326+1))))</f>
        <v>27</v>
      </c>
      <c r="AT326" s="16">
        <f>IF(OR(Z326=regle!$J$11,Z326=regle!$K$11),-2,IF(Z326=regle!$B$11,0,IF(AT$1=$AK$1,IF($O326,-1,regle!$B$2-$M326),IF(AS326=-1,-1,AS326+1))))</f>
        <v>28</v>
      </c>
    </row>
    <row r="327" spans="1:46" x14ac:dyDescent="0.25">
      <c r="A327" t="b">
        <f>modif0!A217</f>
        <v>1</v>
      </c>
      <c r="B327">
        <f>ROW(modif0!B217)</f>
        <v>217</v>
      </c>
      <c r="C327" t="str">
        <f>modif0!D217</f>
        <v>202</v>
      </c>
      <c r="D327" t="str">
        <f>modif0!E217</f>
        <v>HOSTENS</v>
      </c>
      <c r="E327">
        <f>modif0!F217</f>
        <v>13</v>
      </c>
      <c r="F327" t="str">
        <f>modif0!G217</f>
        <v>LA BROUSTETTE</v>
      </c>
      <c r="G327" t="str">
        <f>modif0!I217</f>
        <v>0B</v>
      </c>
      <c r="H327">
        <f>modif0!J217</f>
        <v>1249</v>
      </c>
      <c r="I327" t="str">
        <f>modif0!K217</f>
        <v>m</v>
      </c>
      <c r="J327" s="11">
        <f>modif0!M217</f>
        <v>5.0457999999999998</v>
      </c>
      <c r="K327" s="11" t="str">
        <f>modif0!P217</f>
        <v>PLA</v>
      </c>
      <c r="L327" t="str">
        <f>modif0!N217</f>
        <v>PM</v>
      </c>
      <c r="M327">
        <f>modif0!Q217</f>
        <v>2004</v>
      </c>
      <c r="N327" t="str">
        <f>modif0!R217</f>
        <v>PLA-PM_2004</v>
      </c>
      <c r="O327" t="b">
        <f>modif0!S217</f>
        <v>0</v>
      </c>
      <c r="P327">
        <v>40</v>
      </c>
      <c r="V327" s="22" t="s">
        <v>1181</v>
      </c>
      <c r="W327" t="s">
        <v>1868</v>
      </c>
      <c r="Y327" t="s">
        <v>1872</v>
      </c>
      <c r="AA327" s="17">
        <f>IF($A327,$J327*(IF(Q327=regle!$B$11,regle!$B$23*IF(AJ327=-2,1+regle!$B$35,1),
IF(Q327=regle!$C$11,regle!$C$23,
IF(Q327=regle!$D$11,regle!$D$23,
IF(Q327=regle!$E$11,regle!$E$23,
IF(Q327=regle!$F$11,regle!$F$23,
IF(Q327=regle!$G$11,regle!$G$23,
IF(Q327=regle!$H$11,regle!$H$23,
IF(Q327=regle!$I$11,regle!$I$23,
IF(Q327=regle!$J$11,regle!$J$23,
IF(Q327=regle!$K$11,regle!$K$23,0))))))))))))</f>
        <v>0</v>
      </c>
      <c r="AB327" s="17">
        <f>IF($A327,$J327*(IF(R327=regle!$B$11,regle!$B$23*IF(AK327=-2,1+regle!$B$35,1),
IF(R327=regle!$C$11,regle!$C$23,
IF(R327=regle!$D$11,regle!$D$23,
IF(R327=regle!$E$11,regle!$E$23,
IF(R327=regle!$F$11,regle!$F$23,
IF(R327=regle!$G$11,regle!$G$23,
IF(R327=regle!$H$11,regle!$H$23,
IF(R327=regle!$I$11,regle!$I$23,
IF(R327=regle!$J$11,regle!$J$23,
IF(R327=regle!$K$11,regle!$K$23,0))))))))))))</f>
        <v>0</v>
      </c>
      <c r="AC327" s="17">
        <f>IF($A327,$J327*(IF(S327=regle!$B$11,regle!$B$23*IF(AL327=-2,1+regle!$B$35,1),
IF(S327=regle!$C$11,regle!$C$23,
IF(S327=regle!$D$11,regle!$D$23,
IF(S327=regle!$E$11,regle!$E$23,
IF(S327=regle!$F$11,regle!$F$23,
IF(S327=regle!$G$11,regle!$G$23,
IF(S327=regle!$H$11,regle!$H$23,
IF(S327=regle!$I$11,regle!$I$23,
IF(S327=regle!$J$11,regle!$J$23,
IF(S327=regle!$K$11,regle!$K$23,0))))))))))))</f>
        <v>0</v>
      </c>
      <c r="AD327" s="17">
        <f>IF($A327,$J327*(IF(T327=regle!$B$11,regle!$B$23*IF(AM327=-2,1+regle!$B$35,1),
IF(T327=regle!$C$11,regle!$C$23,
IF(T327=regle!$D$11,regle!$D$23,
IF(T327=regle!$E$11,regle!$E$23,
IF(T327=regle!$F$11,regle!$F$23,
IF(T327=regle!$G$11,regle!$G$23,
IF(T327=regle!$H$11,regle!$H$23,
IF(T327=regle!$I$11,regle!$I$23,
IF(T327=regle!$J$11,regle!$J$23,
IF(T327=regle!$K$11,regle!$K$23,0))))))))))))</f>
        <v>0</v>
      </c>
      <c r="AE327" s="17">
        <f>IF($A327,$J327*(IF(U327=regle!$B$11,regle!$B$23*IF(AN327=-2,1+regle!$B$35,1),
IF(U327=regle!$C$11,regle!$C$23,
IF(U327=regle!$D$11,regle!$D$23,
IF(U327=regle!$E$11,regle!$E$23,
IF(U327=regle!$F$11,regle!$F$23,
IF(U327=regle!$G$11,regle!$G$23,
IF(U327=regle!$H$11,regle!$H$23,
IF(U327=regle!$I$11,regle!$I$23,
IF(U327=regle!$J$11,regle!$J$23,
IF(U327=regle!$K$11,regle!$K$23,0))))))))))))</f>
        <v>0</v>
      </c>
      <c r="AF327" s="17">
        <f>IF($A327,$J327*(IF(V327=regle!$B$11,regle!$B$23*IF(AO327=-2,1+regle!$B$35,1),
IF(V327=regle!$C$11,regle!$C$23,
IF(V327=regle!$D$11,regle!$D$23,
IF(V327=regle!$E$11,regle!$E$23,
IF(V327=regle!$F$11,regle!$F$23,
IF(V327=regle!$G$11,regle!$G$23,
IF(V327=regle!$H$11,regle!$H$23,
IF(V327=regle!$I$11,regle!$I$23,
IF(V327=regle!$J$11,regle!$J$23,
IF(V327=regle!$K$11,regle!$K$23,0))))))))))))</f>
        <v>26238.16</v>
      </c>
      <c r="AG327" s="17">
        <f>IF($A327,$J327*(IF(W327=regle!$B$11,regle!$B$23*IF(AP327=-2,1+regle!$B$35,1),
IF(W327=regle!$C$11,regle!$C$23,
IF(W327=regle!$D$11,regle!$D$23,
IF(W327=regle!$E$11,regle!$E$23,
IF(W327=regle!$F$11,regle!$F$23,
IF(W327=regle!$G$11,regle!$G$23,
IF(W327=regle!$H$11,regle!$H$23,
IF(W327=regle!$I$11,regle!$I$23,
IF(W327=regle!$J$11,regle!$J$23,
IF(W327=regle!$K$11,regle!$K$23,0))))))))))))</f>
        <v>-9435.6460000000006</v>
      </c>
      <c r="AH327" s="17">
        <f>IF($A327,$J327*(IF(X327=regle!$B$11,regle!$B$23*IF(AQ327=-2,1+regle!$B$35,1),
IF(X327=regle!$C$11,regle!$C$23,
IF(X327=regle!$D$11,regle!$D$23,
IF(X327=regle!$E$11,regle!$E$23,
IF(X327=regle!$F$11,regle!$F$23,
IF(X327=regle!$G$11,regle!$G$23,
IF(X327=regle!$H$11,regle!$H$23,
IF(X327=regle!$I$11,regle!$I$23,
IF(X327=regle!$J$11,regle!$J$23,
IF(X327=regle!$K$11,regle!$K$23,0))))))))))))</f>
        <v>0</v>
      </c>
      <c r="AI327" s="17">
        <f>IF($A327,$J327*(IF(Y327=regle!$B$11,regle!$B$23*IF(AR327=-2,1+regle!$B$35,1),
IF(Y327=regle!$C$11,regle!$C$23,
IF(Y327=regle!$D$11,regle!$D$23,
IF(Y327=regle!$E$11,regle!$E$23,
IF(Y327=regle!$F$11,regle!$F$23,
IF(Y327=regle!$G$11,regle!$G$23,
IF(Y327=regle!$H$11,regle!$H$23,
IF(Y327=regle!$I$11,regle!$I$23,
IF(Y327=regle!$J$11,regle!$J$23,
IF(Y327=regle!$K$11,regle!$K$23,0))))))))))))</f>
        <v>-378.435</v>
      </c>
      <c r="AJ327" s="17">
        <f>IF($A327,$J327*(IF(Z327=regle!$B$11,regle!$B$23*IF(AS327=-2,1+regle!$B$35,1),
IF(Z327=regle!$C$11,regle!$C$23,
IF(Z327=regle!$D$11,regle!$D$23,
IF(Z327=regle!$E$11,regle!$E$23,
IF(Z327=regle!$F$11,regle!$F$23,
IF(Z327=regle!$G$11,regle!$G$23,
IF(Z327=regle!$H$11,regle!$H$23,
IF(Z327=regle!$I$11,regle!$I$23,
IF(Z327=regle!$J$11,regle!$J$23,
IF(Z327=regle!$K$11,regle!$K$23,0))))))))))))</f>
        <v>0</v>
      </c>
      <c r="AK327" s="16">
        <f>IF(OR(Q327=regle!$J$11,Q327=regle!$K$11),-2,IF(Q327=regle!$B$11,0,IF(AK$1=$AK$1,IF($O327,-1,regle!$B$2-$M327),IF(AJ327=-1,-1,AJ327+1))))</f>
        <v>20</v>
      </c>
      <c r="AL327" s="16">
        <f>IF(OR(R327=regle!$J$11,R327=regle!$K$11),-2,IF(R327=regle!$B$11,0,IF(AL$1=$AK$1,IF($O327,-1,regle!$B$2-$M327),IF(AK327=-1,-1,AK327+1))))</f>
        <v>21</v>
      </c>
      <c r="AM327" s="16">
        <f>IF(OR(S327=regle!$J$11,S327=regle!$K$11),-2,IF(S327=regle!$B$11,0,IF(AM$1=$AK$1,IF($O327,-1,regle!$B$2-$M327),IF(AL327=-1,-1,AL327+1))))</f>
        <v>22</v>
      </c>
      <c r="AN327" s="16">
        <f>IF(OR(T327=regle!$J$11,T327=regle!$K$11),-2,IF(T327=regle!$B$11,0,IF(AN$1=$AK$1,IF($O327,-1,regle!$B$2-$M327),IF(AM327=-1,-1,AM327+1))))</f>
        <v>23</v>
      </c>
      <c r="AO327" s="16">
        <f>IF(OR(U327=regle!$J$11,U327=regle!$K$11),-2,IF(U327=regle!$B$11,0,IF(AO$1=$AK$1,IF($O327,-1,regle!$B$2-$M327),IF(AN327=-1,-1,AN327+1))))</f>
        <v>24</v>
      </c>
      <c r="AP327" s="16">
        <f>IF(OR(V327=regle!$J$11,V327=regle!$K$11),-2,IF(V327=regle!$B$11,0,IF(AP$1=$AK$1,IF($O327,-1,regle!$B$2-$M327),IF(AO327=-1,-1,AO327+1))))</f>
        <v>-2</v>
      </c>
      <c r="AQ327" s="16">
        <f>IF(OR(W327=regle!$J$11,W327=regle!$K$11),-2,IF(W327=regle!$B$11,0,IF(AQ$1=$AK$1,IF($O327,-1,regle!$B$2-$M327),IF(AP327=-1,-1,AP327+1))))</f>
        <v>0</v>
      </c>
      <c r="AR327" s="16">
        <f>IF(OR(X327=regle!$J$11,X327=regle!$K$11),-2,IF(X327=regle!$B$11,0,IF(AR$1=$AK$1,IF($O327,-1,regle!$B$2-$M327),IF(AQ327=-1,-1,AQ327+1))))</f>
        <v>1</v>
      </c>
      <c r="AS327" s="16">
        <f>IF(OR(Y327=regle!$J$11,Y327=regle!$K$11),-2,IF(Y327=regle!$B$11,0,IF(AS$1=$AK$1,IF($O327,-1,regle!$B$2-$M327),IF(AR327=-1,-1,AR327+1))))</f>
        <v>2</v>
      </c>
      <c r="AT327" s="16">
        <f>IF(OR(Z327=regle!$J$11,Z327=regle!$K$11),-2,IF(Z327=regle!$B$11,0,IF(AT$1=$AK$1,IF($O327,-1,regle!$B$2-$M327),IF(AS327=-1,-1,AS327+1))))</f>
        <v>3</v>
      </c>
    </row>
    <row r="328" spans="1:46" x14ac:dyDescent="0.25">
      <c r="A328" t="b">
        <f>modif0!A123</f>
        <v>1</v>
      </c>
      <c r="B328">
        <f>ROW(modif0!B123)</f>
        <v>123</v>
      </c>
      <c r="C328" t="str">
        <f>modif0!D123</f>
        <v>202</v>
      </c>
      <c r="D328" t="str">
        <f>modif0!E123</f>
        <v>HOSTENS</v>
      </c>
      <c r="E328">
        <f>modif0!F123</f>
        <v>11</v>
      </c>
      <c r="F328" t="str">
        <f>modif0!G123</f>
        <v>LES CAZALAS</v>
      </c>
      <c r="G328" t="str">
        <f>modif0!I123</f>
        <v>0B</v>
      </c>
      <c r="H328">
        <f>modif0!J123</f>
        <v>1152</v>
      </c>
      <c r="I328" t="str">
        <f>modif0!K123</f>
        <v>j</v>
      </c>
      <c r="J328" s="11">
        <f>modif0!M123</f>
        <v>4.2347999999999999</v>
      </c>
      <c r="K328" s="11" t="str">
        <f>modif0!P123</f>
        <v>PLA</v>
      </c>
      <c r="L328" t="str">
        <f>modif0!N123</f>
        <v>PM</v>
      </c>
      <c r="M328">
        <f>modif0!Q123</f>
        <v>2004</v>
      </c>
      <c r="N328" t="str">
        <f>modif0!R123</f>
        <v>PLA-PM_2004</v>
      </c>
      <c r="O328" t="b">
        <f>modif0!S123</f>
        <v>0</v>
      </c>
      <c r="P328">
        <v>40</v>
      </c>
      <c r="V328" s="22" t="s">
        <v>1181</v>
      </c>
      <c r="W328" t="s">
        <v>1868</v>
      </c>
      <c r="Y328" t="s">
        <v>1872</v>
      </c>
      <c r="AA328" s="17">
        <f>IF($A328,$J328*(IF(Q328=regle!$B$11,regle!$B$23*IF(AJ328=-2,1+regle!$B$35,1),
IF(Q328=regle!$C$11,regle!$C$23,
IF(Q328=regle!$D$11,regle!$D$23,
IF(Q328=regle!$E$11,regle!$E$23,
IF(Q328=regle!$F$11,regle!$F$23,
IF(Q328=regle!$G$11,regle!$G$23,
IF(Q328=regle!$H$11,regle!$H$23,
IF(Q328=regle!$I$11,regle!$I$23,
IF(Q328=regle!$J$11,regle!$J$23,
IF(Q328=regle!$K$11,regle!$K$23,0))))))))))))</f>
        <v>0</v>
      </c>
      <c r="AB328" s="17">
        <f>IF($A328,$J328*(IF(R328=regle!$B$11,regle!$B$23*IF(AK328=-2,1+regle!$B$35,1),
IF(R328=regle!$C$11,regle!$C$23,
IF(R328=regle!$D$11,regle!$D$23,
IF(R328=regle!$E$11,regle!$E$23,
IF(R328=regle!$F$11,regle!$F$23,
IF(R328=regle!$G$11,regle!$G$23,
IF(R328=regle!$H$11,regle!$H$23,
IF(R328=regle!$I$11,regle!$I$23,
IF(R328=regle!$J$11,regle!$J$23,
IF(R328=regle!$K$11,regle!$K$23,0))))))))))))</f>
        <v>0</v>
      </c>
      <c r="AC328" s="17">
        <f>IF($A328,$J328*(IF(S328=regle!$B$11,regle!$B$23*IF(AL328=-2,1+regle!$B$35,1),
IF(S328=regle!$C$11,regle!$C$23,
IF(S328=regle!$D$11,regle!$D$23,
IF(S328=regle!$E$11,regle!$E$23,
IF(S328=regle!$F$11,regle!$F$23,
IF(S328=regle!$G$11,regle!$G$23,
IF(S328=regle!$H$11,regle!$H$23,
IF(S328=regle!$I$11,regle!$I$23,
IF(S328=regle!$J$11,regle!$J$23,
IF(S328=regle!$K$11,regle!$K$23,0))))))))))))</f>
        <v>0</v>
      </c>
      <c r="AD328" s="17">
        <f>IF($A328,$J328*(IF(T328=regle!$B$11,regle!$B$23*IF(AM328=-2,1+regle!$B$35,1),
IF(T328=regle!$C$11,regle!$C$23,
IF(T328=regle!$D$11,regle!$D$23,
IF(T328=regle!$E$11,regle!$E$23,
IF(T328=regle!$F$11,regle!$F$23,
IF(T328=regle!$G$11,regle!$G$23,
IF(T328=regle!$H$11,regle!$H$23,
IF(T328=regle!$I$11,regle!$I$23,
IF(T328=regle!$J$11,regle!$J$23,
IF(T328=regle!$K$11,regle!$K$23,0))))))))))))</f>
        <v>0</v>
      </c>
      <c r="AE328" s="17">
        <f>IF($A328,$J328*(IF(U328=regle!$B$11,regle!$B$23*IF(AN328=-2,1+regle!$B$35,1),
IF(U328=regle!$C$11,regle!$C$23,
IF(U328=regle!$D$11,regle!$D$23,
IF(U328=regle!$E$11,regle!$E$23,
IF(U328=regle!$F$11,regle!$F$23,
IF(U328=regle!$G$11,regle!$G$23,
IF(U328=regle!$H$11,regle!$H$23,
IF(U328=regle!$I$11,regle!$I$23,
IF(U328=regle!$J$11,regle!$J$23,
IF(U328=regle!$K$11,regle!$K$23,0))))))))))))</f>
        <v>0</v>
      </c>
      <c r="AF328" s="17">
        <f>IF($A328,$J328*(IF(V328=regle!$B$11,regle!$B$23*IF(AO328=-2,1+regle!$B$35,1),
IF(V328=regle!$C$11,regle!$C$23,
IF(V328=regle!$D$11,regle!$D$23,
IF(V328=regle!$E$11,regle!$E$23,
IF(V328=regle!$F$11,regle!$F$23,
IF(V328=regle!$G$11,regle!$G$23,
IF(V328=regle!$H$11,regle!$H$23,
IF(V328=regle!$I$11,regle!$I$23,
IF(V328=regle!$J$11,regle!$J$23,
IF(V328=regle!$K$11,regle!$K$23,0))))))))))))</f>
        <v>22020.959999999999</v>
      </c>
      <c r="AG328" s="17">
        <f>IF($A328,$J328*(IF(W328=regle!$B$11,regle!$B$23*IF(AP328=-2,1+regle!$B$35,1),
IF(W328=regle!$C$11,regle!$C$23,
IF(W328=regle!$D$11,regle!$D$23,
IF(W328=regle!$E$11,regle!$E$23,
IF(W328=regle!$F$11,regle!$F$23,
IF(W328=regle!$G$11,regle!$G$23,
IF(W328=regle!$H$11,regle!$H$23,
IF(W328=regle!$I$11,regle!$I$23,
IF(W328=regle!$J$11,regle!$J$23,
IF(W328=regle!$K$11,regle!$K$23,0))))))))))))</f>
        <v>-7919.0760000000009</v>
      </c>
      <c r="AH328" s="17">
        <f>IF($A328,$J328*(IF(X328=regle!$B$11,regle!$B$23*IF(AQ328=-2,1+regle!$B$35,1),
IF(X328=regle!$C$11,regle!$C$23,
IF(X328=regle!$D$11,regle!$D$23,
IF(X328=regle!$E$11,regle!$E$23,
IF(X328=regle!$F$11,regle!$F$23,
IF(X328=regle!$G$11,regle!$G$23,
IF(X328=regle!$H$11,regle!$H$23,
IF(X328=regle!$I$11,regle!$I$23,
IF(X328=regle!$J$11,regle!$J$23,
IF(X328=regle!$K$11,regle!$K$23,0))))))))))))</f>
        <v>0</v>
      </c>
      <c r="AI328" s="17">
        <f>IF($A328,$J328*(IF(Y328=regle!$B$11,regle!$B$23*IF(AR328=-2,1+regle!$B$35,1),
IF(Y328=regle!$C$11,regle!$C$23,
IF(Y328=regle!$D$11,regle!$D$23,
IF(Y328=regle!$E$11,regle!$E$23,
IF(Y328=regle!$F$11,regle!$F$23,
IF(Y328=regle!$G$11,regle!$G$23,
IF(Y328=regle!$H$11,regle!$H$23,
IF(Y328=regle!$I$11,regle!$I$23,
IF(Y328=regle!$J$11,regle!$J$23,
IF(Y328=regle!$K$11,regle!$K$23,0))))))))))))</f>
        <v>-317.61</v>
      </c>
      <c r="AJ328" s="17">
        <f>IF($A328,$J328*(IF(Z328=regle!$B$11,regle!$B$23*IF(AS328=-2,1+regle!$B$35,1),
IF(Z328=regle!$C$11,regle!$C$23,
IF(Z328=regle!$D$11,regle!$D$23,
IF(Z328=regle!$E$11,regle!$E$23,
IF(Z328=regle!$F$11,regle!$F$23,
IF(Z328=regle!$G$11,regle!$G$23,
IF(Z328=regle!$H$11,regle!$H$23,
IF(Z328=regle!$I$11,regle!$I$23,
IF(Z328=regle!$J$11,regle!$J$23,
IF(Z328=regle!$K$11,regle!$K$23,0))))))))))))</f>
        <v>0</v>
      </c>
      <c r="AK328" s="16">
        <f>IF(OR(Q328=regle!$J$11,Q328=regle!$K$11),-2,IF(Q328=regle!$B$11,0,IF(AK$1=$AK$1,IF($O328,-1,regle!$B$2-$M328),IF(AJ328=-1,-1,AJ328+1))))</f>
        <v>20</v>
      </c>
      <c r="AL328" s="16">
        <f>IF(OR(R328=regle!$J$11,R328=regle!$K$11),-2,IF(R328=regle!$B$11,0,IF(AL$1=$AK$1,IF($O328,-1,regle!$B$2-$M328),IF(AK328=-1,-1,AK328+1))))</f>
        <v>21</v>
      </c>
      <c r="AM328" s="16">
        <f>IF(OR(S328=regle!$J$11,S328=regle!$K$11),-2,IF(S328=regle!$B$11,0,IF(AM$1=$AK$1,IF($O328,-1,regle!$B$2-$M328),IF(AL328=-1,-1,AL328+1))))</f>
        <v>22</v>
      </c>
      <c r="AN328" s="16">
        <f>IF(OR(T328=regle!$J$11,T328=regle!$K$11),-2,IF(T328=regle!$B$11,0,IF(AN$1=$AK$1,IF($O328,-1,regle!$B$2-$M328),IF(AM328=-1,-1,AM328+1))))</f>
        <v>23</v>
      </c>
      <c r="AO328" s="16">
        <f>IF(OR(U328=regle!$J$11,U328=regle!$K$11),-2,IF(U328=regle!$B$11,0,IF(AO$1=$AK$1,IF($O328,-1,regle!$B$2-$M328),IF(AN328=-1,-1,AN328+1))))</f>
        <v>24</v>
      </c>
      <c r="AP328" s="16">
        <f>IF(OR(V328=regle!$J$11,V328=regle!$K$11),-2,IF(V328=regle!$B$11,0,IF(AP$1=$AK$1,IF($O328,-1,regle!$B$2-$M328),IF(AO328=-1,-1,AO328+1))))</f>
        <v>-2</v>
      </c>
      <c r="AQ328" s="16">
        <f>IF(OR(W328=regle!$J$11,W328=regle!$K$11),-2,IF(W328=regle!$B$11,0,IF(AQ$1=$AK$1,IF($O328,-1,regle!$B$2-$M328),IF(AP328=-1,-1,AP328+1))))</f>
        <v>0</v>
      </c>
      <c r="AR328" s="16">
        <f>IF(OR(X328=regle!$J$11,X328=regle!$K$11),-2,IF(X328=regle!$B$11,0,IF(AR$1=$AK$1,IF($O328,-1,regle!$B$2-$M328),IF(AQ328=-1,-1,AQ328+1))))</f>
        <v>1</v>
      </c>
      <c r="AS328" s="16">
        <f>IF(OR(Y328=regle!$J$11,Y328=regle!$K$11),-2,IF(Y328=regle!$B$11,0,IF(AS$1=$AK$1,IF($O328,-1,regle!$B$2-$M328),IF(AR328=-1,-1,AR328+1))))</f>
        <v>2</v>
      </c>
      <c r="AT328" s="16">
        <f>IF(OR(Z328=regle!$J$11,Z328=regle!$K$11),-2,IF(Z328=regle!$B$11,0,IF(AT$1=$AK$1,IF($O328,-1,regle!$B$2-$M328),IF(AS328=-1,-1,AS328+1))))</f>
        <v>3</v>
      </c>
    </row>
    <row r="329" spans="1:46" x14ac:dyDescent="0.25">
      <c r="A329" t="b">
        <f>modif0!A121</f>
        <v>1</v>
      </c>
      <c r="B329">
        <f>ROW(modif0!B121)</f>
        <v>121</v>
      </c>
      <c r="C329" t="str">
        <f>modif0!D121</f>
        <v>202</v>
      </c>
      <c r="D329" t="str">
        <f>modif0!E121</f>
        <v>HOSTENS</v>
      </c>
      <c r="E329">
        <f>modif0!F121</f>
        <v>11</v>
      </c>
      <c r="F329" t="str">
        <f>modif0!G121</f>
        <v>LES CAZALAS</v>
      </c>
      <c r="G329" t="str">
        <f>modif0!I121</f>
        <v>0B</v>
      </c>
      <c r="H329">
        <f>modif0!J121</f>
        <v>1150</v>
      </c>
      <c r="I329" t="str">
        <f>modif0!K121</f>
        <v>l</v>
      </c>
      <c r="J329" s="11">
        <f>modif0!M121</f>
        <v>1.4842</v>
      </c>
      <c r="K329" s="11" t="str">
        <f>modif0!P121</f>
        <v>PLA</v>
      </c>
      <c r="L329" t="str">
        <f>modif0!N121</f>
        <v>PM</v>
      </c>
      <c r="M329">
        <f>modif0!Q121</f>
        <v>2004</v>
      </c>
      <c r="N329" t="str">
        <f>modif0!R121</f>
        <v>PLA-PM_2004</v>
      </c>
      <c r="O329" t="b">
        <f>modif0!S121</f>
        <v>0</v>
      </c>
      <c r="P329">
        <v>40</v>
      </c>
      <c r="V329" s="22" t="s">
        <v>1181</v>
      </c>
      <c r="W329" t="s">
        <v>1868</v>
      </c>
      <c r="Y329" t="s">
        <v>1872</v>
      </c>
      <c r="AA329" s="17">
        <f>IF($A329,$J329*(IF(Q329=regle!$B$11,regle!$B$23*IF(AJ329=-2,1+regle!$B$35,1),
IF(Q329=regle!$C$11,regle!$C$23,
IF(Q329=regle!$D$11,regle!$D$23,
IF(Q329=regle!$E$11,regle!$E$23,
IF(Q329=regle!$F$11,regle!$F$23,
IF(Q329=regle!$G$11,regle!$G$23,
IF(Q329=regle!$H$11,regle!$H$23,
IF(Q329=regle!$I$11,regle!$I$23,
IF(Q329=regle!$J$11,regle!$J$23,
IF(Q329=regle!$K$11,regle!$K$23,0))))))))))))</f>
        <v>0</v>
      </c>
      <c r="AB329" s="17">
        <f>IF($A329,$J329*(IF(R329=regle!$B$11,regle!$B$23*IF(AK329=-2,1+regle!$B$35,1),
IF(R329=regle!$C$11,regle!$C$23,
IF(R329=regle!$D$11,regle!$D$23,
IF(R329=regle!$E$11,regle!$E$23,
IF(R329=regle!$F$11,regle!$F$23,
IF(R329=regle!$G$11,regle!$G$23,
IF(R329=regle!$H$11,regle!$H$23,
IF(R329=regle!$I$11,regle!$I$23,
IF(R329=regle!$J$11,regle!$J$23,
IF(R329=regle!$K$11,regle!$K$23,0))))))))))))</f>
        <v>0</v>
      </c>
      <c r="AC329" s="17">
        <f>IF($A329,$J329*(IF(S329=regle!$B$11,regle!$B$23*IF(AL329=-2,1+regle!$B$35,1),
IF(S329=regle!$C$11,regle!$C$23,
IF(S329=regle!$D$11,regle!$D$23,
IF(S329=regle!$E$11,regle!$E$23,
IF(S329=regle!$F$11,regle!$F$23,
IF(S329=regle!$G$11,regle!$G$23,
IF(S329=regle!$H$11,regle!$H$23,
IF(S329=regle!$I$11,regle!$I$23,
IF(S329=regle!$J$11,regle!$J$23,
IF(S329=regle!$K$11,regle!$K$23,0))))))))))))</f>
        <v>0</v>
      </c>
      <c r="AD329" s="17">
        <f>IF($A329,$J329*(IF(T329=regle!$B$11,regle!$B$23*IF(AM329=-2,1+regle!$B$35,1),
IF(T329=regle!$C$11,regle!$C$23,
IF(T329=regle!$D$11,regle!$D$23,
IF(T329=regle!$E$11,regle!$E$23,
IF(T329=regle!$F$11,regle!$F$23,
IF(T329=regle!$G$11,regle!$G$23,
IF(T329=regle!$H$11,regle!$H$23,
IF(T329=regle!$I$11,regle!$I$23,
IF(T329=regle!$J$11,regle!$J$23,
IF(T329=regle!$K$11,regle!$K$23,0))))))))))))</f>
        <v>0</v>
      </c>
      <c r="AE329" s="17">
        <f>IF($A329,$J329*(IF(U329=regle!$B$11,regle!$B$23*IF(AN329=-2,1+regle!$B$35,1),
IF(U329=regle!$C$11,regle!$C$23,
IF(U329=regle!$D$11,regle!$D$23,
IF(U329=regle!$E$11,regle!$E$23,
IF(U329=regle!$F$11,regle!$F$23,
IF(U329=regle!$G$11,regle!$G$23,
IF(U329=regle!$H$11,regle!$H$23,
IF(U329=regle!$I$11,regle!$I$23,
IF(U329=regle!$J$11,regle!$J$23,
IF(U329=regle!$K$11,regle!$K$23,0))))))))))))</f>
        <v>0</v>
      </c>
      <c r="AF329" s="17">
        <f>IF($A329,$J329*(IF(V329=regle!$B$11,regle!$B$23*IF(AO329=-2,1+regle!$B$35,1),
IF(V329=regle!$C$11,regle!$C$23,
IF(V329=regle!$D$11,regle!$D$23,
IF(V329=regle!$E$11,regle!$E$23,
IF(V329=regle!$F$11,regle!$F$23,
IF(V329=regle!$G$11,regle!$G$23,
IF(V329=regle!$H$11,regle!$H$23,
IF(V329=regle!$I$11,regle!$I$23,
IF(V329=regle!$J$11,regle!$J$23,
IF(V329=regle!$K$11,regle!$K$23,0))))))))))))</f>
        <v>7717.84</v>
      </c>
      <c r="AG329" s="17">
        <f>IF($A329,$J329*(IF(W329=regle!$B$11,regle!$B$23*IF(AP329=-2,1+regle!$B$35,1),
IF(W329=regle!$C$11,regle!$C$23,
IF(W329=regle!$D$11,regle!$D$23,
IF(W329=regle!$E$11,regle!$E$23,
IF(W329=regle!$F$11,regle!$F$23,
IF(W329=regle!$G$11,regle!$G$23,
IF(W329=regle!$H$11,regle!$H$23,
IF(W329=regle!$I$11,regle!$I$23,
IF(W329=regle!$J$11,regle!$J$23,
IF(W329=regle!$K$11,regle!$K$23,0))))))))))))</f>
        <v>-2775.4540000000002</v>
      </c>
      <c r="AH329" s="17">
        <f>IF($A329,$J329*(IF(X329=regle!$B$11,regle!$B$23*IF(AQ329=-2,1+regle!$B$35,1),
IF(X329=regle!$C$11,regle!$C$23,
IF(X329=regle!$D$11,regle!$D$23,
IF(X329=regle!$E$11,regle!$E$23,
IF(X329=regle!$F$11,regle!$F$23,
IF(X329=regle!$G$11,regle!$G$23,
IF(X329=regle!$H$11,regle!$H$23,
IF(X329=regle!$I$11,regle!$I$23,
IF(X329=regle!$J$11,regle!$J$23,
IF(X329=regle!$K$11,regle!$K$23,0))))))))))))</f>
        <v>0</v>
      </c>
      <c r="AI329" s="17">
        <f>IF($A329,$J329*(IF(Y329=regle!$B$11,regle!$B$23*IF(AR329=-2,1+regle!$B$35,1),
IF(Y329=regle!$C$11,regle!$C$23,
IF(Y329=regle!$D$11,regle!$D$23,
IF(Y329=regle!$E$11,regle!$E$23,
IF(Y329=regle!$F$11,regle!$F$23,
IF(Y329=regle!$G$11,regle!$G$23,
IF(Y329=regle!$H$11,regle!$H$23,
IF(Y329=regle!$I$11,regle!$I$23,
IF(Y329=regle!$J$11,regle!$J$23,
IF(Y329=regle!$K$11,regle!$K$23,0))))))))))))</f>
        <v>-111.315</v>
      </c>
      <c r="AJ329" s="17">
        <f>IF($A329,$J329*(IF(Z329=regle!$B$11,regle!$B$23*IF(AS329=-2,1+regle!$B$35,1),
IF(Z329=regle!$C$11,regle!$C$23,
IF(Z329=regle!$D$11,regle!$D$23,
IF(Z329=regle!$E$11,regle!$E$23,
IF(Z329=regle!$F$11,regle!$F$23,
IF(Z329=regle!$G$11,regle!$G$23,
IF(Z329=regle!$H$11,regle!$H$23,
IF(Z329=regle!$I$11,regle!$I$23,
IF(Z329=regle!$J$11,regle!$J$23,
IF(Z329=regle!$K$11,regle!$K$23,0))))))))))))</f>
        <v>0</v>
      </c>
      <c r="AK329" s="16">
        <f>IF(OR(Q329=regle!$J$11,Q329=regle!$K$11),-2,IF(Q329=regle!$B$11,0,IF(AK$1=$AK$1,IF($O329,-1,regle!$B$2-$M329),IF(AJ329=-1,-1,AJ329+1))))</f>
        <v>20</v>
      </c>
      <c r="AL329" s="16">
        <f>IF(OR(R329=regle!$J$11,R329=regle!$K$11),-2,IF(R329=regle!$B$11,0,IF(AL$1=$AK$1,IF($O329,-1,regle!$B$2-$M329),IF(AK329=-1,-1,AK329+1))))</f>
        <v>21</v>
      </c>
      <c r="AM329" s="16">
        <f>IF(OR(S329=regle!$J$11,S329=regle!$K$11),-2,IF(S329=regle!$B$11,0,IF(AM$1=$AK$1,IF($O329,-1,regle!$B$2-$M329),IF(AL329=-1,-1,AL329+1))))</f>
        <v>22</v>
      </c>
      <c r="AN329" s="16">
        <f>IF(OR(T329=regle!$J$11,T329=regle!$K$11),-2,IF(T329=regle!$B$11,0,IF(AN$1=$AK$1,IF($O329,-1,regle!$B$2-$M329),IF(AM329=-1,-1,AM329+1))))</f>
        <v>23</v>
      </c>
      <c r="AO329" s="16">
        <f>IF(OR(U329=regle!$J$11,U329=regle!$K$11),-2,IF(U329=regle!$B$11,0,IF(AO$1=$AK$1,IF($O329,-1,regle!$B$2-$M329),IF(AN329=-1,-1,AN329+1))))</f>
        <v>24</v>
      </c>
      <c r="AP329" s="16">
        <f>IF(OR(V329=regle!$J$11,V329=regle!$K$11),-2,IF(V329=regle!$B$11,0,IF(AP$1=$AK$1,IF($O329,-1,regle!$B$2-$M329),IF(AO329=-1,-1,AO329+1))))</f>
        <v>-2</v>
      </c>
      <c r="AQ329" s="16">
        <f>IF(OR(W329=regle!$J$11,W329=regle!$K$11),-2,IF(W329=regle!$B$11,0,IF(AQ$1=$AK$1,IF($O329,-1,regle!$B$2-$M329),IF(AP329=-1,-1,AP329+1))))</f>
        <v>0</v>
      </c>
      <c r="AR329" s="16">
        <f>IF(OR(X329=regle!$J$11,X329=regle!$K$11),-2,IF(X329=regle!$B$11,0,IF(AR$1=$AK$1,IF($O329,-1,regle!$B$2-$M329),IF(AQ329=-1,-1,AQ329+1))))</f>
        <v>1</v>
      </c>
      <c r="AS329" s="16">
        <f>IF(OR(Y329=regle!$J$11,Y329=regle!$K$11),-2,IF(Y329=regle!$B$11,0,IF(AS$1=$AK$1,IF($O329,-1,regle!$B$2-$M329),IF(AR329=-1,-1,AR329+1))))</f>
        <v>2</v>
      </c>
      <c r="AT329" s="16">
        <f>IF(OR(Z329=regle!$J$11,Z329=regle!$K$11),-2,IF(Z329=regle!$B$11,0,IF(AT$1=$AK$1,IF($O329,-1,regle!$B$2-$M329),IF(AS329=-1,-1,AS329+1))))</f>
        <v>3</v>
      </c>
    </row>
    <row r="330" spans="1:46" x14ac:dyDescent="0.25">
      <c r="A330" t="b">
        <f>modif0!A111</f>
        <v>1</v>
      </c>
      <c r="B330">
        <f>ROW(modif0!B111)</f>
        <v>111</v>
      </c>
      <c r="C330" t="str">
        <f>modif0!D111</f>
        <v>202</v>
      </c>
      <c r="D330" t="str">
        <f>modif0!E111</f>
        <v>HOSTENS</v>
      </c>
      <c r="E330">
        <f>modif0!F111</f>
        <v>11</v>
      </c>
      <c r="F330" t="str">
        <f>modif0!G111</f>
        <v>LES CAZALAS</v>
      </c>
      <c r="G330" t="str">
        <f>modif0!I111</f>
        <v>0B</v>
      </c>
      <c r="H330">
        <f>modif0!J111</f>
        <v>1144</v>
      </c>
      <c r="I330" t="str">
        <f>modif0!K111</f>
        <v/>
      </c>
      <c r="J330" s="11">
        <f>modif0!M111</f>
        <v>1.4510000000000001</v>
      </c>
      <c r="K330" s="11" t="str">
        <f>modif0!P111</f>
        <v>PLA</v>
      </c>
      <c r="L330" t="str">
        <f>modif0!N111</f>
        <v>PM</v>
      </c>
      <c r="M330">
        <f>modif0!Q111</f>
        <v>2004</v>
      </c>
      <c r="N330" t="str">
        <f>modif0!R111</f>
        <v>PLA-PM_2004</v>
      </c>
      <c r="O330" t="b">
        <f>modif0!S111</f>
        <v>0</v>
      </c>
      <c r="P330">
        <v>40</v>
      </c>
      <c r="V330" s="22" t="s">
        <v>1181</v>
      </c>
      <c r="W330" t="s">
        <v>1868</v>
      </c>
      <c r="Y330" t="s">
        <v>1872</v>
      </c>
      <c r="AA330" s="17">
        <f>IF($A330,$J330*(IF(Q330=regle!$B$11,regle!$B$23*IF(AJ330=-2,1+regle!$B$35,1),
IF(Q330=regle!$C$11,regle!$C$23,
IF(Q330=regle!$D$11,regle!$D$23,
IF(Q330=regle!$E$11,regle!$E$23,
IF(Q330=regle!$F$11,regle!$F$23,
IF(Q330=regle!$G$11,regle!$G$23,
IF(Q330=regle!$H$11,regle!$H$23,
IF(Q330=regle!$I$11,regle!$I$23,
IF(Q330=regle!$J$11,regle!$J$23,
IF(Q330=regle!$K$11,regle!$K$23,0))))))))))))</f>
        <v>0</v>
      </c>
      <c r="AB330" s="17">
        <f>IF($A330,$J330*(IF(R330=regle!$B$11,regle!$B$23*IF(AK330=-2,1+regle!$B$35,1),
IF(R330=regle!$C$11,regle!$C$23,
IF(R330=regle!$D$11,regle!$D$23,
IF(R330=regle!$E$11,regle!$E$23,
IF(R330=regle!$F$11,regle!$F$23,
IF(R330=regle!$G$11,regle!$G$23,
IF(R330=regle!$H$11,regle!$H$23,
IF(R330=regle!$I$11,regle!$I$23,
IF(R330=regle!$J$11,regle!$J$23,
IF(R330=regle!$K$11,regle!$K$23,0))))))))))))</f>
        <v>0</v>
      </c>
      <c r="AC330" s="17">
        <f>IF($A330,$J330*(IF(S330=regle!$B$11,regle!$B$23*IF(AL330=-2,1+regle!$B$35,1),
IF(S330=regle!$C$11,regle!$C$23,
IF(S330=regle!$D$11,regle!$D$23,
IF(S330=regle!$E$11,regle!$E$23,
IF(S330=regle!$F$11,regle!$F$23,
IF(S330=regle!$G$11,regle!$G$23,
IF(S330=regle!$H$11,regle!$H$23,
IF(S330=regle!$I$11,regle!$I$23,
IF(S330=regle!$J$11,regle!$J$23,
IF(S330=regle!$K$11,regle!$K$23,0))))))))))))</f>
        <v>0</v>
      </c>
      <c r="AD330" s="17">
        <f>IF($A330,$J330*(IF(T330=regle!$B$11,regle!$B$23*IF(AM330=-2,1+regle!$B$35,1),
IF(T330=regle!$C$11,regle!$C$23,
IF(T330=regle!$D$11,regle!$D$23,
IF(T330=regle!$E$11,regle!$E$23,
IF(T330=regle!$F$11,regle!$F$23,
IF(T330=regle!$G$11,regle!$G$23,
IF(T330=regle!$H$11,regle!$H$23,
IF(T330=regle!$I$11,regle!$I$23,
IF(T330=regle!$J$11,regle!$J$23,
IF(T330=regle!$K$11,regle!$K$23,0))))))))))))</f>
        <v>0</v>
      </c>
      <c r="AE330" s="17">
        <f>IF($A330,$J330*(IF(U330=regle!$B$11,regle!$B$23*IF(AN330=-2,1+regle!$B$35,1),
IF(U330=regle!$C$11,regle!$C$23,
IF(U330=regle!$D$11,regle!$D$23,
IF(U330=regle!$E$11,regle!$E$23,
IF(U330=regle!$F$11,regle!$F$23,
IF(U330=regle!$G$11,regle!$G$23,
IF(U330=regle!$H$11,regle!$H$23,
IF(U330=regle!$I$11,regle!$I$23,
IF(U330=regle!$J$11,regle!$J$23,
IF(U330=regle!$K$11,regle!$K$23,0))))))))))))</f>
        <v>0</v>
      </c>
      <c r="AF330" s="17">
        <f>IF($A330,$J330*(IF(V330=regle!$B$11,regle!$B$23*IF(AO330=-2,1+regle!$B$35,1),
IF(V330=regle!$C$11,regle!$C$23,
IF(V330=regle!$D$11,regle!$D$23,
IF(V330=regle!$E$11,regle!$E$23,
IF(V330=regle!$F$11,regle!$F$23,
IF(V330=regle!$G$11,regle!$G$23,
IF(V330=regle!$H$11,regle!$H$23,
IF(V330=regle!$I$11,regle!$I$23,
IF(V330=regle!$J$11,regle!$J$23,
IF(V330=regle!$K$11,regle!$K$23,0))))))))))))</f>
        <v>7545.2000000000007</v>
      </c>
      <c r="AG330" s="17">
        <f>IF($A330,$J330*(IF(W330=regle!$B$11,regle!$B$23*IF(AP330=-2,1+regle!$B$35,1),
IF(W330=regle!$C$11,regle!$C$23,
IF(W330=regle!$D$11,regle!$D$23,
IF(W330=regle!$E$11,regle!$E$23,
IF(W330=regle!$F$11,regle!$F$23,
IF(W330=regle!$G$11,regle!$G$23,
IF(W330=regle!$H$11,regle!$H$23,
IF(W330=regle!$I$11,regle!$I$23,
IF(W330=regle!$J$11,regle!$J$23,
IF(W330=regle!$K$11,regle!$K$23,0))))))))))))</f>
        <v>-2713.3700000000003</v>
      </c>
      <c r="AH330" s="17">
        <f>IF($A330,$J330*(IF(X330=regle!$B$11,regle!$B$23*IF(AQ330=-2,1+regle!$B$35,1),
IF(X330=regle!$C$11,regle!$C$23,
IF(X330=regle!$D$11,regle!$D$23,
IF(X330=regle!$E$11,regle!$E$23,
IF(X330=regle!$F$11,regle!$F$23,
IF(X330=regle!$G$11,regle!$G$23,
IF(X330=regle!$H$11,regle!$H$23,
IF(X330=regle!$I$11,regle!$I$23,
IF(X330=regle!$J$11,regle!$J$23,
IF(X330=regle!$K$11,regle!$K$23,0))))))))))))</f>
        <v>0</v>
      </c>
      <c r="AI330" s="17">
        <f>IF($A330,$J330*(IF(Y330=regle!$B$11,regle!$B$23*IF(AR330=-2,1+regle!$B$35,1),
IF(Y330=regle!$C$11,regle!$C$23,
IF(Y330=regle!$D$11,regle!$D$23,
IF(Y330=regle!$E$11,regle!$E$23,
IF(Y330=regle!$F$11,regle!$F$23,
IF(Y330=regle!$G$11,regle!$G$23,
IF(Y330=regle!$H$11,regle!$H$23,
IF(Y330=regle!$I$11,regle!$I$23,
IF(Y330=regle!$J$11,regle!$J$23,
IF(Y330=regle!$K$11,regle!$K$23,0))))))))))))</f>
        <v>-108.825</v>
      </c>
      <c r="AJ330" s="17">
        <f>IF($A330,$J330*(IF(Z330=regle!$B$11,regle!$B$23*IF(AS330=-2,1+regle!$B$35,1),
IF(Z330=regle!$C$11,regle!$C$23,
IF(Z330=regle!$D$11,regle!$D$23,
IF(Z330=regle!$E$11,regle!$E$23,
IF(Z330=regle!$F$11,regle!$F$23,
IF(Z330=regle!$G$11,regle!$G$23,
IF(Z330=regle!$H$11,regle!$H$23,
IF(Z330=regle!$I$11,regle!$I$23,
IF(Z330=regle!$J$11,regle!$J$23,
IF(Z330=regle!$K$11,regle!$K$23,0))))))))))))</f>
        <v>0</v>
      </c>
      <c r="AK330" s="16">
        <f>IF(OR(Q330=regle!$J$11,Q330=regle!$K$11),-2,IF(Q330=regle!$B$11,0,IF(AK$1=$AK$1,IF($O330,-1,regle!$B$2-$M330),IF(AJ330=-1,-1,AJ330+1))))</f>
        <v>20</v>
      </c>
      <c r="AL330" s="16">
        <f>IF(OR(R330=regle!$J$11,R330=regle!$K$11),-2,IF(R330=regle!$B$11,0,IF(AL$1=$AK$1,IF($O330,-1,regle!$B$2-$M330),IF(AK330=-1,-1,AK330+1))))</f>
        <v>21</v>
      </c>
      <c r="AM330" s="16">
        <f>IF(OR(S330=regle!$J$11,S330=regle!$K$11),-2,IF(S330=regle!$B$11,0,IF(AM$1=$AK$1,IF($O330,-1,regle!$B$2-$M330),IF(AL330=-1,-1,AL330+1))))</f>
        <v>22</v>
      </c>
      <c r="AN330" s="16">
        <f>IF(OR(T330=regle!$J$11,T330=regle!$K$11),-2,IF(T330=regle!$B$11,0,IF(AN$1=$AK$1,IF($O330,-1,regle!$B$2-$M330),IF(AM330=-1,-1,AM330+1))))</f>
        <v>23</v>
      </c>
      <c r="AO330" s="16">
        <f>IF(OR(U330=regle!$J$11,U330=regle!$K$11),-2,IF(U330=regle!$B$11,0,IF(AO$1=$AK$1,IF($O330,-1,regle!$B$2-$M330),IF(AN330=-1,-1,AN330+1))))</f>
        <v>24</v>
      </c>
      <c r="AP330" s="16">
        <f>IF(OR(V330=regle!$J$11,V330=regle!$K$11),-2,IF(V330=regle!$B$11,0,IF(AP$1=$AK$1,IF($O330,-1,regle!$B$2-$M330),IF(AO330=-1,-1,AO330+1))))</f>
        <v>-2</v>
      </c>
      <c r="AQ330" s="16">
        <f>IF(OR(W330=regle!$J$11,W330=regle!$K$11),-2,IF(W330=regle!$B$11,0,IF(AQ$1=$AK$1,IF($O330,-1,regle!$B$2-$M330),IF(AP330=-1,-1,AP330+1))))</f>
        <v>0</v>
      </c>
      <c r="AR330" s="16">
        <f>IF(OR(X330=regle!$J$11,X330=regle!$K$11),-2,IF(X330=regle!$B$11,0,IF(AR$1=$AK$1,IF($O330,-1,regle!$B$2-$M330),IF(AQ330=-1,-1,AQ330+1))))</f>
        <v>1</v>
      </c>
      <c r="AS330" s="16">
        <f>IF(OR(Y330=regle!$J$11,Y330=regle!$K$11),-2,IF(Y330=regle!$B$11,0,IF(AS$1=$AK$1,IF($O330,-1,regle!$B$2-$M330),IF(AR330=-1,-1,AR330+1))))</f>
        <v>2</v>
      </c>
      <c r="AT330" s="16">
        <f>IF(OR(Z330=regle!$J$11,Z330=regle!$K$11),-2,IF(Z330=regle!$B$11,0,IF(AT$1=$AK$1,IF($O330,-1,regle!$B$2-$M330),IF(AS330=-1,-1,AS330+1))))</f>
        <v>3</v>
      </c>
    </row>
    <row r="331" spans="1:46" x14ac:dyDescent="0.25">
      <c r="A331" t="b">
        <f>modif0!A222</f>
        <v>1</v>
      </c>
      <c r="B331">
        <f>ROW(modif0!B222)</f>
        <v>222</v>
      </c>
      <c r="C331" t="str">
        <f>modif0!D222</f>
        <v>202</v>
      </c>
      <c r="D331" t="str">
        <f>modif0!E222</f>
        <v>HOSTENS</v>
      </c>
      <c r="E331">
        <f>modif0!F222</f>
        <v>13</v>
      </c>
      <c r="F331" t="str">
        <f>modif0!G222</f>
        <v>LA BROUSTETTE</v>
      </c>
      <c r="G331" t="str">
        <f>modif0!I222</f>
        <v>0B</v>
      </c>
      <c r="H331">
        <f>modif0!J222</f>
        <v>1260</v>
      </c>
      <c r="I331" t="str">
        <f>modif0!K222</f>
        <v/>
      </c>
      <c r="J331" s="11">
        <f>modif0!M222</f>
        <v>1.4185000000000001</v>
      </c>
      <c r="K331" s="11" t="str">
        <f>modif0!P222</f>
        <v>PLA</v>
      </c>
      <c r="L331" t="str">
        <f>modif0!N222</f>
        <v>PM</v>
      </c>
      <c r="M331">
        <f>modif0!Q222</f>
        <v>2004</v>
      </c>
      <c r="N331" t="str">
        <f>modif0!R222</f>
        <v>PLA-PM_2004</v>
      </c>
      <c r="O331" t="b">
        <f>modif0!S222</f>
        <v>0</v>
      </c>
      <c r="P331">
        <v>40</v>
      </c>
      <c r="V331" s="22" t="s">
        <v>1181</v>
      </c>
      <c r="W331" t="s">
        <v>1868</v>
      </c>
      <c r="Y331" t="s">
        <v>1872</v>
      </c>
      <c r="AA331" s="17">
        <f>IF($A331,$J331*(IF(Q331=regle!$B$11,regle!$B$23*IF(AJ331=-2,1+regle!$B$35,1),
IF(Q331=regle!$C$11,regle!$C$23,
IF(Q331=regle!$D$11,regle!$D$23,
IF(Q331=regle!$E$11,regle!$E$23,
IF(Q331=regle!$F$11,regle!$F$23,
IF(Q331=regle!$G$11,regle!$G$23,
IF(Q331=regle!$H$11,regle!$H$23,
IF(Q331=regle!$I$11,regle!$I$23,
IF(Q331=regle!$J$11,regle!$J$23,
IF(Q331=regle!$K$11,regle!$K$23,0))))))))))))</f>
        <v>0</v>
      </c>
      <c r="AB331" s="17">
        <f>IF($A331,$J331*(IF(R331=regle!$B$11,regle!$B$23*IF(AK331=-2,1+regle!$B$35,1),
IF(R331=regle!$C$11,regle!$C$23,
IF(R331=regle!$D$11,regle!$D$23,
IF(R331=regle!$E$11,regle!$E$23,
IF(R331=regle!$F$11,regle!$F$23,
IF(R331=regle!$G$11,regle!$G$23,
IF(R331=regle!$H$11,regle!$H$23,
IF(R331=regle!$I$11,regle!$I$23,
IF(R331=regle!$J$11,regle!$J$23,
IF(R331=regle!$K$11,regle!$K$23,0))))))))))))</f>
        <v>0</v>
      </c>
      <c r="AC331" s="17">
        <f>IF($A331,$J331*(IF(S331=regle!$B$11,regle!$B$23*IF(AL331=-2,1+regle!$B$35,1),
IF(S331=regle!$C$11,regle!$C$23,
IF(S331=regle!$D$11,regle!$D$23,
IF(S331=regle!$E$11,regle!$E$23,
IF(S331=regle!$F$11,regle!$F$23,
IF(S331=regle!$G$11,regle!$G$23,
IF(S331=regle!$H$11,regle!$H$23,
IF(S331=regle!$I$11,regle!$I$23,
IF(S331=regle!$J$11,regle!$J$23,
IF(S331=regle!$K$11,regle!$K$23,0))))))))))))</f>
        <v>0</v>
      </c>
      <c r="AD331" s="17">
        <f>IF($A331,$J331*(IF(T331=regle!$B$11,regle!$B$23*IF(AM331=-2,1+regle!$B$35,1),
IF(T331=regle!$C$11,regle!$C$23,
IF(T331=regle!$D$11,regle!$D$23,
IF(T331=regle!$E$11,regle!$E$23,
IF(T331=regle!$F$11,regle!$F$23,
IF(T331=regle!$G$11,regle!$G$23,
IF(T331=regle!$H$11,regle!$H$23,
IF(T331=regle!$I$11,regle!$I$23,
IF(T331=regle!$J$11,regle!$J$23,
IF(T331=regle!$K$11,regle!$K$23,0))))))))))))</f>
        <v>0</v>
      </c>
      <c r="AE331" s="17">
        <f>IF($A331,$J331*(IF(U331=regle!$B$11,regle!$B$23*IF(AN331=-2,1+regle!$B$35,1),
IF(U331=regle!$C$11,regle!$C$23,
IF(U331=regle!$D$11,regle!$D$23,
IF(U331=regle!$E$11,regle!$E$23,
IF(U331=regle!$F$11,regle!$F$23,
IF(U331=regle!$G$11,regle!$G$23,
IF(U331=regle!$H$11,regle!$H$23,
IF(U331=regle!$I$11,regle!$I$23,
IF(U331=regle!$J$11,regle!$J$23,
IF(U331=regle!$K$11,regle!$K$23,0))))))))))))</f>
        <v>0</v>
      </c>
      <c r="AF331" s="17">
        <f>IF($A331,$J331*(IF(V331=regle!$B$11,regle!$B$23*IF(AO331=-2,1+regle!$B$35,1),
IF(V331=regle!$C$11,regle!$C$23,
IF(V331=regle!$D$11,regle!$D$23,
IF(V331=regle!$E$11,regle!$E$23,
IF(V331=regle!$F$11,regle!$F$23,
IF(V331=regle!$G$11,regle!$G$23,
IF(V331=regle!$H$11,regle!$H$23,
IF(V331=regle!$I$11,regle!$I$23,
IF(V331=regle!$J$11,regle!$J$23,
IF(V331=regle!$K$11,regle!$K$23,0))))))))))))</f>
        <v>7376.2000000000007</v>
      </c>
      <c r="AG331" s="17">
        <f>IF($A331,$J331*(IF(W331=regle!$B$11,regle!$B$23*IF(AP331=-2,1+regle!$B$35,1),
IF(W331=regle!$C$11,regle!$C$23,
IF(W331=regle!$D$11,regle!$D$23,
IF(W331=regle!$E$11,regle!$E$23,
IF(W331=regle!$F$11,regle!$F$23,
IF(W331=regle!$G$11,regle!$G$23,
IF(W331=regle!$H$11,regle!$H$23,
IF(W331=regle!$I$11,regle!$I$23,
IF(W331=regle!$J$11,regle!$J$23,
IF(W331=regle!$K$11,regle!$K$23,0))))))))))))</f>
        <v>-2652.5950000000007</v>
      </c>
      <c r="AH331" s="17">
        <f>IF($A331,$J331*(IF(X331=regle!$B$11,regle!$B$23*IF(AQ331=-2,1+regle!$B$35,1),
IF(X331=regle!$C$11,regle!$C$23,
IF(X331=regle!$D$11,regle!$D$23,
IF(X331=regle!$E$11,regle!$E$23,
IF(X331=regle!$F$11,regle!$F$23,
IF(X331=regle!$G$11,regle!$G$23,
IF(X331=regle!$H$11,regle!$H$23,
IF(X331=regle!$I$11,regle!$I$23,
IF(X331=regle!$J$11,regle!$J$23,
IF(X331=regle!$K$11,regle!$K$23,0))))))))))))</f>
        <v>0</v>
      </c>
      <c r="AI331" s="17">
        <f>IF($A331,$J331*(IF(Y331=regle!$B$11,regle!$B$23*IF(AR331=-2,1+regle!$B$35,1),
IF(Y331=regle!$C$11,regle!$C$23,
IF(Y331=regle!$D$11,regle!$D$23,
IF(Y331=regle!$E$11,regle!$E$23,
IF(Y331=regle!$F$11,regle!$F$23,
IF(Y331=regle!$G$11,regle!$G$23,
IF(Y331=regle!$H$11,regle!$H$23,
IF(Y331=regle!$I$11,regle!$I$23,
IF(Y331=regle!$J$11,regle!$J$23,
IF(Y331=regle!$K$11,regle!$K$23,0))))))))))))</f>
        <v>-106.3875</v>
      </c>
      <c r="AJ331" s="17">
        <f>IF($A331,$J331*(IF(Z331=regle!$B$11,regle!$B$23*IF(AS331=-2,1+regle!$B$35,1),
IF(Z331=regle!$C$11,regle!$C$23,
IF(Z331=regle!$D$11,regle!$D$23,
IF(Z331=regle!$E$11,regle!$E$23,
IF(Z331=regle!$F$11,regle!$F$23,
IF(Z331=regle!$G$11,regle!$G$23,
IF(Z331=regle!$H$11,regle!$H$23,
IF(Z331=regle!$I$11,regle!$I$23,
IF(Z331=regle!$J$11,regle!$J$23,
IF(Z331=regle!$K$11,regle!$K$23,0))))))))))))</f>
        <v>0</v>
      </c>
      <c r="AK331" s="16">
        <f>IF(OR(Q331=regle!$J$11,Q331=regle!$K$11),-2,IF(Q331=regle!$B$11,0,IF(AK$1=$AK$1,IF($O331,-1,regle!$B$2-$M331),IF(AJ331=-1,-1,AJ331+1))))</f>
        <v>20</v>
      </c>
      <c r="AL331" s="16">
        <f>IF(OR(R331=regle!$J$11,R331=regle!$K$11),-2,IF(R331=regle!$B$11,0,IF(AL$1=$AK$1,IF($O331,-1,regle!$B$2-$M331),IF(AK331=-1,-1,AK331+1))))</f>
        <v>21</v>
      </c>
      <c r="AM331" s="16">
        <f>IF(OR(S331=regle!$J$11,S331=regle!$K$11),-2,IF(S331=regle!$B$11,0,IF(AM$1=$AK$1,IF($O331,-1,regle!$B$2-$M331),IF(AL331=-1,-1,AL331+1))))</f>
        <v>22</v>
      </c>
      <c r="AN331" s="16">
        <f>IF(OR(T331=regle!$J$11,T331=regle!$K$11),-2,IF(T331=regle!$B$11,0,IF(AN$1=$AK$1,IF($O331,-1,regle!$B$2-$M331),IF(AM331=-1,-1,AM331+1))))</f>
        <v>23</v>
      </c>
      <c r="AO331" s="16">
        <f>IF(OR(U331=regle!$J$11,U331=regle!$K$11),-2,IF(U331=regle!$B$11,0,IF(AO$1=$AK$1,IF($O331,-1,regle!$B$2-$M331),IF(AN331=-1,-1,AN331+1))))</f>
        <v>24</v>
      </c>
      <c r="AP331" s="16">
        <f>IF(OR(V331=regle!$J$11,V331=regle!$K$11),-2,IF(V331=regle!$B$11,0,IF(AP$1=$AK$1,IF($O331,-1,regle!$B$2-$M331),IF(AO331=-1,-1,AO331+1))))</f>
        <v>-2</v>
      </c>
      <c r="AQ331" s="16">
        <f>IF(OR(W331=regle!$J$11,W331=regle!$K$11),-2,IF(W331=regle!$B$11,0,IF(AQ$1=$AK$1,IF($O331,-1,regle!$B$2-$M331),IF(AP331=-1,-1,AP331+1))))</f>
        <v>0</v>
      </c>
      <c r="AR331" s="16">
        <f>IF(OR(X331=regle!$J$11,X331=regle!$K$11),-2,IF(X331=regle!$B$11,0,IF(AR$1=$AK$1,IF($O331,-1,regle!$B$2-$M331),IF(AQ331=-1,-1,AQ331+1))))</f>
        <v>1</v>
      </c>
      <c r="AS331" s="16">
        <f>IF(OR(Y331=regle!$J$11,Y331=regle!$K$11),-2,IF(Y331=regle!$B$11,0,IF(AS$1=$AK$1,IF($O331,-1,regle!$B$2-$M331),IF(AR331=-1,-1,AR331+1))))</f>
        <v>2</v>
      </c>
      <c r="AT331" s="16">
        <f>IF(OR(Z331=regle!$J$11,Z331=regle!$K$11),-2,IF(Z331=regle!$B$11,0,IF(AT$1=$AK$1,IF($O331,-1,regle!$B$2-$M331),IF(AS331=-1,-1,AS331+1))))</f>
        <v>3</v>
      </c>
    </row>
    <row r="332" spans="1:46" x14ac:dyDescent="0.25">
      <c r="A332" t="b">
        <f>modif0!A105</f>
        <v>1</v>
      </c>
      <c r="B332">
        <f>ROW(modif0!B105)</f>
        <v>105</v>
      </c>
      <c r="C332" t="str">
        <f>modif0!D105</f>
        <v>202</v>
      </c>
      <c r="D332" t="str">
        <f>modif0!E105</f>
        <v>HOSTENS</v>
      </c>
      <c r="E332">
        <f>modif0!F105</f>
        <v>11</v>
      </c>
      <c r="F332" t="str">
        <f>modif0!G105</f>
        <v>LES CAZALAS</v>
      </c>
      <c r="G332" t="str">
        <f>modif0!I105</f>
        <v>0B</v>
      </c>
      <c r="H332">
        <f>modif0!J105</f>
        <v>1141</v>
      </c>
      <c r="I332" t="str">
        <f>modif0!K105</f>
        <v>j</v>
      </c>
      <c r="J332" s="11">
        <f>modif0!M105</f>
        <v>1.1155999999999999</v>
      </c>
      <c r="K332" s="11" t="str">
        <f>modif0!P105</f>
        <v>PLA</v>
      </c>
      <c r="L332" t="str">
        <f>modif0!N105</f>
        <v>PM</v>
      </c>
      <c r="M332">
        <f>modif0!Q105</f>
        <v>2004</v>
      </c>
      <c r="N332" t="str">
        <f>modif0!R105</f>
        <v>PLA-PM_2004</v>
      </c>
      <c r="O332" t="b">
        <f>modif0!S105</f>
        <v>0</v>
      </c>
      <c r="P332">
        <v>40</v>
      </c>
      <c r="V332" s="22" t="s">
        <v>1181</v>
      </c>
      <c r="W332" t="s">
        <v>1868</v>
      </c>
      <c r="Y332" t="s">
        <v>1872</v>
      </c>
      <c r="AA332" s="17">
        <f>IF($A332,$J332*(IF(Q332=regle!$B$11,regle!$B$23*IF(AJ332=-2,1+regle!$B$35,1),
IF(Q332=regle!$C$11,regle!$C$23,
IF(Q332=regle!$D$11,regle!$D$23,
IF(Q332=regle!$E$11,regle!$E$23,
IF(Q332=regle!$F$11,regle!$F$23,
IF(Q332=regle!$G$11,regle!$G$23,
IF(Q332=regle!$H$11,regle!$H$23,
IF(Q332=regle!$I$11,regle!$I$23,
IF(Q332=regle!$J$11,regle!$J$23,
IF(Q332=regle!$K$11,regle!$K$23,0))))))))))))</f>
        <v>0</v>
      </c>
      <c r="AB332" s="17">
        <f>IF($A332,$J332*(IF(R332=regle!$B$11,regle!$B$23*IF(AK332=-2,1+regle!$B$35,1),
IF(R332=regle!$C$11,regle!$C$23,
IF(R332=regle!$D$11,regle!$D$23,
IF(R332=regle!$E$11,regle!$E$23,
IF(R332=regle!$F$11,regle!$F$23,
IF(R332=regle!$G$11,regle!$G$23,
IF(R332=regle!$H$11,regle!$H$23,
IF(R332=regle!$I$11,regle!$I$23,
IF(R332=regle!$J$11,regle!$J$23,
IF(R332=regle!$K$11,regle!$K$23,0))))))))))))</f>
        <v>0</v>
      </c>
      <c r="AC332" s="17">
        <f>IF($A332,$J332*(IF(S332=regle!$B$11,regle!$B$23*IF(AL332=-2,1+regle!$B$35,1),
IF(S332=regle!$C$11,regle!$C$23,
IF(S332=regle!$D$11,regle!$D$23,
IF(S332=regle!$E$11,regle!$E$23,
IF(S332=regle!$F$11,regle!$F$23,
IF(S332=regle!$G$11,regle!$G$23,
IF(S332=regle!$H$11,regle!$H$23,
IF(S332=regle!$I$11,regle!$I$23,
IF(S332=regle!$J$11,regle!$J$23,
IF(S332=regle!$K$11,regle!$K$23,0))))))))))))</f>
        <v>0</v>
      </c>
      <c r="AD332" s="17">
        <f>IF($A332,$J332*(IF(T332=regle!$B$11,regle!$B$23*IF(AM332=-2,1+regle!$B$35,1),
IF(T332=regle!$C$11,regle!$C$23,
IF(T332=regle!$D$11,regle!$D$23,
IF(T332=regle!$E$11,regle!$E$23,
IF(T332=regle!$F$11,regle!$F$23,
IF(T332=regle!$G$11,regle!$G$23,
IF(T332=regle!$H$11,regle!$H$23,
IF(T332=regle!$I$11,regle!$I$23,
IF(T332=regle!$J$11,regle!$J$23,
IF(T332=regle!$K$11,regle!$K$23,0))))))))))))</f>
        <v>0</v>
      </c>
      <c r="AE332" s="17">
        <f>IF($A332,$J332*(IF(U332=regle!$B$11,regle!$B$23*IF(AN332=-2,1+regle!$B$35,1),
IF(U332=regle!$C$11,regle!$C$23,
IF(U332=regle!$D$11,regle!$D$23,
IF(U332=regle!$E$11,regle!$E$23,
IF(U332=regle!$F$11,regle!$F$23,
IF(U332=regle!$G$11,regle!$G$23,
IF(U332=regle!$H$11,regle!$H$23,
IF(U332=regle!$I$11,regle!$I$23,
IF(U332=regle!$J$11,regle!$J$23,
IF(U332=regle!$K$11,regle!$K$23,0))))))))))))</f>
        <v>0</v>
      </c>
      <c r="AF332" s="17">
        <f>IF($A332,$J332*(IF(V332=regle!$B$11,regle!$B$23*IF(AO332=-2,1+regle!$B$35,1),
IF(V332=regle!$C$11,regle!$C$23,
IF(V332=regle!$D$11,regle!$D$23,
IF(V332=regle!$E$11,regle!$E$23,
IF(V332=regle!$F$11,regle!$F$23,
IF(V332=regle!$G$11,regle!$G$23,
IF(V332=regle!$H$11,regle!$H$23,
IF(V332=regle!$I$11,regle!$I$23,
IF(V332=regle!$J$11,regle!$J$23,
IF(V332=regle!$K$11,regle!$K$23,0))))))))))))</f>
        <v>5801.12</v>
      </c>
      <c r="AG332" s="17">
        <f>IF($A332,$J332*(IF(W332=regle!$B$11,regle!$B$23*IF(AP332=-2,1+regle!$B$35,1),
IF(W332=regle!$C$11,regle!$C$23,
IF(W332=regle!$D$11,regle!$D$23,
IF(W332=regle!$E$11,regle!$E$23,
IF(W332=regle!$F$11,regle!$F$23,
IF(W332=regle!$G$11,regle!$G$23,
IF(W332=regle!$H$11,regle!$H$23,
IF(W332=regle!$I$11,regle!$I$23,
IF(W332=regle!$J$11,regle!$J$23,
IF(W332=regle!$K$11,regle!$K$23,0))))))))))))</f>
        <v>-2086.172</v>
      </c>
      <c r="AH332" s="17">
        <f>IF($A332,$J332*(IF(X332=regle!$B$11,regle!$B$23*IF(AQ332=-2,1+regle!$B$35,1),
IF(X332=regle!$C$11,regle!$C$23,
IF(X332=regle!$D$11,regle!$D$23,
IF(X332=regle!$E$11,regle!$E$23,
IF(X332=regle!$F$11,regle!$F$23,
IF(X332=regle!$G$11,regle!$G$23,
IF(X332=regle!$H$11,regle!$H$23,
IF(X332=regle!$I$11,regle!$I$23,
IF(X332=regle!$J$11,regle!$J$23,
IF(X332=regle!$K$11,regle!$K$23,0))))))))))))</f>
        <v>0</v>
      </c>
      <c r="AI332" s="17">
        <f>IF($A332,$J332*(IF(Y332=regle!$B$11,regle!$B$23*IF(AR332=-2,1+regle!$B$35,1),
IF(Y332=regle!$C$11,regle!$C$23,
IF(Y332=regle!$D$11,regle!$D$23,
IF(Y332=regle!$E$11,regle!$E$23,
IF(Y332=regle!$F$11,regle!$F$23,
IF(Y332=regle!$G$11,regle!$G$23,
IF(Y332=regle!$H$11,regle!$H$23,
IF(Y332=regle!$I$11,regle!$I$23,
IF(Y332=regle!$J$11,regle!$J$23,
IF(Y332=regle!$K$11,regle!$K$23,0))))))))))))</f>
        <v>-83.669999999999987</v>
      </c>
      <c r="AJ332" s="17">
        <f>IF($A332,$J332*(IF(Z332=regle!$B$11,regle!$B$23*IF(AS332=-2,1+regle!$B$35,1),
IF(Z332=regle!$C$11,regle!$C$23,
IF(Z332=regle!$D$11,regle!$D$23,
IF(Z332=regle!$E$11,regle!$E$23,
IF(Z332=regle!$F$11,regle!$F$23,
IF(Z332=regle!$G$11,regle!$G$23,
IF(Z332=regle!$H$11,regle!$H$23,
IF(Z332=regle!$I$11,regle!$I$23,
IF(Z332=regle!$J$11,regle!$J$23,
IF(Z332=regle!$K$11,regle!$K$23,0))))))))))))</f>
        <v>0</v>
      </c>
      <c r="AK332" s="16">
        <f>IF(OR(Q332=regle!$J$11,Q332=regle!$K$11),-2,IF(Q332=regle!$B$11,0,IF(AK$1=$AK$1,IF($O332,-1,regle!$B$2-$M332),IF(AJ332=-1,-1,AJ332+1))))</f>
        <v>20</v>
      </c>
      <c r="AL332" s="16">
        <f>IF(OR(R332=regle!$J$11,R332=regle!$K$11),-2,IF(R332=regle!$B$11,0,IF(AL$1=$AK$1,IF($O332,-1,regle!$B$2-$M332),IF(AK332=-1,-1,AK332+1))))</f>
        <v>21</v>
      </c>
      <c r="AM332" s="16">
        <f>IF(OR(S332=regle!$J$11,S332=regle!$K$11),-2,IF(S332=regle!$B$11,0,IF(AM$1=$AK$1,IF($O332,-1,regle!$B$2-$M332),IF(AL332=-1,-1,AL332+1))))</f>
        <v>22</v>
      </c>
      <c r="AN332" s="16">
        <f>IF(OR(T332=regle!$J$11,T332=regle!$K$11),-2,IF(T332=regle!$B$11,0,IF(AN$1=$AK$1,IF($O332,-1,regle!$B$2-$M332),IF(AM332=-1,-1,AM332+1))))</f>
        <v>23</v>
      </c>
      <c r="AO332" s="16">
        <f>IF(OR(U332=regle!$J$11,U332=regle!$K$11),-2,IF(U332=regle!$B$11,0,IF(AO$1=$AK$1,IF($O332,-1,regle!$B$2-$M332),IF(AN332=-1,-1,AN332+1))))</f>
        <v>24</v>
      </c>
      <c r="AP332" s="16">
        <f>IF(OR(V332=regle!$J$11,V332=regle!$K$11),-2,IF(V332=regle!$B$11,0,IF(AP$1=$AK$1,IF($O332,-1,regle!$B$2-$M332),IF(AO332=-1,-1,AO332+1))))</f>
        <v>-2</v>
      </c>
      <c r="AQ332" s="16">
        <f>IF(OR(W332=regle!$J$11,W332=regle!$K$11),-2,IF(W332=regle!$B$11,0,IF(AQ$1=$AK$1,IF($O332,-1,regle!$B$2-$M332),IF(AP332=-1,-1,AP332+1))))</f>
        <v>0</v>
      </c>
      <c r="AR332" s="16">
        <f>IF(OR(X332=regle!$J$11,X332=regle!$K$11),-2,IF(X332=regle!$B$11,0,IF(AR$1=$AK$1,IF($O332,-1,regle!$B$2-$M332),IF(AQ332=-1,-1,AQ332+1))))</f>
        <v>1</v>
      </c>
      <c r="AS332" s="16">
        <f>IF(OR(Y332=regle!$J$11,Y332=regle!$K$11),-2,IF(Y332=regle!$B$11,0,IF(AS$1=$AK$1,IF($O332,-1,regle!$B$2-$M332),IF(AR332=-1,-1,AR332+1))))</f>
        <v>2</v>
      </c>
      <c r="AT332" s="16">
        <f>IF(OR(Z332=regle!$J$11,Z332=regle!$K$11),-2,IF(Z332=regle!$B$11,0,IF(AT$1=$AK$1,IF($O332,-1,regle!$B$2-$M332),IF(AS332=-1,-1,AS332+1))))</f>
        <v>3</v>
      </c>
    </row>
    <row r="333" spans="1:46" x14ac:dyDescent="0.25">
      <c r="A333" t="b">
        <f>modif0!A110</f>
        <v>1</v>
      </c>
      <c r="B333">
        <f>ROW(modif0!B110)</f>
        <v>110</v>
      </c>
      <c r="C333" t="str">
        <f>modif0!D110</f>
        <v>202</v>
      </c>
      <c r="D333" t="str">
        <f>modif0!E110</f>
        <v>HOSTENS</v>
      </c>
      <c r="E333">
        <f>modif0!F110</f>
        <v>11</v>
      </c>
      <c r="F333" t="str">
        <f>modif0!G110</f>
        <v>LES CAZALAS</v>
      </c>
      <c r="G333" t="str">
        <f>modif0!I110</f>
        <v>0B</v>
      </c>
      <c r="H333">
        <f>modif0!J110</f>
        <v>1143</v>
      </c>
      <c r="I333" t="str">
        <f>modif0!K110</f>
        <v/>
      </c>
      <c r="J333" s="11">
        <f>modif0!M110</f>
        <v>0.73350000000000004</v>
      </c>
      <c r="K333" s="11" t="str">
        <f>modif0!P110</f>
        <v>PLA</v>
      </c>
      <c r="L333" t="str">
        <f>modif0!N110</f>
        <v>PM</v>
      </c>
      <c r="M333">
        <f>modif0!Q110</f>
        <v>2004</v>
      </c>
      <c r="N333" t="str">
        <f>modif0!R110</f>
        <v>PLA-PM_2004</v>
      </c>
      <c r="O333" t="b">
        <f>modif0!S110</f>
        <v>0</v>
      </c>
      <c r="P333">
        <v>40</v>
      </c>
      <c r="V333" s="22" t="s">
        <v>1181</v>
      </c>
      <c r="W333" t="s">
        <v>1868</v>
      </c>
      <c r="Y333" t="s">
        <v>1872</v>
      </c>
      <c r="AA333" s="17">
        <f>IF($A333,$J333*(IF(Q333=regle!$B$11,regle!$B$23*IF(AJ333=-2,1+regle!$B$35,1),
IF(Q333=regle!$C$11,regle!$C$23,
IF(Q333=regle!$D$11,regle!$D$23,
IF(Q333=regle!$E$11,regle!$E$23,
IF(Q333=regle!$F$11,regle!$F$23,
IF(Q333=regle!$G$11,regle!$G$23,
IF(Q333=regle!$H$11,regle!$H$23,
IF(Q333=regle!$I$11,regle!$I$23,
IF(Q333=regle!$J$11,regle!$J$23,
IF(Q333=regle!$K$11,regle!$K$23,0))))))))))))</f>
        <v>0</v>
      </c>
      <c r="AB333" s="17">
        <f>IF($A333,$J333*(IF(R333=regle!$B$11,regle!$B$23*IF(AK333=-2,1+regle!$B$35,1),
IF(R333=regle!$C$11,regle!$C$23,
IF(R333=regle!$D$11,regle!$D$23,
IF(R333=regle!$E$11,regle!$E$23,
IF(R333=regle!$F$11,regle!$F$23,
IF(R333=regle!$G$11,regle!$G$23,
IF(R333=regle!$H$11,regle!$H$23,
IF(R333=regle!$I$11,regle!$I$23,
IF(R333=regle!$J$11,regle!$J$23,
IF(R333=regle!$K$11,regle!$K$23,0))))))))))))</f>
        <v>0</v>
      </c>
      <c r="AC333" s="17">
        <f>IF($A333,$J333*(IF(S333=regle!$B$11,regle!$B$23*IF(AL333=-2,1+regle!$B$35,1),
IF(S333=regle!$C$11,regle!$C$23,
IF(S333=regle!$D$11,regle!$D$23,
IF(S333=regle!$E$11,regle!$E$23,
IF(S333=regle!$F$11,regle!$F$23,
IF(S333=regle!$G$11,regle!$G$23,
IF(S333=regle!$H$11,regle!$H$23,
IF(S333=regle!$I$11,regle!$I$23,
IF(S333=regle!$J$11,regle!$J$23,
IF(S333=regle!$K$11,regle!$K$23,0))))))))))))</f>
        <v>0</v>
      </c>
      <c r="AD333" s="17">
        <f>IF($A333,$J333*(IF(T333=regle!$B$11,regle!$B$23*IF(AM333=-2,1+regle!$B$35,1),
IF(T333=regle!$C$11,regle!$C$23,
IF(T333=regle!$D$11,regle!$D$23,
IF(T333=regle!$E$11,regle!$E$23,
IF(T333=regle!$F$11,regle!$F$23,
IF(T333=regle!$G$11,regle!$G$23,
IF(T333=regle!$H$11,regle!$H$23,
IF(T333=regle!$I$11,regle!$I$23,
IF(T333=regle!$J$11,regle!$J$23,
IF(T333=regle!$K$11,regle!$K$23,0))))))))))))</f>
        <v>0</v>
      </c>
      <c r="AE333" s="17">
        <f>IF($A333,$J333*(IF(U333=regle!$B$11,regle!$B$23*IF(AN333=-2,1+regle!$B$35,1),
IF(U333=regle!$C$11,regle!$C$23,
IF(U333=regle!$D$11,regle!$D$23,
IF(U333=regle!$E$11,regle!$E$23,
IF(U333=regle!$F$11,regle!$F$23,
IF(U333=regle!$G$11,regle!$G$23,
IF(U333=regle!$H$11,regle!$H$23,
IF(U333=regle!$I$11,regle!$I$23,
IF(U333=regle!$J$11,regle!$J$23,
IF(U333=regle!$K$11,regle!$K$23,0))))))))))))</f>
        <v>0</v>
      </c>
      <c r="AF333" s="17">
        <f>IF($A333,$J333*(IF(V333=regle!$B$11,regle!$B$23*IF(AO333=-2,1+regle!$B$35,1),
IF(V333=regle!$C$11,regle!$C$23,
IF(V333=regle!$D$11,regle!$D$23,
IF(V333=regle!$E$11,regle!$E$23,
IF(V333=regle!$F$11,regle!$F$23,
IF(V333=regle!$G$11,regle!$G$23,
IF(V333=regle!$H$11,regle!$H$23,
IF(V333=regle!$I$11,regle!$I$23,
IF(V333=regle!$J$11,regle!$J$23,
IF(V333=regle!$K$11,regle!$K$23,0))))))))))))</f>
        <v>3814.2000000000003</v>
      </c>
      <c r="AG333" s="17">
        <f>IF($A333,$J333*(IF(W333=regle!$B$11,regle!$B$23*IF(AP333=-2,1+regle!$B$35,1),
IF(W333=regle!$C$11,regle!$C$23,
IF(W333=regle!$D$11,regle!$D$23,
IF(W333=regle!$E$11,regle!$E$23,
IF(W333=regle!$F$11,regle!$F$23,
IF(W333=regle!$G$11,regle!$G$23,
IF(W333=regle!$H$11,regle!$H$23,
IF(W333=regle!$I$11,regle!$I$23,
IF(W333=regle!$J$11,regle!$J$23,
IF(W333=regle!$K$11,regle!$K$23,0))))))))))))</f>
        <v>-1371.6450000000002</v>
      </c>
      <c r="AH333" s="17">
        <f>IF($A333,$J333*(IF(X333=regle!$B$11,regle!$B$23*IF(AQ333=-2,1+regle!$B$35,1),
IF(X333=regle!$C$11,regle!$C$23,
IF(X333=regle!$D$11,regle!$D$23,
IF(X333=regle!$E$11,regle!$E$23,
IF(X333=regle!$F$11,regle!$F$23,
IF(X333=regle!$G$11,regle!$G$23,
IF(X333=regle!$H$11,regle!$H$23,
IF(X333=regle!$I$11,regle!$I$23,
IF(X333=regle!$J$11,regle!$J$23,
IF(X333=regle!$K$11,regle!$K$23,0))))))))))))</f>
        <v>0</v>
      </c>
      <c r="AI333" s="17">
        <f>IF($A333,$J333*(IF(Y333=regle!$B$11,regle!$B$23*IF(AR333=-2,1+regle!$B$35,1),
IF(Y333=regle!$C$11,regle!$C$23,
IF(Y333=regle!$D$11,regle!$D$23,
IF(Y333=regle!$E$11,regle!$E$23,
IF(Y333=regle!$F$11,regle!$F$23,
IF(Y333=regle!$G$11,regle!$G$23,
IF(Y333=regle!$H$11,regle!$H$23,
IF(Y333=regle!$I$11,regle!$I$23,
IF(Y333=regle!$J$11,regle!$J$23,
IF(Y333=regle!$K$11,regle!$K$23,0))))))))))))</f>
        <v>-55.012500000000003</v>
      </c>
      <c r="AJ333" s="17">
        <f>IF($A333,$J333*(IF(Z333=regle!$B$11,regle!$B$23*IF(AS333=-2,1+regle!$B$35,1),
IF(Z333=regle!$C$11,regle!$C$23,
IF(Z333=regle!$D$11,regle!$D$23,
IF(Z333=regle!$E$11,regle!$E$23,
IF(Z333=regle!$F$11,regle!$F$23,
IF(Z333=regle!$G$11,regle!$G$23,
IF(Z333=regle!$H$11,regle!$H$23,
IF(Z333=regle!$I$11,regle!$I$23,
IF(Z333=regle!$J$11,regle!$J$23,
IF(Z333=regle!$K$11,regle!$K$23,0))))))))))))</f>
        <v>0</v>
      </c>
      <c r="AK333" s="16">
        <f>IF(OR(Q333=regle!$J$11,Q333=regle!$K$11),-2,IF(Q333=regle!$B$11,0,IF(AK$1=$AK$1,IF($O333,-1,regle!$B$2-$M333),IF(AJ333=-1,-1,AJ333+1))))</f>
        <v>20</v>
      </c>
      <c r="AL333" s="16">
        <f>IF(OR(R333=regle!$J$11,R333=regle!$K$11),-2,IF(R333=regle!$B$11,0,IF(AL$1=$AK$1,IF($O333,-1,regle!$B$2-$M333),IF(AK333=-1,-1,AK333+1))))</f>
        <v>21</v>
      </c>
      <c r="AM333" s="16">
        <f>IF(OR(S333=regle!$J$11,S333=regle!$K$11),-2,IF(S333=regle!$B$11,0,IF(AM$1=$AK$1,IF($O333,-1,regle!$B$2-$M333),IF(AL333=-1,-1,AL333+1))))</f>
        <v>22</v>
      </c>
      <c r="AN333" s="16">
        <f>IF(OR(T333=regle!$J$11,T333=regle!$K$11),-2,IF(T333=regle!$B$11,0,IF(AN$1=$AK$1,IF($O333,-1,regle!$B$2-$M333),IF(AM333=-1,-1,AM333+1))))</f>
        <v>23</v>
      </c>
      <c r="AO333" s="16">
        <f>IF(OR(U333=regle!$J$11,U333=regle!$K$11),-2,IF(U333=regle!$B$11,0,IF(AO$1=$AK$1,IF($O333,-1,regle!$B$2-$M333),IF(AN333=-1,-1,AN333+1))))</f>
        <v>24</v>
      </c>
      <c r="AP333" s="16">
        <f>IF(OR(V333=regle!$J$11,V333=regle!$K$11),-2,IF(V333=regle!$B$11,0,IF(AP$1=$AK$1,IF($O333,-1,regle!$B$2-$M333),IF(AO333=-1,-1,AO333+1))))</f>
        <v>-2</v>
      </c>
      <c r="AQ333" s="16">
        <f>IF(OR(W333=regle!$J$11,W333=regle!$K$11),-2,IF(W333=regle!$B$11,0,IF(AQ$1=$AK$1,IF($O333,-1,regle!$B$2-$M333),IF(AP333=-1,-1,AP333+1))))</f>
        <v>0</v>
      </c>
      <c r="AR333" s="16">
        <f>IF(OR(X333=regle!$J$11,X333=regle!$K$11),-2,IF(X333=regle!$B$11,0,IF(AR$1=$AK$1,IF($O333,-1,regle!$B$2-$M333),IF(AQ333=-1,-1,AQ333+1))))</f>
        <v>1</v>
      </c>
      <c r="AS333" s="16">
        <f>IF(OR(Y333=regle!$J$11,Y333=regle!$K$11),-2,IF(Y333=regle!$B$11,0,IF(AS$1=$AK$1,IF($O333,-1,regle!$B$2-$M333),IF(AR333=-1,-1,AR333+1))))</f>
        <v>2</v>
      </c>
      <c r="AT333" s="16">
        <f>IF(OR(Z333=regle!$J$11,Z333=regle!$K$11),-2,IF(Z333=regle!$B$11,0,IF(AT$1=$AK$1,IF($O333,-1,regle!$B$2-$M333),IF(AS333=-1,-1,AS333+1))))</f>
        <v>3</v>
      </c>
    </row>
    <row r="334" spans="1:46" x14ac:dyDescent="0.25">
      <c r="A334" t="b">
        <f>modif0!A220</f>
        <v>1</v>
      </c>
      <c r="B334">
        <f>ROW(modif0!B220)</f>
        <v>220</v>
      </c>
      <c r="C334" t="str">
        <f>modif0!D220</f>
        <v>202</v>
      </c>
      <c r="D334" t="str">
        <f>modif0!E220</f>
        <v>HOSTENS</v>
      </c>
      <c r="E334">
        <f>modif0!F220</f>
        <v>13</v>
      </c>
      <c r="F334" t="str">
        <f>modif0!G220</f>
        <v>LA BROUSTETTE</v>
      </c>
      <c r="G334" t="str">
        <f>modif0!I220</f>
        <v>0B</v>
      </c>
      <c r="H334">
        <f>modif0!J220</f>
        <v>1258</v>
      </c>
      <c r="I334" t="str">
        <f>modif0!K220</f>
        <v/>
      </c>
      <c r="J334" s="11">
        <f>modif0!M220</f>
        <v>0.72199999999999998</v>
      </c>
      <c r="K334" s="11" t="str">
        <f>modif0!P220</f>
        <v>PLA</v>
      </c>
      <c r="L334" t="str">
        <f>modif0!N220</f>
        <v>PM</v>
      </c>
      <c r="M334">
        <f>modif0!Q220</f>
        <v>2004</v>
      </c>
      <c r="N334" t="str">
        <f>modif0!R220</f>
        <v>PLA-PM_2004</v>
      </c>
      <c r="O334" t="b">
        <f>modif0!S220</f>
        <v>0</v>
      </c>
      <c r="P334">
        <v>40</v>
      </c>
      <c r="V334" s="22" t="s">
        <v>1181</v>
      </c>
      <c r="W334" t="s">
        <v>1868</v>
      </c>
      <c r="Y334" t="s">
        <v>1872</v>
      </c>
      <c r="AA334" s="17">
        <f>IF($A334,$J334*(IF(Q334=regle!$B$11,regle!$B$23*IF(AJ334=-2,1+regle!$B$35,1),
IF(Q334=regle!$C$11,regle!$C$23,
IF(Q334=regle!$D$11,regle!$D$23,
IF(Q334=regle!$E$11,regle!$E$23,
IF(Q334=regle!$F$11,regle!$F$23,
IF(Q334=regle!$G$11,regle!$G$23,
IF(Q334=regle!$H$11,regle!$H$23,
IF(Q334=regle!$I$11,regle!$I$23,
IF(Q334=regle!$J$11,regle!$J$23,
IF(Q334=regle!$K$11,regle!$K$23,0))))))))))))</f>
        <v>0</v>
      </c>
      <c r="AB334" s="17">
        <f>IF($A334,$J334*(IF(R334=regle!$B$11,regle!$B$23*IF(AK334=-2,1+regle!$B$35,1),
IF(R334=regle!$C$11,regle!$C$23,
IF(R334=regle!$D$11,regle!$D$23,
IF(R334=regle!$E$11,regle!$E$23,
IF(R334=regle!$F$11,regle!$F$23,
IF(R334=regle!$G$11,regle!$G$23,
IF(R334=regle!$H$11,regle!$H$23,
IF(R334=regle!$I$11,regle!$I$23,
IF(R334=regle!$J$11,regle!$J$23,
IF(R334=regle!$K$11,regle!$K$23,0))))))))))))</f>
        <v>0</v>
      </c>
      <c r="AC334" s="17">
        <f>IF($A334,$J334*(IF(S334=regle!$B$11,regle!$B$23*IF(AL334=-2,1+regle!$B$35,1),
IF(S334=regle!$C$11,regle!$C$23,
IF(S334=regle!$D$11,regle!$D$23,
IF(S334=regle!$E$11,regle!$E$23,
IF(S334=regle!$F$11,regle!$F$23,
IF(S334=regle!$G$11,regle!$G$23,
IF(S334=regle!$H$11,regle!$H$23,
IF(S334=regle!$I$11,regle!$I$23,
IF(S334=regle!$J$11,regle!$J$23,
IF(S334=regle!$K$11,regle!$K$23,0))))))))))))</f>
        <v>0</v>
      </c>
      <c r="AD334" s="17">
        <f>IF($A334,$J334*(IF(T334=regle!$B$11,regle!$B$23*IF(AM334=-2,1+regle!$B$35,1),
IF(T334=regle!$C$11,regle!$C$23,
IF(T334=regle!$D$11,regle!$D$23,
IF(T334=regle!$E$11,regle!$E$23,
IF(T334=regle!$F$11,regle!$F$23,
IF(T334=regle!$G$11,regle!$G$23,
IF(T334=regle!$H$11,regle!$H$23,
IF(T334=regle!$I$11,regle!$I$23,
IF(T334=regle!$J$11,regle!$J$23,
IF(T334=regle!$K$11,regle!$K$23,0))))))))))))</f>
        <v>0</v>
      </c>
      <c r="AE334" s="17">
        <f>IF($A334,$J334*(IF(U334=regle!$B$11,regle!$B$23*IF(AN334=-2,1+regle!$B$35,1),
IF(U334=regle!$C$11,regle!$C$23,
IF(U334=regle!$D$11,regle!$D$23,
IF(U334=regle!$E$11,regle!$E$23,
IF(U334=regle!$F$11,regle!$F$23,
IF(U334=regle!$G$11,regle!$G$23,
IF(U334=regle!$H$11,regle!$H$23,
IF(U334=regle!$I$11,regle!$I$23,
IF(U334=regle!$J$11,regle!$J$23,
IF(U334=regle!$K$11,regle!$K$23,0))))))))))))</f>
        <v>0</v>
      </c>
      <c r="AF334" s="17">
        <f>IF($A334,$J334*(IF(V334=regle!$B$11,regle!$B$23*IF(AO334=-2,1+regle!$B$35,1),
IF(V334=regle!$C$11,regle!$C$23,
IF(V334=regle!$D$11,regle!$D$23,
IF(V334=regle!$E$11,regle!$E$23,
IF(V334=regle!$F$11,regle!$F$23,
IF(V334=regle!$G$11,regle!$G$23,
IF(V334=regle!$H$11,regle!$H$23,
IF(V334=regle!$I$11,regle!$I$23,
IF(V334=regle!$J$11,regle!$J$23,
IF(V334=regle!$K$11,regle!$K$23,0))))))))))))</f>
        <v>3754.4</v>
      </c>
      <c r="AG334" s="17">
        <f>IF($A334,$J334*(IF(W334=regle!$B$11,regle!$B$23*IF(AP334=-2,1+regle!$B$35,1),
IF(W334=regle!$C$11,regle!$C$23,
IF(W334=regle!$D$11,regle!$D$23,
IF(W334=regle!$E$11,regle!$E$23,
IF(W334=regle!$F$11,regle!$F$23,
IF(W334=regle!$G$11,regle!$G$23,
IF(W334=regle!$H$11,regle!$H$23,
IF(W334=regle!$I$11,regle!$I$23,
IF(W334=regle!$J$11,regle!$J$23,
IF(W334=regle!$K$11,regle!$K$23,0))))))))))))</f>
        <v>-1350.14</v>
      </c>
      <c r="AH334" s="17">
        <f>IF($A334,$J334*(IF(X334=regle!$B$11,regle!$B$23*IF(AQ334=-2,1+regle!$B$35,1),
IF(X334=regle!$C$11,regle!$C$23,
IF(X334=regle!$D$11,regle!$D$23,
IF(X334=regle!$E$11,regle!$E$23,
IF(X334=regle!$F$11,regle!$F$23,
IF(X334=regle!$G$11,regle!$G$23,
IF(X334=regle!$H$11,regle!$H$23,
IF(X334=regle!$I$11,regle!$I$23,
IF(X334=regle!$J$11,regle!$J$23,
IF(X334=regle!$K$11,regle!$K$23,0))))))))))))</f>
        <v>0</v>
      </c>
      <c r="AI334" s="17">
        <f>IF($A334,$J334*(IF(Y334=regle!$B$11,regle!$B$23*IF(AR334=-2,1+regle!$B$35,1),
IF(Y334=regle!$C$11,regle!$C$23,
IF(Y334=regle!$D$11,regle!$D$23,
IF(Y334=regle!$E$11,regle!$E$23,
IF(Y334=regle!$F$11,regle!$F$23,
IF(Y334=regle!$G$11,regle!$G$23,
IF(Y334=regle!$H$11,regle!$H$23,
IF(Y334=regle!$I$11,regle!$I$23,
IF(Y334=regle!$J$11,regle!$J$23,
IF(Y334=regle!$K$11,regle!$K$23,0))))))))))))</f>
        <v>-54.15</v>
      </c>
      <c r="AJ334" s="17">
        <f>IF($A334,$J334*(IF(Z334=regle!$B$11,regle!$B$23*IF(AS334=-2,1+regle!$B$35,1),
IF(Z334=regle!$C$11,regle!$C$23,
IF(Z334=regle!$D$11,regle!$D$23,
IF(Z334=regle!$E$11,regle!$E$23,
IF(Z334=regle!$F$11,regle!$F$23,
IF(Z334=regle!$G$11,regle!$G$23,
IF(Z334=regle!$H$11,regle!$H$23,
IF(Z334=regle!$I$11,regle!$I$23,
IF(Z334=regle!$J$11,regle!$J$23,
IF(Z334=regle!$K$11,regle!$K$23,0))))))))))))</f>
        <v>0</v>
      </c>
      <c r="AK334" s="16">
        <f>IF(OR(Q334=regle!$J$11,Q334=regle!$K$11),-2,IF(Q334=regle!$B$11,0,IF(AK$1=$AK$1,IF($O334,-1,regle!$B$2-$M334),IF(AJ334=-1,-1,AJ334+1))))</f>
        <v>20</v>
      </c>
      <c r="AL334" s="16">
        <f>IF(OR(R334=regle!$J$11,R334=regle!$K$11),-2,IF(R334=regle!$B$11,0,IF(AL$1=$AK$1,IF($O334,-1,regle!$B$2-$M334),IF(AK334=-1,-1,AK334+1))))</f>
        <v>21</v>
      </c>
      <c r="AM334" s="16">
        <f>IF(OR(S334=regle!$J$11,S334=regle!$K$11),-2,IF(S334=regle!$B$11,0,IF(AM$1=$AK$1,IF($O334,-1,regle!$B$2-$M334),IF(AL334=-1,-1,AL334+1))))</f>
        <v>22</v>
      </c>
      <c r="AN334" s="16">
        <f>IF(OR(T334=regle!$J$11,T334=regle!$K$11),-2,IF(T334=regle!$B$11,0,IF(AN$1=$AK$1,IF($O334,-1,regle!$B$2-$M334),IF(AM334=-1,-1,AM334+1))))</f>
        <v>23</v>
      </c>
      <c r="AO334" s="16">
        <f>IF(OR(U334=regle!$J$11,U334=regle!$K$11),-2,IF(U334=regle!$B$11,0,IF(AO$1=$AK$1,IF($O334,-1,regle!$B$2-$M334),IF(AN334=-1,-1,AN334+1))))</f>
        <v>24</v>
      </c>
      <c r="AP334" s="16">
        <f>IF(OR(V334=regle!$J$11,V334=regle!$K$11),-2,IF(V334=regle!$B$11,0,IF(AP$1=$AK$1,IF($O334,-1,regle!$B$2-$M334),IF(AO334=-1,-1,AO334+1))))</f>
        <v>-2</v>
      </c>
      <c r="AQ334" s="16">
        <f>IF(OR(W334=regle!$J$11,W334=regle!$K$11),-2,IF(W334=regle!$B$11,0,IF(AQ$1=$AK$1,IF($O334,-1,regle!$B$2-$M334),IF(AP334=-1,-1,AP334+1))))</f>
        <v>0</v>
      </c>
      <c r="AR334" s="16">
        <f>IF(OR(X334=regle!$J$11,X334=regle!$K$11),-2,IF(X334=regle!$B$11,0,IF(AR$1=$AK$1,IF($O334,-1,regle!$B$2-$M334),IF(AQ334=-1,-1,AQ334+1))))</f>
        <v>1</v>
      </c>
      <c r="AS334" s="16">
        <f>IF(OR(Y334=regle!$J$11,Y334=regle!$K$11),-2,IF(Y334=regle!$B$11,0,IF(AS$1=$AK$1,IF($O334,-1,regle!$B$2-$M334),IF(AR334=-1,-1,AR334+1))))</f>
        <v>2</v>
      </c>
      <c r="AT334" s="16">
        <f>IF(OR(Z334=regle!$J$11,Z334=regle!$K$11),-2,IF(Z334=regle!$B$11,0,IF(AT$1=$AK$1,IF($O334,-1,regle!$B$2-$M334),IF(AS334=-1,-1,AS334+1))))</f>
        <v>3</v>
      </c>
    </row>
    <row r="335" spans="1:46" x14ac:dyDescent="0.25">
      <c r="A335" t="b">
        <f>modif0!A113</f>
        <v>1</v>
      </c>
      <c r="B335">
        <f>ROW(modif0!B113)</f>
        <v>113</v>
      </c>
      <c r="C335" t="str">
        <f>modif0!D113</f>
        <v>202</v>
      </c>
      <c r="D335" t="str">
        <f>modif0!E113</f>
        <v>HOSTENS</v>
      </c>
      <c r="E335">
        <f>modif0!F113</f>
        <v>11</v>
      </c>
      <c r="F335" t="str">
        <f>modif0!G113</f>
        <v>LES CAZALAS</v>
      </c>
      <c r="G335" t="str">
        <f>modif0!I113</f>
        <v>0B</v>
      </c>
      <c r="H335">
        <f>modif0!J113</f>
        <v>1145</v>
      </c>
      <c r="I335" t="str">
        <f>modif0!K113</f>
        <v>k</v>
      </c>
      <c r="J335" s="11">
        <f>modif0!M113</f>
        <v>0.69789999999999996</v>
      </c>
      <c r="K335" s="11" t="str">
        <f>modif0!P113</f>
        <v>PLA</v>
      </c>
      <c r="L335" t="str">
        <f>modif0!N113</f>
        <v>PM</v>
      </c>
      <c r="M335">
        <f>modif0!Q113</f>
        <v>2004</v>
      </c>
      <c r="N335" t="str">
        <f>modif0!R113</f>
        <v>PLA-PM_2004</v>
      </c>
      <c r="O335" t="b">
        <f>modif0!S113</f>
        <v>0</v>
      </c>
      <c r="P335">
        <v>40</v>
      </c>
      <c r="V335" s="22" t="s">
        <v>1181</v>
      </c>
      <c r="W335" t="s">
        <v>1868</v>
      </c>
      <c r="Y335" t="s">
        <v>1872</v>
      </c>
      <c r="AA335" s="17">
        <f>IF($A335,$J335*(IF(Q335=regle!$B$11,regle!$B$23*IF(AJ335=-2,1+regle!$B$35,1),
IF(Q335=regle!$C$11,regle!$C$23,
IF(Q335=regle!$D$11,regle!$D$23,
IF(Q335=regle!$E$11,regle!$E$23,
IF(Q335=regle!$F$11,regle!$F$23,
IF(Q335=regle!$G$11,regle!$G$23,
IF(Q335=regle!$H$11,regle!$H$23,
IF(Q335=regle!$I$11,regle!$I$23,
IF(Q335=regle!$J$11,regle!$J$23,
IF(Q335=regle!$K$11,regle!$K$23,0))))))))))))</f>
        <v>0</v>
      </c>
      <c r="AB335" s="17">
        <f>IF($A335,$J335*(IF(R335=regle!$B$11,regle!$B$23*IF(AK335=-2,1+regle!$B$35,1),
IF(R335=regle!$C$11,regle!$C$23,
IF(R335=regle!$D$11,regle!$D$23,
IF(R335=regle!$E$11,regle!$E$23,
IF(R335=regle!$F$11,regle!$F$23,
IF(R335=regle!$G$11,regle!$G$23,
IF(R335=regle!$H$11,regle!$H$23,
IF(R335=regle!$I$11,regle!$I$23,
IF(R335=regle!$J$11,regle!$J$23,
IF(R335=regle!$K$11,regle!$K$23,0))))))))))))</f>
        <v>0</v>
      </c>
      <c r="AC335" s="17">
        <f>IF($A335,$J335*(IF(S335=regle!$B$11,regle!$B$23*IF(AL335=-2,1+regle!$B$35,1),
IF(S335=regle!$C$11,regle!$C$23,
IF(S335=regle!$D$11,regle!$D$23,
IF(S335=regle!$E$11,regle!$E$23,
IF(S335=regle!$F$11,regle!$F$23,
IF(S335=regle!$G$11,regle!$G$23,
IF(S335=regle!$H$11,regle!$H$23,
IF(S335=regle!$I$11,regle!$I$23,
IF(S335=regle!$J$11,regle!$J$23,
IF(S335=regle!$K$11,regle!$K$23,0))))))))))))</f>
        <v>0</v>
      </c>
      <c r="AD335" s="17">
        <f>IF($A335,$J335*(IF(T335=regle!$B$11,regle!$B$23*IF(AM335=-2,1+regle!$B$35,1),
IF(T335=regle!$C$11,regle!$C$23,
IF(T335=regle!$D$11,regle!$D$23,
IF(T335=regle!$E$11,regle!$E$23,
IF(T335=regle!$F$11,regle!$F$23,
IF(T335=regle!$G$11,regle!$G$23,
IF(T335=regle!$H$11,regle!$H$23,
IF(T335=regle!$I$11,regle!$I$23,
IF(T335=regle!$J$11,regle!$J$23,
IF(T335=regle!$K$11,regle!$K$23,0))))))))))))</f>
        <v>0</v>
      </c>
      <c r="AE335" s="17">
        <f>IF($A335,$J335*(IF(U335=regle!$B$11,regle!$B$23*IF(AN335=-2,1+regle!$B$35,1),
IF(U335=regle!$C$11,regle!$C$23,
IF(U335=regle!$D$11,regle!$D$23,
IF(U335=regle!$E$11,regle!$E$23,
IF(U335=regle!$F$11,regle!$F$23,
IF(U335=regle!$G$11,regle!$G$23,
IF(U335=regle!$H$11,regle!$H$23,
IF(U335=regle!$I$11,regle!$I$23,
IF(U335=regle!$J$11,regle!$J$23,
IF(U335=regle!$K$11,regle!$K$23,0))))))))))))</f>
        <v>0</v>
      </c>
      <c r="AF335" s="17">
        <f>IF($A335,$J335*(IF(V335=regle!$B$11,regle!$B$23*IF(AO335=-2,1+regle!$B$35,1),
IF(V335=regle!$C$11,regle!$C$23,
IF(V335=regle!$D$11,regle!$D$23,
IF(V335=regle!$E$11,regle!$E$23,
IF(V335=regle!$F$11,regle!$F$23,
IF(V335=regle!$G$11,regle!$G$23,
IF(V335=regle!$H$11,regle!$H$23,
IF(V335=regle!$I$11,regle!$I$23,
IF(V335=regle!$J$11,regle!$J$23,
IF(V335=regle!$K$11,regle!$K$23,0))))))))))))</f>
        <v>3629.08</v>
      </c>
      <c r="AG335" s="17">
        <f>IF($A335,$J335*(IF(W335=regle!$B$11,regle!$B$23*IF(AP335=-2,1+regle!$B$35,1),
IF(W335=regle!$C$11,regle!$C$23,
IF(W335=regle!$D$11,regle!$D$23,
IF(W335=regle!$E$11,regle!$E$23,
IF(W335=regle!$F$11,regle!$F$23,
IF(W335=regle!$G$11,regle!$G$23,
IF(W335=regle!$H$11,regle!$H$23,
IF(W335=regle!$I$11,regle!$I$23,
IF(W335=regle!$J$11,regle!$J$23,
IF(W335=regle!$K$11,regle!$K$23,0))))))))))))</f>
        <v>-1305.0730000000001</v>
      </c>
      <c r="AH335" s="17">
        <f>IF($A335,$J335*(IF(X335=regle!$B$11,regle!$B$23*IF(AQ335=-2,1+regle!$B$35,1),
IF(X335=regle!$C$11,regle!$C$23,
IF(X335=regle!$D$11,regle!$D$23,
IF(X335=regle!$E$11,regle!$E$23,
IF(X335=regle!$F$11,regle!$F$23,
IF(X335=regle!$G$11,regle!$G$23,
IF(X335=regle!$H$11,regle!$H$23,
IF(X335=regle!$I$11,regle!$I$23,
IF(X335=regle!$J$11,regle!$J$23,
IF(X335=regle!$K$11,regle!$K$23,0))))))))))))</f>
        <v>0</v>
      </c>
      <c r="AI335" s="17">
        <f>IF($A335,$J335*(IF(Y335=regle!$B$11,regle!$B$23*IF(AR335=-2,1+regle!$B$35,1),
IF(Y335=regle!$C$11,regle!$C$23,
IF(Y335=regle!$D$11,regle!$D$23,
IF(Y335=regle!$E$11,regle!$E$23,
IF(Y335=regle!$F$11,regle!$F$23,
IF(Y335=regle!$G$11,regle!$G$23,
IF(Y335=regle!$H$11,regle!$H$23,
IF(Y335=regle!$I$11,regle!$I$23,
IF(Y335=regle!$J$11,regle!$J$23,
IF(Y335=regle!$K$11,regle!$K$23,0))))))))))))</f>
        <v>-52.342499999999994</v>
      </c>
      <c r="AJ335" s="17">
        <f>IF($A335,$J335*(IF(Z335=regle!$B$11,regle!$B$23*IF(AS335=-2,1+regle!$B$35,1),
IF(Z335=regle!$C$11,regle!$C$23,
IF(Z335=regle!$D$11,regle!$D$23,
IF(Z335=regle!$E$11,regle!$E$23,
IF(Z335=regle!$F$11,regle!$F$23,
IF(Z335=regle!$G$11,regle!$G$23,
IF(Z335=regle!$H$11,regle!$H$23,
IF(Z335=regle!$I$11,regle!$I$23,
IF(Z335=regle!$J$11,regle!$J$23,
IF(Z335=regle!$K$11,regle!$K$23,0))))))))))))</f>
        <v>0</v>
      </c>
      <c r="AK335" s="16">
        <f>IF(OR(Q335=regle!$J$11,Q335=regle!$K$11),-2,IF(Q335=regle!$B$11,0,IF(AK$1=$AK$1,IF($O335,-1,regle!$B$2-$M335),IF(AJ335=-1,-1,AJ335+1))))</f>
        <v>20</v>
      </c>
      <c r="AL335" s="16">
        <f>IF(OR(R335=regle!$J$11,R335=regle!$K$11),-2,IF(R335=regle!$B$11,0,IF(AL$1=$AK$1,IF($O335,-1,regle!$B$2-$M335),IF(AK335=-1,-1,AK335+1))))</f>
        <v>21</v>
      </c>
      <c r="AM335" s="16">
        <f>IF(OR(S335=regle!$J$11,S335=regle!$K$11),-2,IF(S335=regle!$B$11,0,IF(AM$1=$AK$1,IF($O335,-1,regle!$B$2-$M335),IF(AL335=-1,-1,AL335+1))))</f>
        <v>22</v>
      </c>
      <c r="AN335" s="16">
        <f>IF(OR(T335=regle!$J$11,T335=regle!$K$11),-2,IF(T335=regle!$B$11,0,IF(AN$1=$AK$1,IF($O335,-1,regle!$B$2-$M335),IF(AM335=-1,-1,AM335+1))))</f>
        <v>23</v>
      </c>
      <c r="AO335" s="16">
        <f>IF(OR(U335=regle!$J$11,U335=regle!$K$11),-2,IF(U335=regle!$B$11,0,IF(AO$1=$AK$1,IF($O335,-1,regle!$B$2-$M335),IF(AN335=-1,-1,AN335+1))))</f>
        <v>24</v>
      </c>
      <c r="AP335" s="16">
        <f>IF(OR(V335=regle!$J$11,V335=regle!$K$11),-2,IF(V335=regle!$B$11,0,IF(AP$1=$AK$1,IF($O335,-1,regle!$B$2-$M335),IF(AO335=-1,-1,AO335+1))))</f>
        <v>-2</v>
      </c>
      <c r="AQ335" s="16">
        <f>IF(OR(W335=regle!$J$11,W335=regle!$K$11),-2,IF(W335=regle!$B$11,0,IF(AQ$1=$AK$1,IF($O335,-1,regle!$B$2-$M335),IF(AP335=-1,-1,AP335+1))))</f>
        <v>0</v>
      </c>
      <c r="AR335" s="16">
        <f>IF(OR(X335=regle!$J$11,X335=regle!$K$11),-2,IF(X335=regle!$B$11,0,IF(AR$1=$AK$1,IF($O335,-1,regle!$B$2-$M335),IF(AQ335=-1,-1,AQ335+1))))</f>
        <v>1</v>
      </c>
      <c r="AS335" s="16">
        <f>IF(OR(Y335=regle!$J$11,Y335=regle!$K$11),-2,IF(Y335=regle!$B$11,0,IF(AS$1=$AK$1,IF($O335,-1,regle!$B$2-$M335),IF(AR335=-1,-1,AR335+1))))</f>
        <v>2</v>
      </c>
      <c r="AT335" s="16">
        <f>IF(OR(Z335=regle!$J$11,Z335=regle!$K$11),-2,IF(Z335=regle!$B$11,0,IF(AT$1=$AK$1,IF($O335,-1,regle!$B$2-$M335),IF(AS335=-1,-1,AS335+1))))</f>
        <v>3</v>
      </c>
    </row>
    <row r="336" spans="1:46" x14ac:dyDescent="0.25">
      <c r="A336" t="b">
        <f>modif0!A223</f>
        <v>1</v>
      </c>
      <c r="B336">
        <f>ROW(modif0!B223)</f>
        <v>223</v>
      </c>
      <c r="C336" t="str">
        <f>modif0!D223</f>
        <v>202</v>
      </c>
      <c r="D336" t="str">
        <f>modif0!E223</f>
        <v>HOSTENS</v>
      </c>
      <c r="E336">
        <f>modif0!F223</f>
        <v>13</v>
      </c>
      <c r="F336" t="str">
        <f>modif0!G223</f>
        <v>LA BROUSTETTE</v>
      </c>
      <c r="G336" t="str">
        <f>modif0!I223</f>
        <v>0B</v>
      </c>
      <c r="H336">
        <f>modif0!J223</f>
        <v>1261</v>
      </c>
      <c r="I336" t="str">
        <f>modif0!K223</f>
        <v/>
      </c>
      <c r="J336" s="11">
        <f>modif0!M223</f>
        <v>0.56499999999999995</v>
      </c>
      <c r="K336" s="11" t="str">
        <f>modif0!P223</f>
        <v>PLA</v>
      </c>
      <c r="L336" t="str">
        <f>modif0!N223</f>
        <v>PM</v>
      </c>
      <c r="M336">
        <f>modif0!Q223</f>
        <v>2004</v>
      </c>
      <c r="N336" t="str">
        <f>modif0!R223</f>
        <v>PLA-PM_2004</v>
      </c>
      <c r="O336" t="b">
        <f>modif0!S223</f>
        <v>0</v>
      </c>
      <c r="P336">
        <v>40</v>
      </c>
      <c r="V336" s="22" t="s">
        <v>1181</v>
      </c>
      <c r="W336" t="s">
        <v>1868</v>
      </c>
      <c r="Y336" t="s">
        <v>1872</v>
      </c>
      <c r="AA336" s="17">
        <f>IF($A336,$J336*(IF(Q336=regle!$B$11,regle!$B$23*IF(AJ336=-2,1+regle!$B$35,1),
IF(Q336=regle!$C$11,regle!$C$23,
IF(Q336=regle!$D$11,regle!$D$23,
IF(Q336=regle!$E$11,regle!$E$23,
IF(Q336=regle!$F$11,regle!$F$23,
IF(Q336=regle!$G$11,regle!$G$23,
IF(Q336=regle!$H$11,regle!$H$23,
IF(Q336=regle!$I$11,regle!$I$23,
IF(Q336=regle!$J$11,regle!$J$23,
IF(Q336=regle!$K$11,regle!$K$23,0))))))))))))</f>
        <v>0</v>
      </c>
      <c r="AB336" s="17">
        <f>IF($A336,$J336*(IF(R336=regle!$B$11,regle!$B$23*IF(AK336=-2,1+regle!$B$35,1),
IF(R336=regle!$C$11,regle!$C$23,
IF(R336=regle!$D$11,regle!$D$23,
IF(R336=regle!$E$11,regle!$E$23,
IF(R336=regle!$F$11,regle!$F$23,
IF(R336=regle!$G$11,regle!$G$23,
IF(R336=regle!$H$11,regle!$H$23,
IF(R336=regle!$I$11,regle!$I$23,
IF(R336=regle!$J$11,regle!$J$23,
IF(R336=regle!$K$11,regle!$K$23,0))))))))))))</f>
        <v>0</v>
      </c>
      <c r="AC336" s="17">
        <f>IF($A336,$J336*(IF(S336=regle!$B$11,regle!$B$23*IF(AL336=-2,1+regle!$B$35,1),
IF(S336=regle!$C$11,regle!$C$23,
IF(S336=regle!$D$11,regle!$D$23,
IF(S336=regle!$E$11,regle!$E$23,
IF(S336=regle!$F$11,regle!$F$23,
IF(S336=regle!$G$11,regle!$G$23,
IF(S336=regle!$H$11,regle!$H$23,
IF(S336=regle!$I$11,regle!$I$23,
IF(S336=regle!$J$11,regle!$J$23,
IF(S336=regle!$K$11,regle!$K$23,0))))))))))))</f>
        <v>0</v>
      </c>
      <c r="AD336" s="17">
        <f>IF($A336,$J336*(IF(T336=regle!$B$11,regle!$B$23*IF(AM336=-2,1+regle!$B$35,1),
IF(T336=regle!$C$11,regle!$C$23,
IF(T336=regle!$D$11,regle!$D$23,
IF(T336=regle!$E$11,regle!$E$23,
IF(T336=regle!$F$11,regle!$F$23,
IF(T336=regle!$G$11,regle!$G$23,
IF(T336=regle!$H$11,regle!$H$23,
IF(T336=regle!$I$11,regle!$I$23,
IF(T336=regle!$J$11,regle!$J$23,
IF(T336=regle!$K$11,regle!$K$23,0))))))))))))</f>
        <v>0</v>
      </c>
      <c r="AE336" s="17">
        <f>IF($A336,$J336*(IF(U336=regle!$B$11,regle!$B$23*IF(AN336=-2,1+regle!$B$35,1),
IF(U336=regle!$C$11,regle!$C$23,
IF(U336=regle!$D$11,regle!$D$23,
IF(U336=regle!$E$11,regle!$E$23,
IF(U336=regle!$F$11,regle!$F$23,
IF(U336=regle!$G$11,regle!$G$23,
IF(U336=regle!$H$11,regle!$H$23,
IF(U336=regle!$I$11,regle!$I$23,
IF(U336=regle!$J$11,regle!$J$23,
IF(U336=regle!$K$11,regle!$K$23,0))))))))))))</f>
        <v>0</v>
      </c>
      <c r="AF336" s="17">
        <f>IF($A336,$J336*(IF(V336=regle!$B$11,regle!$B$23*IF(AO336=-2,1+regle!$B$35,1),
IF(V336=regle!$C$11,regle!$C$23,
IF(V336=regle!$D$11,regle!$D$23,
IF(V336=regle!$E$11,regle!$E$23,
IF(V336=regle!$F$11,regle!$F$23,
IF(V336=regle!$G$11,regle!$G$23,
IF(V336=regle!$H$11,regle!$H$23,
IF(V336=regle!$I$11,regle!$I$23,
IF(V336=regle!$J$11,regle!$J$23,
IF(V336=regle!$K$11,regle!$K$23,0))))))))))))</f>
        <v>2937.9999999999995</v>
      </c>
      <c r="AG336" s="17">
        <f>IF($A336,$J336*(IF(W336=regle!$B$11,regle!$B$23*IF(AP336=-2,1+regle!$B$35,1),
IF(W336=regle!$C$11,regle!$C$23,
IF(W336=regle!$D$11,regle!$D$23,
IF(W336=regle!$E$11,regle!$E$23,
IF(W336=regle!$F$11,regle!$F$23,
IF(W336=regle!$G$11,regle!$G$23,
IF(W336=regle!$H$11,regle!$H$23,
IF(W336=regle!$I$11,regle!$I$23,
IF(W336=regle!$J$11,regle!$J$23,
IF(W336=regle!$K$11,regle!$K$23,0))))))))))))</f>
        <v>-1056.55</v>
      </c>
      <c r="AH336" s="17">
        <f>IF($A336,$J336*(IF(X336=regle!$B$11,regle!$B$23*IF(AQ336=-2,1+regle!$B$35,1),
IF(X336=regle!$C$11,regle!$C$23,
IF(X336=regle!$D$11,regle!$D$23,
IF(X336=regle!$E$11,regle!$E$23,
IF(X336=regle!$F$11,regle!$F$23,
IF(X336=regle!$G$11,regle!$G$23,
IF(X336=regle!$H$11,regle!$H$23,
IF(X336=regle!$I$11,regle!$I$23,
IF(X336=regle!$J$11,regle!$J$23,
IF(X336=regle!$K$11,regle!$K$23,0))))))))))))</f>
        <v>0</v>
      </c>
      <c r="AI336" s="17">
        <f>IF($A336,$J336*(IF(Y336=regle!$B$11,regle!$B$23*IF(AR336=-2,1+regle!$B$35,1),
IF(Y336=regle!$C$11,regle!$C$23,
IF(Y336=regle!$D$11,regle!$D$23,
IF(Y336=regle!$E$11,regle!$E$23,
IF(Y336=regle!$F$11,regle!$F$23,
IF(Y336=regle!$G$11,regle!$G$23,
IF(Y336=regle!$H$11,regle!$H$23,
IF(Y336=regle!$I$11,regle!$I$23,
IF(Y336=regle!$J$11,regle!$J$23,
IF(Y336=regle!$K$11,regle!$K$23,0))))))))))))</f>
        <v>-42.374999999999993</v>
      </c>
      <c r="AJ336" s="17">
        <f>IF($A336,$J336*(IF(Z336=regle!$B$11,regle!$B$23*IF(AS336=-2,1+regle!$B$35,1),
IF(Z336=regle!$C$11,regle!$C$23,
IF(Z336=regle!$D$11,regle!$D$23,
IF(Z336=regle!$E$11,regle!$E$23,
IF(Z336=regle!$F$11,regle!$F$23,
IF(Z336=regle!$G$11,regle!$G$23,
IF(Z336=regle!$H$11,regle!$H$23,
IF(Z336=regle!$I$11,regle!$I$23,
IF(Z336=regle!$J$11,regle!$J$23,
IF(Z336=regle!$K$11,regle!$K$23,0))))))))))))</f>
        <v>0</v>
      </c>
      <c r="AK336" s="16">
        <f>IF(OR(Q336=regle!$J$11,Q336=regle!$K$11),-2,IF(Q336=regle!$B$11,0,IF(AK$1=$AK$1,IF($O336,-1,regle!$B$2-$M336),IF(AJ336=-1,-1,AJ336+1))))</f>
        <v>20</v>
      </c>
      <c r="AL336" s="16">
        <f>IF(OR(R336=regle!$J$11,R336=regle!$K$11),-2,IF(R336=regle!$B$11,0,IF(AL$1=$AK$1,IF($O336,-1,regle!$B$2-$M336),IF(AK336=-1,-1,AK336+1))))</f>
        <v>21</v>
      </c>
      <c r="AM336" s="16">
        <f>IF(OR(S336=regle!$J$11,S336=regle!$K$11),-2,IF(S336=regle!$B$11,0,IF(AM$1=$AK$1,IF($O336,-1,regle!$B$2-$M336),IF(AL336=-1,-1,AL336+1))))</f>
        <v>22</v>
      </c>
      <c r="AN336" s="16">
        <f>IF(OR(T336=regle!$J$11,T336=regle!$K$11),-2,IF(T336=regle!$B$11,0,IF(AN$1=$AK$1,IF($O336,-1,regle!$B$2-$M336),IF(AM336=-1,-1,AM336+1))))</f>
        <v>23</v>
      </c>
      <c r="AO336" s="16">
        <f>IF(OR(U336=regle!$J$11,U336=regle!$K$11),-2,IF(U336=regle!$B$11,0,IF(AO$1=$AK$1,IF($O336,-1,regle!$B$2-$M336),IF(AN336=-1,-1,AN336+1))))</f>
        <v>24</v>
      </c>
      <c r="AP336" s="16">
        <f>IF(OR(V336=regle!$J$11,V336=regle!$K$11),-2,IF(V336=regle!$B$11,0,IF(AP$1=$AK$1,IF($O336,-1,regle!$B$2-$M336),IF(AO336=-1,-1,AO336+1))))</f>
        <v>-2</v>
      </c>
      <c r="AQ336" s="16">
        <f>IF(OR(W336=regle!$J$11,W336=regle!$K$11),-2,IF(W336=regle!$B$11,0,IF(AQ$1=$AK$1,IF($O336,-1,regle!$B$2-$M336),IF(AP336=-1,-1,AP336+1))))</f>
        <v>0</v>
      </c>
      <c r="AR336" s="16">
        <f>IF(OR(X336=regle!$J$11,X336=regle!$K$11),-2,IF(X336=regle!$B$11,0,IF(AR$1=$AK$1,IF($O336,-1,regle!$B$2-$M336),IF(AQ336=-1,-1,AQ336+1))))</f>
        <v>1</v>
      </c>
      <c r="AS336" s="16">
        <f>IF(OR(Y336=regle!$J$11,Y336=regle!$K$11),-2,IF(Y336=regle!$B$11,0,IF(AS$1=$AK$1,IF($O336,-1,regle!$B$2-$M336),IF(AR336=-1,-1,AR336+1))))</f>
        <v>2</v>
      </c>
      <c r="AT336" s="16">
        <f>IF(OR(Z336=regle!$J$11,Z336=regle!$K$11),-2,IF(Z336=regle!$B$11,0,IF(AT$1=$AK$1,IF($O336,-1,regle!$B$2-$M336),IF(AS336=-1,-1,AS336+1))))</f>
        <v>3</v>
      </c>
    </row>
    <row r="337" spans="1:46" x14ac:dyDescent="0.25">
      <c r="A337" t="b">
        <f>modif0!A224</f>
        <v>1</v>
      </c>
      <c r="B337">
        <f>ROW(modif0!B224)</f>
        <v>224</v>
      </c>
      <c r="C337" t="str">
        <f>modif0!D224</f>
        <v>202</v>
      </c>
      <c r="D337" t="str">
        <f>modif0!E224</f>
        <v>HOSTENS</v>
      </c>
      <c r="E337">
        <f>modif0!F224</f>
        <v>13</v>
      </c>
      <c r="F337" t="str">
        <f>modif0!G224</f>
        <v>LA BROUSTETTE</v>
      </c>
      <c r="G337" t="str">
        <f>modif0!I224</f>
        <v>0B</v>
      </c>
      <c r="H337">
        <f>modif0!J224</f>
        <v>1262</v>
      </c>
      <c r="I337" t="str">
        <f>modif0!K224</f>
        <v/>
      </c>
      <c r="J337" s="11">
        <f>modif0!M224</f>
        <v>0.40200000000000002</v>
      </c>
      <c r="K337" s="11" t="str">
        <f>modif0!P224</f>
        <v>PLA</v>
      </c>
      <c r="L337" t="str">
        <f>modif0!N224</f>
        <v>PM</v>
      </c>
      <c r="M337">
        <f>modif0!Q224</f>
        <v>2004</v>
      </c>
      <c r="N337" t="str">
        <f>modif0!R224</f>
        <v>PLA-PM_2004</v>
      </c>
      <c r="O337" t="b">
        <f>modif0!S224</f>
        <v>0</v>
      </c>
      <c r="P337">
        <v>40</v>
      </c>
      <c r="S337" t="s">
        <v>1805</v>
      </c>
      <c r="X337" t="s">
        <v>1806</v>
      </c>
      <c r="AA337" s="17">
        <f>IF($A337,$J337*(IF(Q337=regle!$B$11,regle!$B$23*IF(AJ337=-2,1+regle!$B$35,1),
IF(Q337=regle!$C$11,regle!$C$23,
IF(Q337=regle!$D$11,regle!$D$23,
IF(Q337=regle!$E$11,regle!$E$23,
IF(Q337=regle!$F$11,regle!$F$23,
IF(Q337=regle!$G$11,regle!$G$23,
IF(Q337=regle!$H$11,regle!$H$23,
IF(Q337=regle!$I$11,regle!$I$23,
IF(Q337=regle!$J$11,regle!$J$23,
IF(Q337=regle!$K$11,regle!$K$23,0))))))))))))</f>
        <v>0</v>
      </c>
      <c r="AB337" s="17">
        <f>IF($A337,$J337*(IF(R337=regle!$B$11,regle!$B$23*IF(AK337=-2,1+regle!$B$35,1),
IF(R337=regle!$C$11,regle!$C$23,
IF(R337=regle!$D$11,regle!$D$23,
IF(R337=regle!$E$11,regle!$E$23,
IF(R337=regle!$F$11,regle!$F$23,
IF(R337=regle!$G$11,regle!$G$23,
IF(R337=regle!$H$11,regle!$H$23,
IF(R337=regle!$I$11,regle!$I$23,
IF(R337=regle!$J$11,regle!$J$23,
IF(R337=regle!$K$11,regle!$K$23,0))))))))))))</f>
        <v>0</v>
      </c>
      <c r="AC337" s="17">
        <f>IF($A337,$J337*(IF(S337=regle!$B$11,regle!$B$23*IF(AL337=-2,1+regle!$B$35,1),
IF(S337=regle!$C$11,regle!$C$23,
IF(S337=regle!$D$11,regle!$D$23,
IF(S337=regle!$E$11,regle!$E$23,
IF(S337=regle!$F$11,regle!$F$23,
IF(S337=regle!$G$11,regle!$G$23,
IF(S337=regle!$H$11,regle!$H$23,
IF(S337=regle!$I$11,regle!$I$23,
IF(S337=regle!$J$11,regle!$J$23,
IF(S337=regle!$K$11,regle!$K$23,0))))))))))))</f>
        <v>566.01600000000008</v>
      </c>
      <c r="AD337" s="17">
        <f>IF($A337,$J337*(IF(T337=regle!$B$11,regle!$B$23*IF(AM337=-2,1+regle!$B$35,1),
IF(T337=regle!$C$11,regle!$C$23,
IF(T337=regle!$D$11,regle!$D$23,
IF(T337=regle!$E$11,regle!$E$23,
IF(T337=regle!$F$11,regle!$F$23,
IF(T337=regle!$G$11,regle!$G$23,
IF(T337=regle!$H$11,regle!$H$23,
IF(T337=regle!$I$11,regle!$I$23,
IF(T337=regle!$J$11,regle!$J$23,
IF(T337=regle!$K$11,regle!$K$23,0))))))))))))</f>
        <v>0</v>
      </c>
      <c r="AE337" s="17">
        <f>IF($A337,$J337*(IF(U337=regle!$B$11,regle!$B$23*IF(AN337=-2,1+regle!$B$35,1),
IF(U337=regle!$C$11,regle!$C$23,
IF(U337=regle!$D$11,regle!$D$23,
IF(U337=regle!$E$11,regle!$E$23,
IF(U337=regle!$F$11,regle!$F$23,
IF(U337=regle!$G$11,regle!$G$23,
IF(U337=regle!$H$11,regle!$H$23,
IF(U337=regle!$I$11,regle!$I$23,
IF(U337=regle!$J$11,regle!$J$23,
IF(U337=regle!$K$11,regle!$K$23,0))))))))))))</f>
        <v>0</v>
      </c>
      <c r="AF337" s="17">
        <f>IF($A337,$J337*(IF(V337=regle!$B$11,regle!$B$23*IF(AO337=-2,1+regle!$B$35,1),
IF(V337=regle!$C$11,regle!$C$23,
IF(V337=regle!$D$11,regle!$D$23,
IF(V337=regle!$E$11,regle!$E$23,
IF(V337=regle!$F$11,regle!$F$23,
IF(V337=regle!$G$11,regle!$G$23,
IF(V337=regle!$H$11,regle!$H$23,
IF(V337=regle!$I$11,regle!$I$23,
IF(V337=regle!$J$11,regle!$J$23,
IF(V337=regle!$K$11,regle!$K$23,0))))))))))))</f>
        <v>0</v>
      </c>
      <c r="AG337" s="17">
        <f>IF($A337,$J337*(IF(W337=regle!$B$11,regle!$B$23*IF(AP337=-2,1+regle!$B$35,1),
IF(W337=regle!$C$11,regle!$C$23,
IF(W337=regle!$D$11,regle!$D$23,
IF(W337=regle!$E$11,regle!$E$23,
IF(W337=regle!$F$11,regle!$F$23,
IF(W337=regle!$G$11,regle!$G$23,
IF(W337=regle!$H$11,regle!$H$23,
IF(W337=regle!$I$11,regle!$I$23,
IF(W337=regle!$J$11,regle!$J$23,
IF(W337=regle!$K$11,regle!$K$23,0))))))))))))</f>
        <v>0</v>
      </c>
      <c r="AH337" s="17">
        <f>IF($A337,$J337*(IF(X337=regle!$B$11,regle!$B$23*IF(AQ337=-2,1+regle!$B$35,1),
IF(X337=regle!$C$11,regle!$C$23,
IF(X337=regle!$D$11,regle!$D$23,
IF(X337=regle!$E$11,regle!$E$23,
IF(X337=regle!$F$11,regle!$F$23,
IF(X337=regle!$G$11,regle!$G$23,
IF(X337=regle!$H$11,regle!$H$23,
IF(X337=regle!$I$11,regle!$I$23,
IF(X337=regle!$J$11,regle!$J$23,
IF(X337=regle!$K$11,regle!$K$23,0))))))))))))</f>
        <v>514.56000000000006</v>
      </c>
      <c r="AI337" s="17">
        <f>IF($A337,$J337*(IF(Y337=regle!$B$11,regle!$B$23*IF(AR337=-2,1+regle!$B$35,1),
IF(Y337=regle!$C$11,regle!$C$23,
IF(Y337=regle!$D$11,regle!$D$23,
IF(Y337=regle!$E$11,regle!$E$23,
IF(Y337=regle!$F$11,regle!$F$23,
IF(Y337=regle!$G$11,regle!$G$23,
IF(Y337=regle!$H$11,regle!$H$23,
IF(Y337=regle!$I$11,regle!$I$23,
IF(Y337=regle!$J$11,regle!$J$23,
IF(Y337=regle!$K$11,regle!$K$23,0))))))))))))</f>
        <v>0</v>
      </c>
      <c r="AJ337" s="17">
        <f>IF($A337,$J337*(IF(Z337=regle!$B$11,regle!$B$23*IF(AS337=-2,1+regle!$B$35,1),
IF(Z337=regle!$C$11,regle!$C$23,
IF(Z337=regle!$D$11,regle!$D$23,
IF(Z337=regle!$E$11,regle!$E$23,
IF(Z337=regle!$F$11,regle!$F$23,
IF(Z337=regle!$G$11,regle!$G$23,
IF(Z337=regle!$H$11,regle!$H$23,
IF(Z337=regle!$I$11,regle!$I$23,
IF(Z337=regle!$J$11,regle!$J$23,
IF(Z337=regle!$K$11,regle!$K$23,0))))))))))))</f>
        <v>0</v>
      </c>
      <c r="AK337" s="16">
        <f>IF(OR(Q337=regle!$J$11,Q337=regle!$K$11),-2,IF(Q337=regle!$B$11,0,IF(AK$1=$AK$1,IF($O337,-1,regle!$B$2-$M337),IF(AJ337=-1,-1,AJ337+1))))</f>
        <v>20</v>
      </c>
      <c r="AL337" s="16">
        <f>IF(OR(R337=regle!$J$11,R337=regle!$K$11),-2,IF(R337=regle!$B$11,0,IF(AL$1=$AK$1,IF($O337,-1,regle!$B$2-$M337),IF(AK337=-1,-1,AK337+1))))</f>
        <v>21</v>
      </c>
      <c r="AM337" s="16">
        <f>IF(OR(S337=regle!$J$11,S337=regle!$K$11),-2,IF(S337=regle!$B$11,0,IF(AM$1=$AK$1,IF($O337,-1,regle!$B$2-$M337),IF(AL337=-1,-1,AL337+1))))</f>
        <v>22</v>
      </c>
      <c r="AN337" s="16">
        <f>IF(OR(T337=regle!$J$11,T337=regle!$K$11),-2,IF(T337=regle!$B$11,0,IF(AN$1=$AK$1,IF($O337,-1,regle!$B$2-$M337),IF(AM337=-1,-1,AM337+1))))</f>
        <v>23</v>
      </c>
      <c r="AO337" s="16">
        <f>IF(OR(U337=regle!$J$11,U337=regle!$K$11),-2,IF(U337=regle!$B$11,0,IF(AO$1=$AK$1,IF($O337,-1,regle!$B$2-$M337),IF(AN337=-1,-1,AN337+1))))</f>
        <v>24</v>
      </c>
      <c r="AP337" s="16">
        <f>IF(OR(V337=regle!$J$11,V337=regle!$K$11),-2,IF(V337=regle!$B$11,0,IF(AP$1=$AK$1,IF($O337,-1,regle!$B$2-$M337),IF(AO337=-1,-1,AO337+1))))</f>
        <v>25</v>
      </c>
      <c r="AQ337" s="16">
        <f>IF(OR(W337=regle!$J$11,W337=regle!$K$11),-2,IF(W337=regle!$B$11,0,IF(AQ$1=$AK$1,IF($O337,-1,regle!$B$2-$M337),IF(AP337=-1,-1,AP337+1))))</f>
        <v>26</v>
      </c>
      <c r="AR337" s="16">
        <f>IF(OR(X337=regle!$J$11,X337=regle!$K$11),-2,IF(X337=regle!$B$11,0,IF(AR$1=$AK$1,IF($O337,-1,regle!$B$2-$M337),IF(AQ337=-1,-1,AQ337+1))))</f>
        <v>27</v>
      </c>
      <c r="AS337" s="16">
        <f>IF(OR(Y337=regle!$J$11,Y337=regle!$K$11),-2,IF(Y337=regle!$B$11,0,IF(AS$1=$AK$1,IF($O337,-1,regle!$B$2-$M337),IF(AR337=-1,-1,AR337+1))))</f>
        <v>28</v>
      </c>
      <c r="AT337" s="16">
        <f>IF(OR(Z337=regle!$J$11,Z337=regle!$K$11),-2,IF(Z337=regle!$B$11,0,IF(AT$1=$AK$1,IF($O337,-1,regle!$B$2-$M337),IF(AS337=-1,-1,AS337+1))))</f>
        <v>29</v>
      </c>
    </row>
    <row r="338" spans="1:46" x14ac:dyDescent="0.25">
      <c r="A338" t="b">
        <f>modif0!A116</f>
        <v>1</v>
      </c>
      <c r="B338">
        <f>ROW(modif0!B116)</f>
        <v>116</v>
      </c>
      <c r="C338" t="str">
        <f>modif0!D116</f>
        <v>202</v>
      </c>
      <c r="D338" t="str">
        <f>modif0!E116</f>
        <v>HOSTENS</v>
      </c>
      <c r="E338">
        <f>modif0!F116</f>
        <v>11</v>
      </c>
      <c r="F338" t="str">
        <f>modif0!G116</f>
        <v>LES CAZALAS</v>
      </c>
      <c r="G338" t="str">
        <f>modif0!I116</f>
        <v>0B</v>
      </c>
      <c r="H338">
        <f>modif0!J116</f>
        <v>1148</v>
      </c>
      <c r="I338" t="str">
        <f>modif0!K116</f>
        <v/>
      </c>
      <c r="J338" s="11">
        <f>modif0!M116</f>
        <v>0.3715</v>
      </c>
      <c r="K338" s="11" t="str">
        <f>modif0!P116</f>
        <v>PLA</v>
      </c>
      <c r="L338" t="str">
        <f>modif0!N116</f>
        <v>PM</v>
      </c>
      <c r="M338">
        <f>modif0!Q116</f>
        <v>2004</v>
      </c>
      <c r="N338" t="str">
        <f>modif0!R116</f>
        <v>PLA-PM_2004</v>
      </c>
      <c r="O338" t="b">
        <f>modif0!S116</f>
        <v>0</v>
      </c>
      <c r="P338">
        <v>40</v>
      </c>
      <c r="S338" t="s">
        <v>1805</v>
      </c>
      <c r="X338" t="s">
        <v>1806</v>
      </c>
      <c r="AA338" s="17">
        <f>IF($A338,$J338*(IF(Q338=regle!$B$11,regle!$B$23*IF(AJ338=-2,1+regle!$B$35,1),
IF(Q338=regle!$C$11,regle!$C$23,
IF(Q338=regle!$D$11,regle!$D$23,
IF(Q338=regle!$E$11,regle!$E$23,
IF(Q338=regle!$F$11,regle!$F$23,
IF(Q338=regle!$G$11,regle!$G$23,
IF(Q338=regle!$H$11,regle!$H$23,
IF(Q338=regle!$I$11,regle!$I$23,
IF(Q338=regle!$J$11,regle!$J$23,
IF(Q338=regle!$K$11,regle!$K$23,0))))))))))))</f>
        <v>0</v>
      </c>
      <c r="AB338" s="17">
        <f>IF($A338,$J338*(IF(R338=regle!$B$11,regle!$B$23*IF(AK338=-2,1+regle!$B$35,1),
IF(R338=regle!$C$11,regle!$C$23,
IF(R338=regle!$D$11,regle!$D$23,
IF(R338=regle!$E$11,regle!$E$23,
IF(R338=regle!$F$11,regle!$F$23,
IF(R338=regle!$G$11,regle!$G$23,
IF(R338=regle!$H$11,regle!$H$23,
IF(R338=regle!$I$11,regle!$I$23,
IF(R338=regle!$J$11,regle!$J$23,
IF(R338=regle!$K$11,regle!$K$23,0))))))))))))</f>
        <v>0</v>
      </c>
      <c r="AC338" s="17">
        <f>IF($A338,$J338*(IF(S338=regle!$B$11,regle!$B$23*IF(AL338=-2,1+regle!$B$35,1),
IF(S338=regle!$C$11,regle!$C$23,
IF(S338=regle!$D$11,regle!$D$23,
IF(S338=regle!$E$11,regle!$E$23,
IF(S338=regle!$F$11,regle!$F$23,
IF(S338=regle!$G$11,regle!$G$23,
IF(S338=regle!$H$11,regle!$H$23,
IF(S338=regle!$I$11,regle!$I$23,
IF(S338=regle!$J$11,regle!$J$23,
IF(S338=regle!$K$11,regle!$K$23,0))))))))))))</f>
        <v>523.072</v>
      </c>
      <c r="AD338" s="17">
        <f>IF($A338,$J338*(IF(T338=regle!$B$11,regle!$B$23*IF(AM338=-2,1+regle!$B$35,1),
IF(T338=regle!$C$11,regle!$C$23,
IF(T338=regle!$D$11,regle!$D$23,
IF(T338=regle!$E$11,regle!$E$23,
IF(T338=regle!$F$11,regle!$F$23,
IF(T338=regle!$G$11,regle!$G$23,
IF(T338=regle!$H$11,regle!$H$23,
IF(T338=regle!$I$11,regle!$I$23,
IF(T338=regle!$J$11,regle!$J$23,
IF(T338=regle!$K$11,regle!$K$23,0))))))))))))</f>
        <v>0</v>
      </c>
      <c r="AE338" s="17">
        <f>IF($A338,$J338*(IF(U338=regle!$B$11,regle!$B$23*IF(AN338=-2,1+regle!$B$35,1),
IF(U338=regle!$C$11,regle!$C$23,
IF(U338=regle!$D$11,regle!$D$23,
IF(U338=regle!$E$11,regle!$E$23,
IF(U338=regle!$F$11,regle!$F$23,
IF(U338=regle!$G$11,regle!$G$23,
IF(U338=regle!$H$11,regle!$H$23,
IF(U338=regle!$I$11,regle!$I$23,
IF(U338=regle!$J$11,regle!$J$23,
IF(U338=regle!$K$11,regle!$K$23,0))))))))))))</f>
        <v>0</v>
      </c>
      <c r="AF338" s="17">
        <f>IF($A338,$J338*(IF(V338=regle!$B$11,regle!$B$23*IF(AO338=-2,1+regle!$B$35,1),
IF(V338=regle!$C$11,regle!$C$23,
IF(V338=regle!$D$11,regle!$D$23,
IF(V338=regle!$E$11,regle!$E$23,
IF(V338=regle!$F$11,regle!$F$23,
IF(V338=regle!$G$11,regle!$G$23,
IF(V338=regle!$H$11,regle!$H$23,
IF(V338=regle!$I$11,regle!$I$23,
IF(V338=regle!$J$11,regle!$J$23,
IF(V338=regle!$K$11,regle!$K$23,0))))))))))))</f>
        <v>0</v>
      </c>
      <c r="AG338" s="17">
        <f>IF($A338,$J338*(IF(W338=regle!$B$11,regle!$B$23*IF(AP338=-2,1+regle!$B$35,1),
IF(W338=regle!$C$11,regle!$C$23,
IF(W338=regle!$D$11,regle!$D$23,
IF(W338=regle!$E$11,regle!$E$23,
IF(W338=regle!$F$11,regle!$F$23,
IF(W338=regle!$G$11,regle!$G$23,
IF(W338=regle!$H$11,regle!$H$23,
IF(W338=regle!$I$11,regle!$I$23,
IF(W338=regle!$J$11,regle!$J$23,
IF(W338=regle!$K$11,regle!$K$23,0))))))))))))</f>
        <v>0</v>
      </c>
      <c r="AH338" s="17">
        <f>IF($A338,$J338*(IF(X338=regle!$B$11,regle!$B$23*IF(AQ338=-2,1+regle!$B$35,1),
IF(X338=regle!$C$11,regle!$C$23,
IF(X338=regle!$D$11,regle!$D$23,
IF(X338=regle!$E$11,regle!$E$23,
IF(X338=regle!$F$11,regle!$F$23,
IF(X338=regle!$G$11,regle!$G$23,
IF(X338=regle!$H$11,regle!$H$23,
IF(X338=regle!$I$11,regle!$I$23,
IF(X338=regle!$J$11,regle!$J$23,
IF(X338=regle!$K$11,regle!$K$23,0))))))))))))</f>
        <v>475.52</v>
      </c>
      <c r="AI338" s="17">
        <f>IF($A338,$J338*(IF(Y338=regle!$B$11,regle!$B$23*IF(AR338=-2,1+regle!$B$35,1),
IF(Y338=regle!$C$11,regle!$C$23,
IF(Y338=regle!$D$11,regle!$D$23,
IF(Y338=regle!$E$11,regle!$E$23,
IF(Y338=regle!$F$11,regle!$F$23,
IF(Y338=regle!$G$11,regle!$G$23,
IF(Y338=regle!$H$11,regle!$H$23,
IF(Y338=regle!$I$11,regle!$I$23,
IF(Y338=regle!$J$11,regle!$J$23,
IF(Y338=regle!$K$11,regle!$K$23,0))))))))))))</f>
        <v>0</v>
      </c>
      <c r="AJ338" s="17">
        <f>IF($A338,$J338*(IF(Z338=regle!$B$11,regle!$B$23*IF(AS338=-2,1+regle!$B$35,1),
IF(Z338=regle!$C$11,regle!$C$23,
IF(Z338=regle!$D$11,regle!$D$23,
IF(Z338=regle!$E$11,regle!$E$23,
IF(Z338=regle!$F$11,regle!$F$23,
IF(Z338=regle!$G$11,regle!$G$23,
IF(Z338=regle!$H$11,regle!$H$23,
IF(Z338=regle!$I$11,regle!$I$23,
IF(Z338=regle!$J$11,regle!$J$23,
IF(Z338=regle!$K$11,regle!$K$23,0))))))))))))</f>
        <v>0</v>
      </c>
      <c r="AK338" s="16">
        <f>IF(OR(Q338=regle!$J$11,Q338=regle!$K$11),-2,IF(Q338=regle!$B$11,0,IF(AK$1=$AK$1,IF($O338,-1,regle!$B$2-$M338),IF(AJ338=-1,-1,AJ338+1))))</f>
        <v>20</v>
      </c>
      <c r="AL338" s="16">
        <f>IF(OR(R338=regle!$J$11,R338=regle!$K$11),-2,IF(R338=regle!$B$11,0,IF(AL$1=$AK$1,IF($O338,-1,regle!$B$2-$M338),IF(AK338=-1,-1,AK338+1))))</f>
        <v>21</v>
      </c>
      <c r="AM338" s="16">
        <f>IF(OR(S338=regle!$J$11,S338=regle!$K$11),-2,IF(S338=regle!$B$11,0,IF(AM$1=$AK$1,IF($O338,-1,regle!$B$2-$M338),IF(AL338=-1,-1,AL338+1))))</f>
        <v>22</v>
      </c>
      <c r="AN338" s="16">
        <f>IF(OR(T338=regle!$J$11,T338=regle!$K$11),-2,IF(T338=regle!$B$11,0,IF(AN$1=$AK$1,IF($O338,-1,regle!$B$2-$M338),IF(AM338=-1,-1,AM338+1))))</f>
        <v>23</v>
      </c>
      <c r="AO338" s="16">
        <f>IF(OR(U338=regle!$J$11,U338=regle!$K$11),-2,IF(U338=regle!$B$11,0,IF(AO$1=$AK$1,IF($O338,-1,regle!$B$2-$M338),IF(AN338=-1,-1,AN338+1))))</f>
        <v>24</v>
      </c>
      <c r="AP338" s="16">
        <f>IF(OR(V338=regle!$J$11,V338=regle!$K$11),-2,IF(V338=regle!$B$11,0,IF(AP$1=$AK$1,IF($O338,-1,regle!$B$2-$M338),IF(AO338=-1,-1,AO338+1))))</f>
        <v>25</v>
      </c>
      <c r="AQ338" s="16">
        <f>IF(OR(W338=regle!$J$11,W338=regle!$K$11),-2,IF(W338=regle!$B$11,0,IF(AQ$1=$AK$1,IF($O338,-1,regle!$B$2-$M338),IF(AP338=-1,-1,AP338+1))))</f>
        <v>26</v>
      </c>
      <c r="AR338" s="16">
        <f>IF(OR(X338=regle!$J$11,X338=regle!$K$11),-2,IF(X338=regle!$B$11,0,IF(AR$1=$AK$1,IF($O338,-1,regle!$B$2-$M338),IF(AQ338=-1,-1,AQ338+1))))</f>
        <v>27</v>
      </c>
      <c r="AS338" s="16">
        <f>IF(OR(Y338=regle!$J$11,Y338=regle!$K$11),-2,IF(Y338=regle!$B$11,0,IF(AS$1=$AK$1,IF($O338,-1,regle!$B$2-$M338),IF(AR338=-1,-1,AR338+1))))</f>
        <v>28</v>
      </c>
      <c r="AT338" s="16">
        <f>IF(OR(Z338=regle!$J$11,Z338=regle!$K$11),-2,IF(Z338=regle!$B$11,0,IF(AT$1=$AK$1,IF($O338,-1,regle!$B$2-$M338),IF(AS338=-1,-1,AS338+1))))</f>
        <v>29</v>
      </c>
    </row>
    <row r="339" spans="1:46" x14ac:dyDescent="0.25">
      <c r="A339" t="b">
        <f>modif0!A118</f>
        <v>1</v>
      </c>
      <c r="B339">
        <f>ROW(modif0!B118)</f>
        <v>118</v>
      </c>
      <c r="C339" t="str">
        <f>modif0!D118</f>
        <v>202</v>
      </c>
      <c r="D339" t="str">
        <f>modif0!E118</f>
        <v>HOSTENS</v>
      </c>
      <c r="E339">
        <f>modif0!F118</f>
        <v>11</v>
      </c>
      <c r="F339" t="str">
        <f>modif0!G118</f>
        <v>LES CAZALAS</v>
      </c>
      <c r="G339" t="str">
        <f>modif0!I118</f>
        <v>0B</v>
      </c>
      <c r="H339">
        <f>modif0!J118</f>
        <v>1149</v>
      </c>
      <c r="I339" t="str">
        <f>modif0!K118</f>
        <v>k</v>
      </c>
      <c r="J339" s="11">
        <f>modif0!M118</f>
        <v>0.32369999999999999</v>
      </c>
      <c r="K339" s="11" t="str">
        <f>modif0!P118</f>
        <v>PLA</v>
      </c>
      <c r="L339" t="str">
        <f>modif0!N118</f>
        <v>PM</v>
      </c>
      <c r="M339">
        <f>modif0!Q118</f>
        <v>2004</v>
      </c>
      <c r="N339" t="str">
        <f>modif0!R118</f>
        <v>PLA-PM_2004</v>
      </c>
      <c r="O339" t="b">
        <f>modif0!S118</f>
        <v>0</v>
      </c>
      <c r="P339">
        <v>40</v>
      </c>
      <c r="S339" t="s">
        <v>1805</v>
      </c>
      <c r="X339" t="s">
        <v>1806</v>
      </c>
      <c r="AA339" s="17">
        <f>IF($A339,$J339*(IF(Q339=regle!$B$11,regle!$B$23*IF(AJ339=-2,1+regle!$B$35,1),
IF(Q339=regle!$C$11,regle!$C$23,
IF(Q339=regle!$D$11,regle!$D$23,
IF(Q339=regle!$E$11,regle!$E$23,
IF(Q339=regle!$F$11,regle!$F$23,
IF(Q339=regle!$G$11,regle!$G$23,
IF(Q339=regle!$H$11,regle!$H$23,
IF(Q339=regle!$I$11,regle!$I$23,
IF(Q339=regle!$J$11,regle!$J$23,
IF(Q339=regle!$K$11,regle!$K$23,0))))))))))))</f>
        <v>0</v>
      </c>
      <c r="AB339" s="17">
        <f>IF($A339,$J339*(IF(R339=regle!$B$11,regle!$B$23*IF(AK339=-2,1+regle!$B$35,1),
IF(R339=regle!$C$11,regle!$C$23,
IF(R339=regle!$D$11,regle!$D$23,
IF(R339=regle!$E$11,regle!$E$23,
IF(R339=regle!$F$11,regle!$F$23,
IF(R339=regle!$G$11,regle!$G$23,
IF(R339=regle!$H$11,regle!$H$23,
IF(R339=regle!$I$11,regle!$I$23,
IF(R339=regle!$J$11,regle!$J$23,
IF(R339=regle!$K$11,regle!$K$23,0))))))))))))</f>
        <v>0</v>
      </c>
      <c r="AC339" s="17">
        <f>IF($A339,$J339*(IF(S339=regle!$B$11,regle!$B$23*IF(AL339=-2,1+regle!$B$35,1),
IF(S339=regle!$C$11,regle!$C$23,
IF(S339=regle!$D$11,regle!$D$23,
IF(S339=regle!$E$11,regle!$E$23,
IF(S339=regle!$F$11,regle!$F$23,
IF(S339=regle!$G$11,regle!$G$23,
IF(S339=regle!$H$11,regle!$H$23,
IF(S339=regle!$I$11,regle!$I$23,
IF(S339=regle!$J$11,regle!$J$23,
IF(S339=regle!$K$11,regle!$K$23,0))))))))))))</f>
        <v>455.76959999999997</v>
      </c>
      <c r="AD339" s="17">
        <f>IF($A339,$J339*(IF(T339=regle!$B$11,regle!$B$23*IF(AM339=-2,1+regle!$B$35,1),
IF(T339=regle!$C$11,regle!$C$23,
IF(T339=regle!$D$11,regle!$D$23,
IF(T339=regle!$E$11,regle!$E$23,
IF(T339=regle!$F$11,regle!$F$23,
IF(T339=regle!$G$11,regle!$G$23,
IF(T339=regle!$H$11,regle!$H$23,
IF(T339=regle!$I$11,regle!$I$23,
IF(T339=regle!$J$11,regle!$J$23,
IF(T339=regle!$K$11,regle!$K$23,0))))))))))))</f>
        <v>0</v>
      </c>
      <c r="AE339" s="17">
        <f>IF($A339,$J339*(IF(U339=regle!$B$11,regle!$B$23*IF(AN339=-2,1+regle!$B$35,1),
IF(U339=regle!$C$11,regle!$C$23,
IF(U339=regle!$D$11,regle!$D$23,
IF(U339=regle!$E$11,regle!$E$23,
IF(U339=regle!$F$11,regle!$F$23,
IF(U339=regle!$G$11,regle!$G$23,
IF(U339=regle!$H$11,regle!$H$23,
IF(U339=regle!$I$11,regle!$I$23,
IF(U339=regle!$J$11,regle!$J$23,
IF(U339=regle!$K$11,regle!$K$23,0))))))))))))</f>
        <v>0</v>
      </c>
      <c r="AF339" s="17">
        <f>IF($A339,$J339*(IF(V339=regle!$B$11,regle!$B$23*IF(AO339=-2,1+regle!$B$35,1),
IF(V339=regle!$C$11,regle!$C$23,
IF(V339=regle!$D$11,regle!$D$23,
IF(V339=regle!$E$11,regle!$E$23,
IF(V339=regle!$F$11,regle!$F$23,
IF(V339=regle!$G$11,regle!$G$23,
IF(V339=regle!$H$11,regle!$H$23,
IF(V339=regle!$I$11,regle!$I$23,
IF(V339=regle!$J$11,regle!$J$23,
IF(V339=regle!$K$11,regle!$K$23,0))))))))))))</f>
        <v>0</v>
      </c>
      <c r="AG339" s="17">
        <f>IF($A339,$J339*(IF(W339=regle!$B$11,regle!$B$23*IF(AP339=-2,1+regle!$B$35,1),
IF(W339=regle!$C$11,regle!$C$23,
IF(W339=regle!$D$11,regle!$D$23,
IF(W339=regle!$E$11,regle!$E$23,
IF(W339=regle!$F$11,regle!$F$23,
IF(W339=regle!$G$11,regle!$G$23,
IF(W339=regle!$H$11,regle!$H$23,
IF(W339=regle!$I$11,regle!$I$23,
IF(W339=regle!$J$11,regle!$J$23,
IF(W339=regle!$K$11,regle!$K$23,0))))))))))))</f>
        <v>0</v>
      </c>
      <c r="AH339" s="17">
        <f>IF($A339,$J339*(IF(X339=regle!$B$11,regle!$B$23*IF(AQ339=-2,1+regle!$B$35,1),
IF(X339=regle!$C$11,regle!$C$23,
IF(X339=regle!$D$11,regle!$D$23,
IF(X339=regle!$E$11,regle!$E$23,
IF(X339=regle!$F$11,regle!$F$23,
IF(X339=regle!$G$11,regle!$G$23,
IF(X339=regle!$H$11,regle!$H$23,
IF(X339=regle!$I$11,regle!$I$23,
IF(X339=regle!$J$11,regle!$J$23,
IF(X339=regle!$K$11,regle!$K$23,0))))))))))))</f>
        <v>414.33600000000001</v>
      </c>
      <c r="AI339" s="17">
        <f>IF($A339,$J339*(IF(Y339=regle!$B$11,regle!$B$23*IF(AR339=-2,1+regle!$B$35,1),
IF(Y339=regle!$C$11,regle!$C$23,
IF(Y339=regle!$D$11,regle!$D$23,
IF(Y339=regle!$E$11,regle!$E$23,
IF(Y339=regle!$F$11,regle!$F$23,
IF(Y339=regle!$G$11,regle!$G$23,
IF(Y339=regle!$H$11,regle!$H$23,
IF(Y339=regle!$I$11,regle!$I$23,
IF(Y339=regle!$J$11,regle!$J$23,
IF(Y339=regle!$K$11,regle!$K$23,0))))))))))))</f>
        <v>0</v>
      </c>
      <c r="AJ339" s="17">
        <f>IF($A339,$J339*(IF(Z339=regle!$B$11,regle!$B$23*IF(AS339=-2,1+regle!$B$35,1),
IF(Z339=regle!$C$11,regle!$C$23,
IF(Z339=regle!$D$11,regle!$D$23,
IF(Z339=regle!$E$11,regle!$E$23,
IF(Z339=regle!$F$11,regle!$F$23,
IF(Z339=regle!$G$11,regle!$G$23,
IF(Z339=regle!$H$11,regle!$H$23,
IF(Z339=regle!$I$11,regle!$I$23,
IF(Z339=regle!$J$11,regle!$J$23,
IF(Z339=regle!$K$11,regle!$K$23,0))))))))))))</f>
        <v>0</v>
      </c>
      <c r="AK339" s="16">
        <f>IF(OR(Q339=regle!$J$11,Q339=regle!$K$11),-2,IF(Q339=regle!$B$11,0,IF(AK$1=$AK$1,IF($O339,-1,regle!$B$2-$M339),IF(AJ339=-1,-1,AJ339+1))))</f>
        <v>20</v>
      </c>
      <c r="AL339" s="16">
        <f>IF(OR(R339=regle!$J$11,R339=regle!$K$11),-2,IF(R339=regle!$B$11,0,IF(AL$1=$AK$1,IF($O339,-1,regle!$B$2-$M339),IF(AK339=-1,-1,AK339+1))))</f>
        <v>21</v>
      </c>
      <c r="AM339" s="16">
        <f>IF(OR(S339=regle!$J$11,S339=regle!$K$11),-2,IF(S339=regle!$B$11,0,IF(AM$1=$AK$1,IF($O339,-1,regle!$B$2-$M339),IF(AL339=-1,-1,AL339+1))))</f>
        <v>22</v>
      </c>
      <c r="AN339" s="16">
        <f>IF(OR(T339=regle!$J$11,T339=regle!$K$11),-2,IF(T339=regle!$B$11,0,IF(AN$1=$AK$1,IF($O339,-1,regle!$B$2-$M339),IF(AM339=-1,-1,AM339+1))))</f>
        <v>23</v>
      </c>
      <c r="AO339" s="16">
        <f>IF(OR(U339=regle!$J$11,U339=regle!$K$11),-2,IF(U339=regle!$B$11,0,IF(AO$1=$AK$1,IF($O339,-1,regle!$B$2-$M339),IF(AN339=-1,-1,AN339+1))))</f>
        <v>24</v>
      </c>
      <c r="AP339" s="16">
        <f>IF(OR(V339=regle!$J$11,V339=regle!$K$11),-2,IF(V339=regle!$B$11,0,IF(AP$1=$AK$1,IF($O339,-1,regle!$B$2-$M339),IF(AO339=-1,-1,AO339+1))))</f>
        <v>25</v>
      </c>
      <c r="AQ339" s="16">
        <f>IF(OR(W339=regle!$J$11,W339=regle!$K$11),-2,IF(W339=regle!$B$11,0,IF(AQ$1=$AK$1,IF($O339,-1,regle!$B$2-$M339),IF(AP339=-1,-1,AP339+1))))</f>
        <v>26</v>
      </c>
      <c r="AR339" s="16">
        <f>IF(OR(X339=regle!$J$11,X339=regle!$K$11),-2,IF(X339=regle!$B$11,0,IF(AR$1=$AK$1,IF($O339,-1,regle!$B$2-$M339),IF(AQ339=-1,-1,AQ339+1))))</f>
        <v>27</v>
      </c>
      <c r="AS339" s="16">
        <f>IF(OR(Y339=regle!$J$11,Y339=regle!$K$11),-2,IF(Y339=regle!$B$11,0,IF(AS$1=$AK$1,IF($O339,-1,regle!$B$2-$M339),IF(AR339=-1,-1,AR339+1))))</f>
        <v>28</v>
      </c>
      <c r="AT339" s="16">
        <f>IF(OR(Z339=regle!$J$11,Z339=regle!$K$11),-2,IF(Z339=regle!$B$11,0,IF(AT$1=$AK$1,IF($O339,-1,regle!$B$2-$M339),IF(AS339=-1,-1,AS339+1))))</f>
        <v>29</v>
      </c>
    </row>
    <row r="340" spans="1:46" x14ac:dyDescent="0.25">
      <c r="A340" t="b">
        <f>modif0!A108</f>
        <v>1</v>
      </c>
      <c r="B340">
        <f>ROW(modif0!B108)</f>
        <v>108</v>
      </c>
      <c r="C340" t="str">
        <f>modif0!D108</f>
        <v>202</v>
      </c>
      <c r="D340" t="str">
        <f>modif0!E108</f>
        <v>HOSTENS</v>
      </c>
      <c r="E340">
        <f>modif0!F108</f>
        <v>11</v>
      </c>
      <c r="F340" t="str">
        <f>modif0!G108</f>
        <v>LES CAZALAS</v>
      </c>
      <c r="G340" t="str">
        <f>modif0!I108</f>
        <v>0B</v>
      </c>
      <c r="H340">
        <f>modif0!J108</f>
        <v>1142</v>
      </c>
      <c r="I340" t="str">
        <f>modif0!K108</f>
        <v>j</v>
      </c>
      <c r="J340" s="11">
        <f>modif0!M108</f>
        <v>0.23860000000000001</v>
      </c>
      <c r="K340" s="11" t="str">
        <f>modif0!P108</f>
        <v>PLA</v>
      </c>
      <c r="L340" t="str">
        <f>modif0!N108</f>
        <v>PM</v>
      </c>
      <c r="M340">
        <f>modif0!Q108</f>
        <v>2004</v>
      </c>
      <c r="N340" t="str">
        <f>modif0!R108</f>
        <v>PLA-PM_2004</v>
      </c>
      <c r="O340" t="b">
        <f>modif0!S108</f>
        <v>0</v>
      </c>
      <c r="P340">
        <v>40</v>
      </c>
      <c r="S340" t="s">
        <v>1805</v>
      </c>
      <c r="X340" t="s">
        <v>1806</v>
      </c>
      <c r="AA340" s="17">
        <f>IF($A340,$J340*(IF(Q340=regle!$B$11,regle!$B$23*IF(AJ340=-2,1+regle!$B$35,1),
IF(Q340=regle!$C$11,regle!$C$23,
IF(Q340=regle!$D$11,regle!$D$23,
IF(Q340=regle!$E$11,regle!$E$23,
IF(Q340=regle!$F$11,regle!$F$23,
IF(Q340=regle!$G$11,regle!$G$23,
IF(Q340=regle!$H$11,regle!$H$23,
IF(Q340=regle!$I$11,regle!$I$23,
IF(Q340=regle!$J$11,regle!$J$23,
IF(Q340=regle!$K$11,regle!$K$23,0))))))))))))</f>
        <v>0</v>
      </c>
      <c r="AB340" s="17">
        <f>IF($A340,$J340*(IF(R340=regle!$B$11,regle!$B$23*IF(AK340=-2,1+regle!$B$35,1),
IF(R340=regle!$C$11,regle!$C$23,
IF(R340=regle!$D$11,regle!$D$23,
IF(R340=regle!$E$11,regle!$E$23,
IF(R340=regle!$F$11,regle!$F$23,
IF(R340=regle!$G$11,regle!$G$23,
IF(R340=regle!$H$11,regle!$H$23,
IF(R340=regle!$I$11,regle!$I$23,
IF(R340=regle!$J$11,regle!$J$23,
IF(R340=regle!$K$11,regle!$K$23,0))))))))))))</f>
        <v>0</v>
      </c>
      <c r="AC340" s="17">
        <f>IF($A340,$J340*(IF(S340=regle!$B$11,regle!$B$23*IF(AL340=-2,1+regle!$B$35,1),
IF(S340=regle!$C$11,regle!$C$23,
IF(S340=regle!$D$11,regle!$D$23,
IF(S340=regle!$E$11,regle!$E$23,
IF(S340=regle!$F$11,regle!$F$23,
IF(S340=regle!$G$11,regle!$G$23,
IF(S340=regle!$H$11,regle!$H$23,
IF(S340=regle!$I$11,regle!$I$23,
IF(S340=regle!$J$11,regle!$J$23,
IF(S340=regle!$K$11,regle!$K$23,0))))))))))))</f>
        <v>335.94880000000001</v>
      </c>
      <c r="AD340" s="17">
        <f>IF($A340,$J340*(IF(T340=regle!$B$11,regle!$B$23*IF(AM340=-2,1+regle!$B$35,1),
IF(T340=regle!$C$11,regle!$C$23,
IF(T340=regle!$D$11,regle!$D$23,
IF(T340=regle!$E$11,regle!$E$23,
IF(T340=regle!$F$11,regle!$F$23,
IF(T340=regle!$G$11,regle!$G$23,
IF(T340=regle!$H$11,regle!$H$23,
IF(T340=regle!$I$11,regle!$I$23,
IF(T340=regle!$J$11,regle!$J$23,
IF(T340=regle!$K$11,regle!$K$23,0))))))))))))</f>
        <v>0</v>
      </c>
      <c r="AE340" s="17">
        <f>IF($A340,$J340*(IF(U340=regle!$B$11,regle!$B$23*IF(AN340=-2,1+regle!$B$35,1),
IF(U340=regle!$C$11,regle!$C$23,
IF(U340=regle!$D$11,regle!$D$23,
IF(U340=regle!$E$11,regle!$E$23,
IF(U340=regle!$F$11,regle!$F$23,
IF(U340=regle!$G$11,regle!$G$23,
IF(U340=regle!$H$11,regle!$H$23,
IF(U340=regle!$I$11,regle!$I$23,
IF(U340=regle!$J$11,regle!$J$23,
IF(U340=regle!$K$11,regle!$K$23,0))))))))))))</f>
        <v>0</v>
      </c>
      <c r="AF340" s="17">
        <f>IF($A340,$J340*(IF(V340=regle!$B$11,regle!$B$23*IF(AO340=-2,1+regle!$B$35,1),
IF(V340=regle!$C$11,regle!$C$23,
IF(V340=regle!$D$11,regle!$D$23,
IF(V340=regle!$E$11,regle!$E$23,
IF(V340=regle!$F$11,regle!$F$23,
IF(V340=regle!$G$11,regle!$G$23,
IF(V340=regle!$H$11,regle!$H$23,
IF(V340=regle!$I$11,regle!$I$23,
IF(V340=regle!$J$11,regle!$J$23,
IF(V340=regle!$K$11,regle!$K$23,0))))))))))))</f>
        <v>0</v>
      </c>
      <c r="AG340" s="17">
        <f>IF($A340,$J340*(IF(W340=regle!$B$11,regle!$B$23*IF(AP340=-2,1+regle!$B$35,1),
IF(W340=regle!$C$11,regle!$C$23,
IF(W340=regle!$D$11,regle!$D$23,
IF(W340=regle!$E$11,regle!$E$23,
IF(W340=regle!$F$11,regle!$F$23,
IF(W340=regle!$G$11,regle!$G$23,
IF(W340=regle!$H$11,regle!$H$23,
IF(W340=regle!$I$11,regle!$I$23,
IF(W340=regle!$J$11,regle!$J$23,
IF(W340=regle!$K$11,regle!$K$23,0))))))))))))</f>
        <v>0</v>
      </c>
      <c r="AH340" s="17">
        <f>IF($A340,$J340*(IF(X340=regle!$B$11,regle!$B$23*IF(AQ340=-2,1+regle!$B$35,1),
IF(X340=regle!$C$11,regle!$C$23,
IF(X340=regle!$D$11,regle!$D$23,
IF(X340=regle!$E$11,regle!$E$23,
IF(X340=regle!$F$11,regle!$F$23,
IF(X340=regle!$G$11,regle!$G$23,
IF(X340=regle!$H$11,regle!$H$23,
IF(X340=regle!$I$11,regle!$I$23,
IF(X340=regle!$J$11,regle!$J$23,
IF(X340=regle!$K$11,regle!$K$23,0))))))))))))</f>
        <v>305.40800000000002</v>
      </c>
      <c r="AI340" s="17">
        <f>IF($A340,$J340*(IF(Y340=regle!$B$11,regle!$B$23*IF(AR340=-2,1+regle!$B$35,1),
IF(Y340=regle!$C$11,regle!$C$23,
IF(Y340=regle!$D$11,regle!$D$23,
IF(Y340=regle!$E$11,regle!$E$23,
IF(Y340=regle!$F$11,regle!$F$23,
IF(Y340=regle!$G$11,regle!$G$23,
IF(Y340=regle!$H$11,regle!$H$23,
IF(Y340=regle!$I$11,regle!$I$23,
IF(Y340=regle!$J$11,regle!$J$23,
IF(Y340=regle!$K$11,regle!$K$23,0))))))))))))</f>
        <v>0</v>
      </c>
      <c r="AJ340" s="17">
        <f>IF($A340,$J340*(IF(Z340=regle!$B$11,regle!$B$23*IF(AS340=-2,1+regle!$B$35,1),
IF(Z340=regle!$C$11,regle!$C$23,
IF(Z340=regle!$D$11,regle!$D$23,
IF(Z340=regle!$E$11,regle!$E$23,
IF(Z340=regle!$F$11,regle!$F$23,
IF(Z340=regle!$G$11,regle!$G$23,
IF(Z340=regle!$H$11,regle!$H$23,
IF(Z340=regle!$I$11,regle!$I$23,
IF(Z340=regle!$J$11,regle!$J$23,
IF(Z340=regle!$K$11,regle!$K$23,0))))))))))))</f>
        <v>0</v>
      </c>
      <c r="AK340" s="16">
        <f>IF(OR(Q340=regle!$J$11,Q340=regle!$K$11),-2,IF(Q340=regle!$B$11,0,IF(AK$1=$AK$1,IF($O340,-1,regle!$B$2-$M340),IF(AJ340=-1,-1,AJ340+1))))</f>
        <v>20</v>
      </c>
      <c r="AL340" s="16">
        <f>IF(OR(R340=regle!$J$11,R340=regle!$K$11),-2,IF(R340=regle!$B$11,0,IF(AL$1=$AK$1,IF($O340,-1,regle!$B$2-$M340),IF(AK340=-1,-1,AK340+1))))</f>
        <v>21</v>
      </c>
      <c r="AM340" s="16">
        <f>IF(OR(S340=regle!$J$11,S340=regle!$K$11),-2,IF(S340=regle!$B$11,0,IF(AM$1=$AK$1,IF($O340,-1,regle!$B$2-$M340),IF(AL340=-1,-1,AL340+1))))</f>
        <v>22</v>
      </c>
      <c r="AN340" s="16">
        <f>IF(OR(T340=regle!$J$11,T340=regle!$K$11),-2,IF(T340=regle!$B$11,0,IF(AN$1=$AK$1,IF($O340,-1,regle!$B$2-$M340),IF(AM340=-1,-1,AM340+1))))</f>
        <v>23</v>
      </c>
      <c r="AO340" s="16">
        <f>IF(OR(U340=regle!$J$11,U340=regle!$K$11),-2,IF(U340=regle!$B$11,0,IF(AO$1=$AK$1,IF($O340,-1,regle!$B$2-$M340),IF(AN340=-1,-1,AN340+1))))</f>
        <v>24</v>
      </c>
      <c r="AP340" s="16">
        <f>IF(OR(V340=regle!$J$11,V340=regle!$K$11),-2,IF(V340=regle!$B$11,0,IF(AP$1=$AK$1,IF($O340,-1,regle!$B$2-$M340),IF(AO340=-1,-1,AO340+1))))</f>
        <v>25</v>
      </c>
      <c r="AQ340" s="16">
        <f>IF(OR(W340=regle!$J$11,W340=regle!$K$11),-2,IF(W340=regle!$B$11,0,IF(AQ$1=$AK$1,IF($O340,-1,regle!$B$2-$M340),IF(AP340=-1,-1,AP340+1))))</f>
        <v>26</v>
      </c>
      <c r="AR340" s="16">
        <f>IF(OR(X340=regle!$J$11,X340=regle!$K$11),-2,IF(X340=regle!$B$11,0,IF(AR$1=$AK$1,IF($O340,-1,regle!$B$2-$M340),IF(AQ340=-1,-1,AQ340+1))))</f>
        <v>27</v>
      </c>
      <c r="AS340" s="16">
        <f>IF(OR(Y340=regle!$J$11,Y340=regle!$K$11),-2,IF(Y340=regle!$B$11,0,IF(AS$1=$AK$1,IF($O340,-1,regle!$B$2-$M340),IF(AR340=-1,-1,AR340+1))))</f>
        <v>28</v>
      </c>
      <c r="AT340" s="16">
        <f>IF(OR(Z340=regle!$J$11,Z340=regle!$K$11),-2,IF(Z340=regle!$B$11,0,IF(AT$1=$AK$1,IF($O340,-1,regle!$B$2-$M340),IF(AS340=-1,-1,AS340+1))))</f>
        <v>29</v>
      </c>
    </row>
    <row r="341" spans="1:46" x14ac:dyDescent="0.25">
      <c r="A341" t="b">
        <f>modif0!A221</f>
        <v>1</v>
      </c>
      <c r="B341">
        <f>ROW(modif0!B221)</f>
        <v>221</v>
      </c>
      <c r="C341" t="str">
        <f>modif0!D221</f>
        <v>202</v>
      </c>
      <c r="D341" t="str">
        <f>modif0!E221</f>
        <v>HOSTENS</v>
      </c>
      <c r="E341">
        <f>modif0!F221</f>
        <v>13</v>
      </c>
      <c r="F341" t="str">
        <f>modif0!G221</f>
        <v>LA BROUSTETTE</v>
      </c>
      <c r="G341" t="str">
        <f>modif0!I221</f>
        <v>0B</v>
      </c>
      <c r="H341">
        <f>modif0!J221</f>
        <v>1259</v>
      </c>
      <c r="I341" t="str">
        <f>modif0!K221</f>
        <v/>
      </c>
      <c r="J341" s="11">
        <f>modif0!M221</f>
        <v>7.0999999999999994E-2</v>
      </c>
      <c r="K341" s="11" t="str">
        <f>modif0!P221</f>
        <v>PLA</v>
      </c>
      <c r="L341" t="str">
        <f>modif0!N221</f>
        <v>PM</v>
      </c>
      <c r="M341">
        <f>modif0!Q221</f>
        <v>2004</v>
      </c>
      <c r="N341" t="str">
        <f>modif0!R221</f>
        <v>PLA-PM_2004</v>
      </c>
      <c r="O341" t="b">
        <f>modif0!S221</f>
        <v>0</v>
      </c>
      <c r="P341">
        <v>40</v>
      </c>
      <c r="S341" t="s">
        <v>1805</v>
      </c>
      <c r="X341" t="s">
        <v>1806</v>
      </c>
      <c r="AA341" s="17">
        <f>IF($A341,$J341*(IF(Q341=regle!$B$11,regle!$B$23*IF(AJ341=-2,1+regle!$B$35,1),
IF(Q341=regle!$C$11,regle!$C$23,
IF(Q341=regle!$D$11,regle!$D$23,
IF(Q341=regle!$E$11,regle!$E$23,
IF(Q341=regle!$F$11,regle!$F$23,
IF(Q341=regle!$G$11,regle!$G$23,
IF(Q341=regle!$H$11,regle!$H$23,
IF(Q341=regle!$I$11,regle!$I$23,
IF(Q341=regle!$J$11,regle!$J$23,
IF(Q341=regle!$K$11,regle!$K$23,0))))))))))))</f>
        <v>0</v>
      </c>
      <c r="AB341" s="17">
        <f>IF($A341,$J341*(IF(R341=regle!$B$11,regle!$B$23*IF(AK341=-2,1+regle!$B$35,1),
IF(R341=regle!$C$11,regle!$C$23,
IF(R341=regle!$D$11,regle!$D$23,
IF(R341=regle!$E$11,regle!$E$23,
IF(R341=regle!$F$11,regle!$F$23,
IF(R341=regle!$G$11,regle!$G$23,
IF(R341=regle!$H$11,regle!$H$23,
IF(R341=regle!$I$11,regle!$I$23,
IF(R341=regle!$J$11,regle!$J$23,
IF(R341=regle!$K$11,regle!$K$23,0))))))))))))</f>
        <v>0</v>
      </c>
      <c r="AC341" s="17">
        <f>IF($A341,$J341*(IF(S341=regle!$B$11,regle!$B$23*IF(AL341=-2,1+regle!$B$35,1),
IF(S341=regle!$C$11,regle!$C$23,
IF(S341=regle!$D$11,regle!$D$23,
IF(S341=regle!$E$11,regle!$E$23,
IF(S341=regle!$F$11,regle!$F$23,
IF(S341=regle!$G$11,regle!$G$23,
IF(S341=regle!$H$11,regle!$H$23,
IF(S341=regle!$I$11,regle!$I$23,
IF(S341=regle!$J$11,regle!$J$23,
IF(S341=regle!$K$11,regle!$K$23,0))))))))))))</f>
        <v>99.967999999999989</v>
      </c>
      <c r="AD341" s="17">
        <f>IF($A341,$J341*(IF(T341=regle!$B$11,regle!$B$23*IF(AM341=-2,1+regle!$B$35,1),
IF(T341=regle!$C$11,regle!$C$23,
IF(T341=regle!$D$11,regle!$D$23,
IF(T341=regle!$E$11,regle!$E$23,
IF(T341=regle!$F$11,regle!$F$23,
IF(T341=regle!$G$11,regle!$G$23,
IF(T341=regle!$H$11,regle!$H$23,
IF(T341=regle!$I$11,regle!$I$23,
IF(T341=regle!$J$11,regle!$J$23,
IF(T341=regle!$K$11,regle!$K$23,0))))))))))))</f>
        <v>0</v>
      </c>
      <c r="AE341" s="17">
        <f>IF($A341,$J341*(IF(U341=regle!$B$11,regle!$B$23*IF(AN341=-2,1+regle!$B$35,1),
IF(U341=regle!$C$11,regle!$C$23,
IF(U341=regle!$D$11,regle!$D$23,
IF(U341=regle!$E$11,regle!$E$23,
IF(U341=regle!$F$11,regle!$F$23,
IF(U341=regle!$G$11,regle!$G$23,
IF(U341=regle!$H$11,regle!$H$23,
IF(U341=regle!$I$11,regle!$I$23,
IF(U341=regle!$J$11,regle!$J$23,
IF(U341=regle!$K$11,regle!$K$23,0))))))))))))</f>
        <v>0</v>
      </c>
      <c r="AF341" s="17">
        <f>IF($A341,$J341*(IF(V341=regle!$B$11,regle!$B$23*IF(AO341=-2,1+regle!$B$35,1),
IF(V341=regle!$C$11,regle!$C$23,
IF(V341=regle!$D$11,regle!$D$23,
IF(V341=regle!$E$11,regle!$E$23,
IF(V341=regle!$F$11,regle!$F$23,
IF(V341=regle!$G$11,regle!$G$23,
IF(V341=regle!$H$11,regle!$H$23,
IF(V341=regle!$I$11,regle!$I$23,
IF(V341=regle!$J$11,regle!$J$23,
IF(V341=regle!$K$11,regle!$K$23,0))))))))))))</f>
        <v>0</v>
      </c>
      <c r="AG341" s="17">
        <f>IF($A341,$J341*(IF(W341=regle!$B$11,regle!$B$23*IF(AP341=-2,1+regle!$B$35,1),
IF(W341=regle!$C$11,regle!$C$23,
IF(W341=regle!$D$11,regle!$D$23,
IF(W341=regle!$E$11,regle!$E$23,
IF(W341=regle!$F$11,regle!$F$23,
IF(W341=regle!$G$11,regle!$G$23,
IF(W341=regle!$H$11,regle!$H$23,
IF(W341=regle!$I$11,regle!$I$23,
IF(W341=regle!$J$11,regle!$J$23,
IF(W341=regle!$K$11,regle!$K$23,0))))))))))))</f>
        <v>0</v>
      </c>
      <c r="AH341" s="17">
        <f>IF($A341,$J341*(IF(X341=regle!$B$11,regle!$B$23*IF(AQ341=-2,1+regle!$B$35,1),
IF(X341=regle!$C$11,regle!$C$23,
IF(X341=regle!$D$11,regle!$D$23,
IF(X341=regle!$E$11,regle!$E$23,
IF(X341=regle!$F$11,regle!$F$23,
IF(X341=regle!$G$11,regle!$G$23,
IF(X341=regle!$H$11,regle!$H$23,
IF(X341=regle!$I$11,regle!$I$23,
IF(X341=regle!$J$11,regle!$J$23,
IF(X341=regle!$K$11,regle!$K$23,0))))))))))))</f>
        <v>90.88</v>
      </c>
      <c r="AI341" s="17">
        <f>IF($A341,$J341*(IF(Y341=regle!$B$11,regle!$B$23*IF(AR341=-2,1+regle!$B$35,1),
IF(Y341=regle!$C$11,regle!$C$23,
IF(Y341=regle!$D$11,regle!$D$23,
IF(Y341=regle!$E$11,regle!$E$23,
IF(Y341=regle!$F$11,regle!$F$23,
IF(Y341=regle!$G$11,regle!$G$23,
IF(Y341=regle!$H$11,regle!$H$23,
IF(Y341=regle!$I$11,regle!$I$23,
IF(Y341=regle!$J$11,regle!$J$23,
IF(Y341=regle!$K$11,regle!$K$23,0))))))))))))</f>
        <v>0</v>
      </c>
      <c r="AJ341" s="17">
        <f>IF($A341,$J341*(IF(Z341=regle!$B$11,regle!$B$23*IF(AS341=-2,1+regle!$B$35,1),
IF(Z341=regle!$C$11,regle!$C$23,
IF(Z341=regle!$D$11,regle!$D$23,
IF(Z341=regle!$E$11,regle!$E$23,
IF(Z341=regle!$F$11,regle!$F$23,
IF(Z341=regle!$G$11,regle!$G$23,
IF(Z341=regle!$H$11,regle!$H$23,
IF(Z341=regle!$I$11,regle!$I$23,
IF(Z341=regle!$J$11,regle!$J$23,
IF(Z341=regle!$K$11,regle!$K$23,0))))))))))))</f>
        <v>0</v>
      </c>
      <c r="AK341" s="16">
        <f>IF(OR(Q341=regle!$J$11,Q341=regle!$K$11),-2,IF(Q341=regle!$B$11,0,IF(AK$1=$AK$1,IF($O341,-1,regle!$B$2-$M341),IF(AJ341=-1,-1,AJ341+1))))</f>
        <v>20</v>
      </c>
      <c r="AL341" s="16">
        <f>IF(OR(R341=regle!$J$11,R341=regle!$K$11),-2,IF(R341=regle!$B$11,0,IF(AL$1=$AK$1,IF($O341,-1,regle!$B$2-$M341),IF(AK341=-1,-1,AK341+1))))</f>
        <v>21</v>
      </c>
      <c r="AM341" s="16">
        <f>IF(OR(S341=regle!$J$11,S341=regle!$K$11),-2,IF(S341=regle!$B$11,0,IF(AM$1=$AK$1,IF($O341,-1,regle!$B$2-$M341),IF(AL341=-1,-1,AL341+1))))</f>
        <v>22</v>
      </c>
      <c r="AN341" s="16">
        <f>IF(OR(T341=regle!$J$11,T341=regle!$K$11),-2,IF(T341=regle!$B$11,0,IF(AN$1=$AK$1,IF($O341,-1,regle!$B$2-$M341),IF(AM341=-1,-1,AM341+1))))</f>
        <v>23</v>
      </c>
      <c r="AO341" s="16">
        <f>IF(OR(U341=regle!$J$11,U341=regle!$K$11),-2,IF(U341=regle!$B$11,0,IF(AO$1=$AK$1,IF($O341,-1,regle!$B$2-$M341),IF(AN341=-1,-1,AN341+1))))</f>
        <v>24</v>
      </c>
      <c r="AP341" s="16">
        <f>IF(OR(V341=regle!$J$11,V341=regle!$K$11),-2,IF(V341=regle!$B$11,0,IF(AP$1=$AK$1,IF($O341,-1,regle!$B$2-$M341),IF(AO341=-1,-1,AO341+1))))</f>
        <v>25</v>
      </c>
      <c r="AQ341" s="16">
        <f>IF(OR(W341=regle!$J$11,W341=regle!$K$11),-2,IF(W341=regle!$B$11,0,IF(AQ$1=$AK$1,IF($O341,-1,regle!$B$2-$M341),IF(AP341=-1,-1,AP341+1))))</f>
        <v>26</v>
      </c>
      <c r="AR341" s="16">
        <f>IF(OR(X341=regle!$J$11,X341=regle!$K$11),-2,IF(X341=regle!$B$11,0,IF(AR$1=$AK$1,IF($O341,-1,regle!$B$2-$M341),IF(AQ341=-1,-1,AQ341+1))))</f>
        <v>27</v>
      </c>
      <c r="AS341" s="16">
        <f>IF(OR(Y341=regle!$J$11,Y341=regle!$K$11),-2,IF(Y341=regle!$B$11,0,IF(AS$1=$AK$1,IF($O341,-1,regle!$B$2-$M341),IF(AR341=-1,-1,AR341+1))))</f>
        <v>28</v>
      </c>
      <c r="AT341" s="16">
        <f>IF(OR(Z341=regle!$J$11,Z341=regle!$K$11),-2,IF(Z341=regle!$B$11,0,IF(AT$1=$AK$1,IF($O341,-1,regle!$B$2-$M341),IF(AS341=-1,-1,AS341+1))))</f>
        <v>29</v>
      </c>
    </row>
    <row r="342" spans="1:46" x14ac:dyDescent="0.25">
      <c r="A342" t="b">
        <f>modif0!A226</f>
        <v>1</v>
      </c>
      <c r="B342">
        <f>ROW(modif0!B226)</f>
        <v>226</v>
      </c>
      <c r="C342" t="str">
        <f>modif0!D226</f>
        <v>202</v>
      </c>
      <c r="D342" t="str">
        <f>modif0!E226</f>
        <v>HOSTENS</v>
      </c>
      <c r="E342">
        <f>modif0!F226</f>
        <v>13</v>
      </c>
      <c r="F342" t="str">
        <f>modif0!G226</f>
        <v>LA BROUSTETTE</v>
      </c>
      <c r="G342" t="str">
        <f>modif0!I226</f>
        <v>0B</v>
      </c>
      <c r="H342">
        <f>modif0!J226</f>
        <v>1264</v>
      </c>
      <c r="I342" t="str">
        <f>modif0!K226</f>
        <v/>
      </c>
      <c r="J342" s="11">
        <f>modif0!M226</f>
        <v>1.7999999999999999E-2</v>
      </c>
      <c r="K342" s="11" t="str">
        <f>modif0!P226</f>
        <v>PLA</v>
      </c>
      <c r="L342" t="str">
        <f>modif0!N226</f>
        <v>PM</v>
      </c>
      <c r="M342">
        <f>modif0!Q226</f>
        <v>2004</v>
      </c>
      <c r="N342" t="str">
        <f>modif0!R226</f>
        <v>PLA-PM_2004</v>
      </c>
      <c r="O342" t="b">
        <f>modif0!S226</f>
        <v>0</v>
      </c>
      <c r="P342">
        <v>40</v>
      </c>
      <c r="S342" t="s">
        <v>1805</v>
      </c>
      <c r="X342" t="s">
        <v>1806</v>
      </c>
      <c r="AA342" s="17">
        <f>IF($A342,$J342*(IF(Q342=regle!$B$11,regle!$B$23*IF(AJ342=-2,1+regle!$B$35,1),
IF(Q342=regle!$C$11,regle!$C$23,
IF(Q342=regle!$D$11,regle!$D$23,
IF(Q342=regle!$E$11,regle!$E$23,
IF(Q342=regle!$F$11,regle!$F$23,
IF(Q342=regle!$G$11,regle!$G$23,
IF(Q342=regle!$H$11,regle!$H$23,
IF(Q342=regle!$I$11,regle!$I$23,
IF(Q342=regle!$J$11,regle!$J$23,
IF(Q342=regle!$K$11,regle!$K$23,0))))))))))))</f>
        <v>0</v>
      </c>
      <c r="AB342" s="17">
        <f>IF($A342,$J342*(IF(R342=regle!$B$11,regle!$B$23*IF(AK342=-2,1+regle!$B$35,1),
IF(R342=regle!$C$11,regle!$C$23,
IF(R342=regle!$D$11,regle!$D$23,
IF(R342=regle!$E$11,regle!$E$23,
IF(R342=regle!$F$11,regle!$F$23,
IF(R342=regle!$G$11,regle!$G$23,
IF(R342=regle!$H$11,regle!$H$23,
IF(R342=regle!$I$11,regle!$I$23,
IF(R342=regle!$J$11,regle!$J$23,
IF(R342=regle!$K$11,regle!$K$23,0))))))))))))</f>
        <v>0</v>
      </c>
      <c r="AC342" s="17">
        <f>IF($A342,$J342*(IF(S342=regle!$B$11,regle!$B$23*IF(AL342=-2,1+regle!$B$35,1),
IF(S342=regle!$C$11,regle!$C$23,
IF(S342=regle!$D$11,regle!$D$23,
IF(S342=regle!$E$11,regle!$E$23,
IF(S342=regle!$F$11,regle!$F$23,
IF(S342=regle!$G$11,regle!$G$23,
IF(S342=regle!$H$11,regle!$H$23,
IF(S342=regle!$I$11,regle!$I$23,
IF(S342=regle!$J$11,regle!$J$23,
IF(S342=regle!$K$11,regle!$K$23,0))))))))))))</f>
        <v>25.343999999999998</v>
      </c>
      <c r="AD342" s="17">
        <f>IF($A342,$J342*(IF(T342=regle!$B$11,regle!$B$23*IF(AM342=-2,1+regle!$B$35,1),
IF(T342=regle!$C$11,regle!$C$23,
IF(T342=regle!$D$11,regle!$D$23,
IF(T342=regle!$E$11,regle!$E$23,
IF(T342=regle!$F$11,regle!$F$23,
IF(T342=regle!$G$11,regle!$G$23,
IF(T342=regle!$H$11,regle!$H$23,
IF(T342=regle!$I$11,regle!$I$23,
IF(T342=regle!$J$11,regle!$J$23,
IF(T342=regle!$K$11,regle!$K$23,0))))))))))))</f>
        <v>0</v>
      </c>
      <c r="AE342" s="17">
        <f>IF($A342,$J342*(IF(U342=regle!$B$11,regle!$B$23*IF(AN342=-2,1+regle!$B$35,1),
IF(U342=regle!$C$11,regle!$C$23,
IF(U342=regle!$D$11,regle!$D$23,
IF(U342=regle!$E$11,regle!$E$23,
IF(U342=regle!$F$11,regle!$F$23,
IF(U342=regle!$G$11,regle!$G$23,
IF(U342=regle!$H$11,regle!$H$23,
IF(U342=regle!$I$11,regle!$I$23,
IF(U342=regle!$J$11,regle!$J$23,
IF(U342=regle!$K$11,regle!$K$23,0))))))))))))</f>
        <v>0</v>
      </c>
      <c r="AF342" s="17">
        <f>IF($A342,$J342*(IF(V342=regle!$B$11,regle!$B$23*IF(AO342=-2,1+regle!$B$35,1),
IF(V342=regle!$C$11,regle!$C$23,
IF(V342=regle!$D$11,regle!$D$23,
IF(V342=regle!$E$11,regle!$E$23,
IF(V342=regle!$F$11,regle!$F$23,
IF(V342=regle!$G$11,regle!$G$23,
IF(V342=regle!$H$11,regle!$H$23,
IF(V342=regle!$I$11,regle!$I$23,
IF(V342=regle!$J$11,regle!$J$23,
IF(V342=regle!$K$11,regle!$K$23,0))))))))))))</f>
        <v>0</v>
      </c>
      <c r="AG342" s="17">
        <f>IF($A342,$J342*(IF(W342=regle!$B$11,regle!$B$23*IF(AP342=-2,1+regle!$B$35,1),
IF(W342=regle!$C$11,regle!$C$23,
IF(W342=regle!$D$11,regle!$D$23,
IF(W342=regle!$E$11,regle!$E$23,
IF(W342=regle!$F$11,regle!$F$23,
IF(W342=regle!$G$11,regle!$G$23,
IF(W342=regle!$H$11,regle!$H$23,
IF(W342=regle!$I$11,regle!$I$23,
IF(W342=regle!$J$11,regle!$J$23,
IF(W342=regle!$K$11,regle!$K$23,0))))))))))))</f>
        <v>0</v>
      </c>
      <c r="AH342" s="17">
        <f>IF($A342,$J342*(IF(X342=regle!$B$11,regle!$B$23*IF(AQ342=-2,1+regle!$B$35,1),
IF(X342=regle!$C$11,regle!$C$23,
IF(X342=regle!$D$11,regle!$D$23,
IF(X342=regle!$E$11,regle!$E$23,
IF(X342=regle!$F$11,regle!$F$23,
IF(X342=regle!$G$11,regle!$G$23,
IF(X342=regle!$H$11,regle!$H$23,
IF(X342=regle!$I$11,regle!$I$23,
IF(X342=regle!$J$11,regle!$J$23,
IF(X342=regle!$K$11,regle!$K$23,0))))))))))))</f>
        <v>23.04</v>
      </c>
      <c r="AI342" s="17">
        <f>IF($A342,$J342*(IF(Y342=regle!$B$11,regle!$B$23*IF(AR342=-2,1+regle!$B$35,1),
IF(Y342=regle!$C$11,regle!$C$23,
IF(Y342=regle!$D$11,regle!$D$23,
IF(Y342=regle!$E$11,regle!$E$23,
IF(Y342=regle!$F$11,regle!$F$23,
IF(Y342=regle!$G$11,regle!$G$23,
IF(Y342=regle!$H$11,regle!$H$23,
IF(Y342=regle!$I$11,regle!$I$23,
IF(Y342=regle!$J$11,regle!$J$23,
IF(Y342=regle!$K$11,regle!$K$23,0))))))))))))</f>
        <v>0</v>
      </c>
      <c r="AJ342" s="17">
        <f>IF($A342,$J342*(IF(Z342=regle!$B$11,regle!$B$23*IF(AS342=-2,1+regle!$B$35,1),
IF(Z342=regle!$C$11,regle!$C$23,
IF(Z342=regle!$D$11,regle!$D$23,
IF(Z342=regle!$E$11,regle!$E$23,
IF(Z342=regle!$F$11,regle!$F$23,
IF(Z342=regle!$G$11,regle!$G$23,
IF(Z342=regle!$H$11,regle!$H$23,
IF(Z342=regle!$I$11,regle!$I$23,
IF(Z342=regle!$J$11,regle!$J$23,
IF(Z342=regle!$K$11,regle!$K$23,0))))))))))))</f>
        <v>0</v>
      </c>
      <c r="AK342" s="16">
        <f>IF(OR(Q342=regle!$J$11,Q342=regle!$K$11),-2,IF(Q342=regle!$B$11,0,IF(AK$1=$AK$1,IF($O342,-1,regle!$B$2-$M342),IF(AJ342=-1,-1,AJ342+1))))</f>
        <v>20</v>
      </c>
      <c r="AL342" s="16">
        <f>IF(OR(R342=regle!$J$11,R342=regle!$K$11),-2,IF(R342=regle!$B$11,0,IF(AL$1=$AK$1,IF($O342,-1,regle!$B$2-$M342),IF(AK342=-1,-1,AK342+1))))</f>
        <v>21</v>
      </c>
      <c r="AM342" s="16">
        <f>IF(OR(S342=regle!$J$11,S342=regle!$K$11),-2,IF(S342=regle!$B$11,0,IF(AM$1=$AK$1,IF($O342,-1,regle!$B$2-$M342),IF(AL342=-1,-1,AL342+1))))</f>
        <v>22</v>
      </c>
      <c r="AN342" s="16">
        <f>IF(OR(T342=regle!$J$11,T342=regle!$K$11),-2,IF(T342=regle!$B$11,0,IF(AN$1=$AK$1,IF($O342,-1,regle!$B$2-$M342),IF(AM342=-1,-1,AM342+1))))</f>
        <v>23</v>
      </c>
      <c r="AO342" s="16">
        <f>IF(OR(U342=regle!$J$11,U342=regle!$K$11),-2,IF(U342=regle!$B$11,0,IF(AO$1=$AK$1,IF($O342,-1,regle!$B$2-$M342),IF(AN342=-1,-1,AN342+1))))</f>
        <v>24</v>
      </c>
      <c r="AP342" s="16">
        <f>IF(OR(V342=regle!$J$11,V342=regle!$K$11),-2,IF(V342=regle!$B$11,0,IF(AP$1=$AK$1,IF($O342,-1,regle!$B$2-$M342),IF(AO342=-1,-1,AO342+1))))</f>
        <v>25</v>
      </c>
      <c r="AQ342" s="16">
        <f>IF(OR(W342=regle!$J$11,W342=regle!$K$11),-2,IF(W342=regle!$B$11,0,IF(AQ$1=$AK$1,IF($O342,-1,regle!$B$2-$M342),IF(AP342=-1,-1,AP342+1))))</f>
        <v>26</v>
      </c>
      <c r="AR342" s="16">
        <f>IF(OR(X342=regle!$J$11,X342=regle!$K$11),-2,IF(X342=regle!$B$11,0,IF(AR$1=$AK$1,IF($O342,-1,regle!$B$2-$M342),IF(AQ342=-1,-1,AQ342+1))))</f>
        <v>27</v>
      </c>
      <c r="AS342" s="16">
        <f>IF(OR(Y342=regle!$J$11,Y342=regle!$K$11),-2,IF(Y342=regle!$B$11,0,IF(AS$1=$AK$1,IF($O342,-1,regle!$B$2-$M342),IF(AR342=-1,-1,AR342+1))))</f>
        <v>28</v>
      </c>
      <c r="AT342" s="16">
        <f>IF(OR(Z342=regle!$J$11,Z342=regle!$K$11),-2,IF(Z342=regle!$B$11,0,IF(AT$1=$AK$1,IF($O342,-1,regle!$B$2-$M342),IF(AS342=-1,-1,AS342+1))))</f>
        <v>29</v>
      </c>
    </row>
    <row r="343" spans="1:46" x14ac:dyDescent="0.25">
      <c r="A343" t="b">
        <f>modif0!A225</f>
        <v>1</v>
      </c>
      <c r="B343">
        <f>ROW(modif0!B225)</f>
        <v>225</v>
      </c>
      <c r="C343" t="str">
        <f>modif0!D225</f>
        <v>202</v>
      </c>
      <c r="D343" t="str">
        <f>modif0!E225</f>
        <v>HOSTENS</v>
      </c>
      <c r="E343">
        <f>modif0!F225</f>
        <v>13</v>
      </c>
      <c r="F343" t="str">
        <f>modif0!G225</f>
        <v>LA BROUSTETTE</v>
      </c>
      <c r="G343" t="str">
        <f>modif0!I225</f>
        <v>0B</v>
      </c>
      <c r="H343">
        <f>modif0!J225</f>
        <v>1263</v>
      </c>
      <c r="I343" t="str">
        <f>modif0!K225</f>
        <v/>
      </c>
      <c r="J343" s="11">
        <f>modif0!M225</f>
        <v>6.0000000000000001E-3</v>
      </c>
      <c r="K343" s="11" t="str">
        <f>modif0!P225</f>
        <v>PLA</v>
      </c>
      <c r="L343" t="str">
        <f>modif0!N225</f>
        <v>PM</v>
      </c>
      <c r="M343">
        <f>modif0!Q225</f>
        <v>2004</v>
      </c>
      <c r="N343" t="str">
        <f>modif0!R225</f>
        <v>PLA-PM_2004</v>
      </c>
      <c r="O343" t="b">
        <f>modif0!S225</f>
        <v>0</v>
      </c>
      <c r="P343">
        <v>40</v>
      </c>
      <c r="S343" t="s">
        <v>1805</v>
      </c>
      <c r="X343" t="s">
        <v>1806</v>
      </c>
      <c r="AA343" s="17">
        <f>IF($A343,$J343*(IF(Q343=regle!$B$11,regle!$B$23*IF(AJ343=-2,1+regle!$B$35,1),
IF(Q343=regle!$C$11,regle!$C$23,
IF(Q343=regle!$D$11,regle!$D$23,
IF(Q343=regle!$E$11,regle!$E$23,
IF(Q343=regle!$F$11,regle!$F$23,
IF(Q343=regle!$G$11,regle!$G$23,
IF(Q343=regle!$H$11,regle!$H$23,
IF(Q343=regle!$I$11,regle!$I$23,
IF(Q343=regle!$J$11,regle!$J$23,
IF(Q343=regle!$K$11,regle!$K$23,0))))))))))))</f>
        <v>0</v>
      </c>
      <c r="AB343" s="17">
        <f>IF($A343,$J343*(IF(R343=regle!$B$11,regle!$B$23*IF(AK343=-2,1+regle!$B$35,1),
IF(R343=regle!$C$11,regle!$C$23,
IF(R343=regle!$D$11,regle!$D$23,
IF(R343=regle!$E$11,regle!$E$23,
IF(R343=regle!$F$11,regle!$F$23,
IF(R343=regle!$G$11,regle!$G$23,
IF(R343=regle!$H$11,regle!$H$23,
IF(R343=regle!$I$11,regle!$I$23,
IF(R343=regle!$J$11,regle!$J$23,
IF(R343=regle!$K$11,regle!$K$23,0))))))))))))</f>
        <v>0</v>
      </c>
      <c r="AC343" s="17">
        <f>IF($A343,$J343*(IF(S343=regle!$B$11,regle!$B$23*IF(AL343=-2,1+regle!$B$35,1),
IF(S343=regle!$C$11,regle!$C$23,
IF(S343=regle!$D$11,regle!$D$23,
IF(S343=regle!$E$11,regle!$E$23,
IF(S343=regle!$F$11,regle!$F$23,
IF(S343=regle!$G$11,regle!$G$23,
IF(S343=regle!$H$11,regle!$H$23,
IF(S343=regle!$I$11,regle!$I$23,
IF(S343=regle!$J$11,regle!$J$23,
IF(S343=regle!$K$11,regle!$K$23,0))))))))))))</f>
        <v>8.4480000000000004</v>
      </c>
      <c r="AD343" s="17">
        <f>IF($A343,$J343*(IF(T343=regle!$B$11,regle!$B$23*IF(AM343=-2,1+regle!$B$35,1),
IF(T343=regle!$C$11,regle!$C$23,
IF(T343=regle!$D$11,regle!$D$23,
IF(T343=regle!$E$11,regle!$E$23,
IF(T343=regle!$F$11,regle!$F$23,
IF(T343=regle!$G$11,regle!$G$23,
IF(T343=regle!$H$11,regle!$H$23,
IF(T343=regle!$I$11,regle!$I$23,
IF(T343=regle!$J$11,regle!$J$23,
IF(T343=regle!$K$11,regle!$K$23,0))))))))))))</f>
        <v>0</v>
      </c>
      <c r="AE343" s="17">
        <f>IF($A343,$J343*(IF(U343=regle!$B$11,regle!$B$23*IF(AN343=-2,1+regle!$B$35,1),
IF(U343=regle!$C$11,regle!$C$23,
IF(U343=regle!$D$11,regle!$D$23,
IF(U343=regle!$E$11,regle!$E$23,
IF(U343=regle!$F$11,regle!$F$23,
IF(U343=regle!$G$11,regle!$G$23,
IF(U343=regle!$H$11,regle!$H$23,
IF(U343=regle!$I$11,regle!$I$23,
IF(U343=regle!$J$11,regle!$J$23,
IF(U343=regle!$K$11,regle!$K$23,0))))))))))))</f>
        <v>0</v>
      </c>
      <c r="AF343" s="17">
        <f>IF($A343,$J343*(IF(V343=regle!$B$11,regle!$B$23*IF(AO343=-2,1+regle!$B$35,1),
IF(V343=regle!$C$11,regle!$C$23,
IF(V343=regle!$D$11,regle!$D$23,
IF(V343=regle!$E$11,regle!$E$23,
IF(V343=regle!$F$11,regle!$F$23,
IF(V343=regle!$G$11,regle!$G$23,
IF(V343=regle!$H$11,regle!$H$23,
IF(V343=regle!$I$11,regle!$I$23,
IF(V343=regle!$J$11,regle!$J$23,
IF(V343=regle!$K$11,regle!$K$23,0))))))))))))</f>
        <v>0</v>
      </c>
      <c r="AG343" s="17">
        <f>IF($A343,$J343*(IF(W343=regle!$B$11,regle!$B$23*IF(AP343=-2,1+regle!$B$35,1),
IF(W343=regle!$C$11,regle!$C$23,
IF(W343=regle!$D$11,regle!$D$23,
IF(W343=regle!$E$11,regle!$E$23,
IF(W343=regle!$F$11,regle!$F$23,
IF(W343=regle!$G$11,regle!$G$23,
IF(W343=regle!$H$11,regle!$H$23,
IF(W343=regle!$I$11,regle!$I$23,
IF(W343=regle!$J$11,regle!$J$23,
IF(W343=regle!$K$11,regle!$K$23,0))))))))))))</f>
        <v>0</v>
      </c>
      <c r="AH343" s="17">
        <f>IF($A343,$J343*(IF(X343=regle!$B$11,regle!$B$23*IF(AQ343=-2,1+regle!$B$35,1),
IF(X343=regle!$C$11,regle!$C$23,
IF(X343=regle!$D$11,regle!$D$23,
IF(X343=regle!$E$11,regle!$E$23,
IF(X343=regle!$F$11,regle!$F$23,
IF(X343=regle!$G$11,regle!$G$23,
IF(X343=regle!$H$11,regle!$H$23,
IF(X343=regle!$I$11,regle!$I$23,
IF(X343=regle!$J$11,regle!$J$23,
IF(X343=regle!$K$11,regle!$K$23,0))))))))))))</f>
        <v>7.68</v>
      </c>
      <c r="AI343" s="17">
        <f>IF($A343,$J343*(IF(Y343=regle!$B$11,regle!$B$23*IF(AR343=-2,1+regle!$B$35,1),
IF(Y343=regle!$C$11,regle!$C$23,
IF(Y343=regle!$D$11,regle!$D$23,
IF(Y343=regle!$E$11,regle!$E$23,
IF(Y343=regle!$F$11,regle!$F$23,
IF(Y343=regle!$G$11,regle!$G$23,
IF(Y343=regle!$H$11,regle!$H$23,
IF(Y343=regle!$I$11,regle!$I$23,
IF(Y343=regle!$J$11,regle!$J$23,
IF(Y343=regle!$K$11,regle!$K$23,0))))))))))))</f>
        <v>0</v>
      </c>
      <c r="AJ343" s="17">
        <f>IF($A343,$J343*(IF(Z343=regle!$B$11,regle!$B$23*IF(AS343=-2,1+regle!$B$35,1),
IF(Z343=regle!$C$11,regle!$C$23,
IF(Z343=regle!$D$11,regle!$D$23,
IF(Z343=regle!$E$11,regle!$E$23,
IF(Z343=regle!$F$11,regle!$F$23,
IF(Z343=regle!$G$11,regle!$G$23,
IF(Z343=regle!$H$11,regle!$H$23,
IF(Z343=regle!$I$11,regle!$I$23,
IF(Z343=regle!$J$11,regle!$J$23,
IF(Z343=regle!$K$11,regle!$K$23,0))))))))))))</f>
        <v>0</v>
      </c>
      <c r="AK343" s="16">
        <f>IF(OR(Q343=regle!$J$11,Q343=regle!$K$11),-2,IF(Q343=regle!$B$11,0,IF(AK$1=$AK$1,IF($O343,-1,regle!$B$2-$M343),IF(AJ343=-1,-1,AJ343+1))))</f>
        <v>20</v>
      </c>
      <c r="AL343" s="16">
        <f>IF(OR(R343=regle!$J$11,R343=regle!$K$11),-2,IF(R343=regle!$B$11,0,IF(AL$1=$AK$1,IF($O343,-1,regle!$B$2-$M343),IF(AK343=-1,-1,AK343+1))))</f>
        <v>21</v>
      </c>
      <c r="AM343" s="16">
        <f>IF(OR(S343=regle!$J$11,S343=regle!$K$11),-2,IF(S343=regle!$B$11,0,IF(AM$1=$AK$1,IF($O343,-1,regle!$B$2-$M343),IF(AL343=-1,-1,AL343+1))))</f>
        <v>22</v>
      </c>
      <c r="AN343" s="16">
        <f>IF(OR(T343=regle!$J$11,T343=regle!$K$11),-2,IF(T343=regle!$B$11,0,IF(AN$1=$AK$1,IF($O343,-1,regle!$B$2-$M343),IF(AM343=-1,-1,AM343+1))))</f>
        <v>23</v>
      </c>
      <c r="AO343" s="16">
        <f>IF(OR(U343=regle!$J$11,U343=regle!$K$11),-2,IF(U343=regle!$B$11,0,IF(AO$1=$AK$1,IF($O343,-1,regle!$B$2-$M343),IF(AN343=-1,-1,AN343+1))))</f>
        <v>24</v>
      </c>
      <c r="AP343" s="16">
        <f>IF(OR(V343=regle!$J$11,V343=regle!$K$11),-2,IF(V343=regle!$B$11,0,IF(AP$1=$AK$1,IF($O343,-1,regle!$B$2-$M343),IF(AO343=-1,-1,AO343+1))))</f>
        <v>25</v>
      </c>
      <c r="AQ343" s="16">
        <f>IF(OR(W343=regle!$J$11,W343=regle!$K$11),-2,IF(W343=regle!$B$11,0,IF(AQ$1=$AK$1,IF($O343,-1,regle!$B$2-$M343),IF(AP343=-1,-1,AP343+1))))</f>
        <v>26</v>
      </c>
      <c r="AR343" s="16">
        <f>IF(OR(X343=regle!$J$11,X343=regle!$K$11),-2,IF(X343=regle!$B$11,0,IF(AR$1=$AK$1,IF($O343,-1,regle!$B$2-$M343),IF(AQ343=-1,-1,AQ343+1))))</f>
        <v>27</v>
      </c>
      <c r="AS343" s="16">
        <f>IF(OR(Y343=regle!$J$11,Y343=regle!$K$11),-2,IF(Y343=regle!$B$11,0,IF(AS$1=$AK$1,IF($O343,-1,regle!$B$2-$M343),IF(AR343=-1,-1,AR343+1))))</f>
        <v>28</v>
      </c>
      <c r="AT343" s="16">
        <f>IF(OR(Z343=regle!$J$11,Z343=regle!$K$11),-2,IF(Z343=regle!$B$11,0,IF(AT$1=$AK$1,IF($O343,-1,regle!$B$2-$M343),IF(AS343=-1,-1,AS343+1))))</f>
        <v>29</v>
      </c>
    </row>
    <row r="344" spans="1:46" x14ac:dyDescent="0.25">
      <c r="A344" t="b">
        <f>modif0!A55</f>
        <v>1</v>
      </c>
      <c r="B344">
        <f>ROW(modif0!B55)</f>
        <v>55</v>
      </c>
      <c r="C344" t="str">
        <f>modif0!D55</f>
        <v>536</v>
      </c>
      <c r="D344" t="str">
        <f>modif0!E55</f>
        <v>LE TUZAN</v>
      </c>
      <c r="E344">
        <f>modif0!F55</f>
        <v>21</v>
      </c>
      <c r="F344" t="str">
        <f>modif0!G55</f>
        <v>METAIRIES DE TABARTON</v>
      </c>
      <c r="G344" t="str">
        <f>modif0!I55</f>
        <v>0A</v>
      </c>
      <c r="H344">
        <f>modif0!J55</f>
        <v>523</v>
      </c>
      <c r="I344" t="str">
        <f>modif0!K55</f>
        <v>aj</v>
      </c>
      <c r="J344" s="11">
        <f>modif0!M55</f>
        <v>7.3194999999999997</v>
      </c>
      <c r="K344" s="11" t="str">
        <f>modif0!P55</f>
        <v>SL</v>
      </c>
      <c r="L344" t="str">
        <f>modif0!N55</f>
        <v>PM</v>
      </c>
      <c r="M344">
        <f>modif0!Q55</f>
        <v>2003</v>
      </c>
      <c r="N344" t="str">
        <f>modif0!R55</f>
        <v>SL-PM_2003</v>
      </c>
      <c r="O344" t="b">
        <f>modif0!S55</f>
        <v>0</v>
      </c>
      <c r="P344">
        <v>40</v>
      </c>
      <c r="U344" s="22" t="s">
        <v>1181</v>
      </c>
      <c r="V344" t="s">
        <v>1868</v>
      </c>
      <c r="X344" t="s">
        <v>1872</v>
      </c>
      <c r="Z344" t="s">
        <v>1870</v>
      </c>
      <c r="AA344" s="17">
        <f>IF($A344,$J344*(IF(Q344=regle!$B$11,regle!$B$23*IF(AJ344=-2,1+regle!$B$35,1),
IF(Q344=regle!$C$11,regle!$C$23,
IF(Q344=regle!$D$11,regle!$D$23,
IF(Q344=regle!$E$11,regle!$E$23,
IF(Q344=regle!$F$11,regle!$F$23,
IF(Q344=regle!$G$11,regle!$G$23,
IF(Q344=regle!$H$11,regle!$H$23,
IF(Q344=regle!$I$11,regle!$I$23,
IF(Q344=regle!$J$11,regle!$J$23,
IF(Q344=regle!$K$11,regle!$K$23,0))))))))))))</f>
        <v>0</v>
      </c>
      <c r="AB344" s="17">
        <f>IF($A344,$J344*(IF(R344=regle!$B$11,regle!$B$23*IF(AK344=-2,1+regle!$B$35,1),
IF(R344=regle!$C$11,regle!$C$23,
IF(R344=regle!$D$11,regle!$D$23,
IF(R344=regle!$E$11,regle!$E$23,
IF(R344=regle!$F$11,regle!$F$23,
IF(R344=regle!$G$11,regle!$G$23,
IF(R344=regle!$H$11,regle!$H$23,
IF(R344=regle!$I$11,regle!$I$23,
IF(R344=regle!$J$11,regle!$J$23,
IF(R344=regle!$K$11,regle!$K$23,0))))))))))))</f>
        <v>0</v>
      </c>
      <c r="AC344" s="17">
        <f>IF($A344,$J344*(IF(S344=regle!$B$11,regle!$B$23*IF(AL344=-2,1+regle!$B$35,1),
IF(S344=regle!$C$11,regle!$C$23,
IF(S344=regle!$D$11,regle!$D$23,
IF(S344=regle!$E$11,regle!$E$23,
IF(S344=regle!$F$11,regle!$F$23,
IF(S344=regle!$G$11,regle!$G$23,
IF(S344=regle!$H$11,regle!$H$23,
IF(S344=regle!$I$11,regle!$I$23,
IF(S344=regle!$J$11,regle!$J$23,
IF(S344=regle!$K$11,regle!$K$23,0))))))))))))</f>
        <v>0</v>
      </c>
      <c r="AD344" s="17">
        <f>IF($A344,$J344*(IF(T344=regle!$B$11,regle!$B$23*IF(AM344=-2,1+regle!$B$35,1),
IF(T344=regle!$C$11,regle!$C$23,
IF(T344=regle!$D$11,regle!$D$23,
IF(T344=regle!$E$11,regle!$E$23,
IF(T344=regle!$F$11,regle!$F$23,
IF(T344=regle!$G$11,regle!$G$23,
IF(T344=regle!$H$11,regle!$H$23,
IF(T344=regle!$I$11,regle!$I$23,
IF(T344=regle!$J$11,regle!$J$23,
IF(T344=regle!$K$11,regle!$K$23,0))))))))))))</f>
        <v>0</v>
      </c>
      <c r="AE344" s="17">
        <f>IF($A344,$J344*(IF(U344=regle!$B$11,regle!$B$23*IF(AN344=-2,1+regle!$B$35,1),
IF(U344=regle!$C$11,regle!$C$23,
IF(U344=regle!$D$11,regle!$D$23,
IF(U344=regle!$E$11,regle!$E$23,
IF(U344=regle!$F$11,regle!$F$23,
IF(U344=regle!$G$11,regle!$G$23,
IF(U344=regle!$H$11,regle!$H$23,
IF(U344=regle!$I$11,regle!$I$23,
IF(U344=regle!$J$11,regle!$J$23,
IF(U344=regle!$K$11,regle!$K$23,0))))))))))))</f>
        <v>38061.4</v>
      </c>
      <c r="AF344" s="17">
        <f>IF($A344,$J344*(IF(V344=regle!$B$11,regle!$B$23*IF(AO344=-2,1+regle!$B$35,1),
IF(V344=regle!$C$11,regle!$C$23,
IF(V344=regle!$D$11,regle!$D$23,
IF(V344=regle!$E$11,regle!$E$23,
IF(V344=regle!$F$11,regle!$F$23,
IF(V344=regle!$G$11,regle!$G$23,
IF(V344=regle!$H$11,regle!$H$23,
IF(V344=regle!$I$11,regle!$I$23,
IF(V344=regle!$J$11,regle!$J$23,
IF(V344=regle!$K$11,regle!$K$23,0))))))))))))</f>
        <v>-13687.465</v>
      </c>
      <c r="AG344" s="17">
        <f>IF($A344,$J344*(IF(W344=regle!$B$11,regle!$B$23*IF(AP344=-2,1+regle!$B$35,1),
IF(W344=regle!$C$11,regle!$C$23,
IF(W344=regle!$D$11,regle!$D$23,
IF(W344=regle!$E$11,regle!$E$23,
IF(W344=regle!$F$11,regle!$F$23,
IF(W344=regle!$G$11,regle!$G$23,
IF(W344=regle!$H$11,regle!$H$23,
IF(W344=regle!$I$11,regle!$I$23,
IF(W344=regle!$J$11,regle!$J$23,
IF(W344=regle!$K$11,regle!$K$23,0))))))))))))</f>
        <v>0</v>
      </c>
      <c r="AH344" s="17">
        <f>IF($A344,$J344*(IF(X344=regle!$B$11,regle!$B$23*IF(AQ344=-2,1+regle!$B$35,1),
IF(X344=regle!$C$11,regle!$C$23,
IF(X344=regle!$D$11,regle!$D$23,
IF(X344=regle!$E$11,regle!$E$23,
IF(X344=regle!$F$11,regle!$F$23,
IF(X344=regle!$G$11,regle!$G$23,
IF(X344=regle!$H$11,regle!$H$23,
IF(X344=regle!$I$11,regle!$I$23,
IF(X344=regle!$J$11,regle!$J$23,
IF(X344=regle!$K$11,regle!$K$23,0))))))))))))</f>
        <v>-548.96249999999998</v>
      </c>
      <c r="AI344" s="17">
        <f>IF($A344,$J344*(IF(Y344=regle!$B$11,regle!$B$23*IF(AR344=-2,1+regle!$B$35,1),
IF(Y344=regle!$C$11,regle!$C$23,
IF(Y344=regle!$D$11,regle!$D$23,
IF(Y344=regle!$E$11,regle!$E$23,
IF(Y344=regle!$F$11,regle!$F$23,
IF(Y344=regle!$G$11,regle!$G$23,
IF(Y344=regle!$H$11,regle!$H$23,
IF(Y344=regle!$I$11,regle!$I$23,
IF(Y344=regle!$J$11,regle!$J$23,
IF(Y344=regle!$K$11,regle!$K$23,0))))))))))))</f>
        <v>0</v>
      </c>
      <c r="AJ344" s="17">
        <f>IF($A344,$J344*(IF(Z344=regle!$B$11,regle!$B$23*IF(AS344=-2,1+regle!$B$35,1),
IF(Z344=regle!$C$11,regle!$C$23,
IF(Z344=regle!$D$11,regle!$D$23,
IF(Z344=regle!$E$11,regle!$E$23,
IF(Z344=regle!$F$11,regle!$F$23,
IF(Z344=regle!$G$11,regle!$G$23,
IF(Z344=regle!$H$11,regle!$H$23,
IF(Z344=regle!$I$11,regle!$I$23,
IF(Z344=regle!$J$11,regle!$J$23,
IF(Z344=regle!$K$11,regle!$K$23,0))))))))))))</f>
        <v>-658.755</v>
      </c>
      <c r="AK344" s="16">
        <f>IF(OR(Q344=regle!$J$11,Q344=regle!$K$11),-2,IF(Q344=regle!$B$11,0,IF(AK$1=$AK$1,IF($O344,-1,regle!$B$2-$M344),IF(AJ344=-1,-1,AJ344+1))))</f>
        <v>21</v>
      </c>
      <c r="AL344" s="16">
        <f>IF(OR(R344=regle!$J$11,R344=regle!$K$11),-2,IF(R344=regle!$B$11,0,IF(AL$1=$AK$1,IF($O344,-1,regle!$B$2-$M344),IF(AK344=-1,-1,AK344+1))))</f>
        <v>22</v>
      </c>
      <c r="AM344" s="16">
        <f>IF(OR(S344=regle!$J$11,S344=regle!$K$11),-2,IF(S344=regle!$B$11,0,IF(AM$1=$AK$1,IF($O344,-1,regle!$B$2-$M344),IF(AL344=-1,-1,AL344+1))))</f>
        <v>23</v>
      </c>
      <c r="AN344" s="16">
        <f>IF(OR(T344=regle!$J$11,T344=regle!$K$11),-2,IF(T344=regle!$B$11,0,IF(AN$1=$AK$1,IF($O344,-1,regle!$B$2-$M344),IF(AM344=-1,-1,AM344+1))))</f>
        <v>24</v>
      </c>
      <c r="AO344" s="16">
        <f>IF(OR(U344=regle!$J$11,U344=regle!$K$11),-2,IF(U344=regle!$B$11,0,IF(AO$1=$AK$1,IF($O344,-1,regle!$B$2-$M344),IF(AN344=-1,-1,AN344+1))))</f>
        <v>-2</v>
      </c>
      <c r="AP344" s="16">
        <f>IF(OR(V344=regle!$J$11,V344=regle!$K$11),-2,IF(V344=regle!$B$11,0,IF(AP$1=$AK$1,IF($O344,-1,regle!$B$2-$M344),IF(AO344=-1,-1,AO344+1))))</f>
        <v>0</v>
      </c>
      <c r="AQ344" s="16">
        <f>IF(OR(W344=regle!$J$11,W344=regle!$K$11),-2,IF(W344=regle!$B$11,0,IF(AQ$1=$AK$1,IF($O344,-1,regle!$B$2-$M344),IF(AP344=-1,-1,AP344+1))))</f>
        <v>1</v>
      </c>
      <c r="AR344" s="16">
        <f>IF(OR(X344=regle!$J$11,X344=regle!$K$11),-2,IF(X344=regle!$B$11,0,IF(AR$1=$AK$1,IF($O344,-1,regle!$B$2-$M344),IF(AQ344=-1,-1,AQ344+1))))</f>
        <v>2</v>
      </c>
      <c r="AS344" s="16">
        <f>IF(OR(Y344=regle!$J$11,Y344=regle!$K$11),-2,IF(Y344=regle!$B$11,0,IF(AS$1=$AK$1,IF($O344,-1,regle!$B$2-$M344),IF(AR344=-1,-1,AR344+1))))</f>
        <v>3</v>
      </c>
      <c r="AT344" s="16">
        <f>IF(OR(Z344=regle!$J$11,Z344=regle!$K$11),-2,IF(Z344=regle!$B$11,0,IF(AT$1=$AK$1,IF($O344,-1,regle!$B$2-$M344),IF(AS344=-1,-1,AS344+1))))</f>
        <v>4</v>
      </c>
    </row>
    <row r="345" spans="1:46" x14ac:dyDescent="0.25">
      <c r="A345" t="b">
        <f>modif0!A89</f>
        <v>1</v>
      </c>
      <c r="B345">
        <f>ROW(modif0!B89)</f>
        <v>89</v>
      </c>
      <c r="C345" t="str">
        <f>modif0!D89</f>
        <v>536</v>
      </c>
      <c r="D345" t="str">
        <f>modif0!E89</f>
        <v>LE TUZAN</v>
      </c>
      <c r="E345">
        <f>modif0!F89</f>
        <v>21</v>
      </c>
      <c r="F345" t="str">
        <f>modif0!G89</f>
        <v>METAIRIES DE TABARTON</v>
      </c>
      <c r="G345" t="str">
        <f>modif0!I89</f>
        <v>0A</v>
      </c>
      <c r="H345">
        <f>modif0!J89</f>
        <v>847</v>
      </c>
      <c r="I345" t="str">
        <f>modif0!K89</f>
        <v>e</v>
      </c>
      <c r="J345" s="11">
        <f>modif0!M89</f>
        <v>6.4062999999999999</v>
      </c>
      <c r="K345" s="11" t="str">
        <f>modif0!P89</f>
        <v>SL</v>
      </c>
      <c r="L345" t="str">
        <f>modif0!N89</f>
        <v>PM</v>
      </c>
      <c r="M345">
        <f>modif0!Q89</f>
        <v>2003</v>
      </c>
      <c r="N345" t="str">
        <f>modif0!R89</f>
        <v>SL-PM_2003</v>
      </c>
      <c r="O345" t="b">
        <f>modif0!S89</f>
        <v>0</v>
      </c>
      <c r="P345">
        <v>40</v>
      </c>
      <c r="U345" s="22" t="s">
        <v>1181</v>
      </c>
      <c r="V345" t="s">
        <v>1868</v>
      </c>
      <c r="X345" t="s">
        <v>1872</v>
      </c>
      <c r="Z345" t="s">
        <v>1870</v>
      </c>
      <c r="AA345" s="17">
        <f>IF($A345,$J345*(IF(Q345=regle!$B$11,regle!$B$23*IF(AJ345=-2,1+regle!$B$35,1),
IF(Q345=regle!$C$11,regle!$C$23,
IF(Q345=regle!$D$11,regle!$D$23,
IF(Q345=regle!$E$11,regle!$E$23,
IF(Q345=regle!$F$11,regle!$F$23,
IF(Q345=regle!$G$11,regle!$G$23,
IF(Q345=regle!$H$11,regle!$H$23,
IF(Q345=regle!$I$11,regle!$I$23,
IF(Q345=regle!$J$11,regle!$J$23,
IF(Q345=regle!$K$11,regle!$K$23,0))))))))))))</f>
        <v>0</v>
      </c>
      <c r="AB345" s="17">
        <f>IF($A345,$J345*(IF(R345=regle!$B$11,regle!$B$23*IF(AK345=-2,1+regle!$B$35,1),
IF(R345=regle!$C$11,regle!$C$23,
IF(R345=regle!$D$11,regle!$D$23,
IF(R345=regle!$E$11,regle!$E$23,
IF(R345=regle!$F$11,regle!$F$23,
IF(R345=regle!$G$11,regle!$G$23,
IF(R345=regle!$H$11,regle!$H$23,
IF(R345=regle!$I$11,regle!$I$23,
IF(R345=regle!$J$11,regle!$J$23,
IF(R345=regle!$K$11,regle!$K$23,0))))))))))))</f>
        <v>0</v>
      </c>
      <c r="AC345" s="17">
        <f>IF($A345,$J345*(IF(S345=regle!$B$11,regle!$B$23*IF(AL345=-2,1+regle!$B$35,1),
IF(S345=regle!$C$11,regle!$C$23,
IF(S345=regle!$D$11,regle!$D$23,
IF(S345=regle!$E$11,regle!$E$23,
IF(S345=regle!$F$11,regle!$F$23,
IF(S345=regle!$G$11,regle!$G$23,
IF(S345=regle!$H$11,regle!$H$23,
IF(S345=regle!$I$11,regle!$I$23,
IF(S345=regle!$J$11,regle!$J$23,
IF(S345=regle!$K$11,regle!$K$23,0))))))))))))</f>
        <v>0</v>
      </c>
      <c r="AD345" s="17">
        <f>IF($A345,$J345*(IF(T345=regle!$B$11,regle!$B$23*IF(AM345=-2,1+regle!$B$35,1),
IF(T345=regle!$C$11,regle!$C$23,
IF(T345=regle!$D$11,regle!$D$23,
IF(T345=regle!$E$11,regle!$E$23,
IF(T345=regle!$F$11,regle!$F$23,
IF(T345=regle!$G$11,regle!$G$23,
IF(T345=regle!$H$11,regle!$H$23,
IF(T345=regle!$I$11,regle!$I$23,
IF(T345=regle!$J$11,regle!$J$23,
IF(T345=regle!$K$11,regle!$K$23,0))))))))))))</f>
        <v>0</v>
      </c>
      <c r="AE345" s="17">
        <f>IF($A345,$J345*(IF(U345=regle!$B$11,regle!$B$23*IF(AN345=-2,1+regle!$B$35,1),
IF(U345=regle!$C$11,regle!$C$23,
IF(U345=regle!$D$11,regle!$D$23,
IF(U345=regle!$E$11,regle!$E$23,
IF(U345=regle!$F$11,regle!$F$23,
IF(U345=regle!$G$11,regle!$G$23,
IF(U345=regle!$H$11,regle!$H$23,
IF(U345=regle!$I$11,regle!$I$23,
IF(U345=regle!$J$11,regle!$J$23,
IF(U345=regle!$K$11,regle!$K$23,0))))))))))))</f>
        <v>33312.76</v>
      </c>
      <c r="AF345" s="17">
        <f>IF($A345,$J345*(IF(V345=regle!$B$11,regle!$B$23*IF(AO345=-2,1+regle!$B$35,1),
IF(V345=regle!$C$11,regle!$C$23,
IF(V345=regle!$D$11,regle!$D$23,
IF(V345=regle!$E$11,regle!$E$23,
IF(V345=regle!$F$11,regle!$F$23,
IF(V345=regle!$G$11,regle!$G$23,
IF(V345=regle!$H$11,regle!$H$23,
IF(V345=regle!$I$11,regle!$I$23,
IF(V345=regle!$J$11,regle!$J$23,
IF(V345=regle!$K$11,regle!$K$23,0))))))))))))</f>
        <v>-11979.781000000001</v>
      </c>
      <c r="AG345" s="17">
        <f>IF($A345,$J345*(IF(W345=regle!$B$11,regle!$B$23*IF(AP345=-2,1+regle!$B$35,1),
IF(W345=regle!$C$11,regle!$C$23,
IF(W345=regle!$D$11,regle!$D$23,
IF(W345=regle!$E$11,regle!$E$23,
IF(W345=regle!$F$11,regle!$F$23,
IF(W345=regle!$G$11,regle!$G$23,
IF(W345=regle!$H$11,regle!$H$23,
IF(W345=regle!$I$11,regle!$I$23,
IF(W345=regle!$J$11,regle!$J$23,
IF(W345=regle!$K$11,regle!$K$23,0))))))))))))</f>
        <v>0</v>
      </c>
      <c r="AH345" s="17">
        <f>IF($A345,$J345*(IF(X345=regle!$B$11,regle!$B$23*IF(AQ345=-2,1+regle!$B$35,1),
IF(X345=regle!$C$11,regle!$C$23,
IF(X345=regle!$D$11,regle!$D$23,
IF(X345=regle!$E$11,regle!$E$23,
IF(X345=regle!$F$11,regle!$F$23,
IF(X345=regle!$G$11,regle!$G$23,
IF(X345=regle!$H$11,regle!$H$23,
IF(X345=regle!$I$11,regle!$I$23,
IF(X345=regle!$J$11,regle!$J$23,
IF(X345=regle!$K$11,regle!$K$23,0))))))))))))</f>
        <v>-480.47249999999997</v>
      </c>
      <c r="AI345" s="17">
        <f>IF($A345,$J345*(IF(Y345=regle!$B$11,regle!$B$23*IF(AR345=-2,1+regle!$B$35,1),
IF(Y345=regle!$C$11,regle!$C$23,
IF(Y345=regle!$D$11,regle!$D$23,
IF(Y345=regle!$E$11,regle!$E$23,
IF(Y345=regle!$F$11,regle!$F$23,
IF(Y345=regle!$G$11,regle!$G$23,
IF(Y345=regle!$H$11,regle!$H$23,
IF(Y345=regle!$I$11,regle!$I$23,
IF(Y345=regle!$J$11,regle!$J$23,
IF(Y345=regle!$K$11,regle!$K$23,0))))))))))))</f>
        <v>0</v>
      </c>
      <c r="AJ345" s="17">
        <f>IF($A345,$J345*(IF(Z345=regle!$B$11,regle!$B$23*IF(AS345=-2,1+regle!$B$35,1),
IF(Z345=regle!$C$11,regle!$C$23,
IF(Z345=regle!$D$11,regle!$D$23,
IF(Z345=regle!$E$11,regle!$E$23,
IF(Z345=regle!$F$11,regle!$F$23,
IF(Z345=regle!$G$11,regle!$G$23,
IF(Z345=regle!$H$11,regle!$H$23,
IF(Z345=regle!$I$11,regle!$I$23,
IF(Z345=regle!$J$11,regle!$J$23,
IF(Z345=regle!$K$11,regle!$K$23,0))))))))))))</f>
        <v>-576.56700000000001</v>
      </c>
      <c r="AK345" s="16">
        <f>IF(OR(Q345=regle!$J$11,Q345=regle!$K$11),-2,IF(Q345=regle!$B$11,0,IF(AK$1=$AK$1,IF($O345,-1,regle!$B$2-$M345),IF(AJ345=-1,-1,AJ345+1))))</f>
        <v>21</v>
      </c>
      <c r="AL345" s="16">
        <f>IF(OR(R345=regle!$J$11,R345=regle!$K$11),-2,IF(R345=regle!$B$11,0,IF(AL$1=$AK$1,IF($O345,-1,regle!$B$2-$M345),IF(AK345=-1,-1,AK345+1))))</f>
        <v>22</v>
      </c>
      <c r="AM345" s="16">
        <f>IF(OR(S345=regle!$J$11,S345=regle!$K$11),-2,IF(S345=regle!$B$11,0,IF(AM$1=$AK$1,IF($O345,-1,regle!$B$2-$M345),IF(AL345=-1,-1,AL345+1))))</f>
        <v>23</v>
      </c>
      <c r="AN345" s="16">
        <f>IF(OR(T345=regle!$J$11,T345=regle!$K$11),-2,IF(T345=regle!$B$11,0,IF(AN$1=$AK$1,IF($O345,-1,regle!$B$2-$M345),IF(AM345=-1,-1,AM345+1))))</f>
        <v>24</v>
      </c>
      <c r="AO345" s="16">
        <f>IF(OR(U345=regle!$J$11,U345=regle!$K$11),-2,IF(U345=regle!$B$11,0,IF(AO$1=$AK$1,IF($O345,-1,regle!$B$2-$M345),IF(AN345=-1,-1,AN345+1))))</f>
        <v>-2</v>
      </c>
      <c r="AP345" s="16">
        <f>IF(OR(V345=regle!$J$11,V345=regle!$K$11),-2,IF(V345=regle!$B$11,0,IF(AP$1=$AK$1,IF($O345,-1,regle!$B$2-$M345),IF(AO345=-1,-1,AO345+1))))</f>
        <v>0</v>
      </c>
      <c r="AQ345" s="16">
        <f>IF(OR(W345=regle!$J$11,W345=regle!$K$11),-2,IF(W345=regle!$B$11,0,IF(AQ$1=$AK$1,IF($O345,-1,regle!$B$2-$M345),IF(AP345=-1,-1,AP345+1))))</f>
        <v>1</v>
      </c>
      <c r="AR345" s="16">
        <f>IF(OR(X345=regle!$J$11,X345=regle!$K$11),-2,IF(X345=regle!$B$11,0,IF(AR$1=$AK$1,IF($O345,-1,regle!$B$2-$M345),IF(AQ345=-1,-1,AQ345+1))))</f>
        <v>2</v>
      </c>
      <c r="AS345" s="16">
        <f>IF(OR(Y345=regle!$J$11,Y345=regle!$K$11),-2,IF(Y345=regle!$B$11,0,IF(AS$1=$AK$1,IF($O345,-1,regle!$B$2-$M345),IF(AR345=-1,-1,AR345+1))))</f>
        <v>3</v>
      </c>
      <c r="AT345" s="16">
        <f>IF(OR(Z345=regle!$J$11,Z345=regle!$K$11),-2,IF(Z345=regle!$B$11,0,IF(AT$1=$AK$1,IF($O345,-1,regle!$B$2-$M345),IF(AS345=-1,-1,AS345+1))))</f>
        <v>4</v>
      </c>
    </row>
    <row r="346" spans="1:46" x14ac:dyDescent="0.25">
      <c r="A346" t="b">
        <f>modif0!A56</f>
        <v>1</v>
      </c>
      <c r="B346">
        <f>ROW(modif0!B56)</f>
        <v>56</v>
      </c>
      <c r="C346" t="str">
        <f>modif0!D56</f>
        <v>536</v>
      </c>
      <c r="D346" t="str">
        <f>modif0!E56</f>
        <v>LE TUZAN</v>
      </c>
      <c r="E346">
        <f>modif0!F56</f>
        <v>21</v>
      </c>
      <c r="F346" t="str">
        <f>modif0!G56</f>
        <v>METAIRIES DE TABARTON</v>
      </c>
      <c r="G346" t="str">
        <f>modif0!I56</f>
        <v>0A</v>
      </c>
      <c r="H346">
        <f>modif0!J56</f>
        <v>523</v>
      </c>
      <c r="I346" t="str">
        <f>modif0!K56</f>
        <v>ak</v>
      </c>
      <c r="J346" s="11">
        <f>modif0!M56</f>
        <v>4.1345000000000001</v>
      </c>
      <c r="K346" s="11" t="str">
        <f>modif0!P56</f>
        <v>SL</v>
      </c>
      <c r="L346" t="str">
        <f>modif0!N56</f>
        <v>PM</v>
      </c>
      <c r="M346">
        <f>modif0!Q56</f>
        <v>2003</v>
      </c>
      <c r="N346" t="str">
        <f>modif0!R56</f>
        <v>SL-PM_2003</v>
      </c>
      <c r="O346" t="b">
        <f>modif0!S56</f>
        <v>0</v>
      </c>
      <c r="P346">
        <v>40</v>
      </c>
      <c r="U346" s="22" t="s">
        <v>1181</v>
      </c>
      <c r="V346" t="s">
        <v>1868</v>
      </c>
      <c r="X346" t="s">
        <v>1872</v>
      </c>
      <c r="Z346" t="s">
        <v>1870</v>
      </c>
      <c r="AA346" s="17">
        <f>IF($A346,$J346*(IF(Q346=regle!$B$11,regle!$B$23*IF(AJ346=-2,1+regle!$B$35,1),
IF(Q346=regle!$C$11,regle!$C$23,
IF(Q346=regle!$D$11,regle!$D$23,
IF(Q346=regle!$E$11,regle!$E$23,
IF(Q346=regle!$F$11,regle!$F$23,
IF(Q346=regle!$G$11,regle!$G$23,
IF(Q346=regle!$H$11,regle!$H$23,
IF(Q346=regle!$I$11,regle!$I$23,
IF(Q346=regle!$J$11,regle!$J$23,
IF(Q346=regle!$K$11,regle!$K$23,0))))))))))))</f>
        <v>0</v>
      </c>
      <c r="AB346" s="17">
        <f>IF($A346,$J346*(IF(R346=regle!$B$11,regle!$B$23*IF(AK346=-2,1+regle!$B$35,1),
IF(R346=regle!$C$11,regle!$C$23,
IF(R346=regle!$D$11,regle!$D$23,
IF(R346=regle!$E$11,regle!$E$23,
IF(R346=regle!$F$11,regle!$F$23,
IF(R346=regle!$G$11,regle!$G$23,
IF(R346=regle!$H$11,regle!$H$23,
IF(R346=regle!$I$11,regle!$I$23,
IF(R346=regle!$J$11,regle!$J$23,
IF(R346=regle!$K$11,regle!$K$23,0))))))))))))</f>
        <v>0</v>
      </c>
      <c r="AC346" s="17">
        <f>IF($A346,$J346*(IF(S346=regle!$B$11,regle!$B$23*IF(AL346=-2,1+regle!$B$35,1),
IF(S346=regle!$C$11,regle!$C$23,
IF(S346=regle!$D$11,regle!$D$23,
IF(S346=regle!$E$11,regle!$E$23,
IF(S346=regle!$F$11,regle!$F$23,
IF(S346=regle!$G$11,regle!$G$23,
IF(S346=regle!$H$11,regle!$H$23,
IF(S346=regle!$I$11,regle!$I$23,
IF(S346=regle!$J$11,regle!$J$23,
IF(S346=regle!$K$11,regle!$K$23,0))))))))))))</f>
        <v>0</v>
      </c>
      <c r="AD346" s="17">
        <f>IF($A346,$J346*(IF(T346=regle!$B$11,regle!$B$23*IF(AM346=-2,1+regle!$B$35,1),
IF(T346=regle!$C$11,regle!$C$23,
IF(T346=regle!$D$11,regle!$D$23,
IF(T346=regle!$E$11,regle!$E$23,
IF(T346=regle!$F$11,regle!$F$23,
IF(T346=regle!$G$11,regle!$G$23,
IF(T346=regle!$H$11,regle!$H$23,
IF(T346=regle!$I$11,regle!$I$23,
IF(T346=regle!$J$11,regle!$J$23,
IF(T346=regle!$K$11,regle!$K$23,0))))))))))))</f>
        <v>0</v>
      </c>
      <c r="AE346" s="17">
        <f>IF($A346,$J346*(IF(U346=regle!$B$11,regle!$B$23*IF(AN346=-2,1+regle!$B$35,1),
IF(U346=regle!$C$11,regle!$C$23,
IF(U346=regle!$D$11,regle!$D$23,
IF(U346=regle!$E$11,regle!$E$23,
IF(U346=regle!$F$11,regle!$F$23,
IF(U346=regle!$G$11,regle!$G$23,
IF(U346=regle!$H$11,regle!$H$23,
IF(U346=regle!$I$11,regle!$I$23,
IF(U346=regle!$J$11,regle!$J$23,
IF(U346=regle!$K$11,regle!$K$23,0))))))))))))</f>
        <v>21499.4</v>
      </c>
      <c r="AF346" s="17">
        <f>IF($A346,$J346*(IF(V346=regle!$B$11,regle!$B$23*IF(AO346=-2,1+regle!$B$35,1),
IF(V346=regle!$C$11,regle!$C$23,
IF(V346=regle!$D$11,regle!$D$23,
IF(V346=regle!$E$11,regle!$E$23,
IF(V346=regle!$F$11,regle!$F$23,
IF(V346=regle!$G$11,regle!$G$23,
IF(V346=regle!$H$11,regle!$H$23,
IF(V346=regle!$I$11,regle!$I$23,
IF(V346=regle!$J$11,regle!$J$23,
IF(V346=regle!$K$11,regle!$K$23,0))))))))))))</f>
        <v>-7731.5150000000012</v>
      </c>
      <c r="AG346" s="17">
        <f>IF($A346,$J346*(IF(W346=regle!$B$11,regle!$B$23*IF(AP346=-2,1+regle!$B$35,1),
IF(W346=regle!$C$11,regle!$C$23,
IF(W346=regle!$D$11,regle!$D$23,
IF(W346=regle!$E$11,regle!$E$23,
IF(W346=regle!$F$11,regle!$F$23,
IF(W346=regle!$G$11,regle!$G$23,
IF(W346=regle!$H$11,regle!$H$23,
IF(W346=regle!$I$11,regle!$I$23,
IF(W346=regle!$J$11,regle!$J$23,
IF(W346=regle!$K$11,regle!$K$23,0))))))))))))</f>
        <v>0</v>
      </c>
      <c r="AH346" s="17">
        <f>IF($A346,$J346*(IF(X346=regle!$B$11,regle!$B$23*IF(AQ346=-2,1+regle!$B$35,1),
IF(X346=regle!$C$11,regle!$C$23,
IF(X346=regle!$D$11,regle!$D$23,
IF(X346=regle!$E$11,regle!$E$23,
IF(X346=regle!$F$11,regle!$F$23,
IF(X346=regle!$G$11,regle!$G$23,
IF(X346=regle!$H$11,regle!$H$23,
IF(X346=regle!$I$11,regle!$I$23,
IF(X346=regle!$J$11,regle!$J$23,
IF(X346=regle!$K$11,regle!$K$23,0))))))))))))</f>
        <v>-310.08749999999998</v>
      </c>
      <c r="AI346" s="17">
        <f>IF($A346,$J346*(IF(Y346=regle!$B$11,regle!$B$23*IF(AR346=-2,1+regle!$B$35,1),
IF(Y346=regle!$C$11,regle!$C$23,
IF(Y346=regle!$D$11,regle!$D$23,
IF(Y346=regle!$E$11,regle!$E$23,
IF(Y346=regle!$F$11,regle!$F$23,
IF(Y346=regle!$G$11,regle!$G$23,
IF(Y346=regle!$H$11,regle!$H$23,
IF(Y346=regle!$I$11,regle!$I$23,
IF(Y346=regle!$J$11,regle!$J$23,
IF(Y346=regle!$K$11,regle!$K$23,0))))))))))))</f>
        <v>0</v>
      </c>
      <c r="AJ346" s="17">
        <f>IF($A346,$J346*(IF(Z346=regle!$B$11,regle!$B$23*IF(AS346=-2,1+regle!$B$35,1),
IF(Z346=regle!$C$11,regle!$C$23,
IF(Z346=regle!$D$11,regle!$D$23,
IF(Z346=regle!$E$11,regle!$E$23,
IF(Z346=regle!$F$11,regle!$F$23,
IF(Z346=regle!$G$11,regle!$G$23,
IF(Z346=regle!$H$11,regle!$H$23,
IF(Z346=regle!$I$11,regle!$I$23,
IF(Z346=regle!$J$11,regle!$J$23,
IF(Z346=regle!$K$11,regle!$K$23,0))))))))))))</f>
        <v>-372.10500000000002</v>
      </c>
      <c r="AK346" s="16">
        <f>IF(OR(Q346=regle!$J$11,Q346=regle!$K$11),-2,IF(Q346=regle!$B$11,0,IF(AK$1=$AK$1,IF($O346,-1,regle!$B$2-$M346),IF(AJ346=-1,-1,AJ346+1))))</f>
        <v>21</v>
      </c>
      <c r="AL346" s="16">
        <f>IF(OR(R346=regle!$J$11,R346=regle!$K$11),-2,IF(R346=regle!$B$11,0,IF(AL$1=$AK$1,IF($O346,-1,regle!$B$2-$M346),IF(AK346=-1,-1,AK346+1))))</f>
        <v>22</v>
      </c>
      <c r="AM346" s="16">
        <f>IF(OR(S346=regle!$J$11,S346=regle!$K$11),-2,IF(S346=regle!$B$11,0,IF(AM$1=$AK$1,IF($O346,-1,regle!$B$2-$M346),IF(AL346=-1,-1,AL346+1))))</f>
        <v>23</v>
      </c>
      <c r="AN346" s="16">
        <f>IF(OR(T346=regle!$J$11,T346=regle!$K$11),-2,IF(T346=regle!$B$11,0,IF(AN$1=$AK$1,IF($O346,-1,regle!$B$2-$M346),IF(AM346=-1,-1,AM346+1))))</f>
        <v>24</v>
      </c>
      <c r="AO346" s="16">
        <f>IF(OR(U346=regle!$J$11,U346=regle!$K$11),-2,IF(U346=regle!$B$11,0,IF(AO$1=$AK$1,IF($O346,-1,regle!$B$2-$M346),IF(AN346=-1,-1,AN346+1))))</f>
        <v>-2</v>
      </c>
      <c r="AP346" s="16">
        <f>IF(OR(V346=regle!$J$11,V346=regle!$K$11),-2,IF(V346=regle!$B$11,0,IF(AP$1=$AK$1,IF($O346,-1,regle!$B$2-$M346),IF(AO346=-1,-1,AO346+1))))</f>
        <v>0</v>
      </c>
      <c r="AQ346" s="16">
        <f>IF(OR(W346=regle!$J$11,W346=regle!$K$11),-2,IF(W346=regle!$B$11,0,IF(AQ$1=$AK$1,IF($O346,-1,regle!$B$2-$M346),IF(AP346=-1,-1,AP346+1))))</f>
        <v>1</v>
      </c>
      <c r="AR346" s="16">
        <f>IF(OR(X346=regle!$J$11,X346=regle!$K$11),-2,IF(X346=regle!$B$11,0,IF(AR$1=$AK$1,IF($O346,-1,regle!$B$2-$M346),IF(AQ346=-1,-1,AQ346+1))))</f>
        <v>2</v>
      </c>
      <c r="AS346" s="16">
        <f>IF(OR(Y346=regle!$J$11,Y346=regle!$K$11),-2,IF(Y346=regle!$B$11,0,IF(AS$1=$AK$1,IF($O346,-1,regle!$B$2-$M346),IF(AR346=-1,-1,AR346+1))))</f>
        <v>3</v>
      </c>
      <c r="AT346" s="16">
        <f>IF(OR(Z346=regle!$J$11,Z346=regle!$K$11),-2,IF(Z346=regle!$B$11,0,IF(AT$1=$AK$1,IF($O346,-1,regle!$B$2-$M346),IF(AS346=-1,-1,AS346+1))))</f>
        <v>4</v>
      </c>
    </row>
    <row r="347" spans="1:46" x14ac:dyDescent="0.25">
      <c r="A347" t="b">
        <f>modif0!A85</f>
        <v>1</v>
      </c>
      <c r="B347">
        <f>ROW(modif0!B85)</f>
        <v>85</v>
      </c>
      <c r="C347" t="str">
        <f>modif0!D85</f>
        <v>536</v>
      </c>
      <c r="D347" t="str">
        <f>modif0!E85</f>
        <v>LE TUZAN</v>
      </c>
      <c r="E347">
        <f>modif0!F85</f>
        <v>21</v>
      </c>
      <c r="F347" t="str">
        <f>modif0!G85</f>
        <v>METAIRIES DE TABARTON</v>
      </c>
      <c r="G347" t="str">
        <f>modif0!I85</f>
        <v>0A</v>
      </c>
      <c r="H347">
        <f>modif0!J85</f>
        <v>847</v>
      </c>
      <c r="I347" t="str">
        <f>modif0!K85</f>
        <v>b</v>
      </c>
      <c r="J347" s="11">
        <f>modif0!M85</f>
        <v>3.4255</v>
      </c>
      <c r="K347" s="11" t="str">
        <f>modif0!P85</f>
        <v>SL</v>
      </c>
      <c r="L347" t="str">
        <f>modif0!N85</f>
        <v>PM</v>
      </c>
      <c r="M347">
        <f>modif0!Q85</f>
        <v>2003</v>
      </c>
      <c r="N347" t="str">
        <f>modif0!R85</f>
        <v>SL-PM_2003</v>
      </c>
      <c r="O347" t="b">
        <f>modif0!S85</f>
        <v>0</v>
      </c>
      <c r="P347">
        <v>40</v>
      </c>
      <c r="R347" t="s">
        <v>1805</v>
      </c>
      <c r="W347" t="s">
        <v>1806</v>
      </c>
      <c r="AA347" s="17">
        <f>IF($A347,$J347*(IF(Q347=regle!$B$11,regle!$B$23*IF(AJ347=-2,1+regle!$B$35,1),
IF(Q347=regle!$C$11,regle!$C$23,
IF(Q347=regle!$D$11,regle!$D$23,
IF(Q347=regle!$E$11,regle!$E$23,
IF(Q347=regle!$F$11,regle!$F$23,
IF(Q347=regle!$G$11,regle!$G$23,
IF(Q347=regle!$H$11,regle!$H$23,
IF(Q347=regle!$I$11,regle!$I$23,
IF(Q347=regle!$J$11,regle!$J$23,
IF(Q347=regle!$K$11,regle!$K$23,0))))))))))))</f>
        <v>0</v>
      </c>
      <c r="AB347" s="17">
        <f>IF($A347,$J347*(IF(R347=regle!$B$11,regle!$B$23*IF(AK347=-2,1+regle!$B$35,1),
IF(R347=regle!$C$11,regle!$C$23,
IF(R347=regle!$D$11,regle!$D$23,
IF(R347=regle!$E$11,regle!$E$23,
IF(R347=regle!$F$11,regle!$F$23,
IF(R347=regle!$G$11,regle!$G$23,
IF(R347=regle!$H$11,regle!$H$23,
IF(R347=regle!$I$11,regle!$I$23,
IF(R347=regle!$J$11,regle!$J$23,
IF(R347=regle!$K$11,regle!$K$23,0))))))))))))</f>
        <v>4823.1040000000003</v>
      </c>
      <c r="AC347" s="17">
        <f>IF($A347,$J347*(IF(S347=regle!$B$11,regle!$B$23*IF(AL347=-2,1+regle!$B$35,1),
IF(S347=regle!$C$11,regle!$C$23,
IF(S347=regle!$D$11,regle!$D$23,
IF(S347=regle!$E$11,regle!$E$23,
IF(S347=regle!$F$11,regle!$F$23,
IF(S347=regle!$G$11,regle!$G$23,
IF(S347=regle!$H$11,regle!$H$23,
IF(S347=regle!$I$11,regle!$I$23,
IF(S347=regle!$J$11,regle!$J$23,
IF(S347=regle!$K$11,regle!$K$23,0))))))))))))</f>
        <v>0</v>
      </c>
      <c r="AD347" s="17">
        <f>IF($A347,$J347*(IF(T347=regle!$B$11,regle!$B$23*IF(AM347=-2,1+regle!$B$35,1),
IF(T347=regle!$C$11,regle!$C$23,
IF(T347=regle!$D$11,regle!$D$23,
IF(T347=regle!$E$11,regle!$E$23,
IF(T347=regle!$F$11,regle!$F$23,
IF(T347=regle!$G$11,regle!$G$23,
IF(T347=regle!$H$11,regle!$H$23,
IF(T347=regle!$I$11,regle!$I$23,
IF(T347=regle!$J$11,regle!$J$23,
IF(T347=regle!$K$11,regle!$K$23,0))))))))))))</f>
        <v>0</v>
      </c>
      <c r="AE347" s="17">
        <f>IF($A347,$J347*(IF(U347=regle!$B$11,regle!$B$23*IF(AN347=-2,1+regle!$B$35,1),
IF(U347=regle!$C$11,regle!$C$23,
IF(U347=regle!$D$11,regle!$D$23,
IF(U347=regle!$E$11,regle!$E$23,
IF(U347=regle!$F$11,regle!$F$23,
IF(U347=regle!$G$11,regle!$G$23,
IF(U347=regle!$H$11,regle!$H$23,
IF(U347=regle!$I$11,regle!$I$23,
IF(U347=regle!$J$11,regle!$J$23,
IF(U347=regle!$K$11,regle!$K$23,0))))))))))))</f>
        <v>0</v>
      </c>
      <c r="AF347" s="17">
        <f>IF($A347,$J347*(IF(V347=regle!$B$11,regle!$B$23*IF(AO347=-2,1+regle!$B$35,1),
IF(V347=regle!$C$11,regle!$C$23,
IF(V347=regle!$D$11,regle!$D$23,
IF(V347=regle!$E$11,regle!$E$23,
IF(V347=regle!$F$11,regle!$F$23,
IF(V347=regle!$G$11,regle!$G$23,
IF(V347=regle!$H$11,regle!$H$23,
IF(V347=regle!$I$11,regle!$I$23,
IF(V347=regle!$J$11,regle!$J$23,
IF(V347=regle!$K$11,regle!$K$23,0))))))))))))</f>
        <v>0</v>
      </c>
      <c r="AG347" s="17">
        <f>IF($A347,$J347*(IF(W347=regle!$B$11,regle!$B$23*IF(AP347=-2,1+regle!$B$35,1),
IF(W347=regle!$C$11,regle!$C$23,
IF(W347=regle!$D$11,regle!$D$23,
IF(W347=regle!$E$11,regle!$E$23,
IF(W347=regle!$F$11,regle!$F$23,
IF(W347=regle!$G$11,regle!$G$23,
IF(W347=regle!$H$11,regle!$H$23,
IF(W347=regle!$I$11,regle!$I$23,
IF(W347=regle!$J$11,regle!$J$23,
IF(W347=regle!$K$11,regle!$K$23,0))))))))))))</f>
        <v>4384.6400000000003</v>
      </c>
      <c r="AH347" s="17">
        <f>IF($A347,$J347*(IF(X347=regle!$B$11,regle!$B$23*IF(AQ347=-2,1+regle!$B$35,1),
IF(X347=regle!$C$11,regle!$C$23,
IF(X347=regle!$D$11,regle!$D$23,
IF(X347=regle!$E$11,regle!$E$23,
IF(X347=regle!$F$11,regle!$F$23,
IF(X347=regle!$G$11,regle!$G$23,
IF(X347=regle!$H$11,regle!$H$23,
IF(X347=regle!$I$11,regle!$I$23,
IF(X347=regle!$J$11,regle!$J$23,
IF(X347=regle!$K$11,regle!$K$23,0))))))))))))</f>
        <v>0</v>
      </c>
      <c r="AI347" s="17">
        <f>IF($A347,$J347*(IF(Y347=regle!$B$11,regle!$B$23*IF(AR347=-2,1+regle!$B$35,1),
IF(Y347=regle!$C$11,regle!$C$23,
IF(Y347=regle!$D$11,regle!$D$23,
IF(Y347=regle!$E$11,regle!$E$23,
IF(Y347=regle!$F$11,regle!$F$23,
IF(Y347=regle!$G$11,regle!$G$23,
IF(Y347=regle!$H$11,regle!$H$23,
IF(Y347=regle!$I$11,regle!$I$23,
IF(Y347=regle!$J$11,regle!$J$23,
IF(Y347=regle!$K$11,regle!$K$23,0))))))))))))</f>
        <v>0</v>
      </c>
      <c r="AJ347" s="17">
        <f>IF($A347,$J347*(IF(Z347=regle!$B$11,regle!$B$23*IF(AS347=-2,1+regle!$B$35,1),
IF(Z347=regle!$C$11,regle!$C$23,
IF(Z347=regle!$D$11,regle!$D$23,
IF(Z347=regle!$E$11,regle!$E$23,
IF(Z347=regle!$F$11,regle!$F$23,
IF(Z347=regle!$G$11,regle!$G$23,
IF(Z347=regle!$H$11,regle!$H$23,
IF(Z347=regle!$I$11,regle!$I$23,
IF(Z347=regle!$J$11,regle!$J$23,
IF(Z347=regle!$K$11,regle!$K$23,0))))))))))))</f>
        <v>0</v>
      </c>
      <c r="AK347" s="16">
        <f>IF(OR(Q347=regle!$J$11,Q347=regle!$K$11),-2,IF(Q347=regle!$B$11,0,IF(AK$1=$AK$1,IF($O347,-1,regle!$B$2-$M347),IF(AJ347=-1,-1,AJ347+1))))</f>
        <v>21</v>
      </c>
      <c r="AL347" s="16">
        <f>IF(OR(R347=regle!$J$11,R347=regle!$K$11),-2,IF(R347=regle!$B$11,0,IF(AL$1=$AK$1,IF($O347,-1,regle!$B$2-$M347),IF(AK347=-1,-1,AK347+1))))</f>
        <v>22</v>
      </c>
      <c r="AM347" s="16">
        <f>IF(OR(S347=regle!$J$11,S347=regle!$K$11),-2,IF(S347=regle!$B$11,0,IF(AM$1=$AK$1,IF($O347,-1,regle!$B$2-$M347),IF(AL347=-1,-1,AL347+1))))</f>
        <v>23</v>
      </c>
      <c r="AN347" s="16">
        <f>IF(OR(T347=regle!$J$11,T347=regle!$K$11),-2,IF(T347=regle!$B$11,0,IF(AN$1=$AK$1,IF($O347,-1,regle!$B$2-$M347),IF(AM347=-1,-1,AM347+1))))</f>
        <v>24</v>
      </c>
      <c r="AO347" s="16">
        <f>IF(OR(U347=regle!$J$11,U347=regle!$K$11),-2,IF(U347=regle!$B$11,0,IF(AO$1=$AK$1,IF($O347,-1,regle!$B$2-$M347),IF(AN347=-1,-1,AN347+1))))</f>
        <v>25</v>
      </c>
      <c r="AP347" s="16">
        <f>IF(OR(V347=regle!$J$11,V347=regle!$K$11),-2,IF(V347=regle!$B$11,0,IF(AP$1=$AK$1,IF($O347,-1,regle!$B$2-$M347),IF(AO347=-1,-1,AO347+1))))</f>
        <v>26</v>
      </c>
      <c r="AQ347" s="16">
        <f>IF(OR(W347=regle!$J$11,W347=regle!$K$11),-2,IF(W347=regle!$B$11,0,IF(AQ$1=$AK$1,IF($O347,-1,regle!$B$2-$M347),IF(AP347=-1,-1,AP347+1))))</f>
        <v>27</v>
      </c>
      <c r="AR347" s="16">
        <f>IF(OR(X347=regle!$J$11,X347=regle!$K$11),-2,IF(X347=regle!$B$11,0,IF(AR$1=$AK$1,IF($O347,-1,regle!$B$2-$M347),IF(AQ347=-1,-1,AQ347+1))))</f>
        <v>28</v>
      </c>
      <c r="AS347" s="16">
        <f>IF(OR(Y347=regle!$J$11,Y347=regle!$K$11),-2,IF(Y347=regle!$B$11,0,IF(AS$1=$AK$1,IF($O347,-1,regle!$B$2-$M347),IF(AR347=-1,-1,AR347+1))))</f>
        <v>29</v>
      </c>
      <c r="AT347" s="16">
        <f>IF(OR(Z347=regle!$J$11,Z347=regle!$K$11),-2,IF(Z347=regle!$B$11,0,IF(AT$1=$AK$1,IF($O347,-1,regle!$B$2-$M347),IF(AS347=-1,-1,AS347+1))))</f>
        <v>30</v>
      </c>
    </row>
    <row r="348" spans="1:46" x14ac:dyDescent="0.25">
      <c r="A348" t="b">
        <f>modif0!A48</f>
        <v>1</v>
      </c>
      <c r="B348">
        <f>ROW(modif0!B48)</f>
        <v>48</v>
      </c>
      <c r="C348" t="str">
        <f>modif0!D48</f>
        <v>536</v>
      </c>
      <c r="D348" t="str">
        <f>modif0!E48</f>
        <v>LE TUZAN</v>
      </c>
      <c r="E348">
        <f>modif0!F48</f>
        <v>21</v>
      </c>
      <c r="F348" t="str">
        <f>modif0!G48</f>
        <v>METAIRIES DE TABARTON</v>
      </c>
      <c r="G348" t="str">
        <f>modif0!I48</f>
        <v>0A</v>
      </c>
      <c r="H348">
        <f>modif0!J48</f>
        <v>424</v>
      </c>
      <c r="I348" t="str">
        <f>modif0!K48</f>
        <v>c</v>
      </c>
      <c r="J348" s="11">
        <f>modif0!M48</f>
        <v>1.4708000000000001</v>
      </c>
      <c r="K348" s="11" t="str">
        <f>modif0!P48</f>
        <v>SL</v>
      </c>
      <c r="L348" t="str">
        <f>modif0!N48</f>
        <v>PM</v>
      </c>
      <c r="M348">
        <f>modif0!Q48</f>
        <v>2003</v>
      </c>
      <c r="N348" t="str">
        <f>modif0!R48</f>
        <v>SL-PM_2003</v>
      </c>
      <c r="O348" t="b">
        <f>modif0!S48</f>
        <v>0</v>
      </c>
      <c r="P348">
        <v>40</v>
      </c>
      <c r="R348" t="s">
        <v>1805</v>
      </c>
      <c r="W348" t="s">
        <v>1806</v>
      </c>
      <c r="AA348" s="17">
        <f>IF($A348,$J348*(IF(Q348=regle!$B$11,regle!$B$23*IF(AJ348=-2,1+regle!$B$35,1),
IF(Q348=regle!$C$11,regle!$C$23,
IF(Q348=regle!$D$11,regle!$D$23,
IF(Q348=regle!$E$11,regle!$E$23,
IF(Q348=regle!$F$11,regle!$F$23,
IF(Q348=regle!$G$11,regle!$G$23,
IF(Q348=regle!$H$11,regle!$H$23,
IF(Q348=regle!$I$11,regle!$I$23,
IF(Q348=regle!$J$11,regle!$J$23,
IF(Q348=regle!$K$11,regle!$K$23,0))))))))))))</f>
        <v>0</v>
      </c>
      <c r="AB348" s="17">
        <f>IF($A348,$J348*(IF(R348=regle!$B$11,regle!$B$23*IF(AK348=-2,1+regle!$B$35,1),
IF(R348=regle!$C$11,regle!$C$23,
IF(R348=regle!$D$11,regle!$D$23,
IF(R348=regle!$E$11,regle!$E$23,
IF(R348=regle!$F$11,regle!$F$23,
IF(R348=regle!$G$11,regle!$G$23,
IF(R348=regle!$H$11,regle!$H$23,
IF(R348=regle!$I$11,regle!$I$23,
IF(R348=regle!$J$11,regle!$J$23,
IF(R348=regle!$K$11,regle!$K$23,0))))))))))))</f>
        <v>2070.8864000000003</v>
      </c>
      <c r="AC348" s="17">
        <f>IF($A348,$J348*(IF(S348=regle!$B$11,regle!$B$23*IF(AL348=-2,1+regle!$B$35,1),
IF(S348=regle!$C$11,regle!$C$23,
IF(S348=regle!$D$11,regle!$D$23,
IF(S348=regle!$E$11,regle!$E$23,
IF(S348=regle!$F$11,regle!$F$23,
IF(S348=regle!$G$11,regle!$G$23,
IF(S348=regle!$H$11,regle!$H$23,
IF(S348=regle!$I$11,regle!$I$23,
IF(S348=regle!$J$11,regle!$J$23,
IF(S348=regle!$K$11,regle!$K$23,0))))))))))))</f>
        <v>0</v>
      </c>
      <c r="AD348" s="17">
        <f>IF($A348,$J348*(IF(T348=regle!$B$11,regle!$B$23*IF(AM348=-2,1+regle!$B$35,1),
IF(T348=regle!$C$11,regle!$C$23,
IF(T348=regle!$D$11,regle!$D$23,
IF(T348=regle!$E$11,regle!$E$23,
IF(T348=regle!$F$11,regle!$F$23,
IF(T348=regle!$G$11,regle!$G$23,
IF(T348=regle!$H$11,regle!$H$23,
IF(T348=regle!$I$11,regle!$I$23,
IF(T348=regle!$J$11,regle!$J$23,
IF(T348=regle!$K$11,regle!$K$23,0))))))))))))</f>
        <v>0</v>
      </c>
      <c r="AE348" s="17">
        <f>IF($A348,$J348*(IF(U348=regle!$B$11,regle!$B$23*IF(AN348=-2,1+regle!$B$35,1),
IF(U348=regle!$C$11,regle!$C$23,
IF(U348=regle!$D$11,regle!$D$23,
IF(U348=regle!$E$11,regle!$E$23,
IF(U348=regle!$F$11,regle!$F$23,
IF(U348=regle!$G$11,regle!$G$23,
IF(U348=regle!$H$11,regle!$H$23,
IF(U348=regle!$I$11,regle!$I$23,
IF(U348=regle!$J$11,regle!$J$23,
IF(U348=regle!$K$11,regle!$K$23,0))))))))))))</f>
        <v>0</v>
      </c>
      <c r="AF348" s="17">
        <f>IF($A348,$J348*(IF(V348=regle!$B$11,regle!$B$23*IF(AO348=-2,1+regle!$B$35,1),
IF(V348=regle!$C$11,regle!$C$23,
IF(V348=regle!$D$11,regle!$D$23,
IF(V348=regle!$E$11,regle!$E$23,
IF(V348=regle!$F$11,regle!$F$23,
IF(V348=regle!$G$11,regle!$G$23,
IF(V348=regle!$H$11,regle!$H$23,
IF(V348=regle!$I$11,regle!$I$23,
IF(V348=regle!$J$11,regle!$J$23,
IF(V348=regle!$K$11,regle!$K$23,0))))))))))))</f>
        <v>0</v>
      </c>
      <c r="AG348" s="17">
        <f>IF($A348,$J348*(IF(W348=regle!$B$11,regle!$B$23*IF(AP348=-2,1+regle!$B$35,1),
IF(W348=regle!$C$11,regle!$C$23,
IF(W348=regle!$D$11,regle!$D$23,
IF(W348=regle!$E$11,regle!$E$23,
IF(W348=regle!$F$11,regle!$F$23,
IF(W348=regle!$G$11,regle!$G$23,
IF(W348=regle!$H$11,regle!$H$23,
IF(W348=regle!$I$11,regle!$I$23,
IF(W348=regle!$J$11,regle!$J$23,
IF(W348=regle!$K$11,regle!$K$23,0))))))))))))</f>
        <v>1882.6240000000003</v>
      </c>
      <c r="AH348" s="17">
        <f>IF($A348,$J348*(IF(X348=regle!$B$11,regle!$B$23*IF(AQ348=-2,1+regle!$B$35,1),
IF(X348=regle!$C$11,regle!$C$23,
IF(X348=regle!$D$11,regle!$D$23,
IF(X348=regle!$E$11,regle!$E$23,
IF(X348=regle!$F$11,regle!$F$23,
IF(X348=regle!$G$11,regle!$G$23,
IF(X348=regle!$H$11,regle!$H$23,
IF(X348=regle!$I$11,regle!$I$23,
IF(X348=regle!$J$11,regle!$J$23,
IF(X348=regle!$K$11,regle!$K$23,0))))))))))))</f>
        <v>0</v>
      </c>
      <c r="AI348" s="17">
        <f>IF($A348,$J348*(IF(Y348=regle!$B$11,regle!$B$23*IF(AR348=-2,1+regle!$B$35,1),
IF(Y348=regle!$C$11,regle!$C$23,
IF(Y348=regle!$D$11,regle!$D$23,
IF(Y348=regle!$E$11,regle!$E$23,
IF(Y348=regle!$F$11,regle!$F$23,
IF(Y348=regle!$G$11,regle!$G$23,
IF(Y348=regle!$H$11,regle!$H$23,
IF(Y348=regle!$I$11,regle!$I$23,
IF(Y348=regle!$J$11,regle!$J$23,
IF(Y348=regle!$K$11,regle!$K$23,0))))))))))))</f>
        <v>0</v>
      </c>
      <c r="AJ348" s="17">
        <f>IF($A348,$J348*(IF(Z348=regle!$B$11,regle!$B$23*IF(AS348=-2,1+regle!$B$35,1),
IF(Z348=regle!$C$11,regle!$C$23,
IF(Z348=regle!$D$11,regle!$D$23,
IF(Z348=regle!$E$11,regle!$E$23,
IF(Z348=regle!$F$11,regle!$F$23,
IF(Z348=regle!$G$11,regle!$G$23,
IF(Z348=regle!$H$11,regle!$H$23,
IF(Z348=regle!$I$11,regle!$I$23,
IF(Z348=regle!$J$11,regle!$J$23,
IF(Z348=regle!$K$11,regle!$K$23,0))))))))))))</f>
        <v>0</v>
      </c>
      <c r="AK348" s="16">
        <f>IF(OR(Q348=regle!$J$11,Q348=regle!$K$11),-2,IF(Q348=regle!$B$11,0,IF(AK$1=$AK$1,IF($O348,-1,regle!$B$2-$M348),IF(AJ348=-1,-1,AJ348+1))))</f>
        <v>21</v>
      </c>
      <c r="AL348" s="16">
        <f>IF(OR(R348=regle!$J$11,R348=regle!$K$11),-2,IF(R348=regle!$B$11,0,IF(AL$1=$AK$1,IF($O348,-1,regle!$B$2-$M348),IF(AK348=-1,-1,AK348+1))))</f>
        <v>22</v>
      </c>
      <c r="AM348" s="16">
        <f>IF(OR(S348=regle!$J$11,S348=regle!$K$11),-2,IF(S348=regle!$B$11,0,IF(AM$1=$AK$1,IF($O348,-1,regle!$B$2-$M348),IF(AL348=-1,-1,AL348+1))))</f>
        <v>23</v>
      </c>
      <c r="AN348" s="16">
        <f>IF(OR(T348=regle!$J$11,T348=regle!$K$11),-2,IF(T348=regle!$B$11,0,IF(AN$1=$AK$1,IF($O348,-1,regle!$B$2-$M348),IF(AM348=-1,-1,AM348+1))))</f>
        <v>24</v>
      </c>
      <c r="AO348" s="16">
        <f>IF(OR(U348=regle!$J$11,U348=regle!$K$11),-2,IF(U348=regle!$B$11,0,IF(AO$1=$AK$1,IF($O348,-1,regle!$B$2-$M348),IF(AN348=-1,-1,AN348+1))))</f>
        <v>25</v>
      </c>
      <c r="AP348" s="16">
        <f>IF(OR(V348=regle!$J$11,V348=regle!$K$11),-2,IF(V348=regle!$B$11,0,IF(AP$1=$AK$1,IF($O348,-1,regle!$B$2-$M348),IF(AO348=-1,-1,AO348+1))))</f>
        <v>26</v>
      </c>
      <c r="AQ348" s="16">
        <f>IF(OR(W348=regle!$J$11,W348=regle!$K$11),-2,IF(W348=regle!$B$11,0,IF(AQ$1=$AK$1,IF($O348,-1,regle!$B$2-$M348),IF(AP348=-1,-1,AP348+1))))</f>
        <v>27</v>
      </c>
      <c r="AR348" s="16">
        <f>IF(OR(X348=regle!$J$11,X348=regle!$K$11),-2,IF(X348=regle!$B$11,0,IF(AR$1=$AK$1,IF($O348,-1,regle!$B$2-$M348),IF(AQ348=-1,-1,AQ348+1))))</f>
        <v>28</v>
      </c>
      <c r="AS348" s="16">
        <f>IF(OR(Y348=regle!$J$11,Y348=regle!$K$11),-2,IF(Y348=regle!$B$11,0,IF(AS$1=$AK$1,IF($O348,-1,regle!$B$2-$M348),IF(AR348=-1,-1,AR348+1))))</f>
        <v>29</v>
      </c>
      <c r="AT348" s="16">
        <f>IF(OR(Z348=regle!$J$11,Z348=regle!$K$11),-2,IF(Z348=regle!$B$11,0,IF(AT$1=$AK$1,IF($O348,-1,regle!$B$2-$M348),IF(AS348=-1,-1,AS348+1))))</f>
        <v>30</v>
      </c>
    </row>
    <row r="349" spans="1:46" x14ac:dyDescent="0.25">
      <c r="A349" t="b">
        <f>modif0!A84</f>
        <v>1</v>
      </c>
      <c r="B349">
        <f>ROW(modif0!B84)</f>
        <v>84</v>
      </c>
      <c r="C349" t="str">
        <f>modif0!D84</f>
        <v>536</v>
      </c>
      <c r="D349" t="str">
        <f>modif0!E84</f>
        <v>LE TUZAN</v>
      </c>
      <c r="E349">
        <f>modif0!F84</f>
        <v>21</v>
      </c>
      <c r="F349" t="str">
        <f>modif0!G84</f>
        <v>METAIRIES DE TABARTON</v>
      </c>
      <c r="G349" t="str">
        <f>modif0!I84</f>
        <v>0A</v>
      </c>
      <c r="H349">
        <f>modif0!J84</f>
        <v>847</v>
      </c>
      <c r="I349" t="str">
        <f>modif0!K84</f>
        <v>a</v>
      </c>
      <c r="J349" s="11">
        <f>modif0!M84</f>
        <v>1.2670999999999999</v>
      </c>
      <c r="K349" s="11" t="str">
        <f>modif0!P84</f>
        <v>SL</v>
      </c>
      <c r="L349" t="str">
        <f>modif0!N84</f>
        <v>PM</v>
      </c>
      <c r="M349">
        <f>modif0!Q84</f>
        <v>2003</v>
      </c>
      <c r="N349" t="str">
        <f>modif0!R84</f>
        <v>SL-PM_2003</v>
      </c>
      <c r="O349" t="b">
        <f>modif0!S84</f>
        <v>0</v>
      </c>
      <c r="P349">
        <v>40</v>
      </c>
      <c r="R349" t="s">
        <v>1805</v>
      </c>
      <c r="W349" t="s">
        <v>1806</v>
      </c>
      <c r="AA349" s="17">
        <f>IF($A349,$J349*(IF(Q349=regle!$B$11,regle!$B$23*IF(AJ349=-2,1+regle!$B$35,1),
IF(Q349=regle!$C$11,regle!$C$23,
IF(Q349=regle!$D$11,regle!$D$23,
IF(Q349=regle!$E$11,regle!$E$23,
IF(Q349=regle!$F$11,regle!$F$23,
IF(Q349=regle!$G$11,regle!$G$23,
IF(Q349=regle!$H$11,regle!$H$23,
IF(Q349=regle!$I$11,regle!$I$23,
IF(Q349=regle!$J$11,regle!$J$23,
IF(Q349=regle!$K$11,regle!$K$23,0))))))))))))</f>
        <v>0</v>
      </c>
      <c r="AB349" s="17">
        <f>IF($A349,$J349*(IF(R349=regle!$B$11,regle!$B$23*IF(AK349=-2,1+regle!$B$35,1),
IF(R349=regle!$C$11,regle!$C$23,
IF(R349=regle!$D$11,regle!$D$23,
IF(R349=regle!$E$11,regle!$E$23,
IF(R349=regle!$F$11,regle!$F$23,
IF(R349=regle!$G$11,regle!$G$23,
IF(R349=regle!$H$11,regle!$H$23,
IF(R349=regle!$I$11,regle!$I$23,
IF(R349=regle!$J$11,regle!$J$23,
IF(R349=regle!$K$11,regle!$K$23,0))))))))))))</f>
        <v>1784.0767999999998</v>
      </c>
      <c r="AC349" s="17">
        <f>IF($A349,$J349*(IF(S349=regle!$B$11,regle!$B$23*IF(AL349=-2,1+regle!$B$35,1),
IF(S349=regle!$C$11,regle!$C$23,
IF(S349=regle!$D$11,regle!$D$23,
IF(S349=regle!$E$11,regle!$E$23,
IF(S349=regle!$F$11,regle!$F$23,
IF(S349=regle!$G$11,regle!$G$23,
IF(S349=regle!$H$11,regle!$H$23,
IF(S349=regle!$I$11,regle!$I$23,
IF(S349=regle!$J$11,regle!$J$23,
IF(S349=regle!$K$11,regle!$K$23,0))))))))))))</f>
        <v>0</v>
      </c>
      <c r="AD349" s="17">
        <f>IF($A349,$J349*(IF(T349=regle!$B$11,regle!$B$23*IF(AM349=-2,1+regle!$B$35,1),
IF(T349=regle!$C$11,regle!$C$23,
IF(T349=regle!$D$11,regle!$D$23,
IF(T349=regle!$E$11,regle!$E$23,
IF(T349=regle!$F$11,regle!$F$23,
IF(T349=regle!$G$11,regle!$G$23,
IF(T349=regle!$H$11,regle!$H$23,
IF(T349=regle!$I$11,regle!$I$23,
IF(T349=regle!$J$11,regle!$J$23,
IF(T349=regle!$K$11,regle!$K$23,0))))))))))))</f>
        <v>0</v>
      </c>
      <c r="AE349" s="17">
        <f>IF($A349,$J349*(IF(U349=regle!$B$11,regle!$B$23*IF(AN349=-2,1+regle!$B$35,1),
IF(U349=regle!$C$11,regle!$C$23,
IF(U349=regle!$D$11,regle!$D$23,
IF(U349=regle!$E$11,regle!$E$23,
IF(U349=regle!$F$11,regle!$F$23,
IF(U349=regle!$G$11,regle!$G$23,
IF(U349=regle!$H$11,regle!$H$23,
IF(U349=regle!$I$11,regle!$I$23,
IF(U349=regle!$J$11,regle!$J$23,
IF(U349=regle!$K$11,regle!$K$23,0))))))))))))</f>
        <v>0</v>
      </c>
      <c r="AF349" s="17">
        <f>IF($A349,$J349*(IF(V349=regle!$B$11,regle!$B$23*IF(AO349=-2,1+regle!$B$35,1),
IF(V349=regle!$C$11,regle!$C$23,
IF(V349=regle!$D$11,regle!$D$23,
IF(V349=regle!$E$11,regle!$E$23,
IF(V349=regle!$F$11,regle!$F$23,
IF(V349=regle!$G$11,regle!$G$23,
IF(V349=regle!$H$11,regle!$H$23,
IF(V349=regle!$I$11,regle!$I$23,
IF(V349=regle!$J$11,regle!$J$23,
IF(V349=regle!$K$11,regle!$K$23,0))))))))))))</f>
        <v>0</v>
      </c>
      <c r="AG349" s="17">
        <f>IF($A349,$J349*(IF(W349=regle!$B$11,regle!$B$23*IF(AP349=-2,1+regle!$B$35,1),
IF(W349=regle!$C$11,regle!$C$23,
IF(W349=regle!$D$11,regle!$D$23,
IF(W349=regle!$E$11,regle!$E$23,
IF(W349=regle!$F$11,regle!$F$23,
IF(W349=regle!$G$11,regle!$G$23,
IF(W349=regle!$H$11,regle!$H$23,
IF(W349=regle!$I$11,regle!$I$23,
IF(W349=regle!$J$11,regle!$J$23,
IF(W349=regle!$K$11,regle!$K$23,0))))))))))))</f>
        <v>1621.8879999999999</v>
      </c>
      <c r="AH349" s="17">
        <f>IF($A349,$J349*(IF(X349=regle!$B$11,regle!$B$23*IF(AQ349=-2,1+regle!$B$35,1),
IF(X349=regle!$C$11,regle!$C$23,
IF(X349=regle!$D$11,regle!$D$23,
IF(X349=regle!$E$11,regle!$E$23,
IF(X349=regle!$F$11,regle!$F$23,
IF(X349=regle!$G$11,regle!$G$23,
IF(X349=regle!$H$11,regle!$H$23,
IF(X349=regle!$I$11,regle!$I$23,
IF(X349=regle!$J$11,regle!$J$23,
IF(X349=regle!$K$11,regle!$K$23,0))))))))))))</f>
        <v>0</v>
      </c>
      <c r="AI349" s="17">
        <f>IF($A349,$J349*(IF(Y349=regle!$B$11,regle!$B$23*IF(AR349=-2,1+regle!$B$35,1),
IF(Y349=regle!$C$11,regle!$C$23,
IF(Y349=regle!$D$11,regle!$D$23,
IF(Y349=regle!$E$11,regle!$E$23,
IF(Y349=regle!$F$11,regle!$F$23,
IF(Y349=regle!$G$11,regle!$G$23,
IF(Y349=regle!$H$11,regle!$H$23,
IF(Y349=regle!$I$11,regle!$I$23,
IF(Y349=regle!$J$11,regle!$J$23,
IF(Y349=regle!$K$11,regle!$K$23,0))))))))))))</f>
        <v>0</v>
      </c>
      <c r="AJ349" s="17">
        <f>IF($A349,$J349*(IF(Z349=regle!$B$11,regle!$B$23*IF(AS349=-2,1+regle!$B$35,1),
IF(Z349=regle!$C$11,regle!$C$23,
IF(Z349=regle!$D$11,regle!$D$23,
IF(Z349=regle!$E$11,regle!$E$23,
IF(Z349=regle!$F$11,regle!$F$23,
IF(Z349=regle!$G$11,regle!$G$23,
IF(Z349=regle!$H$11,regle!$H$23,
IF(Z349=regle!$I$11,regle!$I$23,
IF(Z349=regle!$J$11,regle!$J$23,
IF(Z349=regle!$K$11,regle!$K$23,0))))))))))))</f>
        <v>0</v>
      </c>
      <c r="AK349" s="16">
        <f>IF(OR(Q349=regle!$J$11,Q349=regle!$K$11),-2,IF(Q349=regle!$B$11,0,IF(AK$1=$AK$1,IF($O349,-1,regle!$B$2-$M349),IF(AJ349=-1,-1,AJ349+1))))</f>
        <v>21</v>
      </c>
      <c r="AL349" s="16">
        <f>IF(OR(R349=regle!$J$11,R349=regle!$K$11),-2,IF(R349=regle!$B$11,0,IF(AL$1=$AK$1,IF($O349,-1,regle!$B$2-$M349),IF(AK349=-1,-1,AK349+1))))</f>
        <v>22</v>
      </c>
      <c r="AM349" s="16">
        <f>IF(OR(S349=regle!$J$11,S349=regle!$K$11),-2,IF(S349=regle!$B$11,0,IF(AM$1=$AK$1,IF($O349,-1,regle!$B$2-$M349),IF(AL349=-1,-1,AL349+1))))</f>
        <v>23</v>
      </c>
      <c r="AN349" s="16">
        <f>IF(OR(T349=regle!$J$11,T349=regle!$K$11),-2,IF(T349=regle!$B$11,0,IF(AN$1=$AK$1,IF($O349,-1,regle!$B$2-$M349),IF(AM349=-1,-1,AM349+1))))</f>
        <v>24</v>
      </c>
      <c r="AO349" s="16">
        <f>IF(OR(U349=regle!$J$11,U349=regle!$K$11),-2,IF(U349=regle!$B$11,0,IF(AO$1=$AK$1,IF($O349,-1,regle!$B$2-$M349),IF(AN349=-1,-1,AN349+1))))</f>
        <v>25</v>
      </c>
      <c r="AP349" s="16">
        <f>IF(OR(V349=regle!$J$11,V349=regle!$K$11),-2,IF(V349=regle!$B$11,0,IF(AP$1=$AK$1,IF($O349,-1,regle!$B$2-$M349),IF(AO349=-1,-1,AO349+1))))</f>
        <v>26</v>
      </c>
      <c r="AQ349" s="16">
        <f>IF(OR(W349=regle!$J$11,W349=regle!$K$11),-2,IF(W349=regle!$B$11,0,IF(AQ$1=$AK$1,IF($O349,-1,regle!$B$2-$M349),IF(AP349=-1,-1,AP349+1))))</f>
        <v>27</v>
      </c>
      <c r="AR349" s="16">
        <f>IF(OR(X349=regle!$J$11,X349=regle!$K$11),-2,IF(X349=regle!$B$11,0,IF(AR$1=$AK$1,IF($O349,-1,regle!$B$2-$M349),IF(AQ349=-1,-1,AQ349+1))))</f>
        <v>28</v>
      </c>
      <c r="AS349" s="16">
        <f>IF(OR(Y349=regle!$J$11,Y349=regle!$K$11),-2,IF(Y349=regle!$B$11,0,IF(AS$1=$AK$1,IF($O349,-1,regle!$B$2-$M349),IF(AR349=-1,-1,AR349+1))))</f>
        <v>29</v>
      </c>
      <c r="AT349" s="16">
        <f>IF(OR(Z349=regle!$J$11,Z349=regle!$K$11),-2,IF(Z349=regle!$B$11,0,IF(AT$1=$AK$1,IF($O349,-1,regle!$B$2-$M349),IF(AS349=-1,-1,AS349+1))))</f>
        <v>30</v>
      </c>
    </row>
    <row r="350" spans="1:46" x14ac:dyDescent="0.25">
      <c r="A350" t="b">
        <f>modif0!A57</f>
        <v>1</v>
      </c>
      <c r="B350">
        <f>ROW(modif0!B57)</f>
        <v>57</v>
      </c>
      <c r="C350" t="str">
        <f>modif0!D57</f>
        <v>536</v>
      </c>
      <c r="D350" t="str">
        <f>modif0!E57</f>
        <v>LE TUZAN</v>
      </c>
      <c r="E350">
        <f>modif0!F57</f>
        <v>21</v>
      </c>
      <c r="F350" t="str">
        <f>modif0!G57</f>
        <v>METAIRIES DE TABARTON</v>
      </c>
      <c r="G350" t="str">
        <f>modif0!I57</f>
        <v>0A</v>
      </c>
      <c r="H350">
        <f>modif0!J57</f>
        <v>523</v>
      </c>
      <c r="I350" t="str">
        <f>modif0!K57</f>
        <v>al</v>
      </c>
      <c r="J350" s="11">
        <f>modif0!M57</f>
        <v>0.99509999999999998</v>
      </c>
      <c r="K350" s="11" t="str">
        <f>modif0!P57</f>
        <v>SL</v>
      </c>
      <c r="L350" t="str">
        <f>modif0!N57</f>
        <v>PM</v>
      </c>
      <c r="M350">
        <f>modif0!Q57</f>
        <v>2003</v>
      </c>
      <c r="N350" t="str">
        <f>modif0!R57</f>
        <v>SL-PM_2003</v>
      </c>
      <c r="O350" t="b">
        <f>modif0!S57</f>
        <v>0</v>
      </c>
      <c r="P350">
        <v>40</v>
      </c>
      <c r="R350" t="s">
        <v>1805</v>
      </c>
      <c r="W350" t="s">
        <v>1806</v>
      </c>
      <c r="AA350" s="17">
        <f>IF($A350,$J350*(IF(Q350=regle!$B$11,regle!$B$23*IF(AJ350=-2,1+regle!$B$35,1),
IF(Q350=regle!$C$11,regle!$C$23,
IF(Q350=regle!$D$11,regle!$D$23,
IF(Q350=regle!$E$11,regle!$E$23,
IF(Q350=regle!$F$11,regle!$F$23,
IF(Q350=regle!$G$11,regle!$G$23,
IF(Q350=regle!$H$11,regle!$H$23,
IF(Q350=regle!$I$11,regle!$I$23,
IF(Q350=regle!$J$11,regle!$J$23,
IF(Q350=regle!$K$11,regle!$K$23,0))))))))))))</f>
        <v>0</v>
      </c>
      <c r="AB350" s="17">
        <f>IF($A350,$J350*(IF(R350=regle!$B$11,regle!$B$23*IF(AK350=-2,1+regle!$B$35,1),
IF(R350=regle!$C$11,regle!$C$23,
IF(R350=regle!$D$11,regle!$D$23,
IF(R350=regle!$E$11,regle!$E$23,
IF(R350=regle!$F$11,regle!$F$23,
IF(R350=regle!$G$11,regle!$G$23,
IF(R350=regle!$H$11,regle!$H$23,
IF(R350=regle!$I$11,regle!$I$23,
IF(R350=regle!$J$11,regle!$J$23,
IF(R350=regle!$K$11,regle!$K$23,0))))))))))))</f>
        <v>1401.1007999999999</v>
      </c>
      <c r="AC350" s="17">
        <f>IF($A350,$J350*(IF(S350=regle!$B$11,regle!$B$23*IF(AL350=-2,1+regle!$B$35,1),
IF(S350=regle!$C$11,regle!$C$23,
IF(S350=regle!$D$11,regle!$D$23,
IF(S350=regle!$E$11,regle!$E$23,
IF(S350=regle!$F$11,regle!$F$23,
IF(S350=regle!$G$11,regle!$G$23,
IF(S350=regle!$H$11,regle!$H$23,
IF(S350=regle!$I$11,regle!$I$23,
IF(S350=regle!$J$11,regle!$J$23,
IF(S350=regle!$K$11,regle!$K$23,0))))))))))))</f>
        <v>0</v>
      </c>
      <c r="AD350" s="17">
        <f>IF($A350,$J350*(IF(T350=regle!$B$11,regle!$B$23*IF(AM350=-2,1+regle!$B$35,1),
IF(T350=regle!$C$11,regle!$C$23,
IF(T350=regle!$D$11,regle!$D$23,
IF(T350=regle!$E$11,regle!$E$23,
IF(T350=regle!$F$11,regle!$F$23,
IF(T350=regle!$G$11,regle!$G$23,
IF(T350=regle!$H$11,regle!$H$23,
IF(T350=regle!$I$11,regle!$I$23,
IF(T350=regle!$J$11,regle!$J$23,
IF(T350=regle!$K$11,regle!$K$23,0))))))))))))</f>
        <v>0</v>
      </c>
      <c r="AE350" s="17">
        <f>IF($A350,$J350*(IF(U350=regle!$B$11,regle!$B$23*IF(AN350=-2,1+regle!$B$35,1),
IF(U350=regle!$C$11,regle!$C$23,
IF(U350=regle!$D$11,regle!$D$23,
IF(U350=regle!$E$11,regle!$E$23,
IF(U350=regle!$F$11,regle!$F$23,
IF(U350=regle!$G$11,regle!$G$23,
IF(U350=regle!$H$11,regle!$H$23,
IF(U350=regle!$I$11,regle!$I$23,
IF(U350=regle!$J$11,regle!$J$23,
IF(U350=regle!$K$11,regle!$K$23,0))))))))))))</f>
        <v>0</v>
      </c>
      <c r="AF350" s="17">
        <f>IF($A350,$J350*(IF(V350=regle!$B$11,regle!$B$23*IF(AO350=-2,1+regle!$B$35,1),
IF(V350=regle!$C$11,regle!$C$23,
IF(V350=regle!$D$11,regle!$D$23,
IF(V350=regle!$E$11,regle!$E$23,
IF(V350=regle!$F$11,regle!$F$23,
IF(V350=regle!$G$11,regle!$G$23,
IF(V350=regle!$H$11,regle!$H$23,
IF(V350=regle!$I$11,regle!$I$23,
IF(V350=regle!$J$11,regle!$J$23,
IF(V350=regle!$K$11,regle!$K$23,0))))))))))))</f>
        <v>0</v>
      </c>
      <c r="AG350" s="17">
        <f>IF($A350,$J350*(IF(W350=regle!$B$11,regle!$B$23*IF(AP350=-2,1+regle!$B$35,1),
IF(W350=regle!$C$11,regle!$C$23,
IF(W350=regle!$D$11,regle!$D$23,
IF(W350=regle!$E$11,regle!$E$23,
IF(W350=regle!$F$11,regle!$F$23,
IF(W350=regle!$G$11,regle!$G$23,
IF(W350=regle!$H$11,regle!$H$23,
IF(W350=regle!$I$11,regle!$I$23,
IF(W350=regle!$J$11,regle!$J$23,
IF(W350=regle!$K$11,regle!$K$23,0))))))))))))</f>
        <v>1273.7280000000001</v>
      </c>
      <c r="AH350" s="17">
        <f>IF($A350,$J350*(IF(X350=regle!$B$11,regle!$B$23*IF(AQ350=-2,1+regle!$B$35,1),
IF(X350=regle!$C$11,regle!$C$23,
IF(X350=regle!$D$11,regle!$D$23,
IF(X350=regle!$E$11,regle!$E$23,
IF(X350=regle!$F$11,regle!$F$23,
IF(X350=regle!$G$11,regle!$G$23,
IF(X350=regle!$H$11,regle!$H$23,
IF(X350=regle!$I$11,regle!$I$23,
IF(X350=regle!$J$11,regle!$J$23,
IF(X350=regle!$K$11,regle!$K$23,0))))))))))))</f>
        <v>0</v>
      </c>
      <c r="AI350" s="17">
        <f>IF($A350,$J350*(IF(Y350=regle!$B$11,regle!$B$23*IF(AR350=-2,1+regle!$B$35,1),
IF(Y350=regle!$C$11,regle!$C$23,
IF(Y350=regle!$D$11,regle!$D$23,
IF(Y350=regle!$E$11,regle!$E$23,
IF(Y350=regle!$F$11,regle!$F$23,
IF(Y350=regle!$G$11,regle!$G$23,
IF(Y350=regle!$H$11,regle!$H$23,
IF(Y350=regle!$I$11,regle!$I$23,
IF(Y350=regle!$J$11,regle!$J$23,
IF(Y350=regle!$K$11,regle!$K$23,0))))))))))))</f>
        <v>0</v>
      </c>
      <c r="AJ350" s="17">
        <f>IF($A350,$J350*(IF(Z350=regle!$B$11,regle!$B$23*IF(AS350=-2,1+regle!$B$35,1),
IF(Z350=regle!$C$11,regle!$C$23,
IF(Z350=regle!$D$11,regle!$D$23,
IF(Z350=regle!$E$11,regle!$E$23,
IF(Z350=regle!$F$11,regle!$F$23,
IF(Z350=regle!$G$11,regle!$G$23,
IF(Z350=regle!$H$11,regle!$H$23,
IF(Z350=regle!$I$11,regle!$I$23,
IF(Z350=regle!$J$11,regle!$J$23,
IF(Z350=regle!$K$11,regle!$K$23,0))))))))))))</f>
        <v>0</v>
      </c>
      <c r="AK350" s="16">
        <f>IF(OR(Q350=regle!$J$11,Q350=regle!$K$11),-2,IF(Q350=regle!$B$11,0,IF(AK$1=$AK$1,IF($O350,-1,regle!$B$2-$M350),IF(AJ350=-1,-1,AJ350+1))))</f>
        <v>21</v>
      </c>
      <c r="AL350" s="16">
        <f>IF(OR(R350=regle!$J$11,R350=regle!$K$11),-2,IF(R350=regle!$B$11,0,IF(AL$1=$AK$1,IF($O350,-1,regle!$B$2-$M350),IF(AK350=-1,-1,AK350+1))))</f>
        <v>22</v>
      </c>
      <c r="AM350" s="16">
        <f>IF(OR(S350=regle!$J$11,S350=regle!$K$11),-2,IF(S350=regle!$B$11,0,IF(AM$1=$AK$1,IF($O350,-1,regle!$B$2-$M350),IF(AL350=-1,-1,AL350+1))))</f>
        <v>23</v>
      </c>
      <c r="AN350" s="16">
        <f>IF(OR(T350=regle!$J$11,T350=regle!$K$11),-2,IF(T350=regle!$B$11,0,IF(AN$1=$AK$1,IF($O350,-1,regle!$B$2-$M350),IF(AM350=-1,-1,AM350+1))))</f>
        <v>24</v>
      </c>
      <c r="AO350" s="16">
        <f>IF(OR(U350=regle!$J$11,U350=regle!$K$11),-2,IF(U350=regle!$B$11,0,IF(AO$1=$AK$1,IF($O350,-1,regle!$B$2-$M350),IF(AN350=-1,-1,AN350+1))))</f>
        <v>25</v>
      </c>
      <c r="AP350" s="16">
        <f>IF(OR(V350=regle!$J$11,V350=regle!$K$11),-2,IF(V350=regle!$B$11,0,IF(AP$1=$AK$1,IF($O350,-1,regle!$B$2-$M350),IF(AO350=-1,-1,AO350+1))))</f>
        <v>26</v>
      </c>
      <c r="AQ350" s="16">
        <f>IF(OR(W350=regle!$J$11,W350=regle!$K$11),-2,IF(W350=regle!$B$11,0,IF(AQ$1=$AK$1,IF($O350,-1,regle!$B$2-$M350),IF(AP350=-1,-1,AP350+1))))</f>
        <v>27</v>
      </c>
      <c r="AR350" s="16">
        <f>IF(OR(X350=regle!$J$11,X350=regle!$K$11),-2,IF(X350=regle!$B$11,0,IF(AR$1=$AK$1,IF($O350,-1,regle!$B$2-$M350),IF(AQ350=-1,-1,AQ350+1))))</f>
        <v>28</v>
      </c>
      <c r="AS350" s="16">
        <f>IF(OR(Y350=regle!$J$11,Y350=regle!$K$11),-2,IF(Y350=regle!$B$11,0,IF(AS$1=$AK$1,IF($O350,-1,regle!$B$2-$M350),IF(AR350=-1,-1,AR350+1))))</f>
        <v>29</v>
      </c>
      <c r="AT350" s="16">
        <f>IF(OR(Z350=regle!$J$11,Z350=regle!$K$11),-2,IF(Z350=regle!$B$11,0,IF(AT$1=$AK$1,IF($O350,-1,regle!$B$2-$M350),IF(AS350=-1,-1,AS350+1))))</f>
        <v>30</v>
      </c>
    </row>
    <row r="351" spans="1:46" x14ac:dyDescent="0.25">
      <c r="A351" t="b">
        <f>modif0!A30</f>
        <v>1</v>
      </c>
      <c r="B351">
        <f>ROW(modif0!B30)</f>
        <v>30</v>
      </c>
      <c r="C351" t="str">
        <f>modif0!D30</f>
        <v>536</v>
      </c>
      <c r="D351" t="str">
        <f>modif0!E30</f>
        <v>LE TUZAN</v>
      </c>
      <c r="E351">
        <f>modif0!F30</f>
        <v>21</v>
      </c>
      <c r="F351" t="str">
        <f>modif0!G30</f>
        <v>METAIRIES DE TABARTON</v>
      </c>
      <c r="G351" t="str">
        <f>modif0!I30</f>
        <v>0A</v>
      </c>
      <c r="H351">
        <f>modif0!J30</f>
        <v>413</v>
      </c>
      <c r="I351" t="str">
        <f>modif0!K30</f>
        <v>j</v>
      </c>
      <c r="J351" s="11">
        <f>modif0!M30</f>
        <v>0.70709999999999995</v>
      </c>
      <c r="K351" s="11" t="str">
        <f>modif0!P30</f>
        <v>SL</v>
      </c>
      <c r="L351" t="str">
        <f>modif0!N30</f>
        <v>PM</v>
      </c>
      <c r="M351">
        <f>modif0!Q30</f>
        <v>2003</v>
      </c>
      <c r="N351" t="str">
        <f>modif0!R30</f>
        <v>SL-PM_2003</v>
      </c>
      <c r="O351" t="b">
        <f>modif0!S30</f>
        <v>0</v>
      </c>
      <c r="P351">
        <v>40</v>
      </c>
      <c r="R351" t="s">
        <v>1805</v>
      </c>
      <c r="W351" t="s">
        <v>1806</v>
      </c>
      <c r="AA351" s="17">
        <f>IF($A351,$J351*(IF(Q351=regle!$B$11,regle!$B$23*IF(AJ351=-2,1+regle!$B$35,1),
IF(Q351=regle!$C$11,regle!$C$23,
IF(Q351=regle!$D$11,regle!$D$23,
IF(Q351=regle!$E$11,regle!$E$23,
IF(Q351=regle!$F$11,regle!$F$23,
IF(Q351=regle!$G$11,regle!$G$23,
IF(Q351=regle!$H$11,regle!$H$23,
IF(Q351=regle!$I$11,regle!$I$23,
IF(Q351=regle!$J$11,regle!$J$23,
IF(Q351=regle!$K$11,regle!$K$23,0))))))))))))</f>
        <v>0</v>
      </c>
      <c r="AB351" s="17">
        <f>IF($A351,$J351*(IF(R351=regle!$B$11,regle!$B$23*IF(AK351=-2,1+regle!$B$35,1),
IF(R351=regle!$C$11,regle!$C$23,
IF(R351=regle!$D$11,regle!$D$23,
IF(R351=regle!$E$11,regle!$E$23,
IF(R351=regle!$F$11,regle!$F$23,
IF(R351=regle!$G$11,regle!$G$23,
IF(R351=regle!$H$11,regle!$H$23,
IF(R351=regle!$I$11,regle!$I$23,
IF(R351=regle!$J$11,regle!$J$23,
IF(R351=regle!$K$11,regle!$K$23,0))))))))))))</f>
        <v>995.59679999999992</v>
      </c>
      <c r="AC351" s="17">
        <f>IF($A351,$J351*(IF(S351=regle!$B$11,regle!$B$23*IF(AL351=-2,1+regle!$B$35,1),
IF(S351=regle!$C$11,regle!$C$23,
IF(S351=regle!$D$11,regle!$D$23,
IF(S351=regle!$E$11,regle!$E$23,
IF(S351=regle!$F$11,regle!$F$23,
IF(S351=regle!$G$11,regle!$G$23,
IF(S351=regle!$H$11,regle!$H$23,
IF(S351=regle!$I$11,regle!$I$23,
IF(S351=regle!$J$11,regle!$J$23,
IF(S351=regle!$K$11,regle!$K$23,0))))))))))))</f>
        <v>0</v>
      </c>
      <c r="AD351" s="17">
        <f>IF($A351,$J351*(IF(T351=regle!$B$11,regle!$B$23*IF(AM351=-2,1+regle!$B$35,1),
IF(T351=regle!$C$11,regle!$C$23,
IF(T351=regle!$D$11,regle!$D$23,
IF(T351=regle!$E$11,regle!$E$23,
IF(T351=regle!$F$11,regle!$F$23,
IF(T351=regle!$G$11,regle!$G$23,
IF(T351=regle!$H$11,regle!$H$23,
IF(T351=regle!$I$11,regle!$I$23,
IF(T351=regle!$J$11,regle!$J$23,
IF(T351=regle!$K$11,regle!$K$23,0))))))))))))</f>
        <v>0</v>
      </c>
      <c r="AE351" s="17">
        <f>IF($A351,$J351*(IF(U351=regle!$B$11,regle!$B$23*IF(AN351=-2,1+regle!$B$35,1),
IF(U351=regle!$C$11,regle!$C$23,
IF(U351=regle!$D$11,regle!$D$23,
IF(U351=regle!$E$11,regle!$E$23,
IF(U351=regle!$F$11,regle!$F$23,
IF(U351=regle!$G$11,regle!$G$23,
IF(U351=regle!$H$11,regle!$H$23,
IF(U351=regle!$I$11,regle!$I$23,
IF(U351=regle!$J$11,regle!$J$23,
IF(U351=regle!$K$11,regle!$K$23,0))))))))))))</f>
        <v>0</v>
      </c>
      <c r="AF351" s="17">
        <f>IF($A351,$J351*(IF(V351=regle!$B$11,regle!$B$23*IF(AO351=-2,1+regle!$B$35,1),
IF(V351=regle!$C$11,regle!$C$23,
IF(V351=regle!$D$11,regle!$D$23,
IF(V351=regle!$E$11,regle!$E$23,
IF(V351=regle!$F$11,regle!$F$23,
IF(V351=regle!$G$11,regle!$G$23,
IF(V351=regle!$H$11,regle!$H$23,
IF(V351=regle!$I$11,regle!$I$23,
IF(V351=regle!$J$11,regle!$J$23,
IF(V351=regle!$K$11,regle!$K$23,0))))))))))))</f>
        <v>0</v>
      </c>
      <c r="AG351" s="17">
        <f>IF($A351,$J351*(IF(W351=regle!$B$11,regle!$B$23*IF(AP351=-2,1+regle!$B$35,1),
IF(W351=regle!$C$11,regle!$C$23,
IF(W351=regle!$D$11,regle!$D$23,
IF(W351=regle!$E$11,regle!$E$23,
IF(W351=regle!$F$11,regle!$F$23,
IF(W351=regle!$G$11,regle!$G$23,
IF(W351=regle!$H$11,regle!$H$23,
IF(W351=regle!$I$11,regle!$I$23,
IF(W351=regle!$J$11,regle!$J$23,
IF(W351=regle!$K$11,regle!$K$23,0))))))))))))</f>
        <v>905.08799999999997</v>
      </c>
      <c r="AH351" s="17">
        <f>IF($A351,$J351*(IF(X351=regle!$B$11,regle!$B$23*IF(AQ351=-2,1+regle!$B$35,1),
IF(X351=regle!$C$11,regle!$C$23,
IF(X351=regle!$D$11,regle!$D$23,
IF(X351=regle!$E$11,regle!$E$23,
IF(X351=regle!$F$11,regle!$F$23,
IF(X351=regle!$G$11,regle!$G$23,
IF(X351=regle!$H$11,regle!$H$23,
IF(X351=regle!$I$11,regle!$I$23,
IF(X351=regle!$J$11,regle!$J$23,
IF(X351=regle!$K$11,regle!$K$23,0))))))))))))</f>
        <v>0</v>
      </c>
      <c r="AI351" s="17">
        <f>IF($A351,$J351*(IF(Y351=regle!$B$11,regle!$B$23*IF(AR351=-2,1+regle!$B$35,1),
IF(Y351=regle!$C$11,regle!$C$23,
IF(Y351=regle!$D$11,regle!$D$23,
IF(Y351=regle!$E$11,regle!$E$23,
IF(Y351=regle!$F$11,regle!$F$23,
IF(Y351=regle!$G$11,regle!$G$23,
IF(Y351=regle!$H$11,regle!$H$23,
IF(Y351=regle!$I$11,regle!$I$23,
IF(Y351=regle!$J$11,regle!$J$23,
IF(Y351=regle!$K$11,regle!$K$23,0))))))))))))</f>
        <v>0</v>
      </c>
      <c r="AJ351" s="17">
        <f>IF($A351,$J351*(IF(Z351=regle!$B$11,regle!$B$23*IF(AS351=-2,1+regle!$B$35,1),
IF(Z351=regle!$C$11,regle!$C$23,
IF(Z351=regle!$D$11,regle!$D$23,
IF(Z351=regle!$E$11,regle!$E$23,
IF(Z351=regle!$F$11,regle!$F$23,
IF(Z351=regle!$G$11,regle!$G$23,
IF(Z351=regle!$H$11,regle!$H$23,
IF(Z351=regle!$I$11,regle!$I$23,
IF(Z351=regle!$J$11,regle!$J$23,
IF(Z351=regle!$K$11,regle!$K$23,0))))))))))))</f>
        <v>0</v>
      </c>
      <c r="AK351" s="16">
        <f>IF(OR(Q351=regle!$J$11,Q351=regle!$K$11),-2,IF(Q351=regle!$B$11,0,IF(AK$1=$AK$1,IF($O351,-1,regle!$B$2-$M351),IF(AJ351=-1,-1,AJ351+1))))</f>
        <v>21</v>
      </c>
      <c r="AL351" s="16">
        <f>IF(OR(R351=regle!$J$11,R351=regle!$K$11),-2,IF(R351=regle!$B$11,0,IF(AL$1=$AK$1,IF($O351,-1,regle!$B$2-$M351),IF(AK351=-1,-1,AK351+1))))</f>
        <v>22</v>
      </c>
      <c r="AM351" s="16">
        <f>IF(OR(S351=regle!$J$11,S351=regle!$K$11),-2,IF(S351=regle!$B$11,0,IF(AM$1=$AK$1,IF($O351,-1,regle!$B$2-$M351),IF(AL351=-1,-1,AL351+1))))</f>
        <v>23</v>
      </c>
      <c r="AN351" s="16">
        <f>IF(OR(T351=regle!$J$11,T351=regle!$K$11),-2,IF(T351=regle!$B$11,0,IF(AN$1=$AK$1,IF($O351,-1,regle!$B$2-$M351),IF(AM351=-1,-1,AM351+1))))</f>
        <v>24</v>
      </c>
      <c r="AO351" s="16">
        <f>IF(OR(U351=regle!$J$11,U351=regle!$K$11),-2,IF(U351=regle!$B$11,0,IF(AO$1=$AK$1,IF($O351,-1,regle!$B$2-$M351),IF(AN351=-1,-1,AN351+1))))</f>
        <v>25</v>
      </c>
      <c r="AP351" s="16">
        <f>IF(OR(V351=regle!$J$11,V351=regle!$K$11),-2,IF(V351=regle!$B$11,0,IF(AP$1=$AK$1,IF($O351,-1,regle!$B$2-$M351),IF(AO351=-1,-1,AO351+1))))</f>
        <v>26</v>
      </c>
      <c r="AQ351" s="16">
        <f>IF(OR(W351=regle!$J$11,W351=regle!$K$11),-2,IF(W351=regle!$B$11,0,IF(AQ$1=$AK$1,IF($O351,-1,regle!$B$2-$M351),IF(AP351=-1,-1,AP351+1))))</f>
        <v>27</v>
      </c>
      <c r="AR351" s="16">
        <f>IF(OR(X351=regle!$J$11,X351=regle!$K$11),-2,IF(X351=regle!$B$11,0,IF(AR$1=$AK$1,IF($O351,-1,regle!$B$2-$M351),IF(AQ351=-1,-1,AQ351+1))))</f>
        <v>28</v>
      </c>
      <c r="AS351" s="16">
        <f>IF(OR(Y351=regle!$J$11,Y351=regle!$K$11),-2,IF(Y351=regle!$B$11,0,IF(AS$1=$AK$1,IF($O351,-1,regle!$B$2-$M351),IF(AR351=-1,-1,AR351+1))))</f>
        <v>29</v>
      </c>
      <c r="AT351" s="16">
        <f>IF(OR(Z351=regle!$J$11,Z351=regle!$K$11),-2,IF(Z351=regle!$B$11,0,IF(AT$1=$AK$1,IF($O351,-1,regle!$B$2-$M351),IF(AS351=-1,-1,AS351+1))))</f>
        <v>30</v>
      </c>
    </row>
    <row r="352" spans="1:46" x14ac:dyDescent="0.25">
      <c r="A352" t="b">
        <f>modif0!A46</f>
        <v>1</v>
      </c>
      <c r="B352">
        <f>ROW(modif0!B46)</f>
        <v>46</v>
      </c>
      <c r="C352" t="str">
        <f>modif0!D46</f>
        <v>536</v>
      </c>
      <c r="D352" t="str">
        <f>modif0!E46</f>
        <v>LE TUZAN</v>
      </c>
      <c r="E352">
        <f>modif0!F46</f>
        <v>21</v>
      </c>
      <c r="F352" t="str">
        <f>modif0!G46</f>
        <v>METAIRIES DE TABARTON</v>
      </c>
      <c r="G352" t="str">
        <f>modif0!I46</f>
        <v>0A</v>
      </c>
      <c r="H352">
        <f>modif0!J46</f>
        <v>424</v>
      </c>
      <c r="I352" t="str">
        <f>modif0!K46</f>
        <v>a</v>
      </c>
      <c r="J352" s="11">
        <f>modif0!M46</f>
        <v>0.69040000000000001</v>
      </c>
      <c r="K352" s="11" t="str">
        <f>modif0!P46</f>
        <v>SL</v>
      </c>
      <c r="L352" t="str">
        <f>modif0!N46</f>
        <v>PM</v>
      </c>
      <c r="M352">
        <f>modif0!Q46</f>
        <v>2003</v>
      </c>
      <c r="N352" t="str">
        <f>modif0!R46</f>
        <v>SL-PM_2003</v>
      </c>
      <c r="O352" t="b">
        <f>modif0!S46</f>
        <v>0</v>
      </c>
      <c r="P352">
        <v>40</v>
      </c>
      <c r="R352" t="s">
        <v>1805</v>
      </c>
      <c r="W352" t="s">
        <v>1806</v>
      </c>
      <c r="AA352" s="17">
        <f>IF($A352,$J352*(IF(Q352=regle!$B$11,regle!$B$23*IF(AJ352=-2,1+regle!$B$35,1),
IF(Q352=regle!$C$11,regle!$C$23,
IF(Q352=regle!$D$11,regle!$D$23,
IF(Q352=regle!$E$11,regle!$E$23,
IF(Q352=regle!$F$11,regle!$F$23,
IF(Q352=regle!$G$11,regle!$G$23,
IF(Q352=regle!$H$11,regle!$H$23,
IF(Q352=regle!$I$11,regle!$I$23,
IF(Q352=regle!$J$11,regle!$J$23,
IF(Q352=regle!$K$11,regle!$K$23,0))))))))))))</f>
        <v>0</v>
      </c>
      <c r="AB352" s="17">
        <f>IF($A352,$J352*(IF(R352=regle!$B$11,regle!$B$23*IF(AK352=-2,1+regle!$B$35,1),
IF(R352=regle!$C$11,regle!$C$23,
IF(R352=regle!$D$11,regle!$D$23,
IF(R352=regle!$E$11,regle!$E$23,
IF(R352=regle!$F$11,regle!$F$23,
IF(R352=regle!$G$11,regle!$G$23,
IF(R352=regle!$H$11,regle!$H$23,
IF(R352=regle!$I$11,regle!$I$23,
IF(R352=regle!$J$11,regle!$J$23,
IF(R352=regle!$K$11,regle!$K$23,0))))))))))))</f>
        <v>972.08320000000003</v>
      </c>
      <c r="AC352" s="17">
        <f>IF($A352,$J352*(IF(S352=regle!$B$11,regle!$B$23*IF(AL352=-2,1+regle!$B$35,1),
IF(S352=regle!$C$11,regle!$C$23,
IF(S352=regle!$D$11,regle!$D$23,
IF(S352=regle!$E$11,regle!$E$23,
IF(S352=regle!$F$11,regle!$F$23,
IF(S352=regle!$G$11,regle!$G$23,
IF(S352=regle!$H$11,regle!$H$23,
IF(S352=regle!$I$11,regle!$I$23,
IF(S352=regle!$J$11,regle!$J$23,
IF(S352=regle!$K$11,regle!$K$23,0))))))))))))</f>
        <v>0</v>
      </c>
      <c r="AD352" s="17">
        <f>IF($A352,$J352*(IF(T352=regle!$B$11,regle!$B$23*IF(AM352=-2,1+regle!$B$35,1),
IF(T352=regle!$C$11,regle!$C$23,
IF(T352=regle!$D$11,regle!$D$23,
IF(T352=regle!$E$11,regle!$E$23,
IF(T352=regle!$F$11,regle!$F$23,
IF(T352=regle!$G$11,regle!$G$23,
IF(T352=regle!$H$11,regle!$H$23,
IF(T352=regle!$I$11,regle!$I$23,
IF(T352=regle!$J$11,regle!$J$23,
IF(T352=regle!$K$11,regle!$K$23,0))))))))))))</f>
        <v>0</v>
      </c>
      <c r="AE352" s="17">
        <f>IF($A352,$J352*(IF(U352=regle!$B$11,regle!$B$23*IF(AN352=-2,1+regle!$B$35,1),
IF(U352=regle!$C$11,regle!$C$23,
IF(U352=regle!$D$11,regle!$D$23,
IF(U352=regle!$E$11,regle!$E$23,
IF(U352=regle!$F$11,regle!$F$23,
IF(U352=regle!$G$11,regle!$G$23,
IF(U352=regle!$H$11,regle!$H$23,
IF(U352=regle!$I$11,regle!$I$23,
IF(U352=regle!$J$11,regle!$J$23,
IF(U352=regle!$K$11,regle!$K$23,0))))))))))))</f>
        <v>0</v>
      </c>
      <c r="AF352" s="17">
        <f>IF($A352,$J352*(IF(V352=regle!$B$11,regle!$B$23*IF(AO352=-2,1+regle!$B$35,1),
IF(V352=regle!$C$11,regle!$C$23,
IF(V352=regle!$D$11,regle!$D$23,
IF(V352=regle!$E$11,regle!$E$23,
IF(V352=regle!$F$11,regle!$F$23,
IF(V352=regle!$G$11,regle!$G$23,
IF(V352=regle!$H$11,regle!$H$23,
IF(V352=regle!$I$11,regle!$I$23,
IF(V352=regle!$J$11,regle!$J$23,
IF(V352=regle!$K$11,regle!$K$23,0))))))))))))</f>
        <v>0</v>
      </c>
      <c r="AG352" s="17">
        <f>IF($A352,$J352*(IF(W352=regle!$B$11,regle!$B$23*IF(AP352=-2,1+regle!$B$35,1),
IF(W352=regle!$C$11,regle!$C$23,
IF(W352=regle!$D$11,regle!$D$23,
IF(W352=regle!$E$11,regle!$E$23,
IF(W352=regle!$F$11,regle!$F$23,
IF(W352=regle!$G$11,regle!$G$23,
IF(W352=regle!$H$11,regle!$H$23,
IF(W352=regle!$I$11,regle!$I$23,
IF(W352=regle!$J$11,regle!$J$23,
IF(W352=regle!$K$11,regle!$K$23,0))))))))))))</f>
        <v>883.71199999999999</v>
      </c>
      <c r="AH352" s="17">
        <f>IF($A352,$J352*(IF(X352=regle!$B$11,regle!$B$23*IF(AQ352=-2,1+regle!$B$35,1),
IF(X352=regle!$C$11,regle!$C$23,
IF(X352=regle!$D$11,regle!$D$23,
IF(X352=regle!$E$11,regle!$E$23,
IF(X352=regle!$F$11,regle!$F$23,
IF(X352=regle!$G$11,regle!$G$23,
IF(X352=regle!$H$11,regle!$H$23,
IF(X352=regle!$I$11,regle!$I$23,
IF(X352=regle!$J$11,regle!$J$23,
IF(X352=regle!$K$11,regle!$K$23,0))))))))))))</f>
        <v>0</v>
      </c>
      <c r="AI352" s="17">
        <f>IF($A352,$J352*(IF(Y352=regle!$B$11,regle!$B$23*IF(AR352=-2,1+regle!$B$35,1),
IF(Y352=regle!$C$11,regle!$C$23,
IF(Y352=regle!$D$11,regle!$D$23,
IF(Y352=regle!$E$11,regle!$E$23,
IF(Y352=regle!$F$11,regle!$F$23,
IF(Y352=regle!$G$11,regle!$G$23,
IF(Y352=regle!$H$11,regle!$H$23,
IF(Y352=regle!$I$11,regle!$I$23,
IF(Y352=regle!$J$11,regle!$J$23,
IF(Y352=regle!$K$11,regle!$K$23,0))))))))))))</f>
        <v>0</v>
      </c>
      <c r="AJ352" s="17">
        <f>IF($A352,$J352*(IF(Z352=regle!$B$11,regle!$B$23*IF(AS352=-2,1+regle!$B$35,1),
IF(Z352=regle!$C$11,regle!$C$23,
IF(Z352=regle!$D$11,regle!$D$23,
IF(Z352=regle!$E$11,regle!$E$23,
IF(Z352=regle!$F$11,regle!$F$23,
IF(Z352=regle!$G$11,regle!$G$23,
IF(Z352=regle!$H$11,regle!$H$23,
IF(Z352=regle!$I$11,regle!$I$23,
IF(Z352=regle!$J$11,regle!$J$23,
IF(Z352=regle!$K$11,regle!$K$23,0))))))))))))</f>
        <v>0</v>
      </c>
      <c r="AK352" s="16">
        <f>IF(OR(Q352=regle!$J$11,Q352=regle!$K$11),-2,IF(Q352=regle!$B$11,0,IF(AK$1=$AK$1,IF($O352,-1,regle!$B$2-$M352),IF(AJ352=-1,-1,AJ352+1))))</f>
        <v>21</v>
      </c>
      <c r="AL352" s="16">
        <f>IF(OR(R352=regle!$J$11,R352=regle!$K$11),-2,IF(R352=regle!$B$11,0,IF(AL$1=$AK$1,IF($O352,-1,regle!$B$2-$M352),IF(AK352=-1,-1,AK352+1))))</f>
        <v>22</v>
      </c>
      <c r="AM352" s="16">
        <f>IF(OR(S352=regle!$J$11,S352=regle!$K$11),-2,IF(S352=regle!$B$11,0,IF(AM$1=$AK$1,IF($O352,-1,regle!$B$2-$M352),IF(AL352=-1,-1,AL352+1))))</f>
        <v>23</v>
      </c>
      <c r="AN352" s="16">
        <f>IF(OR(T352=regle!$J$11,T352=regle!$K$11),-2,IF(T352=regle!$B$11,0,IF(AN$1=$AK$1,IF($O352,-1,regle!$B$2-$M352),IF(AM352=-1,-1,AM352+1))))</f>
        <v>24</v>
      </c>
      <c r="AO352" s="16">
        <f>IF(OR(U352=regle!$J$11,U352=regle!$K$11),-2,IF(U352=regle!$B$11,0,IF(AO$1=$AK$1,IF($O352,-1,regle!$B$2-$M352),IF(AN352=-1,-1,AN352+1))))</f>
        <v>25</v>
      </c>
      <c r="AP352" s="16">
        <f>IF(OR(V352=regle!$J$11,V352=regle!$K$11),-2,IF(V352=regle!$B$11,0,IF(AP$1=$AK$1,IF($O352,-1,regle!$B$2-$M352),IF(AO352=-1,-1,AO352+1))))</f>
        <v>26</v>
      </c>
      <c r="AQ352" s="16">
        <f>IF(OR(W352=regle!$J$11,W352=regle!$K$11),-2,IF(W352=regle!$B$11,0,IF(AQ$1=$AK$1,IF($O352,-1,regle!$B$2-$M352),IF(AP352=-1,-1,AP352+1))))</f>
        <v>27</v>
      </c>
      <c r="AR352" s="16">
        <f>IF(OR(X352=regle!$J$11,X352=regle!$K$11),-2,IF(X352=regle!$B$11,0,IF(AR$1=$AK$1,IF($O352,-1,regle!$B$2-$M352),IF(AQ352=-1,-1,AQ352+1))))</f>
        <v>28</v>
      </c>
      <c r="AS352" s="16">
        <f>IF(OR(Y352=regle!$J$11,Y352=regle!$K$11),-2,IF(Y352=regle!$B$11,0,IF(AS$1=$AK$1,IF($O352,-1,regle!$B$2-$M352),IF(AR352=-1,-1,AR352+1))))</f>
        <v>29</v>
      </c>
      <c r="AT352" s="16">
        <f>IF(OR(Z352=regle!$J$11,Z352=regle!$K$11),-2,IF(Z352=regle!$B$11,0,IF(AT$1=$AK$1,IF($O352,-1,regle!$B$2-$M352),IF(AS352=-1,-1,AS352+1))))</f>
        <v>30</v>
      </c>
    </row>
    <row r="353" spans="1:46" x14ac:dyDescent="0.25">
      <c r="A353" t="b">
        <f>modif0!A295</f>
        <v>1</v>
      </c>
      <c r="B353">
        <f>ROW(modif0!B295)</f>
        <v>295</v>
      </c>
      <c r="C353" t="str">
        <f>modif0!D295</f>
        <v>536</v>
      </c>
      <c r="D353" t="str">
        <f>modif0!E295</f>
        <v>LE TUZAN</v>
      </c>
      <c r="E353">
        <f>modif0!F295</f>
        <v>14</v>
      </c>
      <c r="F353" t="str">
        <f>modif0!G295</f>
        <v>TABARTON-OUEST</v>
      </c>
      <c r="G353" t="str">
        <f>modif0!I295</f>
        <v>0B</v>
      </c>
      <c r="H353">
        <f>modif0!J295</f>
        <v>659</v>
      </c>
      <c r="I353" t="str">
        <f>modif0!K295</f>
        <v>n</v>
      </c>
      <c r="J353" s="11">
        <f>modif0!M295</f>
        <v>0.53269999999999995</v>
      </c>
      <c r="K353" s="11" t="str">
        <f>modif0!P295</f>
        <v>PLA</v>
      </c>
      <c r="L353" t="str">
        <f>modif0!N295</f>
        <v>PM</v>
      </c>
      <c r="M353">
        <f>modif0!Q295</f>
        <v>2003</v>
      </c>
      <c r="N353" t="str">
        <f>modif0!R295</f>
        <v>PLA-PM_2003</v>
      </c>
      <c r="O353" t="b">
        <f>modif0!S295</f>
        <v>0</v>
      </c>
      <c r="P353">
        <v>40</v>
      </c>
      <c r="R353" t="s">
        <v>1805</v>
      </c>
      <c r="W353" t="s">
        <v>1806</v>
      </c>
      <c r="AA353" s="17">
        <f>IF($A353,$J353*(IF(Q353=regle!$B$11,regle!$B$23*IF(AJ353=-2,1+regle!$B$35,1),
IF(Q353=regle!$C$11,regle!$C$23,
IF(Q353=regle!$D$11,regle!$D$23,
IF(Q353=regle!$E$11,regle!$E$23,
IF(Q353=regle!$F$11,regle!$F$23,
IF(Q353=regle!$G$11,regle!$G$23,
IF(Q353=regle!$H$11,regle!$H$23,
IF(Q353=regle!$I$11,regle!$I$23,
IF(Q353=regle!$J$11,regle!$J$23,
IF(Q353=regle!$K$11,regle!$K$23,0))))))))))))</f>
        <v>0</v>
      </c>
      <c r="AB353" s="17">
        <f>IF($A353,$J353*(IF(R353=regle!$B$11,regle!$B$23*IF(AK353=-2,1+regle!$B$35,1),
IF(R353=regle!$C$11,regle!$C$23,
IF(R353=regle!$D$11,regle!$D$23,
IF(R353=regle!$E$11,regle!$E$23,
IF(R353=regle!$F$11,regle!$F$23,
IF(R353=regle!$G$11,regle!$G$23,
IF(R353=regle!$H$11,regle!$H$23,
IF(R353=regle!$I$11,regle!$I$23,
IF(R353=regle!$J$11,regle!$J$23,
IF(R353=regle!$K$11,regle!$K$23,0))))))))))))</f>
        <v>750.0415999999999</v>
      </c>
      <c r="AC353" s="17">
        <f>IF($A353,$J353*(IF(S353=regle!$B$11,regle!$B$23*IF(AL353=-2,1+regle!$B$35,1),
IF(S353=regle!$C$11,regle!$C$23,
IF(S353=regle!$D$11,regle!$D$23,
IF(S353=regle!$E$11,regle!$E$23,
IF(S353=regle!$F$11,regle!$F$23,
IF(S353=regle!$G$11,regle!$G$23,
IF(S353=regle!$H$11,regle!$H$23,
IF(S353=regle!$I$11,regle!$I$23,
IF(S353=regle!$J$11,regle!$J$23,
IF(S353=regle!$K$11,regle!$K$23,0))))))))))))</f>
        <v>0</v>
      </c>
      <c r="AD353" s="17">
        <f>IF($A353,$J353*(IF(T353=regle!$B$11,regle!$B$23*IF(AM353=-2,1+regle!$B$35,1),
IF(T353=regle!$C$11,regle!$C$23,
IF(T353=regle!$D$11,regle!$D$23,
IF(T353=regle!$E$11,regle!$E$23,
IF(T353=regle!$F$11,regle!$F$23,
IF(T353=regle!$G$11,regle!$G$23,
IF(T353=regle!$H$11,regle!$H$23,
IF(T353=regle!$I$11,regle!$I$23,
IF(T353=regle!$J$11,regle!$J$23,
IF(T353=regle!$K$11,regle!$K$23,0))))))))))))</f>
        <v>0</v>
      </c>
      <c r="AE353" s="17">
        <f>IF($A353,$J353*(IF(U353=regle!$B$11,regle!$B$23*IF(AN353=-2,1+regle!$B$35,1),
IF(U353=regle!$C$11,regle!$C$23,
IF(U353=regle!$D$11,regle!$D$23,
IF(U353=regle!$E$11,regle!$E$23,
IF(U353=regle!$F$11,regle!$F$23,
IF(U353=regle!$G$11,regle!$G$23,
IF(U353=regle!$H$11,regle!$H$23,
IF(U353=regle!$I$11,regle!$I$23,
IF(U353=regle!$J$11,regle!$J$23,
IF(U353=regle!$K$11,regle!$K$23,0))))))))))))</f>
        <v>0</v>
      </c>
      <c r="AF353" s="17">
        <f>IF($A353,$J353*(IF(V353=regle!$B$11,regle!$B$23*IF(AO353=-2,1+regle!$B$35,1),
IF(V353=regle!$C$11,regle!$C$23,
IF(V353=regle!$D$11,regle!$D$23,
IF(V353=regle!$E$11,regle!$E$23,
IF(V353=regle!$F$11,regle!$F$23,
IF(V353=regle!$G$11,regle!$G$23,
IF(V353=regle!$H$11,regle!$H$23,
IF(V353=regle!$I$11,regle!$I$23,
IF(V353=regle!$J$11,regle!$J$23,
IF(V353=regle!$K$11,regle!$K$23,0))))))))))))</f>
        <v>0</v>
      </c>
      <c r="AG353" s="17">
        <f>IF($A353,$J353*(IF(W353=regle!$B$11,regle!$B$23*IF(AP353=-2,1+regle!$B$35,1),
IF(W353=regle!$C$11,regle!$C$23,
IF(W353=regle!$D$11,regle!$D$23,
IF(W353=regle!$E$11,regle!$E$23,
IF(W353=regle!$F$11,regle!$F$23,
IF(W353=regle!$G$11,regle!$G$23,
IF(W353=regle!$H$11,regle!$H$23,
IF(W353=regle!$I$11,regle!$I$23,
IF(W353=regle!$J$11,regle!$J$23,
IF(W353=regle!$K$11,regle!$K$23,0))))))))))))</f>
        <v>681.85599999999999</v>
      </c>
      <c r="AH353" s="17">
        <f>IF($A353,$J353*(IF(X353=regle!$B$11,regle!$B$23*IF(AQ353=-2,1+regle!$B$35,1),
IF(X353=regle!$C$11,regle!$C$23,
IF(X353=regle!$D$11,regle!$D$23,
IF(X353=regle!$E$11,regle!$E$23,
IF(X353=regle!$F$11,regle!$F$23,
IF(X353=regle!$G$11,regle!$G$23,
IF(X353=regle!$H$11,regle!$H$23,
IF(X353=regle!$I$11,regle!$I$23,
IF(X353=regle!$J$11,regle!$J$23,
IF(X353=regle!$K$11,regle!$K$23,0))))))))))))</f>
        <v>0</v>
      </c>
      <c r="AI353" s="17">
        <f>IF($A353,$J353*(IF(Y353=regle!$B$11,regle!$B$23*IF(AR353=-2,1+regle!$B$35,1),
IF(Y353=regle!$C$11,regle!$C$23,
IF(Y353=regle!$D$11,regle!$D$23,
IF(Y353=regle!$E$11,regle!$E$23,
IF(Y353=regle!$F$11,regle!$F$23,
IF(Y353=regle!$G$11,regle!$G$23,
IF(Y353=regle!$H$11,regle!$H$23,
IF(Y353=regle!$I$11,regle!$I$23,
IF(Y353=regle!$J$11,regle!$J$23,
IF(Y353=regle!$K$11,regle!$K$23,0))))))))))))</f>
        <v>0</v>
      </c>
      <c r="AJ353" s="17">
        <f>IF($A353,$J353*(IF(Z353=regle!$B$11,regle!$B$23*IF(AS353=-2,1+regle!$B$35,1),
IF(Z353=regle!$C$11,regle!$C$23,
IF(Z353=regle!$D$11,regle!$D$23,
IF(Z353=regle!$E$11,regle!$E$23,
IF(Z353=regle!$F$11,regle!$F$23,
IF(Z353=regle!$G$11,regle!$G$23,
IF(Z353=regle!$H$11,regle!$H$23,
IF(Z353=regle!$I$11,regle!$I$23,
IF(Z353=regle!$J$11,regle!$J$23,
IF(Z353=regle!$K$11,regle!$K$23,0))))))))))))</f>
        <v>0</v>
      </c>
      <c r="AK353" s="16">
        <f>IF(OR(Q353=regle!$J$11,Q353=regle!$K$11),-2,IF(Q353=regle!$B$11,0,IF(AK$1=$AK$1,IF($O353,-1,regle!$B$2-$M353),IF(AJ353=-1,-1,AJ353+1))))</f>
        <v>21</v>
      </c>
      <c r="AL353" s="16">
        <f>IF(OR(R353=regle!$J$11,R353=regle!$K$11),-2,IF(R353=regle!$B$11,0,IF(AL$1=$AK$1,IF($O353,-1,regle!$B$2-$M353),IF(AK353=-1,-1,AK353+1))))</f>
        <v>22</v>
      </c>
      <c r="AM353" s="16">
        <f>IF(OR(S353=regle!$J$11,S353=regle!$K$11),-2,IF(S353=regle!$B$11,0,IF(AM$1=$AK$1,IF($O353,-1,regle!$B$2-$M353),IF(AL353=-1,-1,AL353+1))))</f>
        <v>23</v>
      </c>
      <c r="AN353" s="16">
        <f>IF(OR(T353=regle!$J$11,T353=regle!$K$11),-2,IF(T353=regle!$B$11,0,IF(AN$1=$AK$1,IF($O353,-1,regle!$B$2-$M353),IF(AM353=-1,-1,AM353+1))))</f>
        <v>24</v>
      </c>
      <c r="AO353" s="16">
        <f>IF(OR(U353=regle!$J$11,U353=regle!$K$11),-2,IF(U353=regle!$B$11,0,IF(AO$1=$AK$1,IF($O353,-1,regle!$B$2-$M353),IF(AN353=-1,-1,AN353+1))))</f>
        <v>25</v>
      </c>
      <c r="AP353" s="16">
        <f>IF(OR(V353=regle!$J$11,V353=regle!$K$11),-2,IF(V353=regle!$B$11,0,IF(AP$1=$AK$1,IF($O353,-1,regle!$B$2-$M353),IF(AO353=-1,-1,AO353+1))))</f>
        <v>26</v>
      </c>
      <c r="AQ353" s="16">
        <f>IF(OR(W353=regle!$J$11,W353=regle!$K$11),-2,IF(W353=regle!$B$11,0,IF(AQ$1=$AK$1,IF($O353,-1,regle!$B$2-$M353),IF(AP353=-1,-1,AP353+1))))</f>
        <v>27</v>
      </c>
      <c r="AR353" s="16">
        <f>IF(OR(X353=regle!$J$11,X353=regle!$K$11),-2,IF(X353=regle!$B$11,0,IF(AR$1=$AK$1,IF($O353,-1,regle!$B$2-$M353),IF(AQ353=-1,-1,AQ353+1))))</f>
        <v>28</v>
      </c>
      <c r="AS353" s="16">
        <f>IF(OR(Y353=regle!$J$11,Y353=regle!$K$11),-2,IF(Y353=regle!$B$11,0,IF(AS$1=$AK$1,IF($O353,-1,regle!$B$2-$M353),IF(AR353=-1,-1,AR353+1))))</f>
        <v>29</v>
      </c>
      <c r="AT353" s="16">
        <f>IF(OR(Z353=regle!$J$11,Z353=regle!$K$11),-2,IF(Z353=regle!$B$11,0,IF(AT$1=$AK$1,IF($O353,-1,regle!$B$2-$M353),IF(AS353=-1,-1,AS353+1))))</f>
        <v>30</v>
      </c>
    </row>
    <row r="354" spans="1:46" x14ac:dyDescent="0.25">
      <c r="A354" t="b">
        <f>modif0!A39</f>
        <v>1</v>
      </c>
      <c r="B354">
        <f>ROW(modif0!B39)</f>
        <v>39</v>
      </c>
      <c r="C354" t="str">
        <f>modif0!D39</f>
        <v>536</v>
      </c>
      <c r="D354" t="str">
        <f>modif0!E39</f>
        <v>LE TUZAN</v>
      </c>
      <c r="E354">
        <f>modif0!F39</f>
        <v>21</v>
      </c>
      <c r="F354" t="str">
        <f>modif0!G39</f>
        <v>METAIRIES DE TABARTON</v>
      </c>
      <c r="G354" t="str">
        <f>modif0!I39</f>
        <v>0A</v>
      </c>
      <c r="H354">
        <f>modif0!J39</f>
        <v>419</v>
      </c>
      <c r="I354" t="str">
        <f>modif0!K39</f>
        <v>d</v>
      </c>
      <c r="J354" s="11">
        <f>modif0!M39</f>
        <v>0.4083</v>
      </c>
      <c r="K354" s="11" t="str">
        <f>modif0!P39</f>
        <v>SL</v>
      </c>
      <c r="L354" t="str">
        <f>modif0!N39</f>
        <v>PM</v>
      </c>
      <c r="M354">
        <f>modif0!Q39</f>
        <v>2003</v>
      </c>
      <c r="N354" t="str">
        <f>modif0!R39</f>
        <v>SL-PM_2003</v>
      </c>
      <c r="O354" t="b">
        <f>modif0!S39</f>
        <v>0</v>
      </c>
      <c r="P354">
        <v>40</v>
      </c>
      <c r="R354" t="s">
        <v>1805</v>
      </c>
      <c r="W354" t="s">
        <v>1806</v>
      </c>
      <c r="AA354" s="17">
        <f>IF($A354,$J354*(IF(Q354=regle!$B$11,regle!$B$23*IF(AJ354=-2,1+regle!$B$35,1),
IF(Q354=regle!$C$11,regle!$C$23,
IF(Q354=regle!$D$11,regle!$D$23,
IF(Q354=regle!$E$11,regle!$E$23,
IF(Q354=regle!$F$11,regle!$F$23,
IF(Q354=regle!$G$11,regle!$G$23,
IF(Q354=regle!$H$11,regle!$H$23,
IF(Q354=regle!$I$11,regle!$I$23,
IF(Q354=regle!$J$11,regle!$J$23,
IF(Q354=regle!$K$11,regle!$K$23,0))))))))))))</f>
        <v>0</v>
      </c>
      <c r="AB354" s="17">
        <f>IF($A354,$J354*(IF(R354=regle!$B$11,regle!$B$23*IF(AK354=-2,1+regle!$B$35,1),
IF(R354=regle!$C$11,regle!$C$23,
IF(R354=regle!$D$11,regle!$D$23,
IF(R354=regle!$E$11,regle!$E$23,
IF(R354=regle!$F$11,regle!$F$23,
IF(R354=regle!$G$11,regle!$G$23,
IF(R354=regle!$H$11,regle!$H$23,
IF(R354=regle!$I$11,regle!$I$23,
IF(R354=regle!$J$11,regle!$J$23,
IF(R354=regle!$K$11,regle!$K$23,0))))))))))))</f>
        <v>574.88639999999998</v>
      </c>
      <c r="AC354" s="17">
        <f>IF($A354,$J354*(IF(S354=regle!$B$11,regle!$B$23*IF(AL354=-2,1+regle!$B$35,1),
IF(S354=regle!$C$11,regle!$C$23,
IF(S354=regle!$D$11,regle!$D$23,
IF(S354=regle!$E$11,regle!$E$23,
IF(S354=regle!$F$11,regle!$F$23,
IF(S354=regle!$G$11,regle!$G$23,
IF(S354=regle!$H$11,regle!$H$23,
IF(S354=regle!$I$11,regle!$I$23,
IF(S354=regle!$J$11,regle!$J$23,
IF(S354=regle!$K$11,regle!$K$23,0))))))))))))</f>
        <v>0</v>
      </c>
      <c r="AD354" s="17">
        <f>IF($A354,$J354*(IF(T354=regle!$B$11,regle!$B$23*IF(AM354=-2,1+regle!$B$35,1),
IF(T354=regle!$C$11,regle!$C$23,
IF(T354=regle!$D$11,regle!$D$23,
IF(T354=regle!$E$11,regle!$E$23,
IF(T354=regle!$F$11,regle!$F$23,
IF(T354=regle!$G$11,regle!$G$23,
IF(T354=regle!$H$11,regle!$H$23,
IF(T354=regle!$I$11,regle!$I$23,
IF(T354=regle!$J$11,regle!$J$23,
IF(T354=regle!$K$11,regle!$K$23,0))))))))))))</f>
        <v>0</v>
      </c>
      <c r="AE354" s="17">
        <f>IF($A354,$J354*(IF(U354=regle!$B$11,regle!$B$23*IF(AN354=-2,1+regle!$B$35,1),
IF(U354=regle!$C$11,regle!$C$23,
IF(U354=regle!$D$11,regle!$D$23,
IF(U354=regle!$E$11,regle!$E$23,
IF(U354=regle!$F$11,regle!$F$23,
IF(U354=regle!$G$11,regle!$G$23,
IF(U354=regle!$H$11,regle!$H$23,
IF(U354=regle!$I$11,regle!$I$23,
IF(U354=regle!$J$11,regle!$J$23,
IF(U354=regle!$K$11,regle!$K$23,0))))))))))))</f>
        <v>0</v>
      </c>
      <c r="AF354" s="17">
        <f>IF($A354,$J354*(IF(V354=regle!$B$11,regle!$B$23*IF(AO354=-2,1+regle!$B$35,1),
IF(V354=regle!$C$11,regle!$C$23,
IF(V354=regle!$D$11,regle!$D$23,
IF(V354=regle!$E$11,regle!$E$23,
IF(V354=regle!$F$11,regle!$F$23,
IF(V354=regle!$G$11,regle!$G$23,
IF(V354=regle!$H$11,regle!$H$23,
IF(V354=regle!$I$11,regle!$I$23,
IF(V354=regle!$J$11,regle!$J$23,
IF(V354=regle!$K$11,regle!$K$23,0))))))))))))</f>
        <v>0</v>
      </c>
      <c r="AG354" s="17">
        <f>IF($A354,$J354*(IF(W354=regle!$B$11,regle!$B$23*IF(AP354=-2,1+regle!$B$35,1),
IF(W354=regle!$C$11,regle!$C$23,
IF(W354=regle!$D$11,regle!$D$23,
IF(W354=regle!$E$11,regle!$E$23,
IF(W354=regle!$F$11,regle!$F$23,
IF(W354=regle!$G$11,regle!$G$23,
IF(W354=regle!$H$11,regle!$H$23,
IF(W354=regle!$I$11,regle!$I$23,
IF(W354=regle!$J$11,regle!$J$23,
IF(W354=regle!$K$11,regle!$K$23,0))))))))))))</f>
        <v>522.62400000000002</v>
      </c>
      <c r="AH354" s="17">
        <f>IF($A354,$J354*(IF(X354=regle!$B$11,regle!$B$23*IF(AQ354=-2,1+regle!$B$35,1),
IF(X354=regle!$C$11,regle!$C$23,
IF(X354=regle!$D$11,regle!$D$23,
IF(X354=regle!$E$11,regle!$E$23,
IF(X354=regle!$F$11,regle!$F$23,
IF(X354=regle!$G$11,regle!$G$23,
IF(X354=regle!$H$11,regle!$H$23,
IF(X354=regle!$I$11,regle!$I$23,
IF(X354=regle!$J$11,regle!$J$23,
IF(X354=regle!$K$11,regle!$K$23,0))))))))))))</f>
        <v>0</v>
      </c>
      <c r="AI354" s="17">
        <f>IF($A354,$J354*(IF(Y354=regle!$B$11,regle!$B$23*IF(AR354=-2,1+regle!$B$35,1),
IF(Y354=regle!$C$11,regle!$C$23,
IF(Y354=regle!$D$11,regle!$D$23,
IF(Y354=regle!$E$11,regle!$E$23,
IF(Y354=regle!$F$11,regle!$F$23,
IF(Y354=regle!$G$11,regle!$G$23,
IF(Y354=regle!$H$11,regle!$H$23,
IF(Y354=regle!$I$11,regle!$I$23,
IF(Y354=regle!$J$11,regle!$J$23,
IF(Y354=regle!$K$11,regle!$K$23,0))))))))))))</f>
        <v>0</v>
      </c>
      <c r="AJ354" s="17">
        <f>IF($A354,$J354*(IF(Z354=regle!$B$11,regle!$B$23*IF(AS354=-2,1+regle!$B$35,1),
IF(Z354=regle!$C$11,regle!$C$23,
IF(Z354=regle!$D$11,regle!$D$23,
IF(Z354=regle!$E$11,regle!$E$23,
IF(Z354=regle!$F$11,regle!$F$23,
IF(Z354=regle!$G$11,regle!$G$23,
IF(Z354=regle!$H$11,regle!$H$23,
IF(Z354=regle!$I$11,regle!$I$23,
IF(Z354=regle!$J$11,regle!$J$23,
IF(Z354=regle!$K$11,regle!$K$23,0))))))))))))</f>
        <v>0</v>
      </c>
      <c r="AK354" s="16">
        <f>IF(OR(Q354=regle!$J$11,Q354=regle!$K$11),-2,IF(Q354=regle!$B$11,0,IF(AK$1=$AK$1,IF($O354,-1,regle!$B$2-$M354),IF(AJ354=-1,-1,AJ354+1))))</f>
        <v>21</v>
      </c>
      <c r="AL354" s="16">
        <f>IF(OR(R354=regle!$J$11,R354=regle!$K$11),-2,IF(R354=regle!$B$11,0,IF(AL$1=$AK$1,IF($O354,-1,regle!$B$2-$M354),IF(AK354=-1,-1,AK354+1))))</f>
        <v>22</v>
      </c>
      <c r="AM354" s="16">
        <f>IF(OR(S354=regle!$J$11,S354=regle!$K$11),-2,IF(S354=regle!$B$11,0,IF(AM$1=$AK$1,IF($O354,-1,regle!$B$2-$M354),IF(AL354=-1,-1,AL354+1))))</f>
        <v>23</v>
      </c>
      <c r="AN354" s="16">
        <f>IF(OR(T354=regle!$J$11,T354=regle!$K$11),-2,IF(T354=regle!$B$11,0,IF(AN$1=$AK$1,IF($O354,-1,regle!$B$2-$M354),IF(AM354=-1,-1,AM354+1))))</f>
        <v>24</v>
      </c>
      <c r="AO354" s="16">
        <f>IF(OR(U354=regle!$J$11,U354=regle!$K$11),-2,IF(U354=regle!$B$11,0,IF(AO$1=$AK$1,IF($O354,-1,regle!$B$2-$M354),IF(AN354=-1,-1,AN354+1))))</f>
        <v>25</v>
      </c>
      <c r="AP354" s="16">
        <f>IF(OR(V354=regle!$J$11,V354=regle!$K$11),-2,IF(V354=regle!$B$11,0,IF(AP$1=$AK$1,IF($O354,-1,regle!$B$2-$M354),IF(AO354=-1,-1,AO354+1))))</f>
        <v>26</v>
      </c>
      <c r="AQ354" s="16">
        <f>IF(OR(W354=regle!$J$11,W354=regle!$K$11),-2,IF(W354=regle!$B$11,0,IF(AQ$1=$AK$1,IF($O354,-1,regle!$B$2-$M354),IF(AP354=-1,-1,AP354+1))))</f>
        <v>27</v>
      </c>
      <c r="AR354" s="16">
        <f>IF(OR(X354=regle!$J$11,X354=regle!$K$11),-2,IF(X354=regle!$B$11,0,IF(AR$1=$AK$1,IF($O354,-1,regle!$B$2-$M354),IF(AQ354=-1,-1,AQ354+1))))</f>
        <v>28</v>
      </c>
      <c r="AS354" s="16">
        <f>IF(OR(Y354=regle!$J$11,Y354=regle!$K$11),-2,IF(Y354=regle!$B$11,0,IF(AS$1=$AK$1,IF($O354,-1,regle!$B$2-$M354),IF(AR354=-1,-1,AR354+1))))</f>
        <v>29</v>
      </c>
      <c r="AT354" s="16">
        <f>IF(OR(Z354=regle!$J$11,Z354=regle!$K$11),-2,IF(Z354=regle!$B$11,0,IF(AT$1=$AK$1,IF($O354,-1,regle!$B$2-$M354),IF(AS354=-1,-1,AS354+1))))</f>
        <v>30</v>
      </c>
    </row>
    <row r="355" spans="1:46" x14ac:dyDescent="0.25">
      <c r="A355" t="b">
        <f>modif0!A93</f>
        <v>1</v>
      </c>
      <c r="B355">
        <f>ROW(modif0!B93)</f>
        <v>93</v>
      </c>
      <c r="C355" t="str">
        <f>modif0!D93</f>
        <v>536</v>
      </c>
      <c r="D355" t="str">
        <f>modif0!E93</f>
        <v>LE TUZAN</v>
      </c>
      <c r="E355">
        <f>modif0!F93</f>
        <v>21</v>
      </c>
      <c r="F355" t="str">
        <f>modif0!G93</f>
        <v>METAIRIES DE TABARTON</v>
      </c>
      <c r="G355" t="str">
        <f>modif0!I93</f>
        <v>0A</v>
      </c>
      <c r="H355">
        <f>modif0!J93</f>
        <v>848</v>
      </c>
      <c r="I355" t="str">
        <f>modif0!K93</f>
        <v>k</v>
      </c>
      <c r="J355" s="11">
        <f>modif0!M93</f>
        <v>0.2762</v>
      </c>
      <c r="K355" s="11" t="str">
        <f>modif0!P93</f>
        <v>SL</v>
      </c>
      <c r="L355" t="str">
        <f>modif0!N93</f>
        <v>PM</v>
      </c>
      <c r="M355">
        <f>modif0!Q93</f>
        <v>2003</v>
      </c>
      <c r="N355" t="str">
        <f>modif0!R93</f>
        <v>SL-PM_2003</v>
      </c>
      <c r="O355" t="b">
        <f>modif0!S93</f>
        <v>0</v>
      </c>
      <c r="P355">
        <v>40</v>
      </c>
      <c r="R355" t="s">
        <v>1805</v>
      </c>
      <c r="W355" t="s">
        <v>1806</v>
      </c>
      <c r="AA355" s="17">
        <f>IF($A355,$J355*(IF(Q355=regle!$B$11,regle!$B$23*IF(AJ355=-2,1+regle!$B$35,1),
IF(Q355=regle!$C$11,regle!$C$23,
IF(Q355=regle!$D$11,regle!$D$23,
IF(Q355=regle!$E$11,regle!$E$23,
IF(Q355=regle!$F$11,regle!$F$23,
IF(Q355=regle!$G$11,regle!$G$23,
IF(Q355=regle!$H$11,regle!$H$23,
IF(Q355=regle!$I$11,regle!$I$23,
IF(Q355=regle!$J$11,regle!$J$23,
IF(Q355=regle!$K$11,regle!$K$23,0))))))))))))</f>
        <v>0</v>
      </c>
      <c r="AB355" s="17">
        <f>IF($A355,$J355*(IF(R355=regle!$B$11,regle!$B$23*IF(AK355=-2,1+regle!$B$35,1),
IF(R355=regle!$C$11,regle!$C$23,
IF(R355=regle!$D$11,regle!$D$23,
IF(R355=regle!$E$11,regle!$E$23,
IF(R355=regle!$F$11,regle!$F$23,
IF(R355=regle!$G$11,regle!$G$23,
IF(R355=regle!$H$11,regle!$H$23,
IF(R355=regle!$I$11,regle!$I$23,
IF(R355=regle!$J$11,regle!$J$23,
IF(R355=regle!$K$11,regle!$K$23,0))))))))))))</f>
        <v>388.88959999999997</v>
      </c>
      <c r="AC355" s="17">
        <f>IF($A355,$J355*(IF(S355=regle!$B$11,regle!$B$23*IF(AL355=-2,1+regle!$B$35,1),
IF(S355=regle!$C$11,regle!$C$23,
IF(S355=regle!$D$11,regle!$D$23,
IF(S355=regle!$E$11,regle!$E$23,
IF(S355=regle!$F$11,regle!$F$23,
IF(S355=regle!$G$11,regle!$G$23,
IF(S355=regle!$H$11,regle!$H$23,
IF(S355=regle!$I$11,regle!$I$23,
IF(S355=regle!$J$11,regle!$J$23,
IF(S355=regle!$K$11,regle!$K$23,0))))))))))))</f>
        <v>0</v>
      </c>
      <c r="AD355" s="17">
        <f>IF($A355,$J355*(IF(T355=regle!$B$11,regle!$B$23*IF(AM355=-2,1+regle!$B$35,1),
IF(T355=regle!$C$11,regle!$C$23,
IF(T355=regle!$D$11,regle!$D$23,
IF(T355=regle!$E$11,regle!$E$23,
IF(T355=regle!$F$11,regle!$F$23,
IF(T355=regle!$G$11,regle!$G$23,
IF(T355=regle!$H$11,regle!$H$23,
IF(T355=regle!$I$11,regle!$I$23,
IF(T355=regle!$J$11,regle!$J$23,
IF(T355=regle!$K$11,regle!$K$23,0))))))))))))</f>
        <v>0</v>
      </c>
      <c r="AE355" s="17">
        <f>IF($A355,$J355*(IF(U355=regle!$B$11,regle!$B$23*IF(AN355=-2,1+regle!$B$35,1),
IF(U355=regle!$C$11,regle!$C$23,
IF(U355=regle!$D$11,regle!$D$23,
IF(U355=regle!$E$11,regle!$E$23,
IF(U355=regle!$F$11,regle!$F$23,
IF(U355=regle!$G$11,regle!$G$23,
IF(U355=regle!$H$11,regle!$H$23,
IF(U355=regle!$I$11,regle!$I$23,
IF(U355=regle!$J$11,regle!$J$23,
IF(U355=regle!$K$11,regle!$K$23,0))))))))))))</f>
        <v>0</v>
      </c>
      <c r="AF355" s="17">
        <f>IF($A355,$J355*(IF(V355=regle!$B$11,regle!$B$23*IF(AO355=-2,1+regle!$B$35,1),
IF(V355=regle!$C$11,regle!$C$23,
IF(V355=regle!$D$11,regle!$D$23,
IF(V355=regle!$E$11,regle!$E$23,
IF(V355=regle!$F$11,regle!$F$23,
IF(V355=regle!$G$11,regle!$G$23,
IF(V355=regle!$H$11,regle!$H$23,
IF(V355=regle!$I$11,regle!$I$23,
IF(V355=regle!$J$11,regle!$J$23,
IF(V355=regle!$K$11,regle!$K$23,0))))))))))))</f>
        <v>0</v>
      </c>
      <c r="AG355" s="17">
        <f>IF($A355,$J355*(IF(W355=regle!$B$11,regle!$B$23*IF(AP355=-2,1+regle!$B$35,1),
IF(W355=regle!$C$11,regle!$C$23,
IF(W355=regle!$D$11,regle!$D$23,
IF(W355=regle!$E$11,regle!$E$23,
IF(W355=regle!$F$11,regle!$F$23,
IF(W355=regle!$G$11,regle!$G$23,
IF(W355=regle!$H$11,regle!$H$23,
IF(W355=regle!$I$11,regle!$I$23,
IF(W355=regle!$J$11,regle!$J$23,
IF(W355=regle!$K$11,regle!$K$23,0))))))))))))</f>
        <v>353.536</v>
      </c>
      <c r="AH355" s="17">
        <f>IF($A355,$J355*(IF(X355=regle!$B$11,regle!$B$23*IF(AQ355=-2,1+regle!$B$35,1),
IF(X355=regle!$C$11,regle!$C$23,
IF(X355=regle!$D$11,regle!$D$23,
IF(X355=regle!$E$11,regle!$E$23,
IF(X355=regle!$F$11,regle!$F$23,
IF(X355=regle!$G$11,regle!$G$23,
IF(X355=regle!$H$11,regle!$H$23,
IF(X355=regle!$I$11,regle!$I$23,
IF(X355=regle!$J$11,regle!$J$23,
IF(X355=regle!$K$11,regle!$K$23,0))))))))))))</f>
        <v>0</v>
      </c>
      <c r="AI355" s="17">
        <f>IF($A355,$J355*(IF(Y355=regle!$B$11,regle!$B$23*IF(AR355=-2,1+regle!$B$35,1),
IF(Y355=regle!$C$11,regle!$C$23,
IF(Y355=regle!$D$11,regle!$D$23,
IF(Y355=regle!$E$11,regle!$E$23,
IF(Y355=regle!$F$11,regle!$F$23,
IF(Y355=regle!$G$11,regle!$G$23,
IF(Y355=regle!$H$11,regle!$H$23,
IF(Y355=regle!$I$11,regle!$I$23,
IF(Y355=regle!$J$11,regle!$J$23,
IF(Y355=regle!$K$11,regle!$K$23,0))))))))))))</f>
        <v>0</v>
      </c>
      <c r="AJ355" s="17">
        <f>IF($A355,$J355*(IF(Z355=regle!$B$11,regle!$B$23*IF(AS355=-2,1+regle!$B$35,1),
IF(Z355=regle!$C$11,regle!$C$23,
IF(Z355=regle!$D$11,regle!$D$23,
IF(Z355=regle!$E$11,regle!$E$23,
IF(Z355=regle!$F$11,regle!$F$23,
IF(Z355=regle!$G$11,regle!$G$23,
IF(Z355=regle!$H$11,regle!$H$23,
IF(Z355=regle!$I$11,regle!$I$23,
IF(Z355=regle!$J$11,regle!$J$23,
IF(Z355=regle!$K$11,regle!$K$23,0))))))))))))</f>
        <v>0</v>
      </c>
      <c r="AK355" s="16">
        <f>IF(OR(Q355=regle!$J$11,Q355=regle!$K$11),-2,IF(Q355=regle!$B$11,0,IF(AK$1=$AK$1,IF($O355,-1,regle!$B$2-$M355),IF(AJ355=-1,-1,AJ355+1))))</f>
        <v>21</v>
      </c>
      <c r="AL355" s="16">
        <f>IF(OR(R355=regle!$J$11,R355=regle!$K$11),-2,IF(R355=regle!$B$11,0,IF(AL$1=$AK$1,IF($O355,-1,regle!$B$2-$M355),IF(AK355=-1,-1,AK355+1))))</f>
        <v>22</v>
      </c>
      <c r="AM355" s="16">
        <f>IF(OR(S355=regle!$J$11,S355=regle!$K$11),-2,IF(S355=regle!$B$11,0,IF(AM$1=$AK$1,IF($O355,-1,regle!$B$2-$M355),IF(AL355=-1,-1,AL355+1))))</f>
        <v>23</v>
      </c>
      <c r="AN355" s="16">
        <f>IF(OR(T355=regle!$J$11,T355=regle!$K$11),-2,IF(T355=regle!$B$11,0,IF(AN$1=$AK$1,IF($O355,-1,regle!$B$2-$M355),IF(AM355=-1,-1,AM355+1))))</f>
        <v>24</v>
      </c>
      <c r="AO355" s="16">
        <f>IF(OR(U355=regle!$J$11,U355=regle!$K$11),-2,IF(U355=regle!$B$11,0,IF(AO$1=$AK$1,IF($O355,-1,regle!$B$2-$M355),IF(AN355=-1,-1,AN355+1))))</f>
        <v>25</v>
      </c>
      <c r="AP355" s="16">
        <f>IF(OR(V355=regle!$J$11,V355=regle!$K$11),-2,IF(V355=regle!$B$11,0,IF(AP$1=$AK$1,IF($O355,-1,regle!$B$2-$M355),IF(AO355=-1,-1,AO355+1))))</f>
        <v>26</v>
      </c>
      <c r="AQ355" s="16">
        <f>IF(OR(W355=regle!$J$11,W355=regle!$K$11),-2,IF(W355=regle!$B$11,0,IF(AQ$1=$AK$1,IF($O355,-1,regle!$B$2-$M355),IF(AP355=-1,-1,AP355+1))))</f>
        <v>27</v>
      </c>
      <c r="AR355" s="16">
        <f>IF(OR(X355=regle!$J$11,X355=regle!$K$11),-2,IF(X355=regle!$B$11,0,IF(AR$1=$AK$1,IF($O355,-1,regle!$B$2-$M355),IF(AQ355=-1,-1,AQ355+1))))</f>
        <v>28</v>
      </c>
      <c r="AS355" s="16">
        <f>IF(OR(Y355=regle!$J$11,Y355=regle!$K$11),-2,IF(Y355=regle!$B$11,0,IF(AS$1=$AK$1,IF($O355,-1,regle!$B$2-$M355),IF(AR355=-1,-1,AR355+1))))</f>
        <v>29</v>
      </c>
      <c r="AT355" s="16">
        <f>IF(OR(Z355=regle!$J$11,Z355=regle!$K$11),-2,IF(Z355=regle!$B$11,0,IF(AT$1=$AK$1,IF($O355,-1,regle!$B$2-$M355),IF(AS355=-1,-1,AS355+1))))</f>
        <v>30</v>
      </c>
    </row>
    <row r="356" spans="1:46" x14ac:dyDescent="0.25">
      <c r="A356" t="b">
        <f>modif0!A32</f>
        <v>1</v>
      </c>
      <c r="B356">
        <f>ROW(modif0!B32)</f>
        <v>32</v>
      </c>
      <c r="C356" t="str">
        <f>modif0!D32</f>
        <v>536</v>
      </c>
      <c r="D356" t="str">
        <f>modif0!E32</f>
        <v>LE TUZAN</v>
      </c>
      <c r="E356">
        <f>modif0!F32</f>
        <v>21</v>
      </c>
      <c r="F356" t="str">
        <f>modif0!G32</f>
        <v>METAIRIES DE TABARTON</v>
      </c>
      <c r="G356" t="str">
        <f>modif0!I32</f>
        <v>0A</v>
      </c>
      <c r="H356">
        <f>modif0!J32</f>
        <v>415</v>
      </c>
      <c r="I356" t="str">
        <f>modif0!K32</f>
        <v>k</v>
      </c>
      <c r="J356" s="11">
        <f>modif0!M32</f>
        <v>0.2626</v>
      </c>
      <c r="K356" s="11" t="str">
        <f>modif0!P32</f>
        <v>SL</v>
      </c>
      <c r="L356" t="str">
        <f>modif0!N32</f>
        <v>PM</v>
      </c>
      <c r="M356">
        <f>modif0!Q32</f>
        <v>2003</v>
      </c>
      <c r="N356" t="str">
        <f>modif0!R32</f>
        <v>SL-PM_2003</v>
      </c>
      <c r="O356" t="b">
        <f>modif0!S32</f>
        <v>0</v>
      </c>
      <c r="P356">
        <v>40</v>
      </c>
      <c r="R356" t="s">
        <v>1805</v>
      </c>
      <c r="W356" t="s">
        <v>1806</v>
      </c>
      <c r="AA356" s="17">
        <f>IF($A356,$J356*(IF(Q356=regle!$B$11,regle!$B$23*IF(AJ356=-2,1+regle!$B$35,1),
IF(Q356=regle!$C$11,regle!$C$23,
IF(Q356=regle!$D$11,regle!$D$23,
IF(Q356=regle!$E$11,regle!$E$23,
IF(Q356=regle!$F$11,regle!$F$23,
IF(Q356=regle!$G$11,regle!$G$23,
IF(Q356=regle!$H$11,regle!$H$23,
IF(Q356=regle!$I$11,regle!$I$23,
IF(Q356=regle!$J$11,regle!$J$23,
IF(Q356=regle!$K$11,regle!$K$23,0))))))))))))</f>
        <v>0</v>
      </c>
      <c r="AB356" s="17">
        <f>IF($A356,$J356*(IF(R356=regle!$B$11,regle!$B$23*IF(AK356=-2,1+regle!$B$35,1),
IF(R356=regle!$C$11,regle!$C$23,
IF(R356=regle!$D$11,regle!$D$23,
IF(R356=regle!$E$11,regle!$E$23,
IF(R356=regle!$F$11,regle!$F$23,
IF(R356=regle!$G$11,regle!$G$23,
IF(R356=regle!$H$11,regle!$H$23,
IF(R356=regle!$I$11,regle!$I$23,
IF(R356=regle!$J$11,regle!$J$23,
IF(R356=regle!$K$11,regle!$K$23,0))))))))))))</f>
        <v>369.74079999999998</v>
      </c>
      <c r="AC356" s="17">
        <f>IF($A356,$J356*(IF(S356=regle!$B$11,regle!$B$23*IF(AL356=-2,1+regle!$B$35,1),
IF(S356=regle!$C$11,regle!$C$23,
IF(S356=regle!$D$11,regle!$D$23,
IF(S356=regle!$E$11,regle!$E$23,
IF(S356=regle!$F$11,regle!$F$23,
IF(S356=regle!$G$11,regle!$G$23,
IF(S356=regle!$H$11,regle!$H$23,
IF(S356=regle!$I$11,regle!$I$23,
IF(S356=regle!$J$11,regle!$J$23,
IF(S356=regle!$K$11,regle!$K$23,0))))))))))))</f>
        <v>0</v>
      </c>
      <c r="AD356" s="17">
        <f>IF($A356,$J356*(IF(T356=regle!$B$11,regle!$B$23*IF(AM356=-2,1+regle!$B$35,1),
IF(T356=regle!$C$11,regle!$C$23,
IF(T356=regle!$D$11,regle!$D$23,
IF(T356=regle!$E$11,regle!$E$23,
IF(T356=regle!$F$11,regle!$F$23,
IF(T356=regle!$G$11,regle!$G$23,
IF(T356=regle!$H$11,regle!$H$23,
IF(T356=regle!$I$11,regle!$I$23,
IF(T356=regle!$J$11,regle!$J$23,
IF(T356=regle!$K$11,regle!$K$23,0))))))))))))</f>
        <v>0</v>
      </c>
      <c r="AE356" s="17">
        <f>IF($A356,$J356*(IF(U356=regle!$B$11,regle!$B$23*IF(AN356=-2,1+regle!$B$35,1),
IF(U356=regle!$C$11,regle!$C$23,
IF(U356=regle!$D$11,regle!$D$23,
IF(U356=regle!$E$11,regle!$E$23,
IF(U356=regle!$F$11,regle!$F$23,
IF(U356=regle!$G$11,regle!$G$23,
IF(U356=regle!$H$11,regle!$H$23,
IF(U356=regle!$I$11,regle!$I$23,
IF(U356=regle!$J$11,regle!$J$23,
IF(U356=regle!$K$11,regle!$K$23,0))))))))))))</f>
        <v>0</v>
      </c>
      <c r="AF356" s="17">
        <f>IF($A356,$J356*(IF(V356=regle!$B$11,regle!$B$23*IF(AO356=-2,1+regle!$B$35,1),
IF(V356=regle!$C$11,regle!$C$23,
IF(V356=regle!$D$11,regle!$D$23,
IF(V356=regle!$E$11,regle!$E$23,
IF(V356=regle!$F$11,regle!$F$23,
IF(V356=regle!$G$11,regle!$G$23,
IF(V356=regle!$H$11,regle!$H$23,
IF(V356=regle!$I$11,regle!$I$23,
IF(V356=regle!$J$11,regle!$J$23,
IF(V356=regle!$K$11,regle!$K$23,0))))))))))))</f>
        <v>0</v>
      </c>
      <c r="AG356" s="17">
        <f>IF($A356,$J356*(IF(W356=regle!$B$11,regle!$B$23*IF(AP356=-2,1+regle!$B$35,1),
IF(W356=regle!$C$11,regle!$C$23,
IF(W356=regle!$D$11,regle!$D$23,
IF(W356=regle!$E$11,regle!$E$23,
IF(W356=regle!$F$11,regle!$F$23,
IF(W356=regle!$G$11,regle!$G$23,
IF(W356=regle!$H$11,regle!$H$23,
IF(W356=regle!$I$11,regle!$I$23,
IF(W356=regle!$J$11,regle!$J$23,
IF(W356=regle!$K$11,regle!$K$23,0))))))))))))</f>
        <v>336.12799999999999</v>
      </c>
      <c r="AH356" s="17">
        <f>IF($A356,$J356*(IF(X356=regle!$B$11,regle!$B$23*IF(AQ356=-2,1+regle!$B$35,1),
IF(X356=regle!$C$11,regle!$C$23,
IF(X356=regle!$D$11,regle!$D$23,
IF(X356=regle!$E$11,regle!$E$23,
IF(X356=regle!$F$11,regle!$F$23,
IF(X356=regle!$G$11,regle!$G$23,
IF(X356=regle!$H$11,regle!$H$23,
IF(X356=regle!$I$11,regle!$I$23,
IF(X356=regle!$J$11,regle!$J$23,
IF(X356=regle!$K$11,regle!$K$23,0))))))))))))</f>
        <v>0</v>
      </c>
      <c r="AI356" s="17">
        <f>IF($A356,$J356*(IF(Y356=regle!$B$11,regle!$B$23*IF(AR356=-2,1+regle!$B$35,1),
IF(Y356=regle!$C$11,regle!$C$23,
IF(Y356=regle!$D$11,regle!$D$23,
IF(Y356=regle!$E$11,regle!$E$23,
IF(Y356=regle!$F$11,regle!$F$23,
IF(Y356=regle!$G$11,regle!$G$23,
IF(Y356=regle!$H$11,regle!$H$23,
IF(Y356=regle!$I$11,regle!$I$23,
IF(Y356=regle!$J$11,regle!$J$23,
IF(Y356=regle!$K$11,regle!$K$23,0))))))))))))</f>
        <v>0</v>
      </c>
      <c r="AJ356" s="17">
        <f>IF($A356,$J356*(IF(Z356=regle!$B$11,regle!$B$23*IF(AS356=-2,1+regle!$B$35,1),
IF(Z356=regle!$C$11,regle!$C$23,
IF(Z356=regle!$D$11,regle!$D$23,
IF(Z356=regle!$E$11,regle!$E$23,
IF(Z356=regle!$F$11,regle!$F$23,
IF(Z356=regle!$G$11,regle!$G$23,
IF(Z356=regle!$H$11,regle!$H$23,
IF(Z356=regle!$I$11,regle!$I$23,
IF(Z356=regle!$J$11,regle!$J$23,
IF(Z356=regle!$K$11,regle!$K$23,0))))))))))))</f>
        <v>0</v>
      </c>
      <c r="AK356" s="16">
        <f>IF(OR(Q356=regle!$J$11,Q356=regle!$K$11),-2,IF(Q356=regle!$B$11,0,IF(AK$1=$AK$1,IF($O356,-1,regle!$B$2-$M356),IF(AJ356=-1,-1,AJ356+1))))</f>
        <v>21</v>
      </c>
      <c r="AL356" s="16">
        <f>IF(OR(R356=regle!$J$11,R356=regle!$K$11),-2,IF(R356=regle!$B$11,0,IF(AL$1=$AK$1,IF($O356,-1,regle!$B$2-$M356),IF(AK356=-1,-1,AK356+1))))</f>
        <v>22</v>
      </c>
      <c r="AM356" s="16">
        <f>IF(OR(S356=regle!$J$11,S356=regle!$K$11),-2,IF(S356=regle!$B$11,0,IF(AM$1=$AK$1,IF($O356,-1,regle!$B$2-$M356),IF(AL356=-1,-1,AL356+1))))</f>
        <v>23</v>
      </c>
      <c r="AN356" s="16">
        <f>IF(OR(T356=regle!$J$11,T356=regle!$K$11),-2,IF(T356=regle!$B$11,0,IF(AN$1=$AK$1,IF($O356,-1,regle!$B$2-$M356),IF(AM356=-1,-1,AM356+1))))</f>
        <v>24</v>
      </c>
      <c r="AO356" s="16">
        <f>IF(OR(U356=regle!$J$11,U356=regle!$K$11),-2,IF(U356=regle!$B$11,0,IF(AO$1=$AK$1,IF($O356,-1,regle!$B$2-$M356),IF(AN356=-1,-1,AN356+1))))</f>
        <v>25</v>
      </c>
      <c r="AP356" s="16">
        <f>IF(OR(V356=regle!$J$11,V356=regle!$K$11),-2,IF(V356=regle!$B$11,0,IF(AP$1=$AK$1,IF($O356,-1,regle!$B$2-$M356),IF(AO356=-1,-1,AO356+1))))</f>
        <v>26</v>
      </c>
      <c r="AQ356" s="16">
        <f>IF(OR(W356=regle!$J$11,W356=regle!$K$11),-2,IF(W356=regle!$B$11,0,IF(AQ$1=$AK$1,IF($O356,-1,regle!$B$2-$M356),IF(AP356=-1,-1,AP356+1))))</f>
        <v>27</v>
      </c>
      <c r="AR356" s="16">
        <f>IF(OR(X356=regle!$J$11,X356=regle!$K$11),-2,IF(X356=regle!$B$11,0,IF(AR$1=$AK$1,IF($O356,-1,regle!$B$2-$M356),IF(AQ356=-1,-1,AQ356+1))))</f>
        <v>28</v>
      </c>
      <c r="AS356" s="16">
        <f>IF(OR(Y356=regle!$J$11,Y356=regle!$K$11),-2,IF(Y356=regle!$B$11,0,IF(AS$1=$AK$1,IF($O356,-1,regle!$B$2-$M356),IF(AR356=-1,-1,AR356+1))))</f>
        <v>29</v>
      </c>
      <c r="AT356" s="16">
        <f>IF(OR(Z356=regle!$J$11,Z356=regle!$K$11),-2,IF(Z356=regle!$B$11,0,IF(AT$1=$AK$1,IF($O356,-1,regle!$B$2-$M356),IF(AS356=-1,-1,AS356+1))))</f>
        <v>30</v>
      </c>
    </row>
    <row r="357" spans="1:46" x14ac:dyDescent="0.25">
      <c r="A357" t="b">
        <f>modif0!A297</f>
        <v>1</v>
      </c>
      <c r="B357">
        <f>ROW(modif0!B297)</f>
        <v>297</v>
      </c>
      <c r="C357" t="str">
        <f>modif0!D297</f>
        <v>171</v>
      </c>
      <c r="D357" t="str">
        <f>modif0!E297</f>
        <v>MANO</v>
      </c>
      <c r="E357">
        <f>modif0!F297</f>
        <v>6</v>
      </c>
      <c r="F357" t="str">
        <f>modif0!G297</f>
        <v>BARRAT</v>
      </c>
      <c r="G357" t="str">
        <f>modif0!I297</f>
        <v>0C</v>
      </c>
      <c r="H357">
        <f>modif0!J297</f>
        <v>172</v>
      </c>
      <c r="I357" t="str">
        <f>modif0!K297</f>
        <v>j</v>
      </c>
      <c r="J357" s="11">
        <f>modif0!M297</f>
        <v>2.2059000000000002</v>
      </c>
      <c r="K357" s="11" t="str">
        <f>modif0!P297</f>
        <v>PLA</v>
      </c>
      <c r="L357" t="str">
        <f>modif0!N297</f>
        <v>PM</v>
      </c>
      <c r="M357">
        <f>modif0!Q297</f>
        <v>1997</v>
      </c>
      <c r="N357" t="str">
        <f>modif0!R297</f>
        <v>PLA-PM_1997</v>
      </c>
      <c r="O357" t="b">
        <f>modif0!S297</f>
        <v>0</v>
      </c>
      <c r="P357">
        <v>40</v>
      </c>
      <c r="Q357" t="s">
        <v>1806</v>
      </c>
      <c r="Y357" t="s">
        <v>63</v>
      </c>
      <c r="Z357" t="s">
        <v>1868</v>
      </c>
      <c r="AA357" s="17">
        <f>IF($A357,$J357*(IF(Q357=regle!$B$11,regle!$B$23*IF(AJ357=-2,1+regle!$B$35,1),
IF(Q357=regle!$C$11,regle!$C$23,
IF(Q357=regle!$D$11,regle!$D$23,
IF(Q357=regle!$E$11,regle!$E$23,
IF(Q357=regle!$F$11,regle!$F$23,
IF(Q357=regle!$G$11,regle!$G$23,
IF(Q357=regle!$H$11,regle!$H$23,
IF(Q357=regle!$I$11,regle!$I$23,
IF(Q357=regle!$J$11,regle!$J$23,
IF(Q357=regle!$K$11,regle!$K$23,0))))))))))))</f>
        <v>2823.5520000000001</v>
      </c>
      <c r="AB357" s="17">
        <f>IF($A357,$J357*(IF(R357=regle!$B$11,regle!$B$23*IF(AK357=-2,1+regle!$B$35,1),
IF(R357=regle!$C$11,regle!$C$23,
IF(R357=regle!$D$11,regle!$D$23,
IF(R357=regle!$E$11,regle!$E$23,
IF(R357=regle!$F$11,regle!$F$23,
IF(R357=regle!$G$11,regle!$G$23,
IF(R357=regle!$H$11,regle!$H$23,
IF(R357=regle!$I$11,regle!$I$23,
IF(R357=regle!$J$11,regle!$J$23,
IF(R357=regle!$K$11,regle!$K$23,0))))))))))))</f>
        <v>0</v>
      </c>
      <c r="AC357" s="17">
        <f>IF($A357,$J357*(IF(S357=regle!$B$11,regle!$B$23*IF(AL357=-2,1+regle!$B$35,1),
IF(S357=regle!$C$11,regle!$C$23,
IF(S357=regle!$D$11,regle!$D$23,
IF(S357=regle!$E$11,regle!$E$23,
IF(S357=regle!$F$11,regle!$F$23,
IF(S357=regle!$G$11,regle!$G$23,
IF(S357=regle!$H$11,regle!$H$23,
IF(S357=regle!$I$11,regle!$I$23,
IF(S357=regle!$J$11,regle!$J$23,
IF(S357=regle!$K$11,regle!$K$23,0))))))))))))</f>
        <v>0</v>
      </c>
      <c r="AD357" s="17">
        <f>IF($A357,$J357*(IF(T357=regle!$B$11,regle!$B$23*IF(AM357=-2,1+regle!$B$35,1),
IF(T357=regle!$C$11,regle!$C$23,
IF(T357=regle!$D$11,regle!$D$23,
IF(T357=regle!$E$11,regle!$E$23,
IF(T357=regle!$F$11,regle!$F$23,
IF(T357=regle!$G$11,regle!$G$23,
IF(T357=regle!$H$11,regle!$H$23,
IF(T357=regle!$I$11,regle!$I$23,
IF(T357=regle!$J$11,regle!$J$23,
IF(T357=regle!$K$11,regle!$K$23,0))))))))))))</f>
        <v>0</v>
      </c>
      <c r="AE357" s="17">
        <f>IF($A357,$J357*(IF(U357=regle!$B$11,regle!$B$23*IF(AN357=-2,1+regle!$B$35,1),
IF(U357=regle!$C$11,regle!$C$23,
IF(U357=regle!$D$11,regle!$D$23,
IF(U357=regle!$E$11,regle!$E$23,
IF(U357=regle!$F$11,regle!$F$23,
IF(U357=regle!$G$11,regle!$G$23,
IF(U357=regle!$H$11,regle!$H$23,
IF(U357=regle!$I$11,regle!$I$23,
IF(U357=regle!$J$11,regle!$J$23,
IF(U357=regle!$K$11,regle!$K$23,0))))))))))))</f>
        <v>0</v>
      </c>
      <c r="AF357" s="17">
        <f>IF($A357,$J357*(IF(V357=regle!$B$11,regle!$B$23*IF(AO357=-2,1+regle!$B$35,1),
IF(V357=regle!$C$11,regle!$C$23,
IF(V357=regle!$D$11,regle!$D$23,
IF(V357=regle!$E$11,regle!$E$23,
IF(V357=regle!$F$11,regle!$F$23,
IF(V357=regle!$G$11,regle!$G$23,
IF(V357=regle!$H$11,regle!$H$23,
IF(V357=regle!$I$11,regle!$I$23,
IF(V357=regle!$J$11,regle!$J$23,
IF(V357=regle!$K$11,regle!$K$23,0))))))))))))</f>
        <v>0</v>
      </c>
      <c r="AG357" s="17">
        <f>IF($A357,$J357*(IF(W357=regle!$B$11,regle!$B$23*IF(AP357=-2,1+regle!$B$35,1),
IF(W357=regle!$C$11,regle!$C$23,
IF(W357=regle!$D$11,regle!$D$23,
IF(W357=regle!$E$11,regle!$E$23,
IF(W357=regle!$F$11,regle!$F$23,
IF(W357=regle!$G$11,regle!$G$23,
IF(W357=regle!$H$11,regle!$H$23,
IF(W357=regle!$I$11,regle!$I$23,
IF(W357=regle!$J$11,regle!$J$23,
IF(W357=regle!$K$11,regle!$K$23,0))))))))))))</f>
        <v>0</v>
      </c>
      <c r="AH357" s="17">
        <f>IF($A357,$J357*(IF(X357=regle!$B$11,regle!$B$23*IF(AQ357=-2,1+regle!$B$35,1),
IF(X357=regle!$C$11,regle!$C$23,
IF(X357=regle!$D$11,regle!$D$23,
IF(X357=regle!$E$11,regle!$E$23,
IF(X357=regle!$F$11,regle!$F$23,
IF(X357=regle!$G$11,regle!$G$23,
IF(X357=regle!$H$11,regle!$H$23,
IF(X357=regle!$I$11,regle!$I$23,
IF(X357=regle!$J$11,regle!$J$23,
IF(X357=regle!$K$11,regle!$K$23,0))))))))))))</f>
        <v>0</v>
      </c>
      <c r="AI357" s="17">
        <f>IF($A357,$J357*(IF(Y357=regle!$B$11,regle!$B$23*IF(AR357=-2,1+regle!$B$35,1),
IF(Y357=regle!$C$11,regle!$C$23,
IF(Y357=regle!$D$11,regle!$D$23,
IF(Y357=regle!$E$11,regle!$E$23,
IF(Y357=regle!$F$11,regle!$F$23,
IF(Y357=regle!$G$11,regle!$G$23,
IF(Y357=regle!$H$11,regle!$H$23,
IF(Y357=regle!$I$11,regle!$I$23,
IF(Y357=regle!$J$11,regle!$J$23,
IF(Y357=regle!$K$11,regle!$K$23,0))))))))))))</f>
        <v>19411.920000000002</v>
      </c>
      <c r="AJ357" s="17">
        <f>IF($A357,$J357*(IF(Z357=regle!$B$11,regle!$B$23*IF(AS357=-2,1+regle!$B$35,1),
IF(Z357=regle!$C$11,regle!$C$23,
IF(Z357=regle!$D$11,regle!$D$23,
IF(Z357=regle!$E$11,regle!$E$23,
IF(Z357=regle!$F$11,regle!$F$23,
IF(Z357=regle!$G$11,regle!$G$23,
IF(Z357=regle!$H$11,regle!$H$23,
IF(Z357=regle!$I$11,regle!$I$23,
IF(Z357=regle!$J$11,regle!$J$23,
IF(Z357=regle!$K$11,regle!$K$23,0))))))))))))</f>
        <v>-4125.0330000000013</v>
      </c>
      <c r="AK357" s="16">
        <f>IF(OR(Q357=regle!$J$11,Q357=regle!$K$11),-2,IF(Q357=regle!$B$11,0,IF(AK$1=$AK$1,IF($O357,-1,regle!$B$2-$M357),IF(AJ357=-1,-1,AJ357+1))))</f>
        <v>27</v>
      </c>
      <c r="AL357" s="16">
        <f>IF(OR(R357=regle!$J$11,R357=regle!$K$11),-2,IF(R357=regle!$B$11,0,IF(AL$1=$AK$1,IF($O357,-1,regle!$B$2-$M357),IF(AK357=-1,-1,AK357+1))))</f>
        <v>28</v>
      </c>
      <c r="AM357" s="16">
        <f>IF(OR(S357=regle!$J$11,S357=regle!$K$11),-2,IF(S357=regle!$B$11,0,IF(AM$1=$AK$1,IF($O357,-1,regle!$B$2-$M357),IF(AL357=-1,-1,AL357+1))))</f>
        <v>29</v>
      </c>
      <c r="AN357" s="16">
        <f>IF(OR(T357=regle!$J$11,T357=regle!$K$11),-2,IF(T357=regle!$B$11,0,IF(AN$1=$AK$1,IF($O357,-1,regle!$B$2-$M357),IF(AM357=-1,-1,AM357+1))))</f>
        <v>30</v>
      </c>
      <c r="AO357" s="16">
        <f>IF(OR(U357=regle!$J$11,U357=regle!$K$11),-2,IF(U357=regle!$B$11,0,IF(AO$1=$AK$1,IF($O357,-1,regle!$B$2-$M357),IF(AN357=-1,-1,AN357+1))))</f>
        <v>31</v>
      </c>
      <c r="AP357" s="16">
        <f>IF(OR(V357=regle!$J$11,V357=regle!$K$11),-2,IF(V357=regle!$B$11,0,IF(AP$1=$AK$1,IF($O357,-1,regle!$B$2-$M357),IF(AO357=-1,-1,AO357+1))))</f>
        <v>32</v>
      </c>
      <c r="AQ357" s="16">
        <f>IF(OR(W357=regle!$J$11,W357=regle!$K$11),-2,IF(W357=regle!$B$11,0,IF(AQ$1=$AK$1,IF($O357,-1,regle!$B$2-$M357),IF(AP357=-1,-1,AP357+1))))</f>
        <v>33</v>
      </c>
      <c r="AR357" s="16">
        <f>IF(OR(X357=regle!$J$11,X357=regle!$K$11),-2,IF(X357=regle!$B$11,0,IF(AR$1=$AK$1,IF($O357,-1,regle!$B$2-$M357),IF(AQ357=-1,-1,AQ357+1))))</f>
        <v>34</v>
      </c>
      <c r="AS357" s="16">
        <f>IF(OR(Y357=regle!$J$11,Y357=regle!$K$11),-2,IF(Y357=regle!$B$11,0,IF(AS$1=$AK$1,IF($O357,-1,regle!$B$2-$M357),IF(AR357=-1,-1,AR357+1))))</f>
        <v>-2</v>
      </c>
      <c r="AT357" s="16">
        <f>IF(OR(Z357=regle!$J$11,Z357=regle!$K$11),-2,IF(Z357=regle!$B$11,0,IF(AT$1=$AK$1,IF($O357,-1,regle!$B$2-$M357),IF(AS357=-1,-1,AS357+1))))</f>
        <v>0</v>
      </c>
    </row>
    <row r="358" spans="1:46" x14ac:dyDescent="0.25">
      <c r="A358" t="b">
        <f>modif0!A301</f>
        <v>1</v>
      </c>
      <c r="B358">
        <f>ROW(modif0!B301)</f>
        <v>301</v>
      </c>
      <c r="C358" t="str">
        <f>modif0!D301</f>
        <v>171</v>
      </c>
      <c r="D358" t="str">
        <f>modif0!E301</f>
        <v>MANO</v>
      </c>
      <c r="E358">
        <f>modif0!F301</f>
        <v>6</v>
      </c>
      <c r="F358" t="str">
        <f>modif0!G301</f>
        <v>BARRAT</v>
      </c>
      <c r="G358" t="str">
        <f>modif0!I301</f>
        <v>0C</v>
      </c>
      <c r="H358">
        <f>modif0!J301</f>
        <v>175</v>
      </c>
      <c r="I358" t="str">
        <f>modif0!K301</f>
        <v>j</v>
      </c>
      <c r="J358" s="11">
        <f>modif0!M301</f>
        <v>0.96540000000000004</v>
      </c>
      <c r="K358" s="11" t="str">
        <f>modif0!P301</f>
        <v>PLA</v>
      </c>
      <c r="L358" t="str">
        <f>modif0!N301</f>
        <v>PM</v>
      </c>
      <c r="M358">
        <f>modif0!Q301</f>
        <v>1997</v>
      </c>
      <c r="N358" t="str">
        <f>modif0!R301</f>
        <v>PLA-PM_1997</v>
      </c>
      <c r="O358" t="b">
        <f>modif0!S301</f>
        <v>0</v>
      </c>
      <c r="P358">
        <v>40</v>
      </c>
      <c r="Q358" t="s">
        <v>1806</v>
      </c>
      <c r="Y358" t="s">
        <v>63</v>
      </c>
      <c r="Z358" t="s">
        <v>1868</v>
      </c>
      <c r="AA358" s="17">
        <f>IF($A358,$J358*(IF(Q358=regle!$B$11,regle!$B$23*IF(AJ358=-2,1+regle!$B$35,1),
IF(Q358=regle!$C$11,regle!$C$23,
IF(Q358=regle!$D$11,regle!$D$23,
IF(Q358=regle!$E$11,regle!$E$23,
IF(Q358=regle!$F$11,regle!$F$23,
IF(Q358=regle!$G$11,regle!$G$23,
IF(Q358=regle!$H$11,regle!$H$23,
IF(Q358=regle!$I$11,regle!$I$23,
IF(Q358=regle!$J$11,regle!$J$23,
IF(Q358=regle!$K$11,regle!$K$23,0))))))))))))</f>
        <v>1235.712</v>
      </c>
      <c r="AB358" s="17">
        <f>IF($A358,$J358*(IF(R358=regle!$B$11,regle!$B$23*IF(AK358=-2,1+regle!$B$35,1),
IF(R358=regle!$C$11,regle!$C$23,
IF(R358=regle!$D$11,regle!$D$23,
IF(R358=regle!$E$11,regle!$E$23,
IF(R358=regle!$F$11,regle!$F$23,
IF(R358=regle!$G$11,regle!$G$23,
IF(R358=regle!$H$11,regle!$H$23,
IF(R358=regle!$I$11,regle!$I$23,
IF(R358=regle!$J$11,regle!$J$23,
IF(R358=regle!$K$11,regle!$K$23,0))))))))))))</f>
        <v>0</v>
      </c>
      <c r="AC358" s="17">
        <f>IF($A358,$J358*(IF(S358=regle!$B$11,regle!$B$23*IF(AL358=-2,1+regle!$B$35,1),
IF(S358=regle!$C$11,regle!$C$23,
IF(S358=regle!$D$11,regle!$D$23,
IF(S358=regle!$E$11,regle!$E$23,
IF(S358=regle!$F$11,regle!$F$23,
IF(S358=regle!$G$11,regle!$G$23,
IF(S358=regle!$H$11,regle!$H$23,
IF(S358=regle!$I$11,regle!$I$23,
IF(S358=regle!$J$11,regle!$J$23,
IF(S358=regle!$K$11,regle!$K$23,0))))))))))))</f>
        <v>0</v>
      </c>
      <c r="AD358" s="17">
        <f>IF($A358,$J358*(IF(T358=regle!$B$11,regle!$B$23*IF(AM358=-2,1+regle!$B$35,1),
IF(T358=regle!$C$11,regle!$C$23,
IF(T358=regle!$D$11,regle!$D$23,
IF(T358=regle!$E$11,regle!$E$23,
IF(T358=regle!$F$11,regle!$F$23,
IF(T358=regle!$G$11,regle!$G$23,
IF(T358=regle!$H$11,regle!$H$23,
IF(T358=regle!$I$11,regle!$I$23,
IF(T358=regle!$J$11,regle!$J$23,
IF(T358=regle!$K$11,regle!$K$23,0))))))))))))</f>
        <v>0</v>
      </c>
      <c r="AE358" s="17">
        <f>IF($A358,$J358*(IF(U358=regle!$B$11,regle!$B$23*IF(AN358=-2,1+regle!$B$35,1),
IF(U358=regle!$C$11,regle!$C$23,
IF(U358=regle!$D$11,regle!$D$23,
IF(U358=regle!$E$11,regle!$E$23,
IF(U358=regle!$F$11,regle!$F$23,
IF(U358=regle!$G$11,regle!$G$23,
IF(U358=regle!$H$11,regle!$H$23,
IF(U358=regle!$I$11,regle!$I$23,
IF(U358=regle!$J$11,regle!$J$23,
IF(U358=regle!$K$11,regle!$K$23,0))))))))))))</f>
        <v>0</v>
      </c>
      <c r="AF358" s="17">
        <f>IF($A358,$J358*(IF(V358=regle!$B$11,regle!$B$23*IF(AO358=-2,1+regle!$B$35,1),
IF(V358=regle!$C$11,regle!$C$23,
IF(V358=regle!$D$11,regle!$D$23,
IF(V358=regle!$E$11,regle!$E$23,
IF(V358=regle!$F$11,regle!$F$23,
IF(V358=regle!$G$11,regle!$G$23,
IF(V358=regle!$H$11,regle!$H$23,
IF(V358=regle!$I$11,regle!$I$23,
IF(V358=regle!$J$11,regle!$J$23,
IF(V358=regle!$K$11,regle!$K$23,0))))))))))))</f>
        <v>0</v>
      </c>
      <c r="AG358" s="17">
        <f>IF($A358,$J358*(IF(W358=regle!$B$11,regle!$B$23*IF(AP358=-2,1+regle!$B$35,1),
IF(W358=regle!$C$11,regle!$C$23,
IF(W358=regle!$D$11,regle!$D$23,
IF(W358=regle!$E$11,regle!$E$23,
IF(W358=regle!$F$11,regle!$F$23,
IF(W358=regle!$G$11,regle!$G$23,
IF(W358=regle!$H$11,regle!$H$23,
IF(W358=regle!$I$11,regle!$I$23,
IF(W358=regle!$J$11,regle!$J$23,
IF(W358=regle!$K$11,regle!$K$23,0))))))))))))</f>
        <v>0</v>
      </c>
      <c r="AH358" s="17">
        <f>IF($A358,$J358*(IF(X358=regle!$B$11,regle!$B$23*IF(AQ358=-2,1+regle!$B$35,1),
IF(X358=regle!$C$11,regle!$C$23,
IF(X358=regle!$D$11,regle!$D$23,
IF(X358=regle!$E$11,regle!$E$23,
IF(X358=regle!$F$11,regle!$F$23,
IF(X358=regle!$G$11,regle!$G$23,
IF(X358=regle!$H$11,regle!$H$23,
IF(X358=regle!$I$11,regle!$I$23,
IF(X358=regle!$J$11,regle!$J$23,
IF(X358=regle!$K$11,regle!$K$23,0))))))))))))</f>
        <v>0</v>
      </c>
      <c r="AI358" s="17">
        <f>IF($A358,$J358*(IF(Y358=regle!$B$11,regle!$B$23*IF(AR358=-2,1+regle!$B$35,1),
IF(Y358=regle!$C$11,regle!$C$23,
IF(Y358=regle!$D$11,regle!$D$23,
IF(Y358=regle!$E$11,regle!$E$23,
IF(Y358=regle!$F$11,regle!$F$23,
IF(Y358=regle!$G$11,regle!$G$23,
IF(Y358=regle!$H$11,regle!$H$23,
IF(Y358=regle!$I$11,regle!$I$23,
IF(Y358=regle!$J$11,regle!$J$23,
IF(Y358=regle!$K$11,regle!$K$23,0))))))))))))</f>
        <v>8495.52</v>
      </c>
      <c r="AJ358" s="17">
        <f>IF($A358,$J358*(IF(Z358=regle!$B$11,regle!$B$23*IF(AS358=-2,1+regle!$B$35,1),
IF(Z358=regle!$C$11,regle!$C$23,
IF(Z358=regle!$D$11,regle!$D$23,
IF(Z358=regle!$E$11,regle!$E$23,
IF(Z358=regle!$F$11,regle!$F$23,
IF(Z358=regle!$G$11,regle!$G$23,
IF(Z358=regle!$H$11,regle!$H$23,
IF(Z358=regle!$I$11,regle!$I$23,
IF(Z358=regle!$J$11,regle!$J$23,
IF(Z358=regle!$K$11,regle!$K$23,0))))))))))))</f>
        <v>-1805.2980000000002</v>
      </c>
      <c r="AK358" s="16">
        <f>IF(OR(Q358=regle!$J$11,Q358=regle!$K$11),-2,IF(Q358=regle!$B$11,0,IF(AK$1=$AK$1,IF($O358,-1,regle!$B$2-$M358),IF(AJ358=-1,-1,AJ358+1))))</f>
        <v>27</v>
      </c>
      <c r="AL358" s="16">
        <f>IF(OR(R358=regle!$J$11,R358=regle!$K$11),-2,IF(R358=regle!$B$11,0,IF(AL$1=$AK$1,IF($O358,-1,regle!$B$2-$M358),IF(AK358=-1,-1,AK358+1))))</f>
        <v>28</v>
      </c>
      <c r="AM358" s="16">
        <f>IF(OR(S358=regle!$J$11,S358=regle!$K$11),-2,IF(S358=regle!$B$11,0,IF(AM$1=$AK$1,IF($O358,-1,regle!$B$2-$M358),IF(AL358=-1,-1,AL358+1))))</f>
        <v>29</v>
      </c>
      <c r="AN358" s="16">
        <f>IF(OR(T358=regle!$J$11,T358=regle!$K$11),-2,IF(T358=regle!$B$11,0,IF(AN$1=$AK$1,IF($O358,-1,regle!$B$2-$M358),IF(AM358=-1,-1,AM358+1))))</f>
        <v>30</v>
      </c>
      <c r="AO358" s="16">
        <f>IF(OR(U358=regle!$J$11,U358=regle!$K$11),-2,IF(U358=regle!$B$11,0,IF(AO$1=$AK$1,IF($O358,-1,regle!$B$2-$M358),IF(AN358=-1,-1,AN358+1))))</f>
        <v>31</v>
      </c>
      <c r="AP358" s="16">
        <f>IF(OR(V358=regle!$J$11,V358=regle!$K$11),-2,IF(V358=regle!$B$11,0,IF(AP$1=$AK$1,IF($O358,-1,regle!$B$2-$M358),IF(AO358=-1,-1,AO358+1))))</f>
        <v>32</v>
      </c>
      <c r="AQ358" s="16">
        <f>IF(OR(W358=regle!$J$11,W358=regle!$K$11),-2,IF(W358=regle!$B$11,0,IF(AQ$1=$AK$1,IF($O358,-1,regle!$B$2-$M358),IF(AP358=-1,-1,AP358+1))))</f>
        <v>33</v>
      </c>
      <c r="AR358" s="16">
        <f>IF(OR(X358=regle!$J$11,X358=regle!$K$11),-2,IF(X358=regle!$B$11,0,IF(AR$1=$AK$1,IF($O358,-1,regle!$B$2-$M358),IF(AQ358=-1,-1,AQ358+1))))</f>
        <v>34</v>
      </c>
      <c r="AS358" s="16">
        <f>IF(OR(Y358=regle!$J$11,Y358=regle!$K$11),-2,IF(Y358=regle!$B$11,0,IF(AS$1=$AK$1,IF($O358,-1,regle!$B$2-$M358),IF(AR358=-1,-1,AR358+1))))</f>
        <v>-2</v>
      </c>
      <c r="AT358" s="16">
        <f>IF(OR(Z358=regle!$J$11,Z358=regle!$K$11),-2,IF(Z358=regle!$B$11,0,IF(AT$1=$AK$1,IF($O358,-1,regle!$B$2-$M358),IF(AS358=-1,-1,AS358+1))))</f>
        <v>0</v>
      </c>
    </row>
    <row r="359" spans="1:46" x14ac:dyDescent="0.25">
      <c r="A359" t="b">
        <f>modif0!A76</f>
        <v>1</v>
      </c>
      <c r="B359">
        <f>ROW(modif0!B76)</f>
        <v>76</v>
      </c>
      <c r="C359" t="str">
        <f>modif0!D76</f>
        <v>536</v>
      </c>
      <c r="D359" t="str">
        <f>modif0!E76</f>
        <v>LE TUZAN</v>
      </c>
      <c r="E359">
        <f>modif0!F76</f>
        <v>7</v>
      </c>
      <c r="F359" t="str">
        <f>modif0!G76</f>
        <v>CHOUSSE</v>
      </c>
      <c r="G359" t="str">
        <f>modif0!I76</f>
        <v>0A</v>
      </c>
      <c r="H359">
        <f>modif0!J76</f>
        <v>680</v>
      </c>
      <c r="I359" t="str">
        <f>modif0!K76</f>
        <v>k</v>
      </c>
      <c r="J359" s="11">
        <f>modif0!M76</f>
        <v>8.1114999999999995</v>
      </c>
      <c r="K359" s="11" t="str">
        <f>modif0!P76</f>
        <v>SL</v>
      </c>
      <c r="L359" t="str">
        <f>modif0!N76</f>
        <v>PM</v>
      </c>
      <c r="M359">
        <f>modif0!Q76</f>
        <v>1995</v>
      </c>
      <c r="N359" t="str">
        <f>modif0!R76</f>
        <v>SL-PM_1995</v>
      </c>
      <c r="O359" t="b">
        <f>modif0!S76</f>
        <v>0</v>
      </c>
      <c r="P359">
        <v>40</v>
      </c>
      <c r="W359" t="s">
        <v>63</v>
      </c>
      <c r="X359" t="s">
        <v>1868</v>
      </c>
      <c r="Z359" t="s">
        <v>1872</v>
      </c>
      <c r="AA359" s="17">
        <f>IF($A359,$J359*(IF(Q359=regle!$B$11,regle!$B$23*IF(AJ359=-2,1+regle!$B$35,1),
IF(Q359=regle!$C$11,regle!$C$23,
IF(Q359=regle!$D$11,regle!$D$23,
IF(Q359=regle!$E$11,regle!$E$23,
IF(Q359=regle!$F$11,regle!$F$23,
IF(Q359=regle!$G$11,regle!$G$23,
IF(Q359=regle!$H$11,regle!$H$23,
IF(Q359=regle!$I$11,regle!$I$23,
IF(Q359=regle!$J$11,regle!$J$23,
IF(Q359=regle!$K$11,regle!$K$23,0))))))))))))</f>
        <v>0</v>
      </c>
      <c r="AB359" s="17">
        <f>IF($A359,$J359*(IF(R359=regle!$B$11,regle!$B$23*IF(AK359=-2,1+regle!$B$35,1),
IF(R359=regle!$C$11,regle!$C$23,
IF(R359=regle!$D$11,regle!$D$23,
IF(R359=regle!$E$11,regle!$E$23,
IF(R359=regle!$F$11,regle!$F$23,
IF(R359=regle!$G$11,regle!$G$23,
IF(R359=regle!$H$11,regle!$H$23,
IF(R359=regle!$I$11,regle!$I$23,
IF(R359=regle!$J$11,regle!$J$23,
IF(R359=regle!$K$11,regle!$K$23,0))))))))))))</f>
        <v>0</v>
      </c>
      <c r="AC359" s="17">
        <f>IF($A359,$J359*(IF(S359=regle!$B$11,regle!$B$23*IF(AL359=-2,1+regle!$B$35,1),
IF(S359=regle!$C$11,regle!$C$23,
IF(S359=regle!$D$11,regle!$D$23,
IF(S359=regle!$E$11,regle!$E$23,
IF(S359=regle!$F$11,regle!$F$23,
IF(S359=regle!$G$11,regle!$G$23,
IF(S359=regle!$H$11,regle!$H$23,
IF(S359=regle!$I$11,regle!$I$23,
IF(S359=regle!$J$11,regle!$J$23,
IF(S359=regle!$K$11,regle!$K$23,0))))))))))))</f>
        <v>0</v>
      </c>
      <c r="AD359" s="17">
        <f>IF($A359,$J359*(IF(T359=regle!$B$11,regle!$B$23*IF(AM359=-2,1+regle!$B$35,1),
IF(T359=regle!$C$11,regle!$C$23,
IF(T359=regle!$D$11,regle!$D$23,
IF(T359=regle!$E$11,regle!$E$23,
IF(T359=regle!$F$11,regle!$F$23,
IF(T359=regle!$G$11,regle!$G$23,
IF(T359=regle!$H$11,regle!$H$23,
IF(T359=regle!$I$11,regle!$I$23,
IF(T359=regle!$J$11,regle!$J$23,
IF(T359=regle!$K$11,regle!$K$23,0))))))))))))</f>
        <v>0</v>
      </c>
      <c r="AE359" s="17">
        <f>IF($A359,$J359*(IF(U359=regle!$B$11,regle!$B$23*IF(AN359=-2,1+regle!$B$35,1),
IF(U359=regle!$C$11,regle!$C$23,
IF(U359=regle!$D$11,regle!$D$23,
IF(U359=regle!$E$11,regle!$E$23,
IF(U359=regle!$F$11,regle!$F$23,
IF(U359=regle!$G$11,regle!$G$23,
IF(U359=regle!$H$11,regle!$H$23,
IF(U359=regle!$I$11,regle!$I$23,
IF(U359=regle!$J$11,regle!$J$23,
IF(U359=regle!$K$11,regle!$K$23,0))))))))))))</f>
        <v>0</v>
      </c>
      <c r="AF359" s="17">
        <f>IF($A359,$J359*(IF(V359=regle!$B$11,regle!$B$23*IF(AO359=-2,1+regle!$B$35,1),
IF(V359=regle!$C$11,regle!$C$23,
IF(V359=regle!$D$11,regle!$D$23,
IF(V359=regle!$E$11,regle!$E$23,
IF(V359=regle!$F$11,regle!$F$23,
IF(V359=regle!$G$11,regle!$G$23,
IF(V359=regle!$H$11,regle!$H$23,
IF(V359=regle!$I$11,regle!$I$23,
IF(V359=regle!$J$11,regle!$J$23,
IF(V359=regle!$K$11,regle!$K$23,0))))))))))))</f>
        <v>0</v>
      </c>
      <c r="AG359" s="17">
        <f>IF($A359,$J359*(IF(W359=regle!$B$11,regle!$B$23*IF(AP359=-2,1+regle!$B$35,1),
IF(W359=regle!$C$11,regle!$C$23,
IF(W359=regle!$D$11,regle!$D$23,
IF(W359=regle!$E$11,regle!$E$23,
IF(W359=regle!$F$11,regle!$F$23,
IF(W359=regle!$G$11,regle!$G$23,
IF(W359=regle!$H$11,regle!$H$23,
IF(W359=regle!$I$11,regle!$I$23,
IF(W359=regle!$J$11,regle!$J$23,
IF(W359=regle!$K$11,regle!$K$23,0))))))))))))</f>
        <v>71381.2</v>
      </c>
      <c r="AH359" s="17">
        <f>IF($A359,$J359*(IF(X359=regle!$B$11,regle!$B$23*IF(AQ359=-2,1+regle!$B$35,1),
IF(X359=regle!$C$11,regle!$C$23,
IF(X359=regle!$D$11,regle!$D$23,
IF(X359=regle!$E$11,regle!$E$23,
IF(X359=regle!$F$11,regle!$F$23,
IF(X359=regle!$G$11,regle!$G$23,
IF(X359=regle!$H$11,regle!$H$23,
IF(X359=regle!$I$11,regle!$I$23,
IF(X359=regle!$J$11,regle!$J$23,
IF(X359=regle!$K$11,regle!$K$23,0))))))))))))</f>
        <v>-15168.505000000001</v>
      </c>
      <c r="AI359" s="17">
        <f>IF($A359,$J359*(IF(Y359=regle!$B$11,regle!$B$23*IF(AR359=-2,1+regle!$B$35,1),
IF(Y359=regle!$C$11,regle!$C$23,
IF(Y359=regle!$D$11,regle!$D$23,
IF(Y359=regle!$E$11,regle!$E$23,
IF(Y359=regle!$F$11,regle!$F$23,
IF(Y359=regle!$G$11,regle!$G$23,
IF(Y359=regle!$H$11,regle!$H$23,
IF(Y359=regle!$I$11,regle!$I$23,
IF(Y359=regle!$J$11,regle!$J$23,
IF(Y359=regle!$K$11,regle!$K$23,0))))))))))))</f>
        <v>0</v>
      </c>
      <c r="AJ359" s="17">
        <f>IF($A359,$J359*(IF(Z359=regle!$B$11,regle!$B$23*IF(AS359=-2,1+regle!$B$35,1),
IF(Z359=regle!$C$11,regle!$C$23,
IF(Z359=regle!$D$11,regle!$D$23,
IF(Z359=regle!$E$11,regle!$E$23,
IF(Z359=regle!$F$11,regle!$F$23,
IF(Z359=regle!$G$11,regle!$G$23,
IF(Z359=regle!$H$11,regle!$H$23,
IF(Z359=regle!$I$11,regle!$I$23,
IF(Z359=regle!$J$11,regle!$J$23,
IF(Z359=regle!$K$11,regle!$K$23,0))))))))))))</f>
        <v>-608.36249999999995</v>
      </c>
      <c r="AK359" s="16">
        <f>IF(OR(Q359=regle!$J$11,Q359=regle!$K$11),-2,IF(Q359=regle!$B$11,0,IF(AK$1=$AK$1,IF($O359,-1,regle!$B$2-$M359),IF(AJ359=-1,-1,AJ359+1))))</f>
        <v>29</v>
      </c>
      <c r="AL359" s="16">
        <f>IF(OR(R359=regle!$J$11,R359=regle!$K$11),-2,IF(R359=regle!$B$11,0,IF(AL$1=$AK$1,IF($O359,-1,regle!$B$2-$M359),IF(AK359=-1,-1,AK359+1))))</f>
        <v>30</v>
      </c>
      <c r="AM359" s="16">
        <f>IF(OR(S359=regle!$J$11,S359=regle!$K$11),-2,IF(S359=regle!$B$11,0,IF(AM$1=$AK$1,IF($O359,-1,regle!$B$2-$M359),IF(AL359=-1,-1,AL359+1))))</f>
        <v>31</v>
      </c>
      <c r="AN359" s="16">
        <f>IF(OR(T359=regle!$J$11,T359=regle!$K$11),-2,IF(T359=regle!$B$11,0,IF(AN$1=$AK$1,IF($O359,-1,regle!$B$2-$M359),IF(AM359=-1,-1,AM359+1))))</f>
        <v>32</v>
      </c>
      <c r="AO359" s="16">
        <f>IF(OR(U359=regle!$J$11,U359=regle!$K$11),-2,IF(U359=regle!$B$11,0,IF(AO$1=$AK$1,IF($O359,-1,regle!$B$2-$M359),IF(AN359=-1,-1,AN359+1))))</f>
        <v>33</v>
      </c>
      <c r="AP359" s="16">
        <f>IF(OR(V359=regle!$J$11,V359=regle!$K$11),-2,IF(V359=regle!$B$11,0,IF(AP$1=$AK$1,IF($O359,-1,regle!$B$2-$M359),IF(AO359=-1,-1,AO359+1))))</f>
        <v>34</v>
      </c>
      <c r="AQ359" s="16">
        <f>IF(OR(W359=regle!$J$11,W359=regle!$K$11),-2,IF(W359=regle!$B$11,0,IF(AQ$1=$AK$1,IF($O359,-1,regle!$B$2-$M359),IF(AP359=-1,-1,AP359+1))))</f>
        <v>-2</v>
      </c>
      <c r="AR359" s="16">
        <f>IF(OR(X359=regle!$J$11,X359=regle!$K$11),-2,IF(X359=regle!$B$11,0,IF(AR$1=$AK$1,IF($O359,-1,regle!$B$2-$M359),IF(AQ359=-1,-1,AQ359+1))))</f>
        <v>0</v>
      </c>
      <c r="AS359" s="16">
        <f>IF(OR(Y359=regle!$J$11,Y359=regle!$K$11),-2,IF(Y359=regle!$B$11,0,IF(AS$1=$AK$1,IF($O359,-1,regle!$B$2-$M359),IF(AR359=-1,-1,AR359+1))))</f>
        <v>1</v>
      </c>
      <c r="AT359" s="16">
        <f>IF(OR(Z359=regle!$J$11,Z359=regle!$K$11),-2,IF(Z359=regle!$B$11,0,IF(AT$1=$AK$1,IF($O359,-1,regle!$B$2-$M359),IF(AS359=-1,-1,AS359+1))))</f>
        <v>2</v>
      </c>
    </row>
    <row r="360" spans="1:46" x14ac:dyDescent="0.25">
      <c r="A360" t="b">
        <f>modif0!A82</f>
        <v>1</v>
      </c>
      <c r="B360">
        <f>ROW(modif0!B82)</f>
        <v>82</v>
      </c>
      <c r="C360" t="str">
        <f>modif0!D82</f>
        <v>536</v>
      </c>
      <c r="D360" t="str">
        <f>modif0!E82</f>
        <v>LE TUZAN</v>
      </c>
      <c r="E360">
        <f>modif0!F82</f>
        <v>7</v>
      </c>
      <c r="F360" t="str">
        <f>modif0!G82</f>
        <v>CHOUSSE</v>
      </c>
      <c r="G360" t="str">
        <f>modif0!I82</f>
        <v>0A</v>
      </c>
      <c r="H360">
        <f>modif0!J82</f>
        <v>716</v>
      </c>
      <c r="I360" t="str">
        <f>modif0!K82</f>
        <v/>
      </c>
      <c r="J360" s="11">
        <f>modif0!M82</f>
        <v>1.1859999999999999</v>
      </c>
      <c r="K360" s="11" t="str">
        <f>modif0!P82</f>
        <v>PLA</v>
      </c>
      <c r="L360" t="str">
        <f>modif0!N82</f>
        <v>PM</v>
      </c>
      <c r="M360">
        <f>modif0!Q82</f>
        <v>1995</v>
      </c>
      <c r="N360" t="str">
        <f>modif0!R82</f>
        <v>PLA-PM_1995</v>
      </c>
      <c r="O360" t="b">
        <f>modif0!S82</f>
        <v>0</v>
      </c>
      <c r="P360">
        <v>40</v>
      </c>
      <c r="W360" t="s">
        <v>63</v>
      </c>
      <c r="X360" t="s">
        <v>1868</v>
      </c>
      <c r="Z360" t="s">
        <v>1872</v>
      </c>
      <c r="AA360" s="17">
        <f>IF($A360,$J360*(IF(Q360=regle!$B$11,regle!$B$23*IF(AJ360=-2,1+regle!$B$35,1),
IF(Q360=regle!$C$11,regle!$C$23,
IF(Q360=regle!$D$11,regle!$D$23,
IF(Q360=regle!$E$11,regle!$E$23,
IF(Q360=regle!$F$11,regle!$F$23,
IF(Q360=regle!$G$11,regle!$G$23,
IF(Q360=regle!$H$11,regle!$H$23,
IF(Q360=regle!$I$11,regle!$I$23,
IF(Q360=regle!$J$11,regle!$J$23,
IF(Q360=regle!$K$11,regle!$K$23,0))))))))))))</f>
        <v>0</v>
      </c>
      <c r="AB360" s="17">
        <f>IF($A360,$J360*(IF(R360=regle!$B$11,regle!$B$23*IF(AK360=-2,1+regle!$B$35,1),
IF(R360=regle!$C$11,regle!$C$23,
IF(R360=regle!$D$11,regle!$D$23,
IF(R360=regle!$E$11,regle!$E$23,
IF(R360=regle!$F$11,regle!$F$23,
IF(R360=regle!$G$11,regle!$G$23,
IF(R360=regle!$H$11,regle!$H$23,
IF(R360=regle!$I$11,regle!$I$23,
IF(R360=regle!$J$11,regle!$J$23,
IF(R360=regle!$K$11,regle!$K$23,0))))))))))))</f>
        <v>0</v>
      </c>
      <c r="AC360" s="17">
        <f>IF($A360,$J360*(IF(S360=regle!$B$11,regle!$B$23*IF(AL360=-2,1+regle!$B$35,1),
IF(S360=regle!$C$11,regle!$C$23,
IF(S360=regle!$D$11,regle!$D$23,
IF(S360=regle!$E$11,regle!$E$23,
IF(S360=regle!$F$11,regle!$F$23,
IF(S360=regle!$G$11,regle!$G$23,
IF(S360=regle!$H$11,regle!$H$23,
IF(S360=regle!$I$11,regle!$I$23,
IF(S360=regle!$J$11,regle!$J$23,
IF(S360=regle!$K$11,regle!$K$23,0))))))))))))</f>
        <v>0</v>
      </c>
      <c r="AD360" s="17">
        <f>IF($A360,$J360*(IF(T360=regle!$B$11,regle!$B$23*IF(AM360=-2,1+regle!$B$35,1),
IF(T360=regle!$C$11,regle!$C$23,
IF(T360=regle!$D$11,regle!$D$23,
IF(T360=regle!$E$11,regle!$E$23,
IF(T360=regle!$F$11,regle!$F$23,
IF(T360=regle!$G$11,regle!$G$23,
IF(T360=regle!$H$11,regle!$H$23,
IF(T360=regle!$I$11,regle!$I$23,
IF(T360=regle!$J$11,regle!$J$23,
IF(T360=regle!$K$11,regle!$K$23,0))))))))))))</f>
        <v>0</v>
      </c>
      <c r="AE360" s="17">
        <f>IF($A360,$J360*(IF(U360=regle!$B$11,regle!$B$23*IF(AN360=-2,1+regle!$B$35,1),
IF(U360=regle!$C$11,regle!$C$23,
IF(U360=regle!$D$11,regle!$D$23,
IF(U360=regle!$E$11,regle!$E$23,
IF(U360=regle!$F$11,regle!$F$23,
IF(U360=regle!$G$11,regle!$G$23,
IF(U360=regle!$H$11,regle!$H$23,
IF(U360=regle!$I$11,regle!$I$23,
IF(U360=regle!$J$11,regle!$J$23,
IF(U360=regle!$K$11,regle!$K$23,0))))))))))))</f>
        <v>0</v>
      </c>
      <c r="AF360" s="17">
        <f>IF($A360,$J360*(IF(V360=regle!$B$11,regle!$B$23*IF(AO360=-2,1+regle!$B$35,1),
IF(V360=regle!$C$11,regle!$C$23,
IF(V360=regle!$D$11,regle!$D$23,
IF(V360=regle!$E$11,regle!$E$23,
IF(V360=regle!$F$11,regle!$F$23,
IF(V360=regle!$G$11,regle!$G$23,
IF(V360=regle!$H$11,regle!$H$23,
IF(V360=regle!$I$11,regle!$I$23,
IF(V360=regle!$J$11,regle!$J$23,
IF(V360=regle!$K$11,regle!$K$23,0))))))))))))</f>
        <v>0</v>
      </c>
      <c r="AG360" s="17">
        <f>IF($A360,$J360*(IF(W360=regle!$B$11,regle!$B$23*IF(AP360=-2,1+regle!$B$35,1),
IF(W360=regle!$C$11,regle!$C$23,
IF(W360=regle!$D$11,regle!$D$23,
IF(W360=regle!$E$11,regle!$E$23,
IF(W360=regle!$F$11,regle!$F$23,
IF(W360=regle!$G$11,regle!$G$23,
IF(W360=regle!$H$11,regle!$H$23,
IF(W360=regle!$I$11,regle!$I$23,
IF(W360=regle!$J$11,regle!$J$23,
IF(W360=regle!$K$11,regle!$K$23,0))))))))))))</f>
        <v>10436.799999999999</v>
      </c>
      <c r="AH360" s="17">
        <f>IF($A360,$J360*(IF(X360=regle!$B$11,regle!$B$23*IF(AQ360=-2,1+regle!$B$35,1),
IF(X360=regle!$C$11,regle!$C$23,
IF(X360=regle!$D$11,regle!$D$23,
IF(X360=regle!$E$11,regle!$E$23,
IF(X360=regle!$F$11,regle!$F$23,
IF(X360=regle!$G$11,regle!$G$23,
IF(X360=regle!$H$11,regle!$H$23,
IF(X360=regle!$I$11,regle!$I$23,
IF(X360=regle!$J$11,regle!$J$23,
IF(X360=regle!$K$11,regle!$K$23,0))))))))))))</f>
        <v>-2217.8200000000002</v>
      </c>
      <c r="AI360" s="17">
        <f>IF($A360,$J360*(IF(Y360=regle!$B$11,regle!$B$23*IF(AR360=-2,1+regle!$B$35,1),
IF(Y360=regle!$C$11,regle!$C$23,
IF(Y360=regle!$D$11,regle!$D$23,
IF(Y360=regle!$E$11,regle!$E$23,
IF(Y360=regle!$F$11,regle!$F$23,
IF(Y360=regle!$G$11,regle!$G$23,
IF(Y360=regle!$H$11,regle!$H$23,
IF(Y360=regle!$I$11,regle!$I$23,
IF(Y360=regle!$J$11,regle!$J$23,
IF(Y360=regle!$K$11,regle!$K$23,0))))))))))))</f>
        <v>0</v>
      </c>
      <c r="AJ360" s="17">
        <f>IF($A360,$J360*(IF(Z360=regle!$B$11,regle!$B$23*IF(AS360=-2,1+regle!$B$35,1),
IF(Z360=regle!$C$11,regle!$C$23,
IF(Z360=regle!$D$11,regle!$D$23,
IF(Z360=regle!$E$11,regle!$E$23,
IF(Z360=regle!$F$11,regle!$F$23,
IF(Z360=regle!$G$11,regle!$G$23,
IF(Z360=regle!$H$11,regle!$H$23,
IF(Z360=regle!$I$11,regle!$I$23,
IF(Z360=regle!$J$11,regle!$J$23,
IF(Z360=regle!$K$11,regle!$K$23,0))))))))))))</f>
        <v>-88.949999999999989</v>
      </c>
      <c r="AK360" s="16">
        <f>IF(OR(Q360=regle!$J$11,Q360=regle!$K$11),-2,IF(Q360=regle!$B$11,0,IF(AK$1=$AK$1,IF($O360,-1,regle!$B$2-$M360),IF(AJ360=-1,-1,AJ360+1))))</f>
        <v>29</v>
      </c>
      <c r="AL360" s="16">
        <f>IF(OR(R360=regle!$J$11,R360=regle!$K$11),-2,IF(R360=regle!$B$11,0,IF(AL$1=$AK$1,IF($O360,-1,regle!$B$2-$M360),IF(AK360=-1,-1,AK360+1))))</f>
        <v>30</v>
      </c>
      <c r="AM360" s="16">
        <f>IF(OR(S360=regle!$J$11,S360=regle!$K$11),-2,IF(S360=regle!$B$11,0,IF(AM$1=$AK$1,IF($O360,-1,regle!$B$2-$M360),IF(AL360=-1,-1,AL360+1))))</f>
        <v>31</v>
      </c>
      <c r="AN360" s="16">
        <f>IF(OR(T360=regle!$J$11,T360=regle!$K$11),-2,IF(T360=regle!$B$11,0,IF(AN$1=$AK$1,IF($O360,-1,regle!$B$2-$M360),IF(AM360=-1,-1,AM360+1))))</f>
        <v>32</v>
      </c>
      <c r="AO360" s="16">
        <f>IF(OR(U360=regle!$J$11,U360=regle!$K$11),-2,IF(U360=regle!$B$11,0,IF(AO$1=$AK$1,IF($O360,-1,regle!$B$2-$M360),IF(AN360=-1,-1,AN360+1))))</f>
        <v>33</v>
      </c>
      <c r="AP360" s="16">
        <f>IF(OR(V360=regle!$J$11,V360=regle!$K$11),-2,IF(V360=regle!$B$11,0,IF(AP$1=$AK$1,IF($O360,-1,regle!$B$2-$M360),IF(AO360=-1,-1,AO360+1))))</f>
        <v>34</v>
      </c>
      <c r="AQ360" s="16">
        <f>IF(OR(W360=regle!$J$11,W360=regle!$K$11),-2,IF(W360=regle!$B$11,0,IF(AQ$1=$AK$1,IF($O360,-1,regle!$B$2-$M360),IF(AP360=-1,-1,AP360+1))))</f>
        <v>-2</v>
      </c>
      <c r="AR360" s="16">
        <f>IF(OR(X360=regle!$J$11,X360=regle!$K$11),-2,IF(X360=regle!$B$11,0,IF(AR$1=$AK$1,IF($O360,-1,regle!$B$2-$M360),IF(AQ360=-1,-1,AQ360+1))))</f>
        <v>0</v>
      </c>
      <c r="AS360" s="16">
        <f>IF(OR(Y360=regle!$J$11,Y360=regle!$K$11),-2,IF(Y360=regle!$B$11,0,IF(AS$1=$AK$1,IF($O360,-1,regle!$B$2-$M360),IF(AR360=-1,-1,AR360+1))))</f>
        <v>1</v>
      </c>
      <c r="AT360" s="16">
        <f>IF(OR(Z360=regle!$J$11,Z360=regle!$K$11),-2,IF(Z360=regle!$B$11,0,IF(AT$1=$AK$1,IF($O360,-1,regle!$B$2-$M360),IF(AS360=-1,-1,AS360+1))))</f>
        <v>2</v>
      </c>
    </row>
    <row r="361" spans="1:46" x14ac:dyDescent="0.25">
      <c r="A361" t="b">
        <f>modif0!A81</f>
        <v>1</v>
      </c>
      <c r="B361">
        <f>ROW(modif0!B81)</f>
        <v>81</v>
      </c>
      <c r="C361" t="str">
        <f>modif0!D81</f>
        <v>536</v>
      </c>
      <c r="D361" t="str">
        <f>modif0!E81</f>
        <v>LE TUZAN</v>
      </c>
      <c r="E361">
        <f>modif0!F81</f>
        <v>7</v>
      </c>
      <c r="F361" t="str">
        <f>modif0!G81</f>
        <v>CHOUSSE</v>
      </c>
      <c r="G361" t="str">
        <f>modif0!I81</f>
        <v>0A</v>
      </c>
      <c r="H361">
        <f>modif0!J81</f>
        <v>706</v>
      </c>
      <c r="I361" t="str">
        <f>modif0!K81</f>
        <v/>
      </c>
      <c r="J361" s="11">
        <f>modif0!M81</f>
        <v>0.75980000000000003</v>
      </c>
      <c r="K361" s="11" t="str">
        <f>modif0!P81</f>
        <v>SL</v>
      </c>
      <c r="L361" t="str">
        <f>modif0!N81</f>
        <v>PM</v>
      </c>
      <c r="M361">
        <f>modif0!Q81</f>
        <v>1995</v>
      </c>
      <c r="N361" t="str">
        <f>modif0!R81</f>
        <v>SL-PM_1995</v>
      </c>
      <c r="O361" t="b">
        <f>modif0!S81</f>
        <v>0</v>
      </c>
      <c r="P361">
        <v>40</v>
      </c>
      <c r="W361" t="s">
        <v>63</v>
      </c>
      <c r="X361" t="s">
        <v>1868</v>
      </c>
      <c r="Z361" t="s">
        <v>1872</v>
      </c>
      <c r="AA361" s="17">
        <f>IF($A361,$J361*(IF(Q361=regle!$B$11,regle!$B$23*IF(AJ361=-2,1+regle!$B$35,1),
IF(Q361=regle!$C$11,regle!$C$23,
IF(Q361=regle!$D$11,regle!$D$23,
IF(Q361=regle!$E$11,regle!$E$23,
IF(Q361=regle!$F$11,regle!$F$23,
IF(Q361=regle!$G$11,regle!$G$23,
IF(Q361=regle!$H$11,regle!$H$23,
IF(Q361=regle!$I$11,regle!$I$23,
IF(Q361=regle!$J$11,regle!$J$23,
IF(Q361=regle!$K$11,regle!$K$23,0))))))))))))</f>
        <v>0</v>
      </c>
      <c r="AB361" s="17">
        <f>IF($A361,$J361*(IF(R361=regle!$B$11,regle!$B$23*IF(AK361=-2,1+regle!$B$35,1),
IF(R361=regle!$C$11,regle!$C$23,
IF(R361=regle!$D$11,regle!$D$23,
IF(R361=regle!$E$11,regle!$E$23,
IF(R361=regle!$F$11,regle!$F$23,
IF(R361=regle!$G$11,regle!$G$23,
IF(R361=regle!$H$11,regle!$H$23,
IF(R361=regle!$I$11,regle!$I$23,
IF(R361=regle!$J$11,regle!$J$23,
IF(R361=regle!$K$11,regle!$K$23,0))))))))))))</f>
        <v>0</v>
      </c>
      <c r="AC361" s="17">
        <f>IF($A361,$J361*(IF(S361=regle!$B$11,regle!$B$23*IF(AL361=-2,1+regle!$B$35,1),
IF(S361=regle!$C$11,regle!$C$23,
IF(S361=regle!$D$11,regle!$D$23,
IF(S361=regle!$E$11,regle!$E$23,
IF(S361=regle!$F$11,regle!$F$23,
IF(S361=regle!$G$11,regle!$G$23,
IF(S361=regle!$H$11,regle!$H$23,
IF(S361=regle!$I$11,regle!$I$23,
IF(S361=regle!$J$11,regle!$J$23,
IF(S361=regle!$K$11,regle!$K$23,0))))))))))))</f>
        <v>0</v>
      </c>
      <c r="AD361" s="17">
        <f>IF($A361,$J361*(IF(T361=regle!$B$11,regle!$B$23*IF(AM361=-2,1+regle!$B$35,1),
IF(T361=regle!$C$11,regle!$C$23,
IF(T361=regle!$D$11,regle!$D$23,
IF(T361=regle!$E$11,regle!$E$23,
IF(T361=regle!$F$11,regle!$F$23,
IF(T361=regle!$G$11,regle!$G$23,
IF(T361=regle!$H$11,regle!$H$23,
IF(T361=regle!$I$11,regle!$I$23,
IF(T361=regle!$J$11,regle!$J$23,
IF(T361=regle!$K$11,regle!$K$23,0))))))))))))</f>
        <v>0</v>
      </c>
      <c r="AE361" s="17">
        <f>IF($A361,$J361*(IF(U361=regle!$B$11,regle!$B$23*IF(AN361=-2,1+regle!$B$35,1),
IF(U361=regle!$C$11,regle!$C$23,
IF(U361=regle!$D$11,regle!$D$23,
IF(U361=regle!$E$11,regle!$E$23,
IF(U361=regle!$F$11,regle!$F$23,
IF(U361=regle!$G$11,regle!$G$23,
IF(U361=regle!$H$11,regle!$H$23,
IF(U361=regle!$I$11,regle!$I$23,
IF(U361=regle!$J$11,regle!$J$23,
IF(U361=regle!$K$11,regle!$K$23,0))))))))))))</f>
        <v>0</v>
      </c>
      <c r="AF361" s="17">
        <f>IF($A361,$J361*(IF(V361=regle!$B$11,regle!$B$23*IF(AO361=-2,1+regle!$B$35,1),
IF(V361=regle!$C$11,regle!$C$23,
IF(V361=regle!$D$11,regle!$D$23,
IF(V361=regle!$E$11,regle!$E$23,
IF(V361=regle!$F$11,regle!$F$23,
IF(V361=regle!$G$11,regle!$G$23,
IF(V361=regle!$H$11,regle!$H$23,
IF(V361=regle!$I$11,regle!$I$23,
IF(V361=regle!$J$11,regle!$J$23,
IF(V361=regle!$K$11,regle!$K$23,0))))))))))))</f>
        <v>0</v>
      </c>
      <c r="AG361" s="17">
        <f>IF($A361,$J361*(IF(W361=regle!$B$11,regle!$B$23*IF(AP361=-2,1+regle!$B$35,1),
IF(W361=regle!$C$11,regle!$C$23,
IF(W361=regle!$D$11,regle!$D$23,
IF(W361=regle!$E$11,regle!$E$23,
IF(W361=regle!$F$11,regle!$F$23,
IF(W361=regle!$G$11,regle!$G$23,
IF(W361=regle!$H$11,regle!$H$23,
IF(W361=regle!$I$11,regle!$I$23,
IF(W361=regle!$J$11,regle!$J$23,
IF(W361=regle!$K$11,regle!$K$23,0))))))))))))</f>
        <v>6686.2400000000007</v>
      </c>
      <c r="AH361" s="17">
        <f>IF($A361,$J361*(IF(X361=regle!$B$11,regle!$B$23*IF(AQ361=-2,1+regle!$B$35,1),
IF(X361=regle!$C$11,regle!$C$23,
IF(X361=regle!$D$11,regle!$D$23,
IF(X361=regle!$E$11,regle!$E$23,
IF(X361=regle!$F$11,regle!$F$23,
IF(X361=regle!$G$11,regle!$G$23,
IF(X361=regle!$H$11,regle!$H$23,
IF(X361=regle!$I$11,regle!$I$23,
IF(X361=regle!$J$11,regle!$J$23,
IF(X361=regle!$K$11,regle!$K$23,0))))))))))))</f>
        <v>-1420.8260000000002</v>
      </c>
      <c r="AI361" s="17">
        <f>IF($A361,$J361*(IF(Y361=regle!$B$11,regle!$B$23*IF(AR361=-2,1+regle!$B$35,1),
IF(Y361=regle!$C$11,regle!$C$23,
IF(Y361=regle!$D$11,regle!$D$23,
IF(Y361=regle!$E$11,regle!$E$23,
IF(Y361=regle!$F$11,regle!$F$23,
IF(Y361=regle!$G$11,regle!$G$23,
IF(Y361=regle!$H$11,regle!$H$23,
IF(Y361=regle!$I$11,regle!$I$23,
IF(Y361=regle!$J$11,regle!$J$23,
IF(Y361=regle!$K$11,regle!$K$23,0))))))))))))</f>
        <v>0</v>
      </c>
      <c r="AJ361" s="17">
        <f>IF($A361,$J361*(IF(Z361=regle!$B$11,regle!$B$23*IF(AS361=-2,1+regle!$B$35,1),
IF(Z361=regle!$C$11,regle!$C$23,
IF(Z361=regle!$D$11,regle!$D$23,
IF(Z361=regle!$E$11,regle!$E$23,
IF(Z361=regle!$F$11,regle!$F$23,
IF(Z361=regle!$G$11,regle!$G$23,
IF(Z361=regle!$H$11,regle!$H$23,
IF(Z361=regle!$I$11,regle!$I$23,
IF(Z361=regle!$J$11,regle!$J$23,
IF(Z361=regle!$K$11,regle!$K$23,0))))))))))))</f>
        <v>-56.984999999999999</v>
      </c>
      <c r="AK361" s="16">
        <f>IF(OR(Q361=regle!$J$11,Q361=regle!$K$11),-2,IF(Q361=regle!$B$11,0,IF(AK$1=$AK$1,IF($O361,-1,regle!$B$2-$M361),IF(AJ361=-1,-1,AJ361+1))))</f>
        <v>29</v>
      </c>
      <c r="AL361" s="16">
        <f>IF(OR(R361=regle!$J$11,R361=regle!$K$11),-2,IF(R361=regle!$B$11,0,IF(AL$1=$AK$1,IF($O361,-1,regle!$B$2-$M361),IF(AK361=-1,-1,AK361+1))))</f>
        <v>30</v>
      </c>
      <c r="AM361" s="16">
        <f>IF(OR(S361=regle!$J$11,S361=regle!$K$11),-2,IF(S361=regle!$B$11,0,IF(AM$1=$AK$1,IF($O361,-1,regle!$B$2-$M361),IF(AL361=-1,-1,AL361+1))))</f>
        <v>31</v>
      </c>
      <c r="AN361" s="16">
        <f>IF(OR(T361=regle!$J$11,T361=regle!$K$11),-2,IF(T361=regle!$B$11,0,IF(AN$1=$AK$1,IF($O361,-1,regle!$B$2-$M361),IF(AM361=-1,-1,AM361+1))))</f>
        <v>32</v>
      </c>
      <c r="AO361" s="16">
        <f>IF(OR(U361=regle!$J$11,U361=regle!$K$11),-2,IF(U361=regle!$B$11,0,IF(AO$1=$AK$1,IF($O361,-1,regle!$B$2-$M361),IF(AN361=-1,-1,AN361+1))))</f>
        <v>33</v>
      </c>
      <c r="AP361" s="16">
        <f>IF(OR(V361=regle!$J$11,V361=regle!$K$11),-2,IF(V361=regle!$B$11,0,IF(AP$1=$AK$1,IF($O361,-1,regle!$B$2-$M361),IF(AO361=-1,-1,AO361+1))))</f>
        <v>34</v>
      </c>
      <c r="AQ361" s="16">
        <f>IF(OR(W361=regle!$J$11,W361=regle!$K$11),-2,IF(W361=regle!$B$11,0,IF(AQ$1=$AK$1,IF($O361,-1,regle!$B$2-$M361),IF(AP361=-1,-1,AP361+1))))</f>
        <v>-2</v>
      </c>
      <c r="AR361" s="16">
        <f>IF(OR(X361=regle!$J$11,X361=regle!$K$11),-2,IF(X361=regle!$B$11,0,IF(AR$1=$AK$1,IF($O361,-1,regle!$B$2-$M361),IF(AQ361=-1,-1,AQ361+1))))</f>
        <v>0</v>
      </c>
      <c r="AS361" s="16">
        <f>IF(OR(Y361=regle!$J$11,Y361=regle!$K$11),-2,IF(Y361=regle!$B$11,0,IF(AS$1=$AK$1,IF($O361,-1,regle!$B$2-$M361),IF(AR361=-1,-1,AR361+1))))</f>
        <v>1</v>
      </c>
      <c r="AT361" s="16">
        <f>IF(OR(Z361=regle!$J$11,Z361=regle!$K$11),-2,IF(Z361=regle!$B$11,0,IF(AT$1=$AK$1,IF($O361,-1,regle!$B$2-$M361),IF(AS361=-1,-1,AS361+1))))</f>
        <v>2</v>
      </c>
    </row>
    <row r="362" spans="1:46" x14ac:dyDescent="0.25">
      <c r="A362" t="b">
        <f>modif0!A75</f>
        <v>1</v>
      </c>
      <c r="B362">
        <f>ROW(modif0!B75)</f>
        <v>75</v>
      </c>
      <c r="C362" t="str">
        <f>modif0!D75</f>
        <v>536</v>
      </c>
      <c r="D362" t="str">
        <f>modif0!E75</f>
        <v>LE TUZAN</v>
      </c>
      <c r="E362">
        <f>modif0!F75</f>
        <v>7</v>
      </c>
      <c r="F362" t="str">
        <f>modif0!G75</f>
        <v>CHOUSSE</v>
      </c>
      <c r="G362" t="str">
        <f>modif0!I75</f>
        <v>0A</v>
      </c>
      <c r="H362">
        <f>modif0!J75</f>
        <v>678</v>
      </c>
      <c r="I362" t="str">
        <f>modif0!K75</f>
        <v/>
      </c>
      <c r="J362" s="11">
        <f>modif0!M75</f>
        <v>0.59009999999999996</v>
      </c>
      <c r="K362" s="11" t="str">
        <f>modif0!P75</f>
        <v>SL</v>
      </c>
      <c r="L362" t="str">
        <f>modif0!N75</f>
        <v>PM</v>
      </c>
      <c r="M362">
        <f>modif0!Q75</f>
        <v>1995</v>
      </c>
      <c r="N362" t="str">
        <f>modif0!R75</f>
        <v>SL-PM_1995</v>
      </c>
      <c r="O362" t="b">
        <f>modif0!S75</f>
        <v>0</v>
      </c>
      <c r="P362">
        <v>40</v>
      </c>
      <c r="W362" t="s">
        <v>63</v>
      </c>
      <c r="X362" t="s">
        <v>1868</v>
      </c>
      <c r="Z362" t="s">
        <v>1872</v>
      </c>
      <c r="AA362" s="17">
        <f>IF($A362,$J362*(IF(Q362=regle!$B$11,regle!$B$23*IF(AJ362=-2,1+regle!$B$35,1),
IF(Q362=regle!$C$11,regle!$C$23,
IF(Q362=regle!$D$11,regle!$D$23,
IF(Q362=regle!$E$11,regle!$E$23,
IF(Q362=regle!$F$11,regle!$F$23,
IF(Q362=regle!$G$11,regle!$G$23,
IF(Q362=regle!$H$11,regle!$H$23,
IF(Q362=regle!$I$11,regle!$I$23,
IF(Q362=regle!$J$11,regle!$J$23,
IF(Q362=regle!$K$11,regle!$K$23,0))))))))))))</f>
        <v>0</v>
      </c>
      <c r="AB362" s="17">
        <f>IF($A362,$J362*(IF(R362=regle!$B$11,regle!$B$23*IF(AK362=-2,1+regle!$B$35,1),
IF(R362=regle!$C$11,regle!$C$23,
IF(R362=regle!$D$11,regle!$D$23,
IF(R362=regle!$E$11,regle!$E$23,
IF(R362=regle!$F$11,regle!$F$23,
IF(R362=regle!$G$11,regle!$G$23,
IF(R362=regle!$H$11,regle!$H$23,
IF(R362=regle!$I$11,regle!$I$23,
IF(R362=regle!$J$11,regle!$J$23,
IF(R362=regle!$K$11,regle!$K$23,0))))))))))))</f>
        <v>0</v>
      </c>
      <c r="AC362" s="17">
        <f>IF($A362,$J362*(IF(S362=regle!$B$11,regle!$B$23*IF(AL362=-2,1+regle!$B$35,1),
IF(S362=regle!$C$11,regle!$C$23,
IF(S362=regle!$D$11,regle!$D$23,
IF(S362=regle!$E$11,regle!$E$23,
IF(S362=regle!$F$11,regle!$F$23,
IF(S362=regle!$G$11,regle!$G$23,
IF(S362=regle!$H$11,regle!$H$23,
IF(S362=regle!$I$11,regle!$I$23,
IF(S362=regle!$J$11,regle!$J$23,
IF(S362=regle!$K$11,regle!$K$23,0))))))))))))</f>
        <v>0</v>
      </c>
      <c r="AD362" s="17">
        <f>IF($A362,$J362*(IF(T362=regle!$B$11,regle!$B$23*IF(AM362=-2,1+regle!$B$35,1),
IF(T362=regle!$C$11,regle!$C$23,
IF(T362=regle!$D$11,regle!$D$23,
IF(T362=regle!$E$11,regle!$E$23,
IF(T362=regle!$F$11,regle!$F$23,
IF(T362=regle!$G$11,regle!$G$23,
IF(T362=regle!$H$11,regle!$H$23,
IF(T362=regle!$I$11,regle!$I$23,
IF(T362=regle!$J$11,regle!$J$23,
IF(T362=regle!$K$11,regle!$K$23,0))))))))))))</f>
        <v>0</v>
      </c>
      <c r="AE362" s="17">
        <f>IF($A362,$J362*(IF(U362=regle!$B$11,regle!$B$23*IF(AN362=-2,1+regle!$B$35,1),
IF(U362=regle!$C$11,regle!$C$23,
IF(U362=regle!$D$11,regle!$D$23,
IF(U362=regle!$E$11,regle!$E$23,
IF(U362=regle!$F$11,regle!$F$23,
IF(U362=regle!$G$11,regle!$G$23,
IF(U362=regle!$H$11,regle!$H$23,
IF(U362=regle!$I$11,regle!$I$23,
IF(U362=regle!$J$11,regle!$J$23,
IF(U362=regle!$K$11,regle!$K$23,0))))))))))))</f>
        <v>0</v>
      </c>
      <c r="AF362" s="17">
        <f>IF($A362,$J362*(IF(V362=regle!$B$11,regle!$B$23*IF(AO362=-2,1+regle!$B$35,1),
IF(V362=regle!$C$11,regle!$C$23,
IF(V362=regle!$D$11,regle!$D$23,
IF(V362=regle!$E$11,regle!$E$23,
IF(V362=regle!$F$11,regle!$F$23,
IF(V362=regle!$G$11,regle!$G$23,
IF(V362=regle!$H$11,regle!$H$23,
IF(V362=regle!$I$11,regle!$I$23,
IF(V362=regle!$J$11,regle!$J$23,
IF(V362=regle!$K$11,regle!$K$23,0))))))))))))</f>
        <v>0</v>
      </c>
      <c r="AG362" s="17">
        <f>IF($A362,$J362*(IF(W362=regle!$B$11,regle!$B$23*IF(AP362=-2,1+regle!$B$35,1),
IF(W362=regle!$C$11,regle!$C$23,
IF(W362=regle!$D$11,regle!$D$23,
IF(W362=regle!$E$11,regle!$E$23,
IF(W362=regle!$F$11,regle!$F$23,
IF(W362=regle!$G$11,regle!$G$23,
IF(W362=regle!$H$11,regle!$H$23,
IF(W362=regle!$I$11,regle!$I$23,
IF(W362=regle!$J$11,regle!$J$23,
IF(W362=regle!$K$11,regle!$K$23,0))))))))))))</f>
        <v>5192.8799999999992</v>
      </c>
      <c r="AH362" s="17">
        <f>IF($A362,$J362*(IF(X362=regle!$B$11,regle!$B$23*IF(AQ362=-2,1+regle!$B$35,1),
IF(X362=regle!$C$11,regle!$C$23,
IF(X362=regle!$D$11,regle!$D$23,
IF(X362=regle!$E$11,regle!$E$23,
IF(X362=regle!$F$11,regle!$F$23,
IF(X362=regle!$G$11,regle!$G$23,
IF(X362=regle!$H$11,regle!$H$23,
IF(X362=regle!$I$11,regle!$I$23,
IF(X362=regle!$J$11,regle!$J$23,
IF(X362=regle!$K$11,regle!$K$23,0))))))))))))</f>
        <v>-1103.4870000000001</v>
      </c>
      <c r="AI362" s="17">
        <f>IF($A362,$J362*(IF(Y362=regle!$B$11,regle!$B$23*IF(AR362=-2,1+regle!$B$35,1),
IF(Y362=regle!$C$11,regle!$C$23,
IF(Y362=regle!$D$11,regle!$D$23,
IF(Y362=regle!$E$11,regle!$E$23,
IF(Y362=regle!$F$11,regle!$F$23,
IF(Y362=regle!$G$11,regle!$G$23,
IF(Y362=regle!$H$11,regle!$H$23,
IF(Y362=regle!$I$11,regle!$I$23,
IF(Y362=regle!$J$11,regle!$J$23,
IF(Y362=regle!$K$11,regle!$K$23,0))))))))))))</f>
        <v>0</v>
      </c>
      <c r="AJ362" s="17">
        <f>IF($A362,$J362*(IF(Z362=regle!$B$11,regle!$B$23*IF(AS362=-2,1+regle!$B$35,1),
IF(Z362=regle!$C$11,regle!$C$23,
IF(Z362=regle!$D$11,regle!$D$23,
IF(Z362=regle!$E$11,regle!$E$23,
IF(Z362=regle!$F$11,regle!$F$23,
IF(Z362=regle!$G$11,regle!$G$23,
IF(Z362=regle!$H$11,regle!$H$23,
IF(Z362=regle!$I$11,regle!$I$23,
IF(Z362=regle!$J$11,regle!$J$23,
IF(Z362=regle!$K$11,regle!$K$23,0))))))))))))</f>
        <v>-44.2575</v>
      </c>
      <c r="AK362" s="16">
        <f>IF(OR(Q362=regle!$J$11,Q362=regle!$K$11),-2,IF(Q362=regle!$B$11,0,IF(AK$1=$AK$1,IF($O362,-1,regle!$B$2-$M362),IF(AJ362=-1,-1,AJ362+1))))</f>
        <v>29</v>
      </c>
      <c r="AL362" s="16">
        <f>IF(OR(R362=regle!$J$11,R362=regle!$K$11),-2,IF(R362=regle!$B$11,0,IF(AL$1=$AK$1,IF($O362,-1,regle!$B$2-$M362),IF(AK362=-1,-1,AK362+1))))</f>
        <v>30</v>
      </c>
      <c r="AM362" s="16">
        <f>IF(OR(S362=regle!$J$11,S362=regle!$K$11),-2,IF(S362=regle!$B$11,0,IF(AM$1=$AK$1,IF($O362,-1,regle!$B$2-$M362),IF(AL362=-1,-1,AL362+1))))</f>
        <v>31</v>
      </c>
      <c r="AN362" s="16">
        <f>IF(OR(T362=regle!$J$11,T362=regle!$K$11),-2,IF(T362=regle!$B$11,0,IF(AN$1=$AK$1,IF($O362,-1,regle!$B$2-$M362),IF(AM362=-1,-1,AM362+1))))</f>
        <v>32</v>
      </c>
      <c r="AO362" s="16">
        <f>IF(OR(U362=regle!$J$11,U362=regle!$K$11),-2,IF(U362=regle!$B$11,0,IF(AO$1=$AK$1,IF($O362,-1,regle!$B$2-$M362),IF(AN362=-1,-1,AN362+1))))</f>
        <v>33</v>
      </c>
      <c r="AP362" s="16">
        <f>IF(OR(V362=regle!$J$11,V362=regle!$K$11),-2,IF(V362=regle!$B$11,0,IF(AP$1=$AK$1,IF($O362,-1,regle!$B$2-$M362),IF(AO362=-1,-1,AO362+1))))</f>
        <v>34</v>
      </c>
      <c r="AQ362" s="16">
        <f>IF(OR(W362=regle!$J$11,W362=regle!$K$11),-2,IF(W362=regle!$B$11,0,IF(AQ$1=$AK$1,IF($O362,-1,regle!$B$2-$M362),IF(AP362=-1,-1,AP362+1))))</f>
        <v>-2</v>
      </c>
      <c r="AR362" s="16">
        <f>IF(OR(X362=regle!$J$11,X362=regle!$K$11),-2,IF(X362=regle!$B$11,0,IF(AR$1=$AK$1,IF($O362,-1,regle!$B$2-$M362),IF(AQ362=-1,-1,AQ362+1))))</f>
        <v>0</v>
      </c>
      <c r="AS362" s="16">
        <f>IF(OR(Y362=regle!$J$11,Y362=regle!$K$11),-2,IF(Y362=regle!$B$11,0,IF(AS$1=$AK$1,IF($O362,-1,regle!$B$2-$M362),IF(AR362=-1,-1,AR362+1))))</f>
        <v>1</v>
      </c>
      <c r="AT362" s="16">
        <f>IF(OR(Z362=regle!$J$11,Z362=regle!$K$11),-2,IF(Z362=regle!$B$11,0,IF(AT$1=$AK$1,IF($O362,-1,regle!$B$2-$M362),IF(AS362=-1,-1,AS362+1))))</f>
        <v>2</v>
      </c>
    </row>
    <row r="363" spans="1:46" x14ac:dyDescent="0.25">
      <c r="A363" t="b">
        <f>modif0!A79</f>
        <v>1</v>
      </c>
      <c r="B363">
        <f>ROW(modif0!B79)</f>
        <v>79</v>
      </c>
      <c r="C363" t="str">
        <f>modif0!D79</f>
        <v>536</v>
      </c>
      <c r="D363" t="str">
        <f>modif0!E79</f>
        <v>LE TUZAN</v>
      </c>
      <c r="E363">
        <f>modif0!F79</f>
        <v>7</v>
      </c>
      <c r="F363" t="str">
        <f>modif0!G79</f>
        <v>CHOUSSE</v>
      </c>
      <c r="G363" t="str">
        <f>modif0!I79</f>
        <v>0A</v>
      </c>
      <c r="H363">
        <f>modif0!J79</f>
        <v>700</v>
      </c>
      <c r="I363" t="str">
        <f>modif0!K79</f>
        <v>k</v>
      </c>
      <c r="J363" s="11">
        <f>modif0!M79</f>
        <v>8.5400000000000004E-2</v>
      </c>
      <c r="K363" s="11" t="str">
        <f>modif0!P79</f>
        <v>SN</v>
      </c>
      <c r="L363" t="str">
        <f>modif0!N79</f>
        <v>PM</v>
      </c>
      <c r="M363">
        <f>modif0!Q79</f>
        <v>1990</v>
      </c>
      <c r="N363" t="str">
        <f>modif0!R79</f>
        <v>SN-PM_1990</v>
      </c>
      <c r="O363" t="b">
        <f>modif0!S79</f>
        <v>0</v>
      </c>
      <c r="P363">
        <v>40</v>
      </c>
      <c r="R363" t="s">
        <v>63</v>
      </c>
      <c r="S363" t="s">
        <v>1868</v>
      </c>
      <c r="U363" t="s">
        <v>1872</v>
      </c>
      <c r="W363" t="s">
        <v>1870</v>
      </c>
      <c r="Z363" t="s">
        <v>1871</v>
      </c>
      <c r="AA363" s="17">
        <f>IF($A363,$J363*(IF(Q363=regle!$B$11,regle!$B$23*IF(AJ363=-2,1+regle!$B$35,1),
IF(Q363=regle!$C$11,regle!$C$23,
IF(Q363=regle!$D$11,regle!$D$23,
IF(Q363=regle!$E$11,regle!$E$23,
IF(Q363=regle!$F$11,regle!$F$23,
IF(Q363=regle!$G$11,regle!$G$23,
IF(Q363=regle!$H$11,regle!$H$23,
IF(Q363=regle!$I$11,regle!$I$23,
IF(Q363=regle!$J$11,regle!$J$23,
IF(Q363=regle!$K$11,regle!$K$23,0))))))))))))</f>
        <v>0</v>
      </c>
      <c r="AB363" s="17">
        <f>IF($A363,$J363*(IF(R363=regle!$B$11,regle!$B$23*IF(AK363=-2,1+regle!$B$35,1),
IF(R363=regle!$C$11,regle!$C$23,
IF(R363=regle!$D$11,regle!$D$23,
IF(R363=regle!$E$11,regle!$E$23,
IF(R363=regle!$F$11,regle!$F$23,
IF(R363=regle!$G$11,regle!$G$23,
IF(R363=regle!$H$11,regle!$H$23,
IF(R363=regle!$I$11,regle!$I$23,
IF(R363=regle!$J$11,regle!$J$23,
IF(R363=regle!$K$11,regle!$K$23,0))))))))))))</f>
        <v>751.52</v>
      </c>
      <c r="AC363" s="17">
        <f>IF($A363,$J363*(IF(S363=regle!$B$11,regle!$B$23*IF(AL363=-2,1+regle!$B$35,1),
IF(S363=regle!$C$11,regle!$C$23,
IF(S363=regle!$D$11,regle!$D$23,
IF(S363=regle!$E$11,regle!$E$23,
IF(S363=regle!$F$11,regle!$F$23,
IF(S363=regle!$G$11,regle!$G$23,
IF(S363=regle!$H$11,regle!$H$23,
IF(S363=regle!$I$11,regle!$I$23,
IF(S363=regle!$J$11,regle!$J$23,
IF(S363=regle!$K$11,regle!$K$23,0))))))))))))</f>
        <v>-159.69800000000004</v>
      </c>
      <c r="AD363" s="17">
        <f>IF($A363,$J363*(IF(T363=regle!$B$11,regle!$B$23*IF(AM363=-2,1+regle!$B$35,1),
IF(T363=regle!$C$11,regle!$C$23,
IF(T363=regle!$D$11,regle!$D$23,
IF(T363=regle!$E$11,regle!$E$23,
IF(T363=regle!$F$11,regle!$F$23,
IF(T363=regle!$G$11,regle!$G$23,
IF(T363=regle!$H$11,regle!$H$23,
IF(T363=regle!$I$11,regle!$I$23,
IF(T363=regle!$J$11,regle!$J$23,
IF(T363=regle!$K$11,regle!$K$23,0))))))))))))</f>
        <v>0</v>
      </c>
      <c r="AE363" s="17">
        <f>IF($A363,$J363*(IF(U363=regle!$B$11,regle!$B$23*IF(AN363=-2,1+regle!$B$35,1),
IF(U363=regle!$C$11,regle!$C$23,
IF(U363=regle!$D$11,regle!$D$23,
IF(U363=regle!$E$11,regle!$E$23,
IF(U363=regle!$F$11,regle!$F$23,
IF(U363=regle!$G$11,regle!$G$23,
IF(U363=regle!$H$11,regle!$H$23,
IF(U363=regle!$I$11,regle!$I$23,
IF(U363=regle!$J$11,regle!$J$23,
IF(U363=regle!$K$11,regle!$K$23,0))))))))))))</f>
        <v>-6.4050000000000002</v>
      </c>
      <c r="AF363" s="17">
        <f>IF($A363,$J363*(IF(V363=regle!$B$11,regle!$B$23*IF(AO363=-2,1+regle!$B$35,1),
IF(V363=regle!$C$11,regle!$C$23,
IF(V363=regle!$D$11,regle!$D$23,
IF(V363=regle!$E$11,regle!$E$23,
IF(V363=regle!$F$11,regle!$F$23,
IF(V363=regle!$G$11,regle!$G$23,
IF(V363=regle!$H$11,regle!$H$23,
IF(V363=regle!$I$11,regle!$I$23,
IF(V363=regle!$J$11,regle!$J$23,
IF(V363=regle!$K$11,regle!$K$23,0))))))))))))</f>
        <v>0</v>
      </c>
      <c r="AG363" s="17">
        <f>IF($A363,$J363*(IF(W363=regle!$B$11,regle!$B$23*IF(AP363=-2,1+regle!$B$35,1),
IF(W363=regle!$C$11,regle!$C$23,
IF(W363=regle!$D$11,regle!$D$23,
IF(W363=regle!$E$11,regle!$E$23,
IF(W363=regle!$F$11,regle!$F$23,
IF(W363=regle!$G$11,regle!$G$23,
IF(W363=regle!$H$11,regle!$H$23,
IF(W363=regle!$I$11,regle!$I$23,
IF(W363=regle!$J$11,regle!$J$23,
IF(W363=regle!$K$11,regle!$K$23,0))))))))))))</f>
        <v>-7.6859999999999999</v>
      </c>
      <c r="AH363" s="17">
        <f>IF($A363,$J363*(IF(X363=regle!$B$11,regle!$B$23*IF(AQ363=-2,1+regle!$B$35,1),
IF(X363=regle!$C$11,regle!$C$23,
IF(X363=regle!$D$11,regle!$D$23,
IF(X363=regle!$E$11,regle!$E$23,
IF(X363=regle!$F$11,regle!$F$23,
IF(X363=regle!$G$11,regle!$G$23,
IF(X363=regle!$H$11,regle!$H$23,
IF(X363=regle!$I$11,regle!$I$23,
IF(X363=regle!$J$11,regle!$J$23,
IF(X363=regle!$K$11,regle!$K$23,0))))))))))))</f>
        <v>0</v>
      </c>
      <c r="AI363" s="17">
        <f>IF($A363,$J363*(IF(Y363=regle!$B$11,regle!$B$23*IF(AR363=-2,1+regle!$B$35,1),
IF(Y363=regle!$C$11,regle!$C$23,
IF(Y363=regle!$D$11,regle!$D$23,
IF(Y363=regle!$E$11,regle!$E$23,
IF(Y363=regle!$F$11,regle!$F$23,
IF(Y363=regle!$G$11,regle!$G$23,
IF(Y363=regle!$H$11,regle!$H$23,
IF(Y363=regle!$I$11,regle!$I$23,
IF(Y363=regle!$J$11,regle!$J$23,
IF(Y363=regle!$K$11,regle!$K$23,0))))))))))))</f>
        <v>0</v>
      </c>
      <c r="AJ363" s="17">
        <f>IF($A363,$J363*(IF(Z363=regle!$B$11,regle!$B$23*IF(AS363=-2,1+regle!$B$35,1),
IF(Z363=regle!$C$11,regle!$C$23,
IF(Z363=regle!$D$11,regle!$D$23,
IF(Z363=regle!$E$11,regle!$E$23,
IF(Z363=regle!$F$11,regle!$F$23,
IF(Z363=regle!$G$11,regle!$G$23,
IF(Z363=regle!$H$11,regle!$H$23,
IF(Z363=regle!$I$11,regle!$I$23,
IF(Z363=regle!$J$11,regle!$J$23,
IF(Z363=regle!$K$11,regle!$K$23,0))))))))))))</f>
        <v>-7.6859999999999999</v>
      </c>
      <c r="AK363" s="16">
        <f>IF(OR(Q363=regle!$J$11,Q363=regle!$K$11),-2,IF(Q363=regle!$B$11,0,IF(AK$1=$AK$1,IF($O363,-1,regle!$B$2-$M363),IF(AJ363=-1,-1,AJ363+1))))</f>
        <v>34</v>
      </c>
      <c r="AL363" s="16">
        <f>IF(OR(R363=regle!$J$11,R363=regle!$K$11),-2,IF(R363=regle!$B$11,0,IF(AL$1=$AK$1,IF($O363,-1,regle!$B$2-$M363),IF(AK363=-1,-1,AK363+1))))</f>
        <v>-2</v>
      </c>
      <c r="AM363" s="16">
        <f>IF(OR(S363=regle!$J$11,S363=regle!$K$11),-2,IF(S363=regle!$B$11,0,IF(AM$1=$AK$1,IF($O363,-1,regle!$B$2-$M363),IF(AL363=-1,-1,AL363+1))))</f>
        <v>0</v>
      </c>
      <c r="AN363" s="16">
        <f>IF(OR(T363=regle!$J$11,T363=regle!$K$11),-2,IF(T363=regle!$B$11,0,IF(AN$1=$AK$1,IF($O363,-1,regle!$B$2-$M363),IF(AM363=-1,-1,AM363+1))))</f>
        <v>1</v>
      </c>
      <c r="AO363" s="16">
        <f>IF(OR(U363=regle!$J$11,U363=regle!$K$11),-2,IF(U363=regle!$B$11,0,IF(AO$1=$AK$1,IF($O363,-1,regle!$B$2-$M363),IF(AN363=-1,-1,AN363+1))))</f>
        <v>2</v>
      </c>
      <c r="AP363" s="16">
        <f>IF(OR(V363=regle!$J$11,V363=regle!$K$11),-2,IF(V363=regle!$B$11,0,IF(AP$1=$AK$1,IF($O363,-1,regle!$B$2-$M363),IF(AO363=-1,-1,AO363+1))))</f>
        <v>3</v>
      </c>
      <c r="AQ363" s="16">
        <f>IF(OR(W363=regle!$J$11,W363=regle!$K$11),-2,IF(W363=regle!$B$11,0,IF(AQ$1=$AK$1,IF($O363,-1,regle!$B$2-$M363),IF(AP363=-1,-1,AP363+1))))</f>
        <v>4</v>
      </c>
      <c r="AR363" s="16">
        <f>IF(OR(X363=regle!$J$11,X363=regle!$K$11),-2,IF(X363=regle!$B$11,0,IF(AR$1=$AK$1,IF($O363,-1,regle!$B$2-$M363),IF(AQ363=-1,-1,AQ363+1))))</f>
        <v>5</v>
      </c>
      <c r="AS363" s="16">
        <f>IF(OR(Y363=regle!$J$11,Y363=regle!$K$11),-2,IF(Y363=regle!$B$11,0,IF(AS$1=$AK$1,IF($O363,-1,regle!$B$2-$M363),IF(AR363=-1,-1,AR363+1))))</f>
        <v>6</v>
      </c>
      <c r="AT363" s="16">
        <f>IF(OR(Z363=regle!$J$11,Z363=regle!$K$11),-2,IF(Z363=regle!$B$11,0,IF(AT$1=$AK$1,IF($O363,-1,regle!$B$2-$M363),IF(AS363=-1,-1,AS363+1))))</f>
        <v>7</v>
      </c>
    </row>
    <row r="364" spans="1:46" x14ac:dyDescent="0.25">
      <c r="A364" t="b">
        <f>modif0!A59</f>
        <v>1</v>
      </c>
      <c r="B364">
        <f>ROW(modif0!B59)</f>
        <v>59</v>
      </c>
      <c r="C364" t="str">
        <f>modif0!D59</f>
        <v>536</v>
      </c>
      <c r="D364" t="str">
        <f>modif0!E59</f>
        <v>LE TUZAN</v>
      </c>
      <c r="E364">
        <f>modif0!F59</f>
        <v>21</v>
      </c>
      <c r="F364" t="str">
        <f>modif0!G59</f>
        <v>METAIRIES DE TABARTON</v>
      </c>
      <c r="G364" t="str">
        <f>modif0!I59</f>
        <v>0A</v>
      </c>
      <c r="H364">
        <f>modif0!J59</f>
        <v>523</v>
      </c>
      <c r="I364" t="str">
        <f>modif0!K59</f>
        <v>c</v>
      </c>
      <c r="J364" s="11">
        <f>modif0!M59</f>
        <v>3.2961</v>
      </c>
      <c r="K364" s="11" t="str">
        <f>modif0!P59</f>
        <v>SL</v>
      </c>
      <c r="L364" t="str">
        <f>modif0!N59</f>
        <v>PM</v>
      </c>
      <c r="M364">
        <f>modif0!Q59</f>
        <v>1988</v>
      </c>
      <c r="N364" t="str">
        <f>modif0!R59</f>
        <v>SL-PM_1988</v>
      </c>
      <c r="O364" t="b">
        <f>modif0!S59</f>
        <v>0</v>
      </c>
      <c r="P364">
        <v>40</v>
      </c>
      <c r="Q364" s="22"/>
      <c r="R364" t="s">
        <v>63</v>
      </c>
      <c r="S364" t="s">
        <v>1868</v>
      </c>
      <c r="U364" t="s">
        <v>1872</v>
      </c>
      <c r="W364" t="s">
        <v>1870</v>
      </c>
      <c r="Z364" t="s">
        <v>1871</v>
      </c>
      <c r="AA364" s="17">
        <f>IF($A364,$J364*(IF(Q364=regle!$B$11,regle!$B$23*IF(AJ364=-2,1+regle!$B$35,1),
IF(Q364=regle!$C$11,regle!$C$23,
IF(Q364=regle!$D$11,regle!$D$23,
IF(Q364=regle!$E$11,regle!$E$23,
IF(Q364=regle!$F$11,regle!$F$23,
IF(Q364=regle!$G$11,regle!$G$23,
IF(Q364=regle!$H$11,regle!$H$23,
IF(Q364=regle!$I$11,regle!$I$23,
IF(Q364=regle!$J$11,regle!$J$23,
IF(Q364=regle!$K$11,regle!$K$23,0))))))))))))</f>
        <v>0</v>
      </c>
      <c r="AB364" s="17">
        <f>IF($A364,$J364*(IF(R364=regle!$B$11,regle!$B$23*IF(AK364=-2,1+regle!$B$35,1),
IF(R364=regle!$C$11,regle!$C$23,
IF(R364=regle!$D$11,regle!$D$23,
IF(R364=regle!$E$11,regle!$E$23,
IF(R364=regle!$F$11,regle!$F$23,
IF(R364=regle!$G$11,regle!$G$23,
IF(R364=regle!$H$11,regle!$H$23,
IF(R364=regle!$I$11,regle!$I$23,
IF(R364=regle!$J$11,regle!$J$23,
IF(R364=regle!$K$11,regle!$K$23,0))))))))))))</f>
        <v>29005.68</v>
      </c>
      <c r="AC364" s="17">
        <f>IF($A364,$J364*(IF(S364=regle!$B$11,regle!$B$23*IF(AL364=-2,1+regle!$B$35,1),
IF(S364=regle!$C$11,regle!$C$23,
IF(S364=regle!$D$11,regle!$D$23,
IF(S364=regle!$E$11,regle!$E$23,
IF(S364=regle!$F$11,regle!$F$23,
IF(S364=regle!$G$11,regle!$G$23,
IF(S364=regle!$H$11,regle!$H$23,
IF(S364=regle!$I$11,regle!$I$23,
IF(S364=regle!$J$11,regle!$J$23,
IF(S364=regle!$K$11,regle!$K$23,0))))))))))))</f>
        <v>-6163.7070000000012</v>
      </c>
      <c r="AD364" s="17">
        <f>IF($A364,$J364*(IF(T364=regle!$B$11,regle!$B$23*IF(AM364=-2,1+regle!$B$35,1),
IF(T364=regle!$C$11,regle!$C$23,
IF(T364=regle!$D$11,regle!$D$23,
IF(T364=regle!$E$11,regle!$E$23,
IF(T364=regle!$F$11,regle!$F$23,
IF(T364=regle!$G$11,regle!$G$23,
IF(T364=regle!$H$11,regle!$H$23,
IF(T364=regle!$I$11,regle!$I$23,
IF(T364=regle!$J$11,regle!$J$23,
IF(T364=regle!$K$11,regle!$K$23,0))))))))))))</f>
        <v>0</v>
      </c>
      <c r="AE364" s="17">
        <f>IF($A364,$J364*(IF(U364=regle!$B$11,regle!$B$23*IF(AN364=-2,1+regle!$B$35,1),
IF(U364=regle!$C$11,regle!$C$23,
IF(U364=regle!$D$11,regle!$D$23,
IF(U364=regle!$E$11,regle!$E$23,
IF(U364=regle!$F$11,regle!$F$23,
IF(U364=regle!$G$11,regle!$G$23,
IF(U364=regle!$H$11,regle!$H$23,
IF(U364=regle!$I$11,regle!$I$23,
IF(U364=regle!$J$11,regle!$J$23,
IF(U364=regle!$K$11,regle!$K$23,0))))))))))))</f>
        <v>-247.20750000000001</v>
      </c>
      <c r="AF364" s="17">
        <f>IF($A364,$J364*(IF(V364=regle!$B$11,regle!$B$23*IF(AO364=-2,1+regle!$B$35,1),
IF(V364=regle!$C$11,regle!$C$23,
IF(V364=regle!$D$11,regle!$D$23,
IF(V364=regle!$E$11,regle!$E$23,
IF(V364=regle!$F$11,regle!$F$23,
IF(V364=regle!$G$11,regle!$G$23,
IF(V364=regle!$H$11,regle!$H$23,
IF(V364=regle!$I$11,regle!$I$23,
IF(V364=regle!$J$11,regle!$J$23,
IF(V364=regle!$K$11,regle!$K$23,0))))))))))))</f>
        <v>0</v>
      </c>
      <c r="AG364" s="17">
        <f>IF($A364,$J364*(IF(W364=regle!$B$11,regle!$B$23*IF(AP364=-2,1+regle!$B$35,1),
IF(W364=regle!$C$11,regle!$C$23,
IF(W364=regle!$D$11,regle!$D$23,
IF(W364=regle!$E$11,regle!$E$23,
IF(W364=regle!$F$11,regle!$F$23,
IF(W364=regle!$G$11,regle!$G$23,
IF(W364=regle!$H$11,regle!$H$23,
IF(W364=regle!$I$11,regle!$I$23,
IF(W364=regle!$J$11,regle!$J$23,
IF(W364=regle!$K$11,regle!$K$23,0))))))))))))</f>
        <v>-296.649</v>
      </c>
      <c r="AH364" s="17">
        <f>IF($A364,$J364*(IF(X364=regle!$B$11,regle!$B$23*IF(AQ364=-2,1+regle!$B$35,1),
IF(X364=regle!$C$11,regle!$C$23,
IF(X364=regle!$D$11,regle!$D$23,
IF(X364=regle!$E$11,regle!$E$23,
IF(X364=regle!$F$11,regle!$F$23,
IF(X364=regle!$G$11,regle!$G$23,
IF(X364=regle!$H$11,regle!$H$23,
IF(X364=regle!$I$11,regle!$I$23,
IF(X364=regle!$J$11,regle!$J$23,
IF(X364=regle!$K$11,regle!$K$23,0))))))))))))</f>
        <v>0</v>
      </c>
      <c r="AI364" s="17">
        <f>IF($A364,$J364*(IF(Y364=regle!$B$11,regle!$B$23*IF(AR364=-2,1+regle!$B$35,1),
IF(Y364=regle!$C$11,regle!$C$23,
IF(Y364=regle!$D$11,regle!$D$23,
IF(Y364=regle!$E$11,regle!$E$23,
IF(Y364=regle!$F$11,regle!$F$23,
IF(Y364=regle!$G$11,regle!$G$23,
IF(Y364=regle!$H$11,regle!$H$23,
IF(Y364=regle!$I$11,regle!$I$23,
IF(Y364=regle!$J$11,regle!$J$23,
IF(Y364=regle!$K$11,regle!$K$23,0))))))))))))</f>
        <v>0</v>
      </c>
      <c r="AJ364" s="17">
        <f>IF($A364,$J364*(IF(Z364=regle!$B$11,regle!$B$23*IF(AS364=-2,1+regle!$B$35,1),
IF(Z364=regle!$C$11,regle!$C$23,
IF(Z364=regle!$D$11,regle!$D$23,
IF(Z364=regle!$E$11,regle!$E$23,
IF(Z364=regle!$F$11,regle!$F$23,
IF(Z364=regle!$G$11,regle!$G$23,
IF(Z364=regle!$H$11,regle!$H$23,
IF(Z364=regle!$I$11,regle!$I$23,
IF(Z364=regle!$J$11,regle!$J$23,
IF(Z364=regle!$K$11,regle!$K$23,0))))))))))))</f>
        <v>-296.649</v>
      </c>
      <c r="AK364" s="16">
        <f>IF(OR(Q364=regle!$J$11,Q364=regle!$K$11),-2,IF(Q364=regle!$B$11,0,IF(AK$1=$AK$1,IF($O364,-1,regle!$B$2-$M364),IF(AJ364=-1,-1,AJ364+1))))</f>
        <v>36</v>
      </c>
      <c r="AL364" s="16">
        <f>IF(OR(R364=regle!$J$11,R364=regle!$K$11),-2,IF(R364=regle!$B$11,0,IF(AL$1=$AK$1,IF($O364,-1,regle!$B$2-$M364),IF(AK364=-1,-1,AK364+1))))</f>
        <v>-2</v>
      </c>
      <c r="AM364" s="16">
        <f>IF(OR(S364=regle!$J$11,S364=regle!$K$11),-2,IF(S364=regle!$B$11,0,IF(AM$1=$AK$1,IF($O364,-1,regle!$B$2-$M364),IF(AL364=-1,-1,AL364+1))))</f>
        <v>0</v>
      </c>
      <c r="AN364" s="16">
        <f>IF(OR(T364=regle!$J$11,T364=regle!$K$11),-2,IF(T364=regle!$B$11,0,IF(AN$1=$AK$1,IF($O364,-1,regle!$B$2-$M364),IF(AM364=-1,-1,AM364+1))))</f>
        <v>1</v>
      </c>
      <c r="AO364" s="16">
        <f>IF(OR(U364=regle!$J$11,U364=regle!$K$11),-2,IF(U364=regle!$B$11,0,IF(AO$1=$AK$1,IF($O364,-1,regle!$B$2-$M364),IF(AN364=-1,-1,AN364+1))))</f>
        <v>2</v>
      </c>
      <c r="AP364" s="16">
        <f>IF(OR(V364=regle!$J$11,V364=regle!$K$11),-2,IF(V364=regle!$B$11,0,IF(AP$1=$AK$1,IF($O364,-1,regle!$B$2-$M364),IF(AO364=-1,-1,AO364+1))))</f>
        <v>3</v>
      </c>
      <c r="AQ364" s="16">
        <f>IF(OR(W364=regle!$J$11,W364=regle!$K$11),-2,IF(W364=regle!$B$11,0,IF(AQ$1=$AK$1,IF($O364,-1,regle!$B$2-$M364),IF(AP364=-1,-1,AP364+1))))</f>
        <v>4</v>
      </c>
      <c r="AR364" s="16">
        <f>IF(OR(X364=regle!$J$11,X364=regle!$K$11),-2,IF(X364=regle!$B$11,0,IF(AR$1=$AK$1,IF($O364,-1,regle!$B$2-$M364),IF(AQ364=-1,-1,AQ364+1))))</f>
        <v>5</v>
      </c>
      <c r="AS364" s="16">
        <f>IF(OR(Y364=regle!$J$11,Y364=regle!$K$11),-2,IF(Y364=regle!$B$11,0,IF(AS$1=$AK$1,IF($O364,-1,regle!$B$2-$M364),IF(AR364=-1,-1,AR364+1))))</f>
        <v>6</v>
      </c>
      <c r="AT364" s="16">
        <f>IF(OR(Z364=regle!$J$11,Z364=regle!$K$11),-2,IF(Z364=regle!$B$11,0,IF(AT$1=$AK$1,IF($O364,-1,regle!$B$2-$M364),IF(AS364=-1,-1,AS364+1))))</f>
        <v>7</v>
      </c>
    </row>
    <row r="365" spans="1:46" x14ac:dyDescent="0.25">
      <c r="A365" t="b">
        <f>modif0!A216</f>
        <v>1</v>
      </c>
      <c r="B365">
        <f>ROW(modif0!B216)</f>
        <v>216</v>
      </c>
      <c r="C365" t="str">
        <f>modif0!D216</f>
        <v>202</v>
      </c>
      <c r="D365" t="str">
        <f>modif0!E216</f>
        <v>HOSTENS</v>
      </c>
      <c r="E365">
        <f>modif0!F216</f>
        <v>13</v>
      </c>
      <c r="F365" t="str">
        <f>modif0!G216</f>
        <v>LA BROUSTETTE</v>
      </c>
      <c r="G365" t="str">
        <f>modif0!I216</f>
        <v>0B</v>
      </c>
      <c r="H365">
        <f>modif0!J216</f>
        <v>1249</v>
      </c>
      <c r="I365" t="str">
        <f>modif0!K216</f>
        <v>l</v>
      </c>
      <c r="J365" s="11">
        <f>modif0!M216</f>
        <v>7.8768000000000002</v>
      </c>
      <c r="K365" s="11" t="str">
        <f>modif0!P216</f>
        <v>SL</v>
      </c>
      <c r="L365" t="str">
        <f>modif0!N216</f>
        <v>PM</v>
      </c>
      <c r="M365">
        <f>modif0!Q216</f>
        <v>1987</v>
      </c>
      <c r="N365" t="str">
        <f>modif0!R216</f>
        <v>SL-PM_1987</v>
      </c>
      <c r="O365" t="b">
        <f>modif0!S216</f>
        <v>0</v>
      </c>
      <c r="P365">
        <v>40</v>
      </c>
      <c r="Q365" s="22"/>
      <c r="R365" t="s">
        <v>63</v>
      </c>
      <c r="S365" t="s">
        <v>1868</v>
      </c>
      <c r="U365" t="s">
        <v>1872</v>
      </c>
      <c r="W365" t="s">
        <v>1870</v>
      </c>
      <c r="Z365" t="s">
        <v>1871</v>
      </c>
      <c r="AA365" s="17">
        <f>IF($A365,$J365*(IF(Q365=regle!$B$11,regle!$B$23*IF(AJ365=-2,1+regle!$B$35,1),
IF(Q365=regle!$C$11,regle!$C$23,
IF(Q365=regle!$D$11,regle!$D$23,
IF(Q365=regle!$E$11,regle!$E$23,
IF(Q365=regle!$F$11,regle!$F$23,
IF(Q365=regle!$G$11,regle!$G$23,
IF(Q365=regle!$H$11,regle!$H$23,
IF(Q365=regle!$I$11,regle!$I$23,
IF(Q365=regle!$J$11,regle!$J$23,
IF(Q365=regle!$K$11,regle!$K$23,0))))))))))))</f>
        <v>0</v>
      </c>
      <c r="AB365" s="17">
        <f>IF($A365,$J365*(IF(R365=regle!$B$11,regle!$B$23*IF(AK365=-2,1+regle!$B$35,1),
IF(R365=regle!$C$11,regle!$C$23,
IF(R365=regle!$D$11,regle!$D$23,
IF(R365=regle!$E$11,regle!$E$23,
IF(R365=regle!$F$11,regle!$F$23,
IF(R365=regle!$G$11,regle!$G$23,
IF(R365=regle!$H$11,regle!$H$23,
IF(R365=regle!$I$11,regle!$I$23,
IF(R365=regle!$J$11,regle!$J$23,
IF(R365=regle!$K$11,regle!$K$23,0))))))))))))</f>
        <v>69315.839999999997</v>
      </c>
      <c r="AC365" s="17">
        <f>IF($A365,$J365*(IF(S365=regle!$B$11,regle!$B$23*IF(AL365=-2,1+regle!$B$35,1),
IF(S365=regle!$C$11,regle!$C$23,
IF(S365=regle!$D$11,regle!$D$23,
IF(S365=regle!$E$11,regle!$E$23,
IF(S365=regle!$F$11,regle!$F$23,
IF(S365=regle!$G$11,regle!$G$23,
IF(S365=regle!$H$11,regle!$H$23,
IF(S365=regle!$I$11,regle!$I$23,
IF(S365=regle!$J$11,regle!$J$23,
IF(S365=regle!$K$11,regle!$K$23,0))))))))))))</f>
        <v>-14729.616000000002</v>
      </c>
      <c r="AD365" s="17">
        <f>IF($A365,$J365*(IF(T365=regle!$B$11,regle!$B$23*IF(AM365=-2,1+regle!$B$35,1),
IF(T365=regle!$C$11,regle!$C$23,
IF(T365=regle!$D$11,regle!$D$23,
IF(T365=regle!$E$11,regle!$E$23,
IF(T365=regle!$F$11,regle!$F$23,
IF(T365=regle!$G$11,regle!$G$23,
IF(T365=regle!$H$11,regle!$H$23,
IF(T365=regle!$I$11,regle!$I$23,
IF(T365=regle!$J$11,regle!$J$23,
IF(T365=regle!$K$11,regle!$K$23,0))))))))))))</f>
        <v>0</v>
      </c>
      <c r="AE365" s="17">
        <f>IF($A365,$J365*(IF(U365=regle!$B$11,regle!$B$23*IF(AN365=-2,1+regle!$B$35,1),
IF(U365=regle!$C$11,regle!$C$23,
IF(U365=regle!$D$11,regle!$D$23,
IF(U365=regle!$E$11,regle!$E$23,
IF(U365=regle!$F$11,regle!$F$23,
IF(U365=regle!$G$11,regle!$G$23,
IF(U365=regle!$H$11,regle!$H$23,
IF(U365=regle!$I$11,regle!$I$23,
IF(U365=regle!$J$11,regle!$J$23,
IF(U365=regle!$K$11,regle!$K$23,0))))))))))))</f>
        <v>-590.76</v>
      </c>
      <c r="AF365" s="17">
        <f>IF($A365,$J365*(IF(V365=regle!$B$11,regle!$B$23*IF(AO365=-2,1+regle!$B$35,1),
IF(V365=regle!$C$11,regle!$C$23,
IF(V365=regle!$D$11,regle!$D$23,
IF(V365=regle!$E$11,regle!$E$23,
IF(V365=regle!$F$11,regle!$F$23,
IF(V365=regle!$G$11,regle!$G$23,
IF(V365=regle!$H$11,regle!$H$23,
IF(V365=regle!$I$11,regle!$I$23,
IF(V365=regle!$J$11,regle!$J$23,
IF(V365=regle!$K$11,regle!$K$23,0))))))))))))</f>
        <v>0</v>
      </c>
      <c r="AG365" s="17">
        <f>IF($A365,$J365*(IF(W365=regle!$B$11,regle!$B$23*IF(AP365=-2,1+regle!$B$35,1),
IF(W365=regle!$C$11,regle!$C$23,
IF(W365=regle!$D$11,regle!$D$23,
IF(W365=regle!$E$11,regle!$E$23,
IF(W365=regle!$F$11,regle!$F$23,
IF(W365=regle!$G$11,regle!$G$23,
IF(W365=regle!$H$11,regle!$H$23,
IF(W365=regle!$I$11,regle!$I$23,
IF(W365=regle!$J$11,regle!$J$23,
IF(W365=regle!$K$11,regle!$K$23,0))))))))))))</f>
        <v>-708.91200000000003</v>
      </c>
      <c r="AH365" s="17">
        <f>IF($A365,$J365*(IF(X365=regle!$B$11,regle!$B$23*IF(AQ365=-2,1+regle!$B$35,1),
IF(X365=regle!$C$11,regle!$C$23,
IF(X365=regle!$D$11,regle!$D$23,
IF(X365=regle!$E$11,regle!$E$23,
IF(X365=regle!$F$11,regle!$F$23,
IF(X365=regle!$G$11,regle!$G$23,
IF(X365=regle!$H$11,regle!$H$23,
IF(X365=regle!$I$11,regle!$I$23,
IF(X365=regle!$J$11,regle!$J$23,
IF(X365=regle!$K$11,regle!$K$23,0))))))))))))</f>
        <v>0</v>
      </c>
      <c r="AI365" s="17">
        <f>IF($A365,$J365*(IF(Y365=regle!$B$11,regle!$B$23*IF(AR365=-2,1+regle!$B$35,1),
IF(Y365=regle!$C$11,regle!$C$23,
IF(Y365=regle!$D$11,regle!$D$23,
IF(Y365=regle!$E$11,regle!$E$23,
IF(Y365=regle!$F$11,regle!$F$23,
IF(Y365=regle!$G$11,regle!$G$23,
IF(Y365=regle!$H$11,regle!$H$23,
IF(Y365=regle!$I$11,regle!$I$23,
IF(Y365=regle!$J$11,regle!$J$23,
IF(Y365=regle!$K$11,regle!$K$23,0))))))))))))</f>
        <v>0</v>
      </c>
      <c r="AJ365" s="17">
        <f>IF($A365,$J365*(IF(Z365=regle!$B$11,regle!$B$23*IF(AS365=-2,1+regle!$B$35,1),
IF(Z365=regle!$C$11,regle!$C$23,
IF(Z365=regle!$D$11,regle!$D$23,
IF(Z365=regle!$E$11,regle!$E$23,
IF(Z365=regle!$F$11,regle!$F$23,
IF(Z365=regle!$G$11,regle!$G$23,
IF(Z365=regle!$H$11,regle!$H$23,
IF(Z365=regle!$I$11,regle!$I$23,
IF(Z365=regle!$J$11,regle!$J$23,
IF(Z365=regle!$K$11,regle!$K$23,0))))))))))))</f>
        <v>-708.91200000000003</v>
      </c>
      <c r="AK365" s="16">
        <f>IF(OR(Q365=regle!$J$11,Q365=regle!$K$11),-2,IF(Q365=regle!$B$11,0,IF(AK$1=$AK$1,IF($O365,-1,regle!$B$2-$M365),IF(AJ365=-1,-1,AJ365+1))))</f>
        <v>37</v>
      </c>
      <c r="AL365" s="16">
        <f>IF(OR(R365=regle!$J$11,R365=regle!$K$11),-2,IF(R365=regle!$B$11,0,IF(AL$1=$AK$1,IF($O365,-1,regle!$B$2-$M365),IF(AK365=-1,-1,AK365+1))))</f>
        <v>-2</v>
      </c>
      <c r="AM365" s="16">
        <f>IF(OR(S365=regle!$J$11,S365=regle!$K$11),-2,IF(S365=regle!$B$11,0,IF(AM$1=$AK$1,IF($O365,-1,regle!$B$2-$M365),IF(AL365=-1,-1,AL365+1))))</f>
        <v>0</v>
      </c>
      <c r="AN365" s="16">
        <f>IF(OR(T365=regle!$J$11,T365=regle!$K$11),-2,IF(T365=regle!$B$11,0,IF(AN$1=$AK$1,IF($O365,-1,regle!$B$2-$M365),IF(AM365=-1,-1,AM365+1))))</f>
        <v>1</v>
      </c>
      <c r="AO365" s="16">
        <f>IF(OR(U365=regle!$J$11,U365=regle!$K$11),-2,IF(U365=regle!$B$11,0,IF(AO$1=$AK$1,IF($O365,-1,regle!$B$2-$M365),IF(AN365=-1,-1,AN365+1))))</f>
        <v>2</v>
      </c>
      <c r="AP365" s="16">
        <f>IF(OR(V365=regle!$J$11,V365=regle!$K$11),-2,IF(V365=regle!$B$11,0,IF(AP$1=$AK$1,IF($O365,-1,regle!$B$2-$M365),IF(AO365=-1,-1,AO365+1))))</f>
        <v>3</v>
      </c>
      <c r="AQ365" s="16">
        <f>IF(OR(W365=regle!$J$11,W365=regle!$K$11),-2,IF(W365=regle!$B$11,0,IF(AQ$1=$AK$1,IF($O365,-1,regle!$B$2-$M365),IF(AP365=-1,-1,AP365+1))))</f>
        <v>4</v>
      </c>
      <c r="AR365" s="16">
        <f>IF(OR(X365=regle!$J$11,X365=regle!$K$11),-2,IF(X365=regle!$B$11,0,IF(AR$1=$AK$1,IF($O365,-1,regle!$B$2-$M365),IF(AQ365=-1,-1,AQ365+1))))</f>
        <v>5</v>
      </c>
      <c r="AS365" s="16">
        <f>IF(OR(Y365=regle!$J$11,Y365=regle!$K$11),-2,IF(Y365=regle!$B$11,0,IF(AS$1=$AK$1,IF($O365,-1,regle!$B$2-$M365),IF(AR365=-1,-1,AR365+1))))</f>
        <v>6</v>
      </c>
      <c r="AT365" s="16">
        <f>IF(OR(Z365=regle!$J$11,Z365=regle!$K$11),-2,IF(Z365=regle!$B$11,0,IF(AT$1=$AK$1,IF($O365,-1,regle!$B$2-$M365),IF(AS365=-1,-1,AS365+1))))</f>
        <v>7</v>
      </c>
    </row>
    <row r="366" spans="1:46" x14ac:dyDescent="0.25">
      <c r="A366" t="b">
        <f>modif0!A197</f>
        <v>1</v>
      </c>
      <c r="B366">
        <f>ROW(modif0!B197)</f>
        <v>197</v>
      </c>
      <c r="C366" t="str">
        <f>modif0!D197</f>
        <v>202</v>
      </c>
      <c r="D366" t="str">
        <f>modif0!E197</f>
        <v>HOSTENS</v>
      </c>
      <c r="E366">
        <f>modif0!F197</f>
        <v>13</v>
      </c>
      <c r="F366" t="str">
        <f>modif0!G197</f>
        <v>LA BROUSTETTE</v>
      </c>
      <c r="G366" t="str">
        <f>modif0!I197</f>
        <v>0B</v>
      </c>
      <c r="H366">
        <f>modif0!J197</f>
        <v>1224</v>
      </c>
      <c r="I366" t="str">
        <f>modif0!K197</f>
        <v/>
      </c>
      <c r="J366" s="11">
        <f>modif0!M197</f>
        <v>3.694</v>
      </c>
      <c r="K366" s="11" t="str">
        <f>modif0!P197</f>
        <v>SL</v>
      </c>
      <c r="L366" t="str">
        <f>modif0!N197</f>
        <v>PM</v>
      </c>
      <c r="M366">
        <f>modif0!Q197</f>
        <v>1987</v>
      </c>
      <c r="N366" t="str">
        <f>modif0!R197</f>
        <v>SL-PM_1987</v>
      </c>
      <c r="O366" t="b">
        <f>modif0!S197</f>
        <v>0</v>
      </c>
      <c r="P366">
        <v>40</v>
      </c>
      <c r="Q366" t="s">
        <v>63</v>
      </c>
      <c r="R366" t="s">
        <v>1868</v>
      </c>
      <c r="T366" t="s">
        <v>1872</v>
      </c>
      <c r="V366" t="s">
        <v>1870</v>
      </c>
      <c r="Y366" t="s">
        <v>1871</v>
      </c>
      <c r="AA366" s="17">
        <f>IF($A366,$J366*(IF(Q366=regle!$B$11,regle!$B$23*IF(AJ366=-2,1+regle!$B$35,1),
IF(Q366=regle!$C$11,regle!$C$23,
IF(Q366=regle!$D$11,regle!$D$23,
IF(Q366=regle!$E$11,regle!$E$23,
IF(Q366=regle!$F$11,regle!$F$23,
IF(Q366=regle!$G$11,regle!$G$23,
IF(Q366=regle!$H$11,regle!$H$23,
IF(Q366=regle!$I$11,regle!$I$23,
IF(Q366=regle!$J$11,regle!$J$23,
IF(Q366=regle!$K$11,regle!$K$23,0))))))))))))</f>
        <v>32507.200000000001</v>
      </c>
      <c r="AB366" s="17">
        <f>IF($A366,$J366*(IF(R366=regle!$B$11,regle!$B$23*IF(AK366=-2,1+regle!$B$35,1),
IF(R366=regle!$C$11,regle!$C$23,
IF(R366=regle!$D$11,regle!$D$23,
IF(R366=regle!$E$11,regle!$E$23,
IF(R366=regle!$F$11,regle!$F$23,
IF(R366=regle!$G$11,regle!$G$23,
IF(R366=regle!$H$11,regle!$H$23,
IF(R366=regle!$I$11,regle!$I$23,
IF(R366=regle!$J$11,regle!$J$23,
IF(R366=regle!$K$11,regle!$K$23,0))))))))))))</f>
        <v>-6907.7800000000007</v>
      </c>
      <c r="AC366" s="17">
        <f>IF($A366,$J366*(IF(S366=regle!$B$11,regle!$B$23*IF(AL366=-2,1+regle!$B$35,1),
IF(S366=regle!$C$11,regle!$C$23,
IF(S366=regle!$D$11,regle!$D$23,
IF(S366=regle!$E$11,regle!$E$23,
IF(S366=regle!$F$11,regle!$F$23,
IF(S366=regle!$G$11,regle!$G$23,
IF(S366=regle!$H$11,regle!$H$23,
IF(S366=regle!$I$11,regle!$I$23,
IF(S366=regle!$J$11,regle!$J$23,
IF(S366=regle!$K$11,regle!$K$23,0))))))))))))</f>
        <v>0</v>
      </c>
      <c r="AD366" s="17">
        <f>IF($A366,$J366*(IF(T366=regle!$B$11,regle!$B$23*IF(AM366=-2,1+regle!$B$35,1),
IF(T366=regle!$C$11,regle!$C$23,
IF(T366=regle!$D$11,regle!$D$23,
IF(T366=regle!$E$11,regle!$E$23,
IF(T366=regle!$F$11,regle!$F$23,
IF(T366=regle!$G$11,regle!$G$23,
IF(T366=regle!$H$11,regle!$H$23,
IF(T366=regle!$I$11,regle!$I$23,
IF(T366=regle!$J$11,regle!$J$23,
IF(T366=regle!$K$11,regle!$K$23,0))))))))))))</f>
        <v>-277.05</v>
      </c>
      <c r="AE366" s="17">
        <f>IF($A366,$J366*(IF(U366=regle!$B$11,regle!$B$23*IF(AN366=-2,1+regle!$B$35,1),
IF(U366=regle!$C$11,regle!$C$23,
IF(U366=regle!$D$11,regle!$D$23,
IF(U366=regle!$E$11,regle!$E$23,
IF(U366=regle!$F$11,regle!$F$23,
IF(U366=regle!$G$11,regle!$G$23,
IF(U366=regle!$H$11,regle!$H$23,
IF(U366=regle!$I$11,regle!$I$23,
IF(U366=regle!$J$11,regle!$J$23,
IF(U366=regle!$K$11,regle!$K$23,0))))))))))))</f>
        <v>0</v>
      </c>
      <c r="AF366" s="17">
        <f>IF($A366,$J366*(IF(V366=regle!$B$11,regle!$B$23*IF(AO366=-2,1+regle!$B$35,1),
IF(V366=regle!$C$11,regle!$C$23,
IF(V366=regle!$D$11,regle!$D$23,
IF(V366=regle!$E$11,regle!$E$23,
IF(V366=regle!$F$11,regle!$F$23,
IF(V366=regle!$G$11,regle!$G$23,
IF(V366=regle!$H$11,regle!$H$23,
IF(V366=regle!$I$11,regle!$I$23,
IF(V366=regle!$J$11,regle!$J$23,
IF(V366=regle!$K$11,regle!$K$23,0))))))))))))</f>
        <v>-332.46</v>
      </c>
      <c r="AG366" s="17">
        <f>IF($A366,$J366*(IF(W366=regle!$B$11,regle!$B$23*IF(AP366=-2,1+regle!$B$35,1),
IF(W366=regle!$C$11,regle!$C$23,
IF(W366=regle!$D$11,regle!$D$23,
IF(W366=regle!$E$11,regle!$E$23,
IF(W366=regle!$F$11,regle!$F$23,
IF(W366=regle!$G$11,regle!$G$23,
IF(W366=regle!$H$11,regle!$H$23,
IF(W366=regle!$I$11,regle!$I$23,
IF(W366=regle!$J$11,regle!$J$23,
IF(W366=regle!$K$11,regle!$K$23,0))))))))))))</f>
        <v>0</v>
      </c>
      <c r="AH366" s="17">
        <f>IF($A366,$J366*(IF(X366=regle!$B$11,regle!$B$23*IF(AQ366=-2,1+regle!$B$35,1),
IF(X366=regle!$C$11,regle!$C$23,
IF(X366=regle!$D$11,regle!$D$23,
IF(X366=regle!$E$11,regle!$E$23,
IF(X366=regle!$F$11,regle!$F$23,
IF(X366=regle!$G$11,regle!$G$23,
IF(X366=regle!$H$11,regle!$H$23,
IF(X366=regle!$I$11,regle!$I$23,
IF(X366=regle!$J$11,regle!$J$23,
IF(X366=regle!$K$11,regle!$K$23,0))))))))))))</f>
        <v>0</v>
      </c>
      <c r="AI366" s="17">
        <f>IF($A366,$J366*(IF(Y366=regle!$B$11,regle!$B$23*IF(AR366=-2,1+regle!$B$35,1),
IF(Y366=regle!$C$11,regle!$C$23,
IF(Y366=regle!$D$11,regle!$D$23,
IF(Y366=regle!$E$11,regle!$E$23,
IF(Y366=regle!$F$11,regle!$F$23,
IF(Y366=regle!$G$11,regle!$G$23,
IF(Y366=regle!$H$11,regle!$H$23,
IF(Y366=regle!$I$11,regle!$I$23,
IF(Y366=regle!$J$11,regle!$J$23,
IF(Y366=regle!$K$11,regle!$K$23,0))))))))))))</f>
        <v>-332.46</v>
      </c>
      <c r="AJ366" s="17">
        <f>IF($A366,$J366*(IF(Z366=regle!$B$11,regle!$B$23*IF(AS366=-2,1+regle!$B$35,1),
IF(Z366=regle!$C$11,regle!$C$23,
IF(Z366=regle!$D$11,regle!$D$23,
IF(Z366=regle!$E$11,regle!$E$23,
IF(Z366=regle!$F$11,regle!$F$23,
IF(Z366=regle!$G$11,regle!$G$23,
IF(Z366=regle!$H$11,regle!$H$23,
IF(Z366=regle!$I$11,regle!$I$23,
IF(Z366=regle!$J$11,regle!$J$23,
IF(Z366=regle!$K$11,regle!$K$23,0))))))))))))</f>
        <v>0</v>
      </c>
      <c r="AK366" s="16">
        <f>IF(OR(Q366=regle!$J$11,Q366=regle!$K$11),-2,IF(Q366=regle!$B$11,0,IF(AK$1=$AK$1,IF($O366,-1,regle!$B$2-$M366),IF(AJ366=-1,-1,AJ366+1))))</f>
        <v>-2</v>
      </c>
      <c r="AL366" s="16">
        <f>IF(OR(R366=regle!$J$11,R366=regle!$K$11),-2,IF(R366=regle!$B$11,0,IF(AL$1=$AK$1,IF($O366,-1,regle!$B$2-$M366),IF(AK366=-1,-1,AK366+1))))</f>
        <v>0</v>
      </c>
      <c r="AM366" s="16">
        <f>IF(OR(S366=regle!$J$11,S366=regle!$K$11),-2,IF(S366=regle!$B$11,0,IF(AM$1=$AK$1,IF($O366,-1,regle!$B$2-$M366),IF(AL366=-1,-1,AL366+1))))</f>
        <v>1</v>
      </c>
      <c r="AN366" s="16">
        <f>IF(OR(T366=regle!$J$11,T366=regle!$K$11),-2,IF(T366=regle!$B$11,0,IF(AN$1=$AK$1,IF($O366,-1,regle!$B$2-$M366),IF(AM366=-1,-1,AM366+1))))</f>
        <v>2</v>
      </c>
      <c r="AO366" s="16">
        <f>IF(OR(U366=regle!$J$11,U366=regle!$K$11),-2,IF(U366=regle!$B$11,0,IF(AO$1=$AK$1,IF($O366,-1,regle!$B$2-$M366),IF(AN366=-1,-1,AN366+1))))</f>
        <v>3</v>
      </c>
      <c r="AP366" s="16">
        <f>IF(OR(V366=regle!$J$11,V366=regle!$K$11),-2,IF(V366=regle!$B$11,0,IF(AP$1=$AK$1,IF($O366,-1,regle!$B$2-$M366),IF(AO366=-1,-1,AO366+1))))</f>
        <v>4</v>
      </c>
      <c r="AQ366" s="16">
        <f>IF(OR(W366=regle!$J$11,W366=regle!$K$11),-2,IF(W366=regle!$B$11,0,IF(AQ$1=$AK$1,IF($O366,-1,regle!$B$2-$M366),IF(AP366=-1,-1,AP366+1))))</f>
        <v>5</v>
      </c>
      <c r="AR366" s="16">
        <f>IF(OR(X366=regle!$J$11,X366=regle!$K$11),-2,IF(X366=regle!$B$11,0,IF(AR$1=$AK$1,IF($O366,-1,regle!$B$2-$M366),IF(AQ366=-1,-1,AQ366+1))))</f>
        <v>6</v>
      </c>
      <c r="AS366" s="16">
        <f>IF(OR(Y366=regle!$J$11,Y366=regle!$K$11),-2,IF(Y366=regle!$B$11,0,IF(AS$1=$AK$1,IF($O366,-1,regle!$B$2-$M366),IF(AR366=-1,-1,AR366+1))))</f>
        <v>7</v>
      </c>
      <c r="AT366" s="16">
        <f>IF(OR(Z366=regle!$J$11,Z366=regle!$K$11),-2,IF(Z366=regle!$B$11,0,IF(AT$1=$AK$1,IF($O366,-1,regle!$B$2-$M366),IF(AS366=-1,-1,AS366+1))))</f>
        <v>8</v>
      </c>
    </row>
    <row r="367" spans="1:46" x14ac:dyDescent="0.25">
      <c r="A367" t="b">
        <f>modif0!A212</f>
        <v>1</v>
      </c>
      <c r="B367">
        <f>ROW(modif0!B212)</f>
        <v>212</v>
      </c>
      <c r="C367" t="str">
        <f>modif0!D212</f>
        <v>202</v>
      </c>
      <c r="D367" t="str">
        <f>modif0!E212</f>
        <v>HOSTENS</v>
      </c>
      <c r="E367">
        <f>modif0!F212</f>
        <v>13</v>
      </c>
      <c r="F367" t="str">
        <f>modif0!G212</f>
        <v>LA BROUSTETTE</v>
      </c>
      <c r="G367" t="str">
        <f>modif0!I212</f>
        <v>0B</v>
      </c>
      <c r="H367">
        <f>modif0!J212</f>
        <v>1247</v>
      </c>
      <c r="I367" t="str">
        <f>modif0!K212</f>
        <v/>
      </c>
      <c r="J367" s="11">
        <f>modif0!M212</f>
        <v>2</v>
      </c>
      <c r="K367" s="11" t="str">
        <f>modif0!P212</f>
        <v>SL</v>
      </c>
      <c r="L367" t="str">
        <f>modif0!N212</f>
        <v>PM</v>
      </c>
      <c r="M367">
        <f>modif0!Q212</f>
        <v>1987</v>
      </c>
      <c r="N367" t="str">
        <f>modif0!R212</f>
        <v>SL-PM_1987</v>
      </c>
      <c r="O367" t="b">
        <f>modif0!S212</f>
        <v>0</v>
      </c>
      <c r="P367">
        <v>40</v>
      </c>
      <c r="Q367" t="s">
        <v>63</v>
      </c>
      <c r="R367" t="s">
        <v>1868</v>
      </c>
      <c r="T367" t="s">
        <v>1872</v>
      </c>
      <c r="V367" t="s">
        <v>1870</v>
      </c>
      <c r="Y367" t="s">
        <v>1871</v>
      </c>
      <c r="AA367" s="17">
        <f>IF($A367,$J367*(IF(Q367=regle!$B$11,regle!$B$23*IF(AJ367=-2,1+regle!$B$35,1),
IF(Q367=regle!$C$11,regle!$C$23,
IF(Q367=regle!$D$11,regle!$D$23,
IF(Q367=regle!$E$11,regle!$E$23,
IF(Q367=regle!$F$11,regle!$F$23,
IF(Q367=regle!$G$11,regle!$G$23,
IF(Q367=regle!$H$11,regle!$H$23,
IF(Q367=regle!$I$11,regle!$I$23,
IF(Q367=regle!$J$11,regle!$J$23,
IF(Q367=regle!$K$11,regle!$K$23,0))))))))))))</f>
        <v>17600</v>
      </c>
      <c r="AB367" s="17">
        <f>IF($A367,$J367*(IF(R367=regle!$B$11,regle!$B$23*IF(AK367=-2,1+regle!$B$35,1),
IF(R367=regle!$C$11,regle!$C$23,
IF(R367=regle!$D$11,regle!$D$23,
IF(R367=regle!$E$11,regle!$E$23,
IF(R367=regle!$F$11,regle!$F$23,
IF(R367=regle!$G$11,regle!$G$23,
IF(R367=regle!$H$11,regle!$H$23,
IF(R367=regle!$I$11,regle!$I$23,
IF(R367=regle!$J$11,regle!$J$23,
IF(R367=regle!$K$11,regle!$K$23,0))))))))))))</f>
        <v>-3740.0000000000005</v>
      </c>
      <c r="AC367" s="17">
        <f>IF($A367,$J367*(IF(S367=regle!$B$11,regle!$B$23*IF(AL367=-2,1+regle!$B$35,1),
IF(S367=regle!$C$11,regle!$C$23,
IF(S367=regle!$D$11,regle!$D$23,
IF(S367=regle!$E$11,regle!$E$23,
IF(S367=regle!$F$11,regle!$F$23,
IF(S367=regle!$G$11,regle!$G$23,
IF(S367=regle!$H$11,regle!$H$23,
IF(S367=regle!$I$11,regle!$I$23,
IF(S367=regle!$J$11,regle!$J$23,
IF(S367=regle!$K$11,regle!$K$23,0))))))))))))</f>
        <v>0</v>
      </c>
      <c r="AD367" s="17">
        <f>IF($A367,$J367*(IF(T367=regle!$B$11,regle!$B$23*IF(AM367=-2,1+regle!$B$35,1),
IF(T367=regle!$C$11,regle!$C$23,
IF(T367=regle!$D$11,regle!$D$23,
IF(T367=regle!$E$11,regle!$E$23,
IF(T367=regle!$F$11,regle!$F$23,
IF(T367=regle!$G$11,regle!$G$23,
IF(T367=regle!$H$11,regle!$H$23,
IF(T367=regle!$I$11,regle!$I$23,
IF(T367=regle!$J$11,regle!$J$23,
IF(T367=regle!$K$11,regle!$K$23,0))))))))))))</f>
        <v>-150</v>
      </c>
      <c r="AE367" s="17">
        <f>IF($A367,$J367*(IF(U367=regle!$B$11,regle!$B$23*IF(AN367=-2,1+regle!$B$35,1),
IF(U367=regle!$C$11,regle!$C$23,
IF(U367=regle!$D$11,regle!$D$23,
IF(U367=regle!$E$11,regle!$E$23,
IF(U367=regle!$F$11,regle!$F$23,
IF(U367=regle!$G$11,regle!$G$23,
IF(U367=regle!$H$11,regle!$H$23,
IF(U367=regle!$I$11,regle!$I$23,
IF(U367=regle!$J$11,regle!$J$23,
IF(U367=regle!$K$11,regle!$K$23,0))))))))))))</f>
        <v>0</v>
      </c>
      <c r="AF367" s="17">
        <f>IF($A367,$J367*(IF(V367=regle!$B$11,regle!$B$23*IF(AO367=-2,1+regle!$B$35,1),
IF(V367=regle!$C$11,regle!$C$23,
IF(V367=regle!$D$11,regle!$D$23,
IF(V367=regle!$E$11,regle!$E$23,
IF(V367=regle!$F$11,regle!$F$23,
IF(V367=regle!$G$11,regle!$G$23,
IF(V367=regle!$H$11,regle!$H$23,
IF(V367=regle!$I$11,regle!$I$23,
IF(V367=regle!$J$11,regle!$J$23,
IF(V367=regle!$K$11,regle!$K$23,0))))))))))))</f>
        <v>-180</v>
      </c>
      <c r="AG367" s="17">
        <f>IF($A367,$J367*(IF(W367=regle!$B$11,regle!$B$23*IF(AP367=-2,1+regle!$B$35,1),
IF(W367=regle!$C$11,regle!$C$23,
IF(W367=regle!$D$11,regle!$D$23,
IF(W367=regle!$E$11,regle!$E$23,
IF(W367=regle!$F$11,regle!$F$23,
IF(W367=regle!$G$11,regle!$G$23,
IF(W367=regle!$H$11,regle!$H$23,
IF(W367=regle!$I$11,regle!$I$23,
IF(W367=regle!$J$11,regle!$J$23,
IF(W367=regle!$K$11,regle!$K$23,0))))))))))))</f>
        <v>0</v>
      </c>
      <c r="AH367" s="17">
        <f>IF($A367,$J367*(IF(X367=regle!$B$11,regle!$B$23*IF(AQ367=-2,1+regle!$B$35,1),
IF(X367=regle!$C$11,regle!$C$23,
IF(X367=regle!$D$11,regle!$D$23,
IF(X367=regle!$E$11,regle!$E$23,
IF(X367=regle!$F$11,regle!$F$23,
IF(X367=regle!$G$11,regle!$G$23,
IF(X367=regle!$H$11,regle!$H$23,
IF(X367=regle!$I$11,regle!$I$23,
IF(X367=regle!$J$11,regle!$J$23,
IF(X367=regle!$K$11,regle!$K$23,0))))))))))))</f>
        <v>0</v>
      </c>
      <c r="AI367" s="17">
        <f>IF($A367,$J367*(IF(Y367=regle!$B$11,regle!$B$23*IF(AR367=-2,1+regle!$B$35,1),
IF(Y367=regle!$C$11,regle!$C$23,
IF(Y367=regle!$D$11,regle!$D$23,
IF(Y367=regle!$E$11,regle!$E$23,
IF(Y367=regle!$F$11,regle!$F$23,
IF(Y367=regle!$G$11,regle!$G$23,
IF(Y367=regle!$H$11,regle!$H$23,
IF(Y367=regle!$I$11,regle!$I$23,
IF(Y367=regle!$J$11,regle!$J$23,
IF(Y367=regle!$K$11,regle!$K$23,0))))))))))))</f>
        <v>-180</v>
      </c>
      <c r="AJ367" s="17">
        <f>IF($A367,$J367*(IF(Z367=regle!$B$11,regle!$B$23*IF(AS367=-2,1+regle!$B$35,1),
IF(Z367=regle!$C$11,regle!$C$23,
IF(Z367=regle!$D$11,regle!$D$23,
IF(Z367=regle!$E$11,regle!$E$23,
IF(Z367=regle!$F$11,regle!$F$23,
IF(Z367=regle!$G$11,regle!$G$23,
IF(Z367=regle!$H$11,regle!$H$23,
IF(Z367=regle!$I$11,regle!$I$23,
IF(Z367=regle!$J$11,regle!$J$23,
IF(Z367=regle!$K$11,regle!$K$23,0))))))))))))</f>
        <v>0</v>
      </c>
      <c r="AK367" s="16">
        <f>IF(OR(Q367=regle!$J$11,Q367=regle!$K$11),-2,IF(Q367=regle!$B$11,0,IF(AK$1=$AK$1,IF($O367,-1,regle!$B$2-$M367),IF(AJ367=-1,-1,AJ367+1))))</f>
        <v>-2</v>
      </c>
      <c r="AL367" s="16">
        <f>IF(OR(R367=regle!$J$11,R367=regle!$K$11),-2,IF(R367=regle!$B$11,0,IF(AL$1=$AK$1,IF($O367,-1,regle!$B$2-$M367),IF(AK367=-1,-1,AK367+1))))</f>
        <v>0</v>
      </c>
      <c r="AM367" s="16">
        <f>IF(OR(S367=regle!$J$11,S367=regle!$K$11),-2,IF(S367=regle!$B$11,0,IF(AM$1=$AK$1,IF($O367,-1,regle!$B$2-$M367),IF(AL367=-1,-1,AL367+1))))</f>
        <v>1</v>
      </c>
      <c r="AN367" s="16">
        <f>IF(OR(T367=regle!$J$11,T367=regle!$K$11),-2,IF(T367=regle!$B$11,0,IF(AN$1=$AK$1,IF($O367,-1,regle!$B$2-$M367),IF(AM367=-1,-1,AM367+1))))</f>
        <v>2</v>
      </c>
      <c r="AO367" s="16">
        <f>IF(OR(U367=regle!$J$11,U367=regle!$K$11),-2,IF(U367=regle!$B$11,0,IF(AO$1=$AK$1,IF($O367,-1,regle!$B$2-$M367),IF(AN367=-1,-1,AN367+1))))</f>
        <v>3</v>
      </c>
      <c r="AP367" s="16">
        <f>IF(OR(V367=regle!$J$11,V367=regle!$K$11),-2,IF(V367=regle!$B$11,0,IF(AP$1=$AK$1,IF($O367,-1,regle!$B$2-$M367),IF(AO367=-1,-1,AO367+1))))</f>
        <v>4</v>
      </c>
      <c r="AQ367" s="16">
        <f>IF(OR(W367=regle!$J$11,W367=regle!$K$11),-2,IF(W367=regle!$B$11,0,IF(AQ$1=$AK$1,IF($O367,-1,regle!$B$2-$M367),IF(AP367=-1,-1,AP367+1))))</f>
        <v>5</v>
      </c>
      <c r="AR367" s="16">
        <f>IF(OR(X367=regle!$J$11,X367=regle!$K$11),-2,IF(X367=regle!$B$11,0,IF(AR$1=$AK$1,IF($O367,-1,regle!$B$2-$M367),IF(AQ367=-1,-1,AQ367+1))))</f>
        <v>6</v>
      </c>
      <c r="AS367" s="16">
        <f>IF(OR(Y367=regle!$J$11,Y367=regle!$K$11),-2,IF(Y367=regle!$B$11,0,IF(AS$1=$AK$1,IF($O367,-1,regle!$B$2-$M367),IF(AR367=-1,-1,AR367+1))))</f>
        <v>7</v>
      </c>
      <c r="AT367" s="16">
        <f>IF(OR(Z367=regle!$J$11,Z367=regle!$K$11),-2,IF(Z367=regle!$B$11,0,IF(AT$1=$AK$1,IF($O367,-1,regle!$B$2-$M367),IF(AS367=-1,-1,AS367+1))))</f>
        <v>8</v>
      </c>
    </row>
    <row r="368" spans="1:46" x14ac:dyDescent="0.25">
      <c r="A368" t="b">
        <f>modif0!A204</f>
        <v>1</v>
      </c>
      <c r="B368">
        <f>ROW(modif0!B204)</f>
        <v>204</v>
      </c>
      <c r="C368" t="str">
        <f>modif0!D204</f>
        <v>202</v>
      </c>
      <c r="D368" t="str">
        <f>modif0!E204</f>
        <v>HOSTENS</v>
      </c>
      <c r="E368">
        <f>modif0!F204</f>
        <v>13</v>
      </c>
      <c r="F368" t="str">
        <f>modif0!G204</f>
        <v>LA BROUSTETTE</v>
      </c>
      <c r="G368" t="str">
        <f>modif0!I204</f>
        <v>0B</v>
      </c>
      <c r="H368">
        <f>modif0!J204</f>
        <v>1237</v>
      </c>
      <c r="I368" t="str">
        <f>modif0!K204</f>
        <v/>
      </c>
      <c r="J368" s="11">
        <f>modif0!M204</f>
        <v>0.9375</v>
      </c>
      <c r="K368" s="11" t="str">
        <f>modif0!P204</f>
        <v>SL</v>
      </c>
      <c r="L368" t="str">
        <f>modif0!N204</f>
        <v>PM</v>
      </c>
      <c r="M368">
        <f>modif0!Q204</f>
        <v>1987</v>
      </c>
      <c r="N368" t="str">
        <f>modif0!R204</f>
        <v>SL-PM_1987</v>
      </c>
      <c r="O368" t="b">
        <f>modif0!S204</f>
        <v>0</v>
      </c>
      <c r="P368">
        <v>40</v>
      </c>
      <c r="Q368" t="s">
        <v>63</v>
      </c>
      <c r="R368" t="s">
        <v>1868</v>
      </c>
      <c r="T368" t="s">
        <v>1872</v>
      </c>
      <c r="V368" t="s">
        <v>1870</v>
      </c>
      <c r="Y368" t="s">
        <v>1871</v>
      </c>
      <c r="AA368" s="17">
        <f>IF($A368,$J368*(IF(Q368=regle!$B$11,regle!$B$23*IF(AJ368=-2,1+regle!$B$35,1),
IF(Q368=regle!$C$11,regle!$C$23,
IF(Q368=regle!$D$11,regle!$D$23,
IF(Q368=regle!$E$11,regle!$E$23,
IF(Q368=regle!$F$11,regle!$F$23,
IF(Q368=regle!$G$11,regle!$G$23,
IF(Q368=regle!$H$11,regle!$H$23,
IF(Q368=regle!$I$11,regle!$I$23,
IF(Q368=regle!$J$11,regle!$J$23,
IF(Q368=regle!$K$11,regle!$K$23,0))))))))))))</f>
        <v>8250</v>
      </c>
      <c r="AB368" s="17">
        <f>IF($A368,$J368*(IF(R368=regle!$B$11,regle!$B$23*IF(AK368=-2,1+regle!$B$35,1),
IF(R368=regle!$C$11,regle!$C$23,
IF(R368=regle!$D$11,regle!$D$23,
IF(R368=regle!$E$11,regle!$E$23,
IF(R368=regle!$F$11,regle!$F$23,
IF(R368=regle!$G$11,regle!$G$23,
IF(R368=regle!$H$11,regle!$H$23,
IF(R368=regle!$I$11,regle!$I$23,
IF(R368=regle!$J$11,regle!$J$23,
IF(R368=regle!$K$11,regle!$K$23,0))))))))))))</f>
        <v>-1753.1250000000002</v>
      </c>
      <c r="AC368" s="17">
        <f>IF($A368,$J368*(IF(S368=regle!$B$11,regle!$B$23*IF(AL368=-2,1+regle!$B$35,1),
IF(S368=regle!$C$11,regle!$C$23,
IF(S368=regle!$D$11,regle!$D$23,
IF(S368=regle!$E$11,regle!$E$23,
IF(S368=regle!$F$11,regle!$F$23,
IF(S368=regle!$G$11,regle!$G$23,
IF(S368=regle!$H$11,regle!$H$23,
IF(S368=regle!$I$11,regle!$I$23,
IF(S368=regle!$J$11,regle!$J$23,
IF(S368=regle!$K$11,regle!$K$23,0))))))))))))</f>
        <v>0</v>
      </c>
      <c r="AD368" s="17">
        <f>IF($A368,$J368*(IF(T368=regle!$B$11,regle!$B$23*IF(AM368=-2,1+regle!$B$35,1),
IF(T368=regle!$C$11,regle!$C$23,
IF(T368=regle!$D$11,regle!$D$23,
IF(T368=regle!$E$11,regle!$E$23,
IF(T368=regle!$F$11,regle!$F$23,
IF(T368=regle!$G$11,regle!$G$23,
IF(T368=regle!$H$11,regle!$H$23,
IF(T368=regle!$I$11,regle!$I$23,
IF(T368=regle!$J$11,regle!$J$23,
IF(T368=regle!$K$11,regle!$K$23,0))))))))))))</f>
        <v>-70.3125</v>
      </c>
      <c r="AE368" s="17">
        <f>IF($A368,$J368*(IF(U368=regle!$B$11,regle!$B$23*IF(AN368=-2,1+regle!$B$35,1),
IF(U368=regle!$C$11,regle!$C$23,
IF(U368=regle!$D$11,regle!$D$23,
IF(U368=regle!$E$11,regle!$E$23,
IF(U368=regle!$F$11,regle!$F$23,
IF(U368=regle!$G$11,regle!$G$23,
IF(U368=regle!$H$11,regle!$H$23,
IF(U368=regle!$I$11,regle!$I$23,
IF(U368=regle!$J$11,regle!$J$23,
IF(U368=regle!$K$11,regle!$K$23,0))))))))))))</f>
        <v>0</v>
      </c>
      <c r="AF368" s="17">
        <f>IF($A368,$J368*(IF(V368=regle!$B$11,regle!$B$23*IF(AO368=-2,1+regle!$B$35,1),
IF(V368=regle!$C$11,regle!$C$23,
IF(V368=regle!$D$11,regle!$D$23,
IF(V368=regle!$E$11,regle!$E$23,
IF(V368=regle!$F$11,regle!$F$23,
IF(V368=regle!$G$11,regle!$G$23,
IF(V368=regle!$H$11,regle!$H$23,
IF(V368=regle!$I$11,regle!$I$23,
IF(V368=regle!$J$11,regle!$J$23,
IF(V368=regle!$K$11,regle!$K$23,0))))))))))))</f>
        <v>-84.375</v>
      </c>
      <c r="AG368" s="17">
        <f>IF($A368,$J368*(IF(W368=regle!$B$11,regle!$B$23*IF(AP368=-2,1+regle!$B$35,1),
IF(W368=regle!$C$11,regle!$C$23,
IF(W368=regle!$D$11,regle!$D$23,
IF(W368=regle!$E$11,regle!$E$23,
IF(W368=regle!$F$11,regle!$F$23,
IF(W368=regle!$G$11,regle!$G$23,
IF(W368=regle!$H$11,regle!$H$23,
IF(W368=regle!$I$11,regle!$I$23,
IF(W368=regle!$J$11,regle!$J$23,
IF(W368=regle!$K$11,regle!$K$23,0))))))))))))</f>
        <v>0</v>
      </c>
      <c r="AH368" s="17">
        <f>IF($A368,$J368*(IF(X368=regle!$B$11,regle!$B$23*IF(AQ368=-2,1+regle!$B$35,1),
IF(X368=regle!$C$11,regle!$C$23,
IF(X368=regle!$D$11,regle!$D$23,
IF(X368=regle!$E$11,regle!$E$23,
IF(X368=regle!$F$11,regle!$F$23,
IF(X368=regle!$G$11,regle!$G$23,
IF(X368=regle!$H$11,regle!$H$23,
IF(X368=regle!$I$11,regle!$I$23,
IF(X368=regle!$J$11,regle!$J$23,
IF(X368=regle!$K$11,regle!$K$23,0))))))))))))</f>
        <v>0</v>
      </c>
      <c r="AI368" s="17">
        <f>IF($A368,$J368*(IF(Y368=regle!$B$11,regle!$B$23*IF(AR368=-2,1+regle!$B$35,1),
IF(Y368=regle!$C$11,regle!$C$23,
IF(Y368=regle!$D$11,regle!$D$23,
IF(Y368=regle!$E$11,regle!$E$23,
IF(Y368=regle!$F$11,regle!$F$23,
IF(Y368=regle!$G$11,regle!$G$23,
IF(Y368=regle!$H$11,regle!$H$23,
IF(Y368=regle!$I$11,regle!$I$23,
IF(Y368=regle!$J$11,regle!$J$23,
IF(Y368=regle!$K$11,regle!$K$23,0))))))))))))</f>
        <v>-84.375</v>
      </c>
      <c r="AJ368" s="17">
        <f>IF($A368,$J368*(IF(Z368=regle!$B$11,regle!$B$23*IF(AS368=-2,1+regle!$B$35,1),
IF(Z368=regle!$C$11,regle!$C$23,
IF(Z368=regle!$D$11,regle!$D$23,
IF(Z368=regle!$E$11,regle!$E$23,
IF(Z368=regle!$F$11,regle!$F$23,
IF(Z368=regle!$G$11,regle!$G$23,
IF(Z368=regle!$H$11,regle!$H$23,
IF(Z368=regle!$I$11,regle!$I$23,
IF(Z368=regle!$J$11,regle!$J$23,
IF(Z368=regle!$K$11,regle!$K$23,0))))))))))))</f>
        <v>0</v>
      </c>
      <c r="AK368" s="16">
        <f>IF(OR(Q368=regle!$J$11,Q368=regle!$K$11),-2,IF(Q368=regle!$B$11,0,IF(AK$1=$AK$1,IF($O368,-1,regle!$B$2-$M368),IF(AJ368=-1,-1,AJ368+1))))</f>
        <v>-2</v>
      </c>
      <c r="AL368" s="16">
        <f>IF(OR(R368=regle!$J$11,R368=regle!$K$11),-2,IF(R368=regle!$B$11,0,IF(AL$1=$AK$1,IF($O368,-1,regle!$B$2-$M368),IF(AK368=-1,-1,AK368+1))))</f>
        <v>0</v>
      </c>
      <c r="AM368" s="16">
        <f>IF(OR(S368=regle!$J$11,S368=regle!$K$11),-2,IF(S368=regle!$B$11,0,IF(AM$1=$AK$1,IF($O368,-1,regle!$B$2-$M368),IF(AL368=-1,-1,AL368+1))))</f>
        <v>1</v>
      </c>
      <c r="AN368" s="16">
        <f>IF(OR(T368=regle!$J$11,T368=regle!$K$11),-2,IF(T368=regle!$B$11,0,IF(AN$1=$AK$1,IF($O368,-1,regle!$B$2-$M368),IF(AM368=-1,-1,AM368+1))))</f>
        <v>2</v>
      </c>
      <c r="AO368" s="16">
        <f>IF(OR(U368=regle!$J$11,U368=regle!$K$11),-2,IF(U368=regle!$B$11,0,IF(AO$1=$AK$1,IF($O368,-1,regle!$B$2-$M368),IF(AN368=-1,-1,AN368+1))))</f>
        <v>3</v>
      </c>
      <c r="AP368" s="16">
        <f>IF(OR(V368=regle!$J$11,V368=regle!$K$11),-2,IF(V368=regle!$B$11,0,IF(AP$1=$AK$1,IF($O368,-1,regle!$B$2-$M368),IF(AO368=-1,-1,AO368+1))))</f>
        <v>4</v>
      </c>
      <c r="AQ368" s="16">
        <f>IF(OR(W368=regle!$J$11,W368=regle!$K$11),-2,IF(W368=regle!$B$11,0,IF(AQ$1=$AK$1,IF($O368,-1,regle!$B$2-$M368),IF(AP368=-1,-1,AP368+1))))</f>
        <v>5</v>
      </c>
      <c r="AR368" s="16">
        <f>IF(OR(X368=regle!$J$11,X368=regle!$K$11),-2,IF(X368=regle!$B$11,0,IF(AR$1=$AK$1,IF($O368,-1,regle!$B$2-$M368),IF(AQ368=-1,-1,AQ368+1))))</f>
        <v>6</v>
      </c>
      <c r="AS368" s="16">
        <f>IF(OR(Y368=regle!$J$11,Y368=regle!$K$11),-2,IF(Y368=regle!$B$11,0,IF(AS$1=$AK$1,IF($O368,-1,regle!$B$2-$M368),IF(AR368=-1,-1,AR368+1))))</f>
        <v>7</v>
      </c>
      <c r="AT368" s="16">
        <f>IF(OR(Z368=regle!$J$11,Z368=regle!$K$11),-2,IF(Z368=regle!$B$11,0,IF(AT$1=$AK$1,IF($O368,-1,regle!$B$2-$M368),IF(AS368=-1,-1,AS368+1))))</f>
        <v>8</v>
      </c>
    </row>
    <row r="369" spans="1:46" x14ac:dyDescent="0.25">
      <c r="A369" t="b">
        <f>modif0!A199</f>
        <v>1</v>
      </c>
      <c r="B369">
        <f>ROW(modif0!B199)</f>
        <v>199</v>
      </c>
      <c r="C369" t="str">
        <f>modif0!D199</f>
        <v>202</v>
      </c>
      <c r="D369" t="str">
        <f>modif0!E199</f>
        <v>HOSTENS</v>
      </c>
      <c r="E369">
        <f>modif0!F199</f>
        <v>13</v>
      </c>
      <c r="F369" t="str">
        <f>modif0!G199</f>
        <v>LA BROUSTETTE</v>
      </c>
      <c r="G369" t="str">
        <f>modif0!I199</f>
        <v>0B</v>
      </c>
      <c r="H369">
        <f>modif0!J199</f>
        <v>1226</v>
      </c>
      <c r="I369" t="str">
        <f>modif0!K199</f>
        <v/>
      </c>
      <c r="J369" s="11">
        <f>modif0!M199</f>
        <v>0.89200000000000002</v>
      </c>
      <c r="K369" s="11" t="str">
        <f>modif0!P199</f>
        <v>SL</v>
      </c>
      <c r="L369" t="str">
        <f>modif0!N199</f>
        <v>PM</v>
      </c>
      <c r="M369">
        <f>modif0!Q199</f>
        <v>1987</v>
      </c>
      <c r="N369" t="str">
        <f>modif0!R199</f>
        <v>SL-PM_1987</v>
      </c>
      <c r="O369" t="b">
        <f>modif0!S199</f>
        <v>0</v>
      </c>
      <c r="P369">
        <v>25</v>
      </c>
      <c r="Q369" t="s">
        <v>63</v>
      </c>
      <c r="R369" t="s">
        <v>1868</v>
      </c>
      <c r="AA369" s="17">
        <f>IF($A369,$J369*(IF(Q369=regle!$B$11,regle!$B$23*IF(AJ369=-2,1+regle!$B$35,1),
IF(Q369=regle!$C$11,regle!$C$23,
IF(Q369=regle!$D$11,regle!$D$23,
IF(Q369=regle!$E$11,regle!$E$23,
IF(Q369=regle!$F$11,regle!$F$23,
IF(Q369=regle!$G$11,regle!$G$23,
IF(Q369=regle!$H$11,regle!$H$23,
IF(Q369=regle!$I$11,regle!$I$23,
IF(Q369=regle!$J$11,regle!$J$23,
IF(Q369=regle!$K$11,regle!$K$23,0))))))))))))</f>
        <v>7849.6</v>
      </c>
      <c r="AB369" s="17">
        <f>IF($A369,$J369*(IF(R369=regle!$B$11,regle!$B$23*IF(AK369=-2,1+regle!$B$35,1),
IF(R369=regle!$C$11,regle!$C$23,
IF(R369=regle!$D$11,regle!$D$23,
IF(R369=regle!$E$11,regle!$E$23,
IF(R369=regle!$F$11,regle!$F$23,
IF(R369=regle!$G$11,regle!$G$23,
IF(R369=regle!$H$11,regle!$H$23,
IF(R369=regle!$I$11,regle!$I$23,
IF(R369=regle!$J$11,regle!$J$23,
IF(R369=regle!$K$11,regle!$K$23,0))))))))))))</f>
        <v>-1668.0400000000002</v>
      </c>
      <c r="AC369" s="17">
        <f>IF($A369,$J369*(IF(S369=regle!$B$11,regle!$B$23*IF(AL369=-2,1+regle!$B$35,1),
IF(S369=regle!$C$11,regle!$C$23,
IF(S369=regle!$D$11,regle!$D$23,
IF(S369=regle!$E$11,regle!$E$23,
IF(S369=regle!$F$11,regle!$F$23,
IF(S369=regle!$G$11,regle!$G$23,
IF(S369=regle!$H$11,regle!$H$23,
IF(S369=regle!$I$11,regle!$I$23,
IF(S369=regle!$J$11,regle!$J$23,
IF(S369=regle!$K$11,regle!$K$23,0))))))))))))</f>
        <v>0</v>
      </c>
      <c r="AD369" s="17">
        <f>IF($A369,$J369*(IF(T369=regle!$B$11,regle!$B$23*IF(AM369=-2,1+regle!$B$35,1),
IF(T369=regle!$C$11,regle!$C$23,
IF(T369=regle!$D$11,regle!$D$23,
IF(T369=regle!$E$11,regle!$E$23,
IF(T369=regle!$F$11,regle!$F$23,
IF(T369=regle!$G$11,regle!$G$23,
IF(T369=regle!$H$11,regle!$H$23,
IF(T369=regle!$I$11,regle!$I$23,
IF(T369=regle!$J$11,regle!$J$23,
IF(T369=regle!$K$11,regle!$K$23,0))))))))))))</f>
        <v>0</v>
      </c>
      <c r="AE369" s="17">
        <f>IF($A369,$J369*(IF(U369=regle!$B$11,regle!$B$23*IF(AN369=-2,1+regle!$B$35,1),
IF(U369=regle!$C$11,regle!$C$23,
IF(U369=regle!$D$11,regle!$D$23,
IF(U369=regle!$E$11,regle!$E$23,
IF(U369=regle!$F$11,regle!$F$23,
IF(U369=regle!$G$11,regle!$G$23,
IF(U369=regle!$H$11,regle!$H$23,
IF(U369=regle!$I$11,regle!$I$23,
IF(U369=regle!$J$11,regle!$J$23,
IF(U369=regle!$K$11,regle!$K$23,0))))))))))))</f>
        <v>0</v>
      </c>
      <c r="AF369" s="17">
        <f>IF($A369,$J369*(IF(V369=regle!$B$11,regle!$B$23*IF(AO369=-2,1+regle!$B$35,1),
IF(V369=regle!$C$11,regle!$C$23,
IF(V369=regle!$D$11,regle!$D$23,
IF(V369=regle!$E$11,regle!$E$23,
IF(V369=regle!$F$11,regle!$F$23,
IF(V369=regle!$G$11,regle!$G$23,
IF(V369=regle!$H$11,regle!$H$23,
IF(V369=regle!$I$11,regle!$I$23,
IF(V369=regle!$J$11,regle!$J$23,
IF(V369=regle!$K$11,regle!$K$23,0))))))))))))</f>
        <v>0</v>
      </c>
      <c r="AG369" s="17">
        <f>IF($A369,$J369*(IF(W369=regle!$B$11,regle!$B$23*IF(AP369=-2,1+regle!$B$35,1),
IF(W369=regle!$C$11,regle!$C$23,
IF(W369=regle!$D$11,regle!$D$23,
IF(W369=regle!$E$11,regle!$E$23,
IF(W369=regle!$F$11,regle!$F$23,
IF(W369=regle!$G$11,regle!$G$23,
IF(W369=regle!$H$11,regle!$H$23,
IF(W369=regle!$I$11,regle!$I$23,
IF(W369=regle!$J$11,regle!$J$23,
IF(W369=regle!$K$11,regle!$K$23,0))))))))))))</f>
        <v>0</v>
      </c>
      <c r="AH369" s="17">
        <f>IF($A369,$J369*(IF(X369=regle!$B$11,regle!$B$23*IF(AQ369=-2,1+regle!$B$35,1),
IF(X369=regle!$C$11,regle!$C$23,
IF(X369=regle!$D$11,regle!$D$23,
IF(X369=regle!$E$11,regle!$E$23,
IF(X369=regle!$F$11,regle!$F$23,
IF(X369=regle!$G$11,regle!$G$23,
IF(X369=regle!$H$11,regle!$H$23,
IF(X369=regle!$I$11,regle!$I$23,
IF(X369=regle!$J$11,regle!$J$23,
IF(X369=regle!$K$11,regle!$K$23,0))))))))))))</f>
        <v>0</v>
      </c>
      <c r="AI369" s="17">
        <f>IF($A369,$J369*(IF(Y369=regle!$B$11,regle!$B$23*IF(AR369=-2,1+regle!$B$35,1),
IF(Y369=regle!$C$11,regle!$C$23,
IF(Y369=regle!$D$11,regle!$D$23,
IF(Y369=regle!$E$11,regle!$E$23,
IF(Y369=regle!$F$11,regle!$F$23,
IF(Y369=regle!$G$11,regle!$G$23,
IF(Y369=regle!$H$11,regle!$H$23,
IF(Y369=regle!$I$11,regle!$I$23,
IF(Y369=regle!$J$11,regle!$J$23,
IF(Y369=regle!$K$11,regle!$K$23,0))))))))))))</f>
        <v>0</v>
      </c>
      <c r="AJ369" s="17">
        <f>IF($A369,$J369*(IF(Z369=regle!$B$11,regle!$B$23*IF(AS369=-2,1+regle!$B$35,1),
IF(Z369=regle!$C$11,regle!$C$23,
IF(Z369=regle!$D$11,regle!$D$23,
IF(Z369=regle!$E$11,regle!$E$23,
IF(Z369=regle!$F$11,regle!$F$23,
IF(Z369=regle!$G$11,regle!$G$23,
IF(Z369=regle!$H$11,regle!$H$23,
IF(Z369=regle!$I$11,regle!$I$23,
IF(Z369=regle!$J$11,regle!$J$23,
IF(Z369=regle!$K$11,regle!$K$23,0))))))))))))</f>
        <v>0</v>
      </c>
      <c r="AK369" s="16">
        <f>IF(OR(Q369=regle!$J$11,Q369=regle!$K$11),-2,IF(Q369=regle!$B$11,0,IF(AK$1=$AK$1,IF($O369,-1,regle!$B$2-$M369),IF(AJ369=-1,-1,AJ369+1))))</f>
        <v>-2</v>
      </c>
      <c r="AL369" s="16">
        <f>IF(OR(R369=regle!$J$11,R369=regle!$K$11),-2,IF(R369=regle!$B$11,0,IF(AL$1=$AK$1,IF($O369,-1,regle!$B$2-$M369),IF(AK369=-1,-1,AK369+1))))</f>
        <v>0</v>
      </c>
      <c r="AM369" s="16">
        <f>IF(OR(S369=regle!$J$11,S369=regle!$K$11),-2,IF(S369=regle!$B$11,0,IF(AM$1=$AK$1,IF($O369,-1,regle!$B$2-$M369),IF(AL369=-1,-1,AL369+1))))</f>
        <v>1</v>
      </c>
      <c r="AN369" s="16">
        <f>IF(OR(T369=regle!$J$11,T369=regle!$K$11),-2,IF(T369=regle!$B$11,0,IF(AN$1=$AK$1,IF($O369,-1,regle!$B$2-$M369),IF(AM369=-1,-1,AM369+1))))</f>
        <v>2</v>
      </c>
      <c r="AO369" s="16">
        <f>IF(OR(U369=regle!$J$11,U369=regle!$K$11),-2,IF(U369=regle!$B$11,0,IF(AO$1=$AK$1,IF($O369,-1,regle!$B$2-$M369),IF(AN369=-1,-1,AN369+1))))</f>
        <v>3</v>
      </c>
      <c r="AP369" s="16">
        <f>IF(OR(V369=regle!$J$11,V369=regle!$K$11),-2,IF(V369=regle!$B$11,0,IF(AP$1=$AK$1,IF($O369,-1,regle!$B$2-$M369),IF(AO369=-1,-1,AO369+1))))</f>
        <v>4</v>
      </c>
      <c r="AQ369" s="16">
        <f>IF(OR(W369=regle!$J$11,W369=regle!$K$11),-2,IF(W369=regle!$B$11,0,IF(AQ$1=$AK$1,IF($O369,-1,regle!$B$2-$M369),IF(AP369=-1,-1,AP369+1))))</f>
        <v>5</v>
      </c>
      <c r="AR369" s="16">
        <f>IF(OR(X369=regle!$J$11,X369=regle!$K$11),-2,IF(X369=regle!$B$11,0,IF(AR$1=$AK$1,IF($O369,-1,regle!$B$2-$M369),IF(AQ369=-1,-1,AQ369+1))))</f>
        <v>6</v>
      </c>
      <c r="AS369" s="16">
        <f>IF(OR(Y369=regle!$J$11,Y369=regle!$K$11),-2,IF(Y369=regle!$B$11,0,IF(AS$1=$AK$1,IF($O369,-1,regle!$B$2-$M369),IF(AR369=-1,-1,AR369+1))))</f>
        <v>7</v>
      </c>
      <c r="AT369" s="16">
        <f>IF(OR(Z369=regle!$J$11,Z369=regle!$K$11),-2,IF(Z369=regle!$B$11,0,IF(AT$1=$AK$1,IF($O369,-1,regle!$B$2-$M369),IF(AS369=-1,-1,AS369+1))))</f>
        <v>8</v>
      </c>
    </row>
    <row r="370" spans="1:46" x14ac:dyDescent="0.25">
      <c r="A370" t="b">
        <f>modif0!A218</f>
        <v>1</v>
      </c>
      <c r="B370">
        <f>ROW(modif0!B218)</f>
        <v>218</v>
      </c>
      <c r="C370" t="str">
        <f>modif0!D218</f>
        <v>202</v>
      </c>
      <c r="D370" t="str">
        <f>modif0!E218</f>
        <v>HOSTENS</v>
      </c>
      <c r="E370">
        <f>modif0!F218</f>
        <v>13</v>
      </c>
      <c r="F370" t="str">
        <f>modif0!G218</f>
        <v>LA BROUSTETTE</v>
      </c>
      <c r="G370" t="str">
        <f>modif0!I218</f>
        <v>0B</v>
      </c>
      <c r="H370">
        <f>modif0!J218</f>
        <v>1249</v>
      </c>
      <c r="I370" t="str">
        <f>modif0!K218</f>
        <v>o</v>
      </c>
      <c r="J370" s="11">
        <f>modif0!M218</f>
        <v>0.7853</v>
      </c>
      <c r="K370" s="11" t="str">
        <f>modif0!P218</f>
        <v>SL</v>
      </c>
      <c r="L370" t="str">
        <f>modif0!N218</f>
        <v>PM</v>
      </c>
      <c r="M370">
        <f>modif0!Q218</f>
        <v>1987</v>
      </c>
      <c r="N370" t="str">
        <f>modif0!R218</f>
        <v>SL-PM_1987</v>
      </c>
      <c r="O370" t="b">
        <f>modif0!S218</f>
        <v>0</v>
      </c>
      <c r="P370">
        <v>25</v>
      </c>
      <c r="Q370" t="s">
        <v>63</v>
      </c>
      <c r="R370" t="s">
        <v>1868</v>
      </c>
      <c r="AA370" s="17">
        <f>IF($A370,$J370*(IF(Q370=regle!$B$11,regle!$B$23*IF(AJ370=-2,1+regle!$B$35,1),
IF(Q370=regle!$C$11,regle!$C$23,
IF(Q370=regle!$D$11,regle!$D$23,
IF(Q370=regle!$E$11,regle!$E$23,
IF(Q370=regle!$F$11,regle!$F$23,
IF(Q370=regle!$G$11,regle!$G$23,
IF(Q370=regle!$H$11,regle!$H$23,
IF(Q370=regle!$I$11,regle!$I$23,
IF(Q370=regle!$J$11,regle!$J$23,
IF(Q370=regle!$K$11,regle!$K$23,0))))))))))))</f>
        <v>6910.64</v>
      </c>
      <c r="AB370" s="17">
        <f>IF($A370,$J370*(IF(R370=regle!$B$11,regle!$B$23*IF(AK370=-2,1+regle!$B$35,1),
IF(R370=regle!$C$11,regle!$C$23,
IF(R370=regle!$D$11,regle!$D$23,
IF(R370=regle!$E$11,regle!$E$23,
IF(R370=regle!$F$11,regle!$F$23,
IF(R370=regle!$G$11,regle!$G$23,
IF(R370=regle!$H$11,regle!$H$23,
IF(R370=regle!$I$11,regle!$I$23,
IF(R370=regle!$J$11,regle!$J$23,
IF(R370=regle!$K$11,regle!$K$23,0))))))))))))</f>
        <v>-1468.5110000000002</v>
      </c>
      <c r="AC370" s="17">
        <f>IF($A370,$J370*(IF(S370=regle!$B$11,regle!$B$23*IF(AL370=-2,1+regle!$B$35,1),
IF(S370=regle!$C$11,regle!$C$23,
IF(S370=regle!$D$11,regle!$D$23,
IF(S370=regle!$E$11,regle!$E$23,
IF(S370=regle!$F$11,regle!$F$23,
IF(S370=regle!$G$11,regle!$G$23,
IF(S370=regle!$H$11,regle!$H$23,
IF(S370=regle!$I$11,regle!$I$23,
IF(S370=regle!$J$11,regle!$J$23,
IF(S370=regle!$K$11,regle!$K$23,0))))))))))))</f>
        <v>0</v>
      </c>
      <c r="AD370" s="17">
        <f>IF($A370,$J370*(IF(T370=regle!$B$11,regle!$B$23*IF(AM370=-2,1+regle!$B$35,1),
IF(T370=regle!$C$11,regle!$C$23,
IF(T370=regle!$D$11,regle!$D$23,
IF(T370=regle!$E$11,regle!$E$23,
IF(T370=regle!$F$11,regle!$F$23,
IF(T370=regle!$G$11,regle!$G$23,
IF(T370=regle!$H$11,regle!$H$23,
IF(T370=regle!$I$11,regle!$I$23,
IF(T370=regle!$J$11,regle!$J$23,
IF(T370=regle!$K$11,regle!$K$23,0))))))))))))</f>
        <v>0</v>
      </c>
      <c r="AE370" s="17">
        <f>IF($A370,$J370*(IF(U370=regle!$B$11,regle!$B$23*IF(AN370=-2,1+regle!$B$35,1),
IF(U370=regle!$C$11,regle!$C$23,
IF(U370=regle!$D$11,regle!$D$23,
IF(U370=regle!$E$11,regle!$E$23,
IF(U370=regle!$F$11,regle!$F$23,
IF(U370=regle!$G$11,regle!$G$23,
IF(U370=regle!$H$11,regle!$H$23,
IF(U370=regle!$I$11,regle!$I$23,
IF(U370=regle!$J$11,regle!$J$23,
IF(U370=regle!$K$11,regle!$K$23,0))))))))))))</f>
        <v>0</v>
      </c>
      <c r="AF370" s="17">
        <f>IF($A370,$J370*(IF(V370=regle!$B$11,regle!$B$23*IF(AO370=-2,1+regle!$B$35,1),
IF(V370=regle!$C$11,regle!$C$23,
IF(V370=regle!$D$11,regle!$D$23,
IF(V370=regle!$E$11,regle!$E$23,
IF(V370=regle!$F$11,regle!$F$23,
IF(V370=regle!$G$11,regle!$G$23,
IF(V370=regle!$H$11,regle!$H$23,
IF(V370=regle!$I$11,regle!$I$23,
IF(V370=regle!$J$11,regle!$J$23,
IF(V370=regle!$K$11,regle!$K$23,0))))))))))))</f>
        <v>0</v>
      </c>
      <c r="AG370" s="17">
        <f>IF($A370,$J370*(IF(W370=regle!$B$11,regle!$B$23*IF(AP370=-2,1+regle!$B$35,1),
IF(W370=regle!$C$11,regle!$C$23,
IF(W370=regle!$D$11,regle!$D$23,
IF(W370=regle!$E$11,regle!$E$23,
IF(W370=regle!$F$11,regle!$F$23,
IF(W370=regle!$G$11,regle!$G$23,
IF(W370=regle!$H$11,regle!$H$23,
IF(W370=regle!$I$11,regle!$I$23,
IF(W370=regle!$J$11,regle!$J$23,
IF(W370=regle!$K$11,regle!$K$23,0))))))))))))</f>
        <v>0</v>
      </c>
      <c r="AH370" s="17">
        <f>IF($A370,$J370*(IF(X370=regle!$B$11,regle!$B$23*IF(AQ370=-2,1+regle!$B$35,1),
IF(X370=regle!$C$11,regle!$C$23,
IF(X370=regle!$D$11,regle!$D$23,
IF(X370=regle!$E$11,regle!$E$23,
IF(X370=regle!$F$11,regle!$F$23,
IF(X370=regle!$G$11,regle!$G$23,
IF(X370=regle!$H$11,regle!$H$23,
IF(X370=regle!$I$11,regle!$I$23,
IF(X370=regle!$J$11,regle!$J$23,
IF(X370=regle!$K$11,regle!$K$23,0))))))))))))</f>
        <v>0</v>
      </c>
      <c r="AI370" s="17">
        <f>IF($A370,$J370*(IF(Y370=regle!$B$11,regle!$B$23*IF(AR370=-2,1+regle!$B$35,1),
IF(Y370=regle!$C$11,regle!$C$23,
IF(Y370=regle!$D$11,regle!$D$23,
IF(Y370=regle!$E$11,regle!$E$23,
IF(Y370=regle!$F$11,regle!$F$23,
IF(Y370=regle!$G$11,regle!$G$23,
IF(Y370=regle!$H$11,regle!$H$23,
IF(Y370=regle!$I$11,regle!$I$23,
IF(Y370=regle!$J$11,regle!$J$23,
IF(Y370=regle!$K$11,regle!$K$23,0))))))))))))</f>
        <v>0</v>
      </c>
      <c r="AJ370" s="17">
        <f>IF($A370,$J370*(IF(Z370=regle!$B$11,regle!$B$23*IF(AS370=-2,1+regle!$B$35,1),
IF(Z370=regle!$C$11,regle!$C$23,
IF(Z370=regle!$D$11,regle!$D$23,
IF(Z370=regle!$E$11,regle!$E$23,
IF(Z370=regle!$F$11,regle!$F$23,
IF(Z370=regle!$G$11,regle!$G$23,
IF(Z370=regle!$H$11,regle!$H$23,
IF(Z370=regle!$I$11,regle!$I$23,
IF(Z370=regle!$J$11,regle!$J$23,
IF(Z370=regle!$K$11,regle!$K$23,0))))))))))))</f>
        <v>0</v>
      </c>
      <c r="AK370" s="16">
        <f>IF(OR(Q370=regle!$J$11,Q370=regle!$K$11),-2,IF(Q370=regle!$B$11,0,IF(AK$1=$AK$1,IF($O370,-1,regle!$B$2-$M370),IF(AJ370=-1,-1,AJ370+1))))</f>
        <v>-2</v>
      </c>
      <c r="AL370" s="16">
        <f>IF(OR(R370=regle!$J$11,R370=regle!$K$11),-2,IF(R370=regle!$B$11,0,IF(AL$1=$AK$1,IF($O370,-1,regle!$B$2-$M370),IF(AK370=-1,-1,AK370+1))))</f>
        <v>0</v>
      </c>
      <c r="AM370" s="16">
        <f>IF(OR(S370=regle!$J$11,S370=regle!$K$11),-2,IF(S370=regle!$B$11,0,IF(AM$1=$AK$1,IF($O370,-1,regle!$B$2-$M370),IF(AL370=-1,-1,AL370+1))))</f>
        <v>1</v>
      </c>
      <c r="AN370" s="16">
        <f>IF(OR(T370=regle!$J$11,T370=regle!$K$11),-2,IF(T370=regle!$B$11,0,IF(AN$1=$AK$1,IF($O370,-1,regle!$B$2-$M370),IF(AM370=-1,-1,AM370+1))))</f>
        <v>2</v>
      </c>
      <c r="AO370" s="16">
        <f>IF(OR(U370=regle!$J$11,U370=regle!$K$11),-2,IF(U370=regle!$B$11,0,IF(AO$1=$AK$1,IF($O370,-1,regle!$B$2-$M370),IF(AN370=-1,-1,AN370+1))))</f>
        <v>3</v>
      </c>
      <c r="AP370" s="16">
        <f>IF(OR(V370=regle!$J$11,V370=regle!$K$11),-2,IF(V370=regle!$B$11,0,IF(AP$1=$AK$1,IF($O370,-1,regle!$B$2-$M370),IF(AO370=-1,-1,AO370+1))))</f>
        <v>4</v>
      </c>
      <c r="AQ370" s="16">
        <f>IF(OR(W370=regle!$J$11,W370=regle!$K$11),-2,IF(W370=regle!$B$11,0,IF(AQ$1=$AK$1,IF($O370,-1,regle!$B$2-$M370),IF(AP370=-1,-1,AP370+1))))</f>
        <v>5</v>
      </c>
      <c r="AR370" s="16">
        <f>IF(OR(X370=regle!$J$11,X370=regle!$K$11),-2,IF(X370=regle!$B$11,0,IF(AR$1=$AK$1,IF($O370,-1,regle!$B$2-$M370),IF(AQ370=-1,-1,AQ370+1))))</f>
        <v>6</v>
      </c>
      <c r="AS370" s="16">
        <f>IF(OR(Y370=regle!$J$11,Y370=regle!$K$11),-2,IF(Y370=regle!$B$11,0,IF(AS$1=$AK$1,IF($O370,-1,regle!$B$2-$M370),IF(AR370=-1,-1,AR370+1))))</f>
        <v>7</v>
      </c>
      <c r="AT370" s="16">
        <f>IF(OR(Z370=regle!$J$11,Z370=regle!$K$11),-2,IF(Z370=regle!$B$11,0,IF(AT$1=$AK$1,IF($O370,-1,regle!$B$2-$M370),IF(AS370=-1,-1,AS370+1))))</f>
        <v>8</v>
      </c>
    </row>
    <row r="371" spans="1:46" x14ac:dyDescent="0.25">
      <c r="A371" t="b">
        <f>modif0!A196</f>
        <v>1</v>
      </c>
      <c r="B371">
        <f>ROW(modif0!B196)</f>
        <v>196</v>
      </c>
      <c r="C371" t="str">
        <f>modif0!D196</f>
        <v>202</v>
      </c>
      <c r="D371" t="str">
        <f>modif0!E196</f>
        <v>HOSTENS</v>
      </c>
      <c r="E371">
        <f>modif0!F196</f>
        <v>13</v>
      </c>
      <c r="F371" t="str">
        <f>modif0!G196</f>
        <v>LA BROUSTETTE</v>
      </c>
      <c r="G371" t="str">
        <f>modif0!I196</f>
        <v>0B</v>
      </c>
      <c r="H371">
        <f>modif0!J196</f>
        <v>1222</v>
      </c>
      <c r="I371" t="str">
        <f>modif0!K196</f>
        <v/>
      </c>
      <c r="J371" s="11">
        <f>modif0!M196</f>
        <v>0.60099999999999998</v>
      </c>
      <c r="K371" s="11" t="str">
        <f>modif0!P196</f>
        <v>SL</v>
      </c>
      <c r="L371" t="str">
        <f>modif0!N196</f>
        <v>PM</v>
      </c>
      <c r="M371">
        <f>modif0!Q196</f>
        <v>1987</v>
      </c>
      <c r="N371" t="str">
        <f>modif0!R196</f>
        <v>SL-PM_1987</v>
      </c>
      <c r="O371" t="b">
        <f>modif0!S196</f>
        <v>0</v>
      </c>
      <c r="P371">
        <v>25</v>
      </c>
      <c r="Q371" t="s">
        <v>63</v>
      </c>
      <c r="R371" t="s">
        <v>1868</v>
      </c>
      <c r="AA371" s="17">
        <f>IF($A371,$J371*(IF(Q371=regle!$B$11,regle!$B$23*IF(AJ371=-2,1+regle!$B$35,1),
IF(Q371=regle!$C$11,regle!$C$23,
IF(Q371=regle!$D$11,regle!$D$23,
IF(Q371=regle!$E$11,regle!$E$23,
IF(Q371=regle!$F$11,regle!$F$23,
IF(Q371=regle!$G$11,regle!$G$23,
IF(Q371=regle!$H$11,regle!$H$23,
IF(Q371=regle!$I$11,regle!$I$23,
IF(Q371=regle!$J$11,regle!$J$23,
IF(Q371=regle!$K$11,regle!$K$23,0))))))))))))</f>
        <v>5288.8</v>
      </c>
      <c r="AB371" s="17">
        <f>IF($A371,$J371*(IF(R371=regle!$B$11,regle!$B$23*IF(AK371=-2,1+regle!$B$35,1),
IF(R371=regle!$C$11,regle!$C$23,
IF(R371=regle!$D$11,regle!$D$23,
IF(R371=regle!$E$11,regle!$E$23,
IF(R371=regle!$F$11,regle!$F$23,
IF(R371=regle!$G$11,regle!$G$23,
IF(R371=regle!$H$11,regle!$H$23,
IF(R371=regle!$I$11,regle!$I$23,
IF(R371=regle!$J$11,regle!$J$23,
IF(R371=regle!$K$11,regle!$K$23,0))))))))))))</f>
        <v>-1123.8700000000001</v>
      </c>
      <c r="AC371" s="17">
        <f>IF($A371,$J371*(IF(S371=regle!$B$11,regle!$B$23*IF(AL371=-2,1+regle!$B$35,1),
IF(S371=regle!$C$11,regle!$C$23,
IF(S371=regle!$D$11,regle!$D$23,
IF(S371=regle!$E$11,regle!$E$23,
IF(S371=regle!$F$11,regle!$F$23,
IF(S371=regle!$G$11,regle!$G$23,
IF(S371=regle!$H$11,regle!$H$23,
IF(S371=regle!$I$11,regle!$I$23,
IF(S371=regle!$J$11,regle!$J$23,
IF(S371=regle!$K$11,regle!$K$23,0))))))))))))</f>
        <v>0</v>
      </c>
      <c r="AD371" s="17">
        <f>IF($A371,$J371*(IF(T371=regle!$B$11,regle!$B$23*IF(AM371=-2,1+regle!$B$35,1),
IF(T371=regle!$C$11,regle!$C$23,
IF(T371=regle!$D$11,regle!$D$23,
IF(T371=regle!$E$11,regle!$E$23,
IF(T371=regle!$F$11,regle!$F$23,
IF(T371=regle!$G$11,regle!$G$23,
IF(T371=regle!$H$11,regle!$H$23,
IF(T371=regle!$I$11,regle!$I$23,
IF(T371=regle!$J$11,regle!$J$23,
IF(T371=regle!$K$11,regle!$K$23,0))))))))))))</f>
        <v>0</v>
      </c>
      <c r="AE371" s="17">
        <f>IF($A371,$J371*(IF(U371=regle!$B$11,regle!$B$23*IF(AN371=-2,1+regle!$B$35,1),
IF(U371=regle!$C$11,regle!$C$23,
IF(U371=regle!$D$11,regle!$D$23,
IF(U371=regle!$E$11,regle!$E$23,
IF(U371=regle!$F$11,regle!$F$23,
IF(U371=regle!$G$11,regle!$G$23,
IF(U371=regle!$H$11,regle!$H$23,
IF(U371=regle!$I$11,regle!$I$23,
IF(U371=regle!$J$11,regle!$J$23,
IF(U371=regle!$K$11,regle!$K$23,0))))))))))))</f>
        <v>0</v>
      </c>
      <c r="AF371" s="17">
        <f>IF($A371,$J371*(IF(V371=regle!$B$11,regle!$B$23*IF(AO371=-2,1+regle!$B$35,1),
IF(V371=regle!$C$11,regle!$C$23,
IF(V371=regle!$D$11,regle!$D$23,
IF(V371=regle!$E$11,regle!$E$23,
IF(V371=regle!$F$11,regle!$F$23,
IF(V371=regle!$G$11,regle!$G$23,
IF(V371=regle!$H$11,regle!$H$23,
IF(V371=regle!$I$11,regle!$I$23,
IF(V371=regle!$J$11,regle!$J$23,
IF(V371=regle!$K$11,regle!$K$23,0))))))))))))</f>
        <v>0</v>
      </c>
      <c r="AG371" s="17">
        <f>IF($A371,$J371*(IF(W371=regle!$B$11,regle!$B$23*IF(AP371=-2,1+regle!$B$35,1),
IF(W371=regle!$C$11,regle!$C$23,
IF(W371=regle!$D$11,regle!$D$23,
IF(W371=regle!$E$11,regle!$E$23,
IF(W371=regle!$F$11,regle!$F$23,
IF(W371=regle!$G$11,regle!$G$23,
IF(W371=regle!$H$11,regle!$H$23,
IF(W371=regle!$I$11,regle!$I$23,
IF(W371=regle!$J$11,regle!$J$23,
IF(W371=regle!$K$11,regle!$K$23,0))))))))))))</f>
        <v>0</v>
      </c>
      <c r="AH371" s="17">
        <f>IF($A371,$J371*(IF(X371=regle!$B$11,regle!$B$23*IF(AQ371=-2,1+regle!$B$35,1),
IF(X371=regle!$C$11,regle!$C$23,
IF(X371=regle!$D$11,regle!$D$23,
IF(X371=regle!$E$11,regle!$E$23,
IF(X371=regle!$F$11,regle!$F$23,
IF(X371=regle!$G$11,regle!$G$23,
IF(X371=regle!$H$11,regle!$H$23,
IF(X371=regle!$I$11,regle!$I$23,
IF(X371=regle!$J$11,regle!$J$23,
IF(X371=regle!$K$11,regle!$K$23,0))))))))))))</f>
        <v>0</v>
      </c>
      <c r="AI371" s="17">
        <f>IF($A371,$J371*(IF(Y371=regle!$B$11,regle!$B$23*IF(AR371=-2,1+regle!$B$35,1),
IF(Y371=regle!$C$11,regle!$C$23,
IF(Y371=regle!$D$11,regle!$D$23,
IF(Y371=regle!$E$11,regle!$E$23,
IF(Y371=regle!$F$11,regle!$F$23,
IF(Y371=regle!$G$11,regle!$G$23,
IF(Y371=regle!$H$11,regle!$H$23,
IF(Y371=regle!$I$11,regle!$I$23,
IF(Y371=regle!$J$11,regle!$J$23,
IF(Y371=regle!$K$11,regle!$K$23,0))))))))))))</f>
        <v>0</v>
      </c>
      <c r="AJ371" s="17">
        <f>IF($A371,$J371*(IF(Z371=regle!$B$11,regle!$B$23*IF(AS371=-2,1+regle!$B$35,1),
IF(Z371=regle!$C$11,regle!$C$23,
IF(Z371=regle!$D$11,regle!$D$23,
IF(Z371=regle!$E$11,regle!$E$23,
IF(Z371=regle!$F$11,regle!$F$23,
IF(Z371=regle!$G$11,regle!$G$23,
IF(Z371=regle!$H$11,regle!$H$23,
IF(Z371=regle!$I$11,regle!$I$23,
IF(Z371=regle!$J$11,regle!$J$23,
IF(Z371=regle!$K$11,regle!$K$23,0))))))))))))</f>
        <v>0</v>
      </c>
      <c r="AK371" s="16">
        <f>IF(OR(Q371=regle!$J$11,Q371=regle!$K$11),-2,IF(Q371=regle!$B$11,0,IF(AK$1=$AK$1,IF($O371,-1,regle!$B$2-$M371),IF(AJ371=-1,-1,AJ371+1))))</f>
        <v>-2</v>
      </c>
      <c r="AL371" s="16">
        <f>IF(OR(R371=regle!$J$11,R371=regle!$K$11),-2,IF(R371=regle!$B$11,0,IF(AL$1=$AK$1,IF($O371,-1,regle!$B$2-$M371),IF(AK371=-1,-1,AK371+1))))</f>
        <v>0</v>
      </c>
      <c r="AM371" s="16">
        <f>IF(OR(S371=regle!$J$11,S371=regle!$K$11),-2,IF(S371=regle!$B$11,0,IF(AM$1=$AK$1,IF($O371,-1,regle!$B$2-$M371),IF(AL371=-1,-1,AL371+1))))</f>
        <v>1</v>
      </c>
      <c r="AN371" s="16">
        <f>IF(OR(T371=regle!$J$11,T371=regle!$K$11),-2,IF(T371=regle!$B$11,0,IF(AN$1=$AK$1,IF($O371,-1,regle!$B$2-$M371),IF(AM371=-1,-1,AM371+1))))</f>
        <v>2</v>
      </c>
      <c r="AO371" s="16">
        <f>IF(OR(U371=regle!$J$11,U371=regle!$K$11),-2,IF(U371=regle!$B$11,0,IF(AO$1=$AK$1,IF($O371,-1,regle!$B$2-$M371),IF(AN371=-1,-1,AN371+1))))</f>
        <v>3</v>
      </c>
      <c r="AP371" s="16">
        <f>IF(OR(V371=regle!$J$11,V371=regle!$K$11),-2,IF(V371=regle!$B$11,0,IF(AP$1=$AK$1,IF($O371,-1,regle!$B$2-$M371),IF(AO371=-1,-1,AO371+1))))</f>
        <v>4</v>
      </c>
      <c r="AQ371" s="16">
        <f>IF(OR(W371=regle!$J$11,W371=regle!$K$11),-2,IF(W371=regle!$B$11,0,IF(AQ$1=$AK$1,IF($O371,-1,regle!$B$2-$M371),IF(AP371=-1,-1,AP371+1))))</f>
        <v>5</v>
      </c>
      <c r="AR371" s="16">
        <f>IF(OR(X371=regle!$J$11,X371=regle!$K$11),-2,IF(X371=regle!$B$11,0,IF(AR$1=$AK$1,IF($O371,-1,regle!$B$2-$M371),IF(AQ371=-1,-1,AQ371+1))))</f>
        <v>6</v>
      </c>
      <c r="AS371" s="16">
        <f>IF(OR(Y371=regle!$J$11,Y371=regle!$K$11),-2,IF(Y371=regle!$B$11,0,IF(AS$1=$AK$1,IF($O371,-1,regle!$B$2-$M371),IF(AR371=-1,-1,AR371+1))))</f>
        <v>7</v>
      </c>
      <c r="AT371" s="16">
        <f>IF(OR(Z371=regle!$J$11,Z371=regle!$K$11),-2,IF(Z371=regle!$B$11,0,IF(AT$1=$AK$1,IF($O371,-1,regle!$B$2-$M371),IF(AS371=-1,-1,AS371+1))))</f>
        <v>8</v>
      </c>
    </row>
    <row r="372" spans="1:46" x14ac:dyDescent="0.25">
      <c r="A372" t="b">
        <f>modif0!A211</f>
        <v>1</v>
      </c>
      <c r="B372">
        <f>ROW(modif0!B211)</f>
        <v>211</v>
      </c>
      <c r="C372" t="str">
        <f>modif0!D211</f>
        <v>202</v>
      </c>
      <c r="D372" t="str">
        <f>modif0!E211</f>
        <v>HOSTENS</v>
      </c>
      <c r="E372">
        <f>modif0!F211</f>
        <v>13</v>
      </c>
      <c r="F372" t="str">
        <f>modif0!G211</f>
        <v>LA BROUSTETTE</v>
      </c>
      <c r="G372" t="str">
        <f>modif0!I211</f>
        <v>0B</v>
      </c>
      <c r="H372">
        <f>modif0!J211</f>
        <v>1246</v>
      </c>
      <c r="I372" t="str">
        <f>modif0!K211</f>
        <v>l</v>
      </c>
      <c r="J372" s="11">
        <f>modif0!M211</f>
        <v>0.39700000000000002</v>
      </c>
      <c r="K372" s="11" t="str">
        <f>modif0!P211</f>
        <v>SL</v>
      </c>
      <c r="L372" t="str">
        <f>modif0!N211</f>
        <v>PM</v>
      </c>
      <c r="M372">
        <f>modif0!Q211</f>
        <v>1987</v>
      </c>
      <c r="N372" t="str">
        <f>modif0!R211</f>
        <v>SL-PM_1987</v>
      </c>
      <c r="O372" t="b">
        <f>modif0!S211</f>
        <v>0</v>
      </c>
      <c r="P372">
        <v>25</v>
      </c>
      <c r="Q372" t="s">
        <v>63</v>
      </c>
      <c r="R372" t="s">
        <v>1868</v>
      </c>
      <c r="AA372" s="17">
        <f>IF($A372,$J372*(IF(Q372=regle!$B$11,regle!$B$23*IF(AJ372=-2,1+regle!$B$35,1),
IF(Q372=regle!$C$11,regle!$C$23,
IF(Q372=regle!$D$11,regle!$D$23,
IF(Q372=regle!$E$11,regle!$E$23,
IF(Q372=regle!$F$11,regle!$F$23,
IF(Q372=regle!$G$11,regle!$G$23,
IF(Q372=regle!$H$11,regle!$H$23,
IF(Q372=regle!$I$11,regle!$I$23,
IF(Q372=regle!$J$11,regle!$J$23,
IF(Q372=regle!$K$11,regle!$K$23,0))))))))))))</f>
        <v>3493.6000000000004</v>
      </c>
      <c r="AB372" s="17">
        <f>IF($A372,$J372*(IF(R372=regle!$B$11,regle!$B$23*IF(AK372=-2,1+regle!$B$35,1),
IF(R372=regle!$C$11,regle!$C$23,
IF(R372=regle!$D$11,regle!$D$23,
IF(R372=regle!$E$11,regle!$E$23,
IF(R372=regle!$F$11,regle!$F$23,
IF(R372=regle!$G$11,regle!$G$23,
IF(R372=regle!$H$11,regle!$H$23,
IF(R372=regle!$I$11,regle!$I$23,
IF(R372=regle!$J$11,regle!$J$23,
IF(R372=regle!$K$11,regle!$K$23,0))))))))))))</f>
        <v>-742.3900000000001</v>
      </c>
      <c r="AC372" s="17">
        <f>IF($A372,$J372*(IF(S372=regle!$B$11,regle!$B$23*IF(AL372=-2,1+regle!$B$35,1),
IF(S372=regle!$C$11,regle!$C$23,
IF(S372=regle!$D$11,regle!$D$23,
IF(S372=regle!$E$11,regle!$E$23,
IF(S372=regle!$F$11,regle!$F$23,
IF(S372=regle!$G$11,regle!$G$23,
IF(S372=regle!$H$11,regle!$H$23,
IF(S372=regle!$I$11,regle!$I$23,
IF(S372=regle!$J$11,regle!$J$23,
IF(S372=regle!$K$11,regle!$K$23,0))))))))))))</f>
        <v>0</v>
      </c>
      <c r="AD372" s="17">
        <f>IF($A372,$J372*(IF(T372=regle!$B$11,regle!$B$23*IF(AM372=-2,1+regle!$B$35,1),
IF(T372=regle!$C$11,regle!$C$23,
IF(T372=regle!$D$11,regle!$D$23,
IF(T372=regle!$E$11,regle!$E$23,
IF(T372=regle!$F$11,regle!$F$23,
IF(T372=regle!$G$11,regle!$G$23,
IF(T372=regle!$H$11,regle!$H$23,
IF(T372=regle!$I$11,regle!$I$23,
IF(T372=regle!$J$11,regle!$J$23,
IF(T372=regle!$K$11,regle!$K$23,0))))))))))))</f>
        <v>0</v>
      </c>
      <c r="AE372" s="17">
        <f>IF($A372,$J372*(IF(U372=regle!$B$11,regle!$B$23*IF(AN372=-2,1+regle!$B$35,1),
IF(U372=regle!$C$11,regle!$C$23,
IF(U372=regle!$D$11,regle!$D$23,
IF(U372=regle!$E$11,regle!$E$23,
IF(U372=regle!$F$11,regle!$F$23,
IF(U372=regle!$G$11,regle!$G$23,
IF(U372=regle!$H$11,regle!$H$23,
IF(U372=regle!$I$11,regle!$I$23,
IF(U372=regle!$J$11,regle!$J$23,
IF(U372=regle!$K$11,regle!$K$23,0))))))))))))</f>
        <v>0</v>
      </c>
      <c r="AF372" s="17">
        <f>IF($A372,$J372*(IF(V372=regle!$B$11,regle!$B$23*IF(AO372=-2,1+regle!$B$35,1),
IF(V372=regle!$C$11,regle!$C$23,
IF(V372=regle!$D$11,regle!$D$23,
IF(V372=regle!$E$11,regle!$E$23,
IF(V372=regle!$F$11,regle!$F$23,
IF(V372=regle!$G$11,regle!$G$23,
IF(V372=regle!$H$11,regle!$H$23,
IF(V372=regle!$I$11,regle!$I$23,
IF(V372=regle!$J$11,regle!$J$23,
IF(V372=regle!$K$11,regle!$K$23,0))))))))))))</f>
        <v>0</v>
      </c>
      <c r="AG372" s="17">
        <f>IF($A372,$J372*(IF(W372=regle!$B$11,regle!$B$23*IF(AP372=-2,1+regle!$B$35,1),
IF(W372=regle!$C$11,regle!$C$23,
IF(W372=regle!$D$11,regle!$D$23,
IF(W372=regle!$E$11,regle!$E$23,
IF(W372=regle!$F$11,regle!$F$23,
IF(W372=regle!$G$11,regle!$G$23,
IF(W372=regle!$H$11,regle!$H$23,
IF(W372=regle!$I$11,regle!$I$23,
IF(W372=regle!$J$11,regle!$J$23,
IF(W372=regle!$K$11,regle!$K$23,0))))))))))))</f>
        <v>0</v>
      </c>
      <c r="AH372" s="17">
        <f>IF($A372,$J372*(IF(X372=regle!$B$11,regle!$B$23*IF(AQ372=-2,1+regle!$B$35,1),
IF(X372=regle!$C$11,regle!$C$23,
IF(X372=regle!$D$11,regle!$D$23,
IF(X372=regle!$E$11,regle!$E$23,
IF(X372=regle!$F$11,regle!$F$23,
IF(X372=regle!$G$11,regle!$G$23,
IF(X372=regle!$H$11,regle!$H$23,
IF(X372=regle!$I$11,regle!$I$23,
IF(X372=regle!$J$11,regle!$J$23,
IF(X372=regle!$K$11,regle!$K$23,0))))))))))))</f>
        <v>0</v>
      </c>
      <c r="AI372" s="17">
        <f>IF($A372,$J372*(IF(Y372=regle!$B$11,regle!$B$23*IF(AR372=-2,1+regle!$B$35,1),
IF(Y372=regle!$C$11,regle!$C$23,
IF(Y372=regle!$D$11,regle!$D$23,
IF(Y372=regle!$E$11,regle!$E$23,
IF(Y372=regle!$F$11,regle!$F$23,
IF(Y372=regle!$G$11,regle!$G$23,
IF(Y372=regle!$H$11,regle!$H$23,
IF(Y372=regle!$I$11,regle!$I$23,
IF(Y372=regle!$J$11,regle!$J$23,
IF(Y372=regle!$K$11,regle!$K$23,0))))))))))))</f>
        <v>0</v>
      </c>
      <c r="AJ372" s="17">
        <f>IF($A372,$J372*(IF(Z372=regle!$B$11,regle!$B$23*IF(AS372=-2,1+regle!$B$35,1),
IF(Z372=regle!$C$11,regle!$C$23,
IF(Z372=regle!$D$11,regle!$D$23,
IF(Z372=regle!$E$11,regle!$E$23,
IF(Z372=regle!$F$11,regle!$F$23,
IF(Z372=regle!$G$11,regle!$G$23,
IF(Z372=regle!$H$11,regle!$H$23,
IF(Z372=regle!$I$11,regle!$I$23,
IF(Z372=regle!$J$11,regle!$J$23,
IF(Z372=regle!$K$11,regle!$K$23,0))))))))))))</f>
        <v>0</v>
      </c>
      <c r="AK372" s="16">
        <f>IF(OR(Q372=regle!$J$11,Q372=regle!$K$11),-2,IF(Q372=regle!$B$11,0,IF(AK$1=$AK$1,IF($O372,-1,regle!$B$2-$M372),IF(AJ372=-1,-1,AJ372+1))))</f>
        <v>-2</v>
      </c>
      <c r="AL372" s="16">
        <f>IF(OR(R372=regle!$J$11,R372=regle!$K$11),-2,IF(R372=regle!$B$11,0,IF(AL$1=$AK$1,IF($O372,-1,regle!$B$2-$M372),IF(AK372=-1,-1,AK372+1))))</f>
        <v>0</v>
      </c>
      <c r="AM372" s="16">
        <f>IF(OR(S372=regle!$J$11,S372=regle!$K$11),-2,IF(S372=regle!$B$11,0,IF(AM$1=$AK$1,IF($O372,-1,regle!$B$2-$M372),IF(AL372=-1,-1,AL372+1))))</f>
        <v>1</v>
      </c>
      <c r="AN372" s="16">
        <f>IF(OR(T372=regle!$J$11,T372=regle!$K$11),-2,IF(T372=regle!$B$11,0,IF(AN$1=$AK$1,IF($O372,-1,regle!$B$2-$M372),IF(AM372=-1,-1,AM372+1))))</f>
        <v>2</v>
      </c>
      <c r="AO372" s="16">
        <f>IF(OR(U372=regle!$J$11,U372=regle!$K$11),-2,IF(U372=regle!$B$11,0,IF(AO$1=$AK$1,IF($O372,-1,regle!$B$2-$M372),IF(AN372=-1,-1,AN372+1))))</f>
        <v>3</v>
      </c>
      <c r="AP372" s="16">
        <f>IF(OR(V372=regle!$J$11,V372=regle!$K$11),-2,IF(V372=regle!$B$11,0,IF(AP$1=$AK$1,IF($O372,-1,regle!$B$2-$M372),IF(AO372=-1,-1,AO372+1))))</f>
        <v>4</v>
      </c>
      <c r="AQ372" s="16">
        <f>IF(OR(W372=regle!$J$11,W372=regle!$K$11),-2,IF(W372=regle!$B$11,0,IF(AQ$1=$AK$1,IF($O372,-1,regle!$B$2-$M372),IF(AP372=-1,-1,AP372+1))))</f>
        <v>5</v>
      </c>
      <c r="AR372" s="16">
        <f>IF(OR(X372=regle!$J$11,X372=regle!$K$11),-2,IF(X372=regle!$B$11,0,IF(AR$1=$AK$1,IF($O372,-1,regle!$B$2-$M372),IF(AQ372=-1,-1,AQ372+1))))</f>
        <v>6</v>
      </c>
      <c r="AS372" s="16">
        <f>IF(OR(Y372=regle!$J$11,Y372=regle!$K$11),-2,IF(Y372=regle!$B$11,0,IF(AS$1=$AK$1,IF($O372,-1,regle!$B$2-$M372),IF(AR372=-1,-1,AR372+1))))</f>
        <v>7</v>
      </c>
      <c r="AT372" s="16">
        <f>IF(OR(Z372=regle!$J$11,Z372=regle!$K$11),-2,IF(Z372=regle!$B$11,0,IF(AT$1=$AK$1,IF($O372,-1,regle!$B$2-$M372),IF(AS372=-1,-1,AS372+1))))</f>
        <v>8</v>
      </c>
    </row>
    <row r="373" spans="1:46" x14ac:dyDescent="0.25">
      <c r="A373" t="b">
        <f>modif0!A213</f>
        <v>1</v>
      </c>
      <c r="B373">
        <f>ROW(modif0!B213)</f>
        <v>213</v>
      </c>
      <c r="C373" t="str">
        <f>modif0!D213</f>
        <v>202</v>
      </c>
      <c r="D373" t="str">
        <f>modif0!E213</f>
        <v>HOSTENS</v>
      </c>
      <c r="E373">
        <f>modif0!F213</f>
        <v>13</v>
      </c>
      <c r="F373" t="str">
        <f>modif0!G213</f>
        <v>LA BROUSTETTE</v>
      </c>
      <c r="G373" t="str">
        <f>modif0!I213</f>
        <v>0B</v>
      </c>
      <c r="H373">
        <f>modif0!J213</f>
        <v>1248</v>
      </c>
      <c r="I373" t="str">
        <f>modif0!K213</f>
        <v/>
      </c>
      <c r="J373" s="11">
        <f>modif0!M213</f>
        <v>0.22850000000000001</v>
      </c>
      <c r="K373" s="11" t="str">
        <f>modif0!P213</f>
        <v>SL</v>
      </c>
      <c r="L373" t="str">
        <f>modif0!N213</f>
        <v>PM</v>
      </c>
      <c r="M373">
        <f>modif0!Q213</f>
        <v>1987</v>
      </c>
      <c r="N373" t="str">
        <f>modif0!R213</f>
        <v>SL-PM_1987</v>
      </c>
      <c r="O373" t="b">
        <f>modif0!S213</f>
        <v>0</v>
      </c>
      <c r="P373">
        <v>25</v>
      </c>
      <c r="Q373" t="s">
        <v>63</v>
      </c>
      <c r="R373" t="s">
        <v>1868</v>
      </c>
      <c r="AA373" s="17">
        <f>IF($A373,$J373*(IF(Q373=regle!$B$11,regle!$B$23*IF(AJ373=-2,1+regle!$B$35,1),
IF(Q373=regle!$C$11,regle!$C$23,
IF(Q373=regle!$D$11,regle!$D$23,
IF(Q373=regle!$E$11,regle!$E$23,
IF(Q373=regle!$F$11,regle!$F$23,
IF(Q373=regle!$G$11,regle!$G$23,
IF(Q373=regle!$H$11,regle!$H$23,
IF(Q373=regle!$I$11,regle!$I$23,
IF(Q373=regle!$J$11,regle!$J$23,
IF(Q373=regle!$K$11,regle!$K$23,0))))))))))))</f>
        <v>2010.8000000000002</v>
      </c>
      <c r="AB373" s="17">
        <f>IF($A373,$J373*(IF(R373=regle!$B$11,regle!$B$23*IF(AK373=-2,1+regle!$B$35,1),
IF(R373=regle!$C$11,regle!$C$23,
IF(R373=regle!$D$11,regle!$D$23,
IF(R373=regle!$E$11,regle!$E$23,
IF(R373=regle!$F$11,regle!$F$23,
IF(R373=regle!$G$11,regle!$G$23,
IF(R373=regle!$H$11,regle!$H$23,
IF(R373=regle!$I$11,regle!$I$23,
IF(R373=regle!$J$11,regle!$J$23,
IF(R373=regle!$K$11,regle!$K$23,0))))))))))))</f>
        <v>-427.29500000000007</v>
      </c>
      <c r="AC373" s="17">
        <f>IF($A373,$J373*(IF(S373=regle!$B$11,regle!$B$23*IF(AL373=-2,1+regle!$B$35,1),
IF(S373=regle!$C$11,regle!$C$23,
IF(S373=regle!$D$11,regle!$D$23,
IF(S373=regle!$E$11,regle!$E$23,
IF(S373=regle!$F$11,regle!$F$23,
IF(S373=regle!$G$11,regle!$G$23,
IF(S373=regle!$H$11,regle!$H$23,
IF(S373=regle!$I$11,regle!$I$23,
IF(S373=regle!$J$11,regle!$J$23,
IF(S373=regle!$K$11,regle!$K$23,0))))))))))))</f>
        <v>0</v>
      </c>
      <c r="AD373" s="17">
        <f>IF($A373,$J373*(IF(T373=regle!$B$11,regle!$B$23*IF(AM373=-2,1+regle!$B$35,1),
IF(T373=regle!$C$11,regle!$C$23,
IF(T373=regle!$D$11,regle!$D$23,
IF(T373=regle!$E$11,regle!$E$23,
IF(T373=regle!$F$11,regle!$F$23,
IF(T373=regle!$G$11,regle!$G$23,
IF(T373=regle!$H$11,regle!$H$23,
IF(T373=regle!$I$11,regle!$I$23,
IF(T373=regle!$J$11,regle!$J$23,
IF(T373=regle!$K$11,regle!$K$23,0))))))))))))</f>
        <v>0</v>
      </c>
      <c r="AE373" s="17">
        <f>IF($A373,$J373*(IF(U373=regle!$B$11,regle!$B$23*IF(AN373=-2,1+regle!$B$35,1),
IF(U373=regle!$C$11,regle!$C$23,
IF(U373=regle!$D$11,regle!$D$23,
IF(U373=regle!$E$11,regle!$E$23,
IF(U373=regle!$F$11,regle!$F$23,
IF(U373=regle!$G$11,regle!$G$23,
IF(U373=regle!$H$11,regle!$H$23,
IF(U373=regle!$I$11,regle!$I$23,
IF(U373=regle!$J$11,regle!$J$23,
IF(U373=regle!$K$11,regle!$K$23,0))))))))))))</f>
        <v>0</v>
      </c>
      <c r="AF373" s="17">
        <f>IF($A373,$J373*(IF(V373=regle!$B$11,regle!$B$23*IF(AO373=-2,1+regle!$B$35,1),
IF(V373=regle!$C$11,regle!$C$23,
IF(V373=regle!$D$11,regle!$D$23,
IF(V373=regle!$E$11,regle!$E$23,
IF(V373=regle!$F$11,regle!$F$23,
IF(V373=regle!$G$11,regle!$G$23,
IF(V373=regle!$H$11,regle!$H$23,
IF(V373=regle!$I$11,regle!$I$23,
IF(V373=regle!$J$11,regle!$J$23,
IF(V373=regle!$K$11,regle!$K$23,0))))))))))))</f>
        <v>0</v>
      </c>
      <c r="AG373" s="17">
        <f>IF($A373,$J373*(IF(W373=regle!$B$11,regle!$B$23*IF(AP373=-2,1+regle!$B$35,1),
IF(W373=regle!$C$11,regle!$C$23,
IF(W373=regle!$D$11,regle!$D$23,
IF(W373=regle!$E$11,regle!$E$23,
IF(W373=regle!$F$11,regle!$F$23,
IF(W373=regle!$G$11,regle!$G$23,
IF(W373=regle!$H$11,regle!$H$23,
IF(W373=regle!$I$11,regle!$I$23,
IF(W373=regle!$J$11,regle!$J$23,
IF(W373=regle!$K$11,regle!$K$23,0))))))))))))</f>
        <v>0</v>
      </c>
      <c r="AH373" s="17">
        <f>IF($A373,$J373*(IF(X373=regle!$B$11,regle!$B$23*IF(AQ373=-2,1+regle!$B$35,1),
IF(X373=regle!$C$11,regle!$C$23,
IF(X373=regle!$D$11,regle!$D$23,
IF(X373=regle!$E$11,regle!$E$23,
IF(X373=regle!$F$11,regle!$F$23,
IF(X373=regle!$G$11,regle!$G$23,
IF(X373=regle!$H$11,regle!$H$23,
IF(X373=regle!$I$11,regle!$I$23,
IF(X373=regle!$J$11,regle!$J$23,
IF(X373=regle!$K$11,regle!$K$23,0))))))))))))</f>
        <v>0</v>
      </c>
      <c r="AI373" s="17">
        <f>IF($A373,$J373*(IF(Y373=regle!$B$11,regle!$B$23*IF(AR373=-2,1+regle!$B$35,1),
IF(Y373=regle!$C$11,regle!$C$23,
IF(Y373=regle!$D$11,regle!$D$23,
IF(Y373=regle!$E$11,regle!$E$23,
IF(Y373=regle!$F$11,regle!$F$23,
IF(Y373=regle!$G$11,regle!$G$23,
IF(Y373=regle!$H$11,regle!$H$23,
IF(Y373=regle!$I$11,regle!$I$23,
IF(Y373=regle!$J$11,regle!$J$23,
IF(Y373=regle!$K$11,regle!$K$23,0))))))))))))</f>
        <v>0</v>
      </c>
      <c r="AJ373" s="17">
        <f>IF($A373,$J373*(IF(Z373=regle!$B$11,regle!$B$23*IF(AS373=-2,1+regle!$B$35,1),
IF(Z373=regle!$C$11,regle!$C$23,
IF(Z373=regle!$D$11,regle!$D$23,
IF(Z373=regle!$E$11,regle!$E$23,
IF(Z373=regle!$F$11,regle!$F$23,
IF(Z373=regle!$G$11,regle!$G$23,
IF(Z373=regle!$H$11,regle!$H$23,
IF(Z373=regle!$I$11,regle!$I$23,
IF(Z373=regle!$J$11,regle!$J$23,
IF(Z373=regle!$K$11,regle!$K$23,0))))))))))))</f>
        <v>0</v>
      </c>
      <c r="AK373" s="16">
        <f>IF(OR(Q373=regle!$J$11,Q373=regle!$K$11),-2,IF(Q373=regle!$B$11,0,IF(AK$1=$AK$1,IF($O373,-1,regle!$B$2-$M373),IF(AJ373=-1,-1,AJ373+1))))</f>
        <v>-2</v>
      </c>
      <c r="AL373" s="16">
        <f>IF(OR(R373=regle!$J$11,R373=regle!$K$11),-2,IF(R373=regle!$B$11,0,IF(AL$1=$AK$1,IF($O373,-1,regle!$B$2-$M373),IF(AK373=-1,-1,AK373+1))))</f>
        <v>0</v>
      </c>
      <c r="AM373" s="16">
        <f>IF(OR(S373=regle!$J$11,S373=regle!$K$11),-2,IF(S373=regle!$B$11,0,IF(AM$1=$AK$1,IF($O373,-1,regle!$B$2-$M373),IF(AL373=-1,-1,AL373+1))))</f>
        <v>1</v>
      </c>
      <c r="AN373" s="16">
        <f>IF(OR(T373=regle!$J$11,T373=regle!$K$11),-2,IF(T373=regle!$B$11,0,IF(AN$1=$AK$1,IF($O373,-1,regle!$B$2-$M373),IF(AM373=-1,-1,AM373+1))))</f>
        <v>2</v>
      </c>
      <c r="AO373" s="16">
        <f>IF(OR(U373=regle!$J$11,U373=regle!$K$11),-2,IF(U373=regle!$B$11,0,IF(AO$1=$AK$1,IF($O373,-1,regle!$B$2-$M373),IF(AN373=-1,-1,AN373+1))))</f>
        <v>3</v>
      </c>
      <c r="AP373" s="16">
        <f>IF(OR(V373=regle!$J$11,V373=regle!$K$11),-2,IF(V373=regle!$B$11,0,IF(AP$1=$AK$1,IF($O373,-1,regle!$B$2-$M373),IF(AO373=-1,-1,AO373+1))))</f>
        <v>4</v>
      </c>
      <c r="AQ373" s="16">
        <f>IF(OR(W373=regle!$J$11,W373=regle!$K$11),-2,IF(W373=regle!$B$11,0,IF(AQ$1=$AK$1,IF($O373,-1,regle!$B$2-$M373),IF(AP373=-1,-1,AP373+1))))</f>
        <v>5</v>
      </c>
      <c r="AR373" s="16">
        <f>IF(OR(X373=regle!$J$11,X373=regle!$K$11),-2,IF(X373=regle!$B$11,0,IF(AR$1=$AK$1,IF($O373,-1,regle!$B$2-$M373),IF(AQ373=-1,-1,AQ373+1))))</f>
        <v>6</v>
      </c>
      <c r="AS373" s="16">
        <f>IF(OR(Y373=regle!$J$11,Y373=regle!$K$11),-2,IF(Y373=regle!$B$11,0,IF(AS$1=$AK$1,IF($O373,-1,regle!$B$2-$M373),IF(AR373=-1,-1,AR373+1))))</f>
        <v>7</v>
      </c>
      <c r="AT373" s="16">
        <f>IF(OR(Z373=regle!$J$11,Z373=regle!$K$11),-2,IF(Z373=regle!$B$11,0,IF(AT$1=$AK$1,IF($O373,-1,regle!$B$2-$M373),IF(AS373=-1,-1,AS373+1))))</f>
        <v>8</v>
      </c>
    </row>
    <row r="374" spans="1:46" x14ac:dyDescent="0.25">
      <c r="A374" t="b">
        <f>modif0!A165</f>
        <v>1</v>
      </c>
      <c r="B374">
        <f>ROW(modif0!B165)</f>
        <v>165</v>
      </c>
      <c r="C374" t="str">
        <f>modif0!D165</f>
        <v>202</v>
      </c>
      <c r="D374" t="str">
        <f>modif0!E165</f>
        <v>HOSTENS</v>
      </c>
      <c r="E374">
        <f>modif0!F165</f>
        <v>11</v>
      </c>
      <c r="F374" t="str">
        <f>modif0!G165</f>
        <v>LES CAZALAS</v>
      </c>
      <c r="G374" t="str">
        <f>modif0!I165</f>
        <v>0B</v>
      </c>
      <c r="H374">
        <f>modif0!J165</f>
        <v>1187</v>
      </c>
      <c r="I374" t="str">
        <f>modif0!K165</f>
        <v>k</v>
      </c>
      <c r="J374" s="11">
        <f>modif0!M165</f>
        <v>0.90339999999999998</v>
      </c>
      <c r="K374" s="11" t="str">
        <f>modif0!P165</f>
        <v>SL</v>
      </c>
      <c r="L374" t="str">
        <f>modif0!N165</f>
        <v>PM</v>
      </c>
      <c r="M374">
        <f>modif0!Q165</f>
        <v>1984</v>
      </c>
      <c r="N374" t="str">
        <f>modif0!R165</f>
        <v>SL-PM_1984</v>
      </c>
      <c r="O374" t="b">
        <f>modif0!S165</f>
        <v>0</v>
      </c>
      <c r="P374">
        <v>25</v>
      </c>
      <c r="Q374" t="s">
        <v>63</v>
      </c>
      <c r="R374" t="s">
        <v>1868</v>
      </c>
      <c r="AA374" s="17">
        <f>IF($A374,$J374*(IF(Q374=regle!$B$11,regle!$B$23*IF(AJ374=-2,1+regle!$B$35,1),
IF(Q374=regle!$C$11,regle!$C$23,
IF(Q374=regle!$D$11,regle!$D$23,
IF(Q374=regle!$E$11,regle!$E$23,
IF(Q374=regle!$F$11,regle!$F$23,
IF(Q374=regle!$G$11,regle!$G$23,
IF(Q374=regle!$H$11,regle!$H$23,
IF(Q374=regle!$I$11,regle!$I$23,
IF(Q374=regle!$J$11,regle!$J$23,
IF(Q374=regle!$K$11,regle!$K$23,0))))))))))))</f>
        <v>7949.92</v>
      </c>
      <c r="AB374" s="17">
        <f>IF($A374,$J374*(IF(R374=regle!$B$11,regle!$B$23*IF(AK374=-2,1+regle!$B$35,1),
IF(R374=regle!$C$11,regle!$C$23,
IF(R374=regle!$D$11,regle!$D$23,
IF(R374=regle!$E$11,regle!$E$23,
IF(R374=regle!$F$11,regle!$F$23,
IF(R374=regle!$G$11,regle!$G$23,
IF(R374=regle!$H$11,regle!$H$23,
IF(R374=regle!$I$11,regle!$I$23,
IF(R374=regle!$J$11,regle!$J$23,
IF(R374=regle!$K$11,regle!$K$23,0))))))))))))</f>
        <v>-1689.3580000000002</v>
      </c>
      <c r="AC374" s="17">
        <f>IF($A374,$J374*(IF(S374=regle!$B$11,regle!$B$23*IF(AL374=-2,1+regle!$B$35,1),
IF(S374=regle!$C$11,regle!$C$23,
IF(S374=regle!$D$11,regle!$D$23,
IF(S374=regle!$E$11,regle!$E$23,
IF(S374=regle!$F$11,regle!$F$23,
IF(S374=regle!$G$11,regle!$G$23,
IF(S374=regle!$H$11,regle!$H$23,
IF(S374=regle!$I$11,regle!$I$23,
IF(S374=regle!$J$11,regle!$J$23,
IF(S374=regle!$K$11,regle!$K$23,0))))))))))))</f>
        <v>0</v>
      </c>
      <c r="AD374" s="17">
        <f>IF($A374,$J374*(IF(T374=regle!$B$11,regle!$B$23*IF(AM374=-2,1+regle!$B$35,1),
IF(T374=regle!$C$11,regle!$C$23,
IF(T374=regle!$D$11,regle!$D$23,
IF(T374=regle!$E$11,regle!$E$23,
IF(T374=regle!$F$11,regle!$F$23,
IF(T374=regle!$G$11,regle!$G$23,
IF(T374=regle!$H$11,regle!$H$23,
IF(T374=regle!$I$11,regle!$I$23,
IF(T374=regle!$J$11,regle!$J$23,
IF(T374=regle!$K$11,regle!$K$23,0))))))))))))</f>
        <v>0</v>
      </c>
      <c r="AE374" s="17">
        <f>IF($A374,$J374*(IF(U374=regle!$B$11,regle!$B$23*IF(AN374=-2,1+regle!$B$35,1),
IF(U374=regle!$C$11,regle!$C$23,
IF(U374=regle!$D$11,regle!$D$23,
IF(U374=regle!$E$11,regle!$E$23,
IF(U374=regle!$F$11,regle!$F$23,
IF(U374=regle!$G$11,regle!$G$23,
IF(U374=regle!$H$11,regle!$H$23,
IF(U374=regle!$I$11,regle!$I$23,
IF(U374=regle!$J$11,regle!$J$23,
IF(U374=regle!$K$11,regle!$K$23,0))))))))))))</f>
        <v>0</v>
      </c>
      <c r="AF374" s="17">
        <f>IF($A374,$J374*(IF(V374=regle!$B$11,regle!$B$23*IF(AO374=-2,1+regle!$B$35,1),
IF(V374=regle!$C$11,regle!$C$23,
IF(V374=regle!$D$11,regle!$D$23,
IF(V374=regle!$E$11,regle!$E$23,
IF(V374=regle!$F$11,regle!$F$23,
IF(V374=regle!$G$11,regle!$G$23,
IF(V374=regle!$H$11,regle!$H$23,
IF(V374=regle!$I$11,regle!$I$23,
IF(V374=regle!$J$11,regle!$J$23,
IF(V374=regle!$K$11,regle!$K$23,0))))))))))))</f>
        <v>0</v>
      </c>
      <c r="AG374" s="17">
        <f>IF($A374,$J374*(IF(W374=regle!$B$11,regle!$B$23*IF(AP374=-2,1+regle!$B$35,1),
IF(W374=regle!$C$11,regle!$C$23,
IF(W374=regle!$D$11,regle!$D$23,
IF(W374=regle!$E$11,regle!$E$23,
IF(W374=regle!$F$11,regle!$F$23,
IF(W374=regle!$G$11,regle!$G$23,
IF(W374=regle!$H$11,regle!$H$23,
IF(W374=regle!$I$11,regle!$I$23,
IF(W374=regle!$J$11,regle!$J$23,
IF(W374=regle!$K$11,regle!$K$23,0))))))))))))</f>
        <v>0</v>
      </c>
      <c r="AH374" s="17">
        <f>IF($A374,$J374*(IF(X374=regle!$B$11,regle!$B$23*IF(AQ374=-2,1+regle!$B$35,1),
IF(X374=regle!$C$11,regle!$C$23,
IF(X374=regle!$D$11,regle!$D$23,
IF(X374=regle!$E$11,regle!$E$23,
IF(X374=regle!$F$11,regle!$F$23,
IF(X374=regle!$G$11,regle!$G$23,
IF(X374=regle!$H$11,regle!$H$23,
IF(X374=regle!$I$11,regle!$I$23,
IF(X374=regle!$J$11,regle!$J$23,
IF(X374=regle!$K$11,regle!$K$23,0))))))))))))</f>
        <v>0</v>
      </c>
      <c r="AI374" s="17">
        <f>IF($A374,$J374*(IF(Y374=regle!$B$11,regle!$B$23*IF(AR374=-2,1+regle!$B$35,1),
IF(Y374=regle!$C$11,regle!$C$23,
IF(Y374=regle!$D$11,regle!$D$23,
IF(Y374=regle!$E$11,regle!$E$23,
IF(Y374=regle!$F$11,regle!$F$23,
IF(Y374=regle!$G$11,regle!$G$23,
IF(Y374=regle!$H$11,regle!$H$23,
IF(Y374=regle!$I$11,regle!$I$23,
IF(Y374=regle!$J$11,regle!$J$23,
IF(Y374=regle!$K$11,regle!$K$23,0))))))))))))</f>
        <v>0</v>
      </c>
      <c r="AJ374" s="17">
        <f>IF($A374,$J374*(IF(Z374=regle!$B$11,regle!$B$23*IF(AS374=-2,1+regle!$B$35,1),
IF(Z374=regle!$C$11,regle!$C$23,
IF(Z374=regle!$D$11,regle!$D$23,
IF(Z374=regle!$E$11,regle!$E$23,
IF(Z374=regle!$F$11,regle!$F$23,
IF(Z374=regle!$G$11,regle!$G$23,
IF(Z374=regle!$H$11,regle!$H$23,
IF(Z374=regle!$I$11,regle!$I$23,
IF(Z374=regle!$J$11,regle!$J$23,
IF(Z374=regle!$K$11,regle!$K$23,0))))))))))))</f>
        <v>0</v>
      </c>
      <c r="AK374" s="16">
        <f>IF(OR(Q374=regle!$J$11,Q374=regle!$K$11),-2,IF(Q374=regle!$B$11,0,IF(AK$1=$AK$1,IF($O374,-1,regle!$B$2-$M374),IF(AJ374=-1,-1,AJ374+1))))</f>
        <v>-2</v>
      </c>
      <c r="AL374" s="16">
        <f>IF(OR(R374=regle!$J$11,R374=regle!$K$11),-2,IF(R374=regle!$B$11,0,IF(AL$1=$AK$1,IF($O374,-1,regle!$B$2-$M374),IF(AK374=-1,-1,AK374+1))))</f>
        <v>0</v>
      </c>
      <c r="AM374" s="16">
        <f>IF(OR(S374=regle!$J$11,S374=regle!$K$11),-2,IF(S374=regle!$B$11,0,IF(AM$1=$AK$1,IF($O374,-1,regle!$B$2-$M374),IF(AL374=-1,-1,AL374+1))))</f>
        <v>1</v>
      </c>
      <c r="AN374" s="16">
        <f>IF(OR(T374=regle!$J$11,T374=regle!$K$11),-2,IF(T374=regle!$B$11,0,IF(AN$1=$AK$1,IF($O374,-1,regle!$B$2-$M374),IF(AM374=-1,-1,AM374+1))))</f>
        <v>2</v>
      </c>
      <c r="AO374" s="16">
        <f>IF(OR(U374=regle!$J$11,U374=regle!$K$11),-2,IF(U374=regle!$B$11,0,IF(AO$1=$AK$1,IF($O374,-1,regle!$B$2-$M374),IF(AN374=-1,-1,AN374+1))))</f>
        <v>3</v>
      </c>
      <c r="AP374" s="16">
        <f>IF(OR(V374=regle!$J$11,V374=regle!$K$11),-2,IF(V374=regle!$B$11,0,IF(AP$1=$AK$1,IF($O374,-1,regle!$B$2-$M374),IF(AO374=-1,-1,AO374+1))))</f>
        <v>4</v>
      </c>
      <c r="AQ374" s="16">
        <f>IF(OR(W374=regle!$J$11,W374=regle!$K$11),-2,IF(W374=regle!$B$11,0,IF(AQ$1=$AK$1,IF($O374,-1,regle!$B$2-$M374),IF(AP374=-1,-1,AP374+1))))</f>
        <v>5</v>
      </c>
      <c r="AR374" s="16">
        <f>IF(OR(X374=regle!$J$11,X374=regle!$K$11),-2,IF(X374=regle!$B$11,0,IF(AR$1=$AK$1,IF($O374,-1,regle!$B$2-$M374),IF(AQ374=-1,-1,AQ374+1))))</f>
        <v>6</v>
      </c>
      <c r="AS374" s="16">
        <f>IF(OR(Y374=regle!$J$11,Y374=regle!$K$11),-2,IF(Y374=regle!$B$11,0,IF(AS$1=$AK$1,IF($O374,-1,regle!$B$2-$M374),IF(AR374=-1,-1,AR374+1))))</f>
        <v>7</v>
      </c>
      <c r="AT374" s="16">
        <f>IF(OR(Z374=regle!$J$11,Z374=regle!$K$11),-2,IF(Z374=regle!$B$11,0,IF(AT$1=$AK$1,IF($O374,-1,regle!$B$2-$M374),IF(AS374=-1,-1,AS374+1))))</f>
        <v>8</v>
      </c>
    </row>
    <row r="375" spans="1:46" x14ac:dyDescent="0.25">
      <c r="A375" t="b">
        <f>modif0!A162</f>
        <v>1</v>
      </c>
      <c r="B375">
        <f>ROW(modif0!B162)</f>
        <v>162</v>
      </c>
      <c r="C375" t="str">
        <f>modif0!D162</f>
        <v>202</v>
      </c>
      <c r="D375" t="str">
        <f>modif0!E162</f>
        <v>HOSTENS</v>
      </c>
      <c r="E375">
        <f>modif0!F162</f>
        <v>11</v>
      </c>
      <c r="F375" t="str">
        <f>modif0!G162</f>
        <v>LES CAZALAS</v>
      </c>
      <c r="G375" t="str">
        <f>modif0!I162</f>
        <v>0B</v>
      </c>
      <c r="H375">
        <f>modif0!J162</f>
        <v>1184</v>
      </c>
      <c r="I375" t="str">
        <f>modif0!K162</f>
        <v>l</v>
      </c>
      <c r="J375" s="11">
        <f>modif0!M162</f>
        <v>3.2121</v>
      </c>
      <c r="K375" s="11" t="str">
        <f>modif0!P162</f>
        <v>SL</v>
      </c>
      <c r="L375" t="str">
        <f>modif0!N162</f>
        <v>PM</v>
      </c>
      <c r="M375">
        <f>modif0!Q162</f>
        <v>1973</v>
      </c>
      <c r="N375" t="str">
        <f>modif0!R162</f>
        <v>SL-PM_1973</v>
      </c>
      <c r="O375" t="b">
        <f>modif0!S162</f>
        <v>0</v>
      </c>
      <c r="P375">
        <v>25</v>
      </c>
      <c r="Q375" t="s">
        <v>63</v>
      </c>
      <c r="R375" t="s">
        <v>1868</v>
      </c>
      <c r="AA375" s="17">
        <f>IF($A375,$J375*(IF(Q375=regle!$B$11,regle!$B$23*IF(AJ375=-2,1+regle!$B$35,1),
IF(Q375=regle!$C$11,regle!$C$23,
IF(Q375=regle!$D$11,regle!$D$23,
IF(Q375=regle!$E$11,regle!$E$23,
IF(Q375=regle!$F$11,regle!$F$23,
IF(Q375=regle!$G$11,regle!$G$23,
IF(Q375=regle!$H$11,regle!$H$23,
IF(Q375=regle!$I$11,regle!$I$23,
IF(Q375=regle!$J$11,regle!$J$23,
IF(Q375=regle!$K$11,regle!$K$23,0))))))))))))</f>
        <v>28266.48</v>
      </c>
      <c r="AB375" s="17">
        <f>IF($A375,$J375*(IF(R375=regle!$B$11,regle!$B$23*IF(AK375=-2,1+regle!$B$35,1),
IF(R375=regle!$C$11,regle!$C$23,
IF(R375=regle!$D$11,regle!$D$23,
IF(R375=regle!$E$11,regle!$E$23,
IF(R375=regle!$F$11,regle!$F$23,
IF(R375=regle!$G$11,regle!$G$23,
IF(R375=regle!$H$11,regle!$H$23,
IF(R375=regle!$I$11,regle!$I$23,
IF(R375=regle!$J$11,regle!$J$23,
IF(R375=regle!$K$11,regle!$K$23,0))))))))))))</f>
        <v>-6006.6270000000004</v>
      </c>
      <c r="AC375" s="17">
        <f>IF($A375,$J375*(IF(S375=regle!$B$11,regle!$B$23*IF(AL375=-2,1+regle!$B$35,1),
IF(S375=regle!$C$11,regle!$C$23,
IF(S375=regle!$D$11,regle!$D$23,
IF(S375=regle!$E$11,regle!$E$23,
IF(S375=regle!$F$11,regle!$F$23,
IF(S375=regle!$G$11,regle!$G$23,
IF(S375=regle!$H$11,regle!$H$23,
IF(S375=regle!$I$11,regle!$I$23,
IF(S375=regle!$J$11,regle!$J$23,
IF(S375=regle!$K$11,regle!$K$23,0))))))))))))</f>
        <v>0</v>
      </c>
      <c r="AD375" s="17">
        <f>IF($A375,$J375*(IF(T375=regle!$B$11,regle!$B$23*IF(AM375=-2,1+regle!$B$35,1),
IF(T375=regle!$C$11,regle!$C$23,
IF(T375=regle!$D$11,regle!$D$23,
IF(T375=regle!$E$11,regle!$E$23,
IF(T375=regle!$F$11,regle!$F$23,
IF(T375=regle!$G$11,regle!$G$23,
IF(T375=regle!$H$11,regle!$H$23,
IF(T375=regle!$I$11,regle!$I$23,
IF(T375=regle!$J$11,regle!$J$23,
IF(T375=regle!$K$11,regle!$K$23,0))))))))))))</f>
        <v>0</v>
      </c>
      <c r="AE375" s="17">
        <f>IF($A375,$J375*(IF(U375=regle!$B$11,regle!$B$23*IF(AN375=-2,1+regle!$B$35,1),
IF(U375=regle!$C$11,regle!$C$23,
IF(U375=regle!$D$11,regle!$D$23,
IF(U375=regle!$E$11,regle!$E$23,
IF(U375=regle!$F$11,regle!$F$23,
IF(U375=regle!$G$11,regle!$G$23,
IF(U375=regle!$H$11,regle!$H$23,
IF(U375=regle!$I$11,regle!$I$23,
IF(U375=regle!$J$11,regle!$J$23,
IF(U375=regle!$K$11,regle!$K$23,0))))))))))))</f>
        <v>0</v>
      </c>
      <c r="AF375" s="17">
        <f>IF($A375,$J375*(IF(V375=regle!$B$11,regle!$B$23*IF(AO375=-2,1+regle!$B$35,1),
IF(V375=regle!$C$11,regle!$C$23,
IF(V375=regle!$D$11,regle!$D$23,
IF(V375=regle!$E$11,regle!$E$23,
IF(V375=regle!$F$11,regle!$F$23,
IF(V375=regle!$G$11,regle!$G$23,
IF(V375=regle!$H$11,regle!$H$23,
IF(V375=regle!$I$11,regle!$I$23,
IF(V375=regle!$J$11,regle!$J$23,
IF(V375=regle!$K$11,regle!$K$23,0))))))))))))</f>
        <v>0</v>
      </c>
      <c r="AG375" s="17">
        <f>IF($A375,$J375*(IF(W375=regle!$B$11,regle!$B$23*IF(AP375=-2,1+regle!$B$35,1),
IF(W375=regle!$C$11,regle!$C$23,
IF(W375=regle!$D$11,regle!$D$23,
IF(W375=regle!$E$11,regle!$E$23,
IF(W375=regle!$F$11,regle!$F$23,
IF(W375=regle!$G$11,regle!$G$23,
IF(W375=regle!$H$11,regle!$H$23,
IF(W375=regle!$I$11,regle!$I$23,
IF(W375=regle!$J$11,regle!$J$23,
IF(W375=regle!$K$11,regle!$K$23,0))))))))))))</f>
        <v>0</v>
      </c>
      <c r="AH375" s="17">
        <f>IF($A375,$J375*(IF(X375=regle!$B$11,regle!$B$23*IF(AQ375=-2,1+regle!$B$35,1),
IF(X375=regle!$C$11,regle!$C$23,
IF(X375=regle!$D$11,regle!$D$23,
IF(X375=regle!$E$11,regle!$E$23,
IF(X375=regle!$F$11,regle!$F$23,
IF(X375=regle!$G$11,regle!$G$23,
IF(X375=regle!$H$11,regle!$H$23,
IF(X375=regle!$I$11,regle!$I$23,
IF(X375=regle!$J$11,regle!$J$23,
IF(X375=regle!$K$11,regle!$K$23,0))))))))))))</f>
        <v>0</v>
      </c>
      <c r="AI375" s="17">
        <f>IF($A375,$J375*(IF(Y375=regle!$B$11,regle!$B$23*IF(AR375=-2,1+regle!$B$35,1),
IF(Y375=regle!$C$11,regle!$C$23,
IF(Y375=regle!$D$11,regle!$D$23,
IF(Y375=regle!$E$11,regle!$E$23,
IF(Y375=regle!$F$11,regle!$F$23,
IF(Y375=regle!$G$11,regle!$G$23,
IF(Y375=regle!$H$11,regle!$H$23,
IF(Y375=regle!$I$11,regle!$I$23,
IF(Y375=regle!$J$11,regle!$J$23,
IF(Y375=regle!$K$11,regle!$K$23,0))))))))))))</f>
        <v>0</v>
      </c>
      <c r="AJ375" s="17">
        <f>IF($A375,$J375*(IF(Z375=regle!$B$11,regle!$B$23*IF(AS375=-2,1+regle!$B$35,1),
IF(Z375=regle!$C$11,regle!$C$23,
IF(Z375=regle!$D$11,regle!$D$23,
IF(Z375=regle!$E$11,regle!$E$23,
IF(Z375=regle!$F$11,regle!$F$23,
IF(Z375=regle!$G$11,regle!$G$23,
IF(Z375=regle!$H$11,regle!$H$23,
IF(Z375=regle!$I$11,regle!$I$23,
IF(Z375=regle!$J$11,regle!$J$23,
IF(Z375=regle!$K$11,regle!$K$23,0))))))))))))</f>
        <v>0</v>
      </c>
      <c r="AK375" s="16">
        <f>IF(OR(Q375=regle!$J$11,Q375=regle!$K$11),-2,IF(Q375=regle!$B$11,0,IF(AK$1=$AK$1,IF($O375,-1,regle!$B$2-$M375),IF(AJ375=-1,-1,AJ375+1))))</f>
        <v>-2</v>
      </c>
      <c r="AL375" s="16">
        <f>IF(OR(R375=regle!$J$11,R375=regle!$K$11),-2,IF(R375=regle!$B$11,0,IF(AL$1=$AK$1,IF($O375,-1,regle!$B$2-$M375),IF(AK375=-1,-1,AK375+1))))</f>
        <v>0</v>
      </c>
      <c r="AM375" s="16">
        <f>IF(OR(S375=regle!$J$11,S375=regle!$K$11),-2,IF(S375=regle!$B$11,0,IF(AM$1=$AK$1,IF($O375,-1,regle!$B$2-$M375),IF(AL375=-1,-1,AL375+1))))</f>
        <v>1</v>
      </c>
      <c r="AN375" s="16">
        <f>IF(OR(T375=regle!$J$11,T375=regle!$K$11),-2,IF(T375=regle!$B$11,0,IF(AN$1=$AK$1,IF($O375,-1,regle!$B$2-$M375),IF(AM375=-1,-1,AM375+1))))</f>
        <v>2</v>
      </c>
      <c r="AO375" s="16">
        <f>IF(OR(U375=regle!$J$11,U375=regle!$K$11),-2,IF(U375=regle!$B$11,0,IF(AO$1=$AK$1,IF($O375,-1,regle!$B$2-$M375),IF(AN375=-1,-1,AN375+1))))</f>
        <v>3</v>
      </c>
      <c r="AP375" s="16">
        <f>IF(OR(V375=regle!$J$11,V375=regle!$K$11),-2,IF(V375=regle!$B$11,0,IF(AP$1=$AK$1,IF($O375,-1,regle!$B$2-$M375),IF(AO375=-1,-1,AO375+1))))</f>
        <v>4</v>
      </c>
      <c r="AQ375" s="16">
        <f>IF(OR(W375=regle!$J$11,W375=regle!$K$11),-2,IF(W375=regle!$B$11,0,IF(AQ$1=$AK$1,IF($O375,-1,regle!$B$2-$M375),IF(AP375=-1,-1,AP375+1))))</f>
        <v>5</v>
      </c>
      <c r="AR375" s="16">
        <f>IF(OR(X375=regle!$J$11,X375=regle!$K$11),-2,IF(X375=regle!$B$11,0,IF(AR$1=$AK$1,IF($O375,-1,regle!$B$2-$M375),IF(AQ375=-1,-1,AQ375+1))))</f>
        <v>6</v>
      </c>
      <c r="AS375" s="16">
        <f>IF(OR(Y375=regle!$J$11,Y375=regle!$K$11),-2,IF(Y375=regle!$B$11,0,IF(AS$1=$AK$1,IF($O375,-1,regle!$B$2-$M375),IF(AR375=-1,-1,AR375+1))))</f>
        <v>7</v>
      </c>
      <c r="AT375" s="16">
        <f>IF(OR(Z375=regle!$J$11,Z375=regle!$K$11),-2,IF(Z375=regle!$B$11,0,IF(AT$1=$AK$1,IF($O375,-1,regle!$B$2-$M375),IF(AS375=-1,-1,AS375+1))))</f>
        <v>8</v>
      </c>
    </row>
    <row r="376" spans="1:46" x14ac:dyDescent="0.25">
      <c r="A376" t="b">
        <f>modif0!A163</f>
        <v>1</v>
      </c>
      <c r="B376">
        <f>ROW(modif0!B163)</f>
        <v>163</v>
      </c>
      <c r="C376" t="str">
        <f>modif0!D163</f>
        <v>202</v>
      </c>
      <c r="D376" t="str">
        <f>modif0!E163</f>
        <v>HOSTENS</v>
      </c>
      <c r="E376">
        <f>modif0!F163</f>
        <v>11</v>
      </c>
      <c r="F376" t="str">
        <f>modif0!G163</f>
        <v>LES CAZALAS</v>
      </c>
      <c r="G376" t="str">
        <f>modif0!I163</f>
        <v>0B</v>
      </c>
      <c r="H376">
        <f>modif0!J163</f>
        <v>1185</v>
      </c>
      <c r="I376" t="str">
        <f>modif0!K163</f>
        <v/>
      </c>
      <c r="J376" s="11">
        <f>modif0!M163</f>
        <v>6.0000000000000001E-3</v>
      </c>
      <c r="K376" s="11" t="str">
        <f>modif0!P163</f>
        <v>SL</v>
      </c>
      <c r="L376" t="str">
        <f>modif0!N163</f>
        <v>PM</v>
      </c>
      <c r="M376">
        <f>modif0!Q163</f>
        <v>1973</v>
      </c>
      <c r="N376" t="str">
        <f>modif0!R163</f>
        <v>SL-PM_1973</v>
      </c>
      <c r="O376" t="b">
        <f>modif0!S163</f>
        <v>0</v>
      </c>
      <c r="P376">
        <v>40</v>
      </c>
      <c r="Q376" t="s">
        <v>63</v>
      </c>
      <c r="R376" t="s">
        <v>1868</v>
      </c>
      <c r="T376" t="s">
        <v>1872</v>
      </c>
      <c r="V376" t="s">
        <v>1870</v>
      </c>
      <c r="Y376" t="s">
        <v>1871</v>
      </c>
      <c r="AA376" s="17">
        <f>IF($A376,$J376*(IF(Q376=regle!$B$11,regle!$B$23*IF(AJ376=-2,1+regle!$B$35,1),
IF(Q376=regle!$C$11,regle!$C$23,
IF(Q376=regle!$D$11,regle!$D$23,
IF(Q376=regle!$E$11,regle!$E$23,
IF(Q376=regle!$F$11,regle!$F$23,
IF(Q376=regle!$G$11,regle!$G$23,
IF(Q376=regle!$H$11,regle!$H$23,
IF(Q376=regle!$I$11,regle!$I$23,
IF(Q376=regle!$J$11,regle!$J$23,
IF(Q376=regle!$K$11,regle!$K$23,0))))))))))))</f>
        <v>52.800000000000004</v>
      </c>
      <c r="AB376" s="17">
        <f>IF($A376,$J376*(IF(R376=regle!$B$11,regle!$B$23*IF(AK376=-2,1+regle!$B$35,1),
IF(R376=regle!$C$11,regle!$C$23,
IF(R376=regle!$D$11,regle!$D$23,
IF(R376=regle!$E$11,regle!$E$23,
IF(R376=regle!$F$11,regle!$F$23,
IF(R376=regle!$G$11,regle!$G$23,
IF(R376=regle!$H$11,regle!$H$23,
IF(R376=regle!$I$11,regle!$I$23,
IF(R376=regle!$J$11,regle!$J$23,
IF(R376=regle!$K$11,regle!$K$23,0))))))))))))</f>
        <v>-11.220000000000002</v>
      </c>
      <c r="AC376" s="17">
        <f>IF($A376,$J376*(IF(S376=regle!$B$11,regle!$B$23*IF(AL376=-2,1+regle!$B$35,1),
IF(S376=regle!$C$11,regle!$C$23,
IF(S376=regle!$D$11,regle!$D$23,
IF(S376=regle!$E$11,regle!$E$23,
IF(S376=regle!$F$11,regle!$F$23,
IF(S376=regle!$G$11,regle!$G$23,
IF(S376=regle!$H$11,regle!$H$23,
IF(S376=regle!$I$11,regle!$I$23,
IF(S376=regle!$J$11,regle!$J$23,
IF(S376=regle!$K$11,regle!$K$23,0))))))))))))</f>
        <v>0</v>
      </c>
      <c r="AD376" s="17">
        <f>IF($A376,$J376*(IF(T376=regle!$B$11,regle!$B$23*IF(AM376=-2,1+regle!$B$35,1),
IF(T376=regle!$C$11,regle!$C$23,
IF(T376=regle!$D$11,regle!$D$23,
IF(T376=regle!$E$11,regle!$E$23,
IF(T376=regle!$F$11,regle!$F$23,
IF(T376=regle!$G$11,regle!$G$23,
IF(T376=regle!$H$11,regle!$H$23,
IF(T376=regle!$I$11,regle!$I$23,
IF(T376=regle!$J$11,regle!$J$23,
IF(T376=regle!$K$11,regle!$K$23,0))))))))))))</f>
        <v>-0.45</v>
      </c>
      <c r="AE376" s="17">
        <f>IF($A376,$J376*(IF(U376=regle!$B$11,regle!$B$23*IF(AN376=-2,1+regle!$B$35,1),
IF(U376=regle!$C$11,regle!$C$23,
IF(U376=regle!$D$11,regle!$D$23,
IF(U376=regle!$E$11,regle!$E$23,
IF(U376=regle!$F$11,regle!$F$23,
IF(U376=regle!$G$11,regle!$G$23,
IF(U376=regle!$H$11,regle!$H$23,
IF(U376=regle!$I$11,regle!$I$23,
IF(U376=regle!$J$11,regle!$J$23,
IF(U376=regle!$K$11,regle!$K$23,0))))))))))))</f>
        <v>0</v>
      </c>
      <c r="AF376" s="17">
        <f>IF($A376,$J376*(IF(V376=regle!$B$11,regle!$B$23*IF(AO376=-2,1+regle!$B$35,1),
IF(V376=regle!$C$11,regle!$C$23,
IF(V376=regle!$D$11,regle!$D$23,
IF(V376=regle!$E$11,regle!$E$23,
IF(V376=regle!$F$11,regle!$F$23,
IF(V376=regle!$G$11,regle!$G$23,
IF(V376=regle!$H$11,regle!$H$23,
IF(V376=regle!$I$11,regle!$I$23,
IF(V376=regle!$J$11,regle!$J$23,
IF(V376=regle!$K$11,regle!$K$23,0))))))))))))</f>
        <v>-0.54</v>
      </c>
      <c r="AG376" s="17">
        <f>IF($A376,$J376*(IF(W376=regle!$B$11,regle!$B$23*IF(AP376=-2,1+regle!$B$35,1),
IF(W376=regle!$C$11,regle!$C$23,
IF(W376=regle!$D$11,regle!$D$23,
IF(W376=regle!$E$11,regle!$E$23,
IF(W376=regle!$F$11,regle!$F$23,
IF(W376=regle!$G$11,regle!$G$23,
IF(W376=regle!$H$11,regle!$H$23,
IF(W376=regle!$I$11,regle!$I$23,
IF(W376=regle!$J$11,regle!$J$23,
IF(W376=regle!$K$11,regle!$K$23,0))))))))))))</f>
        <v>0</v>
      </c>
      <c r="AH376" s="17">
        <f>IF($A376,$J376*(IF(X376=regle!$B$11,regle!$B$23*IF(AQ376=-2,1+regle!$B$35,1),
IF(X376=regle!$C$11,regle!$C$23,
IF(X376=regle!$D$11,regle!$D$23,
IF(X376=regle!$E$11,regle!$E$23,
IF(X376=regle!$F$11,regle!$F$23,
IF(X376=regle!$G$11,regle!$G$23,
IF(X376=regle!$H$11,regle!$H$23,
IF(X376=regle!$I$11,regle!$I$23,
IF(X376=regle!$J$11,regle!$J$23,
IF(X376=regle!$K$11,regle!$K$23,0))))))))))))</f>
        <v>0</v>
      </c>
      <c r="AI376" s="17">
        <f>IF($A376,$J376*(IF(Y376=regle!$B$11,regle!$B$23*IF(AR376=-2,1+regle!$B$35,1),
IF(Y376=regle!$C$11,regle!$C$23,
IF(Y376=regle!$D$11,regle!$D$23,
IF(Y376=regle!$E$11,regle!$E$23,
IF(Y376=regle!$F$11,regle!$F$23,
IF(Y376=regle!$G$11,regle!$G$23,
IF(Y376=regle!$H$11,regle!$H$23,
IF(Y376=regle!$I$11,regle!$I$23,
IF(Y376=regle!$J$11,regle!$J$23,
IF(Y376=regle!$K$11,regle!$K$23,0))))))))))))</f>
        <v>-0.54</v>
      </c>
      <c r="AJ376" s="17">
        <f>IF($A376,$J376*(IF(Z376=regle!$B$11,regle!$B$23*IF(AS376=-2,1+regle!$B$35,1),
IF(Z376=regle!$C$11,regle!$C$23,
IF(Z376=regle!$D$11,regle!$D$23,
IF(Z376=regle!$E$11,regle!$E$23,
IF(Z376=regle!$F$11,regle!$F$23,
IF(Z376=regle!$G$11,regle!$G$23,
IF(Z376=regle!$H$11,regle!$H$23,
IF(Z376=regle!$I$11,regle!$I$23,
IF(Z376=regle!$J$11,regle!$J$23,
IF(Z376=regle!$K$11,regle!$K$23,0))))))))))))</f>
        <v>0</v>
      </c>
      <c r="AK376" s="16">
        <f>IF(OR(Q376=regle!$J$11,Q376=regle!$K$11),-2,IF(Q376=regle!$B$11,0,IF(AK$1=$AK$1,IF($O376,-1,regle!$B$2-$M376),IF(AJ376=-1,-1,AJ376+1))))</f>
        <v>-2</v>
      </c>
      <c r="AL376" s="16">
        <f>IF(OR(R376=regle!$J$11,R376=regle!$K$11),-2,IF(R376=regle!$B$11,0,IF(AL$1=$AK$1,IF($O376,-1,regle!$B$2-$M376),IF(AK376=-1,-1,AK376+1))))</f>
        <v>0</v>
      </c>
      <c r="AM376" s="16">
        <f>IF(OR(S376=regle!$J$11,S376=regle!$K$11),-2,IF(S376=regle!$B$11,0,IF(AM$1=$AK$1,IF($O376,-1,regle!$B$2-$M376),IF(AL376=-1,-1,AL376+1))))</f>
        <v>1</v>
      </c>
      <c r="AN376" s="16">
        <f>IF(OR(T376=regle!$J$11,T376=regle!$K$11),-2,IF(T376=regle!$B$11,0,IF(AN$1=$AK$1,IF($O376,-1,regle!$B$2-$M376),IF(AM376=-1,-1,AM376+1))))</f>
        <v>2</v>
      </c>
      <c r="AO376" s="16">
        <f>IF(OR(U376=regle!$J$11,U376=regle!$K$11),-2,IF(U376=regle!$B$11,0,IF(AO$1=$AK$1,IF($O376,-1,regle!$B$2-$M376),IF(AN376=-1,-1,AN376+1))))</f>
        <v>3</v>
      </c>
      <c r="AP376" s="16">
        <f>IF(OR(V376=regle!$J$11,V376=regle!$K$11),-2,IF(V376=regle!$B$11,0,IF(AP$1=$AK$1,IF($O376,-1,regle!$B$2-$M376),IF(AO376=-1,-1,AO376+1))))</f>
        <v>4</v>
      </c>
      <c r="AQ376" s="16">
        <f>IF(OR(W376=regle!$J$11,W376=regle!$K$11),-2,IF(W376=regle!$B$11,0,IF(AQ$1=$AK$1,IF($O376,-1,regle!$B$2-$M376),IF(AP376=-1,-1,AP376+1))))</f>
        <v>5</v>
      </c>
      <c r="AR376" s="16">
        <f>IF(OR(X376=regle!$J$11,X376=regle!$K$11),-2,IF(X376=regle!$B$11,0,IF(AR$1=$AK$1,IF($O376,-1,regle!$B$2-$M376),IF(AQ376=-1,-1,AQ376+1))))</f>
        <v>6</v>
      </c>
      <c r="AS376" s="16">
        <f>IF(OR(Y376=regle!$J$11,Y376=regle!$K$11),-2,IF(Y376=regle!$B$11,0,IF(AS$1=$AK$1,IF($O376,-1,regle!$B$2-$M376),IF(AR376=-1,-1,AR376+1))))</f>
        <v>7</v>
      </c>
      <c r="AT376" s="16">
        <f>IF(OR(Z376=regle!$J$11,Z376=regle!$K$11),-2,IF(Z376=regle!$B$11,0,IF(AT$1=$AK$1,IF($O376,-1,regle!$B$2-$M376),IF(AS376=-1,-1,AS376+1))))</f>
        <v>8</v>
      </c>
    </row>
    <row r="377" spans="1:46" x14ac:dyDescent="0.25">
      <c r="A377" t="b">
        <f>modif0!A377</f>
        <v>0</v>
      </c>
      <c r="B377">
        <f>ROW(modif0!B377)</f>
        <v>377</v>
      </c>
      <c r="C377" t="str">
        <f>modif0!D377</f>
        <v>536</v>
      </c>
      <c r="D377" t="str">
        <f>modif0!E377</f>
        <v>LE TUZAN</v>
      </c>
      <c r="E377">
        <f>modif0!F377</f>
        <v>11</v>
      </c>
      <c r="F377" t="str">
        <f>modif0!G377</f>
        <v>LA HONTEYRE</v>
      </c>
      <c r="G377" t="str">
        <f>modif0!I377</f>
        <v>0A</v>
      </c>
      <c r="H377">
        <f>modif0!J377</f>
        <v>254</v>
      </c>
      <c r="I377" t="str">
        <f>modif0!K377</f>
        <v>j</v>
      </c>
      <c r="J377" s="11">
        <f>modif0!M377</f>
        <v>0.50339999999999996</v>
      </c>
      <c r="K377" s="11" t="str">
        <f>modif0!P377</f>
        <v>TAIL</v>
      </c>
      <c r="L377" t="str">
        <f>modif0!N377</f>
        <v>FEUIL</v>
      </c>
      <c r="M377">
        <f>modif0!Q377</f>
        <v>2015</v>
      </c>
      <c r="N377" t="str">
        <f>modif0!R377</f>
        <v>TAIL-FEUIL_2015</v>
      </c>
      <c r="O377" t="b">
        <f>modif0!S377</f>
        <v>0</v>
      </c>
      <c r="P377">
        <v>40</v>
      </c>
      <c r="AA377" s="17" t="b">
        <f>IF($A377,$J377*(IF(Q377=regle!$B$11,regle!$B$23*IF(AJ377=-2,1+regle!$B$35,1),
IF(Q377=regle!$C$11,regle!$C$23,
IF(Q377=regle!$D$11,regle!$D$23,
IF(Q377=regle!$E$11,regle!$E$23,
IF(Q377=regle!$F$11,regle!$F$23,
IF(Q377=regle!$G$11,regle!$G$23,
IF(Q377=regle!$H$11,regle!$H$23,
IF(Q377=regle!$I$11,regle!$I$23,
IF(Q377=regle!$J$11,regle!$J$23,
IF(Q377=regle!$K$11,regle!$K$23,0))))))))))))</f>
        <v>0</v>
      </c>
      <c r="AB377" s="17" t="b">
        <f>IF($A377,$J377*(IF(R377=regle!$B$11,regle!$B$23*IF(AK377=-2,1+regle!$B$35,1),
IF(R377=regle!$C$11,regle!$C$23,
IF(R377=regle!$D$11,regle!$D$23,
IF(R377=regle!$E$11,regle!$E$23,
IF(R377=regle!$F$11,regle!$F$23,
IF(R377=regle!$G$11,regle!$G$23,
IF(R377=regle!$H$11,regle!$H$23,
IF(R377=regle!$I$11,regle!$I$23,
IF(R377=regle!$J$11,regle!$J$23,
IF(R377=regle!$K$11,regle!$K$23,0))))))))))))</f>
        <v>0</v>
      </c>
      <c r="AC377" s="17" t="b">
        <f>IF($A377,$J377*(IF(S377=regle!$B$11,regle!$B$23*IF(AL377=-2,1+regle!$B$35,1),
IF(S377=regle!$C$11,regle!$C$23,
IF(S377=regle!$D$11,regle!$D$23,
IF(S377=regle!$E$11,regle!$E$23,
IF(S377=regle!$F$11,regle!$F$23,
IF(S377=regle!$G$11,regle!$G$23,
IF(S377=regle!$H$11,regle!$H$23,
IF(S377=regle!$I$11,regle!$I$23,
IF(S377=regle!$J$11,regle!$J$23,
IF(S377=regle!$K$11,regle!$K$23,0))))))))))))</f>
        <v>0</v>
      </c>
      <c r="AD377" s="17" t="b">
        <f>IF($A377,$J377*(IF(T377=regle!$B$11,regle!$B$23*IF(AM377=-2,1+regle!$B$35,1),
IF(T377=regle!$C$11,regle!$C$23,
IF(T377=regle!$D$11,regle!$D$23,
IF(T377=regle!$E$11,regle!$E$23,
IF(T377=regle!$F$11,regle!$F$23,
IF(T377=regle!$G$11,regle!$G$23,
IF(T377=regle!$H$11,regle!$H$23,
IF(T377=regle!$I$11,regle!$I$23,
IF(T377=regle!$J$11,regle!$J$23,
IF(T377=regle!$K$11,regle!$K$23,0))))))))))))</f>
        <v>0</v>
      </c>
      <c r="AE377" s="17" t="b">
        <f>IF($A377,$J377*(IF(U377=regle!$B$11,regle!$B$23*IF(AN377=-2,1+regle!$B$35,1),
IF(U377=regle!$C$11,regle!$C$23,
IF(U377=regle!$D$11,regle!$D$23,
IF(U377=regle!$E$11,regle!$E$23,
IF(U377=regle!$F$11,regle!$F$23,
IF(U377=regle!$G$11,regle!$G$23,
IF(U377=regle!$H$11,regle!$H$23,
IF(U377=regle!$I$11,regle!$I$23,
IF(U377=regle!$J$11,regle!$J$23,
IF(U377=regle!$K$11,regle!$K$23,0))))))))))))</f>
        <v>0</v>
      </c>
      <c r="AF377" s="17" t="b">
        <f>IF($A377,$J377*(IF(V377=regle!$B$11,regle!$B$23*IF(AO377=-2,1+regle!$B$35,1),
IF(V377=regle!$C$11,regle!$C$23,
IF(V377=regle!$D$11,regle!$D$23,
IF(V377=regle!$E$11,regle!$E$23,
IF(V377=regle!$F$11,regle!$F$23,
IF(V377=regle!$G$11,regle!$G$23,
IF(V377=regle!$H$11,regle!$H$23,
IF(V377=regle!$I$11,regle!$I$23,
IF(V377=regle!$J$11,regle!$J$23,
IF(V377=regle!$K$11,regle!$K$23,0))))))))))))</f>
        <v>0</v>
      </c>
      <c r="AG377" s="17" t="b">
        <f>IF($A377,$J377*(IF(W377=regle!$B$11,regle!$B$23*IF(AP377=-2,1+regle!$B$35,1),
IF(W377=regle!$C$11,regle!$C$23,
IF(W377=regle!$D$11,regle!$D$23,
IF(W377=regle!$E$11,regle!$E$23,
IF(W377=regle!$F$11,regle!$F$23,
IF(W377=regle!$G$11,regle!$G$23,
IF(W377=regle!$H$11,regle!$H$23,
IF(W377=regle!$I$11,regle!$I$23,
IF(W377=regle!$J$11,regle!$J$23,
IF(W377=regle!$K$11,regle!$K$23,0))))))))))))</f>
        <v>0</v>
      </c>
      <c r="AH377" s="17" t="b">
        <f>IF($A377,$J377*(IF(X377=regle!$B$11,regle!$B$23*IF(AQ377=-2,1+regle!$B$35,1),
IF(X377=regle!$C$11,regle!$C$23,
IF(X377=regle!$D$11,regle!$D$23,
IF(X377=regle!$E$11,regle!$E$23,
IF(X377=regle!$F$11,regle!$F$23,
IF(X377=regle!$G$11,regle!$G$23,
IF(X377=regle!$H$11,regle!$H$23,
IF(X377=regle!$I$11,regle!$I$23,
IF(X377=regle!$J$11,regle!$J$23,
IF(X377=regle!$K$11,regle!$K$23,0))))))))))))</f>
        <v>0</v>
      </c>
      <c r="AI377" s="17" t="b">
        <f>IF($A377,$J377*(IF(Y377=regle!$B$11,regle!$B$23*IF(AR377=-2,1+regle!$B$35,1),
IF(Y377=regle!$C$11,regle!$C$23,
IF(Y377=regle!$D$11,regle!$D$23,
IF(Y377=regle!$E$11,regle!$E$23,
IF(Y377=regle!$F$11,regle!$F$23,
IF(Y377=regle!$G$11,regle!$G$23,
IF(Y377=regle!$H$11,regle!$H$23,
IF(Y377=regle!$I$11,regle!$I$23,
IF(Y377=regle!$J$11,regle!$J$23,
IF(Y377=regle!$K$11,regle!$K$23,0))))))))))))</f>
        <v>0</v>
      </c>
      <c r="AJ377" s="17" t="b">
        <f>IF($A377,$J377*(IF(Z377=regle!$B$11,regle!$B$23*IF(AS377=-2,1+regle!$B$35,1),
IF(Z377=regle!$C$11,regle!$C$23,
IF(Z377=regle!$D$11,regle!$D$23,
IF(Z377=regle!$E$11,regle!$E$23,
IF(Z377=regle!$F$11,regle!$F$23,
IF(Z377=regle!$G$11,regle!$G$23,
IF(Z377=regle!$H$11,regle!$H$23,
IF(Z377=regle!$I$11,regle!$I$23,
IF(Z377=regle!$J$11,regle!$J$23,
IF(Z377=regle!$K$11,regle!$K$23,0))))))))))))</f>
        <v>0</v>
      </c>
      <c r="AK377" s="16">
        <f>IF(OR(Q377=regle!$J$11,Q377=regle!$K$11),-2,IF(Q377=regle!$B$11,0,IF(AK$1=$AK$1,IF($O377,-1,regle!$B$2-$M377),IF(AJ377=-1,-1,AJ377+1))))</f>
        <v>9</v>
      </c>
      <c r="AL377" s="16">
        <f>IF(OR(R377=regle!$J$11,R377=regle!$K$11),-2,IF(R377=regle!$B$11,0,IF(AL$1=$AK$1,IF($O377,-1,regle!$B$2-$M377),IF(AK377=-1,-1,AK377+1))))</f>
        <v>10</v>
      </c>
      <c r="AM377" s="16">
        <f>IF(OR(S377=regle!$J$11,S377=regle!$K$11),-2,IF(S377=regle!$B$11,0,IF(AM$1=$AK$1,IF($O377,-1,regle!$B$2-$M377),IF(AL377=-1,-1,AL377+1))))</f>
        <v>11</v>
      </c>
      <c r="AN377" s="16">
        <f>IF(OR(T377=regle!$J$11,T377=regle!$K$11),-2,IF(T377=regle!$B$11,0,IF(AN$1=$AK$1,IF($O377,-1,regle!$B$2-$M377),IF(AM377=-1,-1,AM377+1))))</f>
        <v>12</v>
      </c>
      <c r="AO377" s="16">
        <f>IF(OR(U377=regle!$J$11,U377=regle!$K$11),-2,IF(U377=regle!$B$11,0,IF(AO$1=$AK$1,IF($O377,-1,regle!$B$2-$M377),IF(AN377=-1,-1,AN377+1))))</f>
        <v>13</v>
      </c>
      <c r="AP377" s="16">
        <f>IF(OR(V377=regle!$J$11,V377=regle!$K$11),-2,IF(V377=regle!$B$11,0,IF(AP$1=$AK$1,IF($O377,-1,regle!$B$2-$M377),IF(AO377=-1,-1,AO377+1))))</f>
        <v>14</v>
      </c>
      <c r="AQ377" s="16">
        <f>IF(OR(W377=regle!$J$11,W377=regle!$K$11),-2,IF(W377=regle!$B$11,0,IF(AQ$1=$AK$1,IF($O377,-1,regle!$B$2-$M377),IF(AP377=-1,-1,AP377+1))))</f>
        <v>15</v>
      </c>
      <c r="AR377" s="16">
        <f>IF(OR(X377=regle!$J$11,X377=regle!$K$11),-2,IF(X377=regle!$B$11,0,IF(AR$1=$AK$1,IF($O377,-1,regle!$B$2-$M377),IF(AQ377=-1,-1,AQ377+1))))</f>
        <v>16</v>
      </c>
      <c r="AS377" s="16">
        <f>IF(OR(Y377=regle!$J$11,Y377=regle!$K$11),-2,IF(Y377=regle!$B$11,0,IF(AS$1=$AK$1,IF($O377,-1,regle!$B$2-$M377),IF(AR377=-1,-1,AR377+1))))</f>
        <v>17</v>
      </c>
      <c r="AT377" s="16">
        <f>IF(OR(Z377=regle!$J$11,Z377=regle!$K$11),-2,IF(Z377=regle!$B$11,0,IF(AT$1=$AK$1,IF($O377,-1,regle!$B$2-$M377),IF(AS377=-1,-1,AS377+1))))</f>
        <v>18</v>
      </c>
    </row>
    <row r="378" spans="1:46" x14ac:dyDescent="0.25">
      <c r="A378" t="b">
        <f>modif0!A425</f>
        <v>0</v>
      </c>
      <c r="B378">
        <f>ROW(modif0!B425)</f>
        <v>425</v>
      </c>
      <c r="C378" t="str">
        <f>modif0!D425</f>
        <v>536</v>
      </c>
      <c r="D378" t="str">
        <f>modif0!E425</f>
        <v>LE TUZAN</v>
      </c>
      <c r="E378">
        <f>modif0!F425</f>
        <v>14</v>
      </c>
      <c r="F378" t="str">
        <f>modif0!G425</f>
        <v>TABARTON-OUEST</v>
      </c>
      <c r="G378" t="str">
        <f>modif0!I425</f>
        <v>0B</v>
      </c>
      <c r="H378">
        <f>modif0!J425</f>
        <v>658</v>
      </c>
      <c r="I378" t="str">
        <f>modif0!K425</f>
        <v>j</v>
      </c>
      <c r="J378" s="11">
        <f>modif0!M425</f>
        <v>4.8208000000000002</v>
      </c>
      <c r="K378" s="11" t="str">
        <f>modif0!P425</f>
        <v>TAIL</v>
      </c>
      <c r="L378" t="str">
        <f>modif0!N425</f>
        <v>FEUIL</v>
      </c>
      <c r="M378">
        <f>modif0!Q425</f>
        <v>2013</v>
      </c>
      <c r="N378" t="str">
        <f>modif0!R425</f>
        <v>TAIL-FEUIL_2013</v>
      </c>
      <c r="O378" t="b">
        <f>modif0!S425</f>
        <v>0</v>
      </c>
      <c r="P378">
        <v>40</v>
      </c>
      <c r="AA378" s="17" t="b">
        <f>IF($A378,$J378*(IF(Q378=regle!$B$11,regle!$B$23*IF(AJ378=-2,1+regle!$B$35,1),
IF(Q378=regle!$C$11,regle!$C$23,
IF(Q378=regle!$D$11,regle!$D$23,
IF(Q378=regle!$E$11,regle!$E$23,
IF(Q378=regle!$F$11,regle!$F$23,
IF(Q378=regle!$G$11,regle!$G$23,
IF(Q378=regle!$H$11,regle!$H$23,
IF(Q378=regle!$I$11,regle!$I$23,
IF(Q378=regle!$J$11,regle!$J$23,
IF(Q378=regle!$K$11,regle!$K$23,0))))))))))))</f>
        <v>0</v>
      </c>
      <c r="AB378" s="17" t="b">
        <f>IF($A378,$J378*(IF(R378=regle!$B$11,regle!$B$23*IF(AK378=-2,1+regle!$B$35,1),
IF(R378=regle!$C$11,regle!$C$23,
IF(R378=regle!$D$11,regle!$D$23,
IF(R378=regle!$E$11,regle!$E$23,
IF(R378=regle!$F$11,regle!$F$23,
IF(R378=regle!$G$11,regle!$G$23,
IF(R378=regle!$H$11,regle!$H$23,
IF(R378=regle!$I$11,regle!$I$23,
IF(R378=regle!$J$11,regle!$J$23,
IF(R378=regle!$K$11,regle!$K$23,0))))))))))))</f>
        <v>0</v>
      </c>
      <c r="AC378" s="17" t="b">
        <f>IF($A378,$J378*(IF(S378=regle!$B$11,regle!$B$23*IF(AL378=-2,1+regle!$B$35,1),
IF(S378=regle!$C$11,regle!$C$23,
IF(S378=regle!$D$11,regle!$D$23,
IF(S378=regle!$E$11,regle!$E$23,
IF(S378=regle!$F$11,regle!$F$23,
IF(S378=regle!$G$11,regle!$G$23,
IF(S378=regle!$H$11,regle!$H$23,
IF(S378=regle!$I$11,regle!$I$23,
IF(S378=regle!$J$11,regle!$J$23,
IF(S378=regle!$K$11,regle!$K$23,0))))))))))))</f>
        <v>0</v>
      </c>
      <c r="AD378" s="17" t="b">
        <f>IF($A378,$J378*(IF(T378=regle!$B$11,regle!$B$23*IF(AM378=-2,1+regle!$B$35,1),
IF(T378=regle!$C$11,regle!$C$23,
IF(T378=regle!$D$11,regle!$D$23,
IF(T378=regle!$E$11,regle!$E$23,
IF(T378=regle!$F$11,regle!$F$23,
IF(T378=regle!$G$11,regle!$G$23,
IF(T378=regle!$H$11,regle!$H$23,
IF(T378=regle!$I$11,regle!$I$23,
IF(T378=regle!$J$11,regle!$J$23,
IF(T378=regle!$K$11,regle!$K$23,0))))))))))))</f>
        <v>0</v>
      </c>
      <c r="AE378" s="17" t="b">
        <f>IF($A378,$J378*(IF(U378=regle!$B$11,regle!$B$23*IF(AN378=-2,1+regle!$B$35,1),
IF(U378=regle!$C$11,regle!$C$23,
IF(U378=regle!$D$11,regle!$D$23,
IF(U378=regle!$E$11,regle!$E$23,
IF(U378=regle!$F$11,regle!$F$23,
IF(U378=regle!$G$11,regle!$G$23,
IF(U378=regle!$H$11,regle!$H$23,
IF(U378=regle!$I$11,regle!$I$23,
IF(U378=regle!$J$11,regle!$J$23,
IF(U378=regle!$K$11,regle!$K$23,0))))))))))))</f>
        <v>0</v>
      </c>
      <c r="AF378" s="17" t="b">
        <f>IF($A378,$J378*(IF(V378=regle!$B$11,regle!$B$23*IF(AO378=-2,1+regle!$B$35,1),
IF(V378=regle!$C$11,regle!$C$23,
IF(V378=regle!$D$11,regle!$D$23,
IF(V378=regle!$E$11,regle!$E$23,
IF(V378=regle!$F$11,regle!$F$23,
IF(V378=regle!$G$11,regle!$G$23,
IF(V378=regle!$H$11,regle!$H$23,
IF(V378=regle!$I$11,regle!$I$23,
IF(V378=regle!$J$11,regle!$J$23,
IF(V378=regle!$K$11,regle!$K$23,0))))))))))))</f>
        <v>0</v>
      </c>
      <c r="AG378" s="17" t="b">
        <f>IF($A378,$J378*(IF(W378=regle!$B$11,regle!$B$23*IF(AP378=-2,1+regle!$B$35,1),
IF(W378=regle!$C$11,regle!$C$23,
IF(W378=regle!$D$11,regle!$D$23,
IF(W378=regle!$E$11,regle!$E$23,
IF(W378=regle!$F$11,regle!$F$23,
IF(W378=regle!$G$11,regle!$G$23,
IF(W378=regle!$H$11,regle!$H$23,
IF(W378=regle!$I$11,regle!$I$23,
IF(W378=regle!$J$11,regle!$J$23,
IF(W378=regle!$K$11,regle!$K$23,0))))))))))))</f>
        <v>0</v>
      </c>
      <c r="AH378" s="17" t="b">
        <f>IF($A378,$J378*(IF(X378=regle!$B$11,regle!$B$23*IF(AQ378=-2,1+regle!$B$35,1),
IF(X378=regle!$C$11,regle!$C$23,
IF(X378=regle!$D$11,regle!$D$23,
IF(X378=regle!$E$11,regle!$E$23,
IF(X378=regle!$F$11,regle!$F$23,
IF(X378=regle!$G$11,regle!$G$23,
IF(X378=regle!$H$11,regle!$H$23,
IF(X378=regle!$I$11,regle!$I$23,
IF(X378=regle!$J$11,regle!$J$23,
IF(X378=regle!$K$11,regle!$K$23,0))))))))))))</f>
        <v>0</v>
      </c>
      <c r="AI378" s="17" t="b">
        <f>IF($A378,$J378*(IF(Y378=regle!$B$11,regle!$B$23*IF(AR378=-2,1+regle!$B$35,1),
IF(Y378=regle!$C$11,regle!$C$23,
IF(Y378=regle!$D$11,regle!$D$23,
IF(Y378=regle!$E$11,regle!$E$23,
IF(Y378=regle!$F$11,regle!$F$23,
IF(Y378=regle!$G$11,regle!$G$23,
IF(Y378=regle!$H$11,regle!$H$23,
IF(Y378=regle!$I$11,regle!$I$23,
IF(Y378=regle!$J$11,regle!$J$23,
IF(Y378=regle!$K$11,regle!$K$23,0))))))))))))</f>
        <v>0</v>
      </c>
      <c r="AJ378" s="17" t="b">
        <f>IF($A378,$J378*(IF(Z378=regle!$B$11,regle!$B$23*IF(AS378=-2,1+regle!$B$35,1),
IF(Z378=regle!$C$11,regle!$C$23,
IF(Z378=regle!$D$11,regle!$D$23,
IF(Z378=regle!$E$11,regle!$E$23,
IF(Z378=regle!$F$11,regle!$F$23,
IF(Z378=regle!$G$11,regle!$G$23,
IF(Z378=regle!$H$11,regle!$H$23,
IF(Z378=regle!$I$11,regle!$I$23,
IF(Z378=regle!$J$11,regle!$J$23,
IF(Z378=regle!$K$11,regle!$K$23,0))))))))))))</f>
        <v>0</v>
      </c>
      <c r="AK378" s="16">
        <f>IF(OR(Q378=regle!$J$11,Q378=regle!$K$11),-2,IF(Q378=regle!$B$11,0,IF(AK$1=$AK$1,IF($O378,-1,regle!$B$2-$M378),IF(AJ378=-1,-1,AJ378+1))))</f>
        <v>11</v>
      </c>
      <c r="AL378" s="16">
        <f>IF(OR(R378=regle!$J$11,R378=regle!$K$11),-2,IF(R378=regle!$B$11,0,IF(AL$1=$AK$1,IF($O378,-1,regle!$B$2-$M378),IF(AK378=-1,-1,AK378+1))))</f>
        <v>12</v>
      </c>
      <c r="AM378" s="16">
        <f>IF(OR(S378=regle!$J$11,S378=regle!$K$11),-2,IF(S378=regle!$B$11,0,IF(AM$1=$AK$1,IF($O378,-1,regle!$B$2-$M378),IF(AL378=-1,-1,AL378+1))))</f>
        <v>13</v>
      </c>
      <c r="AN378" s="16">
        <f>IF(OR(T378=regle!$J$11,T378=regle!$K$11),-2,IF(T378=regle!$B$11,0,IF(AN$1=$AK$1,IF($O378,-1,regle!$B$2-$M378),IF(AM378=-1,-1,AM378+1))))</f>
        <v>14</v>
      </c>
      <c r="AO378" s="16">
        <f>IF(OR(U378=regle!$J$11,U378=regle!$K$11),-2,IF(U378=regle!$B$11,0,IF(AO$1=$AK$1,IF($O378,-1,regle!$B$2-$M378),IF(AN378=-1,-1,AN378+1))))</f>
        <v>15</v>
      </c>
      <c r="AP378" s="16">
        <f>IF(OR(V378=regle!$J$11,V378=regle!$K$11),-2,IF(V378=regle!$B$11,0,IF(AP$1=$AK$1,IF($O378,-1,regle!$B$2-$M378),IF(AO378=-1,-1,AO378+1))))</f>
        <v>16</v>
      </c>
      <c r="AQ378" s="16">
        <f>IF(OR(W378=regle!$J$11,W378=regle!$K$11),-2,IF(W378=regle!$B$11,0,IF(AQ$1=$AK$1,IF($O378,-1,regle!$B$2-$M378),IF(AP378=-1,-1,AP378+1))))</f>
        <v>17</v>
      </c>
      <c r="AR378" s="16">
        <f>IF(OR(X378=regle!$J$11,X378=regle!$K$11),-2,IF(X378=regle!$B$11,0,IF(AR$1=$AK$1,IF($O378,-1,regle!$B$2-$M378),IF(AQ378=-1,-1,AQ378+1))))</f>
        <v>18</v>
      </c>
      <c r="AS378" s="16">
        <f>IF(OR(Y378=regle!$J$11,Y378=regle!$K$11),-2,IF(Y378=regle!$B$11,0,IF(AS$1=$AK$1,IF($O378,-1,regle!$B$2-$M378),IF(AR378=-1,-1,AR378+1))))</f>
        <v>19</v>
      </c>
      <c r="AT378" s="16">
        <f>IF(OR(Z378=regle!$J$11,Z378=regle!$K$11),-2,IF(Z378=regle!$B$11,0,IF(AT$1=$AK$1,IF($O378,-1,regle!$B$2-$M378),IF(AS378=-1,-1,AS378+1))))</f>
        <v>20</v>
      </c>
    </row>
    <row r="379" spans="1:46" x14ac:dyDescent="0.25">
      <c r="A379" t="b">
        <f>modif0!A409</f>
        <v>0</v>
      </c>
      <c r="B379">
        <f>ROW(modif0!B409)</f>
        <v>409</v>
      </c>
      <c r="C379" t="str">
        <f>modif0!D409</f>
        <v>202</v>
      </c>
      <c r="D379" t="str">
        <f>modif0!E409</f>
        <v>HOSTENS</v>
      </c>
      <c r="E379">
        <f>modif0!F409</f>
        <v>8</v>
      </c>
      <c r="F379" t="str">
        <f>modif0!G409</f>
        <v>LES BECS</v>
      </c>
      <c r="G379" t="str">
        <f>modif0!I409</f>
        <v>0B</v>
      </c>
      <c r="H379">
        <f>modif0!J409</f>
        <v>1216</v>
      </c>
      <c r="I379" t="str">
        <f>modif0!K409</f>
        <v/>
      </c>
      <c r="J379" s="11">
        <f>modif0!M409</f>
        <v>1.633</v>
      </c>
      <c r="K379" s="11" t="str">
        <f>modif0!P409</f>
        <v>TAIL</v>
      </c>
      <c r="L379" t="str">
        <f>modif0!N409</f>
        <v>FEUIL</v>
      </c>
      <c r="M379">
        <f>modif0!Q409</f>
        <v>2013</v>
      </c>
      <c r="N379" t="str">
        <f>modif0!R409</f>
        <v>TAIL-FEUIL_2013</v>
      </c>
      <c r="O379" t="b">
        <f>modif0!S409</f>
        <v>0</v>
      </c>
      <c r="P379">
        <v>40</v>
      </c>
      <c r="AA379" s="17" t="b">
        <f>IF($A379,$J379*(IF(Q379=regle!$B$11,regle!$B$23*IF(AJ379=-2,1+regle!$B$35,1),
IF(Q379=regle!$C$11,regle!$C$23,
IF(Q379=regle!$D$11,regle!$D$23,
IF(Q379=regle!$E$11,regle!$E$23,
IF(Q379=regle!$F$11,regle!$F$23,
IF(Q379=regle!$G$11,regle!$G$23,
IF(Q379=regle!$H$11,regle!$H$23,
IF(Q379=regle!$I$11,regle!$I$23,
IF(Q379=regle!$J$11,regle!$J$23,
IF(Q379=regle!$K$11,regle!$K$23,0))))))))))))</f>
        <v>0</v>
      </c>
      <c r="AB379" s="17" t="b">
        <f>IF($A379,$J379*(IF(R379=regle!$B$11,regle!$B$23*IF(AK379=-2,1+regle!$B$35,1),
IF(R379=regle!$C$11,regle!$C$23,
IF(R379=regle!$D$11,regle!$D$23,
IF(R379=regle!$E$11,regle!$E$23,
IF(R379=regle!$F$11,regle!$F$23,
IF(R379=regle!$G$11,regle!$G$23,
IF(R379=regle!$H$11,regle!$H$23,
IF(R379=regle!$I$11,regle!$I$23,
IF(R379=regle!$J$11,regle!$J$23,
IF(R379=regle!$K$11,regle!$K$23,0))))))))))))</f>
        <v>0</v>
      </c>
      <c r="AC379" s="17" t="b">
        <f>IF($A379,$J379*(IF(S379=regle!$B$11,regle!$B$23*IF(AL379=-2,1+regle!$B$35,1),
IF(S379=regle!$C$11,regle!$C$23,
IF(S379=regle!$D$11,regle!$D$23,
IF(S379=regle!$E$11,regle!$E$23,
IF(S379=regle!$F$11,regle!$F$23,
IF(S379=regle!$G$11,regle!$G$23,
IF(S379=regle!$H$11,regle!$H$23,
IF(S379=regle!$I$11,regle!$I$23,
IF(S379=regle!$J$11,regle!$J$23,
IF(S379=regle!$K$11,regle!$K$23,0))))))))))))</f>
        <v>0</v>
      </c>
      <c r="AD379" s="17" t="b">
        <f>IF($A379,$J379*(IF(T379=regle!$B$11,regle!$B$23*IF(AM379=-2,1+regle!$B$35,1),
IF(T379=regle!$C$11,regle!$C$23,
IF(T379=regle!$D$11,regle!$D$23,
IF(T379=regle!$E$11,regle!$E$23,
IF(T379=regle!$F$11,regle!$F$23,
IF(T379=regle!$G$11,regle!$G$23,
IF(T379=regle!$H$11,regle!$H$23,
IF(T379=regle!$I$11,regle!$I$23,
IF(T379=regle!$J$11,regle!$J$23,
IF(T379=regle!$K$11,regle!$K$23,0))))))))))))</f>
        <v>0</v>
      </c>
      <c r="AE379" s="17" t="b">
        <f>IF($A379,$J379*(IF(U379=regle!$B$11,regle!$B$23*IF(AN379=-2,1+regle!$B$35,1),
IF(U379=regle!$C$11,regle!$C$23,
IF(U379=regle!$D$11,regle!$D$23,
IF(U379=regle!$E$11,regle!$E$23,
IF(U379=regle!$F$11,regle!$F$23,
IF(U379=regle!$G$11,regle!$G$23,
IF(U379=regle!$H$11,regle!$H$23,
IF(U379=regle!$I$11,regle!$I$23,
IF(U379=regle!$J$11,regle!$J$23,
IF(U379=regle!$K$11,regle!$K$23,0))))))))))))</f>
        <v>0</v>
      </c>
      <c r="AF379" s="17" t="b">
        <f>IF($A379,$J379*(IF(V379=regle!$B$11,regle!$B$23*IF(AO379=-2,1+regle!$B$35,1),
IF(V379=regle!$C$11,regle!$C$23,
IF(V379=regle!$D$11,regle!$D$23,
IF(V379=regle!$E$11,regle!$E$23,
IF(V379=regle!$F$11,regle!$F$23,
IF(V379=regle!$G$11,regle!$G$23,
IF(V379=regle!$H$11,regle!$H$23,
IF(V379=regle!$I$11,regle!$I$23,
IF(V379=regle!$J$11,regle!$J$23,
IF(V379=regle!$K$11,regle!$K$23,0))))))))))))</f>
        <v>0</v>
      </c>
      <c r="AG379" s="17" t="b">
        <f>IF($A379,$J379*(IF(W379=regle!$B$11,regle!$B$23*IF(AP379=-2,1+regle!$B$35,1),
IF(W379=regle!$C$11,regle!$C$23,
IF(W379=regle!$D$11,regle!$D$23,
IF(W379=regle!$E$11,regle!$E$23,
IF(W379=regle!$F$11,regle!$F$23,
IF(W379=regle!$G$11,regle!$G$23,
IF(W379=regle!$H$11,regle!$H$23,
IF(W379=regle!$I$11,regle!$I$23,
IF(W379=regle!$J$11,regle!$J$23,
IF(W379=regle!$K$11,regle!$K$23,0))))))))))))</f>
        <v>0</v>
      </c>
      <c r="AH379" s="17" t="b">
        <f>IF($A379,$J379*(IF(X379=regle!$B$11,regle!$B$23*IF(AQ379=-2,1+regle!$B$35,1),
IF(X379=regle!$C$11,regle!$C$23,
IF(X379=regle!$D$11,regle!$D$23,
IF(X379=regle!$E$11,regle!$E$23,
IF(X379=regle!$F$11,regle!$F$23,
IF(X379=regle!$G$11,regle!$G$23,
IF(X379=regle!$H$11,regle!$H$23,
IF(X379=regle!$I$11,regle!$I$23,
IF(X379=regle!$J$11,regle!$J$23,
IF(X379=regle!$K$11,regle!$K$23,0))))))))))))</f>
        <v>0</v>
      </c>
      <c r="AI379" s="17" t="b">
        <f>IF($A379,$J379*(IF(Y379=regle!$B$11,regle!$B$23*IF(AR379=-2,1+regle!$B$35,1),
IF(Y379=regle!$C$11,regle!$C$23,
IF(Y379=regle!$D$11,regle!$D$23,
IF(Y379=regle!$E$11,regle!$E$23,
IF(Y379=regle!$F$11,regle!$F$23,
IF(Y379=regle!$G$11,regle!$G$23,
IF(Y379=regle!$H$11,regle!$H$23,
IF(Y379=regle!$I$11,regle!$I$23,
IF(Y379=regle!$J$11,regle!$J$23,
IF(Y379=regle!$K$11,regle!$K$23,0))))))))))))</f>
        <v>0</v>
      </c>
      <c r="AJ379" s="17" t="b">
        <f>IF($A379,$J379*(IF(Z379=regle!$B$11,regle!$B$23*IF(AS379=-2,1+regle!$B$35,1),
IF(Z379=regle!$C$11,regle!$C$23,
IF(Z379=regle!$D$11,regle!$D$23,
IF(Z379=regle!$E$11,regle!$E$23,
IF(Z379=regle!$F$11,regle!$F$23,
IF(Z379=regle!$G$11,regle!$G$23,
IF(Z379=regle!$H$11,regle!$H$23,
IF(Z379=regle!$I$11,regle!$I$23,
IF(Z379=regle!$J$11,regle!$J$23,
IF(Z379=regle!$K$11,regle!$K$23,0))))))))))))</f>
        <v>0</v>
      </c>
      <c r="AK379" s="16">
        <f>IF(OR(Q379=regle!$J$11,Q379=regle!$K$11),-2,IF(Q379=regle!$B$11,0,IF(AK$1=$AK$1,IF($O379,-1,regle!$B$2-$M379),IF(AJ379=-1,-1,AJ379+1))))</f>
        <v>11</v>
      </c>
      <c r="AL379" s="16">
        <f>IF(OR(R379=regle!$J$11,R379=regle!$K$11),-2,IF(R379=regle!$B$11,0,IF(AL$1=$AK$1,IF($O379,-1,regle!$B$2-$M379),IF(AK379=-1,-1,AK379+1))))</f>
        <v>12</v>
      </c>
      <c r="AM379" s="16">
        <f>IF(OR(S379=regle!$J$11,S379=regle!$K$11),-2,IF(S379=regle!$B$11,0,IF(AM$1=$AK$1,IF($O379,-1,regle!$B$2-$M379),IF(AL379=-1,-1,AL379+1))))</f>
        <v>13</v>
      </c>
      <c r="AN379" s="16">
        <f>IF(OR(T379=regle!$J$11,T379=regle!$K$11),-2,IF(T379=regle!$B$11,0,IF(AN$1=$AK$1,IF($O379,-1,regle!$B$2-$M379),IF(AM379=-1,-1,AM379+1))))</f>
        <v>14</v>
      </c>
      <c r="AO379" s="16">
        <f>IF(OR(U379=regle!$J$11,U379=regle!$K$11),-2,IF(U379=regle!$B$11,0,IF(AO$1=$AK$1,IF($O379,-1,regle!$B$2-$M379),IF(AN379=-1,-1,AN379+1))))</f>
        <v>15</v>
      </c>
      <c r="AP379" s="16">
        <f>IF(OR(V379=regle!$J$11,V379=regle!$K$11),-2,IF(V379=regle!$B$11,0,IF(AP$1=$AK$1,IF($O379,-1,regle!$B$2-$M379),IF(AO379=-1,-1,AO379+1))))</f>
        <v>16</v>
      </c>
      <c r="AQ379" s="16">
        <f>IF(OR(W379=regle!$J$11,W379=regle!$K$11),-2,IF(W379=regle!$B$11,0,IF(AQ$1=$AK$1,IF($O379,-1,regle!$B$2-$M379),IF(AP379=-1,-1,AP379+1))))</f>
        <v>17</v>
      </c>
      <c r="AR379" s="16">
        <f>IF(OR(X379=regle!$J$11,X379=regle!$K$11),-2,IF(X379=regle!$B$11,0,IF(AR$1=$AK$1,IF($O379,-1,regle!$B$2-$M379),IF(AQ379=-1,-1,AQ379+1))))</f>
        <v>18</v>
      </c>
      <c r="AS379" s="16">
        <f>IF(OR(Y379=regle!$J$11,Y379=regle!$K$11),-2,IF(Y379=regle!$B$11,0,IF(AS$1=$AK$1,IF($O379,-1,regle!$B$2-$M379),IF(AR379=-1,-1,AR379+1))))</f>
        <v>19</v>
      </c>
      <c r="AT379" s="16">
        <f>IF(OR(Z379=regle!$J$11,Z379=regle!$K$11),-2,IF(Z379=regle!$B$11,0,IF(AT$1=$AK$1,IF($O379,-1,regle!$B$2-$M379),IF(AS379=-1,-1,AS379+1))))</f>
        <v>20</v>
      </c>
    </row>
    <row r="380" spans="1:46" x14ac:dyDescent="0.25">
      <c r="A380" t="b">
        <f>modif0!A412</f>
        <v>0</v>
      </c>
      <c r="B380">
        <f>ROW(modif0!B412)</f>
        <v>412</v>
      </c>
      <c r="C380" t="str">
        <f>modif0!D412</f>
        <v>202</v>
      </c>
      <c r="D380" t="str">
        <f>modif0!E412</f>
        <v>HOSTENS</v>
      </c>
      <c r="E380">
        <f>modif0!F412</f>
        <v>13</v>
      </c>
      <c r="F380" t="str">
        <f>modif0!G412</f>
        <v>LA BROUSTETTE</v>
      </c>
      <c r="G380" t="str">
        <f>modif0!I412</f>
        <v>0B</v>
      </c>
      <c r="H380">
        <f>modif0!J412</f>
        <v>1229</v>
      </c>
      <c r="I380" t="str">
        <f>modif0!K412</f>
        <v/>
      </c>
      <c r="J380" s="11">
        <f>modif0!M412</f>
        <v>0.97</v>
      </c>
      <c r="K380" s="11" t="str">
        <f>modif0!P412</f>
        <v>TAIL</v>
      </c>
      <c r="L380" t="str">
        <f>modif0!N412</f>
        <v>FEUIL</v>
      </c>
      <c r="M380">
        <f>modif0!Q412</f>
        <v>2013</v>
      </c>
      <c r="N380" t="str">
        <f>modif0!R412</f>
        <v>TAIL-FEUIL_2013</v>
      </c>
      <c r="O380" t="b">
        <f>modif0!S412</f>
        <v>0</v>
      </c>
      <c r="P380">
        <v>40</v>
      </c>
      <c r="AA380" s="17" t="b">
        <f>IF($A380,$J380*(IF(Q380=regle!$B$11,regle!$B$23*IF(AJ380=-2,1+regle!$B$35,1),
IF(Q380=regle!$C$11,regle!$C$23,
IF(Q380=regle!$D$11,regle!$D$23,
IF(Q380=regle!$E$11,regle!$E$23,
IF(Q380=regle!$F$11,regle!$F$23,
IF(Q380=regle!$G$11,regle!$G$23,
IF(Q380=regle!$H$11,regle!$H$23,
IF(Q380=regle!$I$11,regle!$I$23,
IF(Q380=regle!$J$11,regle!$J$23,
IF(Q380=regle!$K$11,regle!$K$23,0))))))))))))</f>
        <v>0</v>
      </c>
      <c r="AB380" s="17" t="b">
        <f>IF($A380,$J380*(IF(R380=regle!$B$11,regle!$B$23*IF(AK380=-2,1+regle!$B$35,1),
IF(R380=regle!$C$11,regle!$C$23,
IF(R380=regle!$D$11,regle!$D$23,
IF(R380=regle!$E$11,regle!$E$23,
IF(R380=regle!$F$11,regle!$F$23,
IF(R380=regle!$G$11,regle!$G$23,
IF(R380=regle!$H$11,regle!$H$23,
IF(R380=regle!$I$11,regle!$I$23,
IF(R380=regle!$J$11,regle!$J$23,
IF(R380=regle!$K$11,regle!$K$23,0))))))))))))</f>
        <v>0</v>
      </c>
      <c r="AC380" s="17" t="b">
        <f>IF($A380,$J380*(IF(S380=regle!$B$11,regle!$B$23*IF(AL380=-2,1+regle!$B$35,1),
IF(S380=regle!$C$11,regle!$C$23,
IF(S380=regle!$D$11,regle!$D$23,
IF(S380=regle!$E$11,regle!$E$23,
IF(S380=regle!$F$11,regle!$F$23,
IF(S380=regle!$G$11,regle!$G$23,
IF(S380=regle!$H$11,regle!$H$23,
IF(S380=regle!$I$11,regle!$I$23,
IF(S380=regle!$J$11,regle!$J$23,
IF(S380=regle!$K$11,regle!$K$23,0))))))))))))</f>
        <v>0</v>
      </c>
      <c r="AD380" s="17" t="b">
        <f>IF($A380,$J380*(IF(T380=regle!$B$11,regle!$B$23*IF(AM380=-2,1+regle!$B$35,1),
IF(T380=regle!$C$11,regle!$C$23,
IF(T380=regle!$D$11,regle!$D$23,
IF(T380=regle!$E$11,regle!$E$23,
IF(T380=regle!$F$11,regle!$F$23,
IF(T380=regle!$G$11,regle!$G$23,
IF(T380=regle!$H$11,regle!$H$23,
IF(T380=regle!$I$11,regle!$I$23,
IF(T380=regle!$J$11,regle!$J$23,
IF(T380=regle!$K$11,regle!$K$23,0))))))))))))</f>
        <v>0</v>
      </c>
      <c r="AE380" s="17" t="b">
        <f>IF($A380,$J380*(IF(U380=regle!$B$11,regle!$B$23*IF(AN380=-2,1+regle!$B$35,1),
IF(U380=regle!$C$11,regle!$C$23,
IF(U380=regle!$D$11,regle!$D$23,
IF(U380=regle!$E$11,regle!$E$23,
IF(U380=regle!$F$11,regle!$F$23,
IF(U380=regle!$G$11,regle!$G$23,
IF(U380=regle!$H$11,regle!$H$23,
IF(U380=regle!$I$11,regle!$I$23,
IF(U380=regle!$J$11,regle!$J$23,
IF(U380=regle!$K$11,regle!$K$23,0))))))))))))</f>
        <v>0</v>
      </c>
      <c r="AF380" s="17" t="b">
        <f>IF($A380,$J380*(IF(V380=regle!$B$11,regle!$B$23*IF(AO380=-2,1+regle!$B$35,1),
IF(V380=regle!$C$11,regle!$C$23,
IF(V380=regle!$D$11,regle!$D$23,
IF(V380=regle!$E$11,regle!$E$23,
IF(V380=regle!$F$11,regle!$F$23,
IF(V380=regle!$G$11,regle!$G$23,
IF(V380=regle!$H$11,regle!$H$23,
IF(V380=regle!$I$11,regle!$I$23,
IF(V380=regle!$J$11,regle!$J$23,
IF(V380=regle!$K$11,regle!$K$23,0))))))))))))</f>
        <v>0</v>
      </c>
      <c r="AG380" s="17" t="b">
        <f>IF($A380,$J380*(IF(W380=regle!$B$11,regle!$B$23*IF(AP380=-2,1+regle!$B$35,1),
IF(W380=regle!$C$11,regle!$C$23,
IF(W380=regle!$D$11,regle!$D$23,
IF(W380=regle!$E$11,regle!$E$23,
IF(W380=regle!$F$11,regle!$F$23,
IF(W380=regle!$G$11,regle!$G$23,
IF(W380=regle!$H$11,regle!$H$23,
IF(W380=regle!$I$11,regle!$I$23,
IF(W380=regle!$J$11,regle!$J$23,
IF(W380=regle!$K$11,regle!$K$23,0))))))))))))</f>
        <v>0</v>
      </c>
      <c r="AH380" s="17" t="b">
        <f>IF($A380,$J380*(IF(X380=regle!$B$11,regle!$B$23*IF(AQ380=-2,1+regle!$B$35,1),
IF(X380=regle!$C$11,regle!$C$23,
IF(X380=regle!$D$11,regle!$D$23,
IF(X380=regle!$E$11,regle!$E$23,
IF(X380=regle!$F$11,regle!$F$23,
IF(X380=regle!$G$11,regle!$G$23,
IF(X380=regle!$H$11,regle!$H$23,
IF(X380=regle!$I$11,regle!$I$23,
IF(X380=regle!$J$11,regle!$J$23,
IF(X380=regle!$K$11,regle!$K$23,0))))))))))))</f>
        <v>0</v>
      </c>
      <c r="AI380" s="17" t="b">
        <f>IF($A380,$J380*(IF(Y380=regle!$B$11,regle!$B$23*IF(AR380=-2,1+regle!$B$35,1),
IF(Y380=regle!$C$11,regle!$C$23,
IF(Y380=regle!$D$11,regle!$D$23,
IF(Y380=regle!$E$11,regle!$E$23,
IF(Y380=regle!$F$11,regle!$F$23,
IF(Y380=regle!$G$11,regle!$G$23,
IF(Y380=regle!$H$11,regle!$H$23,
IF(Y380=regle!$I$11,regle!$I$23,
IF(Y380=regle!$J$11,regle!$J$23,
IF(Y380=regle!$K$11,regle!$K$23,0))))))))))))</f>
        <v>0</v>
      </c>
      <c r="AJ380" s="17" t="b">
        <f>IF($A380,$J380*(IF(Z380=regle!$B$11,regle!$B$23*IF(AS380=-2,1+regle!$B$35,1),
IF(Z380=regle!$C$11,regle!$C$23,
IF(Z380=regle!$D$11,regle!$D$23,
IF(Z380=regle!$E$11,regle!$E$23,
IF(Z380=regle!$F$11,regle!$F$23,
IF(Z380=regle!$G$11,regle!$G$23,
IF(Z380=regle!$H$11,regle!$H$23,
IF(Z380=regle!$I$11,regle!$I$23,
IF(Z380=regle!$J$11,regle!$J$23,
IF(Z380=regle!$K$11,regle!$K$23,0))))))))))))</f>
        <v>0</v>
      </c>
      <c r="AK380" s="16">
        <f>IF(OR(Q380=regle!$J$11,Q380=regle!$K$11),-2,IF(Q380=regle!$B$11,0,IF(AK$1=$AK$1,IF($O380,-1,regle!$B$2-$M380),IF(AJ380=-1,-1,AJ380+1))))</f>
        <v>11</v>
      </c>
      <c r="AL380" s="16">
        <f>IF(OR(R380=regle!$J$11,R380=regle!$K$11),-2,IF(R380=regle!$B$11,0,IF(AL$1=$AK$1,IF($O380,-1,regle!$B$2-$M380),IF(AK380=-1,-1,AK380+1))))</f>
        <v>12</v>
      </c>
      <c r="AM380" s="16">
        <f>IF(OR(S380=regle!$J$11,S380=regle!$K$11),-2,IF(S380=regle!$B$11,0,IF(AM$1=$AK$1,IF($O380,-1,regle!$B$2-$M380),IF(AL380=-1,-1,AL380+1))))</f>
        <v>13</v>
      </c>
      <c r="AN380" s="16">
        <f>IF(OR(T380=regle!$J$11,T380=regle!$K$11),-2,IF(T380=regle!$B$11,0,IF(AN$1=$AK$1,IF($O380,-1,regle!$B$2-$M380),IF(AM380=-1,-1,AM380+1))))</f>
        <v>14</v>
      </c>
      <c r="AO380" s="16">
        <f>IF(OR(U380=regle!$J$11,U380=regle!$K$11),-2,IF(U380=regle!$B$11,0,IF(AO$1=$AK$1,IF($O380,-1,regle!$B$2-$M380),IF(AN380=-1,-1,AN380+1))))</f>
        <v>15</v>
      </c>
      <c r="AP380" s="16">
        <f>IF(OR(V380=regle!$J$11,V380=regle!$K$11),-2,IF(V380=regle!$B$11,0,IF(AP$1=$AK$1,IF($O380,-1,regle!$B$2-$M380),IF(AO380=-1,-1,AO380+1))))</f>
        <v>16</v>
      </c>
      <c r="AQ380" s="16">
        <f>IF(OR(W380=regle!$J$11,W380=regle!$K$11),-2,IF(W380=regle!$B$11,0,IF(AQ$1=$AK$1,IF($O380,-1,regle!$B$2-$M380),IF(AP380=-1,-1,AP380+1))))</f>
        <v>17</v>
      </c>
      <c r="AR380" s="16">
        <f>IF(OR(X380=regle!$J$11,X380=regle!$K$11),-2,IF(X380=regle!$B$11,0,IF(AR$1=$AK$1,IF($O380,-1,regle!$B$2-$M380),IF(AQ380=-1,-1,AQ380+1))))</f>
        <v>18</v>
      </c>
      <c r="AS380" s="16">
        <f>IF(OR(Y380=regle!$J$11,Y380=regle!$K$11),-2,IF(Y380=regle!$B$11,0,IF(AS$1=$AK$1,IF($O380,-1,regle!$B$2-$M380),IF(AR380=-1,-1,AR380+1))))</f>
        <v>19</v>
      </c>
      <c r="AT380" s="16">
        <f>IF(OR(Z380=regle!$J$11,Z380=regle!$K$11),-2,IF(Z380=regle!$B$11,0,IF(AT$1=$AK$1,IF($O380,-1,regle!$B$2-$M380),IF(AS380=-1,-1,AS380+1))))</f>
        <v>20</v>
      </c>
    </row>
    <row r="381" spans="1:46" x14ac:dyDescent="0.25">
      <c r="A381" t="b">
        <f>modif0!A403</f>
        <v>0</v>
      </c>
      <c r="B381">
        <f>ROW(modif0!B403)</f>
        <v>403</v>
      </c>
      <c r="C381" t="str">
        <f>modif0!D403</f>
        <v>202</v>
      </c>
      <c r="D381" t="str">
        <f>modif0!E403</f>
        <v>HOSTENS</v>
      </c>
      <c r="E381">
        <f>modif0!F403</f>
        <v>11</v>
      </c>
      <c r="F381" t="str">
        <f>modif0!G403</f>
        <v>LES CAZALAS</v>
      </c>
      <c r="G381" t="str">
        <f>modif0!I403</f>
        <v>0B</v>
      </c>
      <c r="H381">
        <f>modif0!J403</f>
        <v>1186</v>
      </c>
      <c r="I381" t="str">
        <f>modif0!K403</f>
        <v/>
      </c>
      <c r="J381" s="11">
        <f>modif0!M403</f>
        <v>0.45</v>
      </c>
      <c r="K381" s="11" t="str">
        <f>modif0!P403</f>
        <v>TAIL</v>
      </c>
      <c r="L381" t="str">
        <f>modif0!N403</f>
        <v>FEUIL</v>
      </c>
      <c r="M381">
        <f>modif0!Q403</f>
        <v>2013</v>
      </c>
      <c r="N381" t="str">
        <f>modif0!R403</f>
        <v>TAIL-FEUIL_2013</v>
      </c>
      <c r="O381" t="b">
        <f>modif0!S403</f>
        <v>0</v>
      </c>
      <c r="P381">
        <v>40</v>
      </c>
      <c r="AA381" s="17" t="b">
        <f>IF($A381,$J381*(IF(Q381=regle!$B$11,regle!$B$23*IF(AJ381=-2,1+regle!$B$35,1),
IF(Q381=regle!$C$11,regle!$C$23,
IF(Q381=regle!$D$11,regle!$D$23,
IF(Q381=regle!$E$11,regle!$E$23,
IF(Q381=regle!$F$11,regle!$F$23,
IF(Q381=regle!$G$11,regle!$G$23,
IF(Q381=regle!$H$11,regle!$H$23,
IF(Q381=regle!$I$11,regle!$I$23,
IF(Q381=regle!$J$11,regle!$J$23,
IF(Q381=regle!$K$11,regle!$K$23,0))))))))))))</f>
        <v>0</v>
      </c>
      <c r="AB381" s="17" t="b">
        <f>IF($A381,$J381*(IF(R381=regle!$B$11,regle!$B$23*IF(AK381=-2,1+regle!$B$35,1),
IF(R381=regle!$C$11,regle!$C$23,
IF(R381=regle!$D$11,regle!$D$23,
IF(R381=regle!$E$11,regle!$E$23,
IF(R381=regle!$F$11,regle!$F$23,
IF(R381=regle!$G$11,regle!$G$23,
IF(R381=regle!$H$11,regle!$H$23,
IF(R381=regle!$I$11,regle!$I$23,
IF(R381=regle!$J$11,regle!$J$23,
IF(R381=regle!$K$11,regle!$K$23,0))))))))))))</f>
        <v>0</v>
      </c>
      <c r="AC381" s="17" t="b">
        <f>IF($A381,$J381*(IF(S381=regle!$B$11,regle!$B$23*IF(AL381=-2,1+regle!$B$35,1),
IF(S381=regle!$C$11,regle!$C$23,
IF(S381=regle!$D$11,regle!$D$23,
IF(S381=regle!$E$11,regle!$E$23,
IF(S381=regle!$F$11,regle!$F$23,
IF(S381=regle!$G$11,regle!$G$23,
IF(S381=regle!$H$11,regle!$H$23,
IF(S381=regle!$I$11,regle!$I$23,
IF(S381=regle!$J$11,regle!$J$23,
IF(S381=regle!$K$11,regle!$K$23,0))))))))))))</f>
        <v>0</v>
      </c>
      <c r="AD381" s="17" t="b">
        <f>IF($A381,$J381*(IF(T381=regle!$B$11,regle!$B$23*IF(AM381=-2,1+regle!$B$35,1),
IF(T381=regle!$C$11,regle!$C$23,
IF(T381=regle!$D$11,regle!$D$23,
IF(T381=regle!$E$11,regle!$E$23,
IF(T381=regle!$F$11,regle!$F$23,
IF(T381=regle!$G$11,regle!$G$23,
IF(T381=regle!$H$11,regle!$H$23,
IF(T381=regle!$I$11,regle!$I$23,
IF(T381=regle!$J$11,regle!$J$23,
IF(T381=regle!$K$11,regle!$K$23,0))))))))))))</f>
        <v>0</v>
      </c>
      <c r="AE381" s="17" t="b">
        <f>IF($A381,$J381*(IF(U381=regle!$B$11,regle!$B$23*IF(AN381=-2,1+regle!$B$35,1),
IF(U381=regle!$C$11,regle!$C$23,
IF(U381=regle!$D$11,regle!$D$23,
IF(U381=regle!$E$11,regle!$E$23,
IF(U381=regle!$F$11,regle!$F$23,
IF(U381=regle!$G$11,regle!$G$23,
IF(U381=regle!$H$11,regle!$H$23,
IF(U381=regle!$I$11,regle!$I$23,
IF(U381=regle!$J$11,regle!$J$23,
IF(U381=regle!$K$11,regle!$K$23,0))))))))))))</f>
        <v>0</v>
      </c>
      <c r="AF381" s="17" t="b">
        <f>IF($A381,$J381*(IF(V381=regle!$B$11,regle!$B$23*IF(AO381=-2,1+regle!$B$35,1),
IF(V381=regle!$C$11,regle!$C$23,
IF(V381=regle!$D$11,regle!$D$23,
IF(V381=regle!$E$11,regle!$E$23,
IF(V381=regle!$F$11,regle!$F$23,
IF(V381=regle!$G$11,regle!$G$23,
IF(V381=regle!$H$11,regle!$H$23,
IF(V381=regle!$I$11,regle!$I$23,
IF(V381=regle!$J$11,regle!$J$23,
IF(V381=regle!$K$11,regle!$K$23,0))))))))))))</f>
        <v>0</v>
      </c>
      <c r="AG381" s="17" t="b">
        <f>IF($A381,$J381*(IF(W381=regle!$B$11,regle!$B$23*IF(AP381=-2,1+regle!$B$35,1),
IF(W381=regle!$C$11,regle!$C$23,
IF(W381=regle!$D$11,regle!$D$23,
IF(W381=regle!$E$11,regle!$E$23,
IF(W381=regle!$F$11,regle!$F$23,
IF(W381=regle!$G$11,regle!$G$23,
IF(W381=regle!$H$11,regle!$H$23,
IF(W381=regle!$I$11,regle!$I$23,
IF(W381=regle!$J$11,regle!$J$23,
IF(W381=regle!$K$11,regle!$K$23,0))))))))))))</f>
        <v>0</v>
      </c>
      <c r="AH381" s="17" t="b">
        <f>IF($A381,$J381*(IF(X381=regle!$B$11,regle!$B$23*IF(AQ381=-2,1+regle!$B$35,1),
IF(X381=regle!$C$11,regle!$C$23,
IF(X381=regle!$D$11,regle!$D$23,
IF(X381=regle!$E$11,regle!$E$23,
IF(X381=regle!$F$11,regle!$F$23,
IF(X381=regle!$G$11,regle!$G$23,
IF(X381=regle!$H$11,regle!$H$23,
IF(X381=regle!$I$11,regle!$I$23,
IF(X381=regle!$J$11,regle!$J$23,
IF(X381=regle!$K$11,regle!$K$23,0))))))))))))</f>
        <v>0</v>
      </c>
      <c r="AI381" s="17" t="b">
        <f>IF($A381,$J381*(IF(Y381=regle!$B$11,regle!$B$23*IF(AR381=-2,1+regle!$B$35,1),
IF(Y381=regle!$C$11,regle!$C$23,
IF(Y381=regle!$D$11,regle!$D$23,
IF(Y381=regle!$E$11,regle!$E$23,
IF(Y381=regle!$F$11,regle!$F$23,
IF(Y381=regle!$G$11,regle!$G$23,
IF(Y381=regle!$H$11,regle!$H$23,
IF(Y381=regle!$I$11,regle!$I$23,
IF(Y381=regle!$J$11,regle!$J$23,
IF(Y381=regle!$K$11,regle!$K$23,0))))))))))))</f>
        <v>0</v>
      </c>
      <c r="AJ381" s="17" t="b">
        <f>IF($A381,$J381*(IF(Z381=regle!$B$11,regle!$B$23*IF(AS381=-2,1+regle!$B$35,1),
IF(Z381=regle!$C$11,regle!$C$23,
IF(Z381=regle!$D$11,regle!$D$23,
IF(Z381=regle!$E$11,regle!$E$23,
IF(Z381=regle!$F$11,regle!$F$23,
IF(Z381=regle!$G$11,regle!$G$23,
IF(Z381=regle!$H$11,regle!$H$23,
IF(Z381=regle!$I$11,regle!$I$23,
IF(Z381=regle!$J$11,regle!$J$23,
IF(Z381=regle!$K$11,regle!$K$23,0))))))))))))</f>
        <v>0</v>
      </c>
      <c r="AK381" s="16">
        <f>IF(OR(Q381=regle!$J$11,Q381=regle!$K$11),-2,IF(Q381=regle!$B$11,0,IF(AK$1=$AK$1,IF($O381,-1,regle!$B$2-$M381),IF(AJ381=-1,-1,AJ381+1))))</f>
        <v>11</v>
      </c>
      <c r="AL381" s="16">
        <f>IF(OR(R381=regle!$J$11,R381=regle!$K$11),-2,IF(R381=regle!$B$11,0,IF(AL$1=$AK$1,IF($O381,-1,regle!$B$2-$M381),IF(AK381=-1,-1,AK381+1))))</f>
        <v>12</v>
      </c>
      <c r="AM381" s="16">
        <f>IF(OR(S381=regle!$J$11,S381=regle!$K$11),-2,IF(S381=regle!$B$11,0,IF(AM$1=$AK$1,IF($O381,-1,regle!$B$2-$M381),IF(AL381=-1,-1,AL381+1))))</f>
        <v>13</v>
      </c>
      <c r="AN381" s="16">
        <f>IF(OR(T381=regle!$J$11,T381=regle!$K$11),-2,IF(T381=regle!$B$11,0,IF(AN$1=$AK$1,IF($O381,-1,regle!$B$2-$M381),IF(AM381=-1,-1,AM381+1))))</f>
        <v>14</v>
      </c>
      <c r="AO381" s="16">
        <f>IF(OR(U381=regle!$J$11,U381=regle!$K$11),-2,IF(U381=regle!$B$11,0,IF(AO$1=$AK$1,IF($O381,-1,regle!$B$2-$M381),IF(AN381=-1,-1,AN381+1))))</f>
        <v>15</v>
      </c>
      <c r="AP381" s="16">
        <f>IF(OR(V381=regle!$J$11,V381=regle!$K$11),-2,IF(V381=regle!$B$11,0,IF(AP$1=$AK$1,IF($O381,-1,regle!$B$2-$M381),IF(AO381=-1,-1,AO381+1))))</f>
        <v>16</v>
      </c>
      <c r="AQ381" s="16">
        <f>IF(OR(W381=regle!$J$11,W381=regle!$K$11),-2,IF(W381=regle!$B$11,0,IF(AQ$1=$AK$1,IF($O381,-1,regle!$B$2-$M381),IF(AP381=-1,-1,AP381+1))))</f>
        <v>17</v>
      </c>
      <c r="AR381" s="16">
        <f>IF(OR(X381=regle!$J$11,X381=regle!$K$11),-2,IF(X381=regle!$B$11,0,IF(AR$1=$AK$1,IF($O381,-1,regle!$B$2-$M381),IF(AQ381=-1,-1,AQ381+1))))</f>
        <v>18</v>
      </c>
      <c r="AS381" s="16">
        <f>IF(OR(Y381=regle!$J$11,Y381=regle!$K$11),-2,IF(Y381=regle!$B$11,0,IF(AS$1=$AK$1,IF($O381,-1,regle!$B$2-$M381),IF(AR381=-1,-1,AR381+1))))</f>
        <v>19</v>
      </c>
      <c r="AT381" s="16">
        <f>IF(OR(Z381=regle!$J$11,Z381=regle!$K$11),-2,IF(Z381=regle!$B$11,0,IF(AT$1=$AK$1,IF($O381,-1,regle!$B$2-$M381),IF(AS381=-1,-1,AS381+1))))</f>
        <v>20</v>
      </c>
    </row>
    <row r="382" spans="1:46" x14ac:dyDescent="0.25">
      <c r="A382" t="b">
        <f>modif0!A417</f>
        <v>0</v>
      </c>
      <c r="B382">
        <f>ROW(modif0!B417)</f>
        <v>417</v>
      </c>
      <c r="C382" t="str">
        <f>modif0!D417</f>
        <v>202</v>
      </c>
      <c r="D382" t="str">
        <f>modif0!E417</f>
        <v>HOSTENS</v>
      </c>
      <c r="E382">
        <f>modif0!F417</f>
        <v>13</v>
      </c>
      <c r="F382" t="str">
        <f>modif0!G417</f>
        <v>LA BROUSTETTE</v>
      </c>
      <c r="G382" t="str">
        <f>modif0!I417</f>
        <v>0B</v>
      </c>
      <c r="H382">
        <f>modif0!J417</f>
        <v>1234</v>
      </c>
      <c r="I382" t="str">
        <f>modif0!K417</f>
        <v/>
      </c>
      <c r="J382" s="11">
        <f>modif0!M417</f>
        <v>0.42699999999999999</v>
      </c>
      <c r="K382" s="11" t="str">
        <f>modif0!P417</f>
        <v>TAIL</v>
      </c>
      <c r="L382" t="str">
        <f>modif0!N417</f>
        <v>FEUIL</v>
      </c>
      <c r="M382">
        <f>modif0!Q417</f>
        <v>2013</v>
      </c>
      <c r="N382" t="str">
        <f>modif0!R417</f>
        <v>TAIL-FEUIL_2013</v>
      </c>
      <c r="O382" t="b">
        <f>modif0!S417</f>
        <v>0</v>
      </c>
      <c r="P382">
        <v>40</v>
      </c>
      <c r="AA382" s="17" t="b">
        <f>IF($A382,$J382*(IF(Q382=regle!$B$11,regle!$B$23*IF(AJ382=-2,1+regle!$B$35,1),
IF(Q382=regle!$C$11,regle!$C$23,
IF(Q382=regle!$D$11,regle!$D$23,
IF(Q382=regle!$E$11,regle!$E$23,
IF(Q382=regle!$F$11,regle!$F$23,
IF(Q382=regle!$G$11,regle!$G$23,
IF(Q382=regle!$H$11,regle!$H$23,
IF(Q382=regle!$I$11,regle!$I$23,
IF(Q382=regle!$J$11,regle!$J$23,
IF(Q382=regle!$K$11,regle!$K$23,0))))))))))))</f>
        <v>0</v>
      </c>
      <c r="AB382" s="17" t="b">
        <f>IF($A382,$J382*(IF(R382=regle!$B$11,regle!$B$23*IF(AK382=-2,1+regle!$B$35,1),
IF(R382=regle!$C$11,regle!$C$23,
IF(R382=regle!$D$11,regle!$D$23,
IF(R382=regle!$E$11,regle!$E$23,
IF(R382=regle!$F$11,regle!$F$23,
IF(R382=regle!$G$11,regle!$G$23,
IF(R382=regle!$H$11,regle!$H$23,
IF(R382=regle!$I$11,regle!$I$23,
IF(R382=regle!$J$11,regle!$J$23,
IF(R382=regle!$K$11,regle!$K$23,0))))))))))))</f>
        <v>0</v>
      </c>
      <c r="AC382" s="17" t="b">
        <f>IF($A382,$J382*(IF(S382=regle!$B$11,regle!$B$23*IF(AL382=-2,1+regle!$B$35,1),
IF(S382=regle!$C$11,regle!$C$23,
IF(S382=regle!$D$11,regle!$D$23,
IF(S382=regle!$E$11,regle!$E$23,
IF(S382=regle!$F$11,regle!$F$23,
IF(S382=regle!$G$11,regle!$G$23,
IF(S382=regle!$H$11,regle!$H$23,
IF(S382=regle!$I$11,regle!$I$23,
IF(S382=regle!$J$11,regle!$J$23,
IF(S382=regle!$K$11,regle!$K$23,0))))))))))))</f>
        <v>0</v>
      </c>
      <c r="AD382" s="17" t="b">
        <f>IF($A382,$J382*(IF(T382=regle!$B$11,regle!$B$23*IF(AM382=-2,1+regle!$B$35,1),
IF(T382=regle!$C$11,regle!$C$23,
IF(T382=regle!$D$11,regle!$D$23,
IF(T382=regle!$E$11,regle!$E$23,
IF(T382=regle!$F$11,regle!$F$23,
IF(T382=regle!$G$11,regle!$G$23,
IF(T382=regle!$H$11,regle!$H$23,
IF(T382=regle!$I$11,regle!$I$23,
IF(T382=regle!$J$11,regle!$J$23,
IF(T382=regle!$K$11,regle!$K$23,0))))))))))))</f>
        <v>0</v>
      </c>
      <c r="AE382" s="17" t="b">
        <f>IF($A382,$J382*(IF(U382=regle!$B$11,regle!$B$23*IF(AN382=-2,1+regle!$B$35,1),
IF(U382=regle!$C$11,regle!$C$23,
IF(U382=regle!$D$11,regle!$D$23,
IF(U382=regle!$E$11,regle!$E$23,
IF(U382=regle!$F$11,regle!$F$23,
IF(U382=regle!$G$11,regle!$G$23,
IF(U382=regle!$H$11,regle!$H$23,
IF(U382=regle!$I$11,regle!$I$23,
IF(U382=regle!$J$11,regle!$J$23,
IF(U382=regle!$K$11,regle!$K$23,0))))))))))))</f>
        <v>0</v>
      </c>
      <c r="AF382" s="17" t="b">
        <f>IF($A382,$J382*(IF(V382=regle!$B$11,regle!$B$23*IF(AO382=-2,1+regle!$B$35,1),
IF(V382=regle!$C$11,regle!$C$23,
IF(V382=regle!$D$11,regle!$D$23,
IF(V382=regle!$E$11,regle!$E$23,
IF(V382=regle!$F$11,regle!$F$23,
IF(V382=regle!$G$11,regle!$G$23,
IF(V382=regle!$H$11,regle!$H$23,
IF(V382=regle!$I$11,regle!$I$23,
IF(V382=regle!$J$11,regle!$J$23,
IF(V382=regle!$K$11,regle!$K$23,0))))))))))))</f>
        <v>0</v>
      </c>
      <c r="AG382" s="17" t="b">
        <f>IF($A382,$J382*(IF(W382=regle!$B$11,regle!$B$23*IF(AP382=-2,1+regle!$B$35,1),
IF(W382=regle!$C$11,regle!$C$23,
IF(W382=regle!$D$11,regle!$D$23,
IF(W382=regle!$E$11,regle!$E$23,
IF(W382=regle!$F$11,regle!$F$23,
IF(W382=regle!$G$11,regle!$G$23,
IF(W382=regle!$H$11,regle!$H$23,
IF(W382=regle!$I$11,regle!$I$23,
IF(W382=regle!$J$11,regle!$J$23,
IF(W382=regle!$K$11,regle!$K$23,0))))))))))))</f>
        <v>0</v>
      </c>
      <c r="AH382" s="17" t="b">
        <f>IF($A382,$J382*(IF(X382=regle!$B$11,regle!$B$23*IF(AQ382=-2,1+regle!$B$35,1),
IF(X382=regle!$C$11,regle!$C$23,
IF(X382=regle!$D$11,regle!$D$23,
IF(X382=regle!$E$11,regle!$E$23,
IF(X382=regle!$F$11,regle!$F$23,
IF(X382=regle!$G$11,regle!$G$23,
IF(X382=regle!$H$11,regle!$H$23,
IF(X382=regle!$I$11,regle!$I$23,
IF(X382=regle!$J$11,regle!$J$23,
IF(X382=regle!$K$11,regle!$K$23,0))))))))))))</f>
        <v>0</v>
      </c>
      <c r="AI382" s="17" t="b">
        <f>IF($A382,$J382*(IF(Y382=regle!$B$11,regle!$B$23*IF(AR382=-2,1+regle!$B$35,1),
IF(Y382=regle!$C$11,regle!$C$23,
IF(Y382=regle!$D$11,regle!$D$23,
IF(Y382=regle!$E$11,regle!$E$23,
IF(Y382=regle!$F$11,regle!$F$23,
IF(Y382=regle!$G$11,regle!$G$23,
IF(Y382=regle!$H$11,regle!$H$23,
IF(Y382=regle!$I$11,regle!$I$23,
IF(Y382=regle!$J$11,regle!$J$23,
IF(Y382=regle!$K$11,regle!$K$23,0))))))))))))</f>
        <v>0</v>
      </c>
      <c r="AJ382" s="17" t="b">
        <f>IF($A382,$J382*(IF(Z382=regle!$B$11,regle!$B$23*IF(AS382=-2,1+regle!$B$35,1),
IF(Z382=regle!$C$11,regle!$C$23,
IF(Z382=regle!$D$11,regle!$D$23,
IF(Z382=regle!$E$11,regle!$E$23,
IF(Z382=regle!$F$11,regle!$F$23,
IF(Z382=regle!$G$11,regle!$G$23,
IF(Z382=regle!$H$11,regle!$H$23,
IF(Z382=regle!$I$11,regle!$I$23,
IF(Z382=regle!$J$11,regle!$J$23,
IF(Z382=regle!$K$11,regle!$K$23,0))))))))))))</f>
        <v>0</v>
      </c>
      <c r="AK382" s="16">
        <f>IF(OR(Q382=regle!$J$11,Q382=regle!$K$11),-2,IF(Q382=regle!$B$11,0,IF(AK$1=$AK$1,IF($O382,-1,regle!$B$2-$M382),IF(AJ382=-1,-1,AJ382+1))))</f>
        <v>11</v>
      </c>
      <c r="AL382" s="16">
        <f>IF(OR(R382=regle!$J$11,R382=regle!$K$11),-2,IF(R382=regle!$B$11,0,IF(AL$1=$AK$1,IF($O382,-1,regle!$B$2-$M382),IF(AK382=-1,-1,AK382+1))))</f>
        <v>12</v>
      </c>
      <c r="AM382" s="16">
        <f>IF(OR(S382=regle!$J$11,S382=regle!$K$11),-2,IF(S382=regle!$B$11,0,IF(AM$1=$AK$1,IF($O382,-1,regle!$B$2-$M382),IF(AL382=-1,-1,AL382+1))))</f>
        <v>13</v>
      </c>
      <c r="AN382" s="16">
        <f>IF(OR(T382=regle!$J$11,T382=regle!$K$11),-2,IF(T382=regle!$B$11,0,IF(AN$1=$AK$1,IF($O382,-1,regle!$B$2-$M382),IF(AM382=-1,-1,AM382+1))))</f>
        <v>14</v>
      </c>
      <c r="AO382" s="16">
        <f>IF(OR(U382=regle!$J$11,U382=regle!$K$11),-2,IF(U382=regle!$B$11,0,IF(AO$1=$AK$1,IF($O382,-1,regle!$B$2-$M382),IF(AN382=-1,-1,AN382+1))))</f>
        <v>15</v>
      </c>
      <c r="AP382" s="16">
        <f>IF(OR(V382=regle!$J$11,V382=regle!$K$11),-2,IF(V382=regle!$B$11,0,IF(AP$1=$AK$1,IF($O382,-1,regle!$B$2-$M382),IF(AO382=-1,-1,AO382+1))))</f>
        <v>16</v>
      </c>
      <c r="AQ382" s="16">
        <f>IF(OR(W382=regle!$J$11,W382=regle!$K$11),-2,IF(W382=regle!$B$11,0,IF(AQ$1=$AK$1,IF($O382,-1,regle!$B$2-$M382),IF(AP382=-1,-1,AP382+1))))</f>
        <v>17</v>
      </c>
      <c r="AR382" s="16">
        <f>IF(OR(X382=regle!$J$11,X382=regle!$K$11),-2,IF(X382=regle!$B$11,0,IF(AR$1=$AK$1,IF($O382,-1,regle!$B$2-$M382),IF(AQ382=-1,-1,AQ382+1))))</f>
        <v>18</v>
      </c>
      <c r="AS382" s="16">
        <f>IF(OR(Y382=regle!$J$11,Y382=regle!$K$11),-2,IF(Y382=regle!$B$11,0,IF(AS$1=$AK$1,IF($O382,-1,regle!$B$2-$M382),IF(AR382=-1,-1,AR382+1))))</f>
        <v>19</v>
      </c>
      <c r="AT382" s="16">
        <f>IF(OR(Z382=regle!$J$11,Z382=regle!$K$11),-2,IF(Z382=regle!$B$11,0,IF(AT$1=$AK$1,IF($O382,-1,regle!$B$2-$M382),IF(AS382=-1,-1,AS382+1))))</f>
        <v>20</v>
      </c>
    </row>
    <row r="383" spans="1:46" x14ac:dyDescent="0.25">
      <c r="A383" t="b">
        <f>modif0!A413</f>
        <v>0</v>
      </c>
      <c r="B383">
        <f>ROW(modif0!B413)</f>
        <v>413</v>
      </c>
      <c r="C383" t="str">
        <f>modif0!D413</f>
        <v>202</v>
      </c>
      <c r="D383" t="str">
        <f>modif0!E413</f>
        <v>HOSTENS</v>
      </c>
      <c r="E383">
        <f>modif0!F413</f>
        <v>13</v>
      </c>
      <c r="F383" t="str">
        <f>modif0!G413</f>
        <v>LA BROUSTETTE</v>
      </c>
      <c r="G383" t="str">
        <f>modif0!I413</f>
        <v>0B</v>
      </c>
      <c r="H383">
        <f>modif0!J413</f>
        <v>1230</v>
      </c>
      <c r="I383" t="str">
        <f>modif0!K413</f>
        <v/>
      </c>
      <c r="J383" s="11">
        <f>modif0!M413</f>
        <v>0.372</v>
      </c>
      <c r="K383" s="11" t="str">
        <f>modif0!P413</f>
        <v>TAIL</v>
      </c>
      <c r="L383" t="str">
        <f>modif0!N413</f>
        <v>FEUIL</v>
      </c>
      <c r="M383">
        <f>modif0!Q413</f>
        <v>2013</v>
      </c>
      <c r="N383" t="str">
        <f>modif0!R413</f>
        <v>TAIL-FEUIL_2013</v>
      </c>
      <c r="O383" t="b">
        <f>modif0!S413</f>
        <v>0</v>
      </c>
      <c r="P383">
        <v>40</v>
      </c>
      <c r="AA383" s="17" t="b">
        <f>IF($A383,$J383*(IF(Q383=regle!$B$11,regle!$B$23*IF(AJ383=-2,1+regle!$B$35,1),
IF(Q383=regle!$C$11,regle!$C$23,
IF(Q383=regle!$D$11,regle!$D$23,
IF(Q383=regle!$E$11,regle!$E$23,
IF(Q383=regle!$F$11,regle!$F$23,
IF(Q383=regle!$G$11,regle!$G$23,
IF(Q383=regle!$H$11,regle!$H$23,
IF(Q383=regle!$I$11,regle!$I$23,
IF(Q383=regle!$J$11,regle!$J$23,
IF(Q383=regle!$K$11,regle!$K$23,0))))))))))))</f>
        <v>0</v>
      </c>
      <c r="AB383" s="17" t="b">
        <f>IF($A383,$J383*(IF(R383=regle!$B$11,regle!$B$23*IF(AK383=-2,1+regle!$B$35,1),
IF(R383=regle!$C$11,regle!$C$23,
IF(R383=regle!$D$11,regle!$D$23,
IF(R383=regle!$E$11,regle!$E$23,
IF(R383=regle!$F$11,regle!$F$23,
IF(R383=regle!$G$11,regle!$G$23,
IF(R383=regle!$H$11,regle!$H$23,
IF(R383=regle!$I$11,regle!$I$23,
IF(R383=regle!$J$11,regle!$J$23,
IF(R383=regle!$K$11,regle!$K$23,0))))))))))))</f>
        <v>0</v>
      </c>
      <c r="AC383" s="17" t="b">
        <f>IF($A383,$J383*(IF(S383=regle!$B$11,regle!$B$23*IF(AL383=-2,1+regle!$B$35,1),
IF(S383=regle!$C$11,regle!$C$23,
IF(S383=regle!$D$11,regle!$D$23,
IF(S383=regle!$E$11,regle!$E$23,
IF(S383=regle!$F$11,regle!$F$23,
IF(S383=regle!$G$11,regle!$G$23,
IF(S383=regle!$H$11,regle!$H$23,
IF(S383=regle!$I$11,regle!$I$23,
IF(S383=regle!$J$11,regle!$J$23,
IF(S383=regle!$K$11,regle!$K$23,0))))))))))))</f>
        <v>0</v>
      </c>
      <c r="AD383" s="17" t="b">
        <f>IF($A383,$J383*(IF(T383=regle!$B$11,regle!$B$23*IF(AM383=-2,1+regle!$B$35,1),
IF(T383=regle!$C$11,regle!$C$23,
IF(T383=regle!$D$11,regle!$D$23,
IF(T383=regle!$E$11,regle!$E$23,
IF(T383=regle!$F$11,regle!$F$23,
IF(T383=regle!$G$11,regle!$G$23,
IF(T383=regle!$H$11,regle!$H$23,
IF(T383=regle!$I$11,regle!$I$23,
IF(T383=regle!$J$11,regle!$J$23,
IF(T383=regle!$K$11,regle!$K$23,0))))))))))))</f>
        <v>0</v>
      </c>
      <c r="AE383" s="17" t="b">
        <f>IF($A383,$J383*(IF(U383=regle!$B$11,regle!$B$23*IF(AN383=-2,1+regle!$B$35,1),
IF(U383=regle!$C$11,regle!$C$23,
IF(U383=regle!$D$11,regle!$D$23,
IF(U383=regle!$E$11,regle!$E$23,
IF(U383=regle!$F$11,regle!$F$23,
IF(U383=regle!$G$11,regle!$G$23,
IF(U383=regle!$H$11,regle!$H$23,
IF(U383=regle!$I$11,regle!$I$23,
IF(U383=regle!$J$11,regle!$J$23,
IF(U383=regle!$K$11,regle!$K$23,0))))))))))))</f>
        <v>0</v>
      </c>
      <c r="AF383" s="17" t="b">
        <f>IF($A383,$J383*(IF(V383=regle!$B$11,regle!$B$23*IF(AO383=-2,1+regle!$B$35,1),
IF(V383=regle!$C$11,regle!$C$23,
IF(V383=regle!$D$11,regle!$D$23,
IF(V383=regle!$E$11,regle!$E$23,
IF(V383=regle!$F$11,regle!$F$23,
IF(V383=regle!$G$11,regle!$G$23,
IF(V383=regle!$H$11,regle!$H$23,
IF(V383=regle!$I$11,regle!$I$23,
IF(V383=regle!$J$11,regle!$J$23,
IF(V383=regle!$K$11,regle!$K$23,0))))))))))))</f>
        <v>0</v>
      </c>
      <c r="AG383" s="17" t="b">
        <f>IF($A383,$J383*(IF(W383=regle!$B$11,regle!$B$23*IF(AP383=-2,1+regle!$B$35,1),
IF(W383=regle!$C$11,regle!$C$23,
IF(W383=regle!$D$11,regle!$D$23,
IF(W383=regle!$E$11,regle!$E$23,
IF(W383=regle!$F$11,regle!$F$23,
IF(W383=regle!$G$11,regle!$G$23,
IF(W383=regle!$H$11,regle!$H$23,
IF(W383=regle!$I$11,regle!$I$23,
IF(W383=regle!$J$11,regle!$J$23,
IF(W383=regle!$K$11,regle!$K$23,0))))))))))))</f>
        <v>0</v>
      </c>
      <c r="AH383" s="17" t="b">
        <f>IF($A383,$J383*(IF(X383=regle!$B$11,regle!$B$23*IF(AQ383=-2,1+regle!$B$35,1),
IF(X383=regle!$C$11,regle!$C$23,
IF(X383=regle!$D$11,regle!$D$23,
IF(X383=regle!$E$11,regle!$E$23,
IF(X383=regle!$F$11,regle!$F$23,
IF(X383=regle!$G$11,regle!$G$23,
IF(X383=regle!$H$11,regle!$H$23,
IF(X383=regle!$I$11,regle!$I$23,
IF(X383=regle!$J$11,regle!$J$23,
IF(X383=regle!$K$11,regle!$K$23,0))))))))))))</f>
        <v>0</v>
      </c>
      <c r="AI383" s="17" t="b">
        <f>IF($A383,$J383*(IF(Y383=regle!$B$11,regle!$B$23*IF(AR383=-2,1+regle!$B$35,1),
IF(Y383=regle!$C$11,regle!$C$23,
IF(Y383=regle!$D$11,regle!$D$23,
IF(Y383=regle!$E$11,regle!$E$23,
IF(Y383=regle!$F$11,regle!$F$23,
IF(Y383=regle!$G$11,regle!$G$23,
IF(Y383=regle!$H$11,regle!$H$23,
IF(Y383=regle!$I$11,regle!$I$23,
IF(Y383=regle!$J$11,regle!$J$23,
IF(Y383=regle!$K$11,regle!$K$23,0))))))))))))</f>
        <v>0</v>
      </c>
      <c r="AJ383" s="17" t="b">
        <f>IF($A383,$J383*(IF(Z383=regle!$B$11,regle!$B$23*IF(AS383=-2,1+regle!$B$35,1),
IF(Z383=regle!$C$11,regle!$C$23,
IF(Z383=regle!$D$11,regle!$D$23,
IF(Z383=regle!$E$11,regle!$E$23,
IF(Z383=regle!$F$11,regle!$F$23,
IF(Z383=regle!$G$11,regle!$G$23,
IF(Z383=regle!$H$11,regle!$H$23,
IF(Z383=regle!$I$11,regle!$I$23,
IF(Z383=regle!$J$11,regle!$J$23,
IF(Z383=regle!$K$11,regle!$K$23,0))))))))))))</f>
        <v>0</v>
      </c>
      <c r="AK383" s="16">
        <f>IF(OR(Q383=regle!$J$11,Q383=regle!$K$11),-2,IF(Q383=regle!$B$11,0,IF(AK$1=$AK$1,IF($O383,-1,regle!$B$2-$M383),IF(AJ383=-1,-1,AJ383+1))))</f>
        <v>11</v>
      </c>
      <c r="AL383" s="16">
        <f>IF(OR(R383=regle!$J$11,R383=regle!$K$11),-2,IF(R383=regle!$B$11,0,IF(AL$1=$AK$1,IF($O383,-1,regle!$B$2-$M383),IF(AK383=-1,-1,AK383+1))))</f>
        <v>12</v>
      </c>
      <c r="AM383" s="16">
        <f>IF(OR(S383=regle!$J$11,S383=regle!$K$11),-2,IF(S383=regle!$B$11,0,IF(AM$1=$AK$1,IF($O383,-1,regle!$B$2-$M383),IF(AL383=-1,-1,AL383+1))))</f>
        <v>13</v>
      </c>
      <c r="AN383" s="16">
        <f>IF(OR(T383=regle!$J$11,T383=regle!$K$11),-2,IF(T383=regle!$B$11,0,IF(AN$1=$AK$1,IF($O383,-1,regle!$B$2-$M383),IF(AM383=-1,-1,AM383+1))))</f>
        <v>14</v>
      </c>
      <c r="AO383" s="16">
        <f>IF(OR(U383=regle!$J$11,U383=regle!$K$11),-2,IF(U383=regle!$B$11,0,IF(AO$1=$AK$1,IF($O383,-1,regle!$B$2-$M383),IF(AN383=-1,-1,AN383+1))))</f>
        <v>15</v>
      </c>
      <c r="AP383" s="16">
        <f>IF(OR(V383=regle!$J$11,V383=regle!$K$11),-2,IF(V383=regle!$B$11,0,IF(AP$1=$AK$1,IF($O383,-1,regle!$B$2-$M383),IF(AO383=-1,-1,AO383+1))))</f>
        <v>16</v>
      </c>
      <c r="AQ383" s="16">
        <f>IF(OR(W383=regle!$J$11,W383=regle!$K$11),-2,IF(W383=regle!$B$11,0,IF(AQ$1=$AK$1,IF($O383,-1,regle!$B$2-$M383),IF(AP383=-1,-1,AP383+1))))</f>
        <v>17</v>
      </c>
      <c r="AR383" s="16">
        <f>IF(OR(X383=regle!$J$11,X383=regle!$K$11),-2,IF(X383=regle!$B$11,0,IF(AR$1=$AK$1,IF($O383,-1,regle!$B$2-$M383),IF(AQ383=-1,-1,AQ383+1))))</f>
        <v>18</v>
      </c>
      <c r="AS383" s="16">
        <f>IF(OR(Y383=regle!$J$11,Y383=regle!$K$11),-2,IF(Y383=regle!$B$11,0,IF(AS$1=$AK$1,IF($O383,-1,regle!$B$2-$M383),IF(AR383=-1,-1,AR383+1))))</f>
        <v>19</v>
      </c>
      <c r="AT383" s="16">
        <f>IF(OR(Z383=regle!$J$11,Z383=regle!$K$11),-2,IF(Z383=regle!$B$11,0,IF(AT$1=$AK$1,IF($O383,-1,regle!$B$2-$M383),IF(AS383=-1,-1,AS383+1))))</f>
        <v>20</v>
      </c>
    </row>
    <row r="384" spans="1:46" x14ac:dyDescent="0.25">
      <c r="A384" t="b">
        <f>modif0!A408</f>
        <v>0</v>
      </c>
      <c r="B384">
        <f>ROW(modif0!B408)</f>
        <v>408</v>
      </c>
      <c r="C384" t="str">
        <f>modif0!D408</f>
        <v>202</v>
      </c>
      <c r="D384" t="str">
        <f>modif0!E408</f>
        <v>HOSTENS</v>
      </c>
      <c r="E384">
        <f>modif0!F408</f>
        <v>8</v>
      </c>
      <c r="F384" t="str">
        <f>modif0!G408</f>
        <v>LES BECS</v>
      </c>
      <c r="G384" t="str">
        <f>modif0!I408</f>
        <v>0B</v>
      </c>
      <c r="H384">
        <f>modif0!J408</f>
        <v>1214</v>
      </c>
      <c r="I384" t="str">
        <f>modif0!K408</f>
        <v>k</v>
      </c>
      <c r="J384" s="11">
        <f>modif0!M408</f>
        <v>0.3629</v>
      </c>
      <c r="K384" s="11" t="str">
        <f>modif0!P408</f>
        <v>TAIL</v>
      </c>
      <c r="L384" t="str">
        <f>modif0!N408</f>
        <v>FEUIL</v>
      </c>
      <c r="M384">
        <f>modif0!Q408</f>
        <v>2013</v>
      </c>
      <c r="N384" t="str">
        <f>modif0!R408</f>
        <v>TAIL-FEUIL_2013</v>
      </c>
      <c r="O384" t="b">
        <f>modif0!S408</f>
        <v>0</v>
      </c>
      <c r="P384">
        <v>40</v>
      </c>
      <c r="AA384" s="17" t="b">
        <f>IF($A384,$J384*(IF(Q384=regle!$B$11,regle!$B$23*IF(AJ384=-2,1+regle!$B$35,1),
IF(Q384=regle!$C$11,regle!$C$23,
IF(Q384=regle!$D$11,regle!$D$23,
IF(Q384=regle!$E$11,regle!$E$23,
IF(Q384=regle!$F$11,regle!$F$23,
IF(Q384=regle!$G$11,regle!$G$23,
IF(Q384=regle!$H$11,regle!$H$23,
IF(Q384=regle!$I$11,regle!$I$23,
IF(Q384=regle!$J$11,regle!$J$23,
IF(Q384=regle!$K$11,regle!$K$23,0))))))))))))</f>
        <v>0</v>
      </c>
      <c r="AB384" s="17" t="b">
        <f>IF($A384,$J384*(IF(R384=regle!$B$11,regle!$B$23*IF(AK384=-2,1+regle!$B$35,1),
IF(R384=regle!$C$11,regle!$C$23,
IF(R384=regle!$D$11,regle!$D$23,
IF(R384=regle!$E$11,regle!$E$23,
IF(R384=regle!$F$11,regle!$F$23,
IF(R384=regle!$G$11,regle!$G$23,
IF(R384=regle!$H$11,regle!$H$23,
IF(R384=regle!$I$11,regle!$I$23,
IF(R384=regle!$J$11,regle!$J$23,
IF(R384=regle!$K$11,regle!$K$23,0))))))))))))</f>
        <v>0</v>
      </c>
      <c r="AC384" s="17" t="b">
        <f>IF($A384,$J384*(IF(S384=regle!$B$11,regle!$B$23*IF(AL384=-2,1+regle!$B$35,1),
IF(S384=regle!$C$11,regle!$C$23,
IF(S384=regle!$D$11,regle!$D$23,
IF(S384=regle!$E$11,regle!$E$23,
IF(S384=regle!$F$11,regle!$F$23,
IF(S384=regle!$G$11,regle!$G$23,
IF(S384=regle!$H$11,regle!$H$23,
IF(S384=regle!$I$11,regle!$I$23,
IF(S384=regle!$J$11,regle!$J$23,
IF(S384=regle!$K$11,regle!$K$23,0))))))))))))</f>
        <v>0</v>
      </c>
      <c r="AD384" s="17" t="b">
        <f>IF($A384,$J384*(IF(T384=regle!$B$11,regle!$B$23*IF(AM384=-2,1+regle!$B$35,1),
IF(T384=regle!$C$11,regle!$C$23,
IF(T384=regle!$D$11,regle!$D$23,
IF(T384=regle!$E$11,regle!$E$23,
IF(T384=regle!$F$11,regle!$F$23,
IF(T384=regle!$G$11,regle!$G$23,
IF(T384=regle!$H$11,regle!$H$23,
IF(T384=regle!$I$11,regle!$I$23,
IF(T384=regle!$J$11,regle!$J$23,
IF(T384=regle!$K$11,regle!$K$23,0))))))))))))</f>
        <v>0</v>
      </c>
      <c r="AE384" s="17" t="b">
        <f>IF($A384,$J384*(IF(U384=regle!$B$11,regle!$B$23*IF(AN384=-2,1+regle!$B$35,1),
IF(U384=regle!$C$11,regle!$C$23,
IF(U384=regle!$D$11,regle!$D$23,
IF(U384=regle!$E$11,regle!$E$23,
IF(U384=regle!$F$11,regle!$F$23,
IF(U384=regle!$G$11,regle!$G$23,
IF(U384=regle!$H$11,regle!$H$23,
IF(U384=regle!$I$11,regle!$I$23,
IF(U384=regle!$J$11,regle!$J$23,
IF(U384=regle!$K$11,regle!$K$23,0))))))))))))</f>
        <v>0</v>
      </c>
      <c r="AF384" s="17" t="b">
        <f>IF($A384,$J384*(IF(V384=regle!$B$11,regle!$B$23*IF(AO384=-2,1+regle!$B$35,1),
IF(V384=regle!$C$11,regle!$C$23,
IF(V384=regle!$D$11,regle!$D$23,
IF(V384=regle!$E$11,regle!$E$23,
IF(V384=regle!$F$11,regle!$F$23,
IF(V384=regle!$G$11,regle!$G$23,
IF(V384=regle!$H$11,regle!$H$23,
IF(V384=regle!$I$11,regle!$I$23,
IF(V384=regle!$J$11,regle!$J$23,
IF(V384=regle!$K$11,regle!$K$23,0))))))))))))</f>
        <v>0</v>
      </c>
      <c r="AG384" s="17" t="b">
        <f>IF($A384,$J384*(IF(W384=regle!$B$11,regle!$B$23*IF(AP384=-2,1+regle!$B$35,1),
IF(W384=regle!$C$11,regle!$C$23,
IF(W384=regle!$D$11,regle!$D$23,
IF(W384=regle!$E$11,regle!$E$23,
IF(W384=regle!$F$11,regle!$F$23,
IF(W384=regle!$G$11,regle!$G$23,
IF(W384=regle!$H$11,regle!$H$23,
IF(W384=regle!$I$11,regle!$I$23,
IF(W384=regle!$J$11,regle!$J$23,
IF(W384=regle!$K$11,regle!$K$23,0))))))))))))</f>
        <v>0</v>
      </c>
      <c r="AH384" s="17" t="b">
        <f>IF($A384,$J384*(IF(X384=regle!$B$11,regle!$B$23*IF(AQ384=-2,1+regle!$B$35,1),
IF(X384=regle!$C$11,regle!$C$23,
IF(X384=regle!$D$11,regle!$D$23,
IF(X384=regle!$E$11,regle!$E$23,
IF(X384=regle!$F$11,regle!$F$23,
IF(X384=regle!$G$11,regle!$G$23,
IF(X384=regle!$H$11,regle!$H$23,
IF(X384=regle!$I$11,regle!$I$23,
IF(X384=regle!$J$11,regle!$J$23,
IF(X384=regle!$K$11,regle!$K$23,0))))))))))))</f>
        <v>0</v>
      </c>
      <c r="AI384" s="17" t="b">
        <f>IF($A384,$J384*(IF(Y384=regle!$B$11,regle!$B$23*IF(AR384=-2,1+regle!$B$35,1),
IF(Y384=regle!$C$11,regle!$C$23,
IF(Y384=regle!$D$11,regle!$D$23,
IF(Y384=regle!$E$11,regle!$E$23,
IF(Y384=regle!$F$11,regle!$F$23,
IF(Y384=regle!$G$11,regle!$G$23,
IF(Y384=regle!$H$11,regle!$H$23,
IF(Y384=regle!$I$11,regle!$I$23,
IF(Y384=regle!$J$11,regle!$J$23,
IF(Y384=regle!$K$11,regle!$K$23,0))))))))))))</f>
        <v>0</v>
      </c>
      <c r="AJ384" s="17" t="b">
        <f>IF($A384,$J384*(IF(Z384=regle!$B$11,regle!$B$23*IF(AS384=-2,1+regle!$B$35,1),
IF(Z384=regle!$C$11,regle!$C$23,
IF(Z384=regle!$D$11,regle!$D$23,
IF(Z384=regle!$E$11,regle!$E$23,
IF(Z384=regle!$F$11,regle!$F$23,
IF(Z384=regle!$G$11,regle!$G$23,
IF(Z384=regle!$H$11,regle!$H$23,
IF(Z384=regle!$I$11,regle!$I$23,
IF(Z384=regle!$J$11,regle!$J$23,
IF(Z384=regle!$K$11,regle!$K$23,0))))))))))))</f>
        <v>0</v>
      </c>
      <c r="AK384" s="16">
        <f>IF(OR(Q384=regle!$J$11,Q384=regle!$K$11),-2,IF(Q384=regle!$B$11,0,IF(AK$1=$AK$1,IF($O384,-1,regle!$B$2-$M384),IF(AJ384=-1,-1,AJ384+1))))</f>
        <v>11</v>
      </c>
      <c r="AL384" s="16">
        <f>IF(OR(R384=regle!$J$11,R384=regle!$K$11),-2,IF(R384=regle!$B$11,0,IF(AL$1=$AK$1,IF($O384,-1,regle!$B$2-$M384),IF(AK384=-1,-1,AK384+1))))</f>
        <v>12</v>
      </c>
      <c r="AM384" s="16">
        <f>IF(OR(S384=regle!$J$11,S384=regle!$K$11),-2,IF(S384=regle!$B$11,0,IF(AM$1=$AK$1,IF($O384,-1,regle!$B$2-$M384),IF(AL384=-1,-1,AL384+1))))</f>
        <v>13</v>
      </c>
      <c r="AN384" s="16">
        <f>IF(OR(T384=regle!$J$11,T384=regle!$K$11),-2,IF(T384=regle!$B$11,0,IF(AN$1=$AK$1,IF($O384,-1,regle!$B$2-$M384),IF(AM384=-1,-1,AM384+1))))</f>
        <v>14</v>
      </c>
      <c r="AO384" s="16">
        <f>IF(OR(U384=regle!$J$11,U384=regle!$K$11),-2,IF(U384=regle!$B$11,0,IF(AO$1=$AK$1,IF($O384,-1,regle!$B$2-$M384),IF(AN384=-1,-1,AN384+1))))</f>
        <v>15</v>
      </c>
      <c r="AP384" s="16">
        <f>IF(OR(V384=regle!$J$11,V384=regle!$K$11),-2,IF(V384=regle!$B$11,0,IF(AP$1=$AK$1,IF($O384,-1,regle!$B$2-$M384),IF(AO384=-1,-1,AO384+1))))</f>
        <v>16</v>
      </c>
      <c r="AQ384" s="16">
        <f>IF(OR(W384=regle!$J$11,W384=regle!$K$11),-2,IF(W384=regle!$B$11,0,IF(AQ$1=$AK$1,IF($O384,-1,regle!$B$2-$M384),IF(AP384=-1,-1,AP384+1))))</f>
        <v>17</v>
      </c>
      <c r="AR384" s="16">
        <f>IF(OR(X384=regle!$J$11,X384=regle!$K$11),-2,IF(X384=regle!$B$11,0,IF(AR$1=$AK$1,IF($O384,-1,regle!$B$2-$M384),IF(AQ384=-1,-1,AQ384+1))))</f>
        <v>18</v>
      </c>
      <c r="AS384" s="16">
        <f>IF(OR(Y384=regle!$J$11,Y384=regle!$K$11),-2,IF(Y384=regle!$B$11,0,IF(AS$1=$AK$1,IF($O384,-1,regle!$B$2-$M384),IF(AR384=-1,-1,AR384+1))))</f>
        <v>19</v>
      </c>
      <c r="AT384" s="16">
        <f>IF(OR(Z384=regle!$J$11,Z384=regle!$K$11),-2,IF(Z384=regle!$B$11,0,IF(AT$1=$AK$1,IF($O384,-1,regle!$B$2-$M384),IF(AS384=-1,-1,AS384+1))))</f>
        <v>20</v>
      </c>
    </row>
    <row r="385" spans="1:46" x14ac:dyDescent="0.25">
      <c r="A385" t="b">
        <f>modif0!A411</f>
        <v>0</v>
      </c>
      <c r="B385">
        <f>ROW(modif0!B411)</f>
        <v>411</v>
      </c>
      <c r="C385" t="str">
        <f>modif0!D411</f>
        <v>202</v>
      </c>
      <c r="D385" t="str">
        <f>modif0!E411</f>
        <v>HOSTENS</v>
      </c>
      <c r="E385">
        <f>modif0!F411</f>
        <v>13</v>
      </c>
      <c r="F385" t="str">
        <f>modif0!G411</f>
        <v>LA BROUSTETTE</v>
      </c>
      <c r="G385" t="str">
        <f>modif0!I411</f>
        <v>0B</v>
      </c>
      <c r="H385">
        <f>modif0!J411</f>
        <v>1223</v>
      </c>
      <c r="I385" t="str">
        <f>modif0!K411</f>
        <v/>
      </c>
      <c r="J385" s="11">
        <f>modif0!M411</f>
        <v>0.33600000000000002</v>
      </c>
      <c r="K385" s="11" t="str">
        <f>modif0!P411</f>
        <v>TAIL</v>
      </c>
      <c r="L385" t="str">
        <f>modif0!N411</f>
        <v>FEUIL</v>
      </c>
      <c r="M385">
        <f>modif0!Q411</f>
        <v>2013</v>
      </c>
      <c r="N385" t="str">
        <f>modif0!R411</f>
        <v>TAIL-FEUIL_2013</v>
      </c>
      <c r="O385" t="b">
        <f>modif0!S411</f>
        <v>0</v>
      </c>
      <c r="P385">
        <v>40</v>
      </c>
      <c r="AA385" s="17" t="b">
        <f>IF($A385,$J385*(IF(Q385=regle!$B$11,regle!$B$23*IF(AJ385=-2,1+regle!$B$35,1),
IF(Q385=regle!$C$11,regle!$C$23,
IF(Q385=regle!$D$11,regle!$D$23,
IF(Q385=regle!$E$11,regle!$E$23,
IF(Q385=regle!$F$11,regle!$F$23,
IF(Q385=regle!$G$11,regle!$G$23,
IF(Q385=regle!$H$11,regle!$H$23,
IF(Q385=regle!$I$11,regle!$I$23,
IF(Q385=regle!$J$11,regle!$J$23,
IF(Q385=regle!$K$11,regle!$K$23,0))))))))))))</f>
        <v>0</v>
      </c>
      <c r="AB385" s="17" t="b">
        <f>IF($A385,$J385*(IF(R385=regle!$B$11,regle!$B$23*IF(AK385=-2,1+regle!$B$35,1),
IF(R385=regle!$C$11,regle!$C$23,
IF(R385=regle!$D$11,regle!$D$23,
IF(R385=regle!$E$11,regle!$E$23,
IF(R385=regle!$F$11,regle!$F$23,
IF(R385=regle!$G$11,regle!$G$23,
IF(R385=regle!$H$11,regle!$H$23,
IF(R385=regle!$I$11,regle!$I$23,
IF(R385=regle!$J$11,regle!$J$23,
IF(R385=regle!$K$11,regle!$K$23,0))))))))))))</f>
        <v>0</v>
      </c>
      <c r="AC385" s="17" t="b">
        <f>IF($A385,$J385*(IF(S385=regle!$B$11,regle!$B$23*IF(AL385=-2,1+regle!$B$35,1),
IF(S385=regle!$C$11,regle!$C$23,
IF(S385=regle!$D$11,regle!$D$23,
IF(S385=regle!$E$11,regle!$E$23,
IF(S385=regle!$F$11,regle!$F$23,
IF(S385=regle!$G$11,regle!$G$23,
IF(S385=regle!$H$11,regle!$H$23,
IF(S385=regle!$I$11,regle!$I$23,
IF(S385=regle!$J$11,regle!$J$23,
IF(S385=regle!$K$11,regle!$K$23,0))))))))))))</f>
        <v>0</v>
      </c>
      <c r="AD385" s="17" t="b">
        <f>IF($A385,$J385*(IF(T385=regle!$B$11,regle!$B$23*IF(AM385=-2,1+regle!$B$35,1),
IF(T385=regle!$C$11,regle!$C$23,
IF(T385=regle!$D$11,regle!$D$23,
IF(T385=regle!$E$11,regle!$E$23,
IF(T385=regle!$F$11,regle!$F$23,
IF(T385=regle!$G$11,regle!$G$23,
IF(T385=regle!$H$11,regle!$H$23,
IF(T385=regle!$I$11,regle!$I$23,
IF(T385=regle!$J$11,regle!$J$23,
IF(T385=regle!$K$11,regle!$K$23,0))))))))))))</f>
        <v>0</v>
      </c>
      <c r="AE385" s="17" t="b">
        <f>IF($A385,$J385*(IF(U385=regle!$B$11,regle!$B$23*IF(AN385=-2,1+regle!$B$35,1),
IF(U385=regle!$C$11,regle!$C$23,
IF(U385=regle!$D$11,regle!$D$23,
IF(U385=regle!$E$11,regle!$E$23,
IF(U385=regle!$F$11,regle!$F$23,
IF(U385=regle!$G$11,regle!$G$23,
IF(U385=regle!$H$11,regle!$H$23,
IF(U385=regle!$I$11,regle!$I$23,
IF(U385=regle!$J$11,regle!$J$23,
IF(U385=regle!$K$11,regle!$K$23,0))))))))))))</f>
        <v>0</v>
      </c>
      <c r="AF385" s="17" t="b">
        <f>IF($A385,$J385*(IF(V385=regle!$B$11,regle!$B$23*IF(AO385=-2,1+regle!$B$35,1),
IF(V385=regle!$C$11,regle!$C$23,
IF(V385=regle!$D$11,regle!$D$23,
IF(V385=regle!$E$11,regle!$E$23,
IF(V385=regle!$F$11,regle!$F$23,
IF(V385=regle!$G$11,regle!$G$23,
IF(V385=regle!$H$11,regle!$H$23,
IF(V385=regle!$I$11,regle!$I$23,
IF(V385=regle!$J$11,regle!$J$23,
IF(V385=regle!$K$11,regle!$K$23,0))))))))))))</f>
        <v>0</v>
      </c>
      <c r="AG385" s="17" t="b">
        <f>IF($A385,$J385*(IF(W385=regle!$B$11,regle!$B$23*IF(AP385=-2,1+regle!$B$35,1),
IF(W385=regle!$C$11,regle!$C$23,
IF(W385=regle!$D$11,regle!$D$23,
IF(W385=regle!$E$11,regle!$E$23,
IF(W385=regle!$F$11,regle!$F$23,
IF(W385=regle!$G$11,regle!$G$23,
IF(W385=regle!$H$11,regle!$H$23,
IF(W385=regle!$I$11,regle!$I$23,
IF(W385=regle!$J$11,regle!$J$23,
IF(W385=regle!$K$11,regle!$K$23,0))))))))))))</f>
        <v>0</v>
      </c>
      <c r="AH385" s="17" t="b">
        <f>IF($A385,$J385*(IF(X385=regle!$B$11,regle!$B$23*IF(AQ385=-2,1+regle!$B$35,1),
IF(X385=regle!$C$11,regle!$C$23,
IF(X385=regle!$D$11,regle!$D$23,
IF(X385=regle!$E$11,regle!$E$23,
IF(X385=regle!$F$11,regle!$F$23,
IF(X385=regle!$G$11,regle!$G$23,
IF(X385=regle!$H$11,regle!$H$23,
IF(X385=regle!$I$11,regle!$I$23,
IF(X385=regle!$J$11,regle!$J$23,
IF(X385=regle!$K$11,regle!$K$23,0))))))))))))</f>
        <v>0</v>
      </c>
      <c r="AI385" s="17" t="b">
        <f>IF($A385,$J385*(IF(Y385=regle!$B$11,regle!$B$23*IF(AR385=-2,1+regle!$B$35,1),
IF(Y385=regle!$C$11,regle!$C$23,
IF(Y385=regle!$D$11,regle!$D$23,
IF(Y385=regle!$E$11,regle!$E$23,
IF(Y385=regle!$F$11,regle!$F$23,
IF(Y385=regle!$G$11,regle!$G$23,
IF(Y385=regle!$H$11,regle!$H$23,
IF(Y385=regle!$I$11,regle!$I$23,
IF(Y385=regle!$J$11,regle!$J$23,
IF(Y385=regle!$K$11,regle!$K$23,0))))))))))))</f>
        <v>0</v>
      </c>
      <c r="AJ385" s="17" t="b">
        <f>IF($A385,$J385*(IF(Z385=regle!$B$11,regle!$B$23*IF(AS385=-2,1+regle!$B$35,1),
IF(Z385=regle!$C$11,regle!$C$23,
IF(Z385=regle!$D$11,regle!$D$23,
IF(Z385=regle!$E$11,regle!$E$23,
IF(Z385=regle!$F$11,regle!$F$23,
IF(Z385=regle!$G$11,regle!$G$23,
IF(Z385=regle!$H$11,regle!$H$23,
IF(Z385=regle!$I$11,regle!$I$23,
IF(Z385=regle!$J$11,regle!$J$23,
IF(Z385=regle!$K$11,regle!$K$23,0))))))))))))</f>
        <v>0</v>
      </c>
      <c r="AK385" s="16">
        <f>IF(OR(Q385=regle!$J$11,Q385=regle!$K$11),-2,IF(Q385=regle!$B$11,0,IF(AK$1=$AK$1,IF($O385,-1,regle!$B$2-$M385),IF(AJ385=-1,-1,AJ385+1))))</f>
        <v>11</v>
      </c>
      <c r="AL385" s="16">
        <f>IF(OR(R385=regle!$J$11,R385=regle!$K$11),-2,IF(R385=regle!$B$11,0,IF(AL$1=$AK$1,IF($O385,-1,regle!$B$2-$M385),IF(AK385=-1,-1,AK385+1))))</f>
        <v>12</v>
      </c>
      <c r="AM385" s="16">
        <f>IF(OR(S385=regle!$J$11,S385=regle!$K$11),-2,IF(S385=regle!$B$11,0,IF(AM$1=$AK$1,IF($O385,-1,regle!$B$2-$M385),IF(AL385=-1,-1,AL385+1))))</f>
        <v>13</v>
      </c>
      <c r="AN385" s="16">
        <f>IF(OR(T385=regle!$J$11,T385=regle!$K$11),-2,IF(T385=regle!$B$11,0,IF(AN$1=$AK$1,IF($O385,-1,regle!$B$2-$M385),IF(AM385=-1,-1,AM385+1))))</f>
        <v>14</v>
      </c>
      <c r="AO385" s="16">
        <f>IF(OR(U385=regle!$J$11,U385=regle!$K$11),-2,IF(U385=regle!$B$11,0,IF(AO$1=$AK$1,IF($O385,-1,regle!$B$2-$M385),IF(AN385=-1,-1,AN385+1))))</f>
        <v>15</v>
      </c>
      <c r="AP385" s="16">
        <f>IF(OR(V385=regle!$J$11,V385=regle!$K$11),-2,IF(V385=regle!$B$11,0,IF(AP$1=$AK$1,IF($O385,-1,regle!$B$2-$M385),IF(AO385=-1,-1,AO385+1))))</f>
        <v>16</v>
      </c>
      <c r="AQ385" s="16">
        <f>IF(OR(W385=regle!$J$11,W385=regle!$K$11),-2,IF(W385=regle!$B$11,0,IF(AQ$1=$AK$1,IF($O385,-1,regle!$B$2-$M385),IF(AP385=-1,-1,AP385+1))))</f>
        <v>17</v>
      </c>
      <c r="AR385" s="16">
        <f>IF(OR(X385=regle!$J$11,X385=regle!$K$11),-2,IF(X385=regle!$B$11,0,IF(AR$1=$AK$1,IF($O385,-1,regle!$B$2-$M385),IF(AQ385=-1,-1,AQ385+1))))</f>
        <v>18</v>
      </c>
      <c r="AS385" s="16">
        <f>IF(OR(Y385=regle!$J$11,Y385=regle!$K$11),-2,IF(Y385=regle!$B$11,0,IF(AS$1=$AK$1,IF($O385,-1,regle!$B$2-$M385),IF(AR385=-1,-1,AR385+1))))</f>
        <v>19</v>
      </c>
      <c r="AT385" s="16">
        <f>IF(OR(Z385=regle!$J$11,Z385=regle!$K$11),-2,IF(Z385=regle!$B$11,0,IF(AT$1=$AK$1,IF($O385,-1,regle!$B$2-$M385),IF(AS385=-1,-1,AS385+1))))</f>
        <v>20</v>
      </c>
    </row>
    <row r="386" spans="1:46" x14ac:dyDescent="0.25">
      <c r="A386" t="b">
        <f>modif0!A414</f>
        <v>0</v>
      </c>
      <c r="B386">
        <f>ROW(modif0!B414)</f>
        <v>414</v>
      </c>
      <c r="C386" t="str">
        <f>modif0!D414</f>
        <v>202</v>
      </c>
      <c r="D386" t="str">
        <f>modif0!E414</f>
        <v>HOSTENS</v>
      </c>
      <c r="E386">
        <f>modif0!F414</f>
        <v>13</v>
      </c>
      <c r="F386" t="str">
        <f>modif0!G414</f>
        <v>LA BROUSTETTE</v>
      </c>
      <c r="G386" t="str">
        <f>modif0!I414</f>
        <v>0B</v>
      </c>
      <c r="H386">
        <f>modif0!J414</f>
        <v>1231</v>
      </c>
      <c r="I386" t="str">
        <f>modif0!K414</f>
        <v/>
      </c>
      <c r="J386" s="11">
        <f>modif0!M414</f>
        <v>0.29399999999999998</v>
      </c>
      <c r="K386" s="11" t="str">
        <f>modif0!P414</f>
        <v>TAIL</v>
      </c>
      <c r="L386" t="str">
        <f>modif0!N414</f>
        <v>FEUIL</v>
      </c>
      <c r="M386">
        <f>modif0!Q414</f>
        <v>2013</v>
      </c>
      <c r="N386" t="str">
        <f>modif0!R414</f>
        <v>TAIL-FEUIL_2013</v>
      </c>
      <c r="O386" t="b">
        <f>modif0!S414</f>
        <v>0</v>
      </c>
      <c r="P386">
        <v>40</v>
      </c>
      <c r="AA386" s="17" t="b">
        <f>IF($A386,$J386*(IF(Q386=regle!$B$11,regle!$B$23*IF(AJ386=-2,1+regle!$B$35,1),
IF(Q386=regle!$C$11,regle!$C$23,
IF(Q386=regle!$D$11,regle!$D$23,
IF(Q386=regle!$E$11,regle!$E$23,
IF(Q386=regle!$F$11,regle!$F$23,
IF(Q386=regle!$G$11,regle!$G$23,
IF(Q386=regle!$H$11,regle!$H$23,
IF(Q386=regle!$I$11,regle!$I$23,
IF(Q386=regle!$J$11,regle!$J$23,
IF(Q386=regle!$K$11,regle!$K$23,0))))))))))))</f>
        <v>0</v>
      </c>
      <c r="AB386" s="17" t="b">
        <f>IF($A386,$J386*(IF(R386=regle!$B$11,regle!$B$23*IF(AK386=-2,1+regle!$B$35,1),
IF(R386=regle!$C$11,regle!$C$23,
IF(R386=regle!$D$11,regle!$D$23,
IF(R386=regle!$E$11,regle!$E$23,
IF(R386=regle!$F$11,regle!$F$23,
IF(R386=regle!$G$11,regle!$G$23,
IF(R386=regle!$H$11,regle!$H$23,
IF(R386=regle!$I$11,regle!$I$23,
IF(R386=regle!$J$11,regle!$J$23,
IF(R386=regle!$K$11,regle!$K$23,0))))))))))))</f>
        <v>0</v>
      </c>
      <c r="AC386" s="17" t="b">
        <f>IF($A386,$J386*(IF(S386=regle!$B$11,regle!$B$23*IF(AL386=-2,1+regle!$B$35,1),
IF(S386=regle!$C$11,regle!$C$23,
IF(S386=regle!$D$11,regle!$D$23,
IF(S386=regle!$E$11,regle!$E$23,
IF(S386=regle!$F$11,regle!$F$23,
IF(S386=regle!$G$11,regle!$G$23,
IF(S386=regle!$H$11,regle!$H$23,
IF(S386=regle!$I$11,regle!$I$23,
IF(S386=regle!$J$11,regle!$J$23,
IF(S386=regle!$K$11,regle!$K$23,0))))))))))))</f>
        <v>0</v>
      </c>
      <c r="AD386" s="17" t="b">
        <f>IF($A386,$J386*(IF(T386=regle!$B$11,regle!$B$23*IF(AM386=-2,1+regle!$B$35,1),
IF(T386=regle!$C$11,regle!$C$23,
IF(T386=regle!$D$11,regle!$D$23,
IF(T386=regle!$E$11,regle!$E$23,
IF(T386=regle!$F$11,regle!$F$23,
IF(T386=regle!$G$11,regle!$G$23,
IF(T386=regle!$H$11,regle!$H$23,
IF(T386=regle!$I$11,regle!$I$23,
IF(T386=regle!$J$11,regle!$J$23,
IF(T386=regle!$K$11,regle!$K$23,0))))))))))))</f>
        <v>0</v>
      </c>
      <c r="AE386" s="17" t="b">
        <f>IF($A386,$J386*(IF(U386=regle!$B$11,regle!$B$23*IF(AN386=-2,1+regle!$B$35,1),
IF(U386=regle!$C$11,regle!$C$23,
IF(U386=regle!$D$11,regle!$D$23,
IF(U386=regle!$E$11,regle!$E$23,
IF(U386=regle!$F$11,regle!$F$23,
IF(U386=regle!$G$11,regle!$G$23,
IF(U386=regle!$H$11,regle!$H$23,
IF(U386=regle!$I$11,regle!$I$23,
IF(U386=regle!$J$11,regle!$J$23,
IF(U386=regle!$K$11,regle!$K$23,0))))))))))))</f>
        <v>0</v>
      </c>
      <c r="AF386" s="17" t="b">
        <f>IF($A386,$J386*(IF(V386=regle!$B$11,regle!$B$23*IF(AO386=-2,1+regle!$B$35,1),
IF(V386=regle!$C$11,regle!$C$23,
IF(V386=regle!$D$11,regle!$D$23,
IF(V386=regle!$E$11,regle!$E$23,
IF(V386=regle!$F$11,regle!$F$23,
IF(V386=regle!$G$11,regle!$G$23,
IF(V386=regle!$H$11,regle!$H$23,
IF(V386=regle!$I$11,regle!$I$23,
IF(V386=regle!$J$11,regle!$J$23,
IF(V386=regle!$K$11,regle!$K$23,0))))))))))))</f>
        <v>0</v>
      </c>
      <c r="AG386" s="17" t="b">
        <f>IF($A386,$J386*(IF(W386=regle!$B$11,regle!$B$23*IF(AP386=-2,1+regle!$B$35,1),
IF(W386=regle!$C$11,regle!$C$23,
IF(W386=regle!$D$11,regle!$D$23,
IF(W386=regle!$E$11,regle!$E$23,
IF(W386=regle!$F$11,regle!$F$23,
IF(W386=regle!$G$11,regle!$G$23,
IF(W386=regle!$H$11,regle!$H$23,
IF(W386=regle!$I$11,regle!$I$23,
IF(W386=regle!$J$11,regle!$J$23,
IF(W386=regle!$K$11,regle!$K$23,0))))))))))))</f>
        <v>0</v>
      </c>
      <c r="AH386" s="17" t="b">
        <f>IF($A386,$J386*(IF(X386=regle!$B$11,regle!$B$23*IF(AQ386=-2,1+regle!$B$35,1),
IF(X386=regle!$C$11,regle!$C$23,
IF(X386=regle!$D$11,regle!$D$23,
IF(X386=regle!$E$11,regle!$E$23,
IF(X386=regle!$F$11,regle!$F$23,
IF(X386=regle!$G$11,regle!$G$23,
IF(X386=regle!$H$11,regle!$H$23,
IF(X386=regle!$I$11,regle!$I$23,
IF(X386=regle!$J$11,regle!$J$23,
IF(X386=regle!$K$11,regle!$K$23,0))))))))))))</f>
        <v>0</v>
      </c>
      <c r="AI386" s="17" t="b">
        <f>IF($A386,$J386*(IF(Y386=regle!$B$11,regle!$B$23*IF(AR386=-2,1+regle!$B$35,1),
IF(Y386=regle!$C$11,regle!$C$23,
IF(Y386=regle!$D$11,regle!$D$23,
IF(Y386=regle!$E$11,regle!$E$23,
IF(Y386=regle!$F$11,regle!$F$23,
IF(Y386=regle!$G$11,regle!$G$23,
IF(Y386=regle!$H$11,regle!$H$23,
IF(Y386=regle!$I$11,regle!$I$23,
IF(Y386=regle!$J$11,regle!$J$23,
IF(Y386=regle!$K$11,regle!$K$23,0))))))))))))</f>
        <v>0</v>
      </c>
      <c r="AJ386" s="17" t="b">
        <f>IF($A386,$J386*(IF(Z386=regle!$B$11,regle!$B$23*IF(AS386=-2,1+regle!$B$35,1),
IF(Z386=regle!$C$11,regle!$C$23,
IF(Z386=regle!$D$11,regle!$D$23,
IF(Z386=regle!$E$11,regle!$E$23,
IF(Z386=regle!$F$11,regle!$F$23,
IF(Z386=regle!$G$11,regle!$G$23,
IF(Z386=regle!$H$11,regle!$H$23,
IF(Z386=regle!$I$11,regle!$I$23,
IF(Z386=regle!$J$11,regle!$J$23,
IF(Z386=regle!$K$11,regle!$K$23,0))))))))))))</f>
        <v>0</v>
      </c>
      <c r="AK386" s="16">
        <f>IF(OR(Q386=regle!$J$11,Q386=regle!$K$11),-2,IF(Q386=regle!$B$11,0,IF(AK$1=$AK$1,IF($O386,-1,regle!$B$2-$M386),IF(AJ386=-1,-1,AJ386+1))))</f>
        <v>11</v>
      </c>
      <c r="AL386" s="16">
        <f>IF(OR(R386=regle!$J$11,R386=regle!$K$11),-2,IF(R386=regle!$B$11,0,IF(AL$1=$AK$1,IF($O386,-1,regle!$B$2-$M386),IF(AK386=-1,-1,AK386+1))))</f>
        <v>12</v>
      </c>
      <c r="AM386" s="16">
        <f>IF(OR(S386=regle!$J$11,S386=regle!$K$11),-2,IF(S386=regle!$B$11,0,IF(AM$1=$AK$1,IF($O386,-1,regle!$B$2-$M386),IF(AL386=-1,-1,AL386+1))))</f>
        <v>13</v>
      </c>
      <c r="AN386" s="16">
        <f>IF(OR(T386=regle!$J$11,T386=regle!$K$11),-2,IF(T386=regle!$B$11,0,IF(AN$1=$AK$1,IF($O386,-1,regle!$B$2-$M386),IF(AM386=-1,-1,AM386+1))))</f>
        <v>14</v>
      </c>
      <c r="AO386" s="16">
        <f>IF(OR(U386=regle!$J$11,U386=regle!$K$11),-2,IF(U386=regle!$B$11,0,IF(AO$1=$AK$1,IF($O386,-1,regle!$B$2-$M386),IF(AN386=-1,-1,AN386+1))))</f>
        <v>15</v>
      </c>
      <c r="AP386" s="16">
        <f>IF(OR(V386=regle!$J$11,V386=regle!$K$11),-2,IF(V386=regle!$B$11,0,IF(AP$1=$AK$1,IF($O386,-1,regle!$B$2-$M386),IF(AO386=-1,-1,AO386+1))))</f>
        <v>16</v>
      </c>
      <c r="AQ386" s="16">
        <f>IF(OR(W386=regle!$J$11,W386=regle!$K$11),-2,IF(W386=regle!$B$11,0,IF(AQ$1=$AK$1,IF($O386,-1,regle!$B$2-$M386),IF(AP386=-1,-1,AP386+1))))</f>
        <v>17</v>
      </c>
      <c r="AR386" s="16">
        <f>IF(OR(X386=regle!$J$11,X386=regle!$K$11),-2,IF(X386=regle!$B$11,0,IF(AR$1=$AK$1,IF($O386,-1,regle!$B$2-$M386),IF(AQ386=-1,-1,AQ386+1))))</f>
        <v>18</v>
      </c>
      <c r="AS386" s="16">
        <f>IF(OR(Y386=regle!$J$11,Y386=regle!$K$11),-2,IF(Y386=regle!$B$11,0,IF(AS$1=$AK$1,IF($O386,-1,regle!$B$2-$M386),IF(AR386=-1,-1,AR386+1))))</f>
        <v>19</v>
      </c>
      <c r="AT386" s="16">
        <f>IF(OR(Z386=regle!$J$11,Z386=regle!$K$11),-2,IF(Z386=regle!$B$11,0,IF(AT$1=$AK$1,IF($O386,-1,regle!$B$2-$M386),IF(AS386=-1,-1,AS386+1))))</f>
        <v>20</v>
      </c>
    </row>
    <row r="387" spans="1:46" x14ac:dyDescent="0.25">
      <c r="A387" t="b">
        <f>modif0!A415</f>
        <v>0</v>
      </c>
      <c r="B387">
        <f>ROW(modif0!B415)</f>
        <v>415</v>
      </c>
      <c r="C387" t="str">
        <f>modif0!D415</f>
        <v>202</v>
      </c>
      <c r="D387" t="str">
        <f>modif0!E415</f>
        <v>HOSTENS</v>
      </c>
      <c r="E387">
        <f>modif0!F415</f>
        <v>13</v>
      </c>
      <c r="F387" t="str">
        <f>modif0!G415</f>
        <v>LA BROUSTETTE</v>
      </c>
      <c r="G387" t="str">
        <f>modif0!I415</f>
        <v>0B</v>
      </c>
      <c r="H387">
        <f>modif0!J415</f>
        <v>1232</v>
      </c>
      <c r="I387" t="str">
        <f>modif0!K415</f>
        <v/>
      </c>
      <c r="J387" s="11">
        <f>modif0!M415</f>
        <v>0.20899999999999999</v>
      </c>
      <c r="K387" s="11" t="str">
        <f>modif0!P415</f>
        <v>TAIL</v>
      </c>
      <c r="L387" t="str">
        <f>modif0!N415</f>
        <v>FEUIL</v>
      </c>
      <c r="M387">
        <f>modif0!Q415</f>
        <v>2013</v>
      </c>
      <c r="N387" t="str">
        <f>modif0!R415</f>
        <v>TAIL-FEUIL_2013</v>
      </c>
      <c r="O387" t="b">
        <f>modif0!S415</f>
        <v>0</v>
      </c>
      <c r="P387">
        <v>40</v>
      </c>
      <c r="AA387" s="17" t="b">
        <f>IF($A387,$J387*(IF(Q387=regle!$B$11,regle!$B$23*IF(AJ387=-2,1+regle!$B$35,1),
IF(Q387=regle!$C$11,regle!$C$23,
IF(Q387=regle!$D$11,regle!$D$23,
IF(Q387=regle!$E$11,regle!$E$23,
IF(Q387=regle!$F$11,regle!$F$23,
IF(Q387=regle!$G$11,regle!$G$23,
IF(Q387=regle!$H$11,regle!$H$23,
IF(Q387=regle!$I$11,regle!$I$23,
IF(Q387=regle!$J$11,regle!$J$23,
IF(Q387=regle!$K$11,regle!$K$23,0))))))))))))</f>
        <v>0</v>
      </c>
      <c r="AB387" s="17" t="b">
        <f>IF($A387,$J387*(IF(R387=regle!$B$11,regle!$B$23*IF(AK387=-2,1+regle!$B$35,1),
IF(R387=regle!$C$11,regle!$C$23,
IF(R387=regle!$D$11,regle!$D$23,
IF(R387=regle!$E$11,regle!$E$23,
IF(R387=regle!$F$11,regle!$F$23,
IF(R387=regle!$G$11,regle!$G$23,
IF(R387=regle!$H$11,regle!$H$23,
IF(R387=regle!$I$11,regle!$I$23,
IF(R387=regle!$J$11,regle!$J$23,
IF(R387=regle!$K$11,regle!$K$23,0))))))))))))</f>
        <v>0</v>
      </c>
      <c r="AC387" s="17" t="b">
        <f>IF($A387,$J387*(IF(S387=regle!$B$11,regle!$B$23*IF(AL387=-2,1+regle!$B$35,1),
IF(S387=regle!$C$11,regle!$C$23,
IF(S387=regle!$D$11,regle!$D$23,
IF(S387=regle!$E$11,regle!$E$23,
IF(S387=regle!$F$11,regle!$F$23,
IF(S387=regle!$G$11,regle!$G$23,
IF(S387=regle!$H$11,regle!$H$23,
IF(S387=regle!$I$11,regle!$I$23,
IF(S387=regle!$J$11,regle!$J$23,
IF(S387=regle!$K$11,regle!$K$23,0))))))))))))</f>
        <v>0</v>
      </c>
      <c r="AD387" s="17" t="b">
        <f>IF($A387,$J387*(IF(T387=regle!$B$11,regle!$B$23*IF(AM387=-2,1+regle!$B$35,1),
IF(T387=regle!$C$11,regle!$C$23,
IF(T387=regle!$D$11,regle!$D$23,
IF(T387=regle!$E$11,regle!$E$23,
IF(T387=regle!$F$11,regle!$F$23,
IF(T387=regle!$G$11,regle!$G$23,
IF(T387=regle!$H$11,regle!$H$23,
IF(T387=regle!$I$11,regle!$I$23,
IF(T387=regle!$J$11,regle!$J$23,
IF(T387=regle!$K$11,regle!$K$23,0))))))))))))</f>
        <v>0</v>
      </c>
      <c r="AE387" s="17" t="b">
        <f>IF($A387,$J387*(IF(U387=regle!$B$11,regle!$B$23*IF(AN387=-2,1+regle!$B$35,1),
IF(U387=regle!$C$11,regle!$C$23,
IF(U387=regle!$D$11,regle!$D$23,
IF(U387=regle!$E$11,regle!$E$23,
IF(U387=regle!$F$11,regle!$F$23,
IF(U387=regle!$G$11,regle!$G$23,
IF(U387=regle!$H$11,regle!$H$23,
IF(U387=regle!$I$11,regle!$I$23,
IF(U387=regle!$J$11,regle!$J$23,
IF(U387=regle!$K$11,regle!$K$23,0))))))))))))</f>
        <v>0</v>
      </c>
      <c r="AF387" s="17" t="b">
        <f>IF($A387,$J387*(IF(V387=regle!$B$11,regle!$B$23*IF(AO387=-2,1+regle!$B$35,1),
IF(V387=regle!$C$11,regle!$C$23,
IF(V387=regle!$D$11,regle!$D$23,
IF(V387=regle!$E$11,regle!$E$23,
IF(V387=regle!$F$11,regle!$F$23,
IF(V387=regle!$G$11,regle!$G$23,
IF(V387=regle!$H$11,regle!$H$23,
IF(V387=regle!$I$11,regle!$I$23,
IF(V387=regle!$J$11,regle!$J$23,
IF(V387=regle!$K$11,regle!$K$23,0))))))))))))</f>
        <v>0</v>
      </c>
      <c r="AG387" s="17" t="b">
        <f>IF($A387,$J387*(IF(W387=regle!$B$11,regle!$B$23*IF(AP387=-2,1+regle!$B$35,1),
IF(W387=regle!$C$11,regle!$C$23,
IF(W387=regle!$D$11,regle!$D$23,
IF(W387=regle!$E$11,regle!$E$23,
IF(W387=regle!$F$11,regle!$F$23,
IF(W387=regle!$G$11,regle!$G$23,
IF(W387=regle!$H$11,regle!$H$23,
IF(W387=regle!$I$11,regle!$I$23,
IF(W387=regle!$J$11,regle!$J$23,
IF(W387=regle!$K$11,regle!$K$23,0))))))))))))</f>
        <v>0</v>
      </c>
      <c r="AH387" s="17" t="b">
        <f>IF($A387,$J387*(IF(X387=regle!$B$11,regle!$B$23*IF(AQ387=-2,1+regle!$B$35,1),
IF(X387=regle!$C$11,regle!$C$23,
IF(X387=regle!$D$11,regle!$D$23,
IF(X387=regle!$E$11,regle!$E$23,
IF(X387=regle!$F$11,regle!$F$23,
IF(X387=regle!$G$11,regle!$G$23,
IF(X387=regle!$H$11,regle!$H$23,
IF(X387=regle!$I$11,regle!$I$23,
IF(X387=regle!$J$11,regle!$J$23,
IF(X387=regle!$K$11,regle!$K$23,0))))))))))))</f>
        <v>0</v>
      </c>
      <c r="AI387" s="17" t="b">
        <f>IF($A387,$J387*(IF(Y387=regle!$B$11,regle!$B$23*IF(AR387=-2,1+regle!$B$35,1),
IF(Y387=regle!$C$11,regle!$C$23,
IF(Y387=regle!$D$11,regle!$D$23,
IF(Y387=regle!$E$11,regle!$E$23,
IF(Y387=regle!$F$11,regle!$F$23,
IF(Y387=regle!$G$11,regle!$G$23,
IF(Y387=regle!$H$11,regle!$H$23,
IF(Y387=regle!$I$11,regle!$I$23,
IF(Y387=regle!$J$11,regle!$J$23,
IF(Y387=regle!$K$11,regle!$K$23,0))))))))))))</f>
        <v>0</v>
      </c>
      <c r="AJ387" s="17" t="b">
        <f>IF($A387,$J387*(IF(Z387=regle!$B$11,regle!$B$23*IF(AS387=-2,1+regle!$B$35,1),
IF(Z387=regle!$C$11,regle!$C$23,
IF(Z387=regle!$D$11,regle!$D$23,
IF(Z387=regle!$E$11,regle!$E$23,
IF(Z387=regle!$F$11,regle!$F$23,
IF(Z387=regle!$G$11,regle!$G$23,
IF(Z387=regle!$H$11,regle!$H$23,
IF(Z387=regle!$I$11,regle!$I$23,
IF(Z387=regle!$J$11,regle!$J$23,
IF(Z387=regle!$K$11,regle!$K$23,0))))))))))))</f>
        <v>0</v>
      </c>
      <c r="AK387" s="16">
        <f>IF(OR(Q387=regle!$J$11,Q387=regle!$K$11),-2,IF(Q387=regle!$B$11,0,IF(AK$1=$AK$1,IF($O387,-1,regle!$B$2-$M387),IF(AJ387=-1,-1,AJ387+1))))</f>
        <v>11</v>
      </c>
      <c r="AL387" s="16">
        <f>IF(OR(R387=regle!$J$11,R387=regle!$K$11),-2,IF(R387=regle!$B$11,0,IF(AL$1=$AK$1,IF($O387,-1,regle!$B$2-$M387),IF(AK387=-1,-1,AK387+1))))</f>
        <v>12</v>
      </c>
      <c r="AM387" s="16">
        <f>IF(OR(S387=regle!$J$11,S387=regle!$K$11),-2,IF(S387=regle!$B$11,0,IF(AM$1=$AK$1,IF($O387,-1,regle!$B$2-$M387),IF(AL387=-1,-1,AL387+1))))</f>
        <v>13</v>
      </c>
      <c r="AN387" s="16">
        <f>IF(OR(T387=regle!$J$11,T387=regle!$K$11),-2,IF(T387=regle!$B$11,0,IF(AN$1=$AK$1,IF($O387,-1,regle!$B$2-$M387),IF(AM387=-1,-1,AM387+1))))</f>
        <v>14</v>
      </c>
      <c r="AO387" s="16">
        <f>IF(OR(U387=regle!$J$11,U387=regle!$K$11),-2,IF(U387=regle!$B$11,0,IF(AO$1=$AK$1,IF($O387,-1,regle!$B$2-$M387),IF(AN387=-1,-1,AN387+1))))</f>
        <v>15</v>
      </c>
      <c r="AP387" s="16">
        <f>IF(OR(V387=regle!$J$11,V387=regle!$K$11),-2,IF(V387=regle!$B$11,0,IF(AP$1=$AK$1,IF($O387,-1,regle!$B$2-$M387),IF(AO387=-1,-1,AO387+1))))</f>
        <v>16</v>
      </c>
      <c r="AQ387" s="16">
        <f>IF(OR(W387=regle!$J$11,W387=regle!$K$11),-2,IF(W387=regle!$B$11,0,IF(AQ$1=$AK$1,IF($O387,-1,regle!$B$2-$M387),IF(AP387=-1,-1,AP387+1))))</f>
        <v>17</v>
      </c>
      <c r="AR387" s="16">
        <f>IF(OR(X387=regle!$J$11,X387=regle!$K$11),-2,IF(X387=regle!$B$11,0,IF(AR$1=$AK$1,IF($O387,-1,regle!$B$2-$M387),IF(AQ387=-1,-1,AQ387+1))))</f>
        <v>18</v>
      </c>
      <c r="AS387" s="16">
        <f>IF(OR(Y387=regle!$J$11,Y387=regle!$K$11),-2,IF(Y387=regle!$B$11,0,IF(AS$1=$AK$1,IF($O387,-1,regle!$B$2-$M387),IF(AR387=-1,-1,AR387+1))))</f>
        <v>19</v>
      </c>
      <c r="AT387" s="16">
        <f>IF(OR(Z387=regle!$J$11,Z387=regle!$K$11),-2,IF(Z387=regle!$B$11,0,IF(AT$1=$AK$1,IF($O387,-1,regle!$B$2-$M387),IF(AS387=-1,-1,AS387+1))))</f>
        <v>20</v>
      </c>
    </row>
    <row r="388" spans="1:46" x14ac:dyDescent="0.25">
      <c r="A388" t="b">
        <f>modif0!A404</f>
        <v>0</v>
      </c>
      <c r="B388">
        <f>ROW(modif0!B404)</f>
        <v>404</v>
      </c>
      <c r="C388" t="str">
        <f>modif0!D404</f>
        <v>202</v>
      </c>
      <c r="D388" t="str">
        <f>modif0!E404</f>
        <v>HOSTENS</v>
      </c>
      <c r="E388">
        <f>modif0!F404</f>
        <v>11</v>
      </c>
      <c r="F388" t="str">
        <f>modif0!G404</f>
        <v>LES CAZALAS</v>
      </c>
      <c r="G388" t="str">
        <f>modif0!I404</f>
        <v>0B</v>
      </c>
      <c r="H388">
        <f>modif0!J404</f>
        <v>1201</v>
      </c>
      <c r="I388" t="str">
        <f>modif0!K404</f>
        <v>k</v>
      </c>
      <c r="J388" s="11">
        <f>modif0!M404</f>
        <v>0.15620000000000001</v>
      </c>
      <c r="K388" s="11" t="str">
        <f>modif0!P404</f>
        <v>TAIL</v>
      </c>
      <c r="L388" t="str">
        <f>modif0!N404</f>
        <v>FEUIL</v>
      </c>
      <c r="M388">
        <f>modif0!Q404</f>
        <v>2013</v>
      </c>
      <c r="N388" t="str">
        <f>modif0!R404</f>
        <v>TAIL-FEUIL_2013</v>
      </c>
      <c r="O388" t="b">
        <f>modif0!S404</f>
        <v>0</v>
      </c>
      <c r="P388">
        <v>40</v>
      </c>
      <c r="AA388" s="17" t="b">
        <f>IF($A388,$J388*(IF(Q388=regle!$B$11,regle!$B$23*IF(AJ388=-2,1+regle!$B$35,1),
IF(Q388=regle!$C$11,regle!$C$23,
IF(Q388=regle!$D$11,regle!$D$23,
IF(Q388=regle!$E$11,regle!$E$23,
IF(Q388=regle!$F$11,regle!$F$23,
IF(Q388=regle!$G$11,regle!$G$23,
IF(Q388=regle!$H$11,regle!$H$23,
IF(Q388=regle!$I$11,regle!$I$23,
IF(Q388=regle!$J$11,regle!$J$23,
IF(Q388=regle!$K$11,regle!$K$23,0))))))))))))</f>
        <v>0</v>
      </c>
      <c r="AB388" s="17" t="b">
        <f>IF($A388,$J388*(IF(R388=regle!$B$11,regle!$B$23*IF(AK388=-2,1+regle!$B$35,1),
IF(R388=regle!$C$11,regle!$C$23,
IF(R388=regle!$D$11,regle!$D$23,
IF(R388=regle!$E$11,regle!$E$23,
IF(R388=regle!$F$11,regle!$F$23,
IF(R388=regle!$G$11,regle!$G$23,
IF(R388=regle!$H$11,regle!$H$23,
IF(R388=regle!$I$11,regle!$I$23,
IF(R388=regle!$J$11,regle!$J$23,
IF(R388=regle!$K$11,regle!$K$23,0))))))))))))</f>
        <v>0</v>
      </c>
      <c r="AC388" s="17" t="b">
        <f>IF($A388,$J388*(IF(S388=regle!$B$11,regle!$B$23*IF(AL388=-2,1+regle!$B$35,1),
IF(S388=regle!$C$11,regle!$C$23,
IF(S388=regle!$D$11,regle!$D$23,
IF(S388=regle!$E$11,regle!$E$23,
IF(S388=regle!$F$11,regle!$F$23,
IF(S388=regle!$G$11,regle!$G$23,
IF(S388=regle!$H$11,regle!$H$23,
IF(S388=regle!$I$11,regle!$I$23,
IF(S388=regle!$J$11,regle!$J$23,
IF(S388=regle!$K$11,regle!$K$23,0))))))))))))</f>
        <v>0</v>
      </c>
      <c r="AD388" s="17" t="b">
        <f>IF($A388,$J388*(IF(T388=regle!$B$11,regle!$B$23*IF(AM388=-2,1+regle!$B$35,1),
IF(T388=regle!$C$11,regle!$C$23,
IF(T388=regle!$D$11,regle!$D$23,
IF(T388=regle!$E$11,regle!$E$23,
IF(T388=regle!$F$11,regle!$F$23,
IF(T388=regle!$G$11,regle!$G$23,
IF(T388=regle!$H$11,regle!$H$23,
IF(T388=regle!$I$11,regle!$I$23,
IF(T388=regle!$J$11,regle!$J$23,
IF(T388=regle!$K$11,regle!$K$23,0))))))))))))</f>
        <v>0</v>
      </c>
      <c r="AE388" s="17" t="b">
        <f>IF($A388,$J388*(IF(U388=regle!$B$11,regle!$B$23*IF(AN388=-2,1+regle!$B$35,1),
IF(U388=regle!$C$11,regle!$C$23,
IF(U388=regle!$D$11,regle!$D$23,
IF(U388=regle!$E$11,regle!$E$23,
IF(U388=regle!$F$11,regle!$F$23,
IF(U388=regle!$G$11,regle!$G$23,
IF(U388=regle!$H$11,regle!$H$23,
IF(U388=regle!$I$11,regle!$I$23,
IF(U388=regle!$J$11,regle!$J$23,
IF(U388=regle!$K$11,regle!$K$23,0))))))))))))</f>
        <v>0</v>
      </c>
      <c r="AF388" s="17" t="b">
        <f>IF($A388,$J388*(IF(V388=regle!$B$11,regle!$B$23*IF(AO388=-2,1+regle!$B$35,1),
IF(V388=regle!$C$11,regle!$C$23,
IF(V388=regle!$D$11,regle!$D$23,
IF(V388=regle!$E$11,regle!$E$23,
IF(V388=regle!$F$11,regle!$F$23,
IF(V388=regle!$G$11,regle!$G$23,
IF(V388=regle!$H$11,regle!$H$23,
IF(V388=regle!$I$11,regle!$I$23,
IF(V388=regle!$J$11,regle!$J$23,
IF(V388=regle!$K$11,regle!$K$23,0))))))))))))</f>
        <v>0</v>
      </c>
      <c r="AG388" s="17" t="b">
        <f>IF($A388,$J388*(IF(W388=regle!$B$11,regle!$B$23*IF(AP388=-2,1+regle!$B$35,1),
IF(W388=regle!$C$11,regle!$C$23,
IF(W388=regle!$D$11,regle!$D$23,
IF(W388=regle!$E$11,regle!$E$23,
IF(W388=regle!$F$11,regle!$F$23,
IF(W388=regle!$G$11,regle!$G$23,
IF(W388=regle!$H$11,regle!$H$23,
IF(W388=regle!$I$11,regle!$I$23,
IF(W388=regle!$J$11,regle!$J$23,
IF(W388=regle!$K$11,regle!$K$23,0))))))))))))</f>
        <v>0</v>
      </c>
      <c r="AH388" s="17" t="b">
        <f>IF($A388,$J388*(IF(X388=regle!$B$11,regle!$B$23*IF(AQ388=-2,1+regle!$B$35,1),
IF(X388=regle!$C$11,regle!$C$23,
IF(X388=regle!$D$11,regle!$D$23,
IF(X388=regle!$E$11,regle!$E$23,
IF(X388=regle!$F$11,regle!$F$23,
IF(X388=regle!$G$11,regle!$G$23,
IF(X388=regle!$H$11,regle!$H$23,
IF(X388=regle!$I$11,regle!$I$23,
IF(X388=regle!$J$11,regle!$J$23,
IF(X388=regle!$K$11,regle!$K$23,0))))))))))))</f>
        <v>0</v>
      </c>
      <c r="AI388" s="17" t="b">
        <f>IF($A388,$J388*(IF(Y388=regle!$B$11,regle!$B$23*IF(AR388=-2,1+regle!$B$35,1),
IF(Y388=regle!$C$11,regle!$C$23,
IF(Y388=regle!$D$11,regle!$D$23,
IF(Y388=regle!$E$11,regle!$E$23,
IF(Y388=regle!$F$11,regle!$F$23,
IF(Y388=regle!$G$11,regle!$G$23,
IF(Y388=regle!$H$11,regle!$H$23,
IF(Y388=regle!$I$11,regle!$I$23,
IF(Y388=regle!$J$11,regle!$J$23,
IF(Y388=regle!$K$11,regle!$K$23,0))))))))))))</f>
        <v>0</v>
      </c>
      <c r="AJ388" s="17" t="b">
        <f>IF($A388,$J388*(IF(Z388=regle!$B$11,regle!$B$23*IF(AS388=-2,1+regle!$B$35,1),
IF(Z388=regle!$C$11,regle!$C$23,
IF(Z388=regle!$D$11,regle!$D$23,
IF(Z388=regle!$E$11,regle!$E$23,
IF(Z388=regle!$F$11,regle!$F$23,
IF(Z388=regle!$G$11,regle!$G$23,
IF(Z388=regle!$H$11,regle!$H$23,
IF(Z388=regle!$I$11,regle!$I$23,
IF(Z388=regle!$J$11,regle!$J$23,
IF(Z388=regle!$K$11,regle!$K$23,0))))))))))))</f>
        <v>0</v>
      </c>
      <c r="AK388" s="16">
        <f>IF(OR(Q388=regle!$J$11,Q388=regle!$K$11),-2,IF(Q388=regle!$B$11,0,IF(AK$1=$AK$1,IF($O388,-1,regle!$B$2-$M388),IF(AJ388=-1,-1,AJ388+1))))</f>
        <v>11</v>
      </c>
      <c r="AL388" s="16">
        <f>IF(OR(R388=regle!$J$11,R388=regle!$K$11),-2,IF(R388=regle!$B$11,0,IF(AL$1=$AK$1,IF($O388,-1,regle!$B$2-$M388),IF(AK388=-1,-1,AK388+1))))</f>
        <v>12</v>
      </c>
      <c r="AM388" s="16">
        <f>IF(OR(S388=regle!$J$11,S388=regle!$K$11),-2,IF(S388=regle!$B$11,0,IF(AM$1=$AK$1,IF($O388,-1,regle!$B$2-$M388),IF(AL388=-1,-1,AL388+1))))</f>
        <v>13</v>
      </c>
      <c r="AN388" s="16">
        <f>IF(OR(T388=regle!$J$11,T388=regle!$K$11),-2,IF(T388=regle!$B$11,0,IF(AN$1=$AK$1,IF($O388,-1,regle!$B$2-$M388),IF(AM388=-1,-1,AM388+1))))</f>
        <v>14</v>
      </c>
      <c r="AO388" s="16">
        <f>IF(OR(U388=regle!$J$11,U388=regle!$K$11),-2,IF(U388=regle!$B$11,0,IF(AO$1=$AK$1,IF($O388,-1,regle!$B$2-$M388),IF(AN388=-1,-1,AN388+1))))</f>
        <v>15</v>
      </c>
      <c r="AP388" s="16">
        <f>IF(OR(V388=regle!$J$11,V388=regle!$K$11),-2,IF(V388=regle!$B$11,0,IF(AP$1=$AK$1,IF($O388,-1,regle!$B$2-$M388),IF(AO388=-1,-1,AO388+1))))</f>
        <v>16</v>
      </c>
      <c r="AQ388" s="16">
        <f>IF(OR(W388=regle!$J$11,W388=regle!$K$11),-2,IF(W388=regle!$B$11,0,IF(AQ$1=$AK$1,IF($O388,-1,regle!$B$2-$M388),IF(AP388=-1,-1,AP388+1))))</f>
        <v>17</v>
      </c>
      <c r="AR388" s="16">
        <f>IF(OR(X388=regle!$J$11,X388=regle!$K$11),-2,IF(X388=regle!$B$11,0,IF(AR$1=$AK$1,IF($O388,-1,regle!$B$2-$M388),IF(AQ388=-1,-1,AQ388+1))))</f>
        <v>18</v>
      </c>
      <c r="AS388" s="16">
        <f>IF(OR(Y388=regle!$J$11,Y388=regle!$K$11),-2,IF(Y388=regle!$B$11,0,IF(AS$1=$AK$1,IF($O388,-1,regle!$B$2-$M388),IF(AR388=-1,-1,AR388+1))))</f>
        <v>19</v>
      </c>
      <c r="AT388" s="16">
        <f>IF(OR(Z388=regle!$J$11,Z388=regle!$K$11),-2,IF(Z388=regle!$B$11,0,IF(AT$1=$AK$1,IF($O388,-1,regle!$B$2-$M388),IF(AS388=-1,-1,AS388+1))))</f>
        <v>20</v>
      </c>
    </row>
    <row r="389" spans="1:46" x14ac:dyDescent="0.25">
      <c r="A389" t="b">
        <f>modif0!A407</f>
        <v>0</v>
      </c>
      <c r="B389">
        <f>ROW(modif0!B407)</f>
        <v>407</v>
      </c>
      <c r="C389" t="str">
        <f>modif0!D407</f>
        <v>202</v>
      </c>
      <c r="D389" t="str">
        <f>modif0!E407</f>
        <v>HOSTENS</v>
      </c>
      <c r="E389">
        <f>modif0!F407</f>
        <v>8</v>
      </c>
      <c r="F389" t="str">
        <f>modif0!G407</f>
        <v>LES BECS</v>
      </c>
      <c r="G389" t="str">
        <f>modif0!I407</f>
        <v>0B</v>
      </c>
      <c r="H389">
        <f>modif0!J407</f>
        <v>1207</v>
      </c>
      <c r="I389" t="str">
        <f>modif0!K407</f>
        <v/>
      </c>
      <c r="J389" s="11">
        <f>modif0!M407</f>
        <v>0.14799999999999999</v>
      </c>
      <c r="K389" s="11" t="str">
        <f>modif0!P407</f>
        <v>TAIL</v>
      </c>
      <c r="L389" t="str">
        <f>modif0!N407</f>
        <v>FEUIL</v>
      </c>
      <c r="M389">
        <f>modif0!Q407</f>
        <v>2013</v>
      </c>
      <c r="N389" t="str">
        <f>modif0!R407</f>
        <v>TAIL-FEUIL_2013</v>
      </c>
      <c r="O389" t="b">
        <f>modif0!S407</f>
        <v>0</v>
      </c>
      <c r="P389">
        <v>40</v>
      </c>
      <c r="AA389" s="17" t="b">
        <f>IF($A389,$J389*(IF(Q389=regle!$B$11,regle!$B$23*IF(AJ389=-2,1+regle!$B$35,1),
IF(Q389=regle!$C$11,regle!$C$23,
IF(Q389=regle!$D$11,regle!$D$23,
IF(Q389=regle!$E$11,regle!$E$23,
IF(Q389=regle!$F$11,regle!$F$23,
IF(Q389=regle!$G$11,regle!$G$23,
IF(Q389=regle!$H$11,regle!$H$23,
IF(Q389=regle!$I$11,regle!$I$23,
IF(Q389=regle!$J$11,regle!$J$23,
IF(Q389=regle!$K$11,regle!$K$23,0))))))))))))</f>
        <v>0</v>
      </c>
      <c r="AB389" s="17" t="b">
        <f>IF($A389,$J389*(IF(R389=regle!$B$11,regle!$B$23*IF(AK389=-2,1+regle!$B$35,1),
IF(R389=regle!$C$11,regle!$C$23,
IF(R389=regle!$D$11,regle!$D$23,
IF(R389=regle!$E$11,regle!$E$23,
IF(R389=regle!$F$11,regle!$F$23,
IF(R389=regle!$G$11,regle!$G$23,
IF(R389=regle!$H$11,regle!$H$23,
IF(R389=regle!$I$11,regle!$I$23,
IF(R389=regle!$J$11,regle!$J$23,
IF(R389=regle!$K$11,regle!$K$23,0))))))))))))</f>
        <v>0</v>
      </c>
      <c r="AC389" s="17" t="b">
        <f>IF($A389,$J389*(IF(S389=regle!$B$11,regle!$B$23*IF(AL389=-2,1+regle!$B$35,1),
IF(S389=regle!$C$11,regle!$C$23,
IF(S389=regle!$D$11,regle!$D$23,
IF(S389=regle!$E$11,regle!$E$23,
IF(S389=regle!$F$11,regle!$F$23,
IF(S389=regle!$G$11,regle!$G$23,
IF(S389=regle!$H$11,regle!$H$23,
IF(S389=regle!$I$11,regle!$I$23,
IF(S389=regle!$J$11,regle!$J$23,
IF(S389=regle!$K$11,regle!$K$23,0))))))))))))</f>
        <v>0</v>
      </c>
      <c r="AD389" s="17" t="b">
        <f>IF($A389,$J389*(IF(T389=regle!$B$11,regle!$B$23*IF(AM389=-2,1+regle!$B$35,1),
IF(T389=regle!$C$11,regle!$C$23,
IF(T389=regle!$D$11,regle!$D$23,
IF(T389=regle!$E$11,regle!$E$23,
IF(T389=regle!$F$11,regle!$F$23,
IF(T389=regle!$G$11,regle!$G$23,
IF(T389=regle!$H$11,regle!$H$23,
IF(T389=regle!$I$11,regle!$I$23,
IF(T389=regle!$J$11,regle!$J$23,
IF(T389=regle!$K$11,regle!$K$23,0))))))))))))</f>
        <v>0</v>
      </c>
      <c r="AE389" s="17" t="b">
        <f>IF($A389,$J389*(IF(U389=regle!$B$11,regle!$B$23*IF(AN389=-2,1+regle!$B$35,1),
IF(U389=regle!$C$11,regle!$C$23,
IF(U389=regle!$D$11,regle!$D$23,
IF(U389=regle!$E$11,regle!$E$23,
IF(U389=regle!$F$11,regle!$F$23,
IF(U389=regle!$G$11,regle!$G$23,
IF(U389=regle!$H$11,regle!$H$23,
IF(U389=regle!$I$11,regle!$I$23,
IF(U389=regle!$J$11,regle!$J$23,
IF(U389=regle!$K$11,regle!$K$23,0))))))))))))</f>
        <v>0</v>
      </c>
      <c r="AF389" s="17" t="b">
        <f>IF($A389,$J389*(IF(V389=regle!$B$11,regle!$B$23*IF(AO389=-2,1+regle!$B$35,1),
IF(V389=regle!$C$11,regle!$C$23,
IF(V389=regle!$D$11,regle!$D$23,
IF(V389=regle!$E$11,regle!$E$23,
IF(V389=regle!$F$11,regle!$F$23,
IF(V389=regle!$G$11,regle!$G$23,
IF(V389=regle!$H$11,regle!$H$23,
IF(V389=regle!$I$11,regle!$I$23,
IF(V389=regle!$J$11,regle!$J$23,
IF(V389=regle!$K$11,regle!$K$23,0))))))))))))</f>
        <v>0</v>
      </c>
      <c r="AG389" s="17" t="b">
        <f>IF($A389,$J389*(IF(W389=regle!$B$11,regle!$B$23*IF(AP389=-2,1+regle!$B$35,1),
IF(W389=regle!$C$11,regle!$C$23,
IF(W389=regle!$D$11,regle!$D$23,
IF(W389=regle!$E$11,regle!$E$23,
IF(W389=regle!$F$11,regle!$F$23,
IF(W389=regle!$G$11,regle!$G$23,
IF(W389=regle!$H$11,regle!$H$23,
IF(W389=regle!$I$11,regle!$I$23,
IF(W389=regle!$J$11,regle!$J$23,
IF(W389=regle!$K$11,regle!$K$23,0))))))))))))</f>
        <v>0</v>
      </c>
      <c r="AH389" s="17" t="b">
        <f>IF($A389,$J389*(IF(X389=regle!$B$11,regle!$B$23*IF(AQ389=-2,1+regle!$B$35,1),
IF(X389=regle!$C$11,regle!$C$23,
IF(X389=regle!$D$11,regle!$D$23,
IF(X389=regle!$E$11,regle!$E$23,
IF(X389=regle!$F$11,regle!$F$23,
IF(X389=regle!$G$11,regle!$G$23,
IF(X389=regle!$H$11,regle!$H$23,
IF(X389=regle!$I$11,regle!$I$23,
IF(X389=regle!$J$11,regle!$J$23,
IF(X389=regle!$K$11,regle!$K$23,0))))))))))))</f>
        <v>0</v>
      </c>
      <c r="AI389" s="17" t="b">
        <f>IF($A389,$J389*(IF(Y389=regle!$B$11,regle!$B$23*IF(AR389=-2,1+regle!$B$35,1),
IF(Y389=regle!$C$11,regle!$C$23,
IF(Y389=regle!$D$11,regle!$D$23,
IF(Y389=regle!$E$11,regle!$E$23,
IF(Y389=regle!$F$11,regle!$F$23,
IF(Y389=regle!$G$11,regle!$G$23,
IF(Y389=regle!$H$11,regle!$H$23,
IF(Y389=regle!$I$11,regle!$I$23,
IF(Y389=regle!$J$11,regle!$J$23,
IF(Y389=regle!$K$11,regle!$K$23,0))))))))))))</f>
        <v>0</v>
      </c>
      <c r="AJ389" s="17" t="b">
        <f>IF($A389,$J389*(IF(Z389=regle!$B$11,regle!$B$23*IF(AS389=-2,1+regle!$B$35,1),
IF(Z389=regle!$C$11,regle!$C$23,
IF(Z389=regle!$D$11,regle!$D$23,
IF(Z389=regle!$E$11,regle!$E$23,
IF(Z389=regle!$F$11,regle!$F$23,
IF(Z389=regle!$G$11,regle!$G$23,
IF(Z389=regle!$H$11,regle!$H$23,
IF(Z389=regle!$I$11,regle!$I$23,
IF(Z389=regle!$J$11,regle!$J$23,
IF(Z389=regle!$K$11,regle!$K$23,0))))))))))))</f>
        <v>0</v>
      </c>
      <c r="AK389" s="16">
        <f>IF(OR(Q389=regle!$J$11,Q389=regle!$K$11),-2,IF(Q389=regle!$B$11,0,IF(AK$1=$AK$1,IF($O389,-1,regle!$B$2-$M389),IF(AJ389=-1,-1,AJ389+1))))</f>
        <v>11</v>
      </c>
      <c r="AL389" s="16">
        <f>IF(OR(R389=regle!$J$11,R389=regle!$K$11),-2,IF(R389=regle!$B$11,0,IF(AL$1=$AK$1,IF($O389,-1,regle!$B$2-$M389),IF(AK389=-1,-1,AK389+1))))</f>
        <v>12</v>
      </c>
      <c r="AM389" s="16">
        <f>IF(OR(S389=regle!$J$11,S389=regle!$K$11),-2,IF(S389=regle!$B$11,0,IF(AM$1=$AK$1,IF($O389,-1,regle!$B$2-$M389),IF(AL389=-1,-1,AL389+1))))</f>
        <v>13</v>
      </c>
      <c r="AN389" s="16">
        <f>IF(OR(T389=regle!$J$11,T389=regle!$K$11),-2,IF(T389=regle!$B$11,0,IF(AN$1=$AK$1,IF($O389,-1,regle!$B$2-$M389),IF(AM389=-1,-1,AM389+1))))</f>
        <v>14</v>
      </c>
      <c r="AO389" s="16">
        <f>IF(OR(U389=regle!$J$11,U389=regle!$K$11),-2,IF(U389=regle!$B$11,0,IF(AO$1=$AK$1,IF($O389,-1,regle!$B$2-$M389),IF(AN389=-1,-1,AN389+1))))</f>
        <v>15</v>
      </c>
      <c r="AP389" s="16">
        <f>IF(OR(V389=regle!$J$11,V389=regle!$K$11),-2,IF(V389=regle!$B$11,0,IF(AP$1=$AK$1,IF($O389,-1,regle!$B$2-$M389),IF(AO389=-1,-1,AO389+1))))</f>
        <v>16</v>
      </c>
      <c r="AQ389" s="16">
        <f>IF(OR(W389=regle!$J$11,W389=regle!$K$11),-2,IF(W389=regle!$B$11,0,IF(AQ$1=$AK$1,IF($O389,-1,regle!$B$2-$M389),IF(AP389=-1,-1,AP389+1))))</f>
        <v>17</v>
      </c>
      <c r="AR389" s="16">
        <f>IF(OR(X389=regle!$J$11,X389=regle!$K$11),-2,IF(X389=regle!$B$11,0,IF(AR$1=$AK$1,IF($O389,-1,regle!$B$2-$M389),IF(AQ389=-1,-1,AQ389+1))))</f>
        <v>18</v>
      </c>
      <c r="AS389" s="16">
        <f>IF(OR(Y389=regle!$J$11,Y389=regle!$K$11),-2,IF(Y389=regle!$B$11,0,IF(AS$1=$AK$1,IF($O389,-1,regle!$B$2-$M389),IF(AR389=-1,-1,AR389+1))))</f>
        <v>19</v>
      </c>
      <c r="AT389" s="16">
        <f>IF(OR(Z389=regle!$J$11,Z389=regle!$K$11),-2,IF(Z389=regle!$B$11,0,IF(AT$1=$AK$1,IF($O389,-1,regle!$B$2-$M389),IF(AS389=-1,-1,AS389+1))))</f>
        <v>20</v>
      </c>
    </row>
    <row r="390" spans="1:46" x14ac:dyDescent="0.25">
      <c r="A390" t="b">
        <f>modif0!A410</f>
        <v>0</v>
      </c>
      <c r="B390">
        <f>ROW(modif0!B410)</f>
        <v>410</v>
      </c>
      <c r="C390" t="str">
        <f>modif0!D410</f>
        <v>202</v>
      </c>
      <c r="D390" t="str">
        <f>modif0!E410</f>
        <v>HOSTENS</v>
      </c>
      <c r="E390">
        <f>modif0!F410</f>
        <v>8</v>
      </c>
      <c r="F390" t="str">
        <f>modif0!G410</f>
        <v>LES BECS</v>
      </c>
      <c r="G390" t="str">
        <f>modif0!I410</f>
        <v>0B</v>
      </c>
      <c r="H390">
        <f>modif0!J410</f>
        <v>1217</v>
      </c>
      <c r="I390" t="str">
        <f>modif0!K410</f>
        <v/>
      </c>
      <c r="J390" s="11">
        <f>modif0!M410</f>
        <v>0.13450000000000001</v>
      </c>
      <c r="K390" s="11" t="str">
        <f>modif0!P410</f>
        <v>TAIL</v>
      </c>
      <c r="L390" t="str">
        <f>modif0!N410</f>
        <v>FEUIL</v>
      </c>
      <c r="M390">
        <f>modif0!Q410</f>
        <v>2013</v>
      </c>
      <c r="N390" t="str">
        <f>modif0!R410</f>
        <v>TAIL-FEUIL_2013</v>
      </c>
      <c r="O390" t="b">
        <f>modif0!S410</f>
        <v>0</v>
      </c>
      <c r="P390">
        <v>40</v>
      </c>
      <c r="AA390" s="17" t="b">
        <f>IF($A390,$J390*(IF(Q390=regle!$B$11,regle!$B$23*IF(AJ390=-2,1+regle!$B$35,1),
IF(Q390=regle!$C$11,regle!$C$23,
IF(Q390=regle!$D$11,regle!$D$23,
IF(Q390=regle!$E$11,regle!$E$23,
IF(Q390=regle!$F$11,regle!$F$23,
IF(Q390=regle!$G$11,regle!$G$23,
IF(Q390=regle!$H$11,regle!$H$23,
IF(Q390=regle!$I$11,regle!$I$23,
IF(Q390=regle!$J$11,regle!$J$23,
IF(Q390=regle!$K$11,regle!$K$23,0))))))))))))</f>
        <v>0</v>
      </c>
      <c r="AB390" s="17" t="b">
        <f>IF($A390,$J390*(IF(R390=regle!$B$11,regle!$B$23*IF(AK390=-2,1+regle!$B$35,1),
IF(R390=regle!$C$11,regle!$C$23,
IF(R390=regle!$D$11,regle!$D$23,
IF(R390=regle!$E$11,regle!$E$23,
IF(R390=regle!$F$11,regle!$F$23,
IF(R390=regle!$G$11,regle!$G$23,
IF(R390=regle!$H$11,regle!$H$23,
IF(R390=regle!$I$11,regle!$I$23,
IF(R390=regle!$J$11,regle!$J$23,
IF(R390=regle!$K$11,regle!$K$23,0))))))))))))</f>
        <v>0</v>
      </c>
      <c r="AC390" s="17" t="b">
        <f>IF($A390,$J390*(IF(S390=regle!$B$11,regle!$B$23*IF(AL390=-2,1+regle!$B$35,1),
IF(S390=regle!$C$11,regle!$C$23,
IF(S390=regle!$D$11,regle!$D$23,
IF(S390=regle!$E$11,regle!$E$23,
IF(S390=regle!$F$11,regle!$F$23,
IF(S390=regle!$G$11,regle!$G$23,
IF(S390=regle!$H$11,regle!$H$23,
IF(S390=regle!$I$11,regle!$I$23,
IF(S390=regle!$J$11,regle!$J$23,
IF(S390=regle!$K$11,regle!$K$23,0))))))))))))</f>
        <v>0</v>
      </c>
      <c r="AD390" s="17" t="b">
        <f>IF($A390,$J390*(IF(T390=regle!$B$11,regle!$B$23*IF(AM390=-2,1+regle!$B$35,1),
IF(T390=regle!$C$11,regle!$C$23,
IF(T390=regle!$D$11,regle!$D$23,
IF(T390=regle!$E$11,regle!$E$23,
IF(T390=regle!$F$11,regle!$F$23,
IF(T390=regle!$G$11,regle!$G$23,
IF(T390=regle!$H$11,regle!$H$23,
IF(T390=regle!$I$11,regle!$I$23,
IF(T390=regle!$J$11,regle!$J$23,
IF(T390=regle!$K$11,regle!$K$23,0))))))))))))</f>
        <v>0</v>
      </c>
      <c r="AE390" s="17" t="b">
        <f>IF($A390,$J390*(IF(U390=regle!$B$11,regle!$B$23*IF(AN390=-2,1+regle!$B$35,1),
IF(U390=regle!$C$11,regle!$C$23,
IF(U390=regle!$D$11,regle!$D$23,
IF(U390=regle!$E$11,regle!$E$23,
IF(U390=regle!$F$11,regle!$F$23,
IF(U390=regle!$G$11,regle!$G$23,
IF(U390=regle!$H$11,regle!$H$23,
IF(U390=regle!$I$11,regle!$I$23,
IF(U390=regle!$J$11,regle!$J$23,
IF(U390=regle!$K$11,regle!$K$23,0))))))))))))</f>
        <v>0</v>
      </c>
      <c r="AF390" s="17" t="b">
        <f>IF($A390,$J390*(IF(V390=regle!$B$11,regle!$B$23*IF(AO390=-2,1+regle!$B$35,1),
IF(V390=regle!$C$11,regle!$C$23,
IF(V390=regle!$D$11,regle!$D$23,
IF(V390=regle!$E$11,regle!$E$23,
IF(V390=regle!$F$11,regle!$F$23,
IF(V390=regle!$G$11,regle!$G$23,
IF(V390=regle!$H$11,regle!$H$23,
IF(V390=regle!$I$11,regle!$I$23,
IF(V390=regle!$J$11,regle!$J$23,
IF(V390=regle!$K$11,regle!$K$23,0))))))))))))</f>
        <v>0</v>
      </c>
      <c r="AG390" s="17" t="b">
        <f>IF($A390,$J390*(IF(W390=regle!$B$11,regle!$B$23*IF(AP390=-2,1+regle!$B$35,1),
IF(W390=regle!$C$11,regle!$C$23,
IF(W390=regle!$D$11,regle!$D$23,
IF(W390=regle!$E$11,regle!$E$23,
IF(W390=regle!$F$11,regle!$F$23,
IF(W390=regle!$G$11,regle!$G$23,
IF(W390=regle!$H$11,regle!$H$23,
IF(W390=regle!$I$11,regle!$I$23,
IF(W390=regle!$J$11,regle!$J$23,
IF(W390=regle!$K$11,regle!$K$23,0))))))))))))</f>
        <v>0</v>
      </c>
      <c r="AH390" s="17" t="b">
        <f>IF($A390,$J390*(IF(X390=regle!$B$11,regle!$B$23*IF(AQ390=-2,1+regle!$B$35,1),
IF(X390=regle!$C$11,regle!$C$23,
IF(X390=regle!$D$11,regle!$D$23,
IF(X390=regle!$E$11,regle!$E$23,
IF(X390=regle!$F$11,regle!$F$23,
IF(X390=regle!$G$11,regle!$G$23,
IF(X390=regle!$H$11,regle!$H$23,
IF(X390=regle!$I$11,regle!$I$23,
IF(X390=regle!$J$11,regle!$J$23,
IF(X390=regle!$K$11,regle!$K$23,0))))))))))))</f>
        <v>0</v>
      </c>
      <c r="AI390" s="17" t="b">
        <f>IF($A390,$J390*(IF(Y390=regle!$B$11,regle!$B$23*IF(AR390=-2,1+regle!$B$35,1),
IF(Y390=regle!$C$11,regle!$C$23,
IF(Y390=regle!$D$11,regle!$D$23,
IF(Y390=regle!$E$11,regle!$E$23,
IF(Y390=regle!$F$11,regle!$F$23,
IF(Y390=regle!$G$11,regle!$G$23,
IF(Y390=regle!$H$11,regle!$H$23,
IF(Y390=regle!$I$11,regle!$I$23,
IF(Y390=regle!$J$11,regle!$J$23,
IF(Y390=regle!$K$11,regle!$K$23,0))))))))))))</f>
        <v>0</v>
      </c>
      <c r="AJ390" s="17" t="b">
        <f>IF($A390,$J390*(IF(Z390=regle!$B$11,regle!$B$23*IF(AS390=-2,1+regle!$B$35,1),
IF(Z390=regle!$C$11,regle!$C$23,
IF(Z390=regle!$D$11,regle!$D$23,
IF(Z390=regle!$E$11,regle!$E$23,
IF(Z390=regle!$F$11,regle!$F$23,
IF(Z390=regle!$G$11,regle!$G$23,
IF(Z390=regle!$H$11,regle!$H$23,
IF(Z390=regle!$I$11,regle!$I$23,
IF(Z390=regle!$J$11,regle!$J$23,
IF(Z390=regle!$K$11,regle!$K$23,0))))))))))))</f>
        <v>0</v>
      </c>
      <c r="AK390" s="16">
        <f>IF(OR(Q390=regle!$J$11,Q390=regle!$K$11),-2,IF(Q390=regle!$B$11,0,IF(AK$1=$AK$1,IF($O390,-1,regle!$B$2-$M390),IF(AJ390=-1,-1,AJ390+1))))</f>
        <v>11</v>
      </c>
      <c r="AL390" s="16">
        <f>IF(OR(R390=regle!$J$11,R390=regle!$K$11),-2,IF(R390=regle!$B$11,0,IF(AL$1=$AK$1,IF($O390,-1,regle!$B$2-$M390),IF(AK390=-1,-1,AK390+1))))</f>
        <v>12</v>
      </c>
      <c r="AM390" s="16">
        <f>IF(OR(S390=regle!$J$11,S390=regle!$K$11),-2,IF(S390=regle!$B$11,0,IF(AM$1=$AK$1,IF($O390,-1,regle!$B$2-$M390),IF(AL390=-1,-1,AL390+1))))</f>
        <v>13</v>
      </c>
      <c r="AN390" s="16">
        <f>IF(OR(T390=regle!$J$11,T390=regle!$K$11),-2,IF(T390=regle!$B$11,0,IF(AN$1=$AK$1,IF($O390,-1,regle!$B$2-$M390),IF(AM390=-1,-1,AM390+1))))</f>
        <v>14</v>
      </c>
      <c r="AO390" s="16">
        <f>IF(OR(U390=regle!$J$11,U390=regle!$K$11),-2,IF(U390=regle!$B$11,0,IF(AO$1=$AK$1,IF($O390,-1,regle!$B$2-$M390),IF(AN390=-1,-1,AN390+1))))</f>
        <v>15</v>
      </c>
      <c r="AP390" s="16">
        <f>IF(OR(V390=regle!$J$11,V390=regle!$K$11),-2,IF(V390=regle!$B$11,0,IF(AP$1=$AK$1,IF($O390,-1,regle!$B$2-$M390),IF(AO390=-1,-1,AO390+1))))</f>
        <v>16</v>
      </c>
      <c r="AQ390" s="16">
        <f>IF(OR(W390=regle!$J$11,W390=regle!$K$11),-2,IF(W390=regle!$B$11,0,IF(AQ$1=$AK$1,IF($O390,-1,regle!$B$2-$M390),IF(AP390=-1,-1,AP390+1))))</f>
        <v>17</v>
      </c>
      <c r="AR390" s="16">
        <f>IF(OR(X390=regle!$J$11,X390=regle!$K$11),-2,IF(X390=regle!$B$11,0,IF(AR$1=$AK$1,IF($O390,-1,regle!$B$2-$M390),IF(AQ390=-1,-1,AQ390+1))))</f>
        <v>18</v>
      </c>
      <c r="AS390" s="16">
        <f>IF(OR(Y390=regle!$J$11,Y390=regle!$K$11),-2,IF(Y390=regle!$B$11,0,IF(AS$1=$AK$1,IF($O390,-1,regle!$B$2-$M390),IF(AR390=-1,-1,AR390+1))))</f>
        <v>19</v>
      </c>
      <c r="AT390" s="16">
        <f>IF(OR(Z390=regle!$J$11,Z390=regle!$K$11),-2,IF(Z390=regle!$B$11,0,IF(AT$1=$AK$1,IF($O390,-1,regle!$B$2-$M390),IF(AS390=-1,-1,AS390+1))))</f>
        <v>20</v>
      </c>
    </row>
    <row r="391" spans="1:46" x14ac:dyDescent="0.25">
      <c r="A391" t="b">
        <f>modif0!A406</f>
        <v>0</v>
      </c>
      <c r="B391">
        <f>ROW(modif0!B406)</f>
        <v>406</v>
      </c>
      <c r="C391" t="str">
        <f>modif0!D406</f>
        <v>202</v>
      </c>
      <c r="D391" t="str">
        <f>modif0!E406</f>
        <v>HOSTENS</v>
      </c>
      <c r="E391">
        <f>modif0!F406</f>
        <v>8</v>
      </c>
      <c r="F391" t="str">
        <f>modif0!G406</f>
        <v>LES BECS</v>
      </c>
      <c r="G391" t="str">
        <f>modif0!I406</f>
        <v>0B</v>
      </c>
      <c r="H391">
        <f>modif0!J406</f>
        <v>1205</v>
      </c>
      <c r="I391" t="str">
        <f>modif0!K406</f>
        <v/>
      </c>
      <c r="J391" s="11">
        <f>modif0!M406</f>
        <v>9.6500000000000002E-2</v>
      </c>
      <c r="K391" s="11" t="str">
        <f>modif0!P406</f>
        <v>TAIL</v>
      </c>
      <c r="L391" t="str">
        <f>modif0!N406</f>
        <v>FEUIL</v>
      </c>
      <c r="M391">
        <f>modif0!Q406</f>
        <v>2013</v>
      </c>
      <c r="N391" t="str">
        <f>modif0!R406</f>
        <v>TAIL-FEUIL_2013</v>
      </c>
      <c r="O391" t="b">
        <f>modif0!S406</f>
        <v>0</v>
      </c>
      <c r="P391">
        <v>40</v>
      </c>
      <c r="AA391" s="17" t="b">
        <f>IF($A391,$J391*(IF(Q391=regle!$B$11,regle!$B$23*IF(AJ391=-2,1+regle!$B$35,1),
IF(Q391=regle!$C$11,regle!$C$23,
IF(Q391=regle!$D$11,regle!$D$23,
IF(Q391=regle!$E$11,regle!$E$23,
IF(Q391=regle!$F$11,regle!$F$23,
IF(Q391=regle!$G$11,regle!$G$23,
IF(Q391=regle!$H$11,regle!$H$23,
IF(Q391=regle!$I$11,regle!$I$23,
IF(Q391=regle!$J$11,regle!$J$23,
IF(Q391=regle!$K$11,regle!$K$23,0))))))))))))</f>
        <v>0</v>
      </c>
      <c r="AB391" s="17" t="b">
        <f>IF($A391,$J391*(IF(R391=regle!$B$11,regle!$B$23*IF(AK391=-2,1+regle!$B$35,1),
IF(R391=regle!$C$11,regle!$C$23,
IF(R391=regle!$D$11,regle!$D$23,
IF(R391=regle!$E$11,regle!$E$23,
IF(R391=regle!$F$11,regle!$F$23,
IF(R391=regle!$G$11,regle!$G$23,
IF(R391=regle!$H$11,regle!$H$23,
IF(R391=regle!$I$11,regle!$I$23,
IF(R391=regle!$J$11,regle!$J$23,
IF(R391=regle!$K$11,regle!$K$23,0))))))))))))</f>
        <v>0</v>
      </c>
      <c r="AC391" s="17" t="b">
        <f>IF($A391,$J391*(IF(S391=regle!$B$11,regle!$B$23*IF(AL391=-2,1+regle!$B$35,1),
IF(S391=regle!$C$11,regle!$C$23,
IF(S391=regle!$D$11,regle!$D$23,
IF(S391=regle!$E$11,regle!$E$23,
IF(S391=regle!$F$11,regle!$F$23,
IF(S391=regle!$G$11,regle!$G$23,
IF(S391=regle!$H$11,regle!$H$23,
IF(S391=regle!$I$11,regle!$I$23,
IF(S391=regle!$J$11,regle!$J$23,
IF(S391=regle!$K$11,regle!$K$23,0))))))))))))</f>
        <v>0</v>
      </c>
      <c r="AD391" s="17" t="b">
        <f>IF($A391,$J391*(IF(T391=regle!$B$11,regle!$B$23*IF(AM391=-2,1+regle!$B$35,1),
IF(T391=regle!$C$11,regle!$C$23,
IF(T391=regle!$D$11,regle!$D$23,
IF(T391=regle!$E$11,regle!$E$23,
IF(T391=regle!$F$11,regle!$F$23,
IF(T391=regle!$G$11,regle!$G$23,
IF(T391=regle!$H$11,regle!$H$23,
IF(T391=regle!$I$11,regle!$I$23,
IF(T391=regle!$J$11,regle!$J$23,
IF(T391=regle!$K$11,regle!$K$23,0))))))))))))</f>
        <v>0</v>
      </c>
      <c r="AE391" s="17" t="b">
        <f>IF($A391,$J391*(IF(U391=regle!$B$11,regle!$B$23*IF(AN391=-2,1+regle!$B$35,1),
IF(U391=regle!$C$11,regle!$C$23,
IF(U391=regle!$D$11,regle!$D$23,
IF(U391=regle!$E$11,regle!$E$23,
IF(U391=regle!$F$11,regle!$F$23,
IF(U391=regle!$G$11,regle!$G$23,
IF(U391=regle!$H$11,regle!$H$23,
IF(U391=regle!$I$11,regle!$I$23,
IF(U391=regle!$J$11,regle!$J$23,
IF(U391=regle!$K$11,regle!$K$23,0))))))))))))</f>
        <v>0</v>
      </c>
      <c r="AF391" s="17" t="b">
        <f>IF($A391,$J391*(IF(V391=regle!$B$11,regle!$B$23*IF(AO391=-2,1+regle!$B$35,1),
IF(V391=regle!$C$11,regle!$C$23,
IF(V391=regle!$D$11,regle!$D$23,
IF(V391=regle!$E$11,regle!$E$23,
IF(V391=regle!$F$11,regle!$F$23,
IF(V391=regle!$G$11,regle!$G$23,
IF(V391=regle!$H$11,regle!$H$23,
IF(V391=regle!$I$11,regle!$I$23,
IF(V391=regle!$J$11,regle!$J$23,
IF(V391=regle!$K$11,regle!$K$23,0))))))))))))</f>
        <v>0</v>
      </c>
      <c r="AG391" s="17" t="b">
        <f>IF($A391,$J391*(IF(W391=regle!$B$11,regle!$B$23*IF(AP391=-2,1+regle!$B$35,1),
IF(W391=regle!$C$11,regle!$C$23,
IF(W391=regle!$D$11,regle!$D$23,
IF(W391=regle!$E$11,regle!$E$23,
IF(W391=regle!$F$11,regle!$F$23,
IF(W391=regle!$G$11,regle!$G$23,
IF(W391=regle!$H$11,regle!$H$23,
IF(W391=regle!$I$11,regle!$I$23,
IF(W391=regle!$J$11,regle!$J$23,
IF(W391=regle!$K$11,regle!$K$23,0))))))))))))</f>
        <v>0</v>
      </c>
      <c r="AH391" s="17" t="b">
        <f>IF($A391,$J391*(IF(X391=regle!$B$11,regle!$B$23*IF(AQ391=-2,1+regle!$B$35,1),
IF(X391=regle!$C$11,regle!$C$23,
IF(X391=regle!$D$11,regle!$D$23,
IF(X391=regle!$E$11,regle!$E$23,
IF(X391=regle!$F$11,regle!$F$23,
IF(X391=regle!$G$11,regle!$G$23,
IF(X391=regle!$H$11,regle!$H$23,
IF(X391=regle!$I$11,regle!$I$23,
IF(X391=regle!$J$11,regle!$J$23,
IF(X391=regle!$K$11,regle!$K$23,0))))))))))))</f>
        <v>0</v>
      </c>
      <c r="AI391" s="17" t="b">
        <f>IF($A391,$J391*(IF(Y391=regle!$B$11,regle!$B$23*IF(AR391=-2,1+regle!$B$35,1),
IF(Y391=regle!$C$11,regle!$C$23,
IF(Y391=regle!$D$11,regle!$D$23,
IF(Y391=regle!$E$11,regle!$E$23,
IF(Y391=regle!$F$11,regle!$F$23,
IF(Y391=regle!$G$11,regle!$G$23,
IF(Y391=regle!$H$11,regle!$H$23,
IF(Y391=regle!$I$11,regle!$I$23,
IF(Y391=regle!$J$11,regle!$J$23,
IF(Y391=regle!$K$11,regle!$K$23,0))))))))))))</f>
        <v>0</v>
      </c>
      <c r="AJ391" s="17" t="b">
        <f>IF($A391,$J391*(IF(Z391=regle!$B$11,regle!$B$23*IF(AS391=-2,1+regle!$B$35,1),
IF(Z391=regle!$C$11,regle!$C$23,
IF(Z391=regle!$D$11,regle!$D$23,
IF(Z391=regle!$E$11,regle!$E$23,
IF(Z391=regle!$F$11,regle!$F$23,
IF(Z391=regle!$G$11,regle!$G$23,
IF(Z391=regle!$H$11,regle!$H$23,
IF(Z391=regle!$I$11,regle!$I$23,
IF(Z391=regle!$J$11,regle!$J$23,
IF(Z391=regle!$K$11,regle!$K$23,0))))))))))))</f>
        <v>0</v>
      </c>
      <c r="AK391" s="16">
        <f>IF(OR(Q391=regle!$J$11,Q391=regle!$K$11),-2,IF(Q391=regle!$B$11,0,IF(AK$1=$AK$1,IF($O391,-1,regle!$B$2-$M391),IF(AJ391=-1,-1,AJ391+1))))</f>
        <v>11</v>
      </c>
      <c r="AL391" s="16">
        <f>IF(OR(R391=regle!$J$11,R391=regle!$K$11),-2,IF(R391=regle!$B$11,0,IF(AL$1=$AK$1,IF($O391,-1,regle!$B$2-$M391),IF(AK391=-1,-1,AK391+1))))</f>
        <v>12</v>
      </c>
      <c r="AM391" s="16">
        <f>IF(OR(S391=regle!$J$11,S391=regle!$K$11),-2,IF(S391=regle!$B$11,0,IF(AM$1=$AK$1,IF($O391,-1,regle!$B$2-$M391),IF(AL391=-1,-1,AL391+1))))</f>
        <v>13</v>
      </c>
      <c r="AN391" s="16">
        <f>IF(OR(T391=regle!$J$11,T391=regle!$K$11),-2,IF(T391=regle!$B$11,0,IF(AN$1=$AK$1,IF($O391,-1,regle!$B$2-$M391),IF(AM391=-1,-1,AM391+1))))</f>
        <v>14</v>
      </c>
      <c r="AO391" s="16">
        <f>IF(OR(U391=regle!$J$11,U391=regle!$K$11),-2,IF(U391=regle!$B$11,0,IF(AO$1=$AK$1,IF($O391,-1,regle!$B$2-$M391),IF(AN391=-1,-1,AN391+1))))</f>
        <v>15</v>
      </c>
      <c r="AP391" s="16">
        <f>IF(OR(V391=regle!$J$11,V391=regle!$K$11),-2,IF(V391=regle!$B$11,0,IF(AP$1=$AK$1,IF($O391,-1,regle!$B$2-$M391),IF(AO391=-1,-1,AO391+1))))</f>
        <v>16</v>
      </c>
      <c r="AQ391" s="16">
        <f>IF(OR(W391=regle!$J$11,W391=regle!$K$11),-2,IF(W391=regle!$B$11,0,IF(AQ$1=$AK$1,IF($O391,-1,regle!$B$2-$M391),IF(AP391=-1,-1,AP391+1))))</f>
        <v>17</v>
      </c>
      <c r="AR391" s="16">
        <f>IF(OR(X391=regle!$J$11,X391=regle!$K$11),-2,IF(X391=regle!$B$11,0,IF(AR$1=$AK$1,IF($O391,-1,regle!$B$2-$M391),IF(AQ391=-1,-1,AQ391+1))))</f>
        <v>18</v>
      </c>
      <c r="AS391" s="16">
        <f>IF(OR(Y391=regle!$J$11,Y391=regle!$K$11),-2,IF(Y391=regle!$B$11,0,IF(AS$1=$AK$1,IF($O391,-1,regle!$B$2-$M391),IF(AR391=-1,-1,AR391+1))))</f>
        <v>19</v>
      </c>
      <c r="AT391" s="16">
        <f>IF(OR(Z391=regle!$J$11,Z391=regle!$K$11),-2,IF(Z391=regle!$B$11,0,IF(AT$1=$AK$1,IF($O391,-1,regle!$B$2-$M391),IF(AS391=-1,-1,AS391+1))))</f>
        <v>20</v>
      </c>
    </row>
    <row r="392" spans="1:46" x14ac:dyDescent="0.25">
      <c r="A392" t="b">
        <f>modif0!A401</f>
        <v>0</v>
      </c>
      <c r="B392">
        <f>ROW(modif0!B401)</f>
        <v>401</v>
      </c>
      <c r="C392" t="str">
        <f>modif0!D401</f>
        <v>536</v>
      </c>
      <c r="D392" t="str">
        <f>modif0!E401</f>
        <v>LE TUZAN</v>
      </c>
      <c r="E392">
        <f>modif0!F401</f>
        <v>21</v>
      </c>
      <c r="F392" t="str">
        <f>modif0!G401</f>
        <v>METAIRIES DE TABARTON</v>
      </c>
      <c r="G392" t="str">
        <f>modif0!I401</f>
        <v>0A</v>
      </c>
      <c r="H392">
        <f>modif0!J401</f>
        <v>847</v>
      </c>
      <c r="I392" t="str">
        <f>modif0!K401</f>
        <v>kk</v>
      </c>
      <c r="J392" s="11">
        <f>modif0!M401</f>
        <v>0.2114</v>
      </c>
      <c r="K392" s="11" t="str">
        <f>modif0!P401</f>
        <v>TAIL</v>
      </c>
      <c r="L392" t="str">
        <f>modif0!N401</f>
        <v>FEUIL</v>
      </c>
      <c r="M392">
        <f>modif0!Q401</f>
        <v>2003</v>
      </c>
      <c r="N392" t="str">
        <f>modif0!R401</f>
        <v>TAIL-FEUIL_2003</v>
      </c>
      <c r="O392" t="b">
        <f>modif0!S401</f>
        <v>0</v>
      </c>
      <c r="P392">
        <v>40</v>
      </c>
      <c r="AA392" s="17" t="b">
        <f>IF($A392,$J392*(IF(Q392=regle!$B$11,regle!$B$23*IF(AJ392=-2,1+regle!$B$35,1),
IF(Q392=regle!$C$11,regle!$C$23,
IF(Q392=regle!$D$11,regle!$D$23,
IF(Q392=regle!$E$11,regle!$E$23,
IF(Q392=regle!$F$11,regle!$F$23,
IF(Q392=regle!$G$11,regle!$G$23,
IF(Q392=regle!$H$11,regle!$H$23,
IF(Q392=regle!$I$11,regle!$I$23,
IF(Q392=regle!$J$11,regle!$J$23,
IF(Q392=regle!$K$11,regle!$K$23,0))))))))))))</f>
        <v>0</v>
      </c>
      <c r="AB392" s="17" t="b">
        <f>IF($A392,$J392*(IF(R392=regle!$B$11,regle!$B$23*IF(AK392=-2,1+regle!$B$35,1),
IF(R392=regle!$C$11,regle!$C$23,
IF(R392=regle!$D$11,regle!$D$23,
IF(R392=regle!$E$11,regle!$E$23,
IF(R392=regle!$F$11,regle!$F$23,
IF(R392=regle!$G$11,regle!$G$23,
IF(R392=regle!$H$11,regle!$H$23,
IF(R392=regle!$I$11,regle!$I$23,
IF(R392=regle!$J$11,regle!$J$23,
IF(R392=regle!$K$11,regle!$K$23,0))))))))))))</f>
        <v>0</v>
      </c>
      <c r="AC392" s="17" t="b">
        <f>IF($A392,$J392*(IF(S392=regle!$B$11,regle!$B$23*IF(AL392=-2,1+regle!$B$35,1),
IF(S392=regle!$C$11,regle!$C$23,
IF(S392=regle!$D$11,regle!$D$23,
IF(S392=regle!$E$11,regle!$E$23,
IF(S392=regle!$F$11,regle!$F$23,
IF(S392=regle!$G$11,regle!$G$23,
IF(S392=regle!$H$11,regle!$H$23,
IF(S392=regle!$I$11,regle!$I$23,
IF(S392=regle!$J$11,regle!$J$23,
IF(S392=regle!$K$11,regle!$K$23,0))))))))))))</f>
        <v>0</v>
      </c>
      <c r="AD392" s="17" t="b">
        <f>IF($A392,$J392*(IF(T392=regle!$B$11,regle!$B$23*IF(AM392=-2,1+regle!$B$35,1),
IF(T392=regle!$C$11,regle!$C$23,
IF(T392=regle!$D$11,regle!$D$23,
IF(T392=regle!$E$11,regle!$E$23,
IF(T392=regle!$F$11,regle!$F$23,
IF(T392=regle!$G$11,regle!$G$23,
IF(T392=regle!$H$11,regle!$H$23,
IF(T392=regle!$I$11,regle!$I$23,
IF(T392=regle!$J$11,regle!$J$23,
IF(T392=regle!$K$11,regle!$K$23,0))))))))))))</f>
        <v>0</v>
      </c>
      <c r="AE392" s="17" t="b">
        <f>IF($A392,$J392*(IF(U392=regle!$B$11,regle!$B$23*IF(AN392=-2,1+regle!$B$35,1),
IF(U392=regle!$C$11,regle!$C$23,
IF(U392=regle!$D$11,regle!$D$23,
IF(U392=regle!$E$11,regle!$E$23,
IF(U392=regle!$F$11,regle!$F$23,
IF(U392=regle!$G$11,regle!$G$23,
IF(U392=regle!$H$11,regle!$H$23,
IF(U392=regle!$I$11,regle!$I$23,
IF(U392=regle!$J$11,regle!$J$23,
IF(U392=regle!$K$11,regle!$K$23,0))))))))))))</f>
        <v>0</v>
      </c>
      <c r="AF392" s="17" t="b">
        <f>IF($A392,$J392*(IF(V392=regle!$B$11,regle!$B$23*IF(AO392=-2,1+regle!$B$35,1),
IF(V392=regle!$C$11,regle!$C$23,
IF(V392=regle!$D$11,regle!$D$23,
IF(V392=regle!$E$11,regle!$E$23,
IF(V392=regle!$F$11,regle!$F$23,
IF(V392=regle!$G$11,regle!$G$23,
IF(V392=regle!$H$11,regle!$H$23,
IF(V392=regle!$I$11,regle!$I$23,
IF(V392=regle!$J$11,regle!$J$23,
IF(V392=regle!$K$11,regle!$K$23,0))))))))))))</f>
        <v>0</v>
      </c>
      <c r="AG392" s="17" t="b">
        <f>IF($A392,$J392*(IF(W392=regle!$B$11,regle!$B$23*IF(AP392=-2,1+regle!$B$35,1),
IF(W392=regle!$C$11,regle!$C$23,
IF(W392=regle!$D$11,regle!$D$23,
IF(W392=regle!$E$11,regle!$E$23,
IF(W392=regle!$F$11,regle!$F$23,
IF(W392=regle!$G$11,regle!$G$23,
IF(W392=regle!$H$11,regle!$H$23,
IF(W392=regle!$I$11,regle!$I$23,
IF(W392=regle!$J$11,regle!$J$23,
IF(W392=regle!$K$11,regle!$K$23,0))))))))))))</f>
        <v>0</v>
      </c>
      <c r="AH392" s="17" t="b">
        <f>IF($A392,$J392*(IF(X392=regle!$B$11,regle!$B$23*IF(AQ392=-2,1+regle!$B$35,1),
IF(X392=regle!$C$11,regle!$C$23,
IF(X392=regle!$D$11,regle!$D$23,
IF(X392=regle!$E$11,regle!$E$23,
IF(X392=regle!$F$11,regle!$F$23,
IF(X392=regle!$G$11,regle!$G$23,
IF(X392=regle!$H$11,regle!$H$23,
IF(X392=regle!$I$11,regle!$I$23,
IF(X392=regle!$J$11,regle!$J$23,
IF(X392=regle!$K$11,regle!$K$23,0))))))))))))</f>
        <v>0</v>
      </c>
      <c r="AI392" s="17" t="b">
        <f>IF($A392,$J392*(IF(Y392=regle!$B$11,regle!$B$23*IF(AR392=-2,1+regle!$B$35,1),
IF(Y392=regle!$C$11,regle!$C$23,
IF(Y392=regle!$D$11,regle!$D$23,
IF(Y392=regle!$E$11,regle!$E$23,
IF(Y392=regle!$F$11,regle!$F$23,
IF(Y392=regle!$G$11,regle!$G$23,
IF(Y392=regle!$H$11,regle!$H$23,
IF(Y392=regle!$I$11,regle!$I$23,
IF(Y392=regle!$J$11,regle!$J$23,
IF(Y392=regle!$K$11,regle!$K$23,0))))))))))))</f>
        <v>0</v>
      </c>
      <c r="AJ392" s="17" t="b">
        <f>IF($A392,$J392*(IF(Z392=regle!$B$11,regle!$B$23*IF(AS392=-2,1+regle!$B$35,1),
IF(Z392=regle!$C$11,regle!$C$23,
IF(Z392=regle!$D$11,regle!$D$23,
IF(Z392=regle!$E$11,regle!$E$23,
IF(Z392=regle!$F$11,regle!$F$23,
IF(Z392=regle!$G$11,regle!$G$23,
IF(Z392=regle!$H$11,regle!$H$23,
IF(Z392=regle!$I$11,regle!$I$23,
IF(Z392=regle!$J$11,regle!$J$23,
IF(Z392=regle!$K$11,regle!$K$23,0))))))))))))</f>
        <v>0</v>
      </c>
      <c r="AK392" s="16">
        <f>IF(OR(Q392=regle!$J$11,Q392=regle!$K$11),-2,IF(Q392=regle!$B$11,0,IF(AK$1=$AK$1,IF($O392,-1,regle!$B$2-$M392),IF(AJ392=-1,-1,AJ392+1))))</f>
        <v>21</v>
      </c>
      <c r="AL392" s="16">
        <f>IF(OR(R392=regle!$J$11,R392=regle!$K$11),-2,IF(R392=regle!$B$11,0,IF(AL$1=$AK$1,IF($O392,-1,regle!$B$2-$M392),IF(AK392=-1,-1,AK392+1))))</f>
        <v>22</v>
      </c>
      <c r="AM392" s="16">
        <f>IF(OR(S392=regle!$J$11,S392=regle!$K$11),-2,IF(S392=regle!$B$11,0,IF(AM$1=$AK$1,IF($O392,-1,regle!$B$2-$M392),IF(AL392=-1,-1,AL392+1))))</f>
        <v>23</v>
      </c>
      <c r="AN392" s="16">
        <f>IF(OR(T392=regle!$J$11,T392=regle!$K$11),-2,IF(T392=regle!$B$11,0,IF(AN$1=$AK$1,IF($O392,-1,regle!$B$2-$M392),IF(AM392=-1,-1,AM392+1))))</f>
        <v>24</v>
      </c>
      <c r="AO392" s="16">
        <f>IF(OR(U392=regle!$J$11,U392=regle!$K$11),-2,IF(U392=regle!$B$11,0,IF(AO$1=$AK$1,IF($O392,-1,regle!$B$2-$M392),IF(AN392=-1,-1,AN392+1))))</f>
        <v>25</v>
      </c>
      <c r="AP392" s="16">
        <f>IF(OR(V392=regle!$J$11,V392=regle!$K$11),-2,IF(V392=regle!$B$11,0,IF(AP$1=$AK$1,IF($O392,-1,regle!$B$2-$M392),IF(AO392=-1,-1,AO392+1))))</f>
        <v>26</v>
      </c>
      <c r="AQ392" s="16">
        <f>IF(OR(W392=regle!$J$11,W392=regle!$K$11),-2,IF(W392=regle!$B$11,0,IF(AQ$1=$AK$1,IF($O392,-1,regle!$B$2-$M392),IF(AP392=-1,-1,AP392+1))))</f>
        <v>27</v>
      </c>
      <c r="AR392" s="16">
        <f>IF(OR(X392=regle!$J$11,X392=regle!$K$11),-2,IF(X392=regle!$B$11,0,IF(AR$1=$AK$1,IF($O392,-1,regle!$B$2-$M392),IF(AQ392=-1,-1,AQ392+1))))</f>
        <v>28</v>
      </c>
      <c r="AS392" s="16">
        <f>IF(OR(Y392=regle!$J$11,Y392=regle!$K$11),-2,IF(Y392=regle!$B$11,0,IF(AS$1=$AK$1,IF($O392,-1,regle!$B$2-$M392),IF(AR392=-1,-1,AR392+1))))</f>
        <v>29</v>
      </c>
      <c r="AT392" s="16">
        <f>IF(OR(Z392=regle!$J$11,Z392=regle!$K$11),-2,IF(Z392=regle!$B$11,0,IF(AT$1=$AK$1,IF($O392,-1,regle!$B$2-$M392),IF(AS392=-1,-1,AS392+1))))</f>
        <v>30</v>
      </c>
    </row>
    <row r="393" spans="1:46" x14ac:dyDescent="0.25">
      <c r="A393" t="b">
        <f>modif0!A426</f>
        <v>0</v>
      </c>
      <c r="B393">
        <f>ROW(modif0!B426)</f>
        <v>426</v>
      </c>
      <c r="C393" t="str">
        <f>modif0!D426</f>
        <v>536</v>
      </c>
      <c r="D393" t="str">
        <f>modif0!E426</f>
        <v>LE TUZAN</v>
      </c>
      <c r="E393">
        <f>modif0!F426</f>
        <v>14</v>
      </c>
      <c r="F393" t="str">
        <f>modif0!G426</f>
        <v>TABARTON-OUEST</v>
      </c>
      <c r="G393" t="str">
        <f>modif0!I426</f>
        <v>0B</v>
      </c>
      <c r="H393">
        <f>modif0!J426</f>
        <v>659</v>
      </c>
      <c r="I393" t="str">
        <f>modif0!K426</f>
        <v>o</v>
      </c>
      <c r="J393" s="11">
        <f>modif0!M426</f>
        <v>0.43669999999999998</v>
      </c>
      <c r="K393" s="11" t="str">
        <f>modif0!P426</f>
        <v>TAIL</v>
      </c>
      <c r="L393" t="str">
        <f>modif0!N426</f>
        <v>FEUIL</v>
      </c>
      <c r="M393">
        <f>modif0!Q426</f>
        <v>2000</v>
      </c>
      <c r="N393" t="str">
        <f>modif0!R426</f>
        <v>TAIL-FEUIL_2000</v>
      </c>
      <c r="O393" t="b">
        <f>modif0!S426</f>
        <v>0</v>
      </c>
      <c r="P393">
        <v>40</v>
      </c>
      <c r="AA393" s="17" t="b">
        <f>IF($A393,$J393*(IF(Q393=regle!$B$11,regle!$B$23*IF(AJ393=-2,1+regle!$B$35,1),
IF(Q393=regle!$C$11,regle!$C$23,
IF(Q393=regle!$D$11,regle!$D$23,
IF(Q393=regle!$E$11,regle!$E$23,
IF(Q393=regle!$F$11,regle!$F$23,
IF(Q393=regle!$G$11,regle!$G$23,
IF(Q393=regle!$H$11,regle!$H$23,
IF(Q393=regle!$I$11,regle!$I$23,
IF(Q393=regle!$J$11,regle!$J$23,
IF(Q393=regle!$K$11,regle!$K$23,0))))))))))))</f>
        <v>0</v>
      </c>
      <c r="AB393" s="17" t="b">
        <f>IF($A393,$J393*(IF(R393=regle!$B$11,regle!$B$23*IF(AK393=-2,1+regle!$B$35,1),
IF(R393=regle!$C$11,regle!$C$23,
IF(R393=regle!$D$11,regle!$D$23,
IF(R393=regle!$E$11,regle!$E$23,
IF(R393=regle!$F$11,regle!$F$23,
IF(R393=regle!$G$11,regle!$G$23,
IF(R393=regle!$H$11,regle!$H$23,
IF(R393=regle!$I$11,regle!$I$23,
IF(R393=regle!$J$11,regle!$J$23,
IF(R393=regle!$K$11,regle!$K$23,0))))))))))))</f>
        <v>0</v>
      </c>
      <c r="AC393" s="17" t="b">
        <f>IF($A393,$J393*(IF(S393=regle!$B$11,regle!$B$23*IF(AL393=-2,1+regle!$B$35,1),
IF(S393=regle!$C$11,regle!$C$23,
IF(S393=regle!$D$11,regle!$D$23,
IF(S393=regle!$E$11,regle!$E$23,
IF(S393=regle!$F$11,regle!$F$23,
IF(S393=regle!$G$11,regle!$G$23,
IF(S393=regle!$H$11,regle!$H$23,
IF(S393=regle!$I$11,regle!$I$23,
IF(S393=regle!$J$11,regle!$J$23,
IF(S393=regle!$K$11,regle!$K$23,0))))))))))))</f>
        <v>0</v>
      </c>
      <c r="AD393" s="17" t="b">
        <f>IF($A393,$J393*(IF(T393=regle!$B$11,regle!$B$23*IF(AM393=-2,1+regle!$B$35,1),
IF(T393=regle!$C$11,regle!$C$23,
IF(T393=regle!$D$11,regle!$D$23,
IF(T393=regle!$E$11,regle!$E$23,
IF(T393=regle!$F$11,regle!$F$23,
IF(T393=regle!$G$11,regle!$G$23,
IF(T393=regle!$H$11,regle!$H$23,
IF(T393=regle!$I$11,regle!$I$23,
IF(T393=regle!$J$11,regle!$J$23,
IF(T393=regle!$K$11,regle!$K$23,0))))))))))))</f>
        <v>0</v>
      </c>
      <c r="AE393" s="17" t="b">
        <f>IF($A393,$J393*(IF(U393=regle!$B$11,regle!$B$23*IF(AN393=-2,1+regle!$B$35,1),
IF(U393=regle!$C$11,regle!$C$23,
IF(U393=regle!$D$11,regle!$D$23,
IF(U393=regle!$E$11,regle!$E$23,
IF(U393=regle!$F$11,regle!$F$23,
IF(U393=regle!$G$11,regle!$G$23,
IF(U393=regle!$H$11,regle!$H$23,
IF(U393=regle!$I$11,regle!$I$23,
IF(U393=regle!$J$11,regle!$J$23,
IF(U393=regle!$K$11,regle!$K$23,0))))))))))))</f>
        <v>0</v>
      </c>
      <c r="AF393" s="17" t="b">
        <f>IF($A393,$J393*(IF(V393=regle!$B$11,regle!$B$23*IF(AO393=-2,1+regle!$B$35,1),
IF(V393=regle!$C$11,regle!$C$23,
IF(V393=regle!$D$11,regle!$D$23,
IF(V393=regle!$E$11,regle!$E$23,
IF(V393=regle!$F$11,regle!$F$23,
IF(V393=regle!$G$11,regle!$G$23,
IF(V393=regle!$H$11,regle!$H$23,
IF(V393=regle!$I$11,regle!$I$23,
IF(V393=regle!$J$11,regle!$J$23,
IF(V393=regle!$K$11,regle!$K$23,0))))))))))))</f>
        <v>0</v>
      </c>
      <c r="AG393" s="17" t="b">
        <f>IF($A393,$J393*(IF(W393=regle!$B$11,regle!$B$23*IF(AP393=-2,1+regle!$B$35,1),
IF(W393=regle!$C$11,regle!$C$23,
IF(W393=regle!$D$11,regle!$D$23,
IF(W393=regle!$E$11,regle!$E$23,
IF(W393=regle!$F$11,regle!$F$23,
IF(W393=regle!$G$11,regle!$G$23,
IF(W393=regle!$H$11,regle!$H$23,
IF(W393=regle!$I$11,regle!$I$23,
IF(W393=regle!$J$11,regle!$J$23,
IF(W393=regle!$K$11,regle!$K$23,0))))))))))))</f>
        <v>0</v>
      </c>
      <c r="AH393" s="17" t="b">
        <f>IF($A393,$J393*(IF(X393=regle!$B$11,regle!$B$23*IF(AQ393=-2,1+regle!$B$35,1),
IF(X393=regle!$C$11,regle!$C$23,
IF(X393=regle!$D$11,regle!$D$23,
IF(X393=regle!$E$11,regle!$E$23,
IF(X393=regle!$F$11,regle!$F$23,
IF(X393=regle!$G$11,regle!$G$23,
IF(X393=regle!$H$11,regle!$H$23,
IF(X393=regle!$I$11,regle!$I$23,
IF(X393=regle!$J$11,regle!$J$23,
IF(X393=regle!$K$11,regle!$K$23,0))))))))))))</f>
        <v>0</v>
      </c>
      <c r="AI393" s="17" t="b">
        <f>IF($A393,$J393*(IF(Y393=regle!$B$11,regle!$B$23*IF(AR393=-2,1+regle!$B$35,1),
IF(Y393=regle!$C$11,regle!$C$23,
IF(Y393=regle!$D$11,regle!$D$23,
IF(Y393=regle!$E$11,regle!$E$23,
IF(Y393=regle!$F$11,regle!$F$23,
IF(Y393=regle!$G$11,regle!$G$23,
IF(Y393=regle!$H$11,regle!$H$23,
IF(Y393=regle!$I$11,regle!$I$23,
IF(Y393=regle!$J$11,regle!$J$23,
IF(Y393=regle!$K$11,regle!$K$23,0))))))))))))</f>
        <v>0</v>
      </c>
      <c r="AJ393" s="17" t="b">
        <f>IF($A393,$J393*(IF(Z393=regle!$B$11,regle!$B$23*IF(AS393=-2,1+regle!$B$35,1),
IF(Z393=regle!$C$11,regle!$C$23,
IF(Z393=regle!$D$11,regle!$D$23,
IF(Z393=regle!$E$11,regle!$E$23,
IF(Z393=regle!$F$11,regle!$F$23,
IF(Z393=regle!$G$11,regle!$G$23,
IF(Z393=regle!$H$11,regle!$H$23,
IF(Z393=regle!$I$11,regle!$I$23,
IF(Z393=regle!$J$11,regle!$J$23,
IF(Z393=regle!$K$11,regle!$K$23,0))))))))))))</f>
        <v>0</v>
      </c>
      <c r="AK393" s="16">
        <f>IF(OR(Q393=regle!$J$11,Q393=regle!$K$11),-2,IF(Q393=regle!$B$11,0,IF(AK$1=$AK$1,IF($O393,-1,regle!$B$2-$M393),IF(AJ393=-1,-1,AJ393+1))))</f>
        <v>24</v>
      </c>
      <c r="AL393" s="16">
        <f>IF(OR(R393=regle!$J$11,R393=regle!$K$11),-2,IF(R393=regle!$B$11,0,IF(AL$1=$AK$1,IF($O393,-1,regle!$B$2-$M393),IF(AK393=-1,-1,AK393+1))))</f>
        <v>25</v>
      </c>
      <c r="AM393" s="16">
        <f>IF(OR(S393=regle!$J$11,S393=regle!$K$11),-2,IF(S393=regle!$B$11,0,IF(AM$1=$AK$1,IF($O393,-1,regle!$B$2-$M393),IF(AL393=-1,-1,AL393+1))))</f>
        <v>26</v>
      </c>
      <c r="AN393" s="16">
        <f>IF(OR(T393=regle!$J$11,T393=regle!$K$11),-2,IF(T393=regle!$B$11,0,IF(AN$1=$AK$1,IF($O393,-1,regle!$B$2-$M393),IF(AM393=-1,-1,AM393+1))))</f>
        <v>27</v>
      </c>
      <c r="AO393" s="16">
        <f>IF(OR(U393=regle!$J$11,U393=regle!$K$11),-2,IF(U393=regle!$B$11,0,IF(AO$1=$AK$1,IF($O393,-1,regle!$B$2-$M393),IF(AN393=-1,-1,AN393+1))))</f>
        <v>28</v>
      </c>
      <c r="AP393" s="16">
        <f>IF(OR(V393=regle!$J$11,V393=regle!$K$11),-2,IF(V393=regle!$B$11,0,IF(AP$1=$AK$1,IF($O393,-1,regle!$B$2-$M393),IF(AO393=-1,-1,AO393+1))))</f>
        <v>29</v>
      </c>
      <c r="AQ393" s="16">
        <f>IF(OR(W393=regle!$J$11,W393=regle!$K$11),-2,IF(W393=regle!$B$11,0,IF(AQ$1=$AK$1,IF($O393,-1,regle!$B$2-$M393),IF(AP393=-1,-1,AP393+1))))</f>
        <v>30</v>
      </c>
      <c r="AR393" s="16">
        <f>IF(OR(X393=regle!$J$11,X393=regle!$K$11),-2,IF(X393=regle!$B$11,0,IF(AR$1=$AK$1,IF($O393,-1,regle!$B$2-$M393),IF(AQ393=-1,-1,AQ393+1))))</f>
        <v>31</v>
      </c>
      <c r="AS393" s="16">
        <f>IF(OR(Y393=regle!$J$11,Y393=regle!$K$11),-2,IF(Y393=regle!$B$11,0,IF(AS$1=$AK$1,IF($O393,-1,regle!$B$2-$M393),IF(AR393=-1,-1,AR393+1))))</f>
        <v>32</v>
      </c>
      <c r="AT393" s="16">
        <f>IF(OR(Z393=regle!$J$11,Z393=regle!$K$11),-2,IF(Z393=regle!$B$11,0,IF(AT$1=$AK$1,IF($O393,-1,regle!$B$2-$M393),IF(AS393=-1,-1,AS393+1))))</f>
        <v>33</v>
      </c>
    </row>
    <row r="394" spans="1:46" x14ac:dyDescent="0.25">
      <c r="A394" t="b">
        <f>modif0!A422</f>
        <v>0</v>
      </c>
      <c r="B394">
        <f>ROW(modif0!B422)</f>
        <v>422</v>
      </c>
      <c r="C394" t="str">
        <f>modif0!D422</f>
        <v>171</v>
      </c>
      <c r="D394" t="str">
        <f>modif0!E422</f>
        <v>MANO</v>
      </c>
      <c r="E394">
        <f>modif0!F422</f>
        <v>17</v>
      </c>
      <c r="F394" t="str">
        <f>modif0!G422</f>
        <v>LANDE DE TABARTON</v>
      </c>
      <c r="G394" t="str">
        <f>modif0!I422</f>
        <v>0B</v>
      </c>
      <c r="H394">
        <f>modif0!J422</f>
        <v>300</v>
      </c>
      <c r="I394" t="str">
        <f>modif0!K422</f>
        <v/>
      </c>
      <c r="J394" s="11">
        <f>modif0!M422</f>
        <v>0.32</v>
      </c>
      <c r="K394" s="11" t="str">
        <f>modif0!P422</f>
        <v>TAIL</v>
      </c>
      <c r="L394" t="str">
        <f>modif0!N422</f>
        <v>FEUIL</v>
      </c>
      <c r="M394">
        <f>modif0!Q422</f>
        <v>1997</v>
      </c>
      <c r="N394" t="str">
        <f>modif0!R422</f>
        <v>TAIL-FEUIL_1997</v>
      </c>
      <c r="O394" t="b">
        <f>modif0!S422</f>
        <v>0</v>
      </c>
      <c r="P394">
        <v>40</v>
      </c>
      <c r="AA394" s="17" t="b">
        <f>IF($A394,$J394*(IF(Q394=regle!$B$11,regle!$B$23*IF(AJ394=-2,1+regle!$B$35,1),
IF(Q394=regle!$C$11,regle!$C$23,
IF(Q394=regle!$D$11,regle!$D$23,
IF(Q394=regle!$E$11,regle!$E$23,
IF(Q394=regle!$F$11,regle!$F$23,
IF(Q394=regle!$G$11,regle!$G$23,
IF(Q394=regle!$H$11,regle!$H$23,
IF(Q394=regle!$I$11,regle!$I$23,
IF(Q394=regle!$J$11,regle!$J$23,
IF(Q394=regle!$K$11,regle!$K$23,0))))))))))))</f>
        <v>0</v>
      </c>
      <c r="AB394" s="17" t="b">
        <f>IF($A394,$J394*(IF(R394=regle!$B$11,regle!$B$23*IF(AK394=-2,1+regle!$B$35,1),
IF(R394=regle!$C$11,regle!$C$23,
IF(R394=regle!$D$11,regle!$D$23,
IF(R394=regle!$E$11,regle!$E$23,
IF(R394=regle!$F$11,regle!$F$23,
IF(R394=regle!$G$11,regle!$G$23,
IF(R394=regle!$H$11,regle!$H$23,
IF(R394=regle!$I$11,regle!$I$23,
IF(R394=regle!$J$11,regle!$J$23,
IF(R394=regle!$K$11,regle!$K$23,0))))))))))))</f>
        <v>0</v>
      </c>
      <c r="AC394" s="17" t="b">
        <f>IF($A394,$J394*(IF(S394=regle!$B$11,regle!$B$23*IF(AL394=-2,1+regle!$B$35,1),
IF(S394=regle!$C$11,regle!$C$23,
IF(S394=regle!$D$11,regle!$D$23,
IF(S394=regle!$E$11,regle!$E$23,
IF(S394=regle!$F$11,regle!$F$23,
IF(S394=regle!$G$11,regle!$G$23,
IF(S394=regle!$H$11,regle!$H$23,
IF(S394=regle!$I$11,regle!$I$23,
IF(S394=regle!$J$11,regle!$J$23,
IF(S394=regle!$K$11,regle!$K$23,0))))))))))))</f>
        <v>0</v>
      </c>
      <c r="AD394" s="17" t="b">
        <f>IF($A394,$J394*(IF(T394=regle!$B$11,regle!$B$23*IF(AM394=-2,1+regle!$B$35,1),
IF(T394=regle!$C$11,regle!$C$23,
IF(T394=regle!$D$11,regle!$D$23,
IF(T394=regle!$E$11,regle!$E$23,
IF(T394=regle!$F$11,regle!$F$23,
IF(T394=regle!$G$11,regle!$G$23,
IF(T394=regle!$H$11,regle!$H$23,
IF(T394=regle!$I$11,regle!$I$23,
IF(T394=regle!$J$11,regle!$J$23,
IF(T394=regle!$K$11,regle!$K$23,0))))))))))))</f>
        <v>0</v>
      </c>
      <c r="AE394" s="17" t="b">
        <f>IF($A394,$J394*(IF(U394=regle!$B$11,regle!$B$23*IF(AN394=-2,1+regle!$B$35,1),
IF(U394=regle!$C$11,regle!$C$23,
IF(U394=regle!$D$11,regle!$D$23,
IF(U394=regle!$E$11,regle!$E$23,
IF(U394=regle!$F$11,regle!$F$23,
IF(U394=regle!$G$11,regle!$G$23,
IF(U394=regle!$H$11,regle!$H$23,
IF(U394=regle!$I$11,regle!$I$23,
IF(U394=regle!$J$11,regle!$J$23,
IF(U394=regle!$K$11,regle!$K$23,0))))))))))))</f>
        <v>0</v>
      </c>
      <c r="AF394" s="17" t="b">
        <f>IF($A394,$J394*(IF(V394=regle!$B$11,regle!$B$23*IF(AO394=-2,1+regle!$B$35,1),
IF(V394=regle!$C$11,regle!$C$23,
IF(V394=regle!$D$11,regle!$D$23,
IF(V394=regle!$E$11,regle!$E$23,
IF(V394=regle!$F$11,regle!$F$23,
IF(V394=regle!$G$11,regle!$G$23,
IF(V394=regle!$H$11,regle!$H$23,
IF(V394=regle!$I$11,regle!$I$23,
IF(V394=regle!$J$11,regle!$J$23,
IF(V394=regle!$K$11,regle!$K$23,0))))))))))))</f>
        <v>0</v>
      </c>
      <c r="AG394" s="17" t="b">
        <f>IF($A394,$J394*(IF(W394=regle!$B$11,regle!$B$23*IF(AP394=-2,1+regle!$B$35,1),
IF(W394=regle!$C$11,regle!$C$23,
IF(W394=regle!$D$11,regle!$D$23,
IF(W394=regle!$E$11,regle!$E$23,
IF(W394=regle!$F$11,regle!$F$23,
IF(W394=regle!$G$11,regle!$G$23,
IF(W394=regle!$H$11,regle!$H$23,
IF(W394=regle!$I$11,regle!$I$23,
IF(W394=regle!$J$11,regle!$J$23,
IF(W394=regle!$K$11,regle!$K$23,0))))))))))))</f>
        <v>0</v>
      </c>
      <c r="AH394" s="17" t="b">
        <f>IF($A394,$J394*(IF(X394=regle!$B$11,regle!$B$23*IF(AQ394=-2,1+regle!$B$35,1),
IF(X394=regle!$C$11,regle!$C$23,
IF(X394=regle!$D$11,regle!$D$23,
IF(X394=regle!$E$11,regle!$E$23,
IF(X394=regle!$F$11,regle!$F$23,
IF(X394=regle!$G$11,regle!$G$23,
IF(X394=regle!$H$11,regle!$H$23,
IF(X394=regle!$I$11,regle!$I$23,
IF(X394=regle!$J$11,regle!$J$23,
IF(X394=regle!$K$11,regle!$K$23,0))))))))))))</f>
        <v>0</v>
      </c>
      <c r="AI394" s="17" t="b">
        <f>IF($A394,$J394*(IF(Y394=regle!$B$11,regle!$B$23*IF(AR394=-2,1+regle!$B$35,1),
IF(Y394=regle!$C$11,regle!$C$23,
IF(Y394=regle!$D$11,regle!$D$23,
IF(Y394=regle!$E$11,regle!$E$23,
IF(Y394=regle!$F$11,regle!$F$23,
IF(Y394=regle!$G$11,regle!$G$23,
IF(Y394=regle!$H$11,regle!$H$23,
IF(Y394=regle!$I$11,regle!$I$23,
IF(Y394=regle!$J$11,regle!$J$23,
IF(Y394=regle!$K$11,regle!$K$23,0))))))))))))</f>
        <v>0</v>
      </c>
      <c r="AJ394" s="17" t="b">
        <f>IF($A394,$J394*(IF(Z394=regle!$B$11,regle!$B$23*IF(AS394=-2,1+regle!$B$35,1),
IF(Z394=regle!$C$11,regle!$C$23,
IF(Z394=regle!$D$11,regle!$D$23,
IF(Z394=regle!$E$11,regle!$E$23,
IF(Z394=regle!$F$11,regle!$F$23,
IF(Z394=regle!$G$11,regle!$G$23,
IF(Z394=regle!$H$11,regle!$H$23,
IF(Z394=regle!$I$11,regle!$I$23,
IF(Z394=regle!$J$11,regle!$J$23,
IF(Z394=regle!$K$11,regle!$K$23,0))))))))))))</f>
        <v>0</v>
      </c>
      <c r="AK394" s="16">
        <f>IF(OR(Q394=regle!$J$11,Q394=regle!$K$11),-2,IF(Q394=regle!$B$11,0,IF(AK$1=$AK$1,IF($O394,-1,regle!$B$2-$M394),IF(AJ394=-1,-1,AJ394+1))))</f>
        <v>27</v>
      </c>
      <c r="AL394" s="16">
        <f>IF(OR(R394=regle!$J$11,R394=regle!$K$11),-2,IF(R394=regle!$B$11,0,IF(AL$1=$AK$1,IF($O394,-1,regle!$B$2-$M394),IF(AK394=-1,-1,AK394+1))))</f>
        <v>28</v>
      </c>
      <c r="AM394" s="16">
        <f>IF(OR(S394=regle!$J$11,S394=regle!$K$11),-2,IF(S394=regle!$B$11,0,IF(AM$1=$AK$1,IF($O394,-1,regle!$B$2-$M394),IF(AL394=-1,-1,AL394+1))))</f>
        <v>29</v>
      </c>
      <c r="AN394" s="16">
        <f>IF(OR(T394=regle!$J$11,T394=regle!$K$11),-2,IF(T394=regle!$B$11,0,IF(AN$1=$AK$1,IF($O394,-1,regle!$B$2-$M394),IF(AM394=-1,-1,AM394+1))))</f>
        <v>30</v>
      </c>
      <c r="AO394" s="16">
        <f>IF(OR(U394=regle!$J$11,U394=regle!$K$11),-2,IF(U394=regle!$B$11,0,IF(AO$1=$AK$1,IF($O394,-1,regle!$B$2-$M394),IF(AN394=-1,-1,AN394+1))))</f>
        <v>31</v>
      </c>
      <c r="AP394" s="16">
        <f>IF(OR(V394=regle!$J$11,V394=regle!$K$11),-2,IF(V394=regle!$B$11,0,IF(AP$1=$AK$1,IF($O394,-1,regle!$B$2-$M394),IF(AO394=-1,-1,AO394+1))))</f>
        <v>32</v>
      </c>
      <c r="AQ394" s="16">
        <f>IF(OR(W394=regle!$J$11,W394=regle!$K$11),-2,IF(W394=regle!$B$11,0,IF(AQ$1=$AK$1,IF($O394,-1,regle!$B$2-$M394),IF(AP394=-1,-1,AP394+1))))</f>
        <v>33</v>
      </c>
      <c r="AR394" s="16">
        <f>IF(OR(X394=regle!$J$11,X394=regle!$K$11),-2,IF(X394=regle!$B$11,0,IF(AR$1=$AK$1,IF($O394,-1,regle!$B$2-$M394),IF(AQ394=-1,-1,AQ394+1))))</f>
        <v>34</v>
      </c>
      <c r="AS394" s="16">
        <f>IF(OR(Y394=regle!$J$11,Y394=regle!$K$11),-2,IF(Y394=regle!$B$11,0,IF(AS$1=$AK$1,IF($O394,-1,regle!$B$2-$M394),IF(AR394=-1,-1,AR394+1))))</f>
        <v>35</v>
      </c>
      <c r="AT394" s="16">
        <f>IF(OR(Z394=regle!$J$11,Z394=regle!$K$11),-2,IF(Z394=regle!$B$11,0,IF(AT$1=$AK$1,IF($O394,-1,regle!$B$2-$M394),IF(AS394=-1,-1,AS394+1))))</f>
        <v>36</v>
      </c>
    </row>
    <row r="395" spans="1:46" x14ac:dyDescent="0.25">
      <c r="A395" t="b">
        <f>modif0!A424</f>
        <v>0</v>
      </c>
      <c r="B395">
        <f>ROW(modif0!B424)</f>
        <v>424</v>
      </c>
      <c r="C395" t="str">
        <f>modif0!D424</f>
        <v>171</v>
      </c>
      <c r="D395" t="str">
        <f>modif0!E424</f>
        <v>MANO</v>
      </c>
      <c r="E395">
        <f>modif0!F424</f>
        <v>17</v>
      </c>
      <c r="F395" t="str">
        <f>modif0!G424</f>
        <v>LANDE DE TABARTON</v>
      </c>
      <c r="G395" t="str">
        <f>modif0!I424</f>
        <v>0B</v>
      </c>
      <c r="H395">
        <f>modif0!J424</f>
        <v>305</v>
      </c>
      <c r="I395" t="str">
        <f>modif0!K424</f>
        <v/>
      </c>
      <c r="J395" s="11">
        <f>modif0!M424</f>
        <v>0.24279999999999999</v>
      </c>
      <c r="K395" s="11" t="str">
        <f>modif0!P424</f>
        <v>TAIL</v>
      </c>
      <c r="L395" t="str">
        <f>modif0!N424</f>
        <v>FEUIL</v>
      </c>
      <c r="M395">
        <f>modif0!Q424</f>
        <v>1997</v>
      </c>
      <c r="N395" t="str">
        <f>modif0!R424</f>
        <v>TAIL-FEUIL_1997</v>
      </c>
      <c r="O395" t="b">
        <f>modif0!S424</f>
        <v>0</v>
      </c>
      <c r="P395">
        <v>40</v>
      </c>
      <c r="AA395" s="17" t="b">
        <f>IF($A395,$J395*(IF(Q395=regle!$B$11,regle!$B$23*IF(AJ395=-2,1+regle!$B$35,1),
IF(Q395=regle!$C$11,regle!$C$23,
IF(Q395=regle!$D$11,regle!$D$23,
IF(Q395=regle!$E$11,regle!$E$23,
IF(Q395=regle!$F$11,regle!$F$23,
IF(Q395=regle!$G$11,regle!$G$23,
IF(Q395=regle!$H$11,regle!$H$23,
IF(Q395=regle!$I$11,regle!$I$23,
IF(Q395=regle!$J$11,regle!$J$23,
IF(Q395=regle!$K$11,regle!$K$23,0))))))))))))</f>
        <v>0</v>
      </c>
      <c r="AB395" s="17" t="b">
        <f>IF($A395,$J395*(IF(R395=regle!$B$11,regle!$B$23*IF(AK395=-2,1+regle!$B$35,1),
IF(R395=regle!$C$11,regle!$C$23,
IF(R395=regle!$D$11,regle!$D$23,
IF(R395=regle!$E$11,regle!$E$23,
IF(R395=regle!$F$11,regle!$F$23,
IF(R395=regle!$G$11,regle!$G$23,
IF(R395=regle!$H$11,regle!$H$23,
IF(R395=regle!$I$11,regle!$I$23,
IF(R395=regle!$J$11,regle!$J$23,
IF(R395=regle!$K$11,regle!$K$23,0))))))))))))</f>
        <v>0</v>
      </c>
      <c r="AC395" s="17" t="b">
        <f>IF($A395,$J395*(IF(S395=regle!$B$11,regle!$B$23*IF(AL395=-2,1+regle!$B$35,1),
IF(S395=regle!$C$11,regle!$C$23,
IF(S395=regle!$D$11,regle!$D$23,
IF(S395=regle!$E$11,regle!$E$23,
IF(S395=regle!$F$11,regle!$F$23,
IF(S395=regle!$G$11,regle!$G$23,
IF(S395=regle!$H$11,regle!$H$23,
IF(S395=regle!$I$11,regle!$I$23,
IF(S395=regle!$J$11,regle!$J$23,
IF(S395=regle!$K$11,regle!$K$23,0))))))))))))</f>
        <v>0</v>
      </c>
      <c r="AD395" s="17" t="b">
        <f>IF($A395,$J395*(IF(T395=regle!$B$11,regle!$B$23*IF(AM395=-2,1+regle!$B$35,1),
IF(T395=regle!$C$11,regle!$C$23,
IF(T395=regle!$D$11,regle!$D$23,
IF(T395=regle!$E$11,regle!$E$23,
IF(T395=regle!$F$11,regle!$F$23,
IF(T395=regle!$G$11,regle!$G$23,
IF(T395=regle!$H$11,regle!$H$23,
IF(T395=regle!$I$11,regle!$I$23,
IF(T395=regle!$J$11,regle!$J$23,
IF(T395=regle!$K$11,regle!$K$23,0))))))))))))</f>
        <v>0</v>
      </c>
      <c r="AE395" s="17" t="b">
        <f>IF($A395,$J395*(IF(U395=regle!$B$11,regle!$B$23*IF(AN395=-2,1+regle!$B$35,1),
IF(U395=regle!$C$11,regle!$C$23,
IF(U395=regle!$D$11,regle!$D$23,
IF(U395=regle!$E$11,regle!$E$23,
IF(U395=regle!$F$11,regle!$F$23,
IF(U395=regle!$G$11,regle!$G$23,
IF(U395=regle!$H$11,regle!$H$23,
IF(U395=regle!$I$11,regle!$I$23,
IF(U395=regle!$J$11,regle!$J$23,
IF(U395=regle!$K$11,regle!$K$23,0))))))))))))</f>
        <v>0</v>
      </c>
      <c r="AF395" s="17" t="b">
        <f>IF($A395,$J395*(IF(V395=regle!$B$11,regle!$B$23*IF(AO395=-2,1+regle!$B$35,1),
IF(V395=regle!$C$11,regle!$C$23,
IF(V395=regle!$D$11,regle!$D$23,
IF(V395=regle!$E$11,regle!$E$23,
IF(V395=regle!$F$11,regle!$F$23,
IF(V395=regle!$G$11,regle!$G$23,
IF(V395=regle!$H$11,regle!$H$23,
IF(V395=regle!$I$11,regle!$I$23,
IF(V395=regle!$J$11,regle!$J$23,
IF(V395=regle!$K$11,regle!$K$23,0))))))))))))</f>
        <v>0</v>
      </c>
      <c r="AG395" s="17" t="b">
        <f>IF($A395,$J395*(IF(W395=regle!$B$11,regle!$B$23*IF(AP395=-2,1+regle!$B$35,1),
IF(W395=regle!$C$11,regle!$C$23,
IF(W395=regle!$D$11,regle!$D$23,
IF(W395=regle!$E$11,regle!$E$23,
IF(W395=regle!$F$11,regle!$F$23,
IF(W395=regle!$G$11,regle!$G$23,
IF(W395=regle!$H$11,regle!$H$23,
IF(W395=regle!$I$11,regle!$I$23,
IF(W395=regle!$J$11,regle!$J$23,
IF(W395=regle!$K$11,regle!$K$23,0))))))))))))</f>
        <v>0</v>
      </c>
      <c r="AH395" s="17" t="b">
        <f>IF($A395,$J395*(IF(X395=regle!$B$11,regle!$B$23*IF(AQ395=-2,1+regle!$B$35,1),
IF(X395=regle!$C$11,regle!$C$23,
IF(X395=regle!$D$11,regle!$D$23,
IF(X395=regle!$E$11,regle!$E$23,
IF(X395=regle!$F$11,regle!$F$23,
IF(X395=regle!$G$11,regle!$G$23,
IF(X395=regle!$H$11,regle!$H$23,
IF(X395=regle!$I$11,regle!$I$23,
IF(X395=regle!$J$11,regle!$J$23,
IF(X395=regle!$K$11,regle!$K$23,0))))))))))))</f>
        <v>0</v>
      </c>
      <c r="AI395" s="17" t="b">
        <f>IF($A395,$J395*(IF(Y395=regle!$B$11,regle!$B$23*IF(AR395=-2,1+regle!$B$35,1),
IF(Y395=regle!$C$11,regle!$C$23,
IF(Y395=regle!$D$11,regle!$D$23,
IF(Y395=regle!$E$11,regle!$E$23,
IF(Y395=regle!$F$11,regle!$F$23,
IF(Y395=regle!$G$11,regle!$G$23,
IF(Y395=regle!$H$11,regle!$H$23,
IF(Y395=regle!$I$11,regle!$I$23,
IF(Y395=regle!$J$11,regle!$J$23,
IF(Y395=regle!$K$11,regle!$K$23,0))))))))))))</f>
        <v>0</v>
      </c>
      <c r="AJ395" s="17" t="b">
        <f>IF($A395,$J395*(IF(Z395=regle!$B$11,regle!$B$23*IF(AS395=-2,1+regle!$B$35,1),
IF(Z395=regle!$C$11,regle!$C$23,
IF(Z395=regle!$D$11,regle!$D$23,
IF(Z395=regle!$E$11,regle!$E$23,
IF(Z395=regle!$F$11,regle!$F$23,
IF(Z395=regle!$G$11,regle!$G$23,
IF(Z395=regle!$H$11,regle!$H$23,
IF(Z395=regle!$I$11,regle!$I$23,
IF(Z395=regle!$J$11,regle!$J$23,
IF(Z395=regle!$K$11,regle!$K$23,0))))))))))))</f>
        <v>0</v>
      </c>
      <c r="AK395" s="16">
        <f>IF(OR(Q395=regle!$J$11,Q395=regle!$K$11),-2,IF(Q395=regle!$B$11,0,IF(AK$1=$AK$1,IF($O395,-1,regle!$B$2-$M395),IF(AJ395=-1,-1,AJ395+1))))</f>
        <v>27</v>
      </c>
      <c r="AL395" s="16">
        <f>IF(OR(R395=regle!$J$11,R395=regle!$K$11),-2,IF(R395=regle!$B$11,0,IF(AL$1=$AK$1,IF($O395,-1,regle!$B$2-$M395),IF(AK395=-1,-1,AK395+1))))</f>
        <v>28</v>
      </c>
      <c r="AM395" s="16">
        <f>IF(OR(S395=regle!$J$11,S395=regle!$K$11),-2,IF(S395=regle!$B$11,0,IF(AM$1=$AK$1,IF($O395,-1,regle!$B$2-$M395),IF(AL395=-1,-1,AL395+1))))</f>
        <v>29</v>
      </c>
      <c r="AN395" s="16">
        <f>IF(OR(T395=regle!$J$11,T395=regle!$K$11),-2,IF(T395=regle!$B$11,0,IF(AN$1=$AK$1,IF($O395,-1,regle!$B$2-$M395),IF(AM395=-1,-1,AM395+1))))</f>
        <v>30</v>
      </c>
      <c r="AO395" s="16">
        <f>IF(OR(U395=regle!$J$11,U395=regle!$K$11),-2,IF(U395=regle!$B$11,0,IF(AO$1=$AK$1,IF($O395,-1,regle!$B$2-$M395),IF(AN395=-1,-1,AN395+1))))</f>
        <v>31</v>
      </c>
      <c r="AP395" s="16">
        <f>IF(OR(V395=regle!$J$11,V395=regle!$K$11),-2,IF(V395=regle!$B$11,0,IF(AP$1=$AK$1,IF($O395,-1,regle!$B$2-$M395),IF(AO395=-1,-1,AO395+1))))</f>
        <v>32</v>
      </c>
      <c r="AQ395" s="16">
        <f>IF(OR(W395=regle!$J$11,W395=regle!$K$11),-2,IF(W395=regle!$B$11,0,IF(AQ$1=$AK$1,IF($O395,-1,regle!$B$2-$M395),IF(AP395=-1,-1,AP395+1))))</f>
        <v>33</v>
      </c>
      <c r="AR395" s="16">
        <f>IF(OR(X395=regle!$J$11,X395=regle!$K$11),-2,IF(X395=regle!$B$11,0,IF(AR$1=$AK$1,IF($O395,-1,regle!$B$2-$M395),IF(AQ395=-1,-1,AQ395+1))))</f>
        <v>34</v>
      </c>
      <c r="AS395" s="16">
        <f>IF(OR(Y395=regle!$J$11,Y395=regle!$K$11),-2,IF(Y395=regle!$B$11,0,IF(AS$1=$AK$1,IF($O395,-1,regle!$B$2-$M395),IF(AR395=-1,-1,AR395+1))))</f>
        <v>35</v>
      </c>
      <c r="AT395" s="16">
        <f>IF(OR(Z395=regle!$J$11,Z395=regle!$K$11),-2,IF(Z395=regle!$B$11,0,IF(AT$1=$AK$1,IF($O395,-1,regle!$B$2-$M395),IF(AS395=-1,-1,AS395+1))))</f>
        <v>36</v>
      </c>
    </row>
    <row r="396" spans="1:46" x14ac:dyDescent="0.25">
      <c r="A396" t="b">
        <f>modif0!A423</f>
        <v>0</v>
      </c>
      <c r="B396">
        <f>ROW(modif0!B423)</f>
        <v>423</v>
      </c>
      <c r="C396" t="str">
        <f>modif0!D423</f>
        <v>171</v>
      </c>
      <c r="D396" t="str">
        <f>modif0!E423</f>
        <v>MANO</v>
      </c>
      <c r="E396">
        <f>modif0!F423</f>
        <v>17</v>
      </c>
      <c r="F396" t="str">
        <f>modif0!G423</f>
        <v>LANDE DE TABARTON</v>
      </c>
      <c r="G396" t="str">
        <f>modif0!I423</f>
        <v>0B</v>
      </c>
      <c r="H396">
        <f>modif0!J423</f>
        <v>301</v>
      </c>
      <c r="I396" t="str">
        <f>modif0!K423</f>
        <v/>
      </c>
      <c r="J396" s="11">
        <f>modif0!M423</f>
        <v>2.1000000000000001E-2</v>
      </c>
      <c r="K396" s="11" t="str">
        <f>modif0!P423</f>
        <v>TAIL</v>
      </c>
      <c r="L396" t="str">
        <f>modif0!N423</f>
        <v>FEUIL</v>
      </c>
      <c r="M396">
        <f>modif0!Q423</f>
        <v>1997</v>
      </c>
      <c r="N396" t="str">
        <f>modif0!R423</f>
        <v>TAIL-FEUIL_1997</v>
      </c>
      <c r="O396" t="b">
        <f>modif0!S423</f>
        <v>0</v>
      </c>
      <c r="P396">
        <v>40</v>
      </c>
      <c r="AA396" s="17" t="b">
        <f>IF($A396,$J396*(IF(Q396=regle!$B$11,regle!$B$23*IF(AJ396=-2,1+regle!$B$35,1),
IF(Q396=regle!$C$11,regle!$C$23,
IF(Q396=regle!$D$11,regle!$D$23,
IF(Q396=regle!$E$11,regle!$E$23,
IF(Q396=regle!$F$11,regle!$F$23,
IF(Q396=regle!$G$11,regle!$G$23,
IF(Q396=regle!$H$11,regle!$H$23,
IF(Q396=regle!$I$11,regle!$I$23,
IF(Q396=regle!$J$11,regle!$J$23,
IF(Q396=regle!$K$11,regle!$K$23,0))))))))))))</f>
        <v>0</v>
      </c>
      <c r="AB396" s="17" t="b">
        <f>IF($A396,$J396*(IF(R396=regle!$B$11,regle!$B$23*IF(AK396=-2,1+regle!$B$35,1),
IF(R396=regle!$C$11,regle!$C$23,
IF(R396=regle!$D$11,regle!$D$23,
IF(R396=regle!$E$11,regle!$E$23,
IF(R396=regle!$F$11,regle!$F$23,
IF(R396=regle!$G$11,regle!$G$23,
IF(R396=regle!$H$11,regle!$H$23,
IF(R396=regle!$I$11,regle!$I$23,
IF(R396=regle!$J$11,regle!$J$23,
IF(R396=regle!$K$11,regle!$K$23,0))))))))))))</f>
        <v>0</v>
      </c>
      <c r="AC396" s="17" t="b">
        <f>IF($A396,$J396*(IF(S396=regle!$B$11,regle!$B$23*IF(AL396=-2,1+regle!$B$35,1),
IF(S396=regle!$C$11,regle!$C$23,
IF(S396=regle!$D$11,regle!$D$23,
IF(S396=regle!$E$11,regle!$E$23,
IF(S396=regle!$F$11,regle!$F$23,
IF(S396=regle!$G$11,regle!$G$23,
IF(S396=regle!$H$11,regle!$H$23,
IF(S396=regle!$I$11,regle!$I$23,
IF(S396=regle!$J$11,regle!$J$23,
IF(S396=regle!$K$11,regle!$K$23,0))))))))))))</f>
        <v>0</v>
      </c>
      <c r="AD396" s="17" t="b">
        <f>IF($A396,$J396*(IF(T396=regle!$B$11,regle!$B$23*IF(AM396=-2,1+regle!$B$35,1),
IF(T396=regle!$C$11,regle!$C$23,
IF(T396=regle!$D$11,regle!$D$23,
IF(T396=regle!$E$11,regle!$E$23,
IF(T396=regle!$F$11,regle!$F$23,
IF(T396=regle!$G$11,regle!$G$23,
IF(T396=regle!$H$11,regle!$H$23,
IF(T396=regle!$I$11,regle!$I$23,
IF(T396=regle!$J$11,regle!$J$23,
IF(T396=regle!$K$11,regle!$K$23,0))))))))))))</f>
        <v>0</v>
      </c>
      <c r="AE396" s="17" t="b">
        <f>IF($A396,$J396*(IF(U396=regle!$B$11,regle!$B$23*IF(AN396=-2,1+regle!$B$35,1),
IF(U396=regle!$C$11,regle!$C$23,
IF(U396=regle!$D$11,regle!$D$23,
IF(U396=regle!$E$11,regle!$E$23,
IF(U396=regle!$F$11,regle!$F$23,
IF(U396=regle!$G$11,regle!$G$23,
IF(U396=regle!$H$11,regle!$H$23,
IF(U396=regle!$I$11,regle!$I$23,
IF(U396=regle!$J$11,regle!$J$23,
IF(U396=regle!$K$11,regle!$K$23,0))))))))))))</f>
        <v>0</v>
      </c>
      <c r="AF396" s="17" t="b">
        <f>IF($A396,$J396*(IF(V396=regle!$B$11,regle!$B$23*IF(AO396=-2,1+regle!$B$35,1),
IF(V396=regle!$C$11,regle!$C$23,
IF(V396=regle!$D$11,regle!$D$23,
IF(V396=regle!$E$11,regle!$E$23,
IF(V396=regle!$F$11,regle!$F$23,
IF(V396=regle!$G$11,regle!$G$23,
IF(V396=regle!$H$11,regle!$H$23,
IF(V396=regle!$I$11,regle!$I$23,
IF(V396=regle!$J$11,regle!$J$23,
IF(V396=regle!$K$11,regle!$K$23,0))))))))))))</f>
        <v>0</v>
      </c>
      <c r="AG396" s="17" t="b">
        <f>IF($A396,$J396*(IF(W396=regle!$B$11,regle!$B$23*IF(AP396=-2,1+regle!$B$35,1),
IF(W396=regle!$C$11,regle!$C$23,
IF(W396=regle!$D$11,regle!$D$23,
IF(W396=regle!$E$11,regle!$E$23,
IF(W396=regle!$F$11,regle!$F$23,
IF(W396=regle!$G$11,regle!$G$23,
IF(W396=regle!$H$11,regle!$H$23,
IF(W396=regle!$I$11,regle!$I$23,
IF(W396=regle!$J$11,regle!$J$23,
IF(W396=regle!$K$11,regle!$K$23,0))))))))))))</f>
        <v>0</v>
      </c>
      <c r="AH396" s="17" t="b">
        <f>IF($A396,$J396*(IF(X396=regle!$B$11,regle!$B$23*IF(AQ396=-2,1+regle!$B$35,1),
IF(X396=regle!$C$11,regle!$C$23,
IF(X396=regle!$D$11,regle!$D$23,
IF(X396=regle!$E$11,regle!$E$23,
IF(X396=regle!$F$11,regle!$F$23,
IF(X396=regle!$G$11,regle!$G$23,
IF(X396=regle!$H$11,regle!$H$23,
IF(X396=regle!$I$11,regle!$I$23,
IF(X396=regle!$J$11,regle!$J$23,
IF(X396=regle!$K$11,regle!$K$23,0))))))))))))</f>
        <v>0</v>
      </c>
      <c r="AI396" s="17" t="b">
        <f>IF($A396,$J396*(IF(Y396=regle!$B$11,regle!$B$23*IF(AR396=-2,1+regle!$B$35,1),
IF(Y396=regle!$C$11,regle!$C$23,
IF(Y396=regle!$D$11,regle!$D$23,
IF(Y396=regle!$E$11,regle!$E$23,
IF(Y396=regle!$F$11,regle!$F$23,
IF(Y396=regle!$G$11,regle!$G$23,
IF(Y396=regle!$H$11,regle!$H$23,
IF(Y396=regle!$I$11,regle!$I$23,
IF(Y396=regle!$J$11,regle!$J$23,
IF(Y396=regle!$K$11,regle!$K$23,0))))))))))))</f>
        <v>0</v>
      </c>
      <c r="AJ396" s="17" t="b">
        <f>IF($A396,$J396*(IF(Z396=regle!$B$11,regle!$B$23*IF(AS396=-2,1+regle!$B$35,1),
IF(Z396=regle!$C$11,regle!$C$23,
IF(Z396=regle!$D$11,regle!$D$23,
IF(Z396=regle!$E$11,regle!$E$23,
IF(Z396=regle!$F$11,regle!$F$23,
IF(Z396=regle!$G$11,regle!$G$23,
IF(Z396=regle!$H$11,regle!$H$23,
IF(Z396=regle!$I$11,regle!$I$23,
IF(Z396=regle!$J$11,regle!$J$23,
IF(Z396=regle!$K$11,regle!$K$23,0))))))))))))</f>
        <v>0</v>
      </c>
      <c r="AK396" s="16">
        <f>IF(OR(Q396=regle!$J$11,Q396=regle!$K$11),-2,IF(Q396=regle!$B$11,0,IF(AK$1=$AK$1,IF($O396,-1,regle!$B$2-$M396),IF(AJ396=-1,-1,AJ396+1))))</f>
        <v>27</v>
      </c>
      <c r="AL396" s="16">
        <f>IF(OR(R396=regle!$J$11,R396=regle!$K$11),-2,IF(R396=regle!$B$11,0,IF(AL$1=$AK$1,IF($O396,-1,regle!$B$2-$M396),IF(AK396=-1,-1,AK396+1))))</f>
        <v>28</v>
      </c>
      <c r="AM396" s="16">
        <f>IF(OR(S396=regle!$J$11,S396=regle!$K$11),-2,IF(S396=regle!$B$11,0,IF(AM$1=$AK$1,IF($O396,-1,regle!$B$2-$M396),IF(AL396=-1,-1,AL396+1))))</f>
        <v>29</v>
      </c>
      <c r="AN396" s="16">
        <f>IF(OR(T396=regle!$J$11,T396=regle!$K$11),-2,IF(T396=regle!$B$11,0,IF(AN$1=$AK$1,IF($O396,-1,regle!$B$2-$M396),IF(AM396=-1,-1,AM396+1))))</f>
        <v>30</v>
      </c>
      <c r="AO396" s="16">
        <f>IF(OR(U396=regle!$J$11,U396=regle!$K$11),-2,IF(U396=regle!$B$11,0,IF(AO$1=$AK$1,IF($O396,-1,regle!$B$2-$M396),IF(AN396=-1,-1,AN396+1))))</f>
        <v>31</v>
      </c>
      <c r="AP396" s="16">
        <f>IF(OR(V396=regle!$J$11,V396=regle!$K$11),-2,IF(V396=regle!$B$11,0,IF(AP$1=$AK$1,IF($O396,-1,regle!$B$2-$M396),IF(AO396=-1,-1,AO396+1))))</f>
        <v>32</v>
      </c>
      <c r="AQ396" s="16">
        <f>IF(OR(W396=regle!$J$11,W396=regle!$K$11),-2,IF(W396=regle!$B$11,0,IF(AQ$1=$AK$1,IF($O396,-1,regle!$B$2-$M396),IF(AP396=-1,-1,AP396+1))))</f>
        <v>33</v>
      </c>
      <c r="AR396" s="16">
        <f>IF(OR(X396=regle!$J$11,X396=regle!$K$11),-2,IF(X396=regle!$B$11,0,IF(AR$1=$AK$1,IF($O396,-1,regle!$B$2-$M396),IF(AQ396=-1,-1,AQ396+1))))</f>
        <v>34</v>
      </c>
      <c r="AS396" s="16">
        <f>IF(OR(Y396=regle!$J$11,Y396=regle!$K$11),-2,IF(Y396=regle!$B$11,0,IF(AS$1=$AK$1,IF($O396,-1,regle!$B$2-$M396),IF(AR396=-1,-1,AR396+1))))</f>
        <v>35</v>
      </c>
      <c r="AT396" s="16">
        <f>IF(OR(Z396=regle!$J$11,Z396=regle!$K$11),-2,IF(Z396=regle!$B$11,0,IF(AT$1=$AK$1,IF($O396,-1,regle!$B$2-$M396),IF(AS396=-1,-1,AS396+1))))</f>
        <v>36</v>
      </c>
    </row>
    <row r="397" spans="1:46" x14ac:dyDescent="0.25">
      <c r="A397" t="b">
        <f>modif0!A442</f>
        <v>0</v>
      </c>
      <c r="B397">
        <f>ROW(modif0!B442)</f>
        <v>442</v>
      </c>
      <c r="C397" t="str">
        <f>modif0!D442</f>
        <v>200</v>
      </c>
      <c r="D397" t="str">
        <f>modif0!E442</f>
        <v>MOUSTEY</v>
      </c>
      <c r="E397">
        <f>modif0!F442</f>
        <v>18</v>
      </c>
      <c r="F397" t="str">
        <f>modif0!G442</f>
        <v>Quartier de Capsus</v>
      </c>
      <c r="G397" t="str">
        <f>modif0!I442</f>
        <v>0N</v>
      </c>
      <c r="H397">
        <f>modif0!J442</f>
        <v>715</v>
      </c>
      <c r="I397" t="str">
        <f>modif0!K442</f>
        <v/>
      </c>
      <c r="J397" s="11">
        <f>modif0!M442</f>
        <v>0.23100000000000001</v>
      </c>
      <c r="K397" s="11" t="str">
        <f>modif0!P442</f>
        <v>TAIL</v>
      </c>
      <c r="L397" t="str">
        <f>modif0!N442</f>
        <v>FEUIL</v>
      </c>
      <c r="M397">
        <f>modif0!Q442</f>
        <v>1996</v>
      </c>
      <c r="N397" t="str">
        <f>modif0!R442</f>
        <v>TAIL-FEUIL_1996</v>
      </c>
      <c r="O397" t="b">
        <f>modif0!S442</f>
        <v>0</v>
      </c>
      <c r="P397">
        <v>40</v>
      </c>
      <c r="AA397" s="17" t="b">
        <f>IF($A397,$J397*(IF(Q397=regle!$B$11,regle!$B$23*IF(AJ397=-2,1+regle!$B$35,1),
IF(Q397=regle!$C$11,regle!$C$23,
IF(Q397=regle!$D$11,regle!$D$23,
IF(Q397=regle!$E$11,regle!$E$23,
IF(Q397=regle!$F$11,regle!$F$23,
IF(Q397=regle!$G$11,regle!$G$23,
IF(Q397=regle!$H$11,regle!$H$23,
IF(Q397=regle!$I$11,regle!$I$23,
IF(Q397=regle!$J$11,regle!$J$23,
IF(Q397=regle!$K$11,regle!$K$23,0))))))))))))</f>
        <v>0</v>
      </c>
      <c r="AB397" s="17" t="b">
        <f>IF($A397,$J397*(IF(R397=regle!$B$11,regle!$B$23*IF(AK397=-2,1+regle!$B$35,1),
IF(R397=regle!$C$11,regle!$C$23,
IF(R397=regle!$D$11,regle!$D$23,
IF(R397=regle!$E$11,regle!$E$23,
IF(R397=regle!$F$11,regle!$F$23,
IF(R397=regle!$G$11,regle!$G$23,
IF(R397=regle!$H$11,regle!$H$23,
IF(R397=regle!$I$11,regle!$I$23,
IF(R397=regle!$J$11,regle!$J$23,
IF(R397=regle!$K$11,regle!$K$23,0))))))))))))</f>
        <v>0</v>
      </c>
      <c r="AC397" s="17" t="b">
        <f>IF($A397,$J397*(IF(S397=regle!$B$11,regle!$B$23*IF(AL397=-2,1+regle!$B$35,1),
IF(S397=regle!$C$11,regle!$C$23,
IF(S397=regle!$D$11,regle!$D$23,
IF(S397=regle!$E$11,regle!$E$23,
IF(S397=regle!$F$11,regle!$F$23,
IF(S397=regle!$G$11,regle!$G$23,
IF(S397=regle!$H$11,regle!$H$23,
IF(S397=regle!$I$11,regle!$I$23,
IF(S397=regle!$J$11,regle!$J$23,
IF(S397=regle!$K$11,regle!$K$23,0))))))))))))</f>
        <v>0</v>
      </c>
      <c r="AD397" s="17" t="b">
        <f>IF($A397,$J397*(IF(T397=regle!$B$11,regle!$B$23*IF(AM397=-2,1+regle!$B$35,1),
IF(T397=regle!$C$11,regle!$C$23,
IF(T397=regle!$D$11,regle!$D$23,
IF(T397=regle!$E$11,regle!$E$23,
IF(T397=regle!$F$11,regle!$F$23,
IF(T397=regle!$G$11,regle!$G$23,
IF(T397=regle!$H$11,regle!$H$23,
IF(T397=regle!$I$11,regle!$I$23,
IF(T397=regle!$J$11,regle!$J$23,
IF(T397=regle!$K$11,regle!$K$23,0))))))))))))</f>
        <v>0</v>
      </c>
      <c r="AE397" s="17" t="b">
        <f>IF($A397,$J397*(IF(U397=regle!$B$11,regle!$B$23*IF(AN397=-2,1+regle!$B$35,1),
IF(U397=regle!$C$11,regle!$C$23,
IF(U397=regle!$D$11,regle!$D$23,
IF(U397=regle!$E$11,regle!$E$23,
IF(U397=regle!$F$11,regle!$F$23,
IF(U397=regle!$G$11,regle!$G$23,
IF(U397=regle!$H$11,regle!$H$23,
IF(U397=regle!$I$11,regle!$I$23,
IF(U397=regle!$J$11,regle!$J$23,
IF(U397=regle!$K$11,regle!$K$23,0))))))))))))</f>
        <v>0</v>
      </c>
      <c r="AF397" s="17" t="b">
        <f>IF($A397,$J397*(IF(V397=regle!$B$11,regle!$B$23*IF(AO397=-2,1+regle!$B$35,1),
IF(V397=regle!$C$11,regle!$C$23,
IF(V397=regle!$D$11,regle!$D$23,
IF(V397=regle!$E$11,regle!$E$23,
IF(V397=regle!$F$11,regle!$F$23,
IF(V397=regle!$G$11,regle!$G$23,
IF(V397=regle!$H$11,regle!$H$23,
IF(V397=regle!$I$11,regle!$I$23,
IF(V397=regle!$J$11,regle!$J$23,
IF(V397=regle!$K$11,regle!$K$23,0))))))))))))</f>
        <v>0</v>
      </c>
      <c r="AG397" s="17" t="b">
        <f>IF($A397,$J397*(IF(W397=regle!$B$11,regle!$B$23*IF(AP397=-2,1+regle!$B$35,1),
IF(W397=regle!$C$11,regle!$C$23,
IF(W397=regle!$D$11,regle!$D$23,
IF(W397=regle!$E$11,regle!$E$23,
IF(W397=regle!$F$11,regle!$F$23,
IF(W397=regle!$G$11,regle!$G$23,
IF(W397=regle!$H$11,regle!$H$23,
IF(W397=regle!$I$11,regle!$I$23,
IF(W397=regle!$J$11,regle!$J$23,
IF(W397=regle!$K$11,regle!$K$23,0))))))))))))</f>
        <v>0</v>
      </c>
      <c r="AH397" s="17" t="b">
        <f>IF($A397,$J397*(IF(X397=regle!$B$11,regle!$B$23*IF(AQ397=-2,1+regle!$B$35,1),
IF(X397=regle!$C$11,regle!$C$23,
IF(X397=regle!$D$11,regle!$D$23,
IF(X397=regle!$E$11,regle!$E$23,
IF(X397=regle!$F$11,regle!$F$23,
IF(X397=regle!$G$11,regle!$G$23,
IF(X397=regle!$H$11,regle!$H$23,
IF(X397=regle!$I$11,regle!$I$23,
IF(X397=regle!$J$11,regle!$J$23,
IF(X397=regle!$K$11,regle!$K$23,0))))))))))))</f>
        <v>0</v>
      </c>
      <c r="AI397" s="17" t="b">
        <f>IF($A397,$J397*(IF(Y397=regle!$B$11,regle!$B$23*IF(AR397=-2,1+regle!$B$35,1),
IF(Y397=regle!$C$11,regle!$C$23,
IF(Y397=regle!$D$11,regle!$D$23,
IF(Y397=regle!$E$11,regle!$E$23,
IF(Y397=regle!$F$11,regle!$F$23,
IF(Y397=regle!$G$11,regle!$G$23,
IF(Y397=regle!$H$11,regle!$H$23,
IF(Y397=regle!$I$11,regle!$I$23,
IF(Y397=regle!$J$11,regle!$J$23,
IF(Y397=regle!$K$11,regle!$K$23,0))))))))))))</f>
        <v>0</v>
      </c>
      <c r="AJ397" s="17" t="b">
        <f>IF($A397,$J397*(IF(Z397=regle!$B$11,regle!$B$23*IF(AS397=-2,1+regle!$B$35,1),
IF(Z397=regle!$C$11,regle!$C$23,
IF(Z397=regle!$D$11,regle!$D$23,
IF(Z397=regle!$E$11,regle!$E$23,
IF(Z397=regle!$F$11,regle!$F$23,
IF(Z397=regle!$G$11,regle!$G$23,
IF(Z397=regle!$H$11,regle!$H$23,
IF(Z397=regle!$I$11,regle!$I$23,
IF(Z397=regle!$J$11,regle!$J$23,
IF(Z397=regle!$K$11,regle!$K$23,0))))))))))))</f>
        <v>0</v>
      </c>
      <c r="AK397" s="16">
        <f>IF(OR(Q397=regle!$J$11,Q397=regle!$K$11),-2,IF(Q397=regle!$B$11,0,IF(AK$1=$AK$1,IF($O397,-1,regle!$B$2-$M397),IF(AJ397=-1,-1,AJ397+1))))</f>
        <v>28</v>
      </c>
      <c r="AL397" s="16">
        <f>IF(OR(R397=regle!$J$11,R397=regle!$K$11),-2,IF(R397=regle!$B$11,0,IF(AL$1=$AK$1,IF($O397,-1,regle!$B$2-$M397),IF(AK397=-1,-1,AK397+1))))</f>
        <v>29</v>
      </c>
      <c r="AM397" s="16">
        <f>IF(OR(S397=regle!$J$11,S397=regle!$K$11),-2,IF(S397=regle!$B$11,0,IF(AM$1=$AK$1,IF($O397,-1,regle!$B$2-$M397),IF(AL397=-1,-1,AL397+1))))</f>
        <v>30</v>
      </c>
      <c r="AN397" s="16">
        <f>IF(OR(T397=regle!$J$11,T397=regle!$K$11),-2,IF(T397=regle!$B$11,0,IF(AN$1=$AK$1,IF($O397,-1,regle!$B$2-$M397),IF(AM397=-1,-1,AM397+1))))</f>
        <v>31</v>
      </c>
      <c r="AO397" s="16">
        <f>IF(OR(U397=regle!$J$11,U397=regle!$K$11),-2,IF(U397=regle!$B$11,0,IF(AO$1=$AK$1,IF($O397,-1,regle!$B$2-$M397),IF(AN397=-1,-1,AN397+1))))</f>
        <v>32</v>
      </c>
      <c r="AP397" s="16">
        <f>IF(OR(V397=regle!$J$11,V397=regle!$K$11),-2,IF(V397=regle!$B$11,0,IF(AP$1=$AK$1,IF($O397,-1,regle!$B$2-$M397),IF(AO397=-1,-1,AO397+1))))</f>
        <v>33</v>
      </c>
      <c r="AQ397" s="16">
        <f>IF(OR(W397=regle!$J$11,W397=regle!$K$11),-2,IF(W397=regle!$B$11,0,IF(AQ$1=$AK$1,IF($O397,-1,regle!$B$2-$M397),IF(AP397=-1,-1,AP397+1))))</f>
        <v>34</v>
      </c>
      <c r="AR397" s="16">
        <f>IF(OR(X397=regle!$J$11,X397=regle!$K$11),-2,IF(X397=regle!$B$11,0,IF(AR$1=$AK$1,IF($O397,-1,regle!$B$2-$M397),IF(AQ397=-1,-1,AQ397+1))))</f>
        <v>35</v>
      </c>
      <c r="AS397" s="16">
        <f>IF(OR(Y397=regle!$J$11,Y397=regle!$K$11),-2,IF(Y397=regle!$B$11,0,IF(AS$1=$AK$1,IF($O397,-1,regle!$B$2-$M397),IF(AR397=-1,-1,AR397+1))))</f>
        <v>36</v>
      </c>
      <c r="AT397" s="16">
        <f>IF(OR(Z397=regle!$J$11,Z397=regle!$K$11),-2,IF(Z397=regle!$B$11,0,IF(AT$1=$AK$1,IF($O397,-1,regle!$B$2-$M397),IF(AS397=-1,-1,AS397+1))))</f>
        <v>37</v>
      </c>
    </row>
    <row r="398" spans="1:46" x14ac:dyDescent="0.25">
      <c r="A398" t="b">
        <f>modif0!A441</f>
        <v>0</v>
      </c>
      <c r="B398">
        <f>ROW(modif0!B441)</f>
        <v>441</v>
      </c>
      <c r="C398" t="str">
        <f>modif0!D441</f>
        <v>200</v>
      </c>
      <c r="D398" t="str">
        <f>modif0!E441</f>
        <v>MOUSTEY</v>
      </c>
      <c r="E398">
        <f>modif0!F441</f>
        <v>9</v>
      </c>
      <c r="F398" t="str">
        <f>modif0!G441</f>
        <v>Peyroulet</v>
      </c>
      <c r="G398" t="str">
        <f>modif0!I441</f>
        <v>0N</v>
      </c>
      <c r="H398">
        <f>modif0!J441</f>
        <v>175</v>
      </c>
      <c r="I398" t="str">
        <f>modif0!K441</f>
        <v/>
      </c>
      <c r="J398" s="11">
        <f>modif0!M441</f>
        <v>9.6699999999999994E-2</v>
      </c>
      <c r="K398" s="11" t="str">
        <f>modif0!P441</f>
        <v>TAIL</v>
      </c>
      <c r="L398" t="str">
        <f>modif0!N441</f>
        <v>FEUIL</v>
      </c>
      <c r="M398">
        <f>modif0!Q441</f>
        <v>1996</v>
      </c>
      <c r="N398" t="str">
        <f>modif0!R441</f>
        <v>TAIL-FEUIL_1996</v>
      </c>
      <c r="O398" t="b">
        <f>modif0!S441</f>
        <v>0</v>
      </c>
      <c r="P398">
        <v>40</v>
      </c>
      <c r="AA398" s="17" t="b">
        <f>IF($A398,$J398*(IF(Q398=regle!$B$11,regle!$B$23*IF(AJ398=-2,1+regle!$B$35,1),
IF(Q398=regle!$C$11,regle!$C$23,
IF(Q398=regle!$D$11,regle!$D$23,
IF(Q398=regle!$E$11,regle!$E$23,
IF(Q398=regle!$F$11,regle!$F$23,
IF(Q398=regle!$G$11,regle!$G$23,
IF(Q398=regle!$H$11,regle!$H$23,
IF(Q398=regle!$I$11,regle!$I$23,
IF(Q398=regle!$J$11,regle!$J$23,
IF(Q398=regle!$K$11,regle!$K$23,0))))))))))))</f>
        <v>0</v>
      </c>
      <c r="AB398" s="17" t="b">
        <f>IF($A398,$J398*(IF(R398=regle!$B$11,regle!$B$23*IF(AK398=-2,1+regle!$B$35,1),
IF(R398=regle!$C$11,regle!$C$23,
IF(R398=regle!$D$11,regle!$D$23,
IF(R398=regle!$E$11,regle!$E$23,
IF(R398=regle!$F$11,regle!$F$23,
IF(R398=regle!$G$11,regle!$G$23,
IF(R398=regle!$H$11,regle!$H$23,
IF(R398=regle!$I$11,regle!$I$23,
IF(R398=regle!$J$11,regle!$J$23,
IF(R398=regle!$K$11,regle!$K$23,0))))))))))))</f>
        <v>0</v>
      </c>
      <c r="AC398" s="17" t="b">
        <f>IF($A398,$J398*(IF(S398=regle!$B$11,regle!$B$23*IF(AL398=-2,1+regle!$B$35,1),
IF(S398=regle!$C$11,regle!$C$23,
IF(S398=regle!$D$11,regle!$D$23,
IF(S398=regle!$E$11,regle!$E$23,
IF(S398=regle!$F$11,regle!$F$23,
IF(S398=regle!$G$11,regle!$G$23,
IF(S398=regle!$H$11,regle!$H$23,
IF(S398=regle!$I$11,regle!$I$23,
IF(S398=regle!$J$11,regle!$J$23,
IF(S398=regle!$K$11,regle!$K$23,0))))))))))))</f>
        <v>0</v>
      </c>
      <c r="AD398" s="17" t="b">
        <f>IF($A398,$J398*(IF(T398=regle!$B$11,regle!$B$23*IF(AM398=-2,1+regle!$B$35,1),
IF(T398=regle!$C$11,regle!$C$23,
IF(T398=regle!$D$11,regle!$D$23,
IF(T398=regle!$E$11,regle!$E$23,
IF(T398=regle!$F$11,regle!$F$23,
IF(T398=regle!$G$11,regle!$G$23,
IF(T398=regle!$H$11,regle!$H$23,
IF(T398=regle!$I$11,regle!$I$23,
IF(T398=regle!$J$11,regle!$J$23,
IF(T398=regle!$K$11,regle!$K$23,0))))))))))))</f>
        <v>0</v>
      </c>
      <c r="AE398" s="17" t="b">
        <f>IF($A398,$J398*(IF(U398=regle!$B$11,regle!$B$23*IF(AN398=-2,1+regle!$B$35,1),
IF(U398=regle!$C$11,regle!$C$23,
IF(U398=regle!$D$11,regle!$D$23,
IF(U398=regle!$E$11,regle!$E$23,
IF(U398=regle!$F$11,regle!$F$23,
IF(U398=regle!$G$11,regle!$G$23,
IF(U398=regle!$H$11,regle!$H$23,
IF(U398=regle!$I$11,regle!$I$23,
IF(U398=regle!$J$11,regle!$J$23,
IF(U398=regle!$K$11,regle!$K$23,0))))))))))))</f>
        <v>0</v>
      </c>
      <c r="AF398" s="17" t="b">
        <f>IF($A398,$J398*(IF(V398=regle!$B$11,regle!$B$23*IF(AO398=-2,1+regle!$B$35,1),
IF(V398=regle!$C$11,regle!$C$23,
IF(V398=regle!$D$11,regle!$D$23,
IF(V398=regle!$E$11,regle!$E$23,
IF(V398=regle!$F$11,regle!$F$23,
IF(V398=regle!$G$11,regle!$G$23,
IF(V398=regle!$H$11,regle!$H$23,
IF(V398=regle!$I$11,regle!$I$23,
IF(V398=regle!$J$11,regle!$J$23,
IF(V398=regle!$K$11,regle!$K$23,0))))))))))))</f>
        <v>0</v>
      </c>
      <c r="AG398" s="17" t="b">
        <f>IF($A398,$J398*(IF(W398=regle!$B$11,regle!$B$23*IF(AP398=-2,1+regle!$B$35,1),
IF(W398=regle!$C$11,regle!$C$23,
IF(W398=regle!$D$11,regle!$D$23,
IF(W398=regle!$E$11,regle!$E$23,
IF(W398=regle!$F$11,regle!$F$23,
IF(W398=regle!$G$11,regle!$G$23,
IF(W398=regle!$H$11,regle!$H$23,
IF(W398=regle!$I$11,regle!$I$23,
IF(W398=regle!$J$11,regle!$J$23,
IF(W398=regle!$K$11,regle!$K$23,0))))))))))))</f>
        <v>0</v>
      </c>
      <c r="AH398" s="17" t="b">
        <f>IF($A398,$J398*(IF(X398=regle!$B$11,regle!$B$23*IF(AQ398=-2,1+regle!$B$35,1),
IF(X398=regle!$C$11,regle!$C$23,
IF(X398=regle!$D$11,regle!$D$23,
IF(X398=regle!$E$11,regle!$E$23,
IF(X398=regle!$F$11,regle!$F$23,
IF(X398=regle!$G$11,regle!$G$23,
IF(X398=regle!$H$11,regle!$H$23,
IF(X398=regle!$I$11,regle!$I$23,
IF(X398=regle!$J$11,regle!$J$23,
IF(X398=regle!$K$11,regle!$K$23,0))))))))))))</f>
        <v>0</v>
      </c>
      <c r="AI398" s="17" t="b">
        <f>IF($A398,$J398*(IF(Y398=regle!$B$11,regle!$B$23*IF(AR398=-2,1+regle!$B$35,1),
IF(Y398=regle!$C$11,regle!$C$23,
IF(Y398=regle!$D$11,regle!$D$23,
IF(Y398=regle!$E$11,regle!$E$23,
IF(Y398=regle!$F$11,regle!$F$23,
IF(Y398=regle!$G$11,regle!$G$23,
IF(Y398=regle!$H$11,regle!$H$23,
IF(Y398=regle!$I$11,regle!$I$23,
IF(Y398=regle!$J$11,regle!$J$23,
IF(Y398=regle!$K$11,regle!$K$23,0))))))))))))</f>
        <v>0</v>
      </c>
      <c r="AJ398" s="17" t="b">
        <f>IF($A398,$J398*(IF(Z398=regle!$B$11,regle!$B$23*IF(AS398=-2,1+regle!$B$35,1),
IF(Z398=regle!$C$11,regle!$C$23,
IF(Z398=regle!$D$11,regle!$D$23,
IF(Z398=regle!$E$11,regle!$E$23,
IF(Z398=regle!$F$11,regle!$F$23,
IF(Z398=regle!$G$11,regle!$G$23,
IF(Z398=regle!$H$11,regle!$H$23,
IF(Z398=regle!$I$11,regle!$I$23,
IF(Z398=regle!$J$11,regle!$J$23,
IF(Z398=regle!$K$11,regle!$K$23,0))))))))))))</f>
        <v>0</v>
      </c>
      <c r="AK398" s="16">
        <f>IF(OR(Q398=regle!$J$11,Q398=regle!$K$11),-2,IF(Q398=regle!$B$11,0,IF(AK$1=$AK$1,IF($O398,-1,regle!$B$2-$M398),IF(AJ398=-1,-1,AJ398+1))))</f>
        <v>28</v>
      </c>
      <c r="AL398" s="16">
        <f>IF(OR(R398=regle!$J$11,R398=regle!$K$11),-2,IF(R398=regle!$B$11,0,IF(AL$1=$AK$1,IF($O398,-1,regle!$B$2-$M398),IF(AK398=-1,-1,AK398+1))))</f>
        <v>29</v>
      </c>
      <c r="AM398" s="16">
        <f>IF(OR(S398=regle!$J$11,S398=regle!$K$11),-2,IF(S398=regle!$B$11,0,IF(AM$1=$AK$1,IF($O398,-1,regle!$B$2-$M398),IF(AL398=-1,-1,AL398+1))))</f>
        <v>30</v>
      </c>
      <c r="AN398" s="16">
        <f>IF(OR(T398=regle!$J$11,T398=regle!$K$11),-2,IF(T398=regle!$B$11,0,IF(AN$1=$AK$1,IF($O398,-1,regle!$B$2-$M398),IF(AM398=-1,-1,AM398+1))))</f>
        <v>31</v>
      </c>
      <c r="AO398" s="16">
        <f>IF(OR(U398=regle!$J$11,U398=regle!$K$11),-2,IF(U398=regle!$B$11,0,IF(AO$1=$AK$1,IF($O398,-1,regle!$B$2-$M398),IF(AN398=-1,-1,AN398+1))))</f>
        <v>32</v>
      </c>
      <c r="AP398" s="16">
        <f>IF(OR(V398=regle!$J$11,V398=regle!$K$11),-2,IF(V398=regle!$B$11,0,IF(AP$1=$AK$1,IF($O398,-1,regle!$B$2-$M398),IF(AO398=-1,-1,AO398+1))))</f>
        <v>33</v>
      </c>
      <c r="AQ398" s="16">
        <f>IF(OR(W398=regle!$J$11,W398=regle!$K$11),-2,IF(W398=regle!$B$11,0,IF(AQ$1=$AK$1,IF($O398,-1,regle!$B$2-$M398),IF(AP398=-1,-1,AP398+1))))</f>
        <v>34</v>
      </c>
      <c r="AR398" s="16">
        <f>IF(OR(X398=regle!$J$11,X398=regle!$K$11),-2,IF(X398=regle!$B$11,0,IF(AR$1=$AK$1,IF($O398,-1,regle!$B$2-$M398),IF(AQ398=-1,-1,AQ398+1))))</f>
        <v>35</v>
      </c>
      <c r="AS398" s="16">
        <f>IF(OR(Y398=regle!$J$11,Y398=regle!$K$11),-2,IF(Y398=regle!$B$11,0,IF(AS$1=$AK$1,IF($O398,-1,regle!$B$2-$M398),IF(AR398=-1,-1,AR398+1))))</f>
        <v>36</v>
      </c>
      <c r="AT398" s="16">
        <f>IF(OR(Z398=regle!$J$11,Z398=regle!$K$11),-2,IF(Z398=regle!$B$11,0,IF(AT$1=$AK$1,IF($O398,-1,regle!$B$2-$M398),IF(AS398=-1,-1,AS398+1))))</f>
        <v>37</v>
      </c>
    </row>
    <row r="399" spans="1:46" x14ac:dyDescent="0.25">
      <c r="A399" t="b">
        <f>modif0!A437</f>
        <v>0</v>
      </c>
      <c r="B399">
        <f>ROW(modif0!B437)</f>
        <v>437</v>
      </c>
      <c r="C399" t="str">
        <f>modif0!D437</f>
        <v>200</v>
      </c>
      <c r="D399" t="str">
        <f>modif0!E437</f>
        <v>MOUSTEY</v>
      </c>
      <c r="E399">
        <f>modif0!F437</f>
        <v>4</v>
      </c>
      <c r="F399" t="str">
        <f>modif0!G437</f>
        <v>Kycs</v>
      </c>
      <c r="G399" t="str">
        <f>modif0!I437</f>
        <v>0M</v>
      </c>
      <c r="H399">
        <f>modif0!J437</f>
        <v>80</v>
      </c>
      <c r="I399" t="str">
        <f>modif0!K437</f>
        <v>q</v>
      </c>
      <c r="J399" s="11">
        <f>modif0!M437</f>
        <v>0.2646</v>
      </c>
      <c r="K399" s="11" t="str">
        <f>modif0!P437</f>
        <v>TAIL</v>
      </c>
      <c r="L399" t="str">
        <f>modif0!N437</f>
        <v>FEUIL</v>
      </c>
      <c r="M399">
        <f>modif0!Q437</f>
        <v>1993</v>
      </c>
      <c r="N399" t="str">
        <f>modif0!R437</f>
        <v>TAIL-FEUIL_1993</v>
      </c>
      <c r="O399" t="b">
        <f>modif0!S437</f>
        <v>0</v>
      </c>
      <c r="P399">
        <v>40</v>
      </c>
      <c r="AA399" s="17" t="b">
        <f>IF($A399,$J399*(IF(Q399=regle!$B$11,regle!$B$23*IF(AJ399=-2,1+regle!$B$35,1),
IF(Q399=regle!$C$11,regle!$C$23,
IF(Q399=regle!$D$11,regle!$D$23,
IF(Q399=regle!$E$11,regle!$E$23,
IF(Q399=regle!$F$11,regle!$F$23,
IF(Q399=regle!$G$11,regle!$G$23,
IF(Q399=regle!$H$11,regle!$H$23,
IF(Q399=regle!$I$11,regle!$I$23,
IF(Q399=regle!$J$11,regle!$J$23,
IF(Q399=regle!$K$11,regle!$K$23,0))))))))))))</f>
        <v>0</v>
      </c>
      <c r="AB399" s="17" t="b">
        <f>IF($A399,$J399*(IF(R399=regle!$B$11,regle!$B$23*IF(AK399=-2,1+regle!$B$35,1),
IF(R399=regle!$C$11,regle!$C$23,
IF(R399=regle!$D$11,regle!$D$23,
IF(R399=regle!$E$11,regle!$E$23,
IF(R399=regle!$F$11,regle!$F$23,
IF(R399=regle!$G$11,regle!$G$23,
IF(R399=regle!$H$11,regle!$H$23,
IF(R399=regle!$I$11,regle!$I$23,
IF(R399=regle!$J$11,regle!$J$23,
IF(R399=regle!$K$11,regle!$K$23,0))))))))))))</f>
        <v>0</v>
      </c>
      <c r="AC399" s="17" t="b">
        <f>IF($A399,$J399*(IF(S399=regle!$B$11,regle!$B$23*IF(AL399=-2,1+regle!$B$35,1),
IF(S399=regle!$C$11,regle!$C$23,
IF(S399=regle!$D$11,regle!$D$23,
IF(S399=regle!$E$11,regle!$E$23,
IF(S399=regle!$F$11,regle!$F$23,
IF(S399=regle!$G$11,regle!$G$23,
IF(S399=regle!$H$11,regle!$H$23,
IF(S399=regle!$I$11,regle!$I$23,
IF(S399=regle!$J$11,regle!$J$23,
IF(S399=regle!$K$11,regle!$K$23,0))))))))))))</f>
        <v>0</v>
      </c>
      <c r="AD399" s="17" t="b">
        <f>IF($A399,$J399*(IF(T399=regle!$B$11,regle!$B$23*IF(AM399=-2,1+regle!$B$35,1),
IF(T399=regle!$C$11,regle!$C$23,
IF(T399=regle!$D$11,regle!$D$23,
IF(T399=regle!$E$11,regle!$E$23,
IF(T399=regle!$F$11,regle!$F$23,
IF(T399=regle!$G$11,regle!$G$23,
IF(T399=regle!$H$11,regle!$H$23,
IF(T399=regle!$I$11,regle!$I$23,
IF(T399=regle!$J$11,regle!$J$23,
IF(T399=regle!$K$11,regle!$K$23,0))))))))))))</f>
        <v>0</v>
      </c>
      <c r="AE399" s="17" t="b">
        <f>IF($A399,$J399*(IF(U399=regle!$B$11,regle!$B$23*IF(AN399=-2,1+regle!$B$35,1),
IF(U399=regle!$C$11,regle!$C$23,
IF(U399=regle!$D$11,regle!$D$23,
IF(U399=regle!$E$11,regle!$E$23,
IF(U399=regle!$F$11,regle!$F$23,
IF(U399=regle!$G$11,regle!$G$23,
IF(U399=regle!$H$11,regle!$H$23,
IF(U399=regle!$I$11,regle!$I$23,
IF(U399=regle!$J$11,regle!$J$23,
IF(U399=regle!$K$11,regle!$K$23,0))))))))))))</f>
        <v>0</v>
      </c>
      <c r="AF399" s="17" t="b">
        <f>IF($A399,$J399*(IF(V399=regle!$B$11,regle!$B$23*IF(AO399=-2,1+regle!$B$35,1),
IF(V399=regle!$C$11,regle!$C$23,
IF(V399=regle!$D$11,regle!$D$23,
IF(V399=regle!$E$11,regle!$E$23,
IF(V399=regle!$F$11,regle!$F$23,
IF(V399=regle!$G$11,regle!$G$23,
IF(V399=regle!$H$11,regle!$H$23,
IF(V399=regle!$I$11,regle!$I$23,
IF(V399=regle!$J$11,regle!$J$23,
IF(V399=regle!$K$11,regle!$K$23,0))))))))))))</f>
        <v>0</v>
      </c>
      <c r="AG399" s="17" t="b">
        <f>IF($A399,$J399*(IF(W399=regle!$B$11,regle!$B$23*IF(AP399=-2,1+regle!$B$35,1),
IF(W399=regle!$C$11,regle!$C$23,
IF(W399=regle!$D$11,regle!$D$23,
IF(W399=regle!$E$11,regle!$E$23,
IF(W399=regle!$F$11,regle!$F$23,
IF(W399=regle!$G$11,regle!$G$23,
IF(W399=regle!$H$11,regle!$H$23,
IF(W399=regle!$I$11,regle!$I$23,
IF(W399=regle!$J$11,regle!$J$23,
IF(W399=regle!$K$11,regle!$K$23,0))))))))))))</f>
        <v>0</v>
      </c>
      <c r="AH399" s="17" t="b">
        <f>IF($A399,$J399*(IF(X399=regle!$B$11,regle!$B$23*IF(AQ399=-2,1+regle!$B$35,1),
IF(X399=regle!$C$11,regle!$C$23,
IF(X399=regle!$D$11,regle!$D$23,
IF(X399=regle!$E$11,regle!$E$23,
IF(X399=regle!$F$11,regle!$F$23,
IF(X399=regle!$G$11,regle!$G$23,
IF(X399=regle!$H$11,regle!$H$23,
IF(X399=regle!$I$11,regle!$I$23,
IF(X399=regle!$J$11,regle!$J$23,
IF(X399=regle!$K$11,regle!$K$23,0))))))))))))</f>
        <v>0</v>
      </c>
      <c r="AI399" s="17" t="b">
        <f>IF($A399,$J399*(IF(Y399=regle!$B$11,regle!$B$23*IF(AR399=-2,1+regle!$B$35,1),
IF(Y399=regle!$C$11,regle!$C$23,
IF(Y399=regle!$D$11,regle!$D$23,
IF(Y399=regle!$E$11,regle!$E$23,
IF(Y399=regle!$F$11,regle!$F$23,
IF(Y399=regle!$G$11,regle!$G$23,
IF(Y399=regle!$H$11,regle!$H$23,
IF(Y399=regle!$I$11,regle!$I$23,
IF(Y399=regle!$J$11,regle!$J$23,
IF(Y399=regle!$K$11,regle!$K$23,0))))))))))))</f>
        <v>0</v>
      </c>
      <c r="AJ399" s="17" t="b">
        <f>IF($A399,$J399*(IF(Z399=regle!$B$11,regle!$B$23*IF(AS399=-2,1+regle!$B$35,1),
IF(Z399=regle!$C$11,regle!$C$23,
IF(Z399=regle!$D$11,regle!$D$23,
IF(Z399=regle!$E$11,regle!$E$23,
IF(Z399=regle!$F$11,regle!$F$23,
IF(Z399=regle!$G$11,regle!$G$23,
IF(Z399=regle!$H$11,regle!$H$23,
IF(Z399=regle!$I$11,regle!$I$23,
IF(Z399=regle!$J$11,regle!$J$23,
IF(Z399=regle!$K$11,regle!$K$23,0))))))))))))</f>
        <v>0</v>
      </c>
      <c r="AK399" s="16">
        <f>IF(OR(Q399=regle!$J$11,Q399=regle!$K$11),-2,IF(Q399=regle!$B$11,0,IF(AK$1=$AK$1,IF($O399,-1,regle!$B$2-$M399),IF(AJ399=-1,-1,AJ399+1))))</f>
        <v>31</v>
      </c>
      <c r="AL399" s="16">
        <f>IF(OR(R399=regle!$J$11,R399=regle!$K$11),-2,IF(R399=regle!$B$11,0,IF(AL$1=$AK$1,IF($O399,-1,regle!$B$2-$M399),IF(AK399=-1,-1,AK399+1))))</f>
        <v>32</v>
      </c>
      <c r="AM399" s="16">
        <f>IF(OR(S399=regle!$J$11,S399=regle!$K$11),-2,IF(S399=regle!$B$11,0,IF(AM$1=$AK$1,IF($O399,-1,regle!$B$2-$M399),IF(AL399=-1,-1,AL399+1))))</f>
        <v>33</v>
      </c>
      <c r="AN399" s="16">
        <f>IF(OR(T399=regle!$J$11,T399=regle!$K$11),-2,IF(T399=regle!$B$11,0,IF(AN$1=$AK$1,IF($O399,-1,regle!$B$2-$M399),IF(AM399=-1,-1,AM399+1))))</f>
        <v>34</v>
      </c>
      <c r="AO399" s="16">
        <f>IF(OR(U399=regle!$J$11,U399=regle!$K$11),-2,IF(U399=regle!$B$11,0,IF(AO$1=$AK$1,IF($O399,-1,regle!$B$2-$M399),IF(AN399=-1,-1,AN399+1))))</f>
        <v>35</v>
      </c>
      <c r="AP399" s="16">
        <f>IF(OR(V399=regle!$J$11,V399=regle!$K$11),-2,IF(V399=regle!$B$11,0,IF(AP$1=$AK$1,IF($O399,-1,regle!$B$2-$M399),IF(AO399=-1,-1,AO399+1))))</f>
        <v>36</v>
      </c>
      <c r="AQ399" s="16">
        <f>IF(OR(W399=regle!$J$11,W399=regle!$K$11),-2,IF(W399=regle!$B$11,0,IF(AQ$1=$AK$1,IF($O399,-1,regle!$B$2-$M399),IF(AP399=-1,-1,AP399+1))))</f>
        <v>37</v>
      </c>
      <c r="AR399" s="16">
        <f>IF(OR(X399=regle!$J$11,X399=regle!$K$11),-2,IF(X399=regle!$B$11,0,IF(AR$1=$AK$1,IF($O399,-1,regle!$B$2-$M399),IF(AQ399=-1,-1,AQ399+1))))</f>
        <v>38</v>
      </c>
      <c r="AS399" s="16">
        <f>IF(OR(Y399=regle!$J$11,Y399=regle!$K$11),-2,IF(Y399=regle!$B$11,0,IF(AS$1=$AK$1,IF($O399,-1,regle!$B$2-$M399),IF(AR399=-1,-1,AR399+1))))</f>
        <v>39</v>
      </c>
      <c r="AT399" s="16">
        <f>IF(OR(Z399=regle!$J$11,Z399=regle!$K$11),-2,IF(Z399=regle!$B$11,0,IF(AT$1=$AK$1,IF($O399,-1,regle!$B$2-$M399),IF(AS399=-1,-1,AS399+1))))</f>
        <v>40</v>
      </c>
    </row>
    <row r="400" spans="1:46" x14ac:dyDescent="0.25">
      <c r="A400" t="b">
        <f>modif0!A418</f>
        <v>0</v>
      </c>
      <c r="B400">
        <f>ROW(modif0!B418)</f>
        <v>418</v>
      </c>
      <c r="C400" t="str">
        <f>modif0!D418</f>
        <v>202</v>
      </c>
      <c r="D400" t="str">
        <f>modif0!E418</f>
        <v>HOSTENS</v>
      </c>
      <c r="E400">
        <f>modif0!F418</f>
        <v>13</v>
      </c>
      <c r="F400" t="str">
        <f>modif0!G418</f>
        <v>LA BROUSTETTE</v>
      </c>
      <c r="G400" t="str">
        <f>modif0!I418</f>
        <v>0B</v>
      </c>
      <c r="H400">
        <f>modif0!J418</f>
        <v>1249</v>
      </c>
      <c r="I400" t="str">
        <f>modif0!K418</f>
        <v>n</v>
      </c>
      <c r="J400" s="11">
        <f>modif0!M418</f>
        <v>1.5903</v>
      </c>
      <c r="K400" s="11" t="str">
        <f>modif0!P418</f>
        <v>TAIL</v>
      </c>
      <c r="L400" t="str">
        <f>modif0!N418</f>
        <v>FEUIL</v>
      </c>
      <c r="M400">
        <f>modif0!Q418</f>
        <v>1990</v>
      </c>
      <c r="N400" t="str">
        <f>modif0!R418</f>
        <v>TAIL-FEUIL_1990</v>
      </c>
      <c r="O400" t="b">
        <f>modif0!S418</f>
        <v>0</v>
      </c>
      <c r="P400">
        <v>40</v>
      </c>
      <c r="AA400" s="17" t="b">
        <f>IF($A400,$J400*(IF(Q400=regle!$B$11,regle!$B$23*IF(AJ400=-2,1+regle!$B$35,1),
IF(Q400=regle!$C$11,regle!$C$23,
IF(Q400=regle!$D$11,regle!$D$23,
IF(Q400=regle!$E$11,regle!$E$23,
IF(Q400=regle!$F$11,regle!$F$23,
IF(Q400=regle!$G$11,regle!$G$23,
IF(Q400=regle!$H$11,regle!$H$23,
IF(Q400=regle!$I$11,regle!$I$23,
IF(Q400=regle!$J$11,regle!$J$23,
IF(Q400=regle!$K$11,regle!$K$23,0))))))))))))</f>
        <v>0</v>
      </c>
      <c r="AB400" s="17" t="b">
        <f>IF($A400,$J400*(IF(R400=regle!$B$11,regle!$B$23*IF(AK400=-2,1+regle!$B$35,1),
IF(R400=regle!$C$11,regle!$C$23,
IF(R400=regle!$D$11,regle!$D$23,
IF(R400=regle!$E$11,regle!$E$23,
IF(R400=regle!$F$11,regle!$F$23,
IF(R400=regle!$G$11,regle!$G$23,
IF(R400=regle!$H$11,regle!$H$23,
IF(R400=regle!$I$11,regle!$I$23,
IF(R400=regle!$J$11,regle!$J$23,
IF(R400=regle!$K$11,regle!$K$23,0))))))))))))</f>
        <v>0</v>
      </c>
      <c r="AC400" s="17" t="b">
        <f>IF($A400,$J400*(IF(S400=regle!$B$11,regle!$B$23*IF(AL400=-2,1+regle!$B$35,1),
IF(S400=regle!$C$11,regle!$C$23,
IF(S400=regle!$D$11,regle!$D$23,
IF(S400=regle!$E$11,regle!$E$23,
IF(S400=regle!$F$11,regle!$F$23,
IF(S400=regle!$G$11,regle!$G$23,
IF(S400=regle!$H$11,regle!$H$23,
IF(S400=regle!$I$11,regle!$I$23,
IF(S400=regle!$J$11,regle!$J$23,
IF(S400=regle!$K$11,regle!$K$23,0))))))))))))</f>
        <v>0</v>
      </c>
      <c r="AD400" s="17" t="b">
        <f>IF($A400,$J400*(IF(T400=regle!$B$11,regle!$B$23*IF(AM400=-2,1+regle!$B$35,1),
IF(T400=regle!$C$11,regle!$C$23,
IF(T400=regle!$D$11,regle!$D$23,
IF(T400=regle!$E$11,regle!$E$23,
IF(T400=regle!$F$11,regle!$F$23,
IF(T400=regle!$G$11,regle!$G$23,
IF(T400=regle!$H$11,regle!$H$23,
IF(T400=regle!$I$11,regle!$I$23,
IF(T400=regle!$J$11,regle!$J$23,
IF(T400=regle!$K$11,regle!$K$23,0))))))))))))</f>
        <v>0</v>
      </c>
      <c r="AE400" s="17" t="b">
        <f>IF($A400,$J400*(IF(U400=regle!$B$11,regle!$B$23*IF(AN400=-2,1+regle!$B$35,1),
IF(U400=regle!$C$11,regle!$C$23,
IF(U400=regle!$D$11,regle!$D$23,
IF(U400=regle!$E$11,regle!$E$23,
IF(U400=regle!$F$11,regle!$F$23,
IF(U400=regle!$G$11,regle!$G$23,
IF(U400=regle!$H$11,regle!$H$23,
IF(U400=regle!$I$11,regle!$I$23,
IF(U400=regle!$J$11,regle!$J$23,
IF(U400=regle!$K$11,regle!$K$23,0))))))))))))</f>
        <v>0</v>
      </c>
      <c r="AF400" s="17" t="b">
        <f>IF($A400,$J400*(IF(V400=regle!$B$11,regle!$B$23*IF(AO400=-2,1+regle!$B$35,1),
IF(V400=regle!$C$11,regle!$C$23,
IF(V400=regle!$D$11,regle!$D$23,
IF(V400=regle!$E$11,regle!$E$23,
IF(V400=regle!$F$11,regle!$F$23,
IF(V400=regle!$G$11,regle!$G$23,
IF(V400=regle!$H$11,regle!$H$23,
IF(V400=regle!$I$11,regle!$I$23,
IF(V400=regle!$J$11,regle!$J$23,
IF(V400=regle!$K$11,regle!$K$23,0))))))))))))</f>
        <v>0</v>
      </c>
      <c r="AG400" s="17" t="b">
        <f>IF($A400,$J400*(IF(W400=regle!$B$11,regle!$B$23*IF(AP400=-2,1+regle!$B$35,1),
IF(W400=regle!$C$11,regle!$C$23,
IF(W400=regle!$D$11,regle!$D$23,
IF(W400=regle!$E$11,regle!$E$23,
IF(W400=regle!$F$11,regle!$F$23,
IF(W400=regle!$G$11,regle!$G$23,
IF(W400=regle!$H$11,regle!$H$23,
IF(W400=regle!$I$11,regle!$I$23,
IF(W400=regle!$J$11,regle!$J$23,
IF(W400=regle!$K$11,regle!$K$23,0))))))))))))</f>
        <v>0</v>
      </c>
      <c r="AH400" s="17" t="b">
        <f>IF($A400,$J400*(IF(X400=regle!$B$11,regle!$B$23*IF(AQ400=-2,1+regle!$B$35,1),
IF(X400=regle!$C$11,regle!$C$23,
IF(X400=regle!$D$11,regle!$D$23,
IF(X400=regle!$E$11,regle!$E$23,
IF(X400=regle!$F$11,regle!$F$23,
IF(X400=regle!$G$11,regle!$G$23,
IF(X400=regle!$H$11,regle!$H$23,
IF(X400=regle!$I$11,regle!$I$23,
IF(X400=regle!$J$11,regle!$J$23,
IF(X400=regle!$K$11,regle!$K$23,0))))))))))))</f>
        <v>0</v>
      </c>
      <c r="AI400" s="17" t="b">
        <f>IF($A400,$J400*(IF(Y400=regle!$B$11,regle!$B$23*IF(AR400=-2,1+regle!$B$35,1),
IF(Y400=regle!$C$11,regle!$C$23,
IF(Y400=regle!$D$11,regle!$D$23,
IF(Y400=regle!$E$11,regle!$E$23,
IF(Y400=regle!$F$11,regle!$F$23,
IF(Y400=regle!$G$11,regle!$G$23,
IF(Y400=regle!$H$11,regle!$H$23,
IF(Y400=regle!$I$11,regle!$I$23,
IF(Y400=regle!$J$11,regle!$J$23,
IF(Y400=regle!$K$11,regle!$K$23,0))))))))))))</f>
        <v>0</v>
      </c>
      <c r="AJ400" s="17" t="b">
        <f>IF($A400,$J400*(IF(Z400=regle!$B$11,regle!$B$23*IF(AS400=-2,1+regle!$B$35,1),
IF(Z400=regle!$C$11,regle!$C$23,
IF(Z400=regle!$D$11,regle!$D$23,
IF(Z400=regle!$E$11,regle!$E$23,
IF(Z400=regle!$F$11,regle!$F$23,
IF(Z400=regle!$G$11,regle!$G$23,
IF(Z400=regle!$H$11,regle!$H$23,
IF(Z400=regle!$I$11,regle!$I$23,
IF(Z400=regle!$J$11,regle!$J$23,
IF(Z400=regle!$K$11,regle!$K$23,0))))))))))))</f>
        <v>0</v>
      </c>
      <c r="AK400" s="16">
        <f>IF(OR(Q400=regle!$J$11,Q400=regle!$K$11),-2,IF(Q400=regle!$B$11,0,IF(AK$1=$AK$1,IF($O400,-1,regle!$B$2-$M400),IF(AJ400=-1,-1,AJ400+1))))</f>
        <v>34</v>
      </c>
      <c r="AL400" s="16">
        <f>IF(OR(R400=regle!$J$11,R400=regle!$K$11),-2,IF(R400=regle!$B$11,0,IF(AL$1=$AK$1,IF($O400,-1,regle!$B$2-$M400),IF(AK400=-1,-1,AK400+1))))</f>
        <v>35</v>
      </c>
      <c r="AM400" s="16">
        <f>IF(OR(S400=regle!$J$11,S400=regle!$K$11),-2,IF(S400=regle!$B$11,0,IF(AM$1=$AK$1,IF($O400,-1,regle!$B$2-$M400),IF(AL400=-1,-1,AL400+1))))</f>
        <v>36</v>
      </c>
      <c r="AN400" s="16">
        <f>IF(OR(T400=regle!$J$11,T400=regle!$K$11),-2,IF(T400=regle!$B$11,0,IF(AN$1=$AK$1,IF($O400,-1,regle!$B$2-$M400),IF(AM400=-1,-1,AM400+1))))</f>
        <v>37</v>
      </c>
      <c r="AO400" s="16">
        <f>IF(OR(U400=regle!$J$11,U400=regle!$K$11),-2,IF(U400=regle!$B$11,0,IF(AO$1=$AK$1,IF($O400,-1,regle!$B$2-$M400),IF(AN400=-1,-1,AN400+1))))</f>
        <v>38</v>
      </c>
      <c r="AP400" s="16">
        <f>IF(OR(V400=regle!$J$11,V400=regle!$K$11),-2,IF(V400=regle!$B$11,0,IF(AP$1=$AK$1,IF($O400,-1,regle!$B$2-$M400),IF(AO400=-1,-1,AO400+1))))</f>
        <v>39</v>
      </c>
      <c r="AQ400" s="16">
        <f>IF(OR(W400=regle!$J$11,W400=regle!$K$11),-2,IF(W400=regle!$B$11,0,IF(AQ$1=$AK$1,IF($O400,-1,regle!$B$2-$M400),IF(AP400=-1,-1,AP400+1))))</f>
        <v>40</v>
      </c>
      <c r="AR400" s="16">
        <f>IF(OR(X400=regle!$J$11,X400=regle!$K$11),-2,IF(X400=regle!$B$11,0,IF(AR$1=$AK$1,IF($O400,-1,regle!$B$2-$M400),IF(AQ400=-1,-1,AQ400+1))))</f>
        <v>41</v>
      </c>
      <c r="AS400" s="16">
        <f>IF(OR(Y400=regle!$J$11,Y400=regle!$K$11),-2,IF(Y400=regle!$B$11,0,IF(AS$1=$AK$1,IF($O400,-1,regle!$B$2-$M400),IF(AR400=-1,-1,AR400+1))))</f>
        <v>42</v>
      </c>
      <c r="AT400" s="16">
        <f>IF(OR(Z400=regle!$J$11,Z400=regle!$K$11),-2,IF(Z400=regle!$B$11,0,IF(AT$1=$AK$1,IF($O400,-1,regle!$B$2-$M400),IF(AS400=-1,-1,AS400+1))))</f>
        <v>43</v>
      </c>
    </row>
    <row r="401" spans="1:46" x14ac:dyDescent="0.25">
      <c r="A401" t="b">
        <f>modif0!A380</f>
        <v>0</v>
      </c>
      <c r="B401">
        <f>ROW(modif0!B380)</f>
        <v>380</v>
      </c>
      <c r="C401" t="str">
        <f>modif0!D380</f>
        <v>536</v>
      </c>
      <c r="D401" t="str">
        <f>modif0!E380</f>
        <v>LE TUZAN</v>
      </c>
      <c r="E401">
        <f>modif0!F380</f>
        <v>11</v>
      </c>
      <c r="F401" t="str">
        <f>modif0!G380</f>
        <v>LA HONTEYRE</v>
      </c>
      <c r="G401" t="str">
        <f>modif0!I380</f>
        <v>0A</v>
      </c>
      <c r="H401">
        <f>modif0!J380</f>
        <v>256</v>
      </c>
      <c r="I401" t="str">
        <f>modif0!K380</f>
        <v>j</v>
      </c>
      <c r="J401" s="11">
        <f>modif0!M380</f>
        <v>0.4451</v>
      </c>
      <c r="K401" s="11" t="str">
        <f>modif0!P380</f>
        <v>TAIL</v>
      </c>
      <c r="L401" t="str">
        <f>modif0!N380</f>
        <v>FEUIL</v>
      </c>
      <c r="M401">
        <f>modif0!Q380</f>
        <v>1990</v>
      </c>
      <c r="N401" t="str">
        <f>modif0!R380</f>
        <v>TAIL-FEUIL_1990</v>
      </c>
      <c r="O401" t="b">
        <f>modif0!S380</f>
        <v>0</v>
      </c>
      <c r="P401">
        <v>40</v>
      </c>
      <c r="AA401" s="17" t="b">
        <f>IF($A401,$J401*(IF(Q401=regle!$B$11,regle!$B$23*IF(AJ401=-2,1+regle!$B$35,1),
IF(Q401=regle!$C$11,regle!$C$23,
IF(Q401=regle!$D$11,regle!$D$23,
IF(Q401=regle!$E$11,regle!$E$23,
IF(Q401=regle!$F$11,regle!$F$23,
IF(Q401=regle!$G$11,regle!$G$23,
IF(Q401=regle!$H$11,regle!$H$23,
IF(Q401=regle!$I$11,regle!$I$23,
IF(Q401=regle!$J$11,regle!$J$23,
IF(Q401=regle!$K$11,regle!$K$23,0))))))))))))</f>
        <v>0</v>
      </c>
      <c r="AB401" s="17" t="b">
        <f>IF($A401,$J401*(IF(R401=regle!$B$11,regle!$B$23*IF(AK401=-2,1+regle!$B$35,1),
IF(R401=regle!$C$11,regle!$C$23,
IF(R401=regle!$D$11,regle!$D$23,
IF(R401=regle!$E$11,regle!$E$23,
IF(R401=regle!$F$11,regle!$F$23,
IF(R401=regle!$G$11,regle!$G$23,
IF(R401=regle!$H$11,regle!$H$23,
IF(R401=regle!$I$11,regle!$I$23,
IF(R401=regle!$J$11,regle!$J$23,
IF(R401=regle!$K$11,regle!$K$23,0))))))))))))</f>
        <v>0</v>
      </c>
      <c r="AC401" s="17" t="b">
        <f>IF($A401,$J401*(IF(S401=regle!$B$11,regle!$B$23*IF(AL401=-2,1+regle!$B$35,1),
IF(S401=regle!$C$11,regle!$C$23,
IF(S401=regle!$D$11,regle!$D$23,
IF(S401=regle!$E$11,regle!$E$23,
IF(S401=regle!$F$11,regle!$F$23,
IF(S401=regle!$G$11,regle!$G$23,
IF(S401=regle!$H$11,regle!$H$23,
IF(S401=regle!$I$11,regle!$I$23,
IF(S401=regle!$J$11,regle!$J$23,
IF(S401=regle!$K$11,regle!$K$23,0))))))))))))</f>
        <v>0</v>
      </c>
      <c r="AD401" s="17" t="b">
        <f>IF($A401,$J401*(IF(T401=regle!$B$11,regle!$B$23*IF(AM401=-2,1+regle!$B$35,1),
IF(T401=regle!$C$11,regle!$C$23,
IF(T401=regle!$D$11,regle!$D$23,
IF(T401=regle!$E$11,regle!$E$23,
IF(T401=regle!$F$11,regle!$F$23,
IF(T401=regle!$G$11,regle!$G$23,
IF(T401=regle!$H$11,regle!$H$23,
IF(T401=regle!$I$11,regle!$I$23,
IF(T401=regle!$J$11,regle!$J$23,
IF(T401=regle!$K$11,regle!$K$23,0))))))))))))</f>
        <v>0</v>
      </c>
      <c r="AE401" s="17" t="b">
        <f>IF($A401,$J401*(IF(U401=regle!$B$11,regle!$B$23*IF(AN401=-2,1+regle!$B$35,1),
IF(U401=regle!$C$11,regle!$C$23,
IF(U401=regle!$D$11,regle!$D$23,
IF(U401=regle!$E$11,regle!$E$23,
IF(U401=regle!$F$11,regle!$F$23,
IF(U401=regle!$G$11,regle!$G$23,
IF(U401=regle!$H$11,regle!$H$23,
IF(U401=regle!$I$11,regle!$I$23,
IF(U401=regle!$J$11,regle!$J$23,
IF(U401=regle!$K$11,regle!$K$23,0))))))))))))</f>
        <v>0</v>
      </c>
      <c r="AF401" s="17" t="b">
        <f>IF($A401,$J401*(IF(V401=regle!$B$11,regle!$B$23*IF(AO401=-2,1+regle!$B$35,1),
IF(V401=regle!$C$11,regle!$C$23,
IF(V401=regle!$D$11,regle!$D$23,
IF(V401=regle!$E$11,regle!$E$23,
IF(V401=regle!$F$11,regle!$F$23,
IF(V401=regle!$G$11,regle!$G$23,
IF(V401=regle!$H$11,regle!$H$23,
IF(V401=regle!$I$11,regle!$I$23,
IF(V401=regle!$J$11,regle!$J$23,
IF(V401=regle!$K$11,regle!$K$23,0))))))))))))</f>
        <v>0</v>
      </c>
      <c r="AG401" s="17" t="b">
        <f>IF($A401,$J401*(IF(W401=regle!$B$11,regle!$B$23*IF(AP401=-2,1+regle!$B$35,1),
IF(W401=regle!$C$11,regle!$C$23,
IF(W401=regle!$D$11,regle!$D$23,
IF(W401=regle!$E$11,regle!$E$23,
IF(W401=regle!$F$11,regle!$F$23,
IF(W401=regle!$G$11,regle!$G$23,
IF(W401=regle!$H$11,regle!$H$23,
IF(W401=regle!$I$11,regle!$I$23,
IF(W401=regle!$J$11,regle!$J$23,
IF(W401=regle!$K$11,regle!$K$23,0))))))))))))</f>
        <v>0</v>
      </c>
      <c r="AH401" s="17" t="b">
        <f>IF($A401,$J401*(IF(X401=regle!$B$11,regle!$B$23*IF(AQ401=-2,1+regle!$B$35,1),
IF(X401=regle!$C$11,regle!$C$23,
IF(X401=regle!$D$11,regle!$D$23,
IF(X401=regle!$E$11,regle!$E$23,
IF(X401=regle!$F$11,regle!$F$23,
IF(X401=regle!$G$11,regle!$G$23,
IF(X401=regle!$H$11,regle!$H$23,
IF(X401=regle!$I$11,regle!$I$23,
IF(X401=regle!$J$11,regle!$J$23,
IF(X401=regle!$K$11,regle!$K$23,0))))))))))))</f>
        <v>0</v>
      </c>
      <c r="AI401" s="17" t="b">
        <f>IF($A401,$J401*(IF(Y401=regle!$B$11,regle!$B$23*IF(AR401=-2,1+regle!$B$35,1),
IF(Y401=regle!$C$11,regle!$C$23,
IF(Y401=regle!$D$11,regle!$D$23,
IF(Y401=regle!$E$11,regle!$E$23,
IF(Y401=regle!$F$11,regle!$F$23,
IF(Y401=regle!$G$11,regle!$G$23,
IF(Y401=regle!$H$11,regle!$H$23,
IF(Y401=regle!$I$11,regle!$I$23,
IF(Y401=regle!$J$11,regle!$J$23,
IF(Y401=regle!$K$11,regle!$K$23,0))))))))))))</f>
        <v>0</v>
      </c>
      <c r="AJ401" s="17" t="b">
        <f>IF($A401,$J401*(IF(Z401=regle!$B$11,regle!$B$23*IF(AS401=-2,1+regle!$B$35,1),
IF(Z401=regle!$C$11,regle!$C$23,
IF(Z401=regle!$D$11,regle!$D$23,
IF(Z401=regle!$E$11,regle!$E$23,
IF(Z401=regle!$F$11,regle!$F$23,
IF(Z401=regle!$G$11,regle!$G$23,
IF(Z401=regle!$H$11,regle!$H$23,
IF(Z401=regle!$I$11,regle!$I$23,
IF(Z401=regle!$J$11,regle!$J$23,
IF(Z401=regle!$K$11,regle!$K$23,0))))))))))))</f>
        <v>0</v>
      </c>
      <c r="AK401" s="16">
        <f>IF(OR(Q401=regle!$J$11,Q401=regle!$K$11),-2,IF(Q401=regle!$B$11,0,IF(AK$1=$AK$1,IF($O401,-1,regle!$B$2-$M401),IF(AJ401=-1,-1,AJ401+1))))</f>
        <v>34</v>
      </c>
      <c r="AL401" s="16">
        <f>IF(OR(R401=regle!$J$11,R401=regle!$K$11),-2,IF(R401=regle!$B$11,0,IF(AL$1=$AK$1,IF($O401,-1,regle!$B$2-$M401),IF(AK401=-1,-1,AK401+1))))</f>
        <v>35</v>
      </c>
      <c r="AM401" s="16">
        <f>IF(OR(S401=regle!$J$11,S401=regle!$K$11),-2,IF(S401=regle!$B$11,0,IF(AM$1=$AK$1,IF($O401,-1,regle!$B$2-$M401),IF(AL401=-1,-1,AL401+1))))</f>
        <v>36</v>
      </c>
      <c r="AN401" s="16">
        <f>IF(OR(T401=regle!$J$11,T401=regle!$K$11),-2,IF(T401=regle!$B$11,0,IF(AN$1=$AK$1,IF($O401,-1,regle!$B$2-$M401),IF(AM401=-1,-1,AM401+1))))</f>
        <v>37</v>
      </c>
      <c r="AO401" s="16">
        <f>IF(OR(U401=regle!$J$11,U401=regle!$K$11),-2,IF(U401=regle!$B$11,0,IF(AO$1=$AK$1,IF($O401,-1,regle!$B$2-$M401),IF(AN401=-1,-1,AN401+1))))</f>
        <v>38</v>
      </c>
      <c r="AP401" s="16">
        <f>IF(OR(V401=regle!$J$11,V401=regle!$K$11),-2,IF(V401=regle!$B$11,0,IF(AP$1=$AK$1,IF($O401,-1,regle!$B$2-$M401),IF(AO401=-1,-1,AO401+1))))</f>
        <v>39</v>
      </c>
      <c r="AQ401" s="16">
        <f>IF(OR(W401=regle!$J$11,W401=regle!$K$11),-2,IF(W401=regle!$B$11,0,IF(AQ$1=$AK$1,IF($O401,-1,regle!$B$2-$M401),IF(AP401=-1,-1,AP401+1))))</f>
        <v>40</v>
      </c>
      <c r="AR401" s="16">
        <f>IF(OR(X401=regle!$J$11,X401=regle!$K$11),-2,IF(X401=regle!$B$11,0,IF(AR$1=$AK$1,IF($O401,-1,regle!$B$2-$M401),IF(AQ401=-1,-1,AQ401+1))))</f>
        <v>41</v>
      </c>
      <c r="AS401" s="16">
        <f>IF(OR(Y401=regle!$J$11,Y401=regle!$K$11),-2,IF(Y401=regle!$B$11,0,IF(AS$1=$AK$1,IF($O401,-1,regle!$B$2-$M401),IF(AR401=-1,-1,AR401+1))))</f>
        <v>42</v>
      </c>
      <c r="AT401" s="16">
        <f>IF(OR(Z401=regle!$J$11,Z401=regle!$K$11),-2,IF(Z401=regle!$B$11,0,IF(AT$1=$AK$1,IF($O401,-1,regle!$B$2-$M401),IF(AS401=-1,-1,AS401+1))))</f>
        <v>43</v>
      </c>
    </row>
    <row r="402" spans="1:46" x14ac:dyDescent="0.25">
      <c r="A402" t="b">
        <f>modif0!A378</f>
        <v>0</v>
      </c>
      <c r="B402">
        <f>ROW(modif0!B378)</f>
        <v>378</v>
      </c>
      <c r="C402" t="str">
        <f>modif0!D378</f>
        <v>536</v>
      </c>
      <c r="D402" t="str">
        <f>modif0!E378</f>
        <v>LE TUZAN</v>
      </c>
      <c r="E402">
        <f>modif0!F378</f>
        <v>11</v>
      </c>
      <c r="F402" t="str">
        <f>modif0!G378</f>
        <v>LA HONTEYRE</v>
      </c>
      <c r="G402" t="str">
        <f>modif0!I378</f>
        <v>0A</v>
      </c>
      <c r="H402">
        <f>modif0!J378</f>
        <v>254</v>
      </c>
      <c r="I402" t="str">
        <f>modif0!K378</f>
        <v>l</v>
      </c>
      <c r="J402" s="11">
        <f>modif0!M378</f>
        <v>0.42309999999999998</v>
      </c>
      <c r="K402" s="11" t="str">
        <f>modif0!P378</f>
        <v>TAIL</v>
      </c>
      <c r="L402" t="str">
        <f>modif0!N378</f>
        <v>FEUIL</v>
      </c>
      <c r="M402">
        <f>modif0!Q378</f>
        <v>1990</v>
      </c>
      <c r="N402" t="str">
        <f>modif0!R378</f>
        <v>TAIL-FEUIL_1990</v>
      </c>
      <c r="O402" t="b">
        <f>modif0!S378</f>
        <v>0</v>
      </c>
      <c r="P402">
        <v>40</v>
      </c>
      <c r="AA402" s="17" t="b">
        <f>IF($A402,$J402*(IF(Q402=regle!$B$11,regle!$B$23*IF(AJ402=-2,1+regle!$B$35,1),
IF(Q402=regle!$C$11,regle!$C$23,
IF(Q402=regle!$D$11,regle!$D$23,
IF(Q402=regle!$E$11,regle!$E$23,
IF(Q402=regle!$F$11,regle!$F$23,
IF(Q402=regle!$G$11,regle!$G$23,
IF(Q402=regle!$H$11,regle!$H$23,
IF(Q402=regle!$I$11,regle!$I$23,
IF(Q402=regle!$J$11,regle!$J$23,
IF(Q402=regle!$K$11,regle!$K$23,0))))))))))))</f>
        <v>0</v>
      </c>
      <c r="AB402" s="17" t="b">
        <f>IF($A402,$J402*(IF(R402=regle!$B$11,regle!$B$23*IF(AK402=-2,1+regle!$B$35,1),
IF(R402=regle!$C$11,regle!$C$23,
IF(R402=regle!$D$11,regle!$D$23,
IF(R402=regle!$E$11,regle!$E$23,
IF(R402=regle!$F$11,regle!$F$23,
IF(R402=regle!$G$11,regle!$G$23,
IF(R402=regle!$H$11,regle!$H$23,
IF(R402=regle!$I$11,regle!$I$23,
IF(R402=regle!$J$11,regle!$J$23,
IF(R402=regle!$K$11,regle!$K$23,0))))))))))))</f>
        <v>0</v>
      </c>
      <c r="AC402" s="17" t="b">
        <f>IF($A402,$J402*(IF(S402=regle!$B$11,regle!$B$23*IF(AL402=-2,1+regle!$B$35,1),
IF(S402=regle!$C$11,regle!$C$23,
IF(S402=regle!$D$11,regle!$D$23,
IF(S402=regle!$E$11,regle!$E$23,
IF(S402=regle!$F$11,regle!$F$23,
IF(S402=regle!$G$11,regle!$G$23,
IF(S402=regle!$H$11,regle!$H$23,
IF(S402=regle!$I$11,regle!$I$23,
IF(S402=regle!$J$11,regle!$J$23,
IF(S402=regle!$K$11,regle!$K$23,0))))))))))))</f>
        <v>0</v>
      </c>
      <c r="AD402" s="17" t="b">
        <f>IF($A402,$J402*(IF(T402=regle!$B$11,regle!$B$23*IF(AM402=-2,1+regle!$B$35,1),
IF(T402=regle!$C$11,regle!$C$23,
IF(T402=regle!$D$11,regle!$D$23,
IF(T402=regle!$E$11,regle!$E$23,
IF(T402=regle!$F$11,regle!$F$23,
IF(T402=regle!$G$11,regle!$G$23,
IF(T402=regle!$H$11,regle!$H$23,
IF(T402=regle!$I$11,regle!$I$23,
IF(T402=regle!$J$11,regle!$J$23,
IF(T402=regle!$K$11,regle!$K$23,0))))))))))))</f>
        <v>0</v>
      </c>
      <c r="AE402" s="17" t="b">
        <f>IF($A402,$J402*(IF(U402=regle!$B$11,regle!$B$23*IF(AN402=-2,1+regle!$B$35,1),
IF(U402=regle!$C$11,regle!$C$23,
IF(U402=regle!$D$11,regle!$D$23,
IF(U402=regle!$E$11,regle!$E$23,
IF(U402=regle!$F$11,regle!$F$23,
IF(U402=regle!$G$11,regle!$G$23,
IF(U402=regle!$H$11,regle!$H$23,
IF(U402=regle!$I$11,regle!$I$23,
IF(U402=regle!$J$11,regle!$J$23,
IF(U402=regle!$K$11,regle!$K$23,0))))))))))))</f>
        <v>0</v>
      </c>
      <c r="AF402" s="17" t="b">
        <f>IF($A402,$J402*(IF(V402=regle!$B$11,regle!$B$23*IF(AO402=-2,1+regle!$B$35,1),
IF(V402=regle!$C$11,regle!$C$23,
IF(V402=regle!$D$11,regle!$D$23,
IF(V402=regle!$E$11,regle!$E$23,
IF(V402=regle!$F$11,regle!$F$23,
IF(V402=regle!$G$11,regle!$G$23,
IF(V402=regle!$H$11,regle!$H$23,
IF(V402=regle!$I$11,regle!$I$23,
IF(V402=regle!$J$11,regle!$J$23,
IF(V402=regle!$K$11,regle!$K$23,0))))))))))))</f>
        <v>0</v>
      </c>
      <c r="AG402" s="17" t="b">
        <f>IF($A402,$J402*(IF(W402=regle!$B$11,regle!$B$23*IF(AP402=-2,1+regle!$B$35,1),
IF(W402=regle!$C$11,regle!$C$23,
IF(W402=regle!$D$11,regle!$D$23,
IF(W402=regle!$E$11,regle!$E$23,
IF(W402=regle!$F$11,regle!$F$23,
IF(W402=regle!$G$11,regle!$G$23,
IF(W402=regle!$H$11,regle!$H$23,
IF(W402=regle!$I$11,regle!$I$23,
IF(W402=regle!$J$11,regle!$J$23,
IF(W402=regle!$K$11,regle!$K$23,0))))))))))))</f>
        <v>0</v>
      </c>
      <c r="AH402" s="17" t="b">
        <f>IF($A402,$J402*(IF(X402=regle!$B$11,regle!$B$23*IF(AQ402=-2,1+regle!$B$35,1),
IF(X402=regle!$C$11,regle!$C$23,
IF(X402=regle!$D$11,regle!$D$23,
IF(X402=regle!$E$11,regle!$E$23,
IF(X402=regle!$F$11,regle!$F$23,
IF(X402=regle!$G$11,regle!$G$23,
IF(X402=regle!$H$11,regle!$H$23,
IF(X402=regle!$I$11,regle!$I$23,
IF(X402=regle!$J$11,regle!$J$23,
IF(X402=regle!$K$11,regle!$K$23,0))))))))))))</f>
        <v>0</v>
      </c>
      <c r="AI402" s="17" t="b">
        <f>IF($A402,$J402*(IF(Y402=regle!$B$11,regle!$B$23*IF(AR402=-2,1+regle!$B$35,1),
IF(Y402=regle!$C$11,regle!$C$23,
IF(Y402=regle!$D$11,regle!$D$23,
IF(Y402=regle!$E$11,regle!$E$23,
IF(Y402=regle!$F$11,regle!$F$23,
IF(Y402=regle!$G$11,regle!$G$23,
IF(Y402=regle!$H$11,regle!$H$23,
IF(Y402=regle!$I$11,regle!$I$23,
IF(Y402=regle!$J$11,regle!$J$23,
IF(Y402=regle!$K$11,regle!$K$23,0))))))))))))</f>
        <v>0</v>
      </c>
      <c r="AJ402" s="17" t="b">
        <f>IF($A402,$J402*(IF(Z402=regle!$B$11,regle!$B$23*IF(AS402=-2,1+regle!$B$35,1),
IF(Z402=regle!$C$11,regle!$C$23,
IF(Z402=regle!$D$11,regle!$D$23,
IF(Z402=regle!$E$11,regle!$E$23,
IF(Z402=regle!$F$11,regle!$F$23,
IF(Z402=regle!$G$11,regle!$G$23,
IF(Z402=regle!$H$11,regle!$H$23,
IF(Z402=regle!$I$11,regle!$I$23,
IF(Z402=regle!$J$11,regle!$J$23,
IF(Z402=regle!$K$11,regle!$K$23,0))))))))))))</f>
        <v>0</v>
      </c>
      <c r="AK402" s="16">
        <f>IF(OR(Q402=regle!$J$11,Q402=regle!$K$11),-2,IF(Q402=regle!$B$11,0,IF(AK$1=$AK$1,IF($O402,-1,regle!$B$2-$M402),IF(AJ402=-1,-1,AJ402+1))))</f>
        <v>34</v>
      </c>
      <c r="AL402" s="16">
        <f>IF(OR(R402=regle!$J$11,R402=regle!$K$11),-2,IF(R402=regle!$B$11,0,IF(AL$1=$AK$1,IF($O402,-1,regle!$B$2-$M402),IF(AK402=-1,-1,AK402+1))))</f>
        <v>35</v>
      </c>
      <c r="AM402" s="16">
        <f>IF(OR(S402=regle!$J$11,S402=regle!$K$11),-2,IF(S402=regle!$B$11,0,IF(AM$1=$AK$1,IF($O402,-1,regle!$B$2-$M402),IF(AL402=-1,-1,AL402+1))))</f>
        <v>36</v>
      </c>
      <c r="AN402" s="16">
        <f>IF(OR(T402=regle!$J$11,T402=regle!$K$11),-2,IF(T402=regle!$B$11,0,IF(AN$1=$AK$1,IF($O402,-1,regle!$B$2-$M402),IF(AM402=-1,-1,AM402+1))))</f>
        <v>37</v>
      </c>
      <c r="AO402" s="16">
        <f>IF(OR(U402=regle!$J$11,U402=regle!$K$11),-2,IF(U402=regle!$B$11,0,IF(AO$1=$AK$1,IF($O402,-1,regle!$B$2-$M402),IF(AN402=-1,-1,AN402+1))))</f>
        <v>38</v>
      </c>
      <c r="AP402" s="16">
        <f>IF(OR(V402=regle!$J$11,V402=regle!$K$11),-2,IF(V402=regle!$B$11,0,IF(AP$1=$AK$1,IF($O402,-1,regle!$B$2-$M402),IF(AO402=-1,-1,AO402+1))))</f>
        <v>39</v>
      </c>
      <c r="AQ402" s="16">
        <f>IF(OR(W402=regle!$J$11,W402=regle!$K$11),-2,IF(W402=regle!$B$11,0,IF(AQ$1=$AK$1,IF($O402,-1,regle!$B$2-$M402),IF(AP402=-1,-1,AP402+1))))</f>
        <v>40</v>
      </c>
      <c r="AR402" s="16">
        <f>IF(OR(X402=regle!$J$11,X402=regle!$K$11),-2,IF(X402=regle!$B$11,0,IF(AR$1=$AK$1,IF($O402,-1,regle!$B$2-$M402),IF(AQ402=-1,-1,AQ402+1))))</f>
        <v>41</v>
      </c>
      <c r="AS402" s="16">
        <f>IF(OR(Y402=regle!$J$11,Y402=regle!$K$11),-2,IF(Y402=regle!$B$11,0,IF(AS$1=$AK$1,IF($O402,-1,regle!$B$2-$M402),IF(AR402=-1,-1,AR402+1))))</f>
        <v>42</v>
      </c>
      <c r="AT402" s="16">
        <f>IF(OR(Z402=regle!$J$11,Z402=regle!$K$11),-2,IF(Z402=regle!$B$11,0,IF(AT$1=$AK$1,IF($O402,-1,regle!$B$2-$M402),IF(AS402=-1,-1,AS402+1))))</f>
        <v>43</v>
      </c>
    </row>
    <row r="403" spans="1:46" x14ac:dyDescent="0.25">
      <c r="A403" t="b">
        <f>modif0!A397</f>
        <v>0</v>
      </c>
      <c r="B403">
        <f>ROW(modif0!B397)</f>
        <v>397</v>
      </c>
      <c r="C403" t="str">
        <f>modif0!D397</f>
        <v>536</v>
      </c>
      <c r="D403" t="str">
        <f>modif0!E397</f>
        <v>LE TUZAN</v>
      </c>
      <c r="E403">
        <f>modif0!F397</f>
        <v>21</v>
      </c>
      <c r="F403" t="str">
        <f>modif0!G397</f>
        <v>METAIRIES DE TABARTON</v>
      </c>
      <c r="G403" t="str">
        <f>modif0!I397</f>
        <v>0A</v>
      </c>
      <c r="H403">
        <f>modif0!J397</f>
        <v>523</v>
      </c>
      <c r="I403" t="str">
        <f>modif0!K397</f>
        <v>w</v>
      </c>
      <c r="J403" s="11">
        <f>modif0!M397</f>
        <v>4.5259999999999998</v>
      </c>
      <c r="K403" s="11" t="str">
        <f>modif0!P397</f>
        <v>TAIL</v>
      </c>
      <c r="L403" t="str">
        <f>modif0!N397</f>
        <v>FEUIL</v>
      </c>
      <c r="M403">
        <f>modif0!Q397</f>
        <v>1987</v>
      </c>
      <c r="N403" t="str">
        <f>modif0!R397</f>
        <v>TAIL-FEUIL_1987</v>
      </c>
      <c r="O403" t="b">
        <f>modif0!S397</f>
        <v>0</v>
      </c>
      <c r="P403">
        <v>40</v>
      </c>
      <c r="AA403" s="17" t="b">
        <f>IF($A403,$J403*(IF(Q403=regle!$B$11,regle!$B$23*IF(AJ403=-2,1+regle!$B$35,1),
IF(Q403=regle!$C$11,regle!$C$23,
IF(Q403=regle!$D$11,regle!$D$23,
IF(Q403=regle!$E$11,regle!$E$23,
IF(Q403=regle!$F$11,regle!$F$23,
IF(Q403=regle!$G$11,regle!$G$23,
IF(Q403=regle!$H$11,regle!$H$23,
IF(Q403=regle!$I$11,regle!$I$23,
IF(Q403=regle!$J$11,regle!$J$23,
IF(Q403=regle!$K$11,regle!$K$23,0))))))))))))</f>
        <v>0</v>
      </c>
      <c r="AB403" s="17" t="b">
        <f>IF($A403,$J403*(IF(R403=regle!$B$11,regle!$B$23*IF(AK403=-2,1+regle!$B$35,1),
IF(R403=regle!$C$11,regle!$C$23,
IF(R403=regle!$D$11,regle!$D$23,
IF(R403=regle!$E$11,regle!$E$23,
IF(R403=regle!$F$11,regle!$F$23,
IF(R403=regle!$G$11,regle!$G$23,
IF(R403=regle!$H$11,regle!$H$23,
IF(R403=regle!$I$11,regle!$I$23,
IF(R403=regle!$J$11,regle!$J$23,
IF(R403=regle!$K$11,regle!$K$23,0))))))))))))</f>
        <v>0</v>
      </c>
      <c r="AC403" s="17" t="b">
        <f>IF($A403,$J403*(IF(S403=regle!$B$11,regle!$B$23*IF(AL403=-2,1+regle!$B$35,1),
IF(S403=regle!$C$11,regle!$C$23,
IF(S403=regle!$D$11,regle!$D$23,
IF(S403=regle!$E$11,regle!$E$23,
IF(S403=regle!$F$11,regle!$F$23,
IF(S403=regle!$G$11,regle!$G$23,
IF(S403=regle!$H$11,regle!$H$23,
IF(S403=regle!$I$11,regle!$I$23,
IF(S403=regle!$J$11,regle!$J$23,
IF(S403=regle!$K$11,regle!$K$23,0))))))))))))</f>
        <v>0</v>
      </c>
      <c r="AD403" s="17" t="b">
        <f>IF($A403,$J403*(IF(T403=regle!$B$11,regle!$B$23*IF(AM403=-2,1+regle!$B$35,1),
IF(T403=regle!$C$11,regle!$C$23,
IF(T403=regle!$D$11,regle!$D$23,
IF(T403=regle!$E$11,regle!$E$23,
IF(T403=regle!$F$11,regle!$F$23,
IF(T403=regle!$G$11,regle!$G$23,
IF(T403=regle!$H$11,regle!$H$23,
IF(T403=regle!$I$11,regle!$I$23,
IF(T403=regle!$J$11,regle!$J$23,
IF(T403=regle!$K$11,regle!$K$23,0))))))))))))</f>
        <v>0</v>
      </c>
      <c r="AE403" s="17" t="b">
        <f>IF($A403,$J403*(IF(U403=regle!$B$11,regle!$B$23*IF(AN403=-2,1+regle!$B$35,1),
IF(U403=regle!$C$11,regle!$C$23,
IF(U403=regle!$D$11,regle!$D$23,
IF(U403=regle!$E$11,regle!$E$23,
IF(U403=regle!$F$11,regle!$F$23,
IF(U403=regle!$G$11,regle!$G$23,
IF(U403=regle!$H$11,regle!$H$23,
IF(U403=regle!$I$11,regle!$I$23,
IF(U403=regle!$J$11,regle!$J$23,
IF(U403=regle!$K$11,regle!$K$23,0))))))))))))</f>
        <v>0</v>
      </c>
      <c r="AF403" s="17" t="b">
        <f>IF($A403,$J403*(IF(V403=regle!$B$11,regle!$B$23*IF(AO403=-2,1+regle!$B$35,1),
IF(V403=regle!$C$11,regle!$C$23,
IF(V403=regle!$D$11,regle!$D$23,
IF(V403=regle!$E$11,regle!$E$23,
IF(V403=regle!$F$11,regle!$F$23,
IF(V403=regle!$G$11,regle!$G$23,
IF(V403=regle!$H$11,regle!$H$23,
IF(V403=regle!$I$11,regle!$I$23,
IF(V403=regle!$J$11,regle!$J$23,
IF(V403=regle!$K$11,regle!$K$23,0))))))))))))</f>
        <v>0</v>
      </c>
      <c r="AG403" s="17" t="b">
        <f>IF($A403,$J403*(IF(W403=regle!$B$11,regle!$B$23*IF(AP403=-2,1+regle!$B$35,1),
IF(W403=regle!$C$11,regle!$C$23,
IF(W403=regle!$D$11,regle!$D$23,
IF(W403=regle!$E$11,regle!$E$23,
IF(W403=regle!$F$11,regle!$F$23,
IF(W403=regle!$G$11,regle!$G$23,
IF(W403=regle!$H$11,regle!$H$23,
IF(W403=regle!$I$11,regle!$I$23,
IF(W403=regle!$J$11,regle!$J$23,
IF(W403=regle!$K$11,regle!$K$23,0))))))))))))</f>
        <v>0</v>
      </c>
      <c r="AH403" s="17" t="b">
        <f>IF($A403,$J403*(IF(X403=regle!$B$11,regle!$B$23*IF(AQ403=-2,1+regle!$B$35,1),
IF(X403=regle!$C$11,regle!$C$23,
IF(X403=regle!$D$11,regle!$D$23,
IF(X403=regle!$E$11,regle!$E$23,
IF(X403=regle!$F$11,regle!$F$23,
IF(X403=regle!$G$11,regle!$G$23,
IF(X403=regle!$H$11,regle!$H$23,
IF(X403=regle!$I$11,regle!$I$23,
IF(X403=regle!$J$11,regle!$J$23,
IF(X403=regle!$K$11,regle!$K$23,0))))))))))))</f>
        <v>0</v>
      </c>
      <c r="AI403" s="17" t="b">
        <f>IF($A403,$J403*(IF(Y403=regle!$B$11,regle!$B$23*IF(AR403=-2,1+regle!$B$35,1),
IF(Y403=regle!$C$11,regle!$C$23,
IF(Y403=regle!$D$11,regle!$D$23,
IF(Y403=regle!$E$11,regle!$E$23,
IF(Y403=regle!$F$11,regle!$F$23,
IF(Y403=regle!$G$11,regle!$G$23,
IF(Y403=regle!$H$11,regle!$H$23,
IF(Y403=regle!$I$11,regle!$I$23,
IF(Y403=regle!$J$11,regle!$J$23,
IF(Y403=regle!$K$11,regle!$K$23,0))))))))))))</f>
        <v>0</v>
      </c>
      <c r="AJ403" s="17" t="b">
        <f>IF($A403,$J403*(IF(Z403=regle!$B$11,regle!$B$23*IF(AS403=-2,1+regle!$B$35,1),
IF(Z403=regle!$C$11,regle!$C$23,
IF(Z403=regle!$D$11,regle!$D$23,
IF(Z403=regle!$E$11,regle!$E$23,
IF(Z403=regle!$F$11,regle!$F$23,
IF(Z403=regle!$G$11,regle!$G$23,
IF(Z403=regle!$H$11,regle!$H$23,
IF(Z403=regle!$I$11,regle!$I$23,
IF(Z403=regle!$J$11,regle!$J$23,
IF(Z403=regle!$K$11,regle!$K$23,0))))))))))))</f>
        <v>0</v>
      </c>
      <c r="AK403" s="16">
        <f>IF(OR(Q403=regle!$J$11,Q403=regle!$K$11),-2,IF(Q403=regle!$B$11,0,IF(AK$1=$AK$1,IF($O403,-1,regle!$B$2-$M403),IF(AJ403=-1,-1,AJ403+1))))</f>
        <v>37</v>
      </c>
      <c r="AL403" s="16">
        <f>IF(OR(R403=regle!$J$11,R403=regle!$K$11),-2,IF(R403=regle!$B$11,0,IF(AL$1=$AK$1,IF($O403,-1,regle!$B$2-$M403),IF(AK403=-1,-1,AK403+1))))</f>
        <v>38</v>
      </c>
      <c r="AM403" s="16">
        <f>IF(OR(S403=regle!$J$11,S403=regle!$K$11),-2,IF(S403=regle!$B$11,0,IF(AM$1=$AK$1,IF($O403,-1,regle!$B$2-$M403),IF(AL403=-1,-1,AL403+1))))</f>
        <v>39</v>
      </c>
      <c r="AN403" s="16">
        <f>IF(OR(T403=regle!$J$11,T403=regle!$K$11),-2,IF(T403=regle!$B$11,0,IF(AN$1=$AK$1,IF($O403,-1,regle!$B$2-$M403),IF(AM403=-1,-1,AM403+1))))</f>
        <v>40</v>
      </c>
      <c r="AO403" s="16">
        <f>IF(OR(U403=regle!$J$11,U403=regle!$K$11),-2,IF(U403=regle!$B$11,0,IF(AO$1=$AK$1,IF($O403,-1,regle!$B$2-$M403),IF(AN403=-1,-1,AN403+1))))</f>
        <v>41</v>
      </c>
      <c r="AP403" s="16">
        <f>IF(OR(V403=regle!$J$11,V403=regle!$K$11),-2,IF(V403=regle!$B$11,0,IF(AP$1=$AK$1,IF($O403,-1,regle!$B$2-$M403),IF(AO403=-1,-1,AO403+1))))</f>
        <v>42</v>
      </c>
      <c r="AQ403" s="16">
        <f>IF(OR(W403=regle!$J$11,W403=regle!$K$11),-2,IF(W403=regle!$B$11,0,IF(AQ$1=$AK$1,IF($O403,-1,regle!$B$2-$M403),IF(AP403=-1,-1,AP403+1))))</f>
        <v>43</v>
      </c>
      <c r="AR403" s="16">
        <f>IF(OR(X403=regle!$J$11,X403=regle!$K$11),-2,IF(X403=regle!$B$11,0,IF(AR$1=$AK$1,IF($O403,-1,regle!$B$2-$M403),IF(AQ403=-1,-1,AQ403+1))))</f>
        <v>44</v>
      </c>
      <c r="AS403" s="16">
        <f>IF(OR(Y403=regle!$J$11,Y403=regle!$K$11),-2,IF(Y403=regle!$B$11,0,IF(AS$1=$AK$1,IF($O403,-1,regle!$B$2-$M403),IF(AR403=-1,-1,AR403+1))))</f>
        <v>45</v>
      </c>
      <c r="AT403" s="16">
        <f>IF(OR(Z403=regle!$J$11,Z403=regle!$K$11),-2,IF(Z403=regle!$B$11,0,IF(AT$1=$AK$1,IF($O403,-1,regle!$B$2-$M403),IF(AS403=-1,-1,AS403+1))))</f>
        <v>46</v>
      </c>
    </row>
    <row r="404" spans="1:46" x14ac:dyDescent="0.25">
      <c r="A404" t="b">
        <f>modif0!A389</f>
        <v>0</v>
      </c>
      <c r="B404">
        <f>ROW(modif0!B389)</f>
        <v>389</v>
      </c>
      <c r="C404" t="str">
        <f>modif0!D389</f>
        <v>536</v>
      </c>
      <c r="D404" t="str">
        <f>modif0!E389</f>
        <v>LE TUZAN</v>
      </c>
      <c r="E404">
        <f>modif0!F389</f>
        <v>21</v>
      </c>
      <c r="F404" t="str">
        <f>modif0!G389</f>
        <v>METAIRIES DE TABARTON</v>
      </c>
      <c r="G404" t="str">
        <f>modif0!I389</f>
        <v>0A</v>
      </c>
      <c r="H404">
        <f>modif0!J389</f>
        <v>417</v>
      </c>
      <c r="I404" t="str">
        <f>modif0!K389</f>
        <v>a</v>
      </c>
      <c r="J404" s="11">
        <f>modif0!M389</f>
        <v>2.4418000000000002</v>
      </c>
      <c r="K404" s="11" t="str">
        <f>modif0!P389</f>
        <v>TAIL</v>
      </c>
      <c r="L404" t="str">
        <f>modif0!N389</f>
        <v>FEUIL</v>
      </c>
      <c r="M404">
        <f>modif0!Q389</f>
        <v>1987</v>
      </c>
      <c r="N404" t="str">
        <f>modif0!R389</f>
        <v>TAIL-FEUIL_1987</v>
      </c>
      <c r="O404" t="b">
        <f>modif0!S389</f>
        <v>0</v>
      </c>
      <c r="P404">
        <v>40</v>
      </c>
      <c r="AA404" s="17" t="b">
        <f>IF($A404,$J404*(IF(Q404=regle!$B$11,regle!$B$23*IF(AJ404=-2,1+regle!$B$35,1),
IF(Q404=regle!$C$11,regle!$C$23,
IF(Q404=regle!$D$11,regle!$D$23,
IF(Q404=regle!$E$11,regle!$E$23,
IF(Q404=regle!$F$11,regle!$F$23,
IF(Q404=regle!$G$11,regle!$G$23,
IF(Q404=regle!$H$11,regle!$H$23,
IF(Q404=regle!$I$11,regle!$I$23,
IF(Q404=regle!$J$11,regle!$J$23,
IF(Q404=regle!$K$11,regle!$K$23,0))))))))))))</f>
        <v>0</v>
      </c>
      <c r="AB404" s="17" t="b">
        <f>IF($A404,$J404*(IF(R404=regle!$B$11,regle!$B$23*IF(AK404=-2,1+regle!$B$35,1),
IF(R404=regle!$C$11,regle!$C$23,
IF(R404=regle!$D$11,regle!$D$23,
IF(R404=regle!$E$11,regle!$E$23,
IF(R404=regle!$F$11,regle!$F$23,
IF(R404=regle!$G$11,regle!$G$23,
IF(R404=regle!$H$11,regle!$H$23,
IF(R404=regle!$I$11,regle!$I$23,
IF(R404=regle!$J$11,regle!$J$23,
IF(R404=regle!$K$11,regle!$K$23,0))))))))))))</f>
        <v>0</v>
      </c>
      <c r="AC404" s="17" t="b">
        <f>IF($A404,$J404*(IF(S404=regle!$B$11,regle!$B$23*IF(AL404=-2,1+regle!$B$35,1),
IF(S404=regle!$C$11,regle!$C$23,
IF(S404=regle!$D$11,regle!$D$23,
IF(S404=regle!$E$11,regle!$E$23,
IF(S404=regle!$F$11,regle!$F$23,
IF(S404=regle!$G$11,regle!$G$23,
IF(S404=regle!$H$11,regle!$H$23,
IF(S404=regle!$I$11,regle!$I$23,
IF(S404=regle!$J$11,regle!$J$23,
IF(S404=regle!$K$11,regle!$K$23,0))))))))))))</f>
        <v>0</v>
      </c>
      <c r="AD404" s="17" t="b">
        <f>IF($A404,$J404*(IF(T404=regle!$B$11,regle!$B$23*IF(AM404=-2,1+regle!$B$35,1),
IF(T404=regle!$C$11,regle!$C$23,
IF(T404=regle!$D$11,regle!$D$23,
IF(T404=regle!$E$11,regle!$E$23,
IF(T404=regle!$F$11,regle!$F$23,
IF(T404=regle!$G$11,regle!$G$23,
IF(T404=regle!$H$11,regle!$H$23,
IF(T404=regle!$I$11,regle!$I$23,
IF(T404=regle!$J$11,regle!$J$23,
IF(T404=regle!$K$11,regle!$K$23,0))))))))))))</f>
        <v>0</v>
      </c>
      <c r="AE404" s="17" t="b">
        <f>IF($A404,$J404*(IF(U404=regle!$B$11,regle!$B$23*IF(AN404=-2,1+regle!$B$35,1),
IF(U404=regle!$C$11,regle!$C$23,
IF(U404=regle!$D$11,regle!$D$23,
IF(U404=regle!$E$11,regle!$E$23,
IF(U404=regle!$F$11,regle!$F$23,
IF(U404=regle!$G$11,regle!$G$23,
IF(U404=regle!$H$11,regle!$H$23,
IF(U404=regle!$I$11,regle!$I$23,
IF(U404=regle!$J$11,regle!$J$23,
IF(U404=regle!$K$11,regle!$K$23,0))))))))))))</f>
        <v>0</v>
      </c>
      <c r="AF404" s="17" t="b">
        <f>IF($A404,$J404*(IF(V404=regle!$B$11,regle!$B$23*IF(AO404=-2,1+regle!$B$35,1),
IF(V404=regle!$C$11,regle!$C$23,
IF(V404=regle!$D$11,regle!$D$23,
IF(V404=regle!$E$11,regle!$E$23,
IF(V404=regle!$F$11,regle!$F$23,
IF(V404=regle!$G$11,regle!$G$23,
IF(V404=regle!$H$11,regle!$H$23,
IF(V404=regle!$I$11,regle!$I$23,
IF(V404=regle!$J$11,regle!$J$23,
IF(V404=regle!$K$11,regle!$K$23,0))))))))))))</f>
        <v>0</v>
      </c>
      <c r="AG404" s="17" t="b">
        <f>IF($A404,$J404*(IF(W404=regle!$B$11,regle!$B$23*IF(AP404=-2,1+regle!$B$35,1),
IF(W404=regle!$C$11,regle!$C$23,
IF(W404=regle!$D$11,regle!$D$23,
IF(W404=regle!$E$11,regle!$E$23,
IF(W404=regle!$F$11,regle!$F$23,
IF(W404=regle!$G$11,regle!$G$23,
IF(W404=regle!$H$11,regle!$H$23,
IF(W404=regle!$I$11,regle!$I$23,
IF(W404=regle!$J$11,regle!$J$23,
IF(W404=regle!$K$11,regle!$K$23,0))))))))))))</f>
        <v>0</v>
      </c>
      <c r="AH404" s="17" t="b">
        <f>IF($A404,$J404*(IF(X404=regle!$B$11,regle!$B$23*IF(AQ404=-2,1+regle!$B$35,1),
IF(X404=regle!$C$11,regle!$C$23,
IF(X404=regle!$D$11,regle!$D$23,
IF(X404=regle!$E$11,regle!$E$23,
IF(X404=regle!$F$11,regle!$F$23,
IF(X404=regle!$G$11,regle!$G$23,
IF(X404=regle!$H$11,regle!$H$23,
IF(X404=regle!$I$11,regle!$I$23,
IF(X404=regle!$J$11,regle!$J$23,
IF(X404=regle!$K$11,regle!$K$23,0))))))))))))</f>
        <v>0</v>
      </c>
      <c r="AI404" s="17" t="b">
        <f>IF($A404,$J404*(IF(Y404=regle!$B$11,regle!$B$23*IF(AR404=-2,1+regle!$B$35,1),
IF(Y404=regle!$C$11,regle!$C$23,
IF(Y404=regle!$D$11,regle!$D$23,
IF(Y404=regle!$E$11,regle!$E$23,
IF(Y404=regle!$F$11,regle!$F$23,
IF(Y404=regle!$G$11,regle!$G$23,
IF(Y404=regle!$H$11,regle!$H$23,
IF(Y404=regle!$I$11,regle!$I$23,
IF(Y404=regle!$J$11,regle!$J$23,
IF(Y404=regle!$K$11,regle!$K$23,0))))))))))))</f>
        <v>0</v>
      </c>
      <c r="AJ404" s="17" t="b">
        <f>IF($A404,$J404*(IF(Z404=regle!$B$11,regle!$B$23*IF(AS404=-2,1+regle!$B$35,1),
IF(Z404=regle!$C$11,regle!$C$23,
IF(Z404=regle!$D$11,regle!$D$23,
IF(Z404=regle!$E$11,regle!$E$23,
IF(Z404=regle!$F$11,regle!$F$23,
IF(Z404=regle!$G$11,regle!$G$23,
IF(Z404=regle!$H$11,regle!$H$23,
IF(Z404=regle!$I$11,regle!$I$23,
IF(Z404=regle!$J$11,regle!$J$23,
IF(Z404=regle!$K$11,regle!$K$23,0))))))))))))</f>
        <v>0</v>
      </c>
      <c r="AK404" s="16">
        <f>IF(OR(Q404=regle!$J$11,Q404=regle!$K$11),-2,IF(Q404=regle!$B$11,0,IF(AK$1=$AK$1,IF($O404,-1,regle!$B$2-$M404),IF(AJ404=-1,-1,AJ404+1))))</f>
        <v>37</v>
      </c>
      <c r="AL404" s="16">
        <f>IF(OR(R404=regle!$J$11,R404=regle!$K$11),-2,IF(R404=regle!$B$11,0,IF(AL$1=$AK$1,IF($O404,-1,regle!$B$2-$M404),IF(AK404=-1,-1,AK404+1))))</f>
        <v>38</v>
      </c>
      <c r="AM404" s="16">
        <f>IF(OR(S404=regle!$J$11,S404=regle!$K$11),-2,IF(S404=regle!$B$11,0,IF(AM$1=$AK$1,IF($O404,-1,regle!$B$2-$M404),IF(AL404=-1,-1,AL404+1))))</f>
        <v>39</v>
      </c>
      <c r="AN404" s="16">
        <f>IF(OR(T404=regle!$J$11,T404=regle!$K$11),-2,IF(T404=regle!$B$11,0,IF(AN$1=$AK$1,IF($O404,-1,regle!$B$2-$M404),IF(AM404=-1,-1,AM404+1))))</f>
        <v>40</v>
      </c>
      <c r="AO404" s="16">
        <f>IF(OR(U404=regle!$J$11,U404=regle!$K$11),-2,IF(U404=regle!$B$11,0,IF(AO$1=$AK$1,IF($O404,-1,regle!$B$2-$M404),IF(AN404=-1,-1,AN404+1))))</f>
        <v>41</v>
      </c>
      <c r="AP404" s="16">
        <f>IF(OR(V404=regle!$J$11,V404=regle!$K$11),-2,IF(V404=regle!$B$11,0,IF(AP$1=$AK$1,IF($O404,-1,regle!$B$2-$M404),IF(AO404=-1,-1,AO404+1))))</f>
        <v>42</v>
      </c>
      <c r="AQ404" s="16">
        <f>IF(OR(W404=regle!$J$11,W404=regle!$K$11),-2,IF(W404=regle!$B$11,0,IF(AQ$1=$AK$1,IF($O404,-1,regle!$B$2-$M404),IF(AP404=-1,-1,AP404+1))))</f>
        <v>43</v>
      </c>
      <c r="AR404" s="16">
        <f>IF(OR(X404=regle!$J$11,X404=regle!$K$11),-2,IF(X404=regle!$B$11,0,IF(AR$1=$AK$1,IF($O404,-1,regle!$B$2-$M404),IF(AQ404=-1,-1,AQ404+1))))</f>
        <v>44</v>
      </c>
      <c r="AS404" s="16">
        <f>IF(OR(Y404=regle!$J$11,Y404=regle!$K$11),-2,IF(Y404=regle!$B$11,0,IF(AS$1=$AK$1,IF($O404,-1,regle!$B$2-$M404),IF(AR404=-1,-1,AR404+1))))</f>
        <v>45</v>
      </c>
      <c r="AT404" s="16">
        <f>IF(OR(Z404=regle!$J$11,Z404=regle!$K$11),-2,IF(Z404=regle!$B$11,0,IF(AT$1=$AK$1,IF($O404,-1,regle!$B$2-$M404),IF(AS404=-1,-1,AS404+1))))</f>
        <v>46</v>
      </c>
    </row>
    <row r="405" spans="1:46" x14ac:dyDescent="0.25">
      <c r="A405" t="b">
        <f>modif0!A382</f>
        <v>0</v>
      </c>
      <c r="B405">
        <f>ROW(modif0!B382)</f>
        <v>382</v>
      </c>
      <c r="C405" t="str">
        <f>modif0!D382</f>
        <v>536</v>
      </c>
      <c r="D405" t="str">
        <f>modif0!E382</f>
        <v>LE TUZAN</v>
      </c>
      <c r="E405">
        <f>modif0!F382</f>
        <v>21</v>
      </c>
      <c r="F405" t="str">
        <f>modif0!G382</f>
        <v>METAIRIES DE TABARTON</v>
      </c>
      <c r="G405" t="str">
        <f>modif0!I382</f>
        <v>0A</v>
      </c>
      <c r="H405">
        <f>modif0!J382</f>
        <v>407</v>
      </c>
      <c r="I405" t="str">
        <f>modif0!K382</f>
        <v>c</v>
      </c>
      <c r="J405" s="11">
        <f>modif0!M382</f>
        <v>1.3096000000000001</v>
      </c>
      <c r="K405" s="11" t="str">
        <f>modif0!P382</f>
        <v>TAIL</v>
      </c>
      <c r="L405" t="str">
        <f>modif0!N382</f>
        <v>FEUIL</v>
      </c>
      <c r="M405">
        <f>modif0!Q382</f>
        <v>1987</v>
      </c>
      <c r="N405" t="str">
        <f>modif0!R382</f>
        <v>TAIL-FEUIL_1987</v>
      </c>
      <c r="O405" t="b">
        <f>modif0!S382</f>
        <v>0</v>
      </c>
      <c r="P405">
        <v>40</v>
      </c>
      <c r="AA405" s="17" t="b">
        <f>IF($A405,$J405*(IF(Q405=regle!$B$11,regle!$B$23*IF(AJ405=-2,1+regle!$B$35,1),
IF(Q405=regle!$C$11,regle!$C$23,
IF(Q405=regle!$D$11,regle!$D$23,
IF(Q405=regle!$E$11,regle!$E$23,
IF(Q405=regle!$F$11,regle!$F$23,
IF(Q405=regle!$G$11,regle!$G$23,
IF(Q405=regle!$H$11,regle!$H$23,
IF(Q405=regle!$I$11,regle!$I$23,
IF(Q405=regle!$J$11,regle!$J$23,
IF(Q405=regle!$K$11,regle!$K$23,0))))))))))))</f>
        <v>0</v>
      </c>
      <c r="AB405" s="17" t="b">
        <f>IF($A405,$J405*(IF(R405=regle!$B$11,regle!$B$23*IF(AK405=-2,1+regle!$B$35,1),
IF(R405=regle!$C$11,regle!$C$23,
IF(R405=regle!$D$11,regle!$D$23,
IF(R405=regle!$E$11,regle!$E$23,
IF(R405=regle!$F$11,regle!$F$23,
IF(R405=regle!$G$11,regle!$G$23,
IF(R405=regle!$H$11,regle!$H$23,
IF(R405=regle!$I$11,regle!$I$23,
IF(R405=regle!$J$11,regle!$J$23,
IF(R405=regle!$K$11,regle!$K$23,0))))))))))))</f>
        <v>0</v>
      </c>
      <c r="AC405" s="17" t="b">
        <f>IF($A405,$J405*(IF(S405=regle!$B$11,regle!$B$23*IF(AL405=-2,1+regle!$B$35,1),
IF(S405=regle!$C$11,regle!$C$23,
IF(S405=regle!$D$11,regle!$D$23,
IF(S405=regle!$E$11,regle!$E$23,
IF(S405=regle!$F$11,regle!$F$23,
IF(S405=regle!$G$11,regle!$G$23,
IF(S405=regle!$H$11,regle!$H$23,
IF(S405=regle!$I$11,regle!$I$23,
IF(S405=regle!$J$11,regle!$J$23,
IF(S405=regle!$K$11,regle!$K$23,0))))))))))))</f>
        <v>0</v>
      </c>
      <c r="AD405" s="17" t="b">
        <f>IF($A405,$J405*(IF(T405=regle!$B$11,regle!$B$23*IF(AM405=-2,1+regle!$B$35,1),
IF(T405=regle!$C$11,regle!$C$23,
IF(T405=regle!$D$11,regle!$D$23,
IF(T405=regle!$E$11,regle!$E$23,
IF(T405=regle!$F$11,regle!$F$23,
IF(T405=regle!$G$11,regle!$G$23,
IF(T405=regle!$H$11,regle!$H$23,
IF(T405=regle!$I$11,regle!$I$23,
IF(T405=regle!$J$11,regle!$J$23,
IF(T405=regle!$K$11,regle!$K$23,0))))))))))))</f>
        <v>0</v>
      </c>
      <c r="AE405" s="17" t="b">
        <f>IF($A405,$J405*(IF(U405=regle!$B$11,regle!$B$23*IF(AN405=-2,1+regle!$B$35,1),
IF(U405=regle!$C$11,regle!$C$23,
IF(U405=regle!$D$11,regle!$D$23,
IF(U405=regle!$E$11,regle!$E$23,
IF(U405=regle!$F$11,regle!$F$23,
IF(U405=regle!$G$11,regle!$G$23,
IF(U405=regle!$H$11,regle!$H$23,
IF(U405=regle!$I$11,regle!$I$23,
IF(U405=regle!$J$11,regle!$J$23,
IF(U405=regle!$K$11,regle!$K$23,0))))))))))))</f>
        <v>0</v>
      </c>
      <c r="AF405" s="17" t="b">
        <f>IF($A405,$J405*(IF(V405=regle!$B$11,regle!$B$23*IF(AO405=-2,1+regle!$B$35,1),
IF(V405=regle!$C$11,regle!$C$23,
IF(V405=regle!$D$11,regle!$D$23,
IF(V405=regle!$E$11,regle!$E$23,
IF(V405=regle!$F$11,regle!$F$23,
IF(V405=regle!$G$11,regle!$G$23,
IF(V405=regle!$H$11,regle!$H$23,
IF(V405=regle!$I$11,regle!$I$23,
IF(V405=regle!$J$11,regle!$J$23,
IF(V405=regle!$K$11,regle!$K$23,0))))))))))))</f>
        <v>0</v>
      </c>
      <c r="AG405" s="17" t="b">
        <f>IF($A405,$J405*(IF(W405=regle!$B$11,regle!$B$23*IF(AP405=-2,1+regle!$B$35,1),
IF(W405=regle!$C$11,regle!$C$23,
IF(W405=regle!$D$11,regle!$D$23,
IF(W405=regle!$E$11,regle!$E$23,
IF(W405=regle!$F$11,regle!$F$23,
IF(W405=regle!$G$11,regle!$G$23,
IF(W405=regle!$H$11,regle!$H$23,
IF(W405=regle!$I$11,regle!$I$23,
IF(W405=regle!$J$11,regle!$J$23,
IF(W405=regle!$K$11,regle!$K$23,0))))))))))))</f>
        <v>0</v>
      </c>
      <c r="AH405" s="17" t="b">
        <f>IF($A405,$J405*(IF(X405=regle!$B$11,regle!$B$23*IF(AQ405=-2,1+regle!$B$35,1),
IF(X405=regle!$C$11,regle!$C$23,
IF(X405=regle!$D$11,regle!$D$23,
IF(X405=regle!$E$11,regle!$E$23,
IF(X405=regle!$F$11,regle!$F$23,
IF(X405=regle!$G$11,regle!$G$23,
IF(X405=regle!$H$11,regle!$H$23,
IF(X405=regle!$I$11,regle!$I$23,
IF(X405=regle!$J$11,regle!$J$23,
IF(X405=regle!$K$11,regle!$K$23,0))))))))))))</f>
        <v>0</v>
      </c>
      <c r="AI405" s="17" t="b">
        <f>IF($A405,$J405*(IF(Y405=regle!$B$11,regle!$B$23*IF(AR405=-2,1+regle!$B$35,1),
IF(Y405=regle!$C$11,regle!$C$23,
IF(Y405=regle!$D$11,regle!$D$23,
IF(Y405=regle!$E$11,regle!$E$23,
IF(Y405=regle!$F$11,regle!$F$23,
IF(Y405=regle!$G$11,regle!$G$23,
IF(Y405=regle!$H$11,regle!$H$23,
IF(Y405=regle!$I$11,regle!$I$23,
IF(Y405=regle!$J$11,regle!$J$23,
IF(Y405=regle!$K$11,regle!$K$23,0))))))))))))</f>
        <v>0</v>
      </c>
      <c r="AJ405" s="17" t="b">
        <f>IF($A405,$J405*(IF(Z405=regle!$B$11,regle!$B$23*IF(AS405=-2,1+regle!$B$35,1),
IF(Z405=regle!$C$11,regle!$C$23,
IF(Z405=regle!$D$11,regle!$D$23,
IF(Z405=regle!$E$11,regle!$E$23,
IF(Z405=regle!$F$11,regle!$F$23,
IF(Z405=regle!$G$11,regle!$G$23,
IF(Z405=regle!$H$11,regle!$H$23,
IF(Z405=regle!$I$11,regle!$I$23,
IF(Z405=regle!$J$11,regle!$J$23,
IF(Z405=regle!$K$11,regle!$K$23,0))))))))))))</f>
        <v>0</v>
      </c>
      <c r="AK405" s="16">
        <f>IF(OR(Q405=regle!$J$11,Q405=regle!$K$11),-2,IF(Q405=regle!$B$11,0,IF(AK$1=$AK$1,IF($O405,-1,regle!$B$2-$M405),IF(AJ405=-1,-1,AJ405+1))))</f>
        <v>37</v>
      </c>
      <c r="AL405" s="16">
        <f>IF(OR(R405=regle!$J$11,R405=regle!$K$11),-2,IF(R405=regle!$B$11,0,IF(AL$1=$AK$1,IF($O405,-1,regle!$B$2-$M405),IF(AK405=-1,-1,AK405+1))))</f>
        <v>38</v>
      </c>
      <c r="AM405" s="16">
        <f>IF(OR(S405=regle!$J$11,S405=regle!$K$11),-2,IF(S405=regle!$B$11,0,IF(AM$1=$AK$1,IF($O405,-1,regle!$B$2-$M405),IF(AL405=-1,-1,AL405+1))))</f>
        <v>39</v>
      </c>
      <c r="AN405" s="16">
        <f>IF(OR(T405=regle!$J$11,T405=regle!$K$11),-2,IF(T405=regle!$B$11,0,IF(AN$1=$AK$1,IF($O405,-1,regle!$B$2-$M405),IF(AM405=-1,-1,AM405+1))))</f>
        <v>40</v>
      </c>
      <c r="AO405" s="16">
        <f>IF(OR(U405=regle!$J$11,U405=regle!$K$11),-2,IF(U405=regle!$B$11,0,IF(AO$1=$AK$1,IF($O405,-1,regle!$B$2-$M405),IF(AN405=-1,-1,AN405+1))))</f>
        <v>41</v>
      </c>
      <c r="AP405" s="16">
        <f>IF(OR(V405=regle!$J$11,V405=regle!$K$11),-2,IF(V405=regle!$B$11,0,IF(AP$1=$AK$1,IF($O405,-1,regle!$B$2-$M405),IF(AO405=-1,-1,AO405+1))))</f>
        <v>42</v>
      </c>
      <c r="AQ405" s="16">
        <f>IF(OR(W405=regle!$J$11,W405=regle!$K$11),-2,IF(W405=regle!$B$11,0,IF(AQ$1=$AK$1,IF($O405,-1,regle!$B$2-$M405),IF(AP405=-1,-1,AP405+1))))</f>
        <v>43</v>
      </c>
      <c r="AR405" s="16">
        <f>IF(OR(X405=regle!$J$11,X405=regle!$K$11),-2,IF(X405=regle!$B$11,0,IF(AR$1=$AK$1,IF($O405,-1,regle!$B$2-$M405),IF(AQ405=-1,-1,AQ405+1))))</f>
        <v>44</v>
      </c>
      <c r="AS405" s="16">
        <f>IF(OR(Y405=regle!$J$11,Y405=regle!$K$11),-2,IF(Y405=regle!$B$11,0,IF(AS$1=$AK$1,IF($O405,-1,regle!$B$2-$M405),IF(AR405=-1,-1,AR405+1))))</f>
        <v>45</v>
      </c>
      <c r="AT405" s="16">
        <f>IF(OR(Z405=regle!$J$11,Z405=regle!$K$11),-2,IF(Z405=regle!$B$11,0,IF(AT$1=$AK$1,IF($O405,-1,regle!$B$2-$M405),IF(AS405=-1,-1,AS405+1))))</f>
        <v>46</v>
      </c>
    </row>
    <row r="406" spans="1:46" x14ac:dyDescent="0.25">
      <c r="A406" t="b">
        <f>modif0!A396</f>
        <v>0</v>
      </c>
      <c r="B406">
        <f>ROW(modif0!B396)</f>
        <v>396</v>
      </c>
      <c r="C406" t="str">
        <f>modif0!D396</f>
        <v>536</v>
      </c>
      <c r="D406" t="str">
        <f>modif0!E396</f>
        <v>LE TUZAN</v>
      </c>
      <c r="E406">
        <f>modif0!F396</f>
        <v>21</v>
      </c>
      <c r="F406" t="str">
        <f>modif0!G396</f>
        <v>METAIRIES DE TABARTON</v>
      </c>
      <c r="G406" t="str">
        <f>modif0!I396</f>
        <v>0A</v>
      </c>
      <c r="H406">
        <f>modif0!J396</f>
        <v>523</v>
      </c>
      <c r="I406" t="str">
        <f>modif0!K396</f>
        <v>v</v>
      </c>
      <c r="J406" s="11">
        <f>modif0!M396</f>
        <v>0.2964</v>
      </c>
      <c r="K406" s="11" t="str">
        <f>modif0!P396</f>
        <v>TAIL</v>
      </c>
      <c r="L406" t="str">
        <f>modif0!N396</f>
        <v>FEUIL</v>
      </c>
      <c r="M406">
        <f>modif0!Q396</f>
        <v>1987</v>
      </c>
      <c r="N406" t="str">
        <f>modif0!R396</f>
        <v>TAIL-FEUIL_1987</v>
      </c>
      <c r="O406" t="b">
        <f>modif0!S396</f>
        <v>0</v>
      </c>
      <c r="P406">
        <v>40</v>
      </c>
      <c r="AA406" s="17" t="b">
        <f>IF($A406,$J406*(IF(Q406=regle!$B$11,regle!$B$23*IF(AJ406=-2,1+regle!$B$35,1),
IF(Q406=regle!$C$11,regle!$C$23,
IF(Q406=regle!$D$11,regle!$D$23,
IF(Q406=regle!$E$11,regle!$E$23,
IF(Q406=regle!$F$11,regle!$F$23,
IF(Q406=regle!$G$11,regle!$G$23,
IF(Q406=regle!$H$11,regle!$H$23,
IF(Q406=regle!$I$11,regle!$I$23,
IF(Q406=regle!$J$11,regle!$J$23,
IF(Q406=regle!$K$11,regle!$K$23,0))))))))))))</f>
        <v>0</v>
      </c>
      <c r="AB406" s="17" t="b">
        <f>IF($A406,$J406*(IF(R406=regle!$B$11,regle!$B$23*IF(AK406=-2,1+regle!$B$35,1),
IF(R406=regle!$C$11,regle!$C$23,
IF(R406=regle!$D$11,regle!$D$23,
IF(R406=regle!$E$11,regle!$E$23,
IF(R406=regle!$F$11,regle!$F$23,
IF(R406=regle!$G$11,regle!$G$23,
IF(R406=regle!$H$11,regle!$H$23,
IF(R406=regle!$I$11,regle!$I$23,
IF(R406=regle!$J$11,regle!$J$23,
IF(R406=regle!$K$11,regle!$K$23,0))))))))))))</f>
        <v>0</v>
      </c>
      <c r="AC406" s="17" t="b">
        <f>IF($A406,$J406*(IF(S406=regle!$B$11,regle!$B$23*IF(AL406=-2,1+regle!$B$35,1),
IF(S406=regle!$C$11,regle!$C$23,
IF(S406=regle!$D$11,regle!$D$23,
IF(S406=regle!$E$11,regle!$E$23,
IF(S406=regle!$F$11,regle!$F$23,
IF(S406=regle!$G$11,regle!$G$23,
IF(S406=regle!$H$11,regle!$H$23,
IF(S406=regle!$I$11,regle!$I$23,
IF(S406=regle!$J$11,regle!$J$23,
IF(S406=regle!$K$11,regle!$K$23,0))))))))))))</f>
        <v>0</v>
      </c>
      <c r="AD406" s="17" t="b">
        <f>IF($A406,$J406*(IF(T406=regle!$B$11,regle!$B$23*IF(AM406=-2,1+regle!$B$35,1),
IF(T406=regle!$C$11,regle!$C$23,
IF(T406=regle!$D$11,regle!$D$23,
IF(T406=regle!$E$11,regle!$E$23,
IF(T406=regle!$F$11,regle!$F$23,
IF(T406=regle!$G$11,regle!$G$23,
IF(T406=regle!$H$11,regle!$H$23,
IF(T406=regle!$I$11,regle!$I$23,
IF(T406=regle!$J$11,regle!$J$23,
IF(T406=regle!$K$11,regle!$K$23,0))))))))))))</f>
        <v>0</v>
      </c>
      <c r="AE406" s="17" t="b">
        <f>IF($A406,$J406*(IF(U406=regle!$B$11,regle!$B$23*IF(AN406=-2,1+regle!$B$35,1),
IF(U406=regle!$C$11,regle!$C$23,
IF(U406=regle!$D$11,regle!$D$23,
IF(U406=regle!$E$11,regle!$E$23,
IF(U406=regle!$F$11,regle!$F$23,
IF(U406=regle!$G$11,regle!$G$23,
IF(U406=regle!$H$11,regle!$H$23,
IF(U406=regle!$I$11,regle!$I$23,
IF(U406=regle!$J$11,regle!$J$23,
IF(U406=regle!$K$11,regle!$K$23,0))))))))))))</f>
        <v>0</v>
      </c>
      <c r="AF406" s="17" t="b">
        <f>IF($A406,$J406*(IF(V406=regle!$B$11,regle!$B$23*IF(AO406=-2,1+regle!$B$35,1),
IF(V406=regle!$C$11,regle!$C$23,
IF(V406=regle!$D$11,regle!$D$23,
IF(V406=regle!$E$11,regle!$E$23,
IF(V406=regle!$F$11,regle!$F$23,
IF(V406=regle!$G$11,regle!$G$23,
IF(V406=regle!$H$11,regle!$H$23,
IF(V406=regle!$I$11,regle!$I$23,
IF(V406=regle!$J$11,regle!$J$23,
IF(V406=regle!$K$11,regle!$K$23,0))))))))))))</f>
        <v>0</v>
      </c>
      <c r="AG406" s="17" t="b">
        <f>IF($A406,$J406*(IF(W406=regle!$B$11,regle!$B$23*IF(AP406=-2,1+regle!$B$35,1),
IF(W406=regle!$C$11,regle!$C$23,
IF(W406=regle!$D$11,regle!$D$23,
IF(W406=regle!$E$11,regle!$E$23,
IF(W406=regle!$F$11,regle!$F$23,
IF(W406=regle!$G$11,regle!$G$23,
IF(W406=regle!$H$11,regle!$H$23,
IF(W406=regle!$I$11,regle!$I$23,
IF(W406=regle!$J$11,regle!$J$23,
IF(W406=regle!$K$11,regle!$K$23,0))))))))))))</f>
        <v>0</v>
      </c>
      <c r="AH406" s="17" t="b">
        <f>IF($A406,$J406*(IF(X406=regle!$B$11,regle!$B$23*IF(AQ406=-2,1+regle!$B$35,1),
IF(X406=regle!$C$11,regle!$C$23,
IF(X406=regle!$D$11,regle!$D$23,
IF(X406=regle!$E$11,regle!$E$23,
IF(X406=regle!$F$11,regle!$F$23,
IF(X406=regle!$G$11,regle!$G$23,
IF(X406=regle!$H$11,regle!$H$23,
IF(X406=regle!$I$11,regle!$I$23,
IF(X406=regle!$J$11,regle!$J$23,
IF(X406=regle!$K$11,regle!$K$23,0))))))))))))</f>
        <v>0</v>
      </c>
      <c r="AI406" s="17" t="b">
        <f>IF($A406,$J406*(IF(Y406=regle!$B$11,regle!$B$23*IF(AR406=-2,1+regle!$B$35,1),
IF(Y406=regle!$C$11,regle!$C$23,
IF(Y406=regle!$D$11,regle!$D$23,
IF(Y406=regle!$E$11,regle!$E$23,
IF(Y406=regle!$F$11,regle!$F$23,
IF(Y406=regle!$G$11,regle!$G$23,
IF(Y406=regle!$H$11,regle!$H$23,
IF(Y406=regle!$I$11,regle!$I$23,
IF(Y406=regle!$J$11,regle!$J$23,
IF(Y406=regle!$K$11,regle!$K$23,0))))))))))))</f>
        <v>0</v>
      </c>
      <c r="AJ406" s="17" t="b">
        <f>IF($A406,$J406*(IF(Z406=regle!$B$11,regle!$B$23*IF(AS406=-2,1+regle!$B$35,1),
IF(Z406=regle!$C$11,regle!$C$23,
IF(Z406=regle!$D$11,regle!$D$23,
IF(Z406=regle!$E$11,regle!$E$23,
IF(Z406=regle!$F$11,regle!$F$23,
IF(Z406=regle!$G$11,regle!$G$23,
IF(Z406=regle!$H$11,regle!$H$23,
IF(Z406=regle!$I$11,regle!$I$23,
IF(Z406=regle!$J$11,regle!$J$23,
IF(Z406=regle!$K$11,regle!$K$23,0))))))))))))</f>
        <v>0</v>
      </c>
      <c r="AK406" s="16">
        <f>IF(OR(Q406=regle!$J$11,Q406=regle!$K$11),-2,IF(Q406=regle!$B$11,0,IF(AK$1=$AK$1,IF($O406,-1,regle!$B$2-$M406),IF(AJ406=-1,-1,AJ406+1))))</f>
        <v>37</v>
      </c>
      <c r="AL406" s="16">
        <f>IF(OR(R406=regle!$J$11,R406=regle!$K$11),-2,IF(R406=regle!$B$11,0,IF(AL$1=$AK$1,IF($O406,-1,regle!$B$2-$M406),IF(AK406=-1,-1,AK406+1))))</f>
        <v>38</v>
      </c>
      <c r="AM406" s="16">
        <f>IF(OR(S406=regle!$J$11,S406=regle!$K$11),-2,IF(S406=regle!$B$11,0,IF(AM$1=$AK$1,IF($O406,-1,regle!$B$2-$M406),IF(AL406=-1,-1,AL406+1))))</f>
        <v>39</v>
      </c>
      <c r="AN406" s="16">
        <f>IF(OR(T406=regle!$J$11,T406=regle!$K$11),-2,IF(T406=regle!$B$11,0,IF(AN$1=$AK$1,IF($O406,-1,regle!$B$2-$M406),IF(AM406=-1,-1,AM406+1))))</f>
        <v>40</v>
      </c>
      <c r="AO406" s="16">
        <f>IF(OR(U406=regle!$J$11,U406=regle!$K$11),-2,IF(U406=regle!$B$11,0,IF(AO$1=$AK$1,IF($O406,-1,regle!$B$2-$M406),IF(AN406=-1,-1,AN406+1))))</f>
        <v>41</v>
      </c>
      <c r="AP406" s="16">
        <f>IF(OR(V406=regle!$J$11,V406=regle!$K$11),-2,IF(V406=regle!$B$11,0,IF(AP$1=$AK$1,IF($O406,-1,regle!$B$2-$M406),IF(AO406=-1,-1,AO406+1))))</f>
        <v>42</v>
      </c>
      <c r="AQ406" s="16">
        <f>IF(OR(W406=regle!$J$11,W406=regle!$K$11),-2,IF(W406=regle!$B$11,0,IF(AQ$1=$AK$1,IF($O406,-1,regle!$B$2-$M406),IF(AP406=-1,-1,AP406+1))))</f>
        <v>43</v>
      </c>
      <c r="AR406" s="16">
        <f>IF(OR(X406=regle!$J$11,X406=regle!$K$11),-2,IF(X406=regle!$B$11,0,IF(AR$1=$AK$1,IF($O406,-1,regle!$B$2-$M406),IF(AQ406=-1,-1,AQ406+1))))</f>
        <v>44</v>
      </c>
      <c r="AS406" s="16">
        <f>IF(OR(Y406=regle!$J$11,Y406=regle!$K$11),-2,IF(Y406=regle!$B$11,0,IF(AS$1=$AK$1,IF($O406,-1,regle!$B$2-$M406),IF(AR406=-1,-1,AR406+1))))</f>
        <v>45</v>
      </c>
      <c r="AT406" s="16">
        <f>IF(OR(Z406=regle!$J$11,Z406=regle!$K$11),-2,IF(Z406=regle!$B$11,0,IF(AT$1=$AK$1,IF($O406,-1,regle!$B$2-$M406),IF(AS406=-1,-1,AS406+1))))</f>
        <v>46</v>
      </c>
    </row>
    <row r="407" spans="1:46" x14ac:dyDescent="0.25">
      <c r="A407" t="b">
        <f>modif0!A390</f>
        <v>0</v>
      </c>
      <c r="B407">
        <f>ROW(modif0!B390)</f>
        <v>390</v>
      </c>
      <c r="C407" t="str">
        <f>modif0!D390</f>
        <v>536</v>
      </c>
      <c r="D407" t="str">
        <f>modif0!E390</f>
        <v>LE TUZAN</v>
      </c>
      <c r="E407">
        <f>modif0!F390</f>
        <v>21</v>
      </c>
      <c r="F407" t="str">
        <f>modif0!G390</f>
        <v>METAIRIES DE TABARTON</v>
      </c>
      <c r="G407" t="str">
        <f>modif0!I390</f>
        <v>0A</v>
      </c>
      <c r="H407">
        <f>modif0!J390</f>
        <v>417</v>
      </c>
      <c r="I407" t="str">
        <f>modif0!K390</f>
        <v>b</v>
      </c>
      <c r="J407" s="11">
        <f>modif0!M390</f>
        <v>0.25419999999999998</v>
      </c>
      <c r="K407" s="11" t="str">
        <f>modif0!P390</f>
        <v>TAIL</v>
      </c>
      <c r="L407" t="str">
        <f>modif0!N390</f>
        <v>FEUIL</v>
      </c>
      <c r="M407">
        <f>modif0!Q390</f>
        <v>1987</v>
      </c>
      <c r="N407" t="str">
        <f>modif0!R390</f>
        <v>TAIL-FEUIL_1987</v>
      </c>
      <c r="O407" t="b">
        <f>modif0!S390</f>
        <v>0</v>
      </c>
      <c r="P407">
        <v>40</v>
      </c>
      <c r="AA407" s="17" t="b">
        <f>IF($A407,$J407*(IF(Q407=regle!$B$11,regle!$B$23*IF(AJ407=-2,1+regle!$B$35,1),
IF(Q407=regle!$C$11,regle!$C$23,
IF(Q407=regle!$D$11,regle!$D$23,
IF(Q407=regle!$E$11,regle!$E$23,
IF(Q407=regle!$F$11,regle!$F$23,
IF(Q407=regle!$G$11,regle!$G$23,
IF(Q407=regle!$H$11,regle!$H$23,
IF(Q407=regle!$I$11,regle!$I$23,
IF(Q407=regle!$J$11,regle!$J$23,
IF(Q407=regle!$K$11,regle!$K$23,0))))))))))))</f>
        <v>0</v>
      </c>
      <c r="AB407" s="17" t="b">
        <f>IF($A407,$J407*(IF(R407=regle!$B$11,regle!$B$23*IF(AK407=-2,1+regle!$B$35,1),
IF(R407=regle!$C$11,regle!$C$23,
IF(R407=regle!$D$11,regle!$D$23,
IF(R407=regle!$E$11,regle!$E$23,
IF(R407=regle!$F$11,regle!$F$23,
IF(R407=regle!$G$11,regle!$G$23,
IF(R407=regle!$H$11,regle!$H$23,
IF(R407=regle!$I$11,regle!$I$23,
IF(R407=regle!$J$11,regle!$J$23,
IF(R407=regle!$K$11,regle!$K$23,0))))))))))))</f>
        <v>0</v>
      </c>
      <c r="AC407" s="17" t="b">
        <f>IF($A407,$J407*(IF(S407=regle!$B$11,regle!$B$23*IF(AL407=-2,1+regle!$B$35,1),
IF(S407=regle!$C$11,regle!$C$23,
IF(S407=regle!$D$11,regle!$D$23,
IF(S407=regle!$E$11,regle!$E$23,
IF(S407=regle!$F$11,regle!$F$23,
IF(S407=regle!$G$11,regle!$G$23,
IF(S407=regle!$H$11,regle!$H$23,
IF(S407=regle!$I$11,regle!$I$23,
IF(S407=regle!$J$11,regle!$J$23,
IF(S407=regle!$K$11,regle!$K$23,0))))))))))))</f>
        <v>0</v>
      </c>
      <c r="AD407" s="17" t="b">
        <f>IF($A407,$J407*(IF(T407=regle!$B$11,regle!$B$23*IF(AM407=-2,1+regle!$B$35,1),
IF(T407=regle!$C$11,regle!$C$23,
IF(T407=regle!$D$11,regle!$D$23,
IF(T407=regle!$E$11,regle!$E$23,
IF(T407=regle!$F$11,regle!$F$23,
IF(T407=regle!$G$11,regle!$G$23,
IF(T407=regle!$H$11,regle!$H$23,
IF(T407=regle!$I$11,regle!$I$23,
IF(T407=regle!$J$11,regle!$J$23,
IF(T407=regle!$K$11,regle!$K$23,0))))))))))))</f>
        <v>0</v>
      </c>
      <c r="AE407" s="17" t="b">
        <f>IF($A407,$J407*(IF(U407=regle!$B$11,regle!$B$23*IF(AN407=-2,1+regle!$B$35,1),
IF(U407=regle!$C$11,regle!$C$23,
IF(U407=regle!$D$11,regle!$D$23,
IF(U407=regle!$E$11,regle!$E$23,
IF(U407=regle!$F$11,regle!$F$23,
IF(U407=regle!$G$11,regle!$G$23,
IF(U407=regle!$H$11,regle!$H$23,
IF(U407=regle!$I$11,regle!$I$23,
IF(U407=regle!$J$11,regle!$J$23,
IF(U407=regle!$K$11,regle!$K$23,0))))))))))))</f>
        <v>0</v>
      </c>
      <c r="AF407" s="17" t="b">
        <f>IF($A407,$J407*(IF(V407=regle!$B$11,regle!$B$23*IF(AO407=-2,1+regle!$B$35,1),
IF(V407=regle!$C$11,regle!$C$23,
IF(V407=regle!$D$11,regle!$D$23,
IF(V407=regle!$E$11,regle!$E$23,
IF(V407=regle!$F$11,regle!$F$23,
IF(V407=regle!$G$11,regle!$G$23,
IF(V407=regle!$H$11,regle!$H$23,
IF(V407=regle!$I$11,regle!$I$23,
IF(V407=regle!$J$11,regle!$J$23,
IF(V407=regle!$K$11,regle!$K$23,0))))))))))))</f>
        <v>0</v>
      </c>
      <c r="AG407" s="17" t="b">
        <f>IF($A407,$J407*(IF(W407=regle!$B$11,regle!$B$23*IF(AP407=-2,1+regle!$B$35,1),
IF(W407=regle!$C$11,regle!$C$23,
IF(W407=regle!$D$11,regle!$D$23,
IF(W407=regle!$E$11,regle!$E$23,
IF(W407=regle!$F$11,regle!$F$23,
IF(W407=regle!$G$11,regle!$G$23,
IF(W407=regle!$H$11,regle!$H$23,
IF(W407=regle!$I$11,regle!$I$23,
IF(W407=regle!$J$11,regle!$J$23,
IF(W407=regle!$K$11,regle!$K$23,0))))))))))))</f>
        <v>0</v>
      </c>
      <c r="AH407" s="17" t="b">
        <f>IF($A407,$J407*(IF(X407=regle!$B$11,regle!$B$23*IF(AQ407=-2,1+regle!$B$35,1),
IF(X407=regle!$C$11,regle!$C$23,
IF(X407=regle!$D$11,regle!$D$23,
IF(X407=regle!$E$11,regle!$E$23,
IF(X407=regle!$F$11,regle!$F$23,
IF(X407=regle!$G$11,regle!$G$23,
IF(X407=regle!$H$11,regle!$H$23,
IF(X407=regle!$I$11,regle!$I$23,
IF(X407=regle!$J$11,regle!$J$23,
IF(X407=regle!$K$11,regle!$K$23,0))))))))))))</f>
        <v>0</v>
      </c>
      <c r="AI407" s="17" t="b">
        <f>IF($A407,$J407*(IF(Y407=regle!$B$11,regle!$B$23*IF(AR407=-2,1+regle!$B$35,1),
IF(Y407=regle!$C$11,regle!$C$23,
IF(Y407=regle!$D$11,regle!$D$23,
IF(Y407=regle!$E$11,regle!$E$23,
IF(Y407=regle!$F$11,regle!$F$23,
IF(Y407=regle!$G$11,regle!$G$23,
IF(Y407=regle!$H$11,regle!$H$23,
IF(Y407=regle!$I$11,regle!$I$23,
IF(Y407=regle!$J$11,regle!$J$23,
IF(Y407=regle!$K$11,regle!$K$23,0))))))))))))</f>
        <v>0</v>
      </c>
      <c r="AJ407" s="17" t="b">
        <f>IF($A407,$J407*(IF(Z407=regle!$B$11,regle!$B$23*IF(AS407=-2,1+regle!$B$35,1),
IF(Z407=regle!$C$11,regle!$C$23,
IF(Z407=regle!$D$11,regle!$D$23,
IF(Z407=regle!$E$11,regle!$E$23,
IF(Z407=regle!$F$11,regle!$F$23,
IF(Z407=regle!$G$11,regle!$G$23,
IF(Z407=regle!$H$11,regle!$H$23,
IF(Z407=regle!$I$11,regle!$I$23,
IF(Z407=regle!$J$11,regle!$J$23,
IF(Z407=regle!$K$11,regle!$K$23,0))))))))))))</f>
        <v>0</v>
      </c>
      <c r="AK407" s="16">
        <f>IF(OR(Q407=regle!$J$11,Q407=regle!$K$11),-2,IF(Q407=regle!$B$11,0,IF(AK$1=$AK$1,IF($O407,-1,regle!$B$2-$M407),IF(AJ407=-1,-1,AJ407+1))))</f>
        <v>37</v>
      </c>
      <c r="AL407" s="16">
        <f>IF(OR(R407=regle!$J$11,R407=regle!$K$11),-2,IF(R407=regle!$B$11,0,IF(AL$1=$AK$1,IF($O407,-1,regle!$B$2-$M407),IF(AK407=-1,-1,AK407+1))))</f>
        <v>38</v>
      </c>
      <c r="AM407" s="16">
        <f>IF(OR(S407=regle!$J$11,S407=regle!$K$11),-2,IF(S407=regle!$B$11,0,IF(AM$1=$AK$1,IF($O407,-1,regle!$B$2-$M407),IF(AL407=-1,-1,AL407+1))))</f>
        <v>39</v>
      </c>
      <c r="AN407" s="16">
        <f>IF(OR(T407=regle!$J$11,T407=regle!$K$11),-2,IF(T407=regle!$B$11,0,IF(AN$1=$AK$1,IF($O407,-1,regle!$B$2-$M407),IF(AM407=-1,-1,AM407+1))))</f>
        <v>40</v>
      </c>
      <c r="AO407" s="16">
        <f>IF(OR(U407=regle!$J$11,U407=regle!$K$11),-2,IF(U407=regle!$B$11,0,IF(AO$1=$AK$1,IF($O407,-1,regle!$B$2-$M407),IF(AN407=-1,-1,AN407+1))))</f>
        <v>41</v>
      </c>
      <c r="AP407" s="16">
        <f>IF(OR(V407=regle!$J$11,V407=regle!$K$11),-2,IF(V407=regle!$B$11,0,IF(AP$1=$AK$1,IF($O407,-1,regle!$B$2-$M407),IF(AO407=-1,-1,AO407+1))))</f>
        <v>42</v>
      </c>
      <c r="AQ407" s="16">
        <f>IF(OR(W407=regle!$J$11,W407=regle!$K$11),-2,IF(W407=regle!$B$11,0,IF(AQ$1=$AK$1,IF($O407,-1,regle!$B$2-$M407),IF(AP407=-1,-1,AP407+1))))</f>
        <v>43</v>
      </c>
      <c r="AR407" s="16">
        <f>IF(OR(X407=regle!$J$11,X407=regle!$K$11),-2,IF(X407=regle!$B$11,0,IF(AR$1=$AK$1,IF($O407,-1,regle!$B$2-$M407),IF(AQ407=-1,-1,AQ407+1))))</f>
        <v>44</v>
      </c>
      <c r="AS407" s="16">
        <f>IF(OR(Y407=regle!$J$11,Y407=regle!$K$11),-2,IF(Y407=regle!$B$11,0,IF(AS$1=$AK$1,IF($O407,-1,regle!$B$2-$M407),IF(AR407=-1,-1,AR407+1))))</f>
        <v>45</v>
      </c>
      <c r="AT407" s="16">
        <f>IF(OR(Z407=regle!$J$11,Z407=regle!$K$11),-2,IF(Z407=regle!$B$11,0,IF(AT$1=$AK$1,IF($O407,-1,regle!$B$2-$M407),IF(AS407=-1,-1,AS407+1))))</f>
        <v>46</v>
      </c>
    </row>
    <row r="408" spans="1:46" x14ac:dyDescent="0.25">
      <c r="A408" t="b">
        <f>modif0!A394</f>
        <v>0</v>
      </c>
      <c r="B408">
        <f>ROW(modif0!B394)</f>
        <v>394</v>
      </c>
      <c r="C408" t="str">
        <f>modif0!D394</f>
        <v>536</v>
      </c>
      <c r="D408" t="str">
        <f>modif0!E394</f>
        <v>LE TUZAN</v>
      </c>
      <c r="E408">
        <f>modif0!F394</f>
        <v>21</v>
      </c>
      <c r="F408" t="str">
        <f>modif0!G394</f>
        <v>METAIRIES DE TABARTON</v>
      </c>
      <c r="G408" t="str">
        <f>modif0!I394</f>
        <v>0A</v>
      </c>
      <c r="H408">
        <f>modif0!J394</f>
        <v>462</v>
      </c>
      <c r="I408" t="str">
        <f>modif0!K394</f>
        <v>b</v>
      </c>
      <c r="J408" s="11">
        <f>modif0!M394</f>
        <v>0.1699</v>
      </c>
      <c r="K408" s="11" t="str">
        <f>modif0!P394</f>
        <v>TAIL</v>
      </c>
      <c r="L408" t="str">
        <f>modif0!N394</f>
        <v>FEUIL</v>
      </c>
      <c r="M408">
        <f>modif0!Q394</f>
        <v>1987</v>
      </c>
      <c r="N408" t="str">
        <f>modif0!R394</f>
        <v>TAIL-FEUIL_1987</v>
      </c>
      <c r="O408" t="b">
        <f>modif0!S394</f>
        <v>0</v>
      </c>
      <c r="P408">
        <v>40</v>
      </c>
      <c r="AA408" s="17" t="b">
        <f>IF($A408,$J408*(IF(Q408=regle!$B$11,regle!$B$23*IF(AJ408=-2,1+regle!$B$35,1),
IF(Q408=regle!$C$11,regle!$C$23,
IF(Q408=regle!$D$11,regle!$D$23,
IF(Q408=regle!$E$11,regle!$E$23,
IF(Q408=regle!$F$11,regle!$F$23,
IF(Q408=regle!$G$11,regle!$G$23,
IF(Q408=regle!$H$11,regle!$H$23,
IF(Q408=regle!$I$11,regle!$I$23,
IF(Q408=regle!$J$11,regle!$J$23,
IF(Q408=regle!$K$11,regle!$K$23,0))))))))))))</f>
        <v>0</v>
      </c>
      <c r="AB408" s="17" t="b">
        <f>IF($A408,$J408*(IF(R408=regle!$B$11,regle!$B$23*IF(AK408=-2,1+regle!$B$35,1),
IF(R408=regle!$C$11,regle!$C$23,
IF(R408=regle!$D$11,regle!$D$23,
IF(R408=regle!$E$11,regle!$E$23,
IF(R408=regle!$F$11,regle!$F$23,
IF(R408=regle!$G$11,regle!$G$23,
IF(R408=regle!$H$11,regle!$H$23,
IF(R408=regle!$I$11,regle!$I$23,
IF(R408=regle!$J$11,regle!$J$23,
IF(R408=regle!$K$11,regle!$K$23,0))))))))))))</f>
        <v>0</v>
      </c>
      <c r="AC408" s="17" t="b">
        <f>IF($A408,$J408*(IF(S408=regle!$B$11,regle!$B$23*IF(AL408=-2,1+regle!$B$35,1),
IF(S408=regle!$C$11,regle!$C$23,
IF(S408=regle!$D$11,regle!$D$23,
IF(S408=regle!$E$11,regle!$E$23,
IF(S408=regle!$F$11,regle!$F$23,
IF(S408=regle!$G$11,regle!$G$23,
IF(S408=regle!$H$11,regle!$H$23,
IF(S408=regle!$I$11,regle!$I$23,
IF(S408=regle!$J$11,regle!$J$23,
IF(S408=regle!$K$11,regle!$K$23,0))))))))))))</f>
        <v>0</v>
      </c>
      <c r="AD408" s="17" t="b">
        <f>IF($A408,$J408*(IF(T408=regle!$B$11,regle!$B$23*IF(AM408=-2,1+regle!$B$35,1),
IF(T408=regle!$C$11,regle!$C$23,
IF(T408=regle!$D$11,regle!$D$23,
IF(T408=regle!$E$11,regle!$E$23,
IF(T408=regle!$F$11,regle!$F$23,
IF(T408=regle!$G$11,regle!$G$23,
IF(T408=regle!$H$11,regle!$H$23,
IF(T408=regle!$I$11,regle!$I$23,
IF(T408=regle!$J$11,regle!$J$23,
IF(T408=regle!$K$11,regle!$K$23,0))))))))))))</f>
        <v>0</v>
      </c>
      <c r="AE408" s="17" t="b">
        <f>IF($A408,$J408*(IF(U408=regle!$B$11,regle!$B$23*IF(AN408=-2,1+regle!$B$35,1),
IF(U408=regle!$C$11,regle!$C$23,
IF(U408=regle!$D$11,regle!$D$23,
IF(U408=regle!$E$11,regle!$E$23,
IF(U408=regle!$F$11,regle!$F$23,
IF(U408=regle!$G$11,regle!$G$23,
IF(U408=regle!$H$11,regle!$H$23,
IF(U408=regle!$I$11,regle!$I$23,
IF(U408=regle!$J$11,regle!$J$23,
IF(U408=regle!$K$11,regle!$K$23,0))))))))))))</f>
        <v>0</v>
      </c>
      <c r="AF408" s="17" t="b">
        <f>IF($A408,$J408*(IF(V408=regle!$B$11,regle!$B$23*IF(AO408=-2,1+regle!$B$35,1),
IF(V408=regle!$C$11,regle!$C$23,
IF(V408=regle!$D$11,regle!$D$23,
IF(V408=regle!$E$11,regle!$E$23,
IF(V408=regle!$F$11,regle!$F$23,
IF(V408=regle!$G$11,regle!$G$23,
IF(V408=regle!$H$11,regle!$H$23,
IF(V408=regle!$I$11,regle!$I$23,
IF(V408=regle!$J$11,regle!$J$23,
IF(V408=regle!$K$11,regle!$K$23,0))))))))))))</f>
        <v>0</v>
      </c>
      <c r="AG408" s="17" t="b">
        <f>IF($A408,$J408*(IF(W408=regle!$B$11,regle!$B$23*IF(AP408=-2,1+regle!$B$35,1),
IF(W408=regle!$C$11,regle!$C$23,
IF(W408=regle!$D$11,regle!$D$23,
IF(W408=regle!$E$11,regle!$E$23,
IF(W408=regle!$F$11,regle!$F$23,
IF(W408=regle!$G$11,regle!$G$23,
IF(W408=regle!$H$11,regle!$H$23,
IF(W408=regle!$I$11,regle!$I$23,
IF(W408=regle!$J$11,regle!$J$23,
IF(W408=regle!$K$11,regle!$K$23,0))))))))))))</f>
        <v>0</v>
      </c>
      <c r="AH408" s="17" t="b">
        <f>IF($A408,$J408*(IF(X408=regle!$B$11,regle!$B$23*IF(AQ408=-2,1+regle!$B$35,1),
IF(X408=regle!$C$11,regle!$C$23,
IF(X408=regle!$D$11,regle!$D$23,
IF(X408=regle!$E$11,regle!$E$23,
IF(X408=regle!$F$11,regle!$F$23,
IF(X408=regle!$G$11,regle!$G$23,
IF(X408=regle!$H$11,regle!$H$23,
IF(X408=regle!$I$11,regle!$I$23,
IF(X408=regle!$J$11,regle!$J$23,
IF(X408=regle!$K$11,regle!$K$23,0))))))))))))</f>
        <v>0</v>
      </c>
      <c r="AI408" s="17" t="b">
        <f>IF($A408,$J408*(IF(Y408=regle!$B$11,regle!$B$23*IF(AR408=-2,1+regle!$B$35,1),
IF(Y408=regle!$C$11,regle!$C$23,
IF(Y408=regle!$D$11,regle!$D$23,
IF(Y408=regle!$E$11,regle!$E$23,
IF(Y408=regle!$F$11,regle!$F$23,
IF(Y408=regle!$G$11,regle!$G$23,
IF(Y408=regle!$H$11,regle!$H$23,
IF(Y408=regle!$I$11,regle!$I$23,
IF(Y408=regle!$J$11,regle!$J$23,
IF(Y408=regle!$K$11,regle!$K$23,0))))))))))))</f>
        <v>0</v>
      </c>
      <c r="AJ408" s="17" t="b">
        <f>IF($A408,$J408*(IF(Z408=regle!$B$11,regle!$B$23*IF(AS408=-2,1+regle!$B$35,1),
IF(Z408=regle!$C$11,regle!$C$23,
IF(Z408=regle!$D$11,regle!$D$23,
IF(Z408=regle!$E$11,regle!$E$23,
IF(Z408=regle!$F$11,regle!$F$23,
IF(Z408=regle!$G$11,regle!$G$23,
IF(Z408=regle!$H$11,regle!$H$23,
IF(Z408=regle!$I$11,regle!$I$23,
IF(Z408=regle!$J$11,regle!$J$23,
IF(Z408=regle!$K$11,regle!$K$23,0))))))))))))</f>
        <v>0</v>
      </c>
      <c r="AK408" s="16">
        <f>IF(OR(Q408=regle!$J$11,Q408=regle!$K$11),-2,IF(Q408=regle!$B$11,0,IF(AK$1=$AK$1,IF($O408,-1,regle!$B$2-$M408),IF(AJ408=-1,-1,AJ408+1))))</f>
        <v>37</v>
      </c>
      <c r="AL408" s="16">
        <f>IF(OR(R408=regle!$J$11,R408=regle!$K$11),-2,IF(R408=regle!$B$11,0,IF(AL$1=$AK$1,IF($O408,-1,regle!$B$2-$M408),IF(AK408=-1,-1,AK408+1))))</f>
        <v>38</v>
      </c>
      <c r="AM408" s="16">
        <f>IF(OR(S408=regle!$J$11,S408=regle!$K$11),-2,IF(S408=regle!$B$11,0,IF(AM$1=$AK$1,IF($O408,-1,regle!$B$2-$M408),IF(AL408=-1,-1,AL408+1))))</f>
        <v>39</v>
      </c>
      <c r="AN408" s="16">
        <f>IF(OR(T408=regle!$J$11,T408=regle!$K$11),-2,IF(T408=regle!$B$11,0,IF(AN$1=$AK$1,IF($O408,-1,regle!$B$2-$M408),IF(AM408=-1,-1,AM408+1))))</f>
        <v>40</v>
      </c>
      <c r="AO408" s="16">
        <f>IF(OR(U408=regle!$J$11,U408=regle!$K$11),-2,IF(U408=regle!$B$11,0,IF(AO$1=$AK$1,IF($O408,-1,regle!$B$2-$M408),IF(AN408=-1,-1,AN408+1))))</f>
        <v>41</v>
      </c>
      <c r="AP408" s="16">
        <f>IF(OR(V408=regle!$J$11,V408=regle!$K$11),-2,IF(V408=regle!$B$11,0,IF(AP$1=$AK$1,IF($O408,-1,regle!$B$2-$M408),IF(AO408=-1,-1,AO408+1))))</f>
        <v>42</v>
      </c>
      <c r="AQ408" s="16">
        <f>IF(OR(W408=regle!$J$11,W408=regle!$K$11),-2,IF(W408=regle!$B$11,0,IF(AQ$1=$AK$1,IF($O408,-1,regle!$B$2-$M408),IF(AP408=-1,-1,AP408+1))))</f>
        <v>43</v>
      </c>
      <c r="AR408" s="16">
        <f>IF(OR(X408=regle!$J$11,X408=regle!$K$11),-2,IF(X408=regle!$B$11,0,IF(AR$1=$AK$1,IF($O408,-1,regle!$B$2-$M408),IF(AQ408=-1,-1,AQ408+1))))</f>
        <v>44</v>
      </c>
      <c r="AS408" s="16">
        <f>IF(OR(Y408=regle!$J$11,Y408=regle!$K$11),-2,IF(Y408=regle!$B$11,0,IF(AS$1=$AK$1,IF($O408,-1,regle!$B$2-$M408),IF(AR408=-1,-1,AR408+1))))</f>
        <v>45</v>
      </c>
      <c r="AT408" s="16">
        <f>IF(OR(Z408=regle!$J$11,Z408=regle!$K$11),-2,IF(Z408=regle!$B$11,0,IF(AT$1=$AK$1,IF($O408,-1,regle!$B$2-$M408),IF(AS408=-1,-1,AS408+1))))</f>
        <v>46</v>
      </c>
    </row>
    <row r="409" spans="1:46" x14ac:dyDescent="0.25">
      <c r="A409" t="b">
        <f>modif0!A383</f>
        <v>0</v>
      </c>
      <c r="B409">
        <f>ROW(modif0!B383)</f>
        <v>383</v>
      </c>
      <c r="C409" t="str">
        <f>modif0!D383</f>
        <v>536</v>
      </c>
      <c r="D409" t="str">
        <f>modif0!E383</f>
        <v>LE TUZAN</v>
      </c>
      <c r="E409">
        <f>modif0!F383</f>
        <v>21</v>
      </c>
      <c r="F409" t="str">
        <f>modif0!G383</f>
        <v>METAIRIES DE TABARTON</v>
      </c>
      <c r="G409" t="str">
        <f>modif0!I383</f>
        <v>0A</v>
      </c>
      <c r="H409">
        <f>modif0!J383</f>
        <v>407</v>
      </c>
      <c r="I409" t="str">
        <f>modif0!K383</f>
        <v>e</v>
      </c>
      <c r="J409" s="11">
        <f>modif0!M383</f>
        <v>0.12479999999999999</v>
      </c>
      <c r="K409" s="11" t="str">
        <f>modif0!P383</f>
        <v>TAIL</v>
      </c>
      <c r="L409" t="str">
        <f>modif0!N383</f>
        <v>FEUIL</v>
      </c>
      <c r="M409">
        <f>modif0!Q383</f>
        <v>1987</v>
      </c>
      <c r="N409" t="str">
        <f>modif0!R383</f>
        <v>TAIL-FEUIL_1987</v>
      </c>
      <c r="O409" t="b">
        <f>modif0!S383</f>
        <v>0</v>
      </c>
      <c r="P409">
        <v>40</v>
      </c>
      <c r="AA409" s="17" t="b">
        <f>IF($A409,$J409*(IF(Q409=regle!$B$11,regle!$B$23*IF(AJ409=-2,1+regle!$B$35,1),
IF(Q409=regle!$C$11,regle!$C$23,
IF(Q409=regle!$D$11,regle!$D$23,
IF(Q409=regle!$E$11,regle!$E$23,
IF(Q409=regle!$F$11,regle!$F$23,
IF(Q409=regle!$G$11,regle!$G$23,
IF(Q409=regle!$H$11,regle!$H$23,
IF(Q409=regle!$I$11,regle!$I$23,
IF(Q409=regle!$J$11,regle!$J$23,
IF(Q409=regle!$K$11,regle!$K$23,0))))))))))))</f>
        <v>0</v>
      </c>
      <c r="AB409" s="17" t="b">
        <f>IF($A409,$J409*(IF(R409=regle!$B$11,regle!$B$23*IF(AK409=-2,1+regle!$B$35,1),
IF(R409=regle!$C$11,regle!$C$23,
IF(R409=regle!$D$11,regle!$D$23,
IF(R409=regle!$E$11,regle!$E$23,
IF(R409=regle!$F$11,regle!$F$23,
IF(R409=regle!$G$11,regle!$G$23,
IF(R409=regle!$H$11,regle!$H$23,
IF(R409=regle!$I$11,regle!$I$23,
IF(R409=regle!$J$11,regle!$J$23,
IF(R409=regle!$K$11,regle!$K$23,0))))))))))))</f>
        <v>0</v>
      </c>
      <c r="AC409" s="17" t="b">
        <f>IF($A409,$J409*(IF(S409=regle!$B$11,regle!$B$23*IF(AL409=-2,1+regle!$B$35,1),
IF(S409=regle!$C$11,regle!$C$23,
IF(S409=regle!$D$11,regle!$D$23,
IF(S409=regle!$E$11,regle!$E$23,
IF(S409=regle!$F$11,regle!$F$23,
IF(S409=regle!$G$11,regle!$G$23,
IF(S409=regle!$H$11,regle!$H$23,
IF(S409=regle!$I$11,regle!$I$23,
IF(S409=regle!$J$11,regle!$J$23,
IF(S409=regle!$K$11,regle!$K$23,0))))))))))))</f>
        <v>0</v>
      </c>
      <c r="AD409" s="17" t="b">
        <f>IF($A409,$J409*(IF(T409=regle!$B$11,regle!$B$23*IF(AM409=-2,1+regle!$B$35,1),
IF(T409=regle!$C$11,regle!$C$23,
IF(T409=regle!$D$11,regle!$D$23,
IF(T409=regle!$E$11,regle!$E$23,
IF(T409=regle!$F$11,regle!$F$23,
IF(T409=regle!$G$11,regle!$G$23,
IF(T409=regle!$H$11,regle!$H$23,
IF(T409=regle!$I$11,regle!$I$23,
IF(T409=regle!$J$11,regle!$J$23,
IF(T409=regle!$K$11,regle!$K$23,0))))))))))))</f>
        <v>0</v>
      </c>
      <c r="AE409" s="17" t="b">
        <f>IF($A409,$J409*(IF(U409=regle!$B$11,regle!$B$23*IF(AN409=-2,1+regle!$B$35,1),
IF(U409=regle!$C$11,regle!$C$23,
IF(U409=regle!$D$11,regle!$D$23,
IF(U409=regle!$E$11,regle!$E$23,
IF(U409=regle!$F$11,regle!$F$23,
IF(U409=regle!$G$11,regle!$G$23,
IF(U409=regle!$H$11,regle!$H$23,
IF(U409=regle!$I$11,regle!$I$23,
IF(U409=regle!$J$11,regle!$J$23,
IF(U409=regle!$K$11,regle!$K$23,0))))))))))))</f>
        <v>0</v>
      </c>
      <c r="AF409" s="17" t="b">
        <f>IF($A409,$J409*(IF(V409=regle!$B$11,regle!$B$23*IF(AO409=-2,1+regle!$B$35,1),
IF(V409=regle!$C$11,regle!$C$23,
IF(V409=regle!$D$11,regle!$D$23,
IF(V409=regle!$E$11,regle!$E$23,
IF(V409=regle!$F$11,regle!$F$23,
IF(V409=regle!$G$11,regle!$G$23,
IF(V409=regle!$H$11,regle!$H$23,
IF(V409=regle!$I$11,regle!$I$23,
IF(V409=regle!$J$11,regle!$J$23,
IF(V409=regle!$K$11,regle!$K$23,0))))))))))))</f>
        <v>0</v>
      </c>
      <c r="AG409" s="17" t="b">
        <f>IF($A409,$J409*(IF(W409=regle!$B$11,regle!$B$23*IF(AP409=-2,1+regle!$B$35,1),
IF(W409=regle!$C$11,regle!$C$23,
IF(W409=regle!$D$11,regle!$D$23,
IF(W409=regle!$E$11,regle!$E$23,
IF(W409=regle!$F$11,regle!$F$23,
IF(W409=regle!$G$11,regle!$G$23,
IF(W409=regle!$H$11,regle!$H$23,
IF(W409=regle!$I$11,regle!$I$23,
IF(W409=regle!$J$11,regle!$J$23,
IF(W409=regle!$K$11,regle!$K$23,0))))))))))))</f>
        <v>0</v>
      </c>
      <c r="AH409" s="17" t="b">
        <f>IF($A409,$J409*(IF(X409=regle!$B$11,regle!$B$23*IF(AQ409=-2,1+regle!$B$35,1),
IF(X409=regle!$C$11,regle!$C$23,
IF(X409=regle!$D$11,regle!$D$23,
IF(X409=regle!$E$11,regle!$E$23,
IF(X409=regle!$F$11,regle!$F$23,
IF(X409=regle!$G$11,regle!$G$23,
IF(X409=regle!$H$11,regle!$H$23,
IF(X409=regle!$I$11,regle!$I$23,
IF(X409=regle!$J$11,regle!$J$23,
IF(X409=regle!$K$11,regle!$K$23,0))))))))))))</f>
        <v>0</v>
      </c>
      <c r="AI409" s="17" t="b">
        <f>IF($A409,$J409*(IF(Y409=regle!$B$11,regle!$B$23*IF(AR409=-2,1+regle!$B$35,1),
IF(Y409=regle!$C$11,regle!$C$23,
IF(Y409=regle!$D$11,regle!$D$23,
IF(Y409=regle!$E$11,regle!$E$23,
IF(Y409=regle!$F$11,regle!$F$23,
IF(Y409=regle!$G$11,regle!$G$23,
IF(Y409=regle!$H$11,regle!$H$23,
IF(Y409=regle!$I$11,regle!$I$23,
IF(Y409=regle!$J$11,regle!$J$23,
IF(Y409=regle!$K$11,regle!$K$23,0))))))))))))</f>
        <v>0</v>
      </c>
      <c r="AJ409" s="17" t="b">
        <f>IF($A409,$J409*(IF(Z409=regle!$B$11,regle!$B$23*IF(AS409=-2,1+regle!$B$35,1),
IF(Z409=regle!$C$11,regle!$C$23,
IF(Z409=regle!$D$11,regle!$D$23,
IF(Z409=regle!$E$11,regle!$E$23,
IF(Z409=regle!$F$11,regle!$F$23,
IF(Z409=regle!$G$11,regle!$G$23,
IF(Z409=regle!$H$11,regle!$H$23,
IF(Z409=regle!$I$11,regle!$I$23,
IF(Z409=regle!$J$11,regle!$J$23,
IF(Z409=regle!$K$11,regle!$K$23,0))))))))))))</f>
        <v>0</v>
      </c>
      <c r="AK409" s="16">
        <f>IF(OR(Q409=regle!$J$11,Q409=regle!$K$11),-2,IF(Q409=regle!$B$11,0,IF(AK$1=$AK$1,IF($O409,-1,regle!$B$2-$M409),IF(AJ409=-1,-1,AJ409+1))))</f>
        <v>37</v>
      </c>
      <c r="AL409" s="16">
        <f>IF(OR(R409=regle!$J$11,R409=regle!$K$11),-2,IF(R409=regle!$B$11,0,IF(AL$1=$AK$1,IF($O409,-1,regle!$B$2-$M409),IF(AK409=-1,-1,AK409+1))))</f>
        <v>38</v>
      </c>
      <c r="AM409" s="16">
        <f>IF(OR(S409=regle!$J$11,S409=regle!$K$11),-2,IF(S409=regle!$B$11,0,IF(AM$1=$AK$1,IF($O409,-1,regle!$B$2-$M409),IF(AL409=-1,-1,AL409+1))))</f>
        <v>39</v>
      </c>
      <c r="AN409" s="16">
        <f>IF(OR(T409=regle!$J$11,T409=regle!$K$11),-2,IF(T409=regle!$B$11,0,IF(AN$1=$AK$1,IF($O409,-1,regle!$B$2-$M409),IF(AM409=-1,-1,AM409+1))))</f>
        <v>40</v>
      </c>
      <c r="AO409" s="16">
        <f>IF(OR(U409=regle!$J$11,U409=regle!$K$11),-2,IF(U409=regle!$B$11,0,IF(AO$1=$AK$1,IF($O409,-1,regle!$B$2-$M409),IF(AN409=-1,-1,AN409+1))))</f>
        <v>41</v>
      </c>
      <c r="AP409" s="16">
        <f>IF(OR(V409=regle!$J$11,V409=regle!$K$11),-2,IF(V409=regle!$B$11,0,IF(AP$1=$AK$1,IF($O409,-1,regle!$B$2-$M409),IF(AO409=-1,-1,AO409+1))))</f>
        <v>42</v>
      </c>
      <c r="AQ409" s="16">
        <f>IF(OR(W409=regle!$J$11,W409=regle!$K$11),-2,IF(W409=regle!$B$11,0,IF(AQ$1=$AK$1,IF($O409,-1,regle!$B$2-$M409),IF(AP409=-1,-1,AP409+1))))</f>
        <v>43</v>
      </c>
      <c r="AR409" s="16">
        <f>IF(OR(X409=regle!$J$11,X409=regle!$K$11),-2,IF(X409=regle!$B$11,0,IF(AR$1=$AK$1,IF($O409,-1,regle!$B$2-$M409),IF(AQ409=-1,-1,AQ409+1))))</f>
        <v>44</v>
      </c>
      <c r="AS409" s="16">
        <f>IF(OR(Y409=regle!$J$11,Y409=regle!$K$11),-2,IF(Y409=regle!$B$11,0,IF(AS$1=$AK$1,IF($O409,-1,regle!$B$2-$M409),IF(AR409=-1,-1,AR409+1))))</f>
        <v>45</v>
      </c>
      <c r="AT409" s="16">
        <f>IF(OR(Z409=regle!$J$11,Z409=regle!$K$11),-2,IF(Z409=regle!$B$11,0,IF(AT$1=$AK$1,IF($O409,-1,regle!$B$2-$M409),IF(AS409=-1,-1,AS409+1))))</f>
        <v>46</v>
      </c>
    </row>
    <row r="410" spans="1:46" x14ac:dyDescent="0.25">
      <c r="A410" t="b">
        <f>modif0!A433</f>
        <v>0</v>
      </c>
      <c r="B410">
        <f>ROW(modif0!B433)</f>
        <v>433</v>
      </c>
      <c r="C410" t="str">
        <f>modif0!D433</f>
        <v>200</v>
      </c>
      <c r="D410" t="str">
        <f>modif0!E433</f>
        <v>MOUSTEY</v>
      </c>
      <c r="E410">
        <f>modif0!F433</f>
        <v>4</v>
      </c>
      <c r="F410" t="str">
        <f>modif0!G433</f>
        <v>Kycs</v>
      </c>
      <c r="G410" t="str">
        <f>modif0!I433</f>
        <v>0M</v>
      </c>
      <c r="H410">
        <f>modif0!J433</f>
        <v>33</v>
      </c>
      <c r="I410" t="str">
        <f>modif0!K433</f>
        <v>k</v>
      </c>
      <c r="J410" s="11">
        <f>modif0!M433</f>
        <v>3.1364000000000001</v>
      </c>
      <c r="K410" s="11" t="str">
        <f>modif0!P433</f>
        <v>TAIL</v>
      </c>
      <c r="L410" t="str">
        <f>modif0!N433</f>
        <v>FEUIL</v>
      </c>
      <c r="M410">
        <f>modif0!Q433</f>
        <v>1986</v>
      </c>
      <c r="N410" t="str">
        <f>modif0!R433</f>
        <v>TAIL-FEUIL_1986</v>
      </c>
      <c r="O410" t="b">
        <f>modif0!S433</f>
        <v>0</v>
      </c>
      <c r="P410">
        <v>40</v>
      </c>
      <c r="AA410" s="17" t="b">
        <f>IF($A410,$J410*(IF(Q410=regle!$B$11,regle!$B$23*IF(AJ410=-2,1+regle!$B$35,1),
IF(Q410=regle!$C$11,regle!$C$23,
IF(Q410=regle!$D$11,regle!$D$23,
IF(Q410=regle!$E$11,regle!$E$23,
IF(Q410=regle!$F$11,regle!$F$23,
IF(Q410=regle!$G$11,regle!$G$23,
IF(Q410=regle!$H$11,regle!$H$23,
IF(Q410=regle!$I$11,regle!$I$23,
IF(Q410=regle!$J$11,regle!$J$23,
IF(Q410=regle!$K$11,regle!$K$23,0))))))))))))</f>
        <v>0</v>
      </c>
      <c r="AB410" s="17" t="b">
        <f>IF($A410,$J410*(IF(R410=regle!$B$11,regle!$B$23*IF(AK410=-2,1+regle!$B$35,1),
IF(R410=regle!$C$11,regle!$C$23,
IF(R410=regle!$D$11,regle!$D$23,
IF(R410=regle!$E$11,regle!$E$23,
IF(R410=regle!$F$11,regle!$F$23,
IF(R410=regle!$G$11,regle!$G$23,
IF(R410=regle!$H$11,regle!$H$23,
IF(R410=regle!$I$11,regle!$I$23,
IF(R410=regle!$J$11,regle!$J$23,
IF(R410=regle!$K$11,regle!$K$23,0))))))))))))</f>
        <v>0</v>
      </c>
      <c r="AC410" s="17" t="b">
        <f>IF($A410,$J410*(IF(S410=regle!$B$11,regle!$B$23*IF(AL410=-2,1+regle!$B$35,1),
IF(S410=regle!$C$11,regle!$C$23,
IF(S410=regle!$D$11,regle!$D$23,
IF(S410=regle!$E$11,regle!$E$23,
IF(S410=regle!$F$11,regle!$F$23,
IF(S410=regle!$G$11,regle!$G$23,
IF(S410=regle!$H$11,regle!$H$23,
IF(S410=regle!$I$11,regle!$I$23,
IF(S410=regle!$J$11,regle!$J$23,
IF(S410=regle!$K$11,regle!$K$23,0))))))))))))</f>
        <v>0</v>
      </c>
      <c r="AD410" s="17" t="b">
        <f>IF($A410,$J410*(IF(T410=regle!$B$11,regle!$B$23*IF(AM410=-2,1+regle!$B$35,1),
IF(T410=regle!$C$11,regle!$C$23,
IF(T410=regle!$D$11,regle!$D$23,
IF(T410=regle!$E$11,regle!$E$23,
IF(T410=regle!$F$11,regle!$F$23,
IF(T410=regle!$G$11,regle!$G$23,
IF(T410=regle!$H$11,regle!$H$23,
IF(T410=regle!$I$11,regle!$I$23,
IF(T410=regle!$J$11,regle!$J$23,
IF(T410=regle!$K$11,regle!$K$23,0))))))))))))</f>
        <v>0</v>
      </c>
      <c r="AE410" s="17" t="b">
        <f>IF($A410,$J410*(IF(U410=regle!$B$11,regle!$B$23*IF(AN410=-2,1+regle!$B$35,1),
IF(U410=regle!$C$11,regle!$C$23,
IF(U410=regle!$D$11,regle!$D$23,
IF(U410=regle!$E$11,regle!$E$23,
IF(U410=regle!$F$11,regle!$F$23,
IF(U410=regle!$G$11,regle!$G$23,
IF(U410=regle!$H$11,regle!$H$23,
IF(U410=regle!$I$11,regle!$I$23,
IF(U410=regle!$J$11,regle!$J$23,
IF(U410=regle!$K$11,regle!$K$23,0))))))))))))</f>
        <v>0</v>
      </c>
      <c r="AF410" s="17" t="b">
        <f>IF($A410,$J410*(IF(V410=regle!$B$11,regle!$B$23*IF(AO410=-2,1+regle!$B$35,1),
IF(V410=regle!$C$11,regle!$C$23,
IF(V410=regle!$D$11,regle!$D$23,
IF(V410=regle!$E$11,regle!$E$23,
IF(V410=regle!$F$11,regle!$F$23,
IF(V410=regle!$G$11,regle!$G$23,
IF(V410=regle!$H$11,regle!$H$23,
IF(V410=regle!$I$11,regle!$I$23,
IF(V410=regle!$J$11,regle!$J$23,
IF(V410=regle!$K$11,regle!$K$23,0))))))))))))</f>
        <v>0</v>
      </c>
      <c r="AG410" s="17" t="b">
        <f>IF($A410,$J410*(IF(W410=regle!$B$11,regle!$B$23*IF(AP410=-2,1+regle!$B$35,1),
IF(W410=regle!$C$11,regle!$C$23,
IF(W410=regle!$D$11,regle!$D$23,
IF(W410=regle!$E$11,regle!$E$23,
IF(W410=regle!$F$11,regle!$F$23,
IF(W410=regle!$G$11,regle!$G$23,
IF(W410=regle!$H$11,regle!$H$23,
IF(W410=regle!$I$11,regle!$I$23,
IF(W410=regle!$J$11,regle!$J$23,
IF(W410=regle!$K$11,regle!$K$23,0))))))))))))</f>
        <v>0</v>
      </c>
      <c r="AH410" s="17" t="b">
        <f>IF($A410,$J410*(IF(X410=regle!$B$11,regle!$B$23*IF(AQ410=-2,1+regle!$B$35,1),
IF(X410=regle!$C$11,regle!$C$23,
IF(X410=regle!$D$11,regle!$D$23,
IF(X410=regle!$E$11,regle!$E$23,
IF(X410=regle!$F$11,regle!$F$23,
IF(X410=regle!$G$11,regle!$G$23,
IF(X410=regle!$H$11,regle!$H$23,
IF(X410=regle!$I$11,regle!$I$23,
IF(X410=regle!$J$11,regle!$J$23,
IF(X410=regle!$K$11,regle!$K$23,0))))))))))))</f>
        <v>0</v>
      </c>
      <c r="AI410" s="17" t="b">
        <f>IF($A410,$J410*(IF(Y410=regle!$B$11,regle!$B$23*IF(AR410=-2,1+regle!$B$35,1),
IF(Y410=regle!$C$11,regle!$C$23,
IF(Y410=regle!$D$11,regle!$D$23,
IF(Y410=regle!$E$11,regle!$E$23,
IF(Y410=regle!$F$11,regle!$F$23,
IF(Y410=regle!$G$11,regle!$G$23,
IF(Y410=regle!$H$11,regle!$H$23,
IF(Y410=regle!$I$11,regle!$I$23,
IF(Y410=regle!$J$11,regle!$J$23,
IF(Y410=regle!$K$11,regle!$K$23,0))))))))))))</f>
        <v>0</v>
      </c>
      <c r="AJ410" s="17" t="b">
        <f>IF($A410,$J410*(IF(Z410=regle!$B$11,regle!$B$23*IF(AS410=-2,1+regle!$B$35,1),
IF(Z410=regle!$C$11,regle!$C$23,
IF(Z410=regle!$D$11,regle!$D$23,
IF(Z410=regle!$E$11,regle!$E$23,
IF(Z410=regle!$F$11,regle!$F$23,
IF(Z410=regle!$G$11,regle!$G$23,
IF(Z410=regle!$H$11,regle!$H$23,
IF(Z410=regle!$I$11,regle!$I$23,
IF(Z410=regle!$J$11,regle!$J$23,
IF(Z410=regle!$K$11,regle!$K$23,0))))))))))))</f>
        <v>0</v>
      </c>
      <c r="AK410" s="16">
        <f>IF(OR(Q410=regle!$J$11,Q410=regle!$K$11),-2,IF(Q410=regle!$B$11,0,IF(AK$1=$AK$1,IF($O410,-1,regle!$B$2-$M410),IF(AJ410=-1,-1,AJ410+1))))</f>
        <v>38</v>
      </c>
      <c r="AL410" s="16">
        <f>IF(OR(R410=regle!$J$11,R410=regle!$K$11),-2,IF(R410=regle!$B$11,0,IF(AL$1=$AK$1,IF($O410,-1,regle!$B$2-$M410),IF(AK410=-1,-1,AK410+1))))</f>
        <v>39</v>
      </c>
      <c r="AM410" s="16">
        <f>IF(OR(S410=regle!$J$11,S410=regle!$K$11),-2,IF(S410=regle!$B$11,0,IF(AM$1=$AK$1,IF($O410,-1,regle!$B$2-$M410),IF(AL410=-1,-1,AL410+1))))</f>
        <v>40</v>
      </c>
      <c r="AN410" s="16">
        <f>IF(OR(T410=regle!$J$11,T410=regle!$K$11),-2,IF(T410=regle!$B$11,0,IF(AN$1=$AK$1,IF($O410,-1,regle!$B$2-$M410),IF(AM410=-1,-1,AM410+1))))</f>
        <v>41</v>
      </c>
      <c r="AO410" s="16">
        <f>IF(OR(U410=regle!$J$11,U410=regle!$K$11),-2,IF(U410=regle!$B$11,0,IF(AO$1=$AK$1,IF($O410,-1,regle!$B$2-$M410),IF(AN410=-1,-1,AN410+1))))</f>
        <v>42</v>
      </c>
      <c r="AP410" s="16">
        <f>IF(OR(V410=regle!$J$11,V410=regle!$K$11),-2,IF(V410=regle!$B$11,0,IF(AP$1=$AK$1,IF($O410,-1,regle!$B$2-$M410),IF(AO410=-1,-1,AO410+1))))</f>
        <v>43</v>
      </c>
      <c r="AQ410" s="16">
        <f>IF(OR(W410=regle!$J$11,W410=regle!$K$11),-2,IF(W410=regle!$B$11,0,IF(AQ$1=$AK$1,IF($O410,-1,regle!$B$2-$M410),IF(AP410=-1,-1,AP410+1))))</f>
        <v>44</v>
      </c>
      <c r="AR410" s="16">
        <f>IF(OR(X410=regle!$J$11,X410=regle!$K$11),-2,IF(X410=regle!$B$11,0,IF(AR$1=$AK$1,IF($O410,-1,regle!$B$2-$M410),IF(AQ410=-1,-1,AQ410+1))))</f>
        <v>45</v>
      </c>
      <c r="AS410" s="16">
        <f>IF(OR(Y410=regle!$J$11,Y410=regle!$K$11),-2,IF(Y410=regle!$B$11,0,IF(AS$1=$AK$1,IF($O410,-1,regle!$B$2-$M410),IF(AR410=-1,-1,AR410+1))))</f>
        <v>46</v>
      </c>
      <c r="AT410" s="16">
        <f>IF(OR(Z410=regle!$J$11,Z410=regle!$K$11),-2,IF(Z410=regle!$B$11,0,IF(AT$1=$AK$1,IF($O410,-1,regle!$B$2-$M410),IF(AS410=-1,-1,AS410+1))))</f>
        <v>47</v>
      </c>
    </row>
    <row r="411" spans="1:46" x14ac:dyDescent="0.25">
      <c r="A411" t="b">
        <f>modif0!A436</f>
        <v>0</v>
      </c>
      <c r="B411">
        <f>ROW(modif0!B436)</f>
        <v>436</v>
      </c>
      <c r="C411" t="str">
        <f>modif0!D436</f>
        <v>200</v>
      </c>
      <c r="D411" t="str">
        <f>modif0!E436</f>
        <v>MOUSTEY</v>
      </c>
      <c r="E411">
        <f>modif0!F436</f>
        <v>4</v>
      </c>
      <c r="F411" t="str">
        <f>modif0!G436</f>
        <v>Kycs</v>
      </c>
      <c r="G411" t="str">
        <f>modif0!I436</f>
        <v>0M</v>
      </c>
      <c r="H411">
        <f>modif0!J436</f>
        <v>80</v>
      </c>
      <c r="I411" t="str">
        <f>modif0!K436</f>
        <v>j</v>
      </c>
      <c r="J411" s="11">
        <f>modif0!M436</f>
        <v>1.7396</v>
      </c>
      <c r="K411" s="11" t="str">
        <f>modif0!P436</f>
        <v>TAIL</v>
      </c>
      <c r="L411" t="str">
        <f>modif0!N436</f>
        <v>FEUIL</v>
      </c>
      <c r="M411">
        <f>modif0!Q436</f>
        <v>1986</v>
      </c>
      <c r="N411" t="str">
        <f>modif0!R436</f>
        <v>TAIL-FEUIL_1986</v>
      </c>
      <c r="O411" t="b">
        <f>modif0!S436</f>
        <v>0</v>
      </c>
      <c r="P411">
        <v>40</v>
      </c>
      <c r="AA411" s="17" t="b">
        <f>IF($A411,$J411*(IF(Q411=regle!$B$11,regle!$B$23*IF(AJ411=-2,1+regle!$B$35,1),
IF(Q411=regle!$C$11,regle!$C$23,
IF(Q411=regle!$D$11,regle!$D$23,
IF(Q411=regle!$E$11,regle!$E$23,
IF(Q411=regle!$F$11,regle!$F$23,
IF(Q411=regle!$G$11,regle!$G$23,
IF(Q411=regle!$H$11,regle!$H$23,
IF(Q411=regle!$I$11,regle!$I$23,
IF(Q411=regle!$J$11,regle!$J$23,
IF(Q411=regle!$K$11,regle!$K$23,0))))))))))))</f>
        <v>0</v>
      </c>
      <c r="AB411" s="17" t="b">
        <f>IF($A411,$J411*(IF(R411=regle!$B$11,regle!$B$23*IF(AK411=-2,1+regle!$B$35,1),
IF(R411=regle!$C$11,regle!$C$23,
IF(R411=regle!$D$11,regle!$D$23,
IF(R411=regle!$E$11,regle!$E$23,
IF(R411=regle!$F$11,regle!$F$23,
IF(R411=regle!$G$11,regle!$G$23,
IF(R411=regle!$H$11,regle!$H$23,
IF(R411=regle!$I$11,regle!$I$23,
IF(R411=regle!$J$11,regle!$J$23,
IF(R411=regle!$K$11,regle!$K$23,0))))))))))))</f>
        <v>0</v>
      </c>
      <c r="AC411" s="17" t="b">
        <f>IF($A411,$J411*(IF(S411=regle!$B$11,regle!$B$23*IF(AL411=-2,1+regle!$B$35,1),
IF(S411=regle!$C$11,regle!$C$23,
IF(S411=regle!$D$11,regle!$D$23,
IF(S411=regle!$E$11,regle!$E$23,
IF(S411=regle!$F$11,regle!$F$23,
IF(S411=regle!$G$11,regle!$G$23,
IF(S411=regle!$H$11,regle!$H$23,
IF(S411=regle!$I$11,regle!$I$23,
IF(S411=regle!$J$11,regle!$J$23,
IF(S411=regle!$K$11,regle!$K$23,0))))))))))))</f>
        <v>0</v>
      </c>
      <c r="AD411" s="17" t="b">
        <f>IF($A411,$J411*(IF(T411=regle!$B$11,regle!$B$23*IF(AM411=-2,1+regle!$B$35,1),
IF(T411=regle!$C$11,regle!$C$23,
IF(T411=regle!$D$11,regle!$D$23,
IF(T411=regle!$E$11,regle!$E$23,
IF(T411=regle!$F$11,regle!$F$23,
IF(T411=regle!$G$11,regle!$G$23,
IF(T411=regle!$H$11,regle!$H$23,
IF(T411=regle!$I$11,regle!$I$23,
IF(T411=regle!$J$11,regle!$J$23,
IF(T411=regle!$K$11,regle!$K$23,0))))))))))))</f>
        <v>0</v>
      </c>
      <c r="AE411" s="17" t="b">
        <f>IF($A411,$J411*(IF(U411=regle!$B$11,regle!$B$23*IF(AN411=-2,1+regle!$B$35,1),
IF(U411=regle!$C$11,regle!$C$23,
IF(U411=regle!$D$11,regle!$D$23,
IF(U411=regle!$E$11,regle!$E$23,
IF(U411=regle!$F$11,regle!$F$23,
IF(U411=regle!$G$11,regle!$G$23,
IF(U411=regle!$H$11,regle!$H$23,
IF(U411=regle!$I$11,regle!$I$23,
IF(U411=regle!$J$11,regle!$J$23,
IF(U411=regle!$K$11,regle!$K$23,0))))))))))))</f>
        <v>0</v>
      </c>
      <c r="AF411" s="17" t="b">
        <f>IF($A411,$J411*(IF(V411=regle!$B$11,regle!$B$23*IF(AO411=-2,1+regle!$B$35,1),
IF(V411=regle!$C$11,regle!$C$23,
IF(V411=regle!$D$11,regle!$D$23,
IF(V411=regle!$E$11,regle!$E$23,
IF(V411=regle!$F$11,regle!$F$23,
IF(V411=regle!$G$11,regle!$G$23,
IF(V411=regle!$H$11,regle!$H$23,
IF(V411=regle!$I$11,regle!$I$23,
IF(V411=regle!$J$11,regle!$J$23,
IF(V411=regle!$K$11,regle!$K$23,0))))))))))))</f>
        <v>0</v>
      </c>
      <c r="AG411" s="17" t="b">
        <f>IF($A411,$J411*(IF(W411=regle!$B$11,regle!$B$23*IF(AP411=-2,1+regle!$B$35,1),
IF(W411=regle!$C$11,regle!$C$23,
IF(W411=regle!$D$11,regle!$D$23,
IF(W411=regle!$E$11,regle!$E$23,
IF(W411=regle!$F$11,regle!$F$23,
IF(W411=regle!$G$11,regle!$G$23,
IF(W411=regle!$H$11,regle!$H$23,
IF(W411=regle!$I$11,regle!$I$23,
IF(W411=regle!$J$11,regle!$J$23,
IF(W411=regle!$K$11,regle!$K$23,0))))))))))))</f>
        <v>0</v>
      </c>
      <c r="AH411" s="17" t="b">
        <f>IF($A411,$J411*(IF(X411=regle!$B$11,regle!$B$23*IF(AQ411=-2,1+regle!$B$35,1),
IF(X411=regle!$C$11,regle!$C$23,
IF(X411=regle!$D$11,regle!$D$23,
IF(X411=regle!$E$11,regle!$E$23,
IF(X411=regle!$F$11,regle!$F$23,
IF(X411=regle!$G$11,regle!$G$23,
IF(X411=regle!$H$11,regle!$H$23,
IF(X411=regle!$I$11,regle!$I$23,
IF(X411=regle!$J$11,regle!$J$23,
IF(X411=regle!$K$11,regle!$K$23,0))))))))))))</f>
        <v>0</v>
      </c>
      <c r="AI411" s="17" t="b">
        <f>IF($A411,$J411*(IF(Y411=regle!$B$11,regle!$B$23*IF(AR411=-2,1+regle!$B$35,1),
IF(Y411=regle!$C$11,regle!$C$23,
IF(Y411=regle!$D$11,regle!$D$23,
IF(Y411=regle!$E$11,regle!$E$23,
IF(Y411=regle!$F$11,regle!$F$23,
IF(Y411=regle!$G$11,regle!$G$23,
IF(Y411=regle!$H$11,regle!$H$23,
IF(Y411=regle!$I$11,regle!$I$23,
IF(Y411=regle!$J$11,regle!$J$23,
IF(Y411=regle!$K$11,regle!$K$23,0))))))))))))</f>
        <v>0</v>
      </c>
      <c r="AJ411" s="17" t="b">
        <f>IF($A411,$J411*(IF(Z411=regle!$B$11,regle!$B$23*IF(AS411=-2,1+regle!$B$35,1),
IF(Z411=regle!$C$11,regle!$C$23,
IF(Z411=regle!$D$11,regle!$D$23,
IF(Z411=regle!$E$11,regle!$E$23,
IF(Z411=regle!$F$11,regle!$F$23,
IF(Z411=regle!$G$11,regle!$G$23,
IF(Z411=regle!$H$11,regle!$H$23,
IF(Z411=regle!$I$11,regle!$I$23,
IF(Z411=regle!$J$11,regle!$J$23,
IF(Z411=regle!$K$11,regle!$K$23,0))))))))))))</f>
        <v>0</v>
      </c>
      <c r="AK411" s="16">
        <f>IF(OR(Q411=regle!$J$11,Q411=regle!$K$11),-2,IF(Q411=regle!$B$11,0,IF(AK$1=$AK$1,IF($O411,-1,regle!$B$2-$M411),IF(AJ411=-1,-1,AJ411+1))))</f>
        <v>38</v>
      </c>
      <c r="AL411" s="16">
        <f>IF(OR(R411=regle!$J$11,R411=regle!$K$11),-2,IF(R411=regle!$B$11,0,IF(AL$1=$AK$1,IF($O411,-1,regle!$B$2-$M411),IF(AK411=-1,-1,AK411+1))))</f>
        <v>39</v>
      </c>
      <c r="AM411" s="16">
        <f>IF(OR(S411=regle!$J$11,S411=regle!$K$11),-2,IF(S411=regle!$B$11,0,IF(AM$1=$AK$1,IF($O411,-1,regle!$B$2-$M411),IF(AL411=-1,-1,AL411+1))))</f>
        <v>40</v>
      </c>
      <c r="AN411" s="16">
        <f>IF(OR(T411=regle!$J$11,T411=regle!$K$11),-2,IF(T411=regle!$B$11,0,IF(AN$1=$AK$1,IF($O411,-1,regle!$B$2-$M411),IF(AM411=-1,-1,AM411+1))))</f>
        <v>41</v>
      </c>
      <c r="AO411" s="16">
        <f>IF(OR(U411=regle!$J$11,U411=regle!$K$11),-2,IF(U411=regle!$B$11,0,IF(AO$1=$AK$1,IF($O411,-1,regle!$B$2-$M411),IF(AN411=-1,-1,AN411+1))))</f>
        <v>42</v>
      </c>
      <c r="AP411" s="16">
        <f>IF(OR(V411=regle!$J$11,V411=regle!$K$11),-2,IF(V411=regle!$B$11,0,IF(AP$1=$AK$1,IF($O411,-1,regle!$B$2-$M411),IF(AO411=-1,-1,AO411+1))))</f>
        <v>43</v>
      </c>
      <c r="AQ411" s="16">
        <f>IF(OR(W411=regle!$J$11,W411=regle!$K$11),-2,IF(W411=regle!$B$11,0,IF(AQ$1=$AK$1,IF($O411,-1,regle!$B$2-$M411),IF(AP411=-1,-1,AP411+1))))</f>
        <v>44</v>
      </c>
      <c r="AR411" s="16">
        <f>IF(OR(X411=regle!$J$11,X411=regle!$K$11),-2,IF(X411=regle!$B$11,0,IF(AR$1=$AK$1,IF($O411,-1,regle!$B$2-$M411),IF(AQ411=-1,-1,AQ411+1))))</f>
        <v>45</v>
      </c>
      <c r="AS411" s="16">
        <f>IF(OR(Y411=regle!$J$11,Y411=regle!$K$11),-2,IF(Y411=regle!$B$11,0,IF(AS$1=$AK$1,IF($O411,-1,regle!$B$2-$M411),IF(AR411=-1,-1,AR411+1))))</f>
        <v>46</v>
      </c>
      <c r="AT411" s="16">
        <f>IF(OR(Z411=regle!$J$11,Z411=regle!$K$11),-2,IF(Z411=regle!$B$11,0,IF(AT$1=$AK$1,IF($O411,-1,regle!$B$2-$M411),IF(AS411=-1,-1,AS411+1))))</f>
        <v>47</v>
      </c>
    </row>
    <row r="412" spans="1:46" x14ac:dyDescent="0.25">
      <c r="A412" t="b">
        <f>modif0!A434</f>
        <v>0</v>
      </c>
      <c r="B412">
        <f>ROW(modif0!B434)</f>
        <v>434</v>
      </c>
      <c r="C412" t="str">
        <f>modif0!D434</f>
        <v>200</v>
      </c>
      <c r="D412" t="str">
        <f>modif0!E434</f>
        <v>MOUSTEY</v>
      </c>
      <c r="E412">
        <f>modif0!F434</f>
        <v>4</v>
      </c>
      <c r="F412" t="str">
        <f>modif0!G434</f>
        <v>Kycs</v>
      </c>
      <c r="G412" t="str">
        <f>modif0!I434</f>
        <v>0M</v>
      </c>
      <c r="H412">
        <f>modif0!J434</f>
        <v>71</v>
      </c>
      <c r="I412" t="str">
        <f>modif0!K434</f>
        <v>k</v>
      </c>
      <c r="J412" s="11">
        <f>modif0!M434</f>
        <v>0.48820000000000002</v>
      </c>
      <c r="K412" s="11" t="str">
        <f>modif0!P434</f>
        <v>TAIL</v>
      </c>
      <c r="L412" t="str">
        <f>modif0!N434</f>
        <v>FEUIL</v>
      </c>
      <c r="M412">
        <f>modif0!Q434</f>
        <v>1986</v>
      </c>
      <c r="N412" t="str">
        <f>modif0!R434</f>
        <v>TAIL-FEUIL_1986</v>
      </c>
      <c r="O412" t="b">
        <f>modif0!S434</f>
        <v>0</v>
      </c>
      <c r="P412">
        <v>40</v>
      </c>
      <c r="AA412" s="17" t="b">
        <f>IF($A412,$J412*(IF(Q412=regle!$B$11,regle!$B$23*IF(AJ412=-2,1+regle!$B$35,1),
IF(Q412=regle!$C$11,regle!$C$23,
IF(Q412=regle!$D$11,regle!$D$23,
IF(Q412=regle!$E$11,regle!$E$23,
IF(Q412=regle!$F$11,regle!$F$23,
IF(Q412=regle!$G$11,regle!$G$23,
IF(Q412=regle!$H$11,regle!$H$23,
IF(Q412=regle!$I$11,regle!$I$23,
IF(Q412=regle!$J$11,regle!$J$23,
IF(Q412=regle!$K$11,regle!$K$23,0))))))))))))</f>
        <v>0</v>
      </c>
      <c r="AB412" s="17" t="b">
        <f>IF($A412,$J412*(IF(R412=regle!$B$11,regle!$B$23*IF(AK412=-2,1+regle!$B$35,1),
IF(R412=regle!$C$11,regle!$C$23,
IF(R412=regle!$D$11,regle!$D$23,
IF(R412=regle!$E$11,regle!$E$23,
IF(R412=regle!$F$11,regle!$F$23,
IF(R412=regle!$G$11,regle!$G$23,
IF(R412=regle!$H$11,regle!$H$23,
IF(R412=regle!$I$11,regle!$I$23,
IF(R412=regle!$J$11,regle!$J$23,
IF(R412=regle!$K$11,regle!$K$23,0))))))))))))</f>
        <v>0</v>
      </c>
      <c r="AC412" s="17" t="b">
        <f>IF($A412,$J412*(IF(S412=regle!$B$11,regle!$B$23*IF(AL412=-2,1+regle!$B$35,1),
IF(S412=regle!$C$11,regle!$C$23,
IF(S412=regle!$D$11,regle!$D$23,
IF(S412=regle!$E$11,regle!$E$23,
IF(S412=regle!$F$11,regle!$F$23,
IF(S412=regle!$G$11,regle!$G$23,
IF(S412=regle!$H$11,regle!$H$23,
IF(S412=regle!$I$11,regle!$I$23,
IF(S412=regle!$J$11,regle!$J$23,
IF(S412=regle!$K$11,regle!$K$23,0))))))))))))</f>
        <v>0</v>
      </c>
      <c r="AD412" s="17" t="b">
        <f>IF($A412,$J412*(IF(T412=regle!$B$11,regle!$B$23*IF(AM412=-2,1+regle!$B$35,1),
IF(T412=regle!$C$11,regle!$C$23,
IF(T412=regle!$D$11,regle!$D$23,
IF(T412=regle!$E$11,regle!$E$23,
IF(T412=regle!$F$11,regle!$F$23,
IF(T412=regle!$G$11,regle!$G$23,
IF(T412=regle!$H$11,regle!$H$23,
IF(T412=regle!$I$11,regle!$I$23,
IF(T412=regle!$J$11,regle!$J$23,
IF(T412=regle!$K$11,regle!$K$23,0))))))))))))</f>
        <v>0</v>
      </c>
      <c r="AE412" s="17" t="b">
        <f>IF($A412,$J412*(IF(U412=regle!$B$11,regle!$B$23*IF(AN412=-2,1+regle!$B$35,1),
IF(U412=regle!$C$11,regle!$C$23,
IF(U412=regle!$D$11,regle!$D$23,
IF(U412=regle!$E$11,regle!$E$23,
IF(U412=regle!$F$11,regle!$F$23,
IF(U412=regle!$G$11,regle!$G$23,
IF(U412=regle!$H$11,regle!$H$23,
IF(U412=regle!$I$11,regle!$I$23,
IF(U412=regle!$J$11,regle!$J$23,
IF(U412=regle!$K$11,regle!$K$23,0))))))))))))</f>
        <v>0</v>
      </c>
      <c r="AF412" s="17" t="b">
        <f>IF($A412,$J412*(IF(V412=regle!$B$11,regle!$B$23*IF(AO412=-2,1+regle!$B$35,1),
IF(V412=regle!$C$11,regle!$C$23,
IF(V412=regle!$D$11,regle!$D$23,
IF(V412=regle!$E$11,regle!$E$23,
IF(V412=regle!$F$11,regle!$F$23,
IF(V412=regle!$G$11,regle!$G$23,
IF(V412=regle!$H$11,regle!$H$23,
IF(V412=regle!$I$11,regle!$I$23,
IF(V412=regle!$J$11,regle!$J$23,
IF(V412=regle!$K$11,regle!$K$23,0))))))))))))</f>
        <v>0</v>
      </c>
      <c r="AG412" s="17" t="b">
        <f>IF($A412,$J412*(IF(W412=regle!$B$11,regle!$B$23*IF(AP412=-2,1+regle!$B$35,1),
IF(W412=regle!$C$11,regle!$C$23,
IF(W412=regle!$D$11,regle!$D$23,
IF(W412=regle!$E$11,regle!$E$23,
IF(W412=regle!$F$11,regle!$F$23,
IF(W412=regle!$G$11,regle!$G$23,
IF(W412=regle!$H$11,regle!$H$23,
IF(W412=regle!$I$11,regle!$I$23,
IF(W412=regle!$J$11,regle!$J$23,
IF(W412=regle!$K$11,regle!$K$23,0))))))))))))</f>
        <v>0</v>
      </c>
      <c r="AH412" s="17" t="b">
        <f>IF($A412,$J412*(IF(X412=regle!$B$11,regle!$B$23*IF(AQ412=-2,1+regle!$B$35,1),
IF(X412=regle!$C$11,regle!$C$23,
IF(X412=regle!$D$11,regle!$D$23,
IF(X412=regle!$E$11,regle!$E$23,
IF(X412=regle!$F$11,regle!$F$23,
IF(X412=regle!$G$11,regle!$G$23,
IF(X412=regle!$H$11,regle!$H$23,
IF(X412=regle!$I$11,regle!$I$23,
IF(X412=regle!$J$11,regle!$J$23,
IF(X412=regle!$K$11,regle!$K$23,0))))))))))))</f>
        <v>0</v>
      </c>
      <c r="AI412" s="17" t="b">
        <f>IF($A412,$J412*(IF(Y412=regle!$B$11,regle!$B$23*IF(AR412=-2,1+regle!$B$35,1),
IF(Y412=regle!$C$11,regle!$C$23,
IF(Y412=regle!$D$11,regle!$D$23,
IF(Y412=regle!$E$11,regle!$E$23,
IF(Y412=regle!$F$11,regle!$F$23,
IF(Y412=regle!$G$11,regle!$G$23,
IF(Y412=regle!$H$11,regle!$H$23,
IF(Y412=regle!$I$11,regle!$I$23,
IF(Y412=regle!$J$11,regle!$J$23,
IF(Y412=regle!$K$11,regle!$K$23,0))))))))))))</f>
        <v>0</v>
      </c>
      <c r="AJ412" s="17" t="b">
        <f>IF($A412,$J412*(IF(Z412=regle!$B$11,regle!$B$23*IF(AS412=-2,1+regle!$B$35,1),
IF(Z412=regle!$C$11,regle!$C$23,
IF(Z412=regle!$D$11,regle!$D$23,
IF(Z412=regle!$E$11,regle!$E$23,
IF(Z412=regle!$F$11,regle!$F$23,
IF(Z412=regle!$G$11,regle!$G$23,
IF(Z412=regle!$H$11,regle!$H$23,
IF(Z412=regle!$I$11,regle!$I$23,
IF(Z412=regle!$J$11,regle!$J$23,
IF(Z412=regle!$K$11,regle!$K$23,0))))))))))))</f>
        <v>0</v>
      </c>
      <c r="AK412" s="16">
        <f>IF(OR(Q412=regle!$J$11,Q412=regle!$K$11),-2,IF(Q412=regle!$B$11,0,IF(AK$1=$AK$1,IF($O412,-1,regle!$B$2-$M412),IF(AJ412=-1,-1,AJ412+1))))</f>
        <v>38</v>
      </c>
      <c r="AL412" s="16">
        <f>IF(OR(R412=regle!$J$11,R412=regle!$K$11),-2,IF(R412=regle!$B$11,0,IF(AL$1=$AK$1,IF($O412,-1,regle!$B$2-$M412),IF(AK412=-1,-1,AK412+1))))</f>
        <v>39</v>
      </c>
      <c r="AM412" s="16">
        <f>IF(OR(S412=regle!$J$11,S412=regle!$K$11),-2,IF(S412=regle!$B$11,0,IF(AM$1=$AK$1,IF($O412,-1,regle!$B$2-$M412),IF(AL412=-1,-1,AL412+1))))</f>
        <v>40</v>
      </c>
      <c r="AN412" s="16">
        <f>IF(OR(T412=regle!$J$11,T412=regle!$K$11),-2,IF(T412=regle!$B$11,0,IF(AN$1=$AK$1,IF($O412,-1,regle!$B$2-$M412),IF(AM412=-1,-1,AM412+1))))</f>
        <v>41</v>
      </c>
      <c r="AO412" s="16">
        <f>IF(OR(U412=regle!$J$11,U412=regle!$K$11),-2,IF(U412=regle!$B$11,0,IF(AO$1=$AK$1,IF($O412,-1,regle!$B$2-$M412),IF(AN412=-1,-1,AN412+1))))</f>
        <v>42</v>
      </c>
      <c r="AP412" s="16">
        <f>IF(OR(V412=regle!$J$11,V412=regle!$K$11),-2,IF(V412=regle!$B$11,0,IF(AP$1=$AK$1,IF($O412,-1,regle!$B$2-$M412),IF(AO412=-1,-1,AO412+1))))</f>
        <v>43</v>
      </c>
      <c r="AQ412" s="16">
        <f>IF(OR(W412=regle!$J$11,W412=regle!$K$11),-2,IF(W412=regle!$B$11,0,IF(AQ$1=$AK$1,IF($O412,-1,regle!$B$2-$M412),IF(AP412=-1,-1,AP412+1))))</f>
        <v>44</v>
      </c>
      <c r="AR412" s="16">
        <f>IF(OR(X412=regle!$J$11,X412=regle!$K$11),-2,IF(X412=regle!$B$11,0,IF(AR$1=$AK$1,IF($O412,-1,regle!$B$2-$M412),IF(AQ412=-1,-1,AQ412+1))))</f>
        <v>45</v>
      </c>
      <c r="AS412" s="16">
        <f>IF(OR(Y412=regle!$J$11,Y412=regle!$K$11),-2,IF(Y412=regle!$B$11,0,IF(AS$1=$AK$1,IF($O412,-1,regle!$B$2-$M412),IF(AR412=-1,-1,AR412+1))))</f>
        <v>46</v>
      </c>
      <c r="AT412" s="16">
        <f>IF(OR(Z412=regle!$J$11,Z412=regle!$K$11),-2,IF(Z412=regle!$B$11,0,IF(AT$1=$AK$1,IF($O412,-1,regle!$B$2-$M412),IF(AS412=-1,-1,AS412+1))))</f>
        <v>47</v>
      </c>
    </row>
    <row r="413" spans="1:46" x14ac:dyDescent="0.25">
      <c r="A413" t="b">
        <f>modif0!A440</f>
        <v>0</v>
      </c>
      <c r="B413">
        <f>ROW(modif0!B440)</f>
        <v>440</v>
      </c>
      <c r="C413" t="str">
        <f>modif0!D440</f>
        <v>200</v>
      </c>
      <c r="D413" t="str">
        <f>modif0!E440</f>
        <v>MOUSTEY</v>
      </c>
      <c r="E413">
        <f>modif0!F440</f>
        <v>9</v>
      </c>
      <c r="F413" t="str">
        <f>modif0!G440</f>
        <v>Peyroulet</v>
      </c>
      <c r="G413" t="str">
        <f>modif0!I440</f>
        <v>0N</v>
      </c>
      <c r="H413">
        <f>modif0!J440</f>
        <v>161</v>
      </c>
      <c r="I413" t="str">
        <f>modif0!K440</f>
        <v>c</v>
      </c>
      <c r="J413" s="11">
        <f>modif0!M440</f>
        <v>0.42080000000000001</v>
      </c>
      <c r="K413" s="11" t="str">
        <f>modif0!P440</f>
        <v>TAIL</v>
      </c>
      <c r="L413" t="str">
        <f>modif0!N440</f>
        <v>FEUIL</v>
      </c>
      <c r="M413">
        <f>modif0!Q440</f>
        <v>1986</v>
      </c>
      <c r="N413" t="str">
        <f>modif0!R440</f>
        <v>TAIL-FEUIL_1986</v>
      </c>
      <c r="O413" t="b">
        <f>modif0!S440</f>
        <v>0</v>
      </c>
      <c r="P413">
        <v>40</v>
      </c>
      <c r="AA413" s="17" t="b">
        <f>IF($A413,$J413*(IF(Q413=regle!$B$11,regle!$B$23*IF(AJ413=-2,1+regle!$B$35,1),
IF(Q413=regle!$C$11,regle!$C$23,
IF(Q413=regle!$D$11,regle!$D$23,
IF(Q413=regle!$E$11,regle!$E$23,
IF(Q413=regle!$F$11,regle!$F$23,
IF(Q413=regle!$G$11,regle!$G$23,
IF(Q413=regle!$H$11,regle!$H$23,
IF(Q413=regle!$I$11,regle!$I$23,
IF(Q413=regle!$J$11,regle!$J$23,
IF(Q413=regle!$K$11,regle!$K$23,0))))))))))))</f>
        <v>0</v>
      </c>
      <c r="AB413" s="17" t="b">
        <f>IF($A413,$J413*(IF(R413=regle!$B$11,regle!$B$23*IF(AK413=-2,1+regle!$B$35,1),
IF(R413=regle!$C$11,regle!$C$23,
IF(R413=regle!$D$11,regle!$D$23,
IF(R413=regle!$E$11,regle!$E$23,
IF(R413=regle!$F$11,regle!$F$23,
IF(R413=regle!$G$11,regle!$G$23,
IF(R413=regle!$H$11,regle!$H$23,
IF(R413=regle!$I$11,regle!$I$23,
IF(R413=regle!$J$11,regle!$J$23,
IF(R413=regle!$K$11,regle!$K$23,0))))))))))))</f>
        <v>0</v>
      </c>
      <c r="AC413" s="17" t="b">
        <f>IF($A413,$J413*(IF(S413=regle!$B$11,regle!$B$23*IF(AL413=-2,1+regle!$B$35,1),
IF(S413=regle!$C$11,regle!$C$23,
IF(S413=regle!$D$11,regle!$D$23,
IF(S413=regle!$E$11,regle!$E$23,
IF(S413=regle!$F$11,regle!$F$23,
IF(S413=regle!$G$11,regle!$G$23,
IF(S413=regle!$H$11,regle!$H$23,
IF(S413=regle!$I$11,regle!$I$23,
IF(S413=regle!$J$11,regle!$J$23,
IF(S413=regle!$K$11,regle!$K$23,0))))))))))))</f>
        <v>0</v>
      </c>
      <c r="AD413" s="17" t="b">
        <f>IF($A413,$J413*(IF(T413=regle!$B$11,regle!$B$23*IF(AM413=-2,1+regle!$B$35,1),
IF(T413=regle!$C$11,regle!$C$23,
IF(T413=regle!$D$11,regle!$D$23,
IF(T413=regle!$E$11,regle!$E$23,
IF(T413=regle!$F$11,regle!$F$23,
IF(T413=regle!$G$11,regle!$G$23,
IF(T413=regle!$H$11,regle!$H$23,
IF(T413=regle!$I$11,regle!$I$23,
IF(T413=regle!$J$11,regle!$J$23,
IF(T413=regle!$K$11,regle!$K$23,0))))))))))))</f>
        <v>0</v>
      </c>
      <c r="AE413" s="17" t="b">
        <f>IF($A413,$J413*(IF(U413=regle!$B$11,regle!$B$23*IF(AN413=-2,1+regle!$B$35,1),
IF(U413=regle!$C$11,regle!$C$23,
IF(U413=regle!$D$11,regle!$D$23,
IF(U413=regle!$E$11,regle!$E$23,
IF(U413=regle!$F$11,regle!$F$23,
IF(U413=regle!$G$11,regle!$G$23,
IF(U413=regle!$H$11,regle!$H$23,
IF(U413=regle!$I$11,regle!$I$23,
IF(U413=regle!$J$11,regle!$J$23,
IF(U413=regle!$K$11,regle!$K$23,0))))))))))))</f>
        <v>0</v>
      </c>
      <c r="AF413" s="17" t="b">
        <f>IF($A413,$J413*(IF(V413=regle!$B$11,regle!$B$23*IF(AO413=-2,1+regle!$B$35,1),
IF(V413=regle!$C$11,regle!$C$23,
IF(V413=regle!$D$11,regle!$D$23,
IF(V413=regle!$E$11,regle!$E$23,
IF(V413=regle!$F$11,regle!$F$23,
IF(V413=regle!$G$11,regle!$G$23,
IF(V413=regle!$H$11,regle!$H$23,
IF(V413=regle!$I$11,regle!$I$23,
IF(V413=regle!$J$11,regle!$J$23,
IF(V413=regle!$K$11,regle!$K$23,0))))))))))))</f>
        <v>0</v>
      </c>
      <c r="AG413" s="17" t="b">
        <f>IF($A413,$J413*(IF(W413=regle!$B$11,regle!$B$23*IF(AP413=-2,1+regle!$B$35,1),
IF(W413=regle!$C$11,regle!$C$23,
IF(W413=regle!$D$11,regle!$D$23,
IF(W413=regle!$E$11,regle!$E$23,
IF(W413=regle!$F$11,regle!$F$23,
IF(W413=regle!$G$11,regle!$G$23,
IF(W413=regle!$H$11,regle!$H$23,
IF(W413=regle!$I$11,regle!$I$23,
IF(W413=regle!$J$11,regle!$J$23,
IF(W413=regle!$K$11,regle!$K$23,0))))))))))))</f>
        <v>0</v>
      </c>
      <c r="AH413" s="17" t="b">
        <f>IF($A413,$J413*(IF(X413=regle!$B$11,regle!$B$23*IF(AQ413=-2,1+regle!$B$35,1),
IF(X413=regle!$C$11,regle!$C$23,
IF(X413=regle!$D$11,regle!$D$23,
IF(X413=regle!$E$11,regle!$E$23,
IF(X413=regle!$F$11,regle!$F$23,
IF(X413=regle!$G$11,regle!$G$23,
IF(X413=regle!$H$11,regle!$H$23,
IF(X413=regle!$I$11,regle!$I$23,
IF(X413=regle!$J$11,regle!$J$23,
IF(X413=regle!$K$11,regle!$K$23,0))))))))))))</f>
        <v>0</v>
      </c>
      <c r="AI413" s="17" t="b">
        <f>IF($A413,$J413*(IF(Y413=regle!$B$11,regle!$B$23*IF(AR413=-2,1+regle!$B$35,1),
IF(Y413=regle!$C$11,regle!$C$23,
IF(Y413=regle!$D$11,regle!$D$23,
IF(Y413=regle!$E$11,regle!$E$23,
IF(Y413=regle!$F$11,regle!$F$23,
IF(Y413=regle!$G$11,regle!$G$23,
IF(Y413=regle!$H$11,regle!$H$23,
IF(Y413=regle!$I$11,regle!$I$23,
IF(Y413=regle!$J$11,regle!$J$23,
IF(Y413=regle!$K$11,regle!$K$23,0))))))))))))</f>
        <v>0</v>
      </c>
      <c r="AJ413" s="17" t="b">
        <f>IF($A413,$J413*(IF(Z413=regle!$B$11,regle!$B$23*IF(AS413=-2,1+regle!$B$35,1),
IF(Z413=regle!$C$11,regle!$C$23,
IF(Z413=regle!$D$11,regle!$D$23,
IF(Z413=regle!$E$11,regle!$E$23,
IF(Z413=regle!$F$11,regle!$F$23,
IF(Z413=regle!$G$11,regle!$G$23,
IF(Z413=regle!$H$11,regle!$H$23,
IF(Z413=regle!$I$11,regle!$I$23,
IF(Z413=regle!$J$11,regle!$J$23,
IF(Z413=regle!$K$11,regle!$K$23,0))))))))))))</f>
        <v>0</v>
      </c>
      <c r="AK413" s="16">
        <f>IF(OR(Q413=regle!$J$11,Q413=regle!$K$11),-2,IF(Q413=regle!$B$11,0,IF(AK$1=$AK$1,IF($O413,-1,regle!$B$2-$M413),IF(AJ413=-1,-1,AJ413+1))))</f>
        <v>38</v>
      </c>
      <c r="AL413" s="16">
        <f>IF(OR(R413=regle!$J$11,R413=regle!$K$11),-2,IF(R413=regle!$B$11,0,IF(AL$1=$AK$1,IF($O413,-1,regle!$B$2-$M413),IF(AK413=-1,-1,AK413+1))))</f>
        <v>39</v>
      </c>
      <c r="AM413" s="16">
        <f>IF(OR(S413=regle!$J$11,S413=regle!$K$11),-2,IF(S413=regle!$B$11,0,IF(AM$1=$AK$1,IF($O413,-1,regle!$B$2-$M413),IF(AL413=-1,-1,AL413+1))))</f>
        <v>40</v>
      </c>
      <c r="AN413" s="16">
        <f>IF(OR(T413=regle!$J$11,T413=regle!$K$11),-2,IF(T413=regle!$B$11,0,IF(AN$1=$AK$1,IF($O413,-1,regle!$B$2-$M413),IF(AM413=-1,-1,AM413+1))))</f>
        <v>41</v>
      </c>
      <c r="AO413" s="16">
        <f>IF(OR(U413=regle!$J$11,U413=regle!$K$11),-2,IF(U413=regle!$B$11,0,IF(AO$1=$AK$1,IF($O413,-1,regle!$B$2-$M413),IF(AN413=-1,-1,AN413+1))))</f>
        <v>42</v>
      </c>
      <c r="AP413" s="16">
        <f>IF(OR(V413=regle!$J$11,V413=regle!$K$11),-2,IF(V413=regle!$B$11,0,IF(AP$1=$AK$1,IF($O413,-1,regle!$B$2-$M413),IF(AO413=-1,-1,AO413+1))))</f>
        <v>43</v>
      </c>
      <c r="AQ413" s="16">
        <f>IF(OR(W413=regle!$J$11,W413=regle!$K$11),-2,IF(W413=regle!$B$11,0,IF(AQ$1=$AK$1,IF($O413,-1,regle!$B$2-$M413),IF(AP413=-1,-1,AP413+1))))</f>
        <v>44</v>
      </c>
      <c r="AR413" s="16">
        <f>IF(OR(X413=regle!$J$11,X413=regle!$K$11),-2,IF(X413=regle!$B$11,0,IF(AR$1=$AK$1,IF($O413,-1,regle!$B$2-$M413),IF(AQ413=-1,-1,AQ413+1))))</f>
        <v>45</v>
      </c>
      <c r="AS413" s="16">
        <f>IF(OR(Y413=regle!$J$11,Y413=regle!$K$11),-2,IF(Y413=regle!$B$11,0,IF(AS$1=$AK$1,IF($O413,-1,regle!$B$2-$M413),IF(AR413=-1,-1,AR413+1))))</f>
        <v>46</v>
      </c>
      <c r="AT413" s="16">
        <f>IF(OR(Z413=regle!$J$11,Z413=regle!$K$11),-2,IF(Z413=regle!$B$11,0,IF(AT$1=$AK$1,IF($O413,-1,regle!$B$2-$M413),IF(AS413=-1,-1,AS413+1))))</f>
        <v>47</v>
      </c>
    </row>
    <row r="414" spans="1:46" x14ac:dyDescent="0.25">
      <c r="A414" t="b">
        <f>modif0!A432</f>
        <v>0</v>
      </c>
      <c r="B414">
        <f>ROW(modif0!B432)</f>
        <v>432</v>
      </c>
      <c r="C414" t="str">
        <f>modif0!D432</f>
        <v>200</v>
      </c>
      <c r="D414" t="str">
        <f>modif0!E432</f>
        <v>MOUSTEY</v>
      </c>
      <c r="E414">
        <f>modif0!F432</f>
        <v>5</v>
      </c>
      <c r="F414" t="str">
        <f>modif0!G432</f>
        <v>Plata</v>
      </c>
      <c r="G414" t="str">
        <f>modif0!I432</f>
        <v>0M</v>
      </c>
      <c r="H414">
        <f>modif0!J432</f>
        <v>23</v>
      </c>
      <c r="I414" t="str">
        <f>modif0!K432</f>
        <v>b</v>
      </c>
      <c r="J414" s="11">
        <f>modif0!M432</f>
        <v>0.35799999999999998</v>
      </c>
      <c r="K414" s="11" t="str">
        <f>modif0!P432</f>
        <v>TAIL</v>
      </c>
      <c r="L414" t="str">
        <f>modif0!N432</f>
        <v>FEUIL</v>
      </c>
      <c r="M414">
        <f>modif0!Q432</f>
        <v>1986</v>
      </c>
      <c r="N414" t="str">
        <f>modif0!R432</f>
        <v>TAIL-FEUIL_1986</v>
      </c>
      <c r="O414" t="b">
        <f>modif0!S432</f>
        <v>0</v>
      </c>
      <c r="P414">
        <v>40</v>
      </c>
      <c r="AA414" s="17" t="b">
        <f>IF($A414,$J414*(IF(Q414=regle!$B$11,regle!$B$23*IF(AJ414=-2,1+regle!$B$35,1),
IF(Q414=regle!$C$11,regle!$C$23,
IF(Q414=regle!$D$11,regle!$D$23,
IF(Q414=regle!$E$11,regle!$E$23,
IF(Q414=regle!$F$11,regle!$F$23,
IF(Q414=regle!$G$11,regle!$G$23,
IF(Q414=regle!$H$11,regle!$H$23,
IF(Q414=regle!$I$11,regle!$I$23,
IF(Q414=regle!$J$11,regle!$J$23,
IF(Q414=regle!$K$11,regle!$K$23,0))))))))))))</f>
        <v>0</v>
      </c>
      <c r="AB414" s="17" t="b">
        <f>IF($A414,$J414*(IF(R414=regle!$B$11,regle!$B$23*IF(AK414=-2,1+regle!$B$35,1),
IF(R414=regle!$C$11,regle!$C$23,
IF(R414=regle!$D$11,regle!$D$23,
IF(R414=regle!$E$11,regle!$E$23,
IF(R414=regle!$F$11,regle!$F$23,
IF(R414=regle!$G$11,regle!$G$23,
IF(R414=regle!$H$11,regle!$H$23,
IF(R414=regle!$I$11,regle!$I$23,
IF(R414=regle!$J$11,regle!$J$23,
IF(R414=regle!$K$11,regle!$K$23,0))))))))))))</f>
        <v>0</v>
      </c>
      <c r="AC414" s="17" t="b">
        <f>IF($A414,$J414*(IF(S414=regle!$B$11,regle!$B$23*IF(AL414=-2,1+regle!$B$35,1),
IF(S414=regle!$C$11,regle!$C$23,
IF(S414=regle!$D$11,regle!$D$23,
IF(S414=regle!$E$11,regle!$E$23,
IF(S414=regle!$F$11,regle!$F$23,
IF(S414=regle!$G$11,regle!$G$23,
IF(S414=regle!$H$11,regle!$H$23,
IF(S414=regle!$I$11,regle!$I$23,
IF(S414=regle!$J$11,regle!$J$23,
IF(S414=regle!$K$11,regle!$K$23,0))))))))))))</f>
        <v>0</v>
      </c>
      <c r="AD414" s="17" t="b">
        <f>IF($A414,$J414*(IF(T414=regle!$B$11,regle!$B$23*IF(AM414=-2,1+regle!$B$35,1),
IF(T414=regle!$C$11,regle!$C$23,
IF(T414=regle!$D$11,regle!$D$23,
IF(T414=regle!$E$11,regle!$E$23,
IF(T414=regle!$F$11,regle!$F$23,
IF(T414=regle!$G$11,regle!$G$23,
IF(T414=regle!$H$11,regle!$H$23,
IF(T414=regle!$I$11,regle!$I$23,
IF(T414=regle!$J$11,regle!$J$23,
IF(T414=regle!$K$11,regle!$K$23,0))))))))))))</f>
        <v>0</v>
      </c>
      <c r="AE414" s="17" t="b">
        <f>IF($A414,$J414*(IF(U414=regle!$B$11,regle!$B$23*IF(AN414=-2,1+regle!$B$35,1),
IF(U414=regle!$C$11,regle!$C$23,
IF(U414=regle!$D$11,regle!$D$23,
IF(U414=regle!$E$11,regle!$E$23,
IF(U414=regle!$F$11,regle!$F$23,
IF(U414=regle!$G$11,regle!$G$23,
IF(U414=regle!$H$11,regle!$H$23,
IF(U414=regle!$I$11,regle!$I$23,
IF(U414=regle!$J$11,regle!$J$23,
IF(U414=regle!$K$11,regle!$K$23,0))))))))))))</f>
        <v>0</v>
      </c>
      <c r="AF414" s="17" t="b">
        <f>IF($A414,$J414*(IF(V414=regle!$B$11,regle!$B$23*IF(AO414=-2,1+regle!$B$35,1),
IF(V414=regle!$C$11,regle!$C$23,
IF(V414=regle!$D$11,regle!$D$23,
IF(V414=regle!$E$11,regle!$E$23,
IF(V414=regle!$F$11,regle!$F$23,
IF(V414=regle!$G$11,regle!$G$23,
IF(V414=regle!$H$11,regle!$H$23,
IF(V414=regle!$I$11,regle!$I$23,
IF(V414=regle!$J$11,regle!$J$23,
IF(V414=regle!$K$11,regle!$K$23,0))))))))))))</f>
        <v>0</v>
      </c>
      <c r="AG414" s="17" t="b">
        <f>IF($A414,$J414*(IF(W414=regle!$B$11,regle!$B$23*IF(AP414=-2,1+regle!$B$35,1),
IF(W414=regle!$C$11,regle!$C$23,
IF(W414=regle!$D$11,regle!$D$23,
IF(W414=regle!$E$11,regle!$E$23,
IF(W414=regle!$F$11,regle!$F$23,
IF(W414=regle!$G$11,regle!$G$23,
IF(W414=regle!$H$11,regle!$H$23,
IF(W414=regle!$I$11,regle!$I$23,
IF(W414=regle!$J$11,regle!$J$23,
IF(W414=regle!$K$11,regle!$K$23,0))))))))))))</f>
        <v>0</v>
      </c>
      <c r="AH414" s="17" t="b">
        <f>IF($A414,$J414*(IF(X414=regle!$B$11,regle!$B$23*IF(AQ414=-2,1+regle!$B$35,1),
IF(X414=regle!$C$11,regle!$C$23,
IF(X414=regle!$D$11,regle!$D$23,
IF(X414=regle!$E$11,regle!$E$23,
IF(X414=regle!$F$11,regle!$F$23,
IF(X414=regle!$G$11,regle!$G$23,
IF(X414=regle!$H$11,regle!$H$23,
IF(X414=regle!$I$11,regle!$I$23,
IF(X414=regle!$J$11,regle!$J$23,
IF(X414=regle!$K$11,regle!$K$23,0))))))))))))</f>
        <v>0</v>
      </c>
      <c r="AI414" s="17" t="b">
        <f>IF($A414,$J414*(IF(Y414=regle!$B$11,regle!$B$23*IF(AR414=-2,1+regle!$B$35,1),
IF(Y414=regle!$C$11,regle!$C$23,
IF(Y414=regle!$D$11,regle!$D$23,
IF(Y414=regle!$E$11,regle!$E$23,
IF(Y414=regle!$F$11,regle!$F$23,
IF(Y414=regle!$G$11,regle!$G$23,
IF(Y414=regle!$H$11,regle!$H$23,
IF(Y414=regle!$I$11,regle!$I$23,
IF(Y414=regle!$J$11,regle!$J$23,
IF(Y414=regle!$K$11,regle!$K$23,0))))))))))))</f>
        <v>0</v>
      </c>
      <c r="AJ414" s="17" t="b">
        <f>IF($A414,$J414*(IF(Z414=regle!$B$11,regle!$B$23*IF(AS414=-2,1+regle!$B$35,1),
IF(Z414=regle!$C$11,regle!$C$23,
IF(Z414=regle!$D$11,regle!$D$23,
IF(Z414=regle!$E$11,regle!$E$23,
IF(Z414=regle!$F$11,regle!$F$23,
IF(Z414=regle!$G$11,regle!$G$23,
IF(Z414=regle!$H$11,regle!$H$23,
IF(Z414=regle!$I$11,regle!$I$23,
IF(Z414=regle!$J$11,regle!$J$23,
IF(Z414=regle!$K$11,regle!$K$23,0))))))))))))</f>
        <v>0</v>
      </c>
      <c r="AK414" s="16">
        <f>IF(OR(Q414=regle!$J$11,Q414=regle!$K$11),-2,IF(Q414=regle!$B$11,0,IF(AK$1=$AK$1,IF($O414,-1,regle!$B$2-$M414),IF(AJ414=-1,-1,AJ414+1))))</f>
        <v>38</v>
      </c>
      <c r="AL414" s="16">
        <f>IF(OR(R414=regle!$J$11,R414=regle!$K$11),-2,IF(R414=regle!$B$11,0,IF(AL$1=$AK$1,IF($O414,-1,regle!$B$2-$M414),IF(AK414=-1,-1,AK414+1))))</f>
        <v>39</v>
      </c>
      <c r="AM414" s="16">
        <f>IF(OR(S414=regle!$J$11,S414=regle!$K$11),-2,IF(S414=regle!$B$11,0,IF(AM$1=$AK$1,IF($O414,-1,regle!$B$2-$M414),IF(AL414=-1,-1,AL414+1))))</f>
        <v>40</v>
      </c>
      <c r="AN414" s="16">
        <f>IF(OR(T414=regle!$J$11,T414=regle!$K$11),-2,IF(T414=regle!$B$11,0,IF(AN$1=$AK$1,IF($O414,-1,regle!$B$2-$M414),IF(AM414=-1,-1,AM414+1))))</f>
        <v>41</v>
      </c>
      <c r="AO414" s="16">
        <f>IF(OR(U414=regle!$J$11,U414=regle!$K$11),-2,IF(U414=regle!$B$11,0,IF(AO$1=$AK$1,IF($O414,-1,regle!$B$2-$M414),IF(AN414=-1,-1,AN414+1))))</f>
        <v>42</v>
      </c>
      <c r="AP414" s="16">
        <f>IF(OR(V414=regle!$J$11,V414=regle!$K$11),-2,IF(V414=regle!$B$11,0,IF(AP$1=$AK$1,IF($O414,-1,regle!$B$2-$M414),IF(AO414=-1,-1,AO414+1))))</f>
        <v>43</v>
      </c>
      <c r="AQ414" s="16">
        <f>IF(OR(W414=regle!$J$11,W414=regle!$K$11),-2,IF(W414=regle!$B$11,0,IF(AQ$1=$AK$1,IF($O414,-1,regle!$B$2-$M414),IF(AP414=-1,-1,AP414+1))))</f>
        <v>44</v>
      </c>
      <c r="AR414" s="16">
        <f>IF(OR(X414=regle!$J$11,X414=regle!$K$11),-2,IF(X414=regle!$B$11,0,IF(AR$1=$AK$1,IF($O414,-1,regle!$B$2-$M414),IF(AQ414=-1,-1,AQ414+1))))</f>
        <v>45</v>
      </c>
      <c r="AS414" s="16">
        <f>IF(OR(Y414=regle!$J$11,Y414=regle!$K$11),-2,IF(Y414=regle!$B$11,0,IF(AS$1=$AK$1,IF($O414,-1,regle!$B$2-$M414),IF(AR414=-1,-1,AR414+1))))</f>
        <v>46</v>
      </c>
      <c r="AT414" s="16">
        <f>IF(OR(Z414=regle!$J$11,Z414=regle!$K$11),-2,IF(Z414=regle!$B$11,0,IF(AT$1=$AK$1,IF($O414,-1,regle!$B$2-$M414),IF(AS414=-1,-1,AS414+1))))</f>
        <v>47</v>
      </c>
    </row>
    <row r="415" spans="1:46" x14ac:dyDescent="0.25">
      <c r="A415" t="b">
        <f>modif0!A439</f>
        <v>0</v>
      </c>
      <c r="B415">
        <f>ROW(modif0!B439)</f>
        <v>439</v>
      </c>
      <c r="C415" t="str">
        <f>modif0!D439</f>
        <v>200</v>
      </c>
      <c r="D415" t="str">
        <f>modif0!E439</f>
        <v>MOUSTEY</v>
      </c>
      <c r="E415">
        <f>modif0!F439</f>
        <v>9</v>
      </c>
      <c r="F415" t="str">
        <f>modif0!G439</f>
        <v>Peyroulet</v>
      </c>
      <c r="G415" t="str">
        <f>modif0!I439</f>
        <v>0N</v>
      </c>
      <c r="H415">
        <f>modif0!J439</f>
        <v>154</v>
      </c>
      <c r="I415" t="str">
        <f>modif0!K439</f>
        <v/>
      </c>
      <c r="J415" s="11">
        <f>modif0!M439</f>
        <v>0.16550000000000001</v>
      </c>
      <c r="K415" s="11" t="str">
        <f>modif0!P439</f>
        <v>TAIL</v>
      </c>
      <c r="L415" t="str">
        <f>modif0!N439</f>
        <v>FEUIL</v>
      </c>
      <c r="M415">
        <f>modif0!Q439</f>
        <v>1986</v>
      </c>
      <c r="N415" t="str">
        <f>modif0!R439</f>
        <v>TAIL-FEUIL_1986</v>
      </c>
      <c r="O415" t="b">
        <f>modif0!S439</f>
        <v>0</v>
      </c>
      <c r="P415">
        <v>40</v>
      </c>
      <c r="AA415" s="17" t="b">
        <f>IF($A415,$J415*(IF(Q415=regle!$B$11,regle!$B$23*IF(AJ415=-2,1+regle!$B$35,1),
IF(Q415=regle!$C$11,regle!$C$23,
IF(Q415=regle!$D$11,regle!$D$23,
IF(Q415=regle!$E$11,regle!$E$23,
IF(Q415=regle!$F$11,regle!$F$23,
IF(Q415=regle!$G$11,regle!$G$23,
IF(Q415=regle!$H$11,regle!$H$23,
IF(Q415=regle!$I$11,regle!$I$23,
IF(Q415=regle!$J$11,regle!$J$23,
IF(Q415=regle!$K$11,regle!$K$23,0))))))))))))</f>
        <v>0</v>
      </c>
      <c r="AB415" s="17" t="b">
        <f>IF($A415,$J415*(IF(R415=regle!$B$11,regle!$B$23*IF(AK415=-2,1+regle!$B$35,1),
IF(R415=regle!$C$11,regle!$C$23,
IF(R415=regle!$D$11,regle!$D$23,
IF(R415=regle!$E$11,regle!$E$23,
IF(R415=regle!$F$11,regle!$F$23,
IF(R415=regle!$G$11,regle!$G$23,
IF(R415=regle!$H$11,regle!$H$23,
IF(R415=regle!$I$11,regle!$I$23,
IF(R415=regle!$J$11,regle!$J$23,
IF(R415=regle!$K$11,regle!$K$23,0))))))))))))</f>
        <v>0</v>
      </c>
      <c r="AC415" s="17" t="b">
        <f>IF($A415,$J415*(IF(S415=regle!$B$11,regle!$B$23*IF(AL415=-2,1+regle!$B$35,1),
IF(S415=regle!$C$11,regle!$C$23,
IF(S415=regle!$D$11,regle!$D$23,
IF(S415=regle!$E$11,regle!$E$23,
IF(S415=regle!$F$11,regle!$F$23,
IF(S415=regle!$G$11,regle!$G$23,
IF(S415=regle!$H$11,regle!$H$23,
IF(S415=regle!$I$11,regle!$I$23,
IF(S415=regle!$J$11,regle!$J$23,
IF(S415=regle!$K$11,regle!$K$23,0))))))))))))</f>
        <v>0</v>
      </c>
      <c r="AD415" s="17" t="b">
        <f>IF($A415,$J415*(IF(T415=regle!$B$11,regle!$B$23*IF(AM415=-2,1+regle!$B$35,1),
IF(T415=regle!$C$11,regle!$C$23,
IF(T415=regle!$D$11,regle!$D$23,
IF(T415=regle!$E$11,regle!$E$23,
IF(T415=regle!$F$11,regle!$F$23,
IF(T415=regle!$G$11,regle!$G$23,
IF(T415=regle!$H$11,regle!$H$23,
IF(T415=regle!$I$11,regle!$I$23,
IF(T415=regle!$J$11,regle!$J$23,
IF(T415=regle!$K$11,regle!$K$23,0))))))))))))</f>
        <v>0</v>
      </c>
      <c r="AE415" s="17" t="b">
        <f>IF($A415,$J415*(IF(U415=regle!$B$11,regle!$B$23*IF(AN415=-2,1+regle!$B$35,1),
IF(U415=regle!$C$11,regle!$C$23,
IF(U415=regle!$D$11,regle!$D$23,
IF(U415=regle!$E$11,regle!$E$23,
IF(U415=regle!$F$11,regle!$F$23,
IF(U415=regle!$G$11,regle!$G$23,
IF(U415=regle!$H$11,regle!$H$23,
IF(U415=regle!$I$11,regle!$I$23,
IF(U415=regle!$J$11,regle!$J$23,
IF(U415=regle!$K$11,regle!$K$23,0))))))))))))</f>
        <v>0</v>
      </c>
      <c r="AF415" s="17" t="b">
        <f>IF($A415,$J415*(IF(V415=regle!$B$11,regle!$B$23*IF(AO415=-2,1+regle!$B$35,1),
IF(V415=regle!$C$11,regle!$C$23,
IF(V415=regle!$D$11,regle!$D$23,
IF(V415=regle!$E$11,regle!$E$23,
IF(V415=regle!$F$11,regle!$F$23,
IF(V415=regle!$G$11,regle!$G$23,
IF(V415=regle!$H$11,regle!$H$23,
IF(V415=regle!$I$11,regle!$I$23,
IF(V415=regle!$J$11,regle!$J$23,
IF(V415=regle!$K$11,regle!$K$23,0))))))))))))</f>
        <v>0</v>
      </c>
      <c r="AG415" s="17" t="b">
        <f>IF($A415,$J415*(IF(W415=regle!$B$11,regle!$B$23*IF(AP415=-2,1+regle!$B$35,1),
IF(W415=regle!$C$11,regle!$C$23,
IF(W415=regle!$D$11,regle!$D$23,
IF(W415=regle!$E$11,regle!$E$23,
IF(W415=regle!$F$11,regle!$F$23,
IF(W415=regle!$G$11,regle!$G$23,
IF(W415=regle!$H$11,regle!$H$23,
IF(W415=regle!$I$11,regle!$I$23,
IF(W415=regle!$J$11,regle!$J$23,
IF(W415=regle!$K$11,regle!$K$23,0))))))))))))</f>
        <v>0</v>
      </c>
      <c r="AH415" s="17" t="b">
        <f>IF($A415,$J415*(IF(X415=regle!$B$11,regle!$B$23*IF(AQ415=-2,1+regle!$B$35,1),
IF(X415=regle!$C$11,regle!$C$23,
IF(X415=regle!$D$11,regle!$D$23,
IF(X415=regle!$E$11,regle!$E$23,
IF(X415=regle!$F$11,regle!$F$23,
IF(X415=regle!$G$11,regle!$G$23,
IF(X415=regle!$H$11,regle!$H$23,
IF(X415=regle!$I$11,regle!$I$23,
IF(X415=regle!$J$11,regle!$J$23,
IF(X415=regle!$K$11,regle!$K$23,0))))))))))))</f>
        <v>0</v>
      </c>
      <c r="AI415" s="17" t="b">
        <f>IF($A415,$J415*(IF(Y415=regle!$B$11,regle!$B$23*IF(AR415=-2,1+regle!$B$35,1),
IF(Y415=regle!$C$11,regle!$C$23,
IF(Y415=regle!$D$11,regle!$D$23,
IF(Y415=regle!$E$11,regle!$E$23,
IF(Y415=regle!$F$11,regle!$F$23,
IF(Y415=regle!$G$11,regle!$G$23,
IF(Y415=regle!$H$11,regle!$H$23,
IF(Y415=regle!$I$11,regle!$I$23,
IF(Y415=regle!$J$11,regle!$J$23,
IF(Y415=regle!$K$11,regle!$K$23,0))))))))))))</f>
        <v>0</v>
      </c>
      <c r="AJ415" s="17" t="b">
        <f>IF($A415,$J415*(IF(Z415=regle!$B$11,regle!$B$23*IF(AS415=-2,1+regle!$B$35,1),
IF(Z415=regle!$C$11,regle!$C$23,
IF(Z415=regle!$D$11,regle!$D$23,
IF(Z415=regle!$E$11,regle!$E$23,
IF(Z415=regle!$F$11,regle!$F$23,
IF(Z415=regle!$G$11,regle!$G$23,
IF(Z415=regle!$H$11,regle!$H$23,
IF(Z415=regle!$I$11,regle!$I$23,
IF(Z415=regle!$J$11,regle!$J$23,
IF(Z415=regle!$K$11,regle!$K$23,0))))))))))))</f>
        <v>0</v>
      </c>
      <c r="AK415" s="16">
        <f>IF(OR(Q415=regle!$J$11,Q415=regle!$K$11),-2,IF(Q415=regle!$B$11,0,IF(AK$1=$AK$1,IF($O415,-1,regle!$B$2-$M415),IF(AJ415=-1,-1,AJ415+1))))</f>
        <v>38</v>
      </c>
      <c r="AL415" s="16">
        <f>IF(OR(R415=regle!$J$11,R415=regle!$K$11),-2,IF(R415=regle!$B$11,0,IF(AL$1=$AK$1,IF($O415,-1,regle!$B$2-$M415),IF(AK415=-1,-1,AK415+1))))</f>
        <v>39</v>
      </c>
      <c r="AM415" s="16">
        <f>IF(OR(S415=regle!$J$11,S415=regle!$K$11),-2,IF(S415=regle!$B$11,0,IF(AM$1=$AK$1,IF($O415,-1,regle!$B$2-$M415),IF(AL415=-1,-1,AL415+1))))</f>
        <v>40</v>
      </c>
      <c r="AN415" s="16">
        <f>IF(OR(T415=regle!$J$11,T415=regle!$K$11),-2,IF(T415=regle!$B$11,0,IF(AN$1=$AK$1,IF($O415,-1,regle!$B$2-$M415),IF(AM415=-1,-1,AM415+1))))</f>
        <v>41</v>
      </c>
      <c r="AO415" s="16">
        <f>IF(OR(U415=regle!$J$11,U415=regle!$K$11),-2,IF(U415=regle!$B$11,0,IF(AO$1=$AK$1,IF($O415,-1,regle!$B$2-$M415),IF(AN415=-1,-1,AN415+1))))</f>
        <v>42</v>
      </c>
      <c r="AP415" s="16">
        <f>IF(OR(V415=regle!$J$11,V415=regle!$K$11),-2,IF(V415=regle!$B$11,0,IF(AP$1=$AK$1,IF($O415,-1,regle!$B$2-$M415),IF(AO415=-1,-1,AO415+1))))</f>
        <v>43</v>
      </c>
      <c r="AQ415" s="16">
        <f>IF(OR(W415=regle!$J$11,W415=regle!$K$11),-2,IF(W415=regle!$B$11,0,IF(AQ$1=$AK$1,IF($O415,-1,regle!$B$2-$M415),IF(AP415=-1,-1,AP415+1))))</f>
        <v>44</v>
      </c>
      <c r="AR415" s="16">
        <f>IF(OR(X415=regle!$J$11,X415=regle!$K$11),-2,IF(X415=regle!$B$11,0,IF(AR$1=$AK$1,IF($O415,-1,regle!$B$2-$M415),IF(AQ415=-1,-1,AQ415+1))))</f>
        <v>45</v>
      </c>
      <c r="AS415" s="16">
        <f>IF(OR(Y415=regle!$J$11,Y415=regle!$K$11),-2,IF(Y415=regle!$B$11,0,IF(AS$1=$AK$1,IF($O415,-1,regle!$B$2-$M415),IF(AR415=-1,-1,AR415+1))))</f>
        <v>46</v>
      </c>
      <c r="AT415" s="16">
        <f>IF(OR(Z415=regle!$J$11,Z415=regle!$K$11),-2,IF(Z415=regle!$B$11,0,IF(AT$1=$AK$1,IF($O415,-1,regle!$B$2-$M415),IF(AS415=-1,-1,AS415+1))))</f>
        <v>47</v>
      </c>
    </row>
    <row r="416" spans="1:46" x14ac:dyDescent="0.25">
      <c r="A416" t="b">
        <f>modif0!A431</f>
        <v>0</v>
      </c>
      <c r="B416">
        <f>ROW(modif0!B431)</f>
        <v>431</v>
      </c>
      <c r="C416" t="str">
        <f>modif0!D431</f>
        <v>200</v>
      </c>
      <c r="D416" t="str">
        <f>modif0!E431</f>
        <v>MOUSTEY</v>
      </c>
      <c r="E416">
        <f>modif0!F431</f>
        <v>5</v>
      </c>
      <c r="F416" t="str">
        <f>modif0!G431</f>
        <v>Plata</v>
      </c>
      <c r="G416" t="str">
        <f>modif0!I431</f>
        <v>0M</v>
      </c>
      <c r="H416">
        <f>modif0!J431</f>
        <v>22</v>
      </c>
      <c r="I416" t="str">
        <f>modif0!K431</f>
        <v/>
      </c>
      <c r="J416" s="11">
        <f>modif0!M431</f>
        <v>0.15210000000000001</v>
      </c>
      <c r="K416" s="11" t="str">
        <f>modif0!P431</f>
        <v>TAIL</v>
      </c>
      <c r="L416" t="str">
        <f>modif0!N431</f>
        <v>FEUIL</v>
      </c>
      <c r="M416">
        <f>modif0!Q431</f>
        <v>1986</v>
      </c>
      <c r="N416" t="str">
        <f>modif0!R431</f>
        <v>TAIL-FEUIL_1986</v>
      </c>
      <c r="O416" t="b">
        <f>modif0!S431</f>
        <v>0</v>
      </c>
      <c r="P416">
        <v>40</v>
      </c>
      <c r="AA416" s="17" t="b">
        <f>IF($A416,$J416*(IF(Q416=regle!$B$11,regle!$B$23*IF(AJ416=-2,1+regle!$B$35,1),
IF(Q416=regle!$C$11,regle!$C$23,
IF(Q416=regle!$D$11,regle!$D$23,
IF(Q416=regle!$E$11,regle!$E$23,
IF(Q416=regle!$F$11,regle!$F$23,
IF(Q416=regle!$G$11,regle!$G$23,
IF(Q416=regle!$H$11,regle!$H$23,
IF(Q416=regle!$I$11,regle!$I$23,
IF(Q416=regle!$J$11,regle!$J$23,
IF(Q416=regle!$K$11,regle!$K$23,0))))))))))))</f>
        <v>0</v>
      </c>
      <c r="AB416" s="17" t="b">
        <f>IF($A416,$J416*(IF(R416=regle!$B$11,regle!$B$23*IF(AK416=-2,1+regle!$B$35,1),
IF(R416=regle!$C$11,regle!$C$23,
IF(R416=regle!$D$11,regle!$D$23,
IF(R416=regle!$E$11,regle!$E$23,
IF(R416=regle!$F$11,regle!$F$23,
IF(R416=regle!$G$11,regle!$G$23,
IF(R416=regle!$H$11,regle!$H$23,
IF(R416=regle!$I$11,regle!$I$23,
IF(R416=regle!$J$11,regle!$J$23,
IF(R416=regle!$K$11,regle!$K$23,0))))))))))))</f>
        <v>0</v>
      </c>
      <c r="AC416" s="17" t="b">
        <f>IF($A416,$J416*(IF(S416=regle!$B$11,regle!$B$23*IF(AL416=-2,1+regle!$B$35,1),
IF(S416=regle!$C$11,regle!$C$23,
IF(S416=regle!$D$11,regle!$D$23,
IF(S416=regle!$E$11,regle!$E$23,
IF(S416=regle!$F$11,regle!$F$23,
IF(S416=regle!$G$11,regle!$G$23,
IF(S416=regle!$H$11,regle!$H$23,
IF(S416=regle!$I$11,regle!$I$23,
IF(S416=regle!$J$11,regle!$J$23,
IF(S416=regle!$K$11,regle!$K$23,0))))))))))))</f>
        <v>0</v>
      </c>
      <c r="AD416" s="17" t="b">
        <f>IF($A416,$J416*(IF(T416=regle!$B$11,regle!$B$23*IF(AM416=-2,1+regle!$B$35,1),
IF(T416=regle!$C$11,regle!$C$23,
IF(T416=regle!$D$11,regle!$D$23,
IF(T416=regle!$E$11,regle!$E$23,
IF(T416=regle!$F$11,regle!$F$23,
IF(T416=regle!$G$11,regle!$G$23,
IF(T416=regle!$H$11,regle!$H$23,
IF(T416=regle!$I$11,regle!$I$23,
IF(T416=regle!$J$11,regle!$J$23,
IF(T416=regle!$K$11,regle!$K$23,0))))))))))))</f>
        <v>0</v>
      </c>
      <c r="AE416" s="17" t="b">
        <f>IF($A416,$J416*(IF(U416=regle!$B$11,regle!$B$23*IF(AN416=-2,1+regle!$B$35,1),
IF(U416=regle!$C$11,regle!$C$23,
IF(U416=regle!$D$11,regle!$D$23,
IF(U416=regle!$E$11,regle!$E$23,
IF(U416=regle!$F$11,regle!$F$23,
IF(U416=regle!$G$11,regle!$G$23,
IF(U416=regle!$H$11,regle!$H$23,
IF(U416=regle!$I$11,regle!$I$23,
IF(U416=regle!$J$11,regle!$J$23,
IF(U416=regle!$K$11,regle!$K$23,0))))))))))))</f>
        <v>0</v>
      </c>
      <c r="AF416" s="17" t="b">
        <f>IF($A416,$J416*(IF(V416=regle!$B$11,regle!$B$23*IF(AO416=-2,1+regle!$B$35,1),
IF(V416=regle!$C$11,regle!$C$23,
IF(V416=regle!$D$11,regle!$D$23,
IF(V416=regle!$E$11,regle!$E$23,
IF(V416=regle!$F$11,regle!$F$23,
IF(V416=regle!$G$11,regle!$G$23,
IF(V416=regle!$H$11,regle!$H$23,
IF(V416=regle!$I$11,regle!$I$23,
IF(V416=regle!$J$11,regle!$J$23,
IF(V416=regle!$K$11,regle!$K$23,0))))))))))))</f>
        <v>0</v>
      </c>
      <c r="AG416" s="17" t="b">
        <f>IF($A416,$J416*(IF(W416=regle!$B$11,regle!$B$23*IF(AP416=-2,1+regle!$B$35,1),
IF(W416=regle!$C$11,regle!$C$23,
IF(W416=regle!$D$11,regle!$D$23,
IF(W416=regle!$E$11,regle!$E$23,
IF(W416=regle!$F$11,regle!$F$23,
IF(W416=regle!$G$11,regle!$G$23,
IF(W416=regle!$H$11,regle!$H$23,
IF(W416=regle!$I$11,regle!$I$23,
IF(W416=regle!$J$11,regle!$J$23,
IF(W416=regle!$K$11,regle!$K$23,0))))))))))))</f>
        <v>0</v>
      </c>
      <c r="AH416" s="17" t="b">
        <f>IF($A416,$J416*(IF(X416=regle!$B$11,regle!$B$23*IF(AQ416=-2,1+regle!$B$35,1),
IF(X416=regle!$C$11,regle!$C$23,
IF(X416=regle!$D$11,regle!$D$23,
IF(X416=regle!$E$11,regle!$E$23,
IF(X416=regle!$F$11,regle!$F$23,
IF(X416=regle!$G$11,regle!$G$23,
IF(X416=regle!$H$11,regle!$H$23,
IF(X416=regle!$I$11,regle!$I$23,
IF(X416=regle!$J$11,regle!$J$23,
IF(X416=regle!$K$11,regle!$K$23,0))))))))))))</f>
        <v>0</v>
      </c>
      <c r="AI416" s="17" t="b">
        <f>IF($A416,$J416*(IF(Y416=regle!$B$11,regle!$B$23*IF(AR416=-2,1+regle!$B$35,1),
IF(Y416=regle!$C$11,regle!$C$23,
IF(Y416=regle!$D$11,regle!$D$23,
IF(Y416=regle!$E$11,regle!$E$23,
IF(Y416=regle!$F$11,regle!$F$23,
IF(Y416=regle!$G$11,regle!$G$23,
IF(Y416=regle!$H$11,regle!$H$23,
IF(Y416=regle!$I$11,regle!$I$23,
IF(Y416=regle!$J$11,regle!$J$23,
IF(Y416=regle!$K$11,regle!$K$23,0))))))))))))</f>
        <v>0</v>
      </c>
      <c r="AJ416" s="17" t="b">
        <f>IF($A416,$J416*(IF(Z416=regle!$B$11,regle!$B$23*IF(AS416=-2,1+regle!$B$35,1),
IF(Z416=regle!$C$11,regle!$C$23,
IF(Z416=regle!$D$11,regle!$D$23,
IF(Z416=regle!$E$11,regle!$E$23,
IF(Z416=regle!$F$11,regle!$F$23,
IF(Z416=regle!$G$11,regle!$G$23,
IF(Z416=regle!$H$11,regle!$H$23,
IF(Z416=regle!$I$11,regle!$I$23,
IF(Z416=regle!$J$11,regle!$J$23,
IF(Z416=regle!$K$11,regle!$K$23,0))))))))))))</f>
        <v>0</v>
      </c>
      <c r="AK416" s="16">
        <f>IF(OR(Q416=regle!$J$11,Q416=regle!$K$11),-2,IF(Q416=regle!$B$11,0,IF(AK$1=$AK$1,IF($O416,-1,regle!$B$2-$M416),IF(AJ416=-1,-1,AJ416+1))))</f>
        <v>38</v>
      </c>
      <c r="AL416" s="16">
        <f>IF(OR(R416=regle!$J$11,R416=regle!$K$11),-2,IF(R416=regle!$B$11,0,IF(AL$1=$AK$1,IF($O416,-1,regle!$B$2-$M416),IF(AK416=-1,-1,AK416+1))))</f>
        <v>39</v>
      </c>
      <c r="AM416" s="16">
        <f>IF(OR(S416=regle!$J$11,S416=regle!$K$11),-2,IF(S416=regle!$B$11,0,IF(AM$1=$AK$1,IF($O416,-1,regle!$B$2-$M416),IF(AL416=-1,-1,AL416+1))))</f>
        <v>40</v>
      </c>
      <c r="AN416" s="16">
        <f>IF(OR(T416=regle!$J$11,T416=regle!$K$11),-2,IF(T416=regle!$B$11,0,IF(AN$1=$AK$1,IF($O416,-1,regle!$B$2-$M416),IF(AM416=-1,-1,AM416+1))))</f>
        <v>41</v>
      </c>
      <c r="AO416" s="16">
        <f>IF(OR(U416=regle!$J$11,U416=regle!$K$11),-2,IF(U416=regle!$B$11,0,IF(AO$1=$AK$1,IF($O416,-1,regle!$B$2-$M416),IF(AN416=-1,-1,AN416+1))))</f>
        <v>42</v>
      </c>
      <c r="AP416" s="16">
        <f>IF(OR(V416=regle!$J$11,V416=regle!$K$11),-2,IF(V416=regle!$B$11,0,IF(AP$1=$AK$1,IF($O416,-1,regle!$B$2-$M416),IF(AO416=-1,-1,AO416+1))))</f>
        <v>43</v>
      </c>
      <c r="AQ416" s="16">
        <f>IF(OR(W416=regle!$J$11,W416=regle!$K$11),-2,IF(W416=regle!$B$11,0,IF(AQ$1=$AK$1,IF($O416,-1,regle!$B$2-$M416),IF(AP416=-1,-1,AP416+1))))</f>
        <v>44</v>
      </c>
      <c r="AR416" s="16">
        <f>IF(OR(X416=regle!$J$11,X416=regle!$K$11),-2,IF(X416=regle!$B$11,0,IF(AR$1=$AK$1,IF($O416,-1,regle!$B$2-$M416),IF(AQ416=-1,-1,AQ416+1))))</f>
        <v>45</v>
      </c>
      <c r="AS416" s="16">
        <f>IF(OR(Y416=regle!$J$11,Y416=regle!$K$11),-2,IF(Y416=regle!$B$11,0,IF(AS$1=$AK$1,IF($O416,-1,regle!$B$2-$M416),IF(AR416=-1,-1,AR416+1))))</f>
        <v>46</v>
      </c>
      <c r="AT416" s="16">
        <f>IF(OR(Z416=regle!$J$11,Z416=regle!$K$11),-2,IF(Z416=regle!$B$11,0,IF(AT$1=$AK$1,IF($O416,-1,regle!$B$2-$M416),IF(AS416=-1,-1,AS416+1))))</f>
        <v>47</v>
      </c>
    </row>
    <row r="417" spans="1:46" x14ac:dyDescent="0.25">
      <c r="A417" t="b">
        <f>modif0!A438</f>
        <v>0</v>
      </c>
      <c r="B417">
        <f>ROW(modif0!B438)</f>
        <v>438</v>
      </c>
      <c r="C417" t="str">
        <f>modif0!D438</f>
        <v>200</v>
      </c>
      <c r="D417" t="str">
        <f>modif0!E438</f>
        <v>MOUSTEY</v>
      </c>
      <c r="E417">
        <f>modif0!F438</f>
        <v>5</v>
      </c>
      <c r="F417" t="str">
        <f>modif0!G438</f>
        <v>Plata</v>
      </c>
      <c r="G417" t="str">
        <f>modif0!I438</f>
        <v>0M</v>
      </c>
      <c r="H417">
        <f>modif0!J438</f>
        <v>9</v>
      </c>
      <c r="I417" t="str">
        <f>modif0!K438</f>
        <v>b</v>
      </c>
      <c r="J417" s="11">
        <f>modif0!M438</f>
        <v>0.1053</v>
      </c>
      <c r="K417" s="11" t="str">
        <f>modif0!P438</f>
        <v>TAIL</v>
      </c>
      <c r="L417" t="str">
        <f>modif0!N438</f>
        <v>FEUIL</v>
      </c>
      <c r="M417">
        <f>modif0!Q438</f>
        <v>1986</v>
      </c>
      <c r="N417" t="str">
        <f>modif0!R438</f>
        <v>TAIL-FEUIL_1986</v>
      </c>
      <c r="O417" t="b">
        <f>modif0!S438</f>
        <v>0</v>
      </c>
      <c r="P417">
        <v>40</v>
      </c>
      <c r="AA417" s="17" t="b">
        <f>IF($A417,$J417*(IF(Q417=regle!$B$11,regle!$B$23*IF(AJ417=-2,1+regle!$B$35,1),
IF(Q417=regle!$C$11,regle!$C$23,
IF(Q417=regle!$D$11,regle!$D$23,
IF(Q417=regle!$E$11,regle!$E$23,
IF(Q417=regle!$F$11,regle!$F$23,
IF(Q417=regle!$G$11,regle!$G$23,
IF(Q417=regle!$H$11,regle!$H$23,
IF(Q417=regle!$I$11,regle!$I$23,
IF(Q417=regle!$J$11,regle!$J$23,
IF(Q417=regle!$K$11,regle!$K$23,0))))))))))))</f>
        <v>0</v>
      </c>
      <c r="AB417" s="17" t="b">
        <f>IF($A417,$J417*(IF(R417=regle!$B$11,regle!$B$23*IF(AK417=-2,1+regle!$B$35,1),
IF(R417=regle!$C$11,regle!$C$23,
IF(R417=regle!$D$11,regle!$D$23,
IF(R417=regle!$E$11,regle!$E$23,
IF(R417=regle!$F$11,regle!$F$23,
IF(R417=regle!$G$11,regle!$G$23,
IF(R417=regle!$H$11,regle!$H$23,
IF(R417=regle!$I$11,regle!$I$23,
IF(R417=regle!$J$11,regle!$J$23,
IF(R417=regle!$K$11,regle!$K$23,0))))))))))))</f>
        <v>0</v>
      </c>
      <c r="AC417" s="17" t="b">
        <f>IF($A417,$J417*(IF(S417=regle!$B$11,regle!$B$23*IF(AL417=-2,1+regle!$B$35,1),
IF(S417=regle!$C$11,regle!$C$23,
IF(S417=regle!$D$11,regle!$D$23,
IF(S417=regle!$E$11,regle!$E$23,
IF(S417=regle!$F$11,regle!$F$23,
IF(S417=regle!$G$11,regle!$G$23,
IF(S417=regle!$H$11,regle!$H$23,
IF(S417=regle!$I$11,regle!$I$23,
IF(S417=regle!$J$11,regle!$J$23,
IF(S417=regle!$K$11,regle!$K$23,0))))))))))))</f>
        <v>0</v>
      </c>
      <c r="AD417" s="17" t="b">
        <f>IF($A417,$J417*(IF(T417=regle!$B$11,regle!$B$23*IF(AM417=-2,1+regle!$B$35,1),
IF(T417=regle!$C$11,regle!$C$23,
IF(T417=regle!$D$11,regle!$D$23,
IF(T417=regle!$E$11,regle!$E$23,
IF(T417=regle!$F$11,regle!$F$23,
IF(T417=regle!$G$11,regle!$G$23,
IF(T417=regle!$H$11,regle!$H$23,
IF(T417=regle!$I$11,regle!$I$23,
IF(T417=regle!$J$11,regle!$J$23,
IF(T417=regle!$K$11,regle!$K$23,0))))))))))))</f>
        <v>0</v>
      </c>
      <c r="AE417" s="17" t="b">
        <f>IF($A417,$J417*(IF(U417=regle!$B$11,regle!$B$23*IF(AN417=-2,1+regle!$B$35,1),
IF(U417=regle!$C$11,regle!$C$23,
IF(U417=regle!$D$11,regle!$D$23,
IF(U417=regle!$E$11,regle!$E$23,
IF(U417=regle!$F$11,regle!$F$23,
IF(U417=regle!$G$11,regle!$G$23,
IF(U417=regle!$H$11,regle!$H$23,
IF(U417=regle!$I$11,regle!$I$23,
IF(U417=regle!$J$11,regle!$J$23,
IF(U417=regle!$K$11,regle!$K$23,0))))))))))))</f>
        <v>0</v>
      </c>
      <c r="AF417" s="17" t="b">
        <f>IF($A417,$J417*(IF(V417=regle!$B$11,regle!$B$23*IF(AO417=-2,1+regle!$B$35,1),
IF(V417=regle!$C$11,regle!$C$23,
IF(V417=regle!$D$11,regle!$D$23,
IF(V417=regle!$E$11,regle!$E$23,
IF(V417=regle!$F$11,regle!$F$23,
IF(V417=regle!$G$11,regle!$G$23,
IF(V417=regle!$H$11,regle!$H$23,
IF(V417=regle!$I$11,regle!$I$23,
IF(V417=regle!$J$11,regle!$J$23,
IF(V417=regle!$K$11,regle!$K$23,0))))))))))))</f>
        <v>0</v>
      </c>
      <c r="AG417" s="17" t="b">
        <f>IF($A417,$J417*(IF(W417=regle!$B$11,regle!$B$23*IF(AP417=-2,1+regle!$B$35,1),
IF(W417=regle!$C$11,regle!$C$23,
IF(W417=regle!$D$11,regle!$D$23,
IF(W417=regle!$E$11,regle!$E$23,
IF(W417=regle!$F$11,regle!$F$23,
IF(W417=regle!$G$11,regle!$G$23,
IF(W417=regle!$H$11,regle!$H$23,
IF(W417=regle!$I$11,regle!$I$23,
IF(W417=regle!$J$11,regle!$J$23,
IF(W417=regle!$K$11,regle!$K$23,0))))))))))))</f>
        <v>0</v>
      </c>
      <c r="AH417" s="17" t="b">
        <f>IF($A417,$J417*(IF(X417=regle!$B$11,regle!$B$23*IF(AQ417=-2,1+regle!$B$35,1),
IF(X417=regle!$C$11,regle!$C$23,
IF(X417=regle!$D$11,regle!$D$23,
IF(X417=regle!$E$11,regle!$E$23,
IF(X417=regle!$F$11,regle!$F$23,
IF(X417=regle!$G$11,regle!$G$23,
IF(X417=regle!$H$11,regle!$H$23,
IF(X417=regle!$I$11,regle!$I$23,
IF(X417=regle!$J$11,regle!$J$23,
IF(X417=regle!$K$11,regle!$K$23,0))))))))))))</f>
        <v>0</v>
      </c>
      <c r="AI417" s="17" t="b">
        <f>IF($A417,$J417*(IF(Y417=regle!$B$11,regle!$B$23*IF(AR417=-2,1+regle!$B$35,1),
IF(Y417=regle!$C$11,regle!$C$23,
IF(Y417=regle!$D$11,regle!$D$23,
IF(Y417=regle!$E$11,regle!$E$23,
IF(Y417=regle!$F$11,regle!$F$23,
IF(Y417=regle!$G$11,regle!$G$23,
IF(Y417=regle!$H$11,regle!$H$23,
IF(Y417=regle!$I$11,regle!$I$23,
IF(Y417=regle!$J$11,regle!$J$23,
IF(Y417=regle!$K$11,regle!$K$23,0))))))))))))</f>
        <v>0</v>
      </c>
      <c r="AJ417" s="17" t="b">
        <f>IF($A417,$J417*(IF(Z417=regle!$B$11,regle!$B$23*IF(AS417=-2,1+regle!$B$35,1),
IF(Z417=regle!$C$11,regle!$C$23,
IF(Z417=regle!$D$11,regle!$D$23,
IF(Z417=regle!$E$11,regle!$E$23,
IF(Z417=regle!$F$11,regle!$F$23,
IF(Z417=regle!$G$11,regle!$G$23,
IF(Z417=regle!$H$11,regle!$H$23,
IF(Z417=regle!$I$11,regle!$I$23,
IF(Z417=regle!$J$11,regle!$J$23,
IF(Z417=regle!$K$11,regle!$K$23,0))))))))))))</f>
        <v>0</v>
      </c>
      <c r="AK417" s="16">
        <f>IF(OR(Q417=regle!$J$11,Q417=regle!$K$11),-2,IF(Q417=regle!$B$11,0,IF(AK$1=$AK$1,IF($O417,-1,regle!$B$2-$M417),IF(AJ417=-1,-1,AJ417+1))))</f>
        <v>38</v>
      </c>
      <c r="AL417" s="16">
        <f>IF(OR(R417=regle!$J$11,R417=regle!$K$11),-2,IF(R417=regle!$B$11,0,IF(AL$1=$AK$1,IF($O417,-1,regle!$B$2-$M417),IF(AK417=-1,-1,AK417+1))))</f>
        <v>39</v>
      </c>
      <c r="AM417" s="16">
        <f>IF(OR(S417=regle!$J$11,S417=regle!$K$11),-2,IF(S417=regle!$B$11,0,IF(AM$1=$AK$1,IF($O417,-1,regle!$B$2-$M417),IF(AL417=-1,-1,AL417+1))))</f>
        <v>40</v>
      </c>
      <c r="AN417" s="16">
        <f>IF(OR(T417=regle!$J$11,T417=regle!$K$11),-2,IF(T417=regle!$B$11,0,IF(AN$1=$AK$1,IF($O417,-1,regle!$B$2-$M417),IF(AM417=-1,-1,AM417+1))))</f>
        <v>41</v>
      </c>
      <c r="AO417" s="16">
        <f>IF(OR(U417=regle!$J$11,U417=regle!$K$11),-2,IF(U417=regle!$B$11,0,IF(AO$1=$AK$1,IF($O417,-1,regle!$B$2-$M417),IF(AN417=-1,-1,AN417+1))))</f>
        <v>42</v>
      </c>
      <c r="AP417" s="16">
        <f>IF(OR(V417=regle!$J$11,V417=regle!$K$11),-2,IF(V417=regle!$B$11,0,IF(AP$1=$AK$1,IF($O417,-1,regle!$B$2-$M417),IF(AO417=-1,-1,AO417+1))))</f>
        <v>43</v>
      </c>
      <c r="AQ417" s="16">
        <f>IF(OR(W417=regle!$J$11,W417=regle!$K$11),-2,IF(W417=regle!$B$11,0,IF(AQ$1=$AK$1,IF($O417,-1,regle!$B$2-$M417),IF(AP417=-1,-1,AP417+1))))</f>
        <v>44</v>
      </c>
      <c r="AR417" s="16">
        <f>IF(OR(X417=regle!$J$11,X417=regle!$K$11),-2,IF(X417=regle!$B$11,0,IF(AR$1=$AK$1,IF($O417,-1,regle!$B$2-$M417),IF(AQ417=-1,-1,AQ417+1))))</f>
        <v>45</v>
      </c>
      <c r="AS417" s="16">
        <f>IF(OR(Y417=regle!$J$11,Y417=regle!$K$11),-2,IF(Y417=regle!$B$11,0,IF(AS$1=$AK$1,IF($O417,-1,regle!$B$2-$M417),IF(AR417=-1,-1,AR417+1))))</f>
        <v>46</v>
      </c>
      <c r="AT417" s="16">
        <f>IF(OR(Z417=regle!$J$11,Z417=regle!$K$11),-2,IF(Z417=regle!$B$11,0,IF(AT$1=$AK$1,IF($O417,-1,regle!$B$2-$M417),IF(AS417=-1,-1,AS417+1))))</f>
        <v>47</v>
      </c>
    </row>
    <row r="418" spans="1:46" x14ac:dyDescent="0.25">
      <c r="A418" t="b">
        <f>modif0!A435</f>
        <v>0</v>
      </c>
      <c r="B418">
        <f>ROW(modif0!B435)</f>
        <v>435</v>
      </c>
      <c r="C418" t="str">
        <f>modif0!D435</f>
        <v>200</v>
      </c>
      <c r="D418" t="str">
        <f>modif0!E435</f>
        <v>MOUSTEY</v>
      </c>
      <c r="E418">
        <f>modif0!F435</f>
        <v>5</v>
      </c>
      <c r="F418" t="str">
        <f>modif0!G435</f>
        <v>Plata</v>
      </c>
      <c r="G418" t="str">
        <f>modif0!I435</f>
        <v>0M</v>
      </c>
      <c r="H418">
        <f>modif0!J435</f>
        <v>7</v>
      </c>
      <c r="I418" t="str">
        <f>modif0!K435</f>
        <v>b</v>
      </c>
      <c r="J418" s="11">
        <f>modif0!M435</f>
        <v>9.64E-2</v>
      </c>
      <c r="K418" s="11" t="str">
        <f>modif0!P435</f>
        <v>TAIL</v>
      </c>
      <c r="L418" t="str">
        <f>modif0!N435</f>
        <v>FEUIL</v>
      </c>
      <c r="M418">
        <f>modif0!Q435</f>
        <v>1986</v>
      </c>
      <c r="N418" t="str">
        <f>modif0!R435</f>
        <v>TAIL-FEUIL_1986</v>
      </c>
      <c r="O418" t="b">
        <f>modif0!S435</f>
        <v>0</v>
      </c>
      <c r="P418">
        <v>40</v>
      </c>
      <c r="AA418" s="17" t="b">
        <f>IF($A418,$J418*(IF(Q418=regle!$B$11,regle!$B$23*IF(AJ418=-2,1+regle!$B$35,1),
IF(Q418=regle!$C$11,regle!$C$23,
IF(Q418=regle!$D$11,regle!$D$23,
IF(Q418=regle!$E$11,regle!$E$23,
IF(Q418=regle!$F$11,regle!$F$23,
IF(Q418=regle!$G$11,regle!$G$23,
IF(Q418=regle!$H$11,regle!$H$23,
IF(Q418=regle!$I$11,regle!$I$23,
IF(Q418=regle!$J$11,regle!$J$23,
IF(Q418=regle!$K$11,regle!$K$23,0))))))))))))</f>
        <v>0</v>
      </c>
      <c r="AB418" s="17" t="b">
        <f>IF($A418,$J418*(IF(R418=regle!$B$11,regle!$B$23*IF(AK418=-2,1+regle!$B$35,1),
IF(R418=regle!$C$11,regle!$C$23,
IF(R418=regle!$D$11,regle!$D$23,
IF(R418=regle!$E$11,regle!$E$23,
IF(R418=regle!$F$11,regle!$F$23,
IF(R418=regle!$G$11,regle!$G$23,
IF(R418=regle!$H$11,regle!$H$23,
IF(R418=regle!$I$11,regle!$I$23,
IF(R418=regle!$J$11,regle!$J$23,
IF(R418=regle!$K$11,regle!$K$23,0))))))))))))</f>
        <v>0</v>
      </c>
      <c r="AC418" s="17" t="b">
        <f>IF($A418,$J418*(IF(S418=regle!$B$11,regle!$B$23*IF(AL418=-2,1+regle!$B$35,1),
IF(S418=regle!$C$11,regle!$C$23,
IF(S418=regle!$D$11,regle!$D$23,
IF(S418=regle!$E$11,regle!$E$23,
IF(S418=regle!$F$11,regle!$F$23,
IF(S418=regle!$G$11,regle!$G$23,
IF(S418=regle!$H$11,regle!$H$23,
IF(S418=regle!$I$11,regle!$I$23,
IF(S418=regle!$J$11,regle!$J$23,
IF(S418=regle!$K$11,regle!$K$23,0))))))))))))</f>
        <v>0</v>
      </c>
      <c r="AD418" s="17" t="b">
        <f>IF($A418,$J418*(IF(T418=regle!$B$11,regle!$B$23*IF(AM418=-2,1+regle!$B$35,1),
IF(T418=regle!$C$11,regle!$C$23,
IF(T418=regle!$D$11,regle!$D$23,
IF(T418=regle!$E$11,regle!$E$23,
IF(T418=regle!$F$11,regle!$F$23,
IF(T418=regle!$G$11,regle!$G$23,
IF(T418=regle!$H$11,regle!$H$23,
IF(T418=regle!$I$11,regle!$I$23,
IF(T418=regle!$J$11,regle!$J$23,
IF(T418=regle!$K$11,regle!$K$23,0))))))))))))</f>
        <v>0</v>
      </c>
      <c r="AE418" s="17" t="b">
        <f>IF($A418,$J418*(IF(U418=regle!$B$11,regle!$B$23*IF(AN418=-2,1+regle!$B$35,1),
IF(U418=regle!$C$11,regle!$C$23,
IF(U418=regle!$D$11,regle!$D$23,
IF(U418=regle!$E$11,regle!$E$23,
IF(U418=regle!$F$11,regle!$F$23,
IF(U418=regle!$G$11,regle!$G$23,
IF(U418=regle!$H$11,regle!$H$23,
IF(U418=regle!$I$11,regle!$I$23,
IF(U418=regle!$J$11,regle!$J$23,
IF(U418=regle!$K$11,regle!$K$23,0))))))))))))</f>
        <v>0</v>
      </c>
      <c r="AF418" s="17" t="b">
        <f>IF($A418,$J418*(IF(V418=regle!$B$11,regle!$B$23*IF(AO418=-2,1+regle!$B$35,1),
IF(V418=regle!$C$11,regle!$C$23,
IF(V418=regle!$D$11,regle!$D$23,
IF(V418=regle!$E$11,regle!$E$23,
IF(V418=regle!$F$11,regle!$F$23,
IF(V418=regle!$G$11,regle!$G$23,
IF(V418=regle!$H$11,regle!$H$23,
IF(V418=regle!$I$11,regle!$I$23,
IF(V418=regle!$J$11,regle!$J$23,
IF(V418=regle!$K$11,regle!$K$23,0))))))))))))</f>
        <v>0</v>
      </c>
      <c r="AG418" s="17" t="b">
        <f>IF($A418,$J418*(IF(W418=regle!$B$11,regle!$B$23*IF(AP418=-2,1+regle!$B$35,1),
IF(W418=regle!$C$11,regle!$C$23,
IF(W418=regle!$D$11,regle!$D$23,
IF(W418=regle!$E$11,regle!$E$23,
IF(W418=regle!$F$11,regle!$F$23,
IF(W418=regle!$G$11,regle!$G$23,
IF(W418=regle!$H$11,regle!$H$23,
IF(W418=regle!$I$11,regle!$I$23,
IF(W418=regle!$J$11,regle!$J$23,
IF(W418=regle!$K$11,regle!$K$23,0))))))))))))</f>
        <v>0</v>
      </c>
      <c r="AH418" s="17" t="b">
        <f>IF($A418,$J418*(IF(X418=regle!$B$11,regle!$B$23*IF(AQ418=-2,1+regle!$B$35,1),
IF(X418=regle!$C$11,regle!$C$23,
IF(X418=regle!$D$11,regle!$D$23,
IF(X418=regle!$E$11,regle!$E$23,
IF(X418=regle!$F$11,regle!$F$23,
IF(X418=regle!$G$11,regle!$G$23,
IF(X418=regle!$H$11,regle!$H$23,
IF(X418=regle!$I$11,regle!$I$23,
IF(X418=regle!$J$11,regle!$J$23,
IF(X418=regle!$K$11,regle!$K$23,0))))))))))))</f>
        <v>0</v>
      </c>
      <c r="AI418" s="17" t="b">
        <f>IF($A418,$J418*(IF(Y418=regle!$B$11,regle!$B$23*IF(AR418=-2,1+regle!$B$35,1),
IF(Y418=regle!$C$11,regle!$C$23,
IF(Y418=regle!$D$11,regle!$D$23,
IF(Y418=regle!$E$11,regle!$E$23,
IF(Y418=regle!$F$11,regle!$F$23,
IF(Y418=regle!$G$11,regle!$G$23,
IF(Y418=regle!$H$11,regle!$H$23,
IF(Y418=regle!$I$11,regle!$I$23,
IF(Y418=regle!$J$11,regle!$J$23,
IF(Y418=regle!$K$11,regle!$K$23,0))))))))))))</f>
        <v>0</v>
      </c>
      <c r="AJ418" s="17" t="b">
        <f>IF($A418,$J418*(IF(Z418=regle!$B$11,regle!$B$23*IF(AS418=-2,1+regle!$B$35,1),
IF(Z418=regle!$C$11,regle!$C$23,
IF(Z418=regle!$D$11,regle!$D$23,
IF(Z418=regle!$E$11,regle!$E$23,
IF(Z418=regle!$F$11,regle!$F$23,
IF(Z418=regle!$G$11,regle!$G$23,
IF(Z418=regle!$H$11,regle!$H$23,
IF(Z418=regle!$I$11,regle!$I$23,
IF(Z418=regle!$J$11,regle!$J$23,
IF(Z418=regle!$K$11,regle!$K$23,0))))))))))))</f>
        <v>0</v>
      </c>
      <c r="AK418" s="16">
        <f>IF(OR(Q418=regle!$J$11,Q418=regle!$K$11),-2,IF(Q418=regle!$B$11,0,IF(AK$1=$AK$1,IF($O418,-1,regle!$B$2-$M418),IF(AJ418=-1,-1,AJ418+1))))</f>
        <v>38</v>
      </c>
      <c r="AL418" s="16">
        <f>IF(OR(R418=regle!$J$11,R418=regle!$K$11),-2,IF(R418=regle!$B$11,0,IF(AL$1=$AK$1,IF($O418,-1,regle!$B$2-$M418),IF(AK418=-1,-1,AK418+1))))</f>
        <v>39</v>
      </c>
      <c r="AM418" s="16">
        <f>IF(OR(S418=regle!$J$11,S418=regle!$K$11),-2,IF(S418=regle!$B$11,0,IF(AM$1=$AK$1,IF($O418,-1,regle!$B$2-$M418),IF(AL418=-1,-1,AL418+1))))</f>
        <v>40</v>
      </c>
      <c r="AN418" s="16">
        <f>IF(OR(T418=regle!$J$11,T418=regle!$K$11),-2,IF(T418=regle!$B$11,0,IF(AN$1=$AK$1,IF($O418,-1,regle!$B$2-$M418),IF(AM418=-1,-1,AM418+1))))</f>
        <v>41</v>
      </c>
      <c r="AO418" s="16">
        <f>IF(OR(U418=regle!$J$11,U418=regle!$K$11),-2,IF(U418=regle!$B$11,0,IF(AO$1=$AK$1,IF($O418,-1,regle!$B$2-$M418),IF(AN418=-1,-1,AN418+1))))</f>
        <v>42</v>
      </c>
      <c r="AP418" s="16">
        <f>IF(OR(V418=regle!$J$11,V418=regle!$K$11),-2,IF(V418=regle!$B$11,0,IF(AP$1=$AK$1,IF($O418,-1,regle!$B$2-$M418),IF(AO418=-1,-1,AO418+1))))</f>
        <v>43</v>
      </c>
      <c r="AQ418" s="16">
        <f>IF(OR(W418=regle!$J$11,W418=regle!$K$11),-2,IF(W418=regle!$B$11,0,IF(AQ$1=$AK$1,IF($O418,-1,regle!$B$2-$M418),IF(AP418=-1,-1,AP418+1))))</f>
        <v>44</v>
      </c>
      <c r="AR418" s="16">
        <f>IF(OR(X418=regle!$J$11,X418=regle!$K$11),-2,IF(X418=regle!$B$11,0,IF(AR$1=$AK$1,IF($O418,-1,regle!$B$2-$M418),IF(AQ418=-1,-1,AQ418+1))))</f>
        <v>45</v>
      </c>
      <c r="AS418" s="16">
        <f>IF(OR(Y418=regle!$J$11,Y418=regle!$K$11),-2,IF(Y418=regle!$B$11,0,IF(AS$1=$AK$1,IF($O418,-1,regle!$B$2-$M418),IF(AR418=-1,-1,AR418+1))))</f>
        <v>46</v>
      </c>
      <c r="AT418" s="16">
        <f>IF(OR(Z418=regle!$J$11,Z418=regle!$K$11),-2,IF(Z418=regle!$B$11,0,IF(AT$1=$AK$1,IF($O418,-1,regle!$B$2-$M418),IF(AS418=-1,-1,AS418+1))))</f>
        <v>47</v>
      </c>
    </row>
    <row r="419" spans="1:46" x14ac:dyDescent="0.25">
      <c r="A419" t="b">
        <f>modif0!A429</f>
        <v>0</v>
      </c>
      <c r="B419">
        <f>ROW(modif0!B429)</f>
        <v>429</v>
      </c>
      <c r="C419" t="str">
        <f>modif0!D429</f>
        <v>200</v>
      </c>
      <c r="D419" t="str">
        <f>modif0!E429</f>
        <v>MOUSTEY</v>
      </c>
      <c r="E419">
        <f>modif0!F429</f>
        <v>5</v>
      </c>
      <c r="F419" t="str">
        <f>modif0!G429</f>
        <v>Plata</v>
      </c>
      <c r="G419" t="str">
        <f>modif0!I429</f>
        <v>0M</v>
      </c>
      <c r="H419">
        <f>modif0!J429</f>
        <v>11</v>
      </c>
      <c r="I419" t="str">
        <f>modif0!K429</f>
        <v>b</v>
      </c>
      <c r="J419" s="11">
        <f>modif0!M429</f>
        <v>9.1499999999999998E-2</v>
      </c>
      <c r="K419" s="11" t="str">
        <f>modif0!P429</f>
        <v>TAIL</v>
      </c>
      <c r="L419" t="str">
        <f>modif0!N429</f>
        <v>FEUIL</v>
      </c>
      <c r="M419">
        <f>modif0!Q429</f>
        <v>1986</v>
      </c>
      <c r="N419" t="str">
        <f>modif0!R429</f>
        <v>TAIL-FEUIL_1986</v>
      </c>
      <c r="O419" t="b">
        <f>modif0!S429</f>
        <v>0</v>
      </c>
      <c r="P419">
        <v>40</v>
      </c>
      <c r="AA419" s="17" t="b">
        <f>IF($A419,$J419*(IF(Q419=regle!$B$11,regle!$B$23*IF(AJ419=-2,1+regle!$B$35,1),
IF(Q419=regle!$C$11,regle!$C$23,
IF(Q419=regle!$D$11,regle!$D$23,
IF(Q419=regle!$E$11,regle!$E$23,
IF(Q419=regle!$F$11,regle!$F$23,
IF(Q419=regle!$G$11,regle!$G$23,
IF(Q419=regle!$H$11,regle!$H$23,
IF(Q419=regle!$I$11,regle!$I$23,
IF(Q419=regle!$J$11,regle!$J$23,
IF(Q419=regle!$K$11,regle!$K$23,0))))))))))))</f>
        <v>0</v>
      </c>
      <c r="AB419" s="17" t="b">
        <f>IF($A419,$J419*(IF(R419=regle!$B$11,regle!$B$23*IF(AK419=-2,1+regle!$B$35,1),
IF(R419=regle!$C$11,regle!$C$23,
IF(R419=regle!$D$11,regle!$D$23,
IF(R419=regle!$E$11,regle!$E$23,
IF(R419=regle!$F$11,regle!$F$23,
IF(R419=regle!$G$11,regle!$G$23,
IF(R419=regle!$H$11,regle!$H$23,
IF(R419=regle!$I$11,regle!$I$23,
IF(R419=regle!$J$11,regle!$J$23,
IF(R419=regle!$K$11,regle!$K$23,0))))))))))))</f>
        <v>0</v>
      </c>
      <c r="AC419" s="17" t="b">
        <f>IF($A419,$J419*(IF(S419=regle!$B$11,regle!$B$23*IF(AL419=-2,1+regle!$B$35,1),
IF(S419=regle!$C$11,regle!$C$23,
IF(S419=regle!$D$11,regle!$D$23,
IF(S419=regle!$E$11,regle!$E$23,
IF(S419=regle!$F$11,regle!$F$23,
IF(S419=regle!$G$11,regle!$G$23,
IF(S419=regle!$H$11,regle!$H$23,
IF(S419=regle!$I$11,regle!$I$23,
IF(S419=regle!$J$11,regle!$J$23,
IF(S419=regle!$K$11,regle!$K$23,0))))))))))))</f>
        <v>0</v>
      </c>
      <c r="AD419" s="17" t="b">
        <f>IF($A419,$J419*(IF(T419=regle!$B$11,regle!$B$23*IF(AM419=-2,1+regle!$B$35,1),
IF(T419=regle!$C$11,regle!$C$23,
IF(T419=regle!$D$11,regle!$D$23,
IF(T419=regle!$E$11,regle!$E$23,
IF(T419=regle!$F$11,regle!$F$23,
IF(T419=regle!$G$11,regle!$G$23,
IF(T419=regle!$H$11,regle!$H$23,
IF(T419=regle!$I$11,regle!$I$23,
IF(T419=regle!$J$11,regle!$J$23,
IF(T419=regle!$K$11,regle!$K$23,0))))))))))))</f>
        <v>0</v>
      </c>
      <c r="AE419" s="17" t="b">
        <f>IF($A419,$J419*(IF(U419=regle!$B$11,regle!$B$23*IF(AN419=-2,1+regle!$B$35,1),
IF(U419=regle!$C$11,regle!$C$23,
IF(U419=regle!$D$11,regle!$D$23,
IF(U419=regle!$E$11,regle!$E$23,
IF(U419=regle!$F$11,regle!$F$23,
IF(U419=regle!$G$11,regle!$G$23,
IF(U419=regle!$H$11,regle!$H$23,
IF(U419=regle!$I$11,regle!$I$23,
IF(U419=regle!$J$11,regle!$J$23,
IF(U419=regle!$K$11,regle!$K$23,0))))))))))))</f>
        <v>0</v>
      </c>
      <c r="AF419" s="17" t="b">
        <f>IF($A419,$J419*(IF(V419=regle!$B$11,regle!$B$23*IF(AO419=-2,1+regle!$B$35,1),
IF(V419=regle!$C$11,regle!$C$23,
IF(V419=regle!$D$11,regle!$D$23,
IF(V419=regle!$E$11,regle!$E$23,
IF(V419=regle!$F$11,regle!$F$23,
IF(V419=regle!$G$11,regle!$G$23,
IF(V419=regle!$H$11,regle!$H$23,
IF(V419=regle!$I$11,regle!$I$23,
IF(V419=regle!$J$11,regle!$J$23,
IF(V419=regle!$K$11,regle!$K$23,0))))))))))))</f>
        <v>0</v>
      </c>
      <c r="AG419" s="17" t="b">
        <f>IF($A419,$J419*(IF(W419=regle!$B$11,regle!$B$23*IF(AP419=-2,1+regle!$B$35,1),
IF(W419=regle!$C$11,regle!$C$23,
IF(W419=regle!$D$11,regle!$D$23,
IF(W419=regle!$E$11,regle!$E$23,
IF(W419=regle!$F$11,regle!$F$23,
IF(W419=regle!$G$11,regle!$G$23,
IF(W419=regle!$H$11,regle!$H$23,
IF(W419=regle!$I$11,regle!$I$23,
IF(W419=regle!$J$11,regle!$J$23,
IF(W419=regle!$K$11,regle!$K$23,0))))))))))))</f>
        <v>0</v>
      </c>
      <c r="AH419" s="17" t="b">
        <f>IF($A419,$J419*(IF(X419=regle!$B$11,regle!$B$23*IF(AQ419=-2,1+regle!$B$35,1),
IF(X419=regle!$C$11,regle!$C$23,
IF(X419=regle!$D$11,regle!$D$23,
IF(X419=regle!$E$11,regle!$E$23,
IF(X419=regle!$F$11,regle!$F$23,
IF(X419=regle!$G$11,regle!$G$23,
IF(X419=regle!$H$11,regle!$H$23,
IF(X419=regle!$I$11,regle!$I$23,
IF(X419=regle!$J$11,regle!$J$23,
IF(X419=regle!$K$11,regle!$K$23,0))))))))))))</f>
        <v>0</v>
      </c>
      <c r="AI419" s="17" t="b">
        <f>IF($A419,$J419*(IF(Y419=regle!$B$11,regle!$B$23*IF(AR419=-2,1+regle!$B$35,1),
IF(Y419=regle!$C$11,regle!$C$23,
IF(Y419=regle!$D$11,regle!$D$23,
IF(Y419=regle!$E$11,regle!$E$23,
IF(Y419=regle!$F$11,regle!$F$23,
IF(Y419=regle!$G$11,regle!$G$23,
IF(Y419=regle!$H$11,regle!$H$23,
IF(Y419=regle!$I$11,regle!$I$23,
IF(Y419=regle!$J$11,regle!$J$23,
IF(Y419=regle!$K$11,regle!$K$23,0))))))))))))</f>
        <v>0</v>
      </c>
      <c r="AJ419" s="17" t="b">
        <f>IF($A419,$J419*(IF(Z419=regle!$B$11,regle!$B$23*IF(AS419=-2,1+regle!$B$35,1),
IF(Z419=regle!$C$11,regle!$C$23,
IF(Z419=regle!$D$11,regle!$D$23,
IF(Z419=regle!$E$11,regle!$E$23,
IF(Z419=regle!$F$11,regle!$F$23,
IF(Z419=regle!$G$11,regle!$G$23,
IF(Z419=regle!$H$11,regle!$H$23,
IF(Z419=regle!$I$11,regle!$I$23,
IF(Z419=regle!$J$11,regle!$J$23,
IF(Z419=regle!$K$11,regle!$K$23,0))))))))))))</f>
        <v>0</v>
      </c>
      <c r="AK419" s="16">
        <f>IF(OR(Q419=regle!$J$11,Q419=regle!$K$11),-2,IF(Q419=regle!$B$11,0,IF(AK$1=$AK$1,IF($O419,-1,regle!$B$2-$M419),IF(AJ419=-1,-1,AJ419+1))))</f>
        <v>38</v>
      </c>
      <c r="AL419" s="16">
        <f>IF(OR(R419=regle!$J$11,R419=regle!$K$11),-2,IF(R419=regle!$B$11,0,IF(AL$1=$AK$1,IF($O419,-1,regle!$B$2-$M419),IF(AK419=-1,-1,AK419+1))))</f>
        <v>39</v>
      </c>
      <c r="AM419" s="16">
        <f>IF(OR(S419=regle!$J$11,S419=regle!$K$11),-2,IF(S419=regle!$B$11,0,IF(AM$1=$AK$1,IF($O419,-1,regle!$B$2-$M419),IF(AL419=-1,-1,AL419+1))))</f>
        <v>40</v>
      </c>
      <c r="AN419" s="16">
        <f>IF(OR(T419=regle!$J$11,T419=regle!$K$11),-2,IF(T419=regle!$B$11,0,IF(AN$1=$AK$1,IF($O419,-1,regle!$B$2-$M419),IF(AM419=-1,-1,AM419+1))))</f>
        <v>41</v>
      </c>
      <c r="AO419" s="16">
        <f>IF(OR(U419=regle!$J$11,U419=regle!$K$11),-2,IF(U419=regle!$B$11,0,IF(AO$1=$AK$1,IF($O419,-1,regle!$B$2-$M419),IF(AN419=-1,-1,AN419+1))))</f>
        <v>42</v>
      </c>
      <c r="AP419" s="16">
        <f>IF(OR(V419=regle!$J$11,V419=regle!$K$11),-2,IF(V419=regle!$B$11,0,IF(AP$1=$AK$1,IF($O419,-1,regle!$B$2-$M419),IF(AO419=-1,-1,AO419+1))))</f>
        <v>43</v>
      </c>
      <c r="AQ419" s="16">
        <f>IF(OR(W419=regle!$J$11,W419=regle!$K$11),-2,IF(W419=regle!$B$11,0,IF(AQ$1=$AK$1,IF($O419,-1,regle!$B$2-$M419),IF(AP419=-1,-1,AP419+1))))</f>
        <v>44</v>
      </c>
      <c r="AR419" s="16">
        <f>IF(OR(X419=regle!$J$11,X419=regle!$K$11),-2,IF(X419=regle!$B$11,0,IF(AR$1=$AK$1,IF($O419,-1,regle!$B$2-$M419),IF(AQ419=-1,-1,AQ419+1))))</f>
        <v>45</v>
      </c>
      <c r="AS419" s="16">
        <f>IF(OR(Y419=regle!$J$11,Y419=regle!$K$11),-2,IF(Y419=regle!$B$11,0,IF(AS$1=$AK$1,IF($O419,-1,regle!$B$2-$M419),IF(AR419=-1,-1,AR419+1))))</f>
        <v>46</v>
      </c>
      <c r="AT419" s="16">
        <f>IF(OR(Z419=regle!$J$11,Z419=regle!$K$11),-2,IF(Z419=regle!$B$11,0,IF(AT$1=$AK$1,IF($O419,-1,regle!$B$2-$M419),IF(AS419=-1,-1,AS419+1))))</f>
        <v>47</v>
      </c>
    </row>
    <row r="420" spans="1:46" x14ac:dyDescent="0.25">
      <c r="A420" t="b">
        <f>modif0!A430</f>
        <v>0</v>
      </c>
      <c r="B420">
        <f>ROW(modif0!B430)</f>
        <v>430</v>
      </c>
      <c r="C420" t="str">
        <f>modif0!D430</f>
        <v>200</v>
      </c>
      <c r="D420" t="str">
        <f>modif0!E430</f>
        <v>MOUSTEY</v>
      </c>
      <c r="E420">
        <f>modif0!F430</f>
        <v>5</v>
      </c>
      <c r="F420" t="str">
        <f>modif0!G430</f>
        <v>Plata</v>
      </c>
      <c r="G420" t="str">
        <f>modif0!I430</f>
        <v>0M</v>
      </c>
      <c r="H420">
        <f>modif0!J430</f>
        <v>21</v>
      </c>
      <c r="I420" t="str">
        <f>modif0!K430</f>
        <v>b</v>
      </c>
      <c r="J420" s="11">
        <f>modif0!M430</f>
        <v>3.5700000000000003E-2</v>
      </c>
      <c r="K420" s="11" t="str">
        <f>modif0!P430</f>
        <v>TAIL</v>
      </c>
      <c r="L420" t="str">
        <f>modif0!N430</f>
        <v>FEUIL</v>
      </c>
      <c r="M420">
        <f>modif0!Q430</f>
        <v>1986</v>
      </c>
      <c r="N420" t="str">
        <f>modif0!R430</f>
        <v>TAIL-FEUIL_1986</v>
      </c>
      <c r="O420" t="b">
        <f>modif0!S430</f>
        <v>0</v>
      </c>
      <c r="P420">
        <v>40</v>
      </c>
      <c r="AA420" s="17" t="b">
        <f>IF($A420,$J420*(IF(Q420=regle!$B$11,regle!$B$23*IF(AJ420=-2,1+regle!$B$35,1),
IF(Q420=regle!$C$11,regle!$C$23,
IF(Q420=regle!$D$11,regle!$D$23,
IF(Q420=regle!$E$11,regle!$E$23,
IF(Q420=regle!$F$11,regle!$F$23,
IF(Q420=regle!$G$11,regle!$G$23,
IF(Q420=regle!$H$11,regle!$H$23,
IF(Q420=regle!$I$11,regle!$I$23,
IF(Q420=regle!$J$11,regle!$J$23,
IF(Q420=regle!$K$11,regle!$K$23,0))))))))))))</f>
        <v>0</v>
      </c>
      <c r="AB420" s="17" t="b">
        <f>IF($A420,$J420*(IF(R420=regle!$B$11,regle!$B$23*IF(AK420=-2,1+regle!$B$35,1),
IF(R420=regle!$C$11,regle!$C$23,
IF(R420=regle!$D$11,regle!$D$23,
IF(R420=regle!$E$11,regle!$E$23,
IF(R420=regle!$F$11,regle!$F$23,
IF(R420=regle!$G$11,regle!$G$23,
IF(R420=regle!$H$11,regle!$H$23,
IF(R420=regle!$I$11,regle!$I$23,
IF(R420=regle!$J$11,regle!$J$23,
IF(R420=regle!$K$11,regle!$K$23,0))))))))))))</f>
        <v>0</v>
      </c>
      <c r="AC420" s="17" t="b">
        <f>IF($A420,$J420*(IF(S420=regle!$B$11,regle!$B$23*IF(AL420=-2,1+regle!$B$35,1),
IF(S420=regle!$C$11,regle!$C$23,
IF(S420=regle!$D$11,regle!$D$23,
IF(S420=regle!$E$11,regle!$E$23,
IF(S420=regle!$F$11,regle!$F$23,
IF(S420=regle!$G$11,regle!$G$23,
IF(S420=regle!$H$11,regle!$H$23,
IF(S420=regle!$I$11,regle!$I$23,
IF(S420=regle!$J$11,regle!$J$23,
IF(S420=regle!$K$11,regle!$K$23,0))))))))))))</f>
        <v>0</v>
      </c>
      <c r="AD420" s="17" t="b">
        <f>IF($A420,$J420*(IF(T420=regle!$B$11,regle!$B$23*IF(AM420=-2,1+regle!$B$35,1),
IF(T420=regle!$C$11,regle!$C$23,
IF(T420=regle!$D$11,regle!$D$23,
IF(T420=regle!$E$11,regle!$E$23,
IF(T420=regle!$F$11,regle!$F$23,
IF(T420=regle!$G$11,regle!$G$23,
IF(T420=regle!$H$11,regle!$H$23,
IF(T420=regle!$I$11,regle!$I$23,
IF(T420=regle!$J$11,regle!$J$23,
IF(T420=regle!$K$11,regle!$K$23,0))))))))))))</f>
        <v>0</v>
      </c>
      <c r="AE420" s="17" t="b">
        <f>IF($A420,$J420*(IF(U420=regle!$B$11,regle!$B$23*IF(AN420=-2,1+regle!$B$35,1),
IF(U420=regle!$C$11,regle!$C$23,
IF(U420=regle!$D$11,regle!$D$23,
IF(U420=regle!$E$11,regle!$E$23,
IF(U420=regle!$F$11,regle!$F$23,
IF(U420=regle!$G$11,regle!$G$23,
IF(U420=regle!$H$11,regle!$H$23,
IF(U420=regle!$I$11,regle!$I$23,
IF(U420=regle!$J$11,regle!$J$23,
IF(U420=regle!$K$11,regle!$K$23,0))))))))))))</f>
        <v>0</v>
      </c>
      <c r="AF420" s="17" t="b">
        <f>IF($A420,$J420*(IF(V420=regle!$B$11,regle!$B$23*IF(AO420=-2,1+regle!$B$35,1),
IF(V420=regle!$C$11,regle!$C$23,
IF(V420=regle!$D$11,regle!$D$23,
IF(V420=regle!$E$11,regle!$E$23,
IF(V420=regle!$F$11,regle!$F$23,
IF(V420=regle!$G$11,regle!$G$23,
IF(V420=regle!$H$11,regle!$H$23,
IF(V420=regle!$I$11,regle!$I$23,
IF(V420=regle!$J$11,regle!$J$23,
IF(V420=regle!$K$11,regle!$K$23,0))))))))))))</f>
        <v>0</v>
      </c>
      <c r="AG420" s="17" t="b">
        <f>IF($A420,$J420*(IF(W420=regle!$B$11,regle!$B$23*IF(AP420=-2,1+regle!$B$35,1),
IF(W420=regle!$C$11,regle!$C$23,
IF(W420=regle!$D$11,regle!$D$23,
IF(W420=regle!$E$11,regle!$E$23,
IF(W420=regle!$F$11,regle!$F$23,
IF(W420=regle!$G$11,regle!$G$23,
IF(W420=regle!$H$11,regle!$H$23,
IF(W420=regle!$I$11,regle!$I$23,
IF(W420=regle!$J$11,regle!$J$23,
IF(W420=regle!$K$11,regle!$K$23,0))))))))))))</f>
        <v>0</v>
      </c>
      <c r="AH420" s="17" t="b">
        <f>IF($A420,$J420*(IF(X420=regle!$B$11,regle!$B$23*IF(AQ420=-2,1+regle!$B$35,1),
IF(X420=regle!$C$11,regle!$C$23,
IF(X420=regle!$D$11,regle!$D$23,
IF(X420=regle!$E$11,regle!$E$23,
IF(X420=regle!$F$11,regle!$F$23,
IF(X420=regle!$G$11,regle!$G$23,
IF(X420=regle!$H$11,regle!$H$23,
IF(X420=regle!$I$11,regle!$I$23,
IF(X420=regle!$J$11,regle!$J$23,
IF(X420=regle!$K$11,regle!$K$23,0))))))))))))</f>
        <v>0</v>
      </c>
      <c r="AI420" s="17" t="b">
        <f>IF($A420,$J420*(IF(Y420=regle!$B$11,regle!$B$23*IF(AR420=-2,1+regle!$B$35,1),
IF(Y420=regle!$C$11,regle!$C$23,
IF(Y420=regle!$D$11,regle!$D$23,
IF(Y420=regle!$E$11,regle!$E$23,
IF(Y420=regle!$F$11,regle!$F$23,
IF(Y420=regle!$G$11,regle!$G$23,
IF(Y420=regle!$H$11,regle!$H$23,
IF(Y420=regle!$I$11,regle!$I$23,
IF(Y420=regle!$J$11,regle!$J$23,
IF(Y420=regle!$K$11,regle!$K$23,0))))))))))))</f>
        <v>0</v>
      </c>
      <c r="AJ420" s="17" t="b">
        <f>IF($A420,$J420*(IF(Z420=regle!$B$11,regle!$B$23*IF(AS420=-2,1+regle!$B$35,1),
IF(Z420=regle!$C$11,regle!$C$23,
IF(Z420=regle!$D$11,regle!$D$23,
IF(Z420=regle!$E$11,regle!$E$23,
IF(Z420=regle!$F$11,regle!$F$23,
IF(Z420=regle!$G$11,regle!$G$23,
IF(Z420=regle!$H$11,regle!$H$23,
IF(Z420=regle!$I$11,regle!$I$23,
IF(Z420=regle!$J$11,regle!$J$23,
IF(Z420=regle!$K$11,regle!$K$23,0))))))))))))</f>
        <v>0</v>
      </c>
      <c r="AK420" s="16">
        <f>IF(OR(Q420=regle!$J$11,Q420=regle!$K$11),-2,IF(Q420=regle!$B$11,0,IF(AK$1=$AK$1,IF($O420,-1,regle!$B$2-$M420),IF(AJ420=-1,-1,AJ420+1))))</f>
        <v>38</v>
      </c>
      <c r="AL420" s="16">
        <f>IF(OR(R420=regle!$J$11,R420=regle!$K$11),-2,IF(R420=regle!$B$11,0,IF(AL$1=$AK$1,IF($O420,-1,regle!$B$2-$M420),IF(AK420=-1,-1,AK420+1))))</f>
        <v>39</v>
      </c>
      <c r="AM420" s="16">
        <f>IF(OR(S420=regle!$J$11,S420=regle!$K$11),-2,IF(S420=regle!$B$11,0,IF(AM$1=$AK$1,IF($O420,-1,regle!$B$2-$M420),IF(AL420=-1,-1,AL420+1))))</f>
        <v>40</v>
      </c>
      <c r="AN420" s="16">
        <f>IF(OR(T420=regle!$J$11,T420=regle!$K$11),-2,IF(T420=regle!$B$11,0,IF(AN$1=$AK$1,IF($O420,-1,regle!$B$2-$M420),IF(AM420=-1,-1,AM420+1))))</f>
        <v>41</v>
      </c>
      <c r="AO420" s="16">
        <f>IF(OR(U420=regle!$J$11,U420=regle!$K$11),-2,IF(U420=regle!$B$11,0,IF(AO$1=$AK$1,IF($O420,-1,regle!$B$2-$M420),IF(AN420=-1,-1,AN420+1))))</f>
        <v>42</v>
      </c>
      <c r="AP420" s="16">
        <f>IF(OR(V420=regle!$J$11,V420=regle!$K$11),-2,IF(V420=regle!$B$11,0,IF(AP$1=$AK$1,IF($O420,-1,regle!$B$2-$M420),IF(AO420=-1,-1,AO420+1))))</f>
        <v>43</v>
      </c>
      <c r="AQ420" s="16">
        <f>IF(OR(W420=regle!$J$11,W420=regle!$K$11),-2,IF(W420=regle!$B$11,0,IF(AQ$1=$AK$1,IF($O420,-1,regle!$B$2-$M420),IF(AP420=-1,-1,AP420+1))))</f>
        <v>44</v>
      </c>
      <c r="AR420" s="16">
        <f>IF(OR(X420=regle!$J$11,X420=regle!$K$11),-2,IF(X420=regle!$B$11,0,IF(AR$1=$AK$1,IF($O420,-1,regle!$B$2-$M420),IF(AQ420=-1,-1,AQ420+1))))</f>
        <v>45</v>
      </c>
      <c r="AS420" s="16">
        <f>IF(OR(Y420=regle!$J$11,Y420=regle!$K$11),-2,IF(Y420=regle!$B$11,0,IF(AS$1=$AK$1,IF($O420,-1,regle!$B$2-$M420),IF(AR420=-1,-1,AR420+1))))</f>
        <v>46</v>
      </c>
      <c r="AT420" s="16">
        <f>IF(OR(Z420=regle!$J$11,Z420=regle!$K$11),-2,IF(Z420=regle!$B$11,0,IF(AT$1=$AK$1,IF($O420,-1,regle!$B$2-$M420),IF(AS420=-1,-1,AS420+1))))</f>
        <v>47</v>
      </c>
    </row>
    <row r="421" spans="1:46" x14ac:dyDescent="0.25">
      <c r="A421" t="b">
        <f>modif0!A443</f>
        <v>0</v>
      </c>
      <c r="B421">
        <f>ROW(modif0!B443)</f>
        <v>443</v>
      </c>
      <c r="C421" t="str">
        <f>modif0!D443</f>
        <v>200</v>
      </c>
      <c r="D421" t="str">
        <f>modif0!E443</f>
        <v>MOUSTEY</v>
      </c>
      <c r="E421">
        <f>modif0!F443</f>
        <v>8</v>
      </c>
      <c r="F421" t="str">
        <f>modif0!G443</f>
        <v>Pignotte</v>
      </c>
      <c r="G421" t="str">
        <f>modif0!I443</f>
        <v>0R</v>
      </c>
      <c r="H421">
        <f>modif0!J443</f>
        <v>89</v>
      </c>
      <c r="I421" t="str">
        <f>modif0!K443</f>
        <v/>
      </c>
      <c r="J421" s="11">
        <f>modif0!M443</f>
        <v>1.29E-2</v>
      </c>
      <c r="K421" s="11" t="str">
        <f>modif0!P443</f>
        <v>TAIL</v>
      </c>
      <c r="L421" t="str">
        <f>modif0!N443</f>
        <v>FEUIL</v>
      </c>
      <c r="M421">
        <f>modif0!Q443</f>
        <v>1986</v>
      </c>
      <c r="N421" t="str">
        <f>modif0!R443</f>
        <v>TAIL-FEUIL_1986</v>
      </c>
      <c r="O421" t="b">
        <f>modif0!S443</f>
        <v>0</v>
      </c>
      <c r="P421">
        <v>40</v>
      </c>
      <c r="AA421" s="17" t="b">
        <f>IF($A421,$J421*(IF(Q421=regle!$B$11,regle!$B$23*IF(AJ421=-2,1+regle!$B$35,1),
IF(Q421=regle!$C$11,regle!$C$23,
IF(Q421=regle!$D$11,regle!$D$23,
IF(Q421=regle!$E$11,regle!$E$23,
IF(Q421=regle!$F$11,regle!$F$23,
IF(Q421=regle!$G$11,regle!$G$23,
IF(Q421=regle!$H$11,regle!$H$23,
IF(Q421=regle!$I$11,regle!$I$23,
IF(Q421=regle!$J$11,regle!$J$23,
IF(Q421=regle!$K$11,regle!$K$23,0))))))))))))</f>
        <v>0</v>
      </c>
      <c r="AB421" s="17" t="b">
        <f>IF($A421,$J421*(IF(R421=regle!$B$11,regle!$B$23*IF(AK421=-2,1+regle!$B$35,1),
IF(R421=regle!$C$11,regle!$C$23,
IF(R421=regle!$D$11,regle!$D$23,
IF(R421=regle!$E$11,regle!$E$23,
IF(R421=regle!$F$11,regle!$F$23,
IF(R421=regle!$G$11,regle!$G$23,
IF(R421=regle!$H$11,regle!$H$23,
IF(R421=regle!$I$11,regle!$I$23,
IF(R421=regle!$J$11,regle!$J$23,
IF(R421=regle!$K$11,regle!$K$23,0))))))))))))</f>
        <v>0</v>
      </c>
      <c r="AC421" s="17" t="b">
        <f>IF($A421,$J421*(IF(S421=regle!$B$11,regle!$B$23*IF(AL421=-2,1+regle!$B$35,1),
IF(S421=regle!$C$11,regle!$C$23,
IF(S421=regle!$D$11,regle!$D$23,
IF(S421=regle!$E$11,regle!$E$23,
IF(S421=regle!$F$11,regle!$F$23,
IF(S421=regle!$G$11,regle!$G$23,
IF(S421=regle!$H$11,regle!$H$23,
IF(S421=regle!$I$11,regle!$I$23,
IF(S421=regle!$J$11,regle!$J$23,
IF(S421=regle!$K$11,regle!$K$23,0))))))))))))</f>
        <v>0</v>
      </c>
      <c r="AD421" s="17" t="b">
        <f>IF($A421,$J421*(IF(T421=regle!$B$11,regle!$B$23*IF(AM421=-2,1+regle!$B$35,1),
IF(T421=regle!$C$11,regle!$C$23,
IF(T421=regle!$D$11,regle!$D$23,
IF(T421=regle!$E$11,regle!$E$23,
IF(T421=regle!$F$11,regle!$F$23,
IF(T421=regle!$G$11,regle!$G$23,
IF(T421=regle!$H$11,regle!$H$23,
IF(T421=regle!$I$11,regle!$I$23,
IF(T421=regle!$J$11,regle!$J$23,
IF(T421=regle!$K$11,regle!$K$23,0))))))))))))</f>
        <v>0</v>
      </c>
      <c r="AE421" s="17" t="b">
        <f>IF($A421,$J421*(IF(U421=regle!$B$11,regle!$B$23*IF(AN421=-2,1+regle!$B$35,1),
IF(U421=regle!$C$11,regle!$C$23,
IF(U421=regle!$D$11,regle!$D$23,
IF(U421=regle!$E$11,regle!$E$23,
IF(U421=regle!$F$11,regle!$F$23,
IF(U421=regle!$G$11,regle!$G$23,
IF(U421=regle!$H$11,regle!$H$23,
IF(U421=regle!$I$11,regle!$I$23,
IF(U421=regle!$J$11,regle!$J$23,
IF(U421=regle!$K$11,regle!$K$23,0))))))))))))</f>
        <v>0</v>
      </c>
      <c r="AF421" s="17" t="b">
        <f>IF($A421,$J421*(IF(V421=regle!$B$11,regle!$B$23*IF(AO421=-2,1+regle!$B$35,1),
IF(V421=regle!$C$11,regle!$C$23,
IF(V421=regle!$D$11,regle!$D$23,
IF(V421=regle!$E$11,regle!$E$23,
IF(V421=regle!$F$11,regle!$F$23,
IF(V421=regle!$G$11,regle!$G$23,
IF(V421=regle!$H$11,regle!$H$23,
IF(V421=regle!$I$11,regle!$I$23,
IF(V421=regle!$J$11,regle!$J$23,
IF(V421=regle!$K$11,regle!$K$23,0))))))))))))</f>
        <v>0</v>
      </c>
      <c r="AG421" s="17" t="b">
        <f>IF($A421,$J421*(IF(W421=regle!$B$11,regle!$B$23*IF(AP421=-2,1+regle!$B$35,1),
IF(W421=regle!$C$11,regle!$C$23,
IF(W421=regle!$D$11,regle!$D$23,
IF(W421=regle!$E$11,regle!$E$23,
IF(W421=regle!$F$11,regle!$F$23,
IF(W421=regle!$G$11,regle!$G$23,
IF(W421=regle!$H$11,regle!$H$23,
IF(W421=regle!$I$11,regle!$I$23,
IF(W421=regle!$J$11,regle!$J$23,
IF(W421=regle!$K$11,regle!$K$23,0))))))))))))</f>
        <v>0</v>
      </c>
      <c r="AH421" s="17" t="b">
        <f>IF($A421,$J421*(IF(X421=regle!$B$11,regle!$B$23*IF(AQ421=-2,1+regle!$B$35,1),
IF(X421=regle!$C$11,regle!$C$23,
IF(X421=regle!$D$11,regle!$D$23,
IF(X421=regle!$E$11,regle!$E$23,
IF(X421=regle!$F$11,regle!$F$23,
IF(X421=regle!$G$11,regle!$G$23,
IF(X421=regle!$H$11,regle!$H$23,
IF(X421=regle!$I$11,regle!$I$23,
IF(X421=regle!$J$11,regle!$J$23,
IF(X421=regle!$K$11,regle!$K$23,0))))))))))))</f>
        <v>0</v>
      </c>
      <c r="AI421" s="17" t="b">
        <f>IF($A421,$J421*(IF(Y421=regle!$B$11,regle!$B$23*IF(AR421=-2,1+regle!$B$35,1),
IF(Y421=regle!$C$11,regle!$C$23,
IF(Y421=regle!$D$11,regle!$D$23,
IF(Y421=regle!$E$11,regle!$E$23,
IF(Y421=regle!$F$11,regle!$F$23,
IF(Y421=regle!$G$11,regle!$G$23,
IF(Y421=regle!$H$11,regle!$H$23,
IF(Y421=regle!$I$11,regle!$I$23,
IF(Y421=regle!$J$11,regle!$J$23,
IF(Y421=regle!$K$11,regle!$K$23,0))))))))))))</f>
        <v>0</v>
      </c>
      <c r="AJ421" s="17" t="b">
        <f>IF($A421,$J421*(IF(Z421=regle!$B$11,regle!$B$23*IF(AS421=-2,1+regle!$B$35,1),
IF(Z421=regle!$C$11,regle!$C$23,
IF(Z421=regle!$D$11,regle!$D$23,
IF(Z421=regle!$E$11,regle!$E$23,
IF(Z421=regle!$F$11,regle!$F$23,
IF(Z421=regle!$G$11,regle!$G$23,
IF(Z421=regle!$H$11,regle!$H$23,
IF(Z421=regle!$I$11,regle!$I$23,
IF(Z421=regle!$J$11,regle!$J$23,
IF(Z421=regle!$K$11,regle!$K$23,0))))))))))))</f>
        <v>0</v>
      </c>
      <c r="AK421" s="16">
        <f>IF(OR(Q421=regle!$J$11,Q421=regle!$K$11),-2,IF(Q421=regle!$B$11,0,IF(AK$1=$AK$1,IF($O421,-1,regle!$B$2-$M421),IF(AJ421=-1,-1,AJ421+1))))</f>
        <v>38</v>
      </c>
      <c r="AL421" s="16">
        <f>IF(OR(R421=regle!$J$11,R421=regle!$K$11),-2,IF(R421=regle!$B$11,0,IF(AL$1=$AK$1,IF($O421,-1,regle!$B$2-$M421),IF(AK421=-1,-1,AK421+1))))</f>
        <v>39</v>
      </c>
      <c r="AM421" s="16">
        <f>IF(OR(S421=regle!$J$11,S421=regle!$K$11),-2,IF(S421=regle!$B$11,0,IF(AM$1=$AK$1,IF($O421,-1,regle!$B$2-$M421),IF(AL421=-1,-1,AL421+1))))</f>
        <v>40</v>
      </c>
      <c r="AN421" s="16">
        <f>IF(OR(T421=regle!$J$11,T421=regle!$K$11),-2,IF(T421=regle!$B$11,0,IF(AN$1=$AK$1,IF($O421,-1,regle!$B$2-$M421),IF(AM421=-1,-1,AM421+1))))</f>
        <v>41</v>
      </c>
      <c r="AO421" s="16">
        <f>IF(OR(U421=regle!$J$11,U421=regle!$K$11),-2,IF(U421=regle!$B$11,0,IF(AO$1=$AK$1,IF($O421,-1,regle!$B$2-$M421),IF(AN421=-1,-1,AN421+1))))</f>
        <v>42</v>
      </c>
      <c r="AP421" s="16">
        <f>IF(OR(V421=regle!$J$11,V421=regle!$K$11),-2,IF(V421=regle!$B$11,0,IF(AP$1=$AK$1,IF($O421,-1,regle!$B$2-$M421),IF(AO421=-1,-1,AO421+1))))</f>
        <v>43</v>
      </c>
      <c r="AQ421" s="16">
        <f>IF(OR(W421=regle!$J$11,W421=regle!$K$11),-2,IF(W421=regle!$B$11,0,IF(AQ$1=$AK$1,IF($O421,-1,regle!$B$2-$M421),IF(AP421=-1,-1,AP421+1))))</f>
        <v>44</v>
      </c>
      <c r="AR421" s="16">
        <f>IF(OR(X421=regle!$J$11,X421=regle!$K$11),-2,IF(X421=regle!$B$11,0,IF(AR$1=$AK$1,IF($O421,-1,regle!$B$2-$M421),IF(AQ421=-1,-1,AQ421+1))))</f>
        <v>45</v>
      </c>
      <c r="AS421" s="16">
        <f>IF(OR(Y421=regle!$J$11,Y421=regle!$K$11),-2,IF(Y421=regle!$B$11,0,IF(AS$1=$AK$1,IF($O421,-1,regle!$B$2-$M421),IF(AR421=-1,-1,AR421+1))))</f>
        <v>46</v>
      </c>
      <c r="AT421" s="16">
        <f>IF(OR(Z421=regle!$J$11,Z421=regle!$K$11),-2,IF(Z421=regle!$B$11,0,IF(AT$1=$AK$1,IF($O421,-1,regle!$B$2-$M421),IF(AS421=-1,-1,AS421+1))))</f>
        <v>47</v>
      </c>
    </row>
    <row r="422" spans="1:46" x14ac:dyDescent="0.25">
      <c r="A422" t="b">
        <f>modif0!A391</f>
        <v>0</v>
      </c>
      <c r="B422">
        <f>ROW(modif0!B391)</f>
        <v>391</v>
      </c>
      <c r="C422" t="str">
        <f>modif0!D391</f>
        <v>536</v>
      </c>
      <c r="D422" t="str">
        <f>modif0!E391</f>
        <v>LE TUZAN</v>
      </c>
      <c r="E422">
        <f>modif0!F391</f>
        <v>21</v>
      </c>
      <c r="F422" t="str">
        <f>modif0!G391</f>
        <v>METAIRIES DE TABARTON</v>
      </c>
      <c r="G422" t="str">
        <f>modif0!I391</f>
        <v>0A</v>
      </c>
      <c r="H422">
        <f>modif0!J391</f>
        <v>419</v>
      </c>
      <c r="I422" t="str">
        <f>modif0!K391</f>
        <v>a</v>
      </c>
      <c r="J422" s="11">
        <f>modif0!M391</f>
        <v>1.0562</v>
      </c>
      <c r="K422" s="11" t="str">
        <f>modif0!P391</f>
        <v>TAIL</v>
      </c>
      <c r="L422" t="str">
        <f>modif0!N391</f>
        <v>FEUIL</v>
      </c>
      <c r="M422">
        <f>modif0!Q391</f>
        <v>1985</v>
      </c>
      <c r="N422" t="str">
        <f>modif0!R391</f>
        <v>TAIL-FEUIL_1985</v>
      </c>
      <c r="O422" t="b">
        <f>modif0!S391</f>
        <v>0</v>
      </c>
      <c r="P422">
        <v>40</v>
      </c>
      <c r="AA422" s="17" t="b">
        <f>IF($A422,$J422*(IF(Q422=regle!$B$11,regle!$B$23*IF(AJ422=-2,1+regle!$B$35,1),
IF(Q422=regle!$C$11,regle!$C$23,
IF(Q422=regle!$D$11,regle!$D$23,
IF(Q422=regle!$E$11,regle!$E$23,
IF(Q422=regle!$F$11,regle!$F$23,
IF(Q422=regle!$G$11,regle!$G$23,
IF(Q422=regle!$H$11,regle!$H$23,
IF(Q422=regle!$I$11,regle!$I$23,
IF(Q422=regle!$J$11,regle!$J$23,
IF(Q422=regle!$K$11,regle!$K$23,0))))))))))))</f>
        <v>0</v>
      </c>
      <c r="AB422" s="17" t="b">
        <f>IF($A422,$J422*(IF(R422=regle!$B$11,regle!$B$23*IF(AK422=-2,1+regle!$B$35,1),
IF(R422=regle!$C$11,regle!$C$23,
IF(R422=regle!$D$11,regle!$D$23,
IF(R422=regle!$E$11,regle!$E$23,
IF(R422=regle!$F$11,regle!$F$23,
IF(R422=regle!$G$11,regle!$G$23,
IF(R422=regle!$H$11,regle!$H$23,
IF(R422=regle!$I$11,regle!$I$23,
IF(R422=regle!$J$11,regle!$J$23,
IF(R422=regle!$K$11,regle!$K$23,0))))))))))))</f>
        <v>0</v>
      </c>
      <c r="AC422" s="17" t="b">
        <f>IF($A422,$J422*(IF(S422=regle!$B$11,regle!$B$23*IF(AL422=-2,1+regle!$B$35,1),
IF(S422=regle!$C$11,regle!$C$23,
IF(S422=regle!$D$11,regle!$D$23,
IF(S422=regle!$E$11,regle!$E$23,
IF(S422=regle!$F$11,regle!$F$23,
IF(S422=regle!$G$11,regle!$G$23,
IF(S422=regle!$H$11,regle!$H$23,
IF(S422=regle!$I$11,regle!$I$23,
IF(S422=regle!$J$11,regle!$J$23,
IF(S422=regle!$K$11,regle!$K$23,0))))))))))))</f>
        <v>0</v>
      </c>
      <c r="AD422" s="17" t="b">
        <f>IF($A422,$J422*(IF(T422=regle!$B$11,regle!$B$23*IF(AM422=-2,1+regle!$B$35,1),
IF(T422=regle!$C$11,regle!$C$23,
IF(T422=regle!$D$11,regle!$D$23,
IF(T422=regle!$E$11,regle!$E$23,
IF(T422=regle!$F$11,regle!$F$23,
IF(T422=regle!$G$11,regle!$G$23,
IF(T422=regle!$H$11,regle!$H$23,
IF(T422=regle!$I$11,regle!$I$23,
IF(T422=regle!$J$11,regle!$J$23,
IF(T422=regle!$K$11,regle!$K$23,0))))))))))))</f>
        <v>0</v>
      </c>
      <c r="AE422" s="17" t="b">
        <f>IF($A422,$J422*(IF(U422=regle!$B$11,regle!$B$23*IF(AN422=-2,1+regle!$B$35,1),
IF(U422=regle!$C$11,regle!$C$23,
IF(U422=regle!$D$11,regle!$D$23,
IF(U422=regle!$E$11,regle!$E$23,
IF(U422=regle!$F$11,regle!$F$23,
IF(U422=regle!$G$11,regle!$G$23,
IF(U422=regle!$H$11,regle!$H$23,
IF(U422=regle!$I$11,regle!$I$23,
IF(U422=regle!$J$11,regle!$J$23,
IF(U422=regle!$K$11,regle!$K$23,0))))))))))))</f>
        <v>0</v>
      </c>
      <c r="AF422" s="17" t="b">
        <f>IF($A422,$J422*(IF(V422=regle!$B$11,regle!$B$23*IF(AO422=-2,1+regle!$B$35,1),
IF(V422=regle!$C$11,regle!$C$23,
IF(V422=regle!$D$11,regle!$D$23,
IF(V422=regle!$E$11,regle!$E$23,
IF(V422=regle!$F$11,regle!$F$23,
IF(V422=regle!$G$11,regle!$G$23,
IF(V422=regle!$H$11,regle!$H$23,
IF(V422=regle!$I$11,regle!$I$23,
IF(V422=regle!$J$11,regle!$J$23,
IF(V422=regle!$K$11,regle!$K$23,0))))))))))))</f>
        <v>0</v>
      </c>
      <c r="AG422" s="17" t="b">
        <f>IF($A422,$J422*(IF(W422=regle!$B$11,regle!$B$23*IF(AP422=-2,1+regle!$B$35,1),
IF(W422=regle!$C$11,regle!$C$23,
IF(W422=regle!$D$11,regle!$D$23,
IF(W422=regle!$E$11,regle!$E$23,
IF(W422=regle!$F$11,regle!$F$23,
IF(W422=regle!$G$11,regle!$G$23,
IF(W422=regle!$H$11,regle!$H$23,
IF(W422=regle!$I$11,regle!$I$23,
IF(W422=regle!$J$11,regle!$J$23,
IF(W422=regle!$K$11,regle!$K$23,0))))))))))))</f>
        <v>0</v>
      </c>
      <c r="AH422" s="17" t="b">
        <f>IF($A422,$J422*(IF(X422=regle!$B$11,regle!$B$23*IF(AQ422=-2,1+regle!$B$35,1),
IF(X422=regle!$C$11,regle!$C$23,
IF(X422=regle!$D$11,regle!$D$23,
IF(X422=regle!$E$11,regle!$E$23,
IF(X422=regle!$F$11,regle!$F$23,
IF(X422=regle!$G$11,regle!$G$23,
IF(X422=regle!$H$11,regle!$H$23,
IF(X422=regle!$I$11,regle!$I$23,
IF(X422=regle!$J$11,regle!$J$23,
IF(X422=regle!$K$11,regle!$K$23,0))))))))))))</f>
        <v>0</v>
      </c>
      <c r="AI422" s="17" t="b">
        <f>IF($A422,$J422*(IF(Y422=regle!$B$11,regle!$B$23*IF(AR422=-2,1+regle!$B$35,1),
IF(Y422=regle!$C$11,regle!$C$23,
IF(Y422=regle!$D$11,regle!$D$23,
IF(Y422=regle!$E$11,regle!$E$23,
IF(Y422=regle!$F$11,regle!$F$23,
IF(Y422=regle!$G$11,regle!$G$23,
IF(Y422=regle!$H$11,regle!$H$23,
IF(Y422=regle!$I$11,regle!$I$23,
IF(Y422=regle!$J$11,regle!$J$23,
IF(Y422=regle!$K$11,regle!$K$23,0))))))))))))</f>
        <v>0</v>
      </c>
      <c r="AJ422" s="17" t="b">
        <f>IF($A422,$J422*(IF(Z422=regle!$B$11,regle!$B$23*IF(AS422=-2,1+regle!$B$35,1),
IF(Z422=regle!$C$11,regle!$C$23,
IF(Z422=regle!$D$11,regle!$D$23,
IF(Z422=regle!$E$11,regle!$E$23,
IF(Z422=regle!$F$11,regle!$F$23,
IF(Z422=regle!$G$11,regle!$G$23,
IF(Z422=regle!$H$11,regle!$H$23,
IF(Z422=regle!$I$11,regle!$I$23,
IF(Z422=regle!$J$11,regle!$J$23,
IF(Z422=regle!$K$11,regle!$K$23,0))))))))))))</f>
        <v>0</v>
      </c>
      <c r="AK422" s="16">
        <f>IF(OR(Q422=regle!$J$11,Q422=regle!$K$11),-2,IF(Q422=regle!$B$11,0,IF(AK$1=$AK$1,IF($O422,-1,regle!$B$2-$M422),IF(AJ422=-1,-1,AJ422+1))))</f>
        <v>39</v>
      </c>
      <c r="AL422" s="16">
        <f>IF(OR(R422=regle!$J$11,R422=regle!$K$11),-2,IF(R422=regle!$B$11,0,IF(AL$1=$AK$1,IF($O422,-1,regle!$B$2-$M422),IF(AK422=-1,-1,AK422+1))))</f>
        <v>40</v>
      </c>
      <c r="AM422" s="16">
        <f>IF(OR(S422=regle!$J$11,S422=regle!$K$11),-2,IF(S422=regle!$B$11,0,IF(AM$1=$AK$1,IF($O422,-1,regle!$B$2-$M422),IF(AL422=-1,-1,AL422+1))))</f>
        <v>41</v>
      </c>
      <c r="AN422" s="16">
        <f>IF(OR(T422=regle!$J$11,T422=regle!$K$11),-2,IF(T422=regle!$B$11,0,IF(AN$1=$AK$1,IF($O422,-1,regle!$B$2-$M422),IF(AM422=-1,-1,AM422+1))))</f>
        <v>42</v>
      </c>
      <c r="AO422" s="16">
        <f>IF(OR(U422=regle!$J$11,U422=regle!$K$11),-2,IF(U422=regle!$B$11,0,IF(AO$1=$AK$1,IF($O422,-1,regle!$B$2-$M422),IF(AN422=-1,-1,AN422+1))))</f>
        <v>43</v>
      </c>
      <c r="AP422" s="16">
        <f>IF(OR(V422=regle!$J$11,V422=regle!$K$11),-2,IF(V422=regle!$B$11,0,IF(AP$1=$AK$1,IF($O422,-1,regle!$B$2-$M422),IF(AO422=-1,-1,AO422+1))))</f>
        <v>44</v>
      </c>
      <c r="AQ422" s="16">
        <f>IF(OR(W422=regle!$J$11,W422=regle!$K$11),-2,IF(W422=regle!$B$11,0,IF(AQ$1=$AK$1,IF($O422,-1,regle!$B$2-$M422),IF(AP422=-1,-1,AP422+1))))</f>
        <v>45</v>
      </c>
      <c r="AR422" s="16">
        <f>IF(OR(X422=regle!$J$11,X422=regle!$K$11),-2,IF(X422=regle!$B$11,0,IF(AR$1=$AK$1,IF($O422,-1,regle!$B$2-$M422),IF(AQ422=-1,-1,AQ422+1))))</f>
        <v>46</v>
      </c>
      <c r="AS422" s="16">
        <f>IF(OR(Y422=regle!$J$11,Y422=regle!$K$11),-2,IF(Y422=regle!$B$11,0,IF(AS$1=$AK$1,IF($O422,-1,regle!$B$2-$M422),IF(AR422=-1,-1,AR422+1))))</f>
        <v>47</v>
      </c>
      <c r="AT422" s="16">
        <f>IF(OR(Z422=regle!$J$11,Z422=regle!$K$11),-2,IF(Z422=regle!$B$11,0,IF(AT$1=$AK$1,IF($O422,-1,regle!$B$2-$M422),IF(AS422=-1,-1,AS422+1))))</f>
        <v>48</v>
      </c>
    </row>
    <row r="423" spans="1:46" x14ac:dyDescent="0.25">
      <c r="A423" t="b">
        <f>modif0!A400</f>
        <v>0</v>
      </c>
      <c r="B423">
        <f>ROW(modif0!B400)</f>
        <v>400</v>
      </c>
      <c r="C423" t="str">
        <f>modif0!D400</f>
        <v>536</v>
      </c>
      <c r="D423" t="str">
        <f>modif0!E400</f>
        <v>LE TUZAN</v>
      </c>
      <c r="E423">
        <f>modif0!F400</f>
        <v>21</v>
      </c>
      <c r="F423" t="str">
        <f>modif0!G400</f>
        <v>METAIRIES DE TABARTON</v>
      </c>
      <c r="G423" t="str">
        <f>modif0!I400</f>
        <v>0A</v>
      </c>
      <c r="H423">
        <f>modif0!J400</f>
        <v>847</v>
      </c>
      <c r="I423" t="str">
        <f>modif0!K400</f>
        <v>j</v>
      </c>
      <c r="J423" s="11">
        <f>modif0!M400</f>
        <v>0.68130000000000002</v>
      </c>
      <c r="K423" s="11" t="str">
        <f>modif0!P400</f>
        <v>TAIL</v>
      </c>
      <c r="L423" t="str">
        <f>modif0!N400</f>
        <v>FEUIL</v>
      </c>
      <c r="M423">
        <f>modif0!Q400</f>
        <v>1985</v>
      </c>
      <c r="N423" t="str">
        <f>modif0!R400</f>
        <v>TAIL-FEUIL_1985</v>
      </c>
      <c r="O423" t="b">
        <f>modif0!S400</f>
        <v>0</v>
      </c>
      <c r="P423">
        <v>40</v>
      </c>
      <c r="AA423" s="17" t="b">
        <f>IF($A423,$J423*(IF(Q423=regle!$B$11,regle!$B$23*IF(AJ423=-2,1+regle!$B$35,1),
IF(Q423=regle!$C$11,regle!$C$23,
IF(Q423=regle!$D$11,regle!$D$23,
IF(Q423=regle!$E$11,regle!$E$23,
IF(Q423=regle!$F$11,regle!$F$23,
IF(Q423=regle!$G$11,regle!$G$23,
IF(Q423=regle!$H$11,regle!$H$23,
IF(Q423=regle!$I$11,regle!$I$23,
IF(Q423=regle!$J$11,regle!$J$23,
IF(Q423=regle!$K$11,regle!$K$23,0))))))))))))</f>
        <v>0</v>
      </c>
      <c r="AB423" s="17" t="b">
        <f>IF($A423,$J423*(IF(R423=regle!$B$11,regle!$B$23*IF(AK423=-2,1+regle!$B$35,1),
IF(R423=regle!$C$11,regle!$C$23,
IF(R423=regle!$D$11,regle!$D$23,
IF(R423=regle!$E$11,regle!$E$23,
IF(R423=regle!$F$11,regle!$F$23,
IF(R423=regle!$G$11,regle!$G$23,
IF(R423=regle!$H$11,regle!$H$23,
IF(R423=regle!$I$11,regle!$I$23,
IF(R423=regle!$J$11,regle!$J$23,
IF(R423=regle!$K$11,regle!$K$23,0))))))))))))</f>
        <v>0</v>
      </c>
      <c r="AC423" s="17" t="b">
        <f>IF($A423,$J423*(IF(S423=regle!$B$11,regle!$B$23*IF(AL423=-2,1+regle!$B$35,1),
IF(S423=regle!$C$11,regle!$C$23,
IF(S423=regle!$D$11,regle!$D$23,
IF(S423=regle!$E$11,regle!$E$23,
IF(S423=regle!$F$11,regle!$F$23,
IF(S423=regle!$G$11,regle!$G$23,
IF(S423=regle!$H$11,regle!$H$23,
IF(S423=regle!$I$11,regle!$I$23,
IF(S423=regle!$J$11,regle!$J$23,
IF(S423=regle!$K$11,regle!$K$23,0))))))))))))</f>
        <v>0</v>
      </c>
      <c r="AD423" s="17" t="b">
        <f>IF($A423,$J423*(IF(T423=regle!$B$11,regle!$B$23*IF(AM423=-2,1+regle!$B$35,1),
IF(T423=regle!$C$11,regle!$C$23,
IF(T423=regle!$D$11,regle!$D$23,
IF(T423=regle!$E$11,regle!$E$23,
IF(T423=regle!$F$11,regle!$F$23,
IF(T423=regle!$G$11,regle!$G$23,
IF(T423=regle!$H$11,regle!$H$23,
IF(T423=regle!$I$11,regle!$I$23,
IF(T423=regle!$J$11,regle!$J$23,
IF(T423=regle!$K$11,regle!$K$23,0))))))))))))</f>
        <v>0</v>
      </c>
      <c r="AE423" s="17" t="b">
        <f>IF($A423,$J423*(IF(U423=regle!$B$11,regle!$B$23*IF(AN423=-2,1+regle!$B$35,1),
IF(U423=regle!$C$11,regle!$C$23,
IF(U423=regle!$D$11,regle!$D$23,
IF(U423=regle!$E$11,regle!$E$23,
IF(U423=regle!$F$11,regle!$F$23,
IF(U423=regle!$G$11,regle!$G$23,
IF(U423=regle!$H$11,regle!$H$23,
IF(U423=regle!$I$11,regle!$I$23,
IF(U423=regle!$J$11,regle!$J$23,
IF(U423=regle!$K$11,regle!$K$23,0))))))))))))</f>
        <v>0</v>
      </c>
      <c r="AF423" s="17" t="b">
        <f>IF($A423,$J423*(IF(V423=regle!$B$11,regle!$B$23*IF(AO423=-2,1+regle!$B$35,1),
IF(V423=regle!$C$11,regle!$C$23,
IF(V423=regle!$D$11,regle!$D$23,
IF(V423=regle!$E$11,regle!$E$23,
IF(V423=regle!$F$11,regle!$F$23,
IF(V423=regle!$G$11,regle!$G$23,
IF(V423=regle!$H$11,regle!$H$23,
IF(V423=regle!$I$11,regle!$I$23,
IF(V423=regle!$J$11,regle!$J$23,
IF(V423=regle!$K$11,regle!$K$23,0))))))))))))</f>
        <v>0</v>
      </c>
      <c r="AG423" s="17" t="b">
        <f>IF($A423,$J423*(IF(W423=regle!$B$11,regle!$B$23*IF(AP423=-2,1+regle!$B$35,1),
IF(W423=regle!$C$11,regle!$C$23,
IF(W423=regle!$D$11,regle!$D$23,
IF(W423=regle!$E$11,regle!$E$23,
IF(W423=regle!$F$11,regle!$F$23,
IF(W423=regle!$G$11,regle!$G$23,
IF(W423=regle!$H$11,regle!$H$23,
IF(W423=regle!$I$11,regle!$I$23,
IF(W423=regle!$J$11,regle!$J$23,
IF(W423=regle!$K$11,regle!$K$23,0))))))))))))</f>
        <v>0</v>
      </c>
      <c r="AH423" s="17" t="b">
        <f>IF($A423,$J423*(IF(X423=regle!$B$11,regle!$B$23*IF(AQ423=-2,1+regle!$B$35,1),
IF(X423=regle!$C$11,regle!$C$23,
IF(X423=regle!$D$11,regle!$D$23,
IF(X423=regle!$E$11,regle!$E$23,
IF(X423=regle!$F$11,regle!$F$23,
IF(X423=regle!$G$11,regle!$G$23,
IF(X423=regle!$H$11,regle!$H$23,
IF(X423=regle!$I$11,regle!$I$23,
IF(X423=regle!$J$11,regle!$J$23,
IF(X423=regle!$K$11,regle!$K$23,0))))))))))))</f>
        <v>0</v>
      </c>
      <c r="AI423" s="17" t="b">
        <f>IF($A423,$J423*(IF(Y423=regle!$B$11,regle!$B$23*IF(AR423=-2,1+regle!$B$35,1),
IF(Y423=regle!$C$11,regle!$C$23,
IF(Y423=regle!$D$11,regle!$D$23,
IF(Y423=regle!$E$11,regle!$E$23,
IF(Y423=regle!$F$11,regle!$F$23,
IF(Y423=regle!$G$11,regle!$G$23,
IF(Y423=regle!$H$11,regle!$H$23,
IF(Y423=regle!$I$11,regle!$I$23,
IF(Y423=regle!$J$11,regle!$J$23,
IF(Y423=regle!$K$11,regle!$K$23,0))))))))))))</f>
        <v>0</v>
      </c>
      <c r="AJ423" s="17" t="b">
        <f>IF($A423,$J423*(IF(Z423=regle!$B$11,regle!$B$23*IF(AS423=-2,1+regle!$B$35,1),
IF(Z423=regle!$C$11,regle!$C$23,
IF(Z423=regle!$D$11,regle!$D$23,
IF(Z423=regle!$E$11,regle!$E$23,
IF(Z423=regle!$F$11,regle!$F$23,
IF(Z423=regle!$G$11,regle!$G$23,
IF(Z423=regle!$H$11,regle!$H$23,
IF(Z423=regle!$I$11,regle!$I$23,
IF(Z423=regle!$J$11,regle!$J$23,
IF(Z423=regle!$K$11,regle!$K$23,0))))))))))))</f>
        <v>0</v>
      </c>
      <c r="AK423" s="16">
        <f>IF(OR(Q423=regle!$J$11,Q423=regle!$K$11),-2,IF(Q423=regle!$B$11,0,IF(AK$1=$AK$1,IF($O423,-1,regle!$B$2-$M423),IF(AJ423=-1,-1,AJ423+1))))</f>
        <v>39</v>
      </c>
      <c r="AL423" s="16">
        <f>IF(OR(R423=regle!$J$11,R423=regle!$K$11),-2,IF(R423=regle!$B$11,0,IF(AL$1=$AK$1,IF($O423,-1,regle!$B$2-$M423),IF(AK423=-1,-1,AK423+1))))</f>
        <v>40</v>
      </c>
      <c r="AM423" s="16">
        <f>IF(OR(S423=regle!$J$11,S423=regle!$K$11),-2,IF(S423=regle!$B$11,0,IF(AM$1=$AK$1,IF($O423,-1,regle!$B$2-$M423),IF(AL423=-1,-1,AL423+1))))</f>
        <v>41</v>
      </c>
      <c r="AN423" s="16">
        <f>IF(OR(T423=regle!$J$11,T423=regle!$K$11),-2,IF(T423=regle!$B$11,0,IF(AN$1=$AK$1,IF($O423,-1,regle!$B$2-$M423),IF(AM423=-1,-1,AM423+1))))</f>
        <v>42</v>
      </c>
      <c r="AO423" s="16">
        <f>IF(OR(U423=regle!$J$11,U423=regle!$K$11),-2,IF(U423=regle!$B$11,0,IF(AO$1=$AK$1,IF($O423,-1,regle!$B$2-$M423),IF(AN423=-1,-1,AN423+1))))</f>
        <v>43</v>
      </c>
      <c r="AP423" s="16">
        <f>IF(OR(V423=regle!$J$11,V423=regle!$K$11),-2,IF(V423=regle!$B$11,0,IF(AP$1=$AK$1,IF($O423,-1,regle!$B$2-$M423),IF(AO423=-1,-1,AO423+1))))</f>
        <v>44</v>
      </c>
      <c r="AQ423" s="16">
        <f>IF(OR(W423=regle!$J$11,W423=regle!$K$11),-2,IF(W423=regle!$B$11,0,IF(AQ$1=$AK$1,IF($O423,-1,regle!$B$2-$M423),IF(AP423=-1,-1,AP423+1))))</f>
        <v>45</v>
      </c>
      <c r="AR423" s="16">
        <f>IF(OR(X423=regle!$J$11,X423=regle!$K$11),-2,IF(X423=regle!$B$11,0,IF(AR$1=$AK$1,IF($O423,-1,regle!$B$2-$M423),IF(AQ423=-1,-1,AQ423+1))))</f>
        <v>46</v>
      </c>
      <c r="AS423" s="16">
        <f>IF(OR(Y423=regle!$J$11,Y423=regle!$K$11),-2,IF(Y423=regle!$B$11,0,IF(AS$1=$AK$1,IF($O423,-1,regle!$B$2-$M423),IF(AR423=-1,-1,AR423+1))))</f>
        <v>47</v>
      </c>
      <c r="AT423" s="16">
        <f>IF(OR(Z423=regle!$J$11,Z423=regle!$K$11),-2,IF(Z423=regle!$B$11,0,IF(AT$1=$AK$1,IF($O423,-1,regle!$B$2-$M423),IF(AS423=-1,-1,AS423+1))))</f>
        <v>48</v>
      </c>
    </row>
    <row r="424" spans="1:46" x14ac:dyDescent="0.25">
      <c r="A424" t="b">
        <f>modif0!A392</f>
        <v>0</v>
      </c>
      <c r="B424">
        <f>ROW(modif0!B392)</f>
        <v>392</v>
      </c>
      <c r="C424" t="str">
        <f>modif0!D392</f>
        <v>536</v>
      </c>
      <c r="D424" t="str">
        <f>modif0!E392</f>
        <v>LE TUZAN</v>
      </c>
      <c r="E424">
        <f>modif0!F392</f>
        <v>21</v>
      </c>
      <c r="F424" t="str">
        <f>modif0!G392</f>
        <v>METAIRIES DE TABARTON</v>
      </c>
      <c r="G424" t="str">
        <f>modif0!I392</f>
        <v>0A</v>
      </c>
      <c r="H424">
        <f>modif0!J392</f>
        <v>420</v>
      </c>
      <c r="I424" t="str">
        <f>modif0!K392</f>
        <v>a</v>
      </c>
      <c r="J424" s="11">
        <f>modif0!M392</f>
        <v>0.36259999999999998</v>
      </c>
      <c r="K424" s="11" t="str">
        <f>modif0!P392</f>
        <v>TAIL</v>
      </c>
      <c r="L424" t="str">
        <f>modif0!N392</f>
        <v>FEUIL</v>
      </c>
      <c r="M424">
        <f>modif0!Q392</f>
        <v>1985</v>
      </c>
      <c r="N424" t="str">
        <f>modif0!R392</f>
        <v>TAIL-FEUIL_1985</v>
      </c>
      <c r="O424" t="b">
        <f>modif0!S392</f>
        <v>0</v>
      </c>
      <c r="P424">
        <v>40</v>
      </c>
      <c r="AA424" s="17" t="b">
        <f>IF($A424,$J424*(IF(Q424=regle!$B$11,regle!$B$23*IF(AJ424=-2,1+regle!$B$35,1),
IF(Q424=regle!$C$11,regle!$C$23,
IF(Q424=regle!$D$11,regle!$D$23,
IF(Q424=regle!$E$11,regle!$E$23,
IF(Q424=regle!$F$11,regle!$F$23,
IF(Q424=regle!$G$11,regle!$G$23,
IF(Q424=regle!$H$11,regle!$H$23,
IF(Q424=regle!$I$11,regle!$I$23,
IF(Q424=regle!$J$11,regle!$J$23,
IF(Q424=regle!$K$11,regle!$K$23,0))))))))))))</f>
        <v>0</v>
      </c>
      <c r="AB424" s="17" t="b">
        <f>IF($A424,$J424*(IF(R424=regle!$B$11,regle!$B$23*IF(AK424=-2,1+regle!$B$35,1),
IF(R424=regle!$C$11,regle!$C$23,
IF(R424=regle!$D$11,regle!$D$23,
IF(R424=regle!$E$11,regle!$E$23,
IF(R424=regle!$F$11,regle!$F$23,
IF(R424=regle!$G$11,regle!$G$23,
IF(R424=regle!$H$11,regle!$H$23,
IF(R424=regle!$I$11,regle!$I$23,
IF(R424=regle!$J$11,regle!$J$23,
IF(R424=regle!$K$11,regle!$K$23,0))))))))))))</f>
        <v>0</v>
      </c>
      <c r="AC424" s="17" t="b">
        <f>IF($A424,$J424*(IF(S424=regle!$B$11,regle!$B$23*IF(AL424=-2,1+regle!$B$35,1),
IF(S424=regle!$C$11,regle!$C$23,
IF(S424=regle!$D$11,regle!$D$23,
IF(S424=regle!$E$11,regle!$E$23,
IF(S424=regle!$F$11,regle!$F$23,
IF(S424=regle!$G$11,regle!$G$23,
IF(S424=regle!$H$11,regle!$H$23,
IF(S424=regle!$I$11,regle!$I$23,
IF(S424=regle!$J$11,regle!$J$23,
IF(S424=regle!$K$11,regle!$K$23,0))))))))))))</f>
        <v>0</v>
      </c>
      <c r="AD424" s="17" t="b">
        <f>IF($A424,$J424*(IF(T424=regle!$B$11,regle!$B$23*IF(AM424=-2,1+regle!$B$35,1),
IF(T424=regle!$C$11,regle!$C$23,
IF(T424=regle!$D$11,regle!$D$23,
IF(T424=regle!$E$11,regle!$E$23,
IF(T424=regle!$F$11,regle!$F$23,
IF(T424=regle!$G$11,regle!$G$23,
IF(T424=regle!$H$11,regle!$H$23,
IF(T424=regle!$I$11,regle!$I$23,
IF(T424=regle!$J$11,regle!$J$23,
IF(T424=regle!$K$11,regle!$K$23,0))))))))))))</f>
        <v>0</v>
      </c>
      <c r="AE424" s="17" t="b">
        <f>IF($A424,$J424*(IF(U424=regle!$B$11,regle!$B$23*IF(AN424=-2,1+regle!$B$35,1),
IF(U424=regle!$C$11,regle!$C$23,
IF(U424=regle!$D$11,regle!$D$23,
IF(U424=regle!$E$11,regle!$E$23,
IF(U424=regle!$F$11,regle!$F$23,
IF(U424=regle!$G$11,regle!$G$23,
IF(U424=regle!$H$11,regle!$H$23,
IF(U424=regle!$I$11,regle!$I$23,
IF(U424=regle!$J$11,regle!$J$23,
IF(U424=regle!$K$11,regle!$K$23,0))))))))))))</f>
        <v>0</v>
      </c>
      <c r="AF424" s="17" t="b">
        <f>IF($A424,$J424*(IF(V424=regle!$B$11,regle!$B$23*IF(AO424=-2,1+regle!$B$35,1),
IF(V424=regle!$C$11,regle!$C$23,
IF(V424=regle!$D$11,regle!$D$23,
IF(V424=regle!$E$11,regle!$E$23,
IF(V424=regle!$F$11,regle!$F$23,
IF(V424=regle!$G$11,regle!$G$23,
IF(V424=regle!$H$11,regle!$H$23,
IF(V424=regle!$I$11,regle!$I$23,
IF(V424=regle!$J$11,regle!$J$23,
IF(V424=regle!$K$11,regle!$K$23,0))))))))))))</f>
        <v>0</v>
      </c>
      <c r="AG424" s="17" t="b">
        <f>IF($A424,$J424*(IF(W424=regle!$B$11,regle!$B$23*IF(AP424=-2,1+regle!$B$35,1),
IF(W424=regle!$C$11,regle!$C$23,
IF(W424=regle!$D$11,regle!$D$23,
IF(W424=regle!$E$11,regle!$E$23,
IF(W424=regle!$F$11,regle!$F$23,
IF(W424=regle!$G$11,regle!$G$23,
IF(W424=regle!$H$11,regle!$H$23,
IF(W424=regle!$I$11,regle!$I$23,
IF(W424=regle!$J$11,regle!$J$23,
IF(W424=regle!$K$11,regle!$K$23,0))))))))))))</f>
        <v>0</v>
      </c>
      <c r="AH424" s="17" t="b">
        <f>IF($A424,$J424*(IF(X424=regle!$B$11,regle!$B$23*IF(AQ424=-2,1+regle!$B$35,1),
IF(X424=regle!$C$11,regle!$C$23,
IF(X424=regle!$D$11,regle!$D$23,
IF(X424=regle!$E$11,regle!$E$23,
IF(X424=regle!$F$11,regle!$F$23,
IF(X424=regle!$G$11,regle!$G$23,
IF(X424=regle!$H$11,regle!$H$23,
IF(X424=regle!$I$11,regle!$I$23,
IF(X424=regle!$J$11,regle!$J$23,
IF(X424=regle!$K$11,regle!$K$23,0))))))))))))</f>
        <v>0</v>
      </c>
      <c r="AI424" s="17" t="b">
        <f>IF($A424,$J424*(IF(Y424=regle!$B$11,regle!$B$23*IF(AR424=-2,1+regle!$B$35,1),
IF(Y424=regle!$C$11,regle!$C$23,
IF(Y424=regle!$D$11,regle!$D$23,
IF(Y424=regle!$E$11,regle!$E$23,
IF(Y424=regle!$F$11,regle!$F$23,
IF(Y424=regle!$G$11,regle!$G$23,
IF(Y424=regle!$H$11,regle!$H$23,
IF(Y424=regle!$I$11,regle!$I$23,
IF(Y424=regle!$J$11,regle!$J$23,
IF(Y424=regle!$K$11,regle!$K$23,0))))))))))))</f>
        <v>0</v>
      </c>
      <c r="AJ424" s="17" t="b">
        <f>IF($A424,$J424*(IF(Z424=regle!$B$11,regle!$B$23*IF(AS424=-2,1+regle!$B$35,1),
IF(Z424=regle!$C$11,regle!$C$23,
IF(Z424=regle!$D$11,regle!$D$23,
IF(Z424=regle!$E$11,regle!$E$23,
IF(Z424=regle!$F$11,regle!$F$23,
IF(Z424=regle!$G$11,regle!$G$23,
IF(Z424=regle!$H$11,regle!$H$23,
IF(Z424=regle!$I$11,regle!$I$23,
IF(Z424=regle!$J$11,regle!$J$23,
IF(Z424=regle!$K$11,regle!$K$23,0))))))))))))</f>
        <v>0</v>
      </c>
      <c r="AK424" s="16">
        <f>IF(OR(Q424=regle!$J$11,Q424=regle!$K$11),-2,IF(Q424=regle!$B$11,0,IF(AK$1=$AK$1,IF($O424,-1,regle!$B$2-$M424),IF(AJ424=-1,-1,AJ424+1))))</f>
        <v>39</v>
      </c>
      <c r="AL424" s="16">
        <f>IF(OR(R424=regle!$J$11,R424=regle!$K$11),-2,IF(R424=regle!$B$11,0,IF(AL$1=$AK$1,IF($O424,-1,regle!$B$2-$M424),IF(AK424=-1,-1,AK424+1))))</f>
        <v>40</v>
      </c>
      <c r="AM424" s="16">
        <f>IF(OR(S424=regle!$J$11,S424=regle!$K$11),-2,IF(S424=regle!$B$11,0,IF(AM$1=$AK$1,IF($O424,-1,regle!$B$2-$M424),IF(AL424=-1,-1,AL424+1))))</f>
        <v>41</v>
      </c>
      <c r="AN424" s="16">
        <f>IF(OR(T424=regle!$J$11,T424=regle!$K$11),-2,IF(T424=regle!$B$11,0,IF(AN$1=$AK$1,IF($O424,-1,regle!$B$2-$M424),IF(AM424=-1,-1,AM424+1))))</f>
        <v>42</v>
      </c>
      <c r="AO424" s="16">
        <f>IF(OR(U424=regle!$J$11,U424=regle!$K$11),-2,IF(U424=regle!$B$11,0,IF(AO$1=$AK$1,IF($O424,-1,regle!$B$2-$M424),IF(AN424=-1,-1,AN424+1))))</f>
        <v>43</v>
      </c>
      <c r="AP424" s="16">
        <f>IF(OR(V424=regle!$J$11,V424=regle!$K$11),-2,IF(V424=regle!$B$11,0,IF(AP$1=$AK$1,IF($O424,-1,regle!$B$2-$M424),IF(AO424=-1,-1,AO424+1))))</f>
        <v>44</v>
      </c>
      <c r="AQ424" s="16">
        <f>IF(OR(W424=regle!$J$11,W424=regle!$K$11),-2,IF(W424=regle!$B$11,0,IF(AQ$1=$AK$1,IF($O424,-1,regle!$B$2-$M424),IF(AP424=-1,-1,AP424+1))))</f>
        <v>45</v>
      </c>
      <c r="AR424" s="16">
        <f>IF(OR(X424=regle!$J$11,X424=regle!$K$11),-2,IF(X424=regle!$B$11,0,IF(AR$1=$AK$1,IF($O424,-1,regle!$B$2-$M424),IF(AQ424=-1,-1,AQ424+1))))</f>
        <v>46</v>
      </c>
      <c r="AS424" s="16">
        <f>IF(OR(Y424=regle!$J$11,Y424=regle!$K$11),-2,IF(Y424=regle!$B$11,0,IF(AS$1=$AK$1,IF($O424,-1,regle!$B$2-$M424),IF(AR424=-1,-1,AR424+1))))</f>
        <v>47</v>
      </c>
      <c r="AT424" s="16">
        <f>IF(OR(Z424=regle!$J$11,Z424=regle!$K$11),-2,IF(Z424=regle!$B$11,0,IF(AT$1=$AK$1,IF($O424,-1,regle!$B$2-$M424),IF(AS424=-1,-1,AS424+1))))</f>
        <v>48</v>
      </c>
    </row>
    <row r="425" spans="1:46" x14ac:dyDescent="0.25">
      <c r="A425" t="b">
        <f>modif0!A388</f>
        <v>0</v>
      </c>
      <c r="B425">
        <f>ROW(modif0!B388)</f>
        <v>388</v>
      </c>
      <c r="C425" t="str">
        <f>modif0!D388</f>
        <v>536</v>
      </c>
      <c r="D425" t="str">
        <f>modif0!E388</f>
        <v>LE TUZAN</v>
      </c>
      <c r="E425">
        <f>modif0!F388</f>
        <v>21</v>
      </c>
      <c r="F425" t="str">
        <f>modif0!G388</f>
        <v>METAIRIES DE TABARTON</v>
      </c>
      <c r="G425" t="str">
        <f>modif0!I388</f>
        <v>0A</v>
      </c>
      <c r="H425">
        <f>modif0!J388</f>
        <v>416</v>
      </c>
      <c r="I425" t="str">
        <f>modif0!K388</f>
        <v>kk</v>
      </c>
      <c r="J425" s="11">
        <f>modif0!M388</f>
        <v>0.22789999999999999</v>
      </c>
      <c r="K425" s="11" t="str">
        <f>modif0!P388</f>
        <v>TAIL</v>
      </c>
      <c r="L425" t="str">
        <f>modif0!N388</f>
        <v>FEUIL</v>
      </c>
      <c r="M425">
        <f>modif0!Q388</f>
        <v>1985</v>
      </c>
      <c r="N425" t="str">
        <f>modif0!R388</f>
        <v>TAIL-FEUIL_1985</v>
      </c>
      <c r="O425" t="b">
        <f>modif0!S388</f>
        <v>0</v>
      </c>
      <c r="P425">
        <v>40</v>
      </c>
      <c r="AA425" s="17" t="b">
        <f>IF($A425,$J425*(IF(Q425=regle!$B$11,regle!$B$23*IF(AJ425=-2,1+regle!$B$35,1),
IF(Q425=regle!$C$11,regle!$C$23,
IF(Q425=regle!$D$11,regle!$D$23,
IF(Q425=regle!$E$11,regle!$E$23,
IF(Q425=regle!$F$11,regle!$F$23,
IF(Q425=regle!$G$11,regle!$G$23,
IF(Q425=regle!$H$11,regle!$H$23,
IF(Q425=regle!$I$11,regle!$I$23,
IF(Q425=regle!$J$11,regle!$J$23,
IF(Q425=regle!$K$11,regle!$K$23,0))))))))))))</f>
        <v>0</v>
      </c>
      <c r="AB425" s="17" t="b">
        <f>IF($A425,$J425*(IF(R425=regle!$B$11,regle!$B$23*IF(AK425=-2,1+regle!$B$35,1),
IF(R425=regle!$C$11,regle!$C$23,
IF(R425=regle!$D$11,regle!$D$23,
IF(R425=regle!$E$11,regle!$E$23,
IF(R425=regle!$F$11,regle!$F$23,
IF(R425=regle!$G$11,regle!$G$23,
IF(R425=regle!$H$11,regle!$H$23,
IF(R425=regle!$I$11,regle!$I$23,
IF(R425=regle!$J$11,regle!$J$23,
IF(R425=regle!$K$11,regle!$K$23,0))))))))))))</f>
        <v>0</v>
      </c>
      <c r="AC425" s="17" t="b">
        <f>IF($A425,$J425*(IF(S425=regle!$B$11,regle!$B$23*IF(AL425=-2,1+regle!$B$35,1),
IF(S425=regle!$C$11,regle!$C$23,
IF(S425=regle!$D$11,regle!$D$23,
IF(S425=regle!$E$11,regle!$E$23,
IF(S425=regle!$F$11,regle!$F$23,
IF(S425=regle!$G$11,regle!$G$23,
IF(S425=regle!$H$11,regle!$H$23,
IF(S425=regle!$I$11,regle!$I$23,
IF(S425=regle!$J$11,regle!$J$23,
IF(S425=regle!$K$11,regle!$K$23,0))))))))))))</f>
        <v>0</v>
      </c>
      <c r="AD425" s="17" t="b">
        <f>IF($A425,$J425*(IF(T425=regle!$B$11,regle!$B$23*IF(AM425=-2,1+regle!$B$35,1),
IF(T425=regle!$C$11,regle!$C$23,
IF(T425=regle!$D$11,regle!$D$23,
IF(T425=regle!$E$11,regle!$E$23,
IF(T425=regle!$F$11,regle!$F$23,
IF(T425=regle!$G$11,regle!$G$23,
IF(T425=regle!$H$11,regle!$H$23,
IF(T425=regle!$I$11,regle!$I$23,
IF(T425=regle!$J$11,regle!$J$23,
IF(T425=regle!$K$11,regle!$K$23,0))))))))))))</f>
        <v>0</v>
      </c>
      <c r="AE425" s="17" t="b">
        <f>IF($A425,$J425*(IF(U425=regle!$B$11,regle!$B$23*IF(AN425=-2,1+regle!$B$35,1),
IF(U425=regle!$C$11,regle!$C$23,
IF(U425=regle!$D$11,regle!$D$23,
IF(U425=regle!$E$11,regle!$E$23,
IF(U425=regle!$F$11,regle!$F$23,
IF(U425=regle!$G$11,regle!$G$23,
IF(U425=regle!$H$11,regle!$H$23,
IF(U425=regle!$I$11,regle!$I$23,
IF(U425=regle!$J$11,regle!$J$23,
IF(U425=regle!$K$11,regle!$K$23,0))))))))))))</f>
        <v>0</v>
      </c>
      <c r="AF425" s="17" t="b">
        <f>IF($A425,$J425*(IF(V425=regle!$B$11,regle!$B$23*IF(AO425=-2,1+regle!$B$35,1),
IF(V425=regle!$C$11,regle!$C$23,
IF(V425=regle!$D$11,regle!$D$23,
IF(V425=regle!$E$11,regle!$E$23,
IF(V425=regle!$F$11,regle!$F$23,
IF(V425=regle!$G$11,regle!$G$23,
IF(V425=regle!$H$11,regle!$H$23,
IF(V425=regle!$I$11,regle!$I$23,
IF(V425=regle!$J$11,regle!$J$23,
IF(V425=regle!$K$11,regle!$K$23,0))))))))))))</f>
        <v>0</v>
      </c>
      <c r="AG425" s="17" t="b">
        <f>IF($A425,$J425*(IF(W425=regle!$B$11,regle!$B$23*IF(AP425=-2,1+regle!$B$35,1),
IF(W425=regle!$C$11,regle!$C$23,
IF(W425=regle!$D$11,regle!$D$23,
IF(W425=regle!$E$11,regle!$E$23,
IF(W425=regle!$F$11,regle!$F$23,
IF(W425=regle!$G$11,regle!$G$23,
IF(W425=regle!$H$11,regle!$H$23,
IF(W425=regle!$I$11,regle!$I$23,
IF(W425=regle!$J$11,regle!$J$23,
IF(W425=regle!$K$11,regle!$K$23,0))))))))))))</f>
        <v>0</v>
      </c>
      <c r="AH425" s="17" t="b">
        <f>IF($A425,$J425*(IF(X425=regle!$B$11,regle!$B$23*IF(AQ425=-2,1+regle!$B$35,1),
IF(X425=regle!$C$11,regle!$C$23,
IF(X425=regle!$D$11,regle!$D$23,
IF(X425=regle!$E$11,regle!$E$23,
IF(X425=regle!$F$11,regle!$F$23,
IF(X425=regle!$G$11,regle!$G$23,
IF(X425=regle!$H$11,regle!$H$23,
IF(X425=regle!$I$11,regle!$I$23,
IF(X425=regle!$J$11,regle!$J$23,
IF(X425=regle!$K$11,regle!$K$23,0))))))))))))</f>
        <v>0</v>
      </c>
      <c r="AI425" s="17" t="b">
        <f>IF($A425,$J425*(IF(Y425=regle!$B$11,regle!$B$23*IF(AR425=-2,1+regle!$B$35,1),
IF(Y425=regle!$C$11,regle!$C$23,
IF(Y425=regle!$D$11,regle!$D$23,
IF(Y425=regle!$E$11,regle!$E$23,
IF(Y425=regle!$F$11,regle!$F$23,
IF(Y425=regle!$G$11,regle!$G$23,
IF(Y425=regle!$H$11,regle!$H$23,
IF(Y425=regle!$I$11,regle!$I$23,
IF(Y425=regle!$J$11,regle!$J$23,
IF(Y425=regle!$K$11,regle!$K$23,0))))))))))))</f>
        <v>0</v>
      </c>
      <c r="AJ425" s="17" t="b">
        <f>IF($A425,$J425*(IF(Z425=regle!$B$11,regle!$B$23*IF(AS425=-2,1+regle!$B$35,1),
IF(Z425=regle!$C$11,regle!$C$23,
IF(Z425=regle!$D$11,regle!$D$23,
IF(Z425=regle!$E$11,regle!$E$23,
IF(Z425=regle!$F$11,regle!$F$23,
IF(Z425=regle!$G$11,regle!$G$23,
IF(Z425=regle!$H$11,regle!$H$23,
IF(Z425=regle!$I$11,regle!$I$23,
IF(Z425=regle!$J$11,regle!$J$23,
IF(Z425=regle!$K$11,regle!$K$23,0))))))))))))</f>
        <v>0</v>
      </c>
      <c r="AK425" s="16">
        <f>IF(OR(Q425=regle!$J$11,Q425=regle!$K$11),-2,IF(Q425=regle!$B$11,0,IF(AK$1=$AK$1,IF($O425,-1,regle!$B$2-$M425),IF(AJ425=-1,-1,AJ425+1))))</f>
        <v>39</v>
      </c>
      <c r="AL425" s="16">
        <f>IF(OR(R425=regle!$J$11,R425=regle!$K$11),-2,IF(R425=regle!$B$11,0,IF(AL$1=$AK$1,IF($O425,-1,regle!$B$2-$M425),IF(AK425=-1,-1,AK425+1))))</f>
        <v>40</v>
      </c>
      <c r="AM425" s="16">
        <f>IF(OR(S425=regle!$J$11,S425=regle!$K$11),-2,IF(S425=regle!$B$11,0,IF(AM$1=$AK$1,IF($O425,-1,regle!$B$2-$M425),IF(AL425=-1,-1,AL425+1))))</f>
        <v>41</v>
      </c>
      <c r="AN425" s="16">
        <f>IF(OR(T425=regle!$J$11,T425=regle!$K$11),-2,IF(T425=regle!$B$11,0,IF(AN$1=$AK$1,IF($O425,-1,regle!$B$2-$M425),IF(AM425=-1,-1,AM425+1))))</f>
        <v>42</v>
      </c>
      <c r="AO425" s="16">
        <f>IF(OR(U425=regle!$J$11,U425=regle!$K$11),-2,IF(U425=regle!$B$11,0,IF(AO$1=$AK$1,IF($O425,-1,regle!$B$2-$M425),IF(AN425=-1,-1,AN425+1))))</f>
        <v>43</v>
      </c>
      <c r="AP425" s="16">
        <f>IF(OR(V425=regle!$J$11,V425=regle!$K$11),-2,IF(V425=regle!$B$11,0,IF(AP$1=$AK$1,IF($O425,-1,regle!$B$2-$M425),IF(AO425=-1,-1,AO425+1))))</f>
        <v>44</v>
      </c>
      <c r="AQ425" s="16">
        <f>IF(OR(W425=regle!$J$11,W425=regle!$K$11),-2,IF(W425=regle!$B$11,0,IF(AQ$1=$AK$1,IF($O425,-1,regle!$B$2-$M425),IF(AP425=-1,-1,AP425+1))))</f>
        <v>45</v>
      </c>
      <c r="AR425" s="16">
        <f>IF(OR(X425=regle!$J$11,X425=regle!$K$11),-2,IF(X425=regle!$B$11,0,IF(AR$1=$AK$1,IF($O425,-1,regle!$B$2-$M425),IF(AQ425=-1,-1,AQ425+1))))</f>
        <v>46</v>
      </c>
      <c r="AS425" s="16">
        <f>IF(OR(Y425=regle!$J$11,Y425=regle!$K$11),-2,IF(Y425=regle!$B$11,0,IF(AS$1=$AK$1,IF($O425,-1,regle!$B$2-$M425),IF(AR425=-1,-1,AR425+1))))</f>
        <v>47</v>
      </c>
      <c r="AT425" s="16">
        <f>IF(OR(Z425=regle!$J$11,Z425=regle!$K$11),-2,IF(Z425=regle!$B$11,0,IF(AT$1=$AK$1,IF($O425,-1,regle!$B$2-$M425),IF(AS425=-1,-1,AS425+1))))</f>
        <v>48</v>
      </c>
    </row>
    <row r="426" spans="1:46" x14ac:dyDescent="0.25">
      <c r="A426" t="b">
        <f>modif0!A393</f>
        <v>0</v>
      </c>
      <c r="B426">
        <f>ROW(modif0!B393)</f>
        <v>393</v>
      </c>
      <c r="C426" t="str">
        <f>modif0!D393</f>
        <v>536</v>
      </c>
      <c r="D426" t="str">
        <f>modif0!E393</f>
        <v>LE TUZAN</v>
      </c>
      <c r="E426">
        <f>modif0!F393</f>
        <v>21</v>
      </c>
      <c r="F426" t="str">
        <f>modif0!G393</f>
        <v>METAIRIES DE TABARTON</v>
      </c>
      <c r="G426" t="str">
        <f>modif0!I393</f>
        <v>0A</v>
      </c>
      <c r="H426">
        <f>modif0!J393</f>
        <v>420</v>
      </c>
      <c r="I426" t="str">
        <f>modif0!K393</f>
        <v>d</v>
      </c>
      <c r="J426" s="11">
        <f>modif0!M393</f>
        <v>0.22650000000000001</v>
      </c>
      <c r="K426" s="11" t="str">
        <f>modif0!P393</f>
        <v>TAIL</v>
      </c>
      <c r="L426" t="str">
        <f>modif0!N393</f>
        <v>FEUIL</v>
      </c>
      <c r="M426">
        <f>modif0!Q393</f>
        <v>1985</v>
      </c>
      <c r="N426" t="str">
        <f>modif0!R393</f>
        <v>TAIL-FEUIL_1985</v>
      </c>
      <c r="O426" t="b">
        <f>modif0!S393</f>
        <v>0</v>
      </c>
      <c r="P426">
        <v>40</v>
      </c>
      <c r="AA426" s="17" t="b">
        <f>IF($A426,$J426*(IF(Q426=regle!$B$11,regle!$B$23*IF(AJ426=-2,1+regle!$B$35,1),
IF(Q426=regle!$C$11,regle!$C$23,
IF(Q426=regle!$D$11,regle!$D$23,
IF(Q426=regle!$E$11,regle!$E$23,
IF(Q426=regle!$F$11,regle!$F$23,
IF(Q426=regle!$G$11,regle!$G$23,
IF(Q426=regle!$H$11,regle!$H$23,
IF(Q426=regle!$I$11,regle!$I$23,
IF(Q426=regle!$J$11,regle!$J$23,
IF(Q426=regle!$K$11,regle!$K$23,0))))))))))))</f>
        <v>0</v>
      </c>
      <c r="AB426" s="17" t="b">
        <f>IF($A426,$J426*(IF(R426=regle!$B$11,regle!$B$23*IF(AK426=-2,1+regle!$B$35,1),
IF(R426=regle!$C$11,regle!$C$23,
IF(R426=regle!$D$11,regle!$D$23,
IF(R426=regle!$E$11,regle!$E$23,
IF(R426=regle!$F$11,regle!$F$23,
IF(R426=regle!$G$11,regle!$G$23,
IF(R426=regle!$H$11,regle!$H$23,
IF(R426=regle!$I$11,regle!$I$23,
IF(R426=regle!$J$11,regle!$J$23,
IF(R426=regle!$K$11,regle!$K$23,0))))))))))))</f>
        <v>0</v>
      </c>
      <c r="AC426" s="17" t="b">
        <f>IF($A426,$J426*(IF(S426=regle!$B$11,regle!$B$23*IF(AL426=-2,1+regle!$B$35,1),
IF(S426=regle!$C$11,regle!$C$23,
IF(S426=regle!$D$11,regle!$D$23,
IF(S426=regle!$E$11,regle!$E$23,
IF(S426=regle!$F$11,regle!$F$23,
IF(S426=regle!$G$11,regle!$G$23,
IF(S426=regle!$H$11,regle!$H$23,
IF(S426=regle!$I$11,regle!$I$23,
IF(S426=regle!$J$11,regle!$J$23,
IF(S426=regle!$K$11,regle!$K$23,0))))))))))))</f>
        <v>0</v>
      </c>
      <c r="AD426" s="17" t="b">
        <f>IF($A426,$J426*(IF(T426=regle!$B$11,regle!$B$23*IF(AM426=-2,1+regle!$B$35,1),
IF(T426=regle!$C$11,regle!$C$23,
IF(T426=regle!$D$11,regle!$D$23,
IF(T426=regle!$E$11,regle!$E$23,
IF(T426=regle!$F$11,regle!$F$23,
IF(T426=regle!$G$11,regle!$G$23,
IF(T426=regle!$H$11,regle!$H$23,
IF(T426=regle!$I$11,regle!$I$23,
IF(T426=regle!$J$11,regle!$J$23,
IF(T426=regle!$K$11,regle!$K$23,0))))))))))))</f>
        <v>0</v>
      </c>
      <c r="AE426" s="17" t="b">
        <f>IF($A426,$J426*(IF(U426=regle!$B$11,regle!$B$23*IF(AN426=-2,1+regle!$B$35,1),
IF(U426=regle!$C$11,regle!$C$23,
IF(U426=regle!$D$11,regle!$D$23,
IF(U426=regle!$E$11,regle!$E$23,
IF(U426=regle!$F$11,regle!$F$23,
IF(U426=regle!$G$11,regle!$G$23,
IF(U426=regle!$H$11,regle!$H$23,
IF(U426=regle!$I$11,regle!$I$23,
IF(U426=regle!$J$11,regle!$J$23,
IF(U426=regle!$K$11,regle!$K$23,0))))))))))))</f>
        <v>0</v>
      </c>
      <c r="AF426" s="17" t="b">
        <f>IF($A426,$J426*(IF(V426=regle!$B$11,regle!$B$23*IF(AO426=-2,1+regle!$B$35,1),
IF(V426=regle!$C$11,regle!$C$23,
IF(V426=regle!$D$11,regle!$D$23,
IF(V426=regle!$E$11,regle!$E$23,
IF(V426=regle!$F$11,regle!$F$23,
IF(V426=regle!$G$11,regle!$G$23,
IF(V426=regle!$H$11,regle!$H$23,
IF(V426=regle!$I$11,regle!$I$23,
IF(V426=regle!$J$11,regle!$J$23,
IF(V426=regle!$K$11,regle!$K$23,0))))))))))))</f>
        <v>0</v>
      </c>
      <c r="AG426" s="17" t="b">
        <f>IF($A426,$J426*(IF(W426=regle!$B$11,regle!$B$23*IF(AP426=-2,1+regle!$B$35,1),
IF(W426=regle!$C$11,regle!$C$23,
IF(W426=regle!$D$11,regle!$D$23,
IF(W426=regle!$E$11,regle!$E$23,
IF(W426=regle!$F$11,regle!$F$23,
IF(W426=regle!$G$11,regle!$G$23,
IF(W426=regle!$H$11,regle!$H$23,
IF(W426=regle!$I$11,regle!$I$23,
IF(W426=regle!$J$11,regle!$J$23,
IF(W426=regle!$K$11,regle!$K$23,0))))))))))))</f>
        <v>0</v>
      </c>
      <c r="AH426" s="17" t="b">
        <f>IF($A426,$J426*(IF(X426=regle!$B$11,regle!$B$23*IF(AQ426=-2,1+regle!$B$35,1),
IF(X426=regle!$C$11,regle!$C$23,
IF(X426=regle!$D$11,regle!$D$23,
IF(X426=regle!$E$11,regle!$E$23,
IF(X426=regle!$F$11,regle!$F$23,
IF(X426=regle!$G$11,regle!$G$23,
IF(X426=regle!$H$11,regle!$H$23,
IF(X426=regle!$I$11,regle!$I$23,
IF(X426=regle!$J$11,regle!$J$23,
IF(X426=regle!$K$11,regle!$K$23,0))))))))))))</f>
        <v>0</v>
      </c>
      <c r="AI426" s="17" t="b">
        <f>IF($A426,$J426*(IF(Y426=regle!$B$11,regle!$B$23*IF(AR426=-2,1+regle!$B$35,1),
IF(Y426=regle!$C$11,regle!$C$23,
IF(Y426=regle!$D$11,regle!$D$23,
IF(Y426=regle!$E$11,regle!$E$23,
IF(Y426=regle!$F$11,regle!$F$23,
IF(Y426=regle!$G$11,regle!$G$23,
IF(Y426=regle!$H$11,regle!$H$23,
IF(Y426=regle!$I$11,regle!$I$23,
IF(Y426=regle!$J$11,regle!$J$23,
IF(Y426=regle!$K$11,regle!$K$23,0))))))))))))</f>
        <v>0</v>
      </c>
      <c r="AJ426" s="17" t="b">
        <f>IF($A426,$J426*(IF(Z426=regle!$B$11,regle!$B$23*IF(AS426=-2,1+regle!$B$35,1),
IF(Z426=regle!$C$11,regle!$C$23,
IF(Z426=regle!$D$11,regle!$D$23,
IF(Z426=regle!$E$11,regle!$E$23,
IF(Z426=regle!$F$11,regle!$F$23,
IF(Z426=regle!$G$11,regle!$G$23,
IF(Z426=regle!$H$11,regle!$H$23,
IF(Z426=regle!$I$11,regle!$I$23,
IF(Z426=regle!$J$11,regle!$J$23,
IF(Z426=regle!$K$11,regle!$K$23,0))))))))))))</f>
        <v>0</v>
      </c>
      <c r="AK426" s="16">
        <f>IF(OR(Q426=regle!$J$11,Q426=regle!$K$11),-2,IF(Q426=regle!$B$11,0,IF(AK$1=$AK$1,IF($O426,-1,regle!$B$2-$M426),IF(AJ426=-1,-1,AJ426+1))))</f>
        <v>39</v>
      </c>
      <c r="AL426" s="16">
        <f>IF(OR(R426=regle!$J$11,R426=regle!$K$11),-2,IF(R426=regle!$B$11,0,IF(AL$1=$AK$1,IF($O426,-1,regle!$B$2-$M426),IF(AK426=-1,-1,AK426+1))))</f>
        <v>40</v>
      </c>
      <c r="AM426" s="16">
        <f>IF(OR(S426=regle!$J$11,S426=regle!$K$11),-2,IF(S426=regle!$B$11,0,IF(AM$1=$AK$1,IF($O426,-1,regle!$B$2-$M426),IF(AL426=-1,-1,AL426+1))))</f>
        <v>41</v>
      </c>
      <c r="AN426" s="16">
        <f>IF(OR(T426=regle!$J$11,T426=regle!$K$11),-2,IF(T426=regle!$B$11,0,IF(AN$1=$AK$1,IF($O426,-1,regle!$B$2-$M426),IF(AM426=-1,-1,AM426+1))))</f>
        <v>42</v>
      </c>
      <c r="AO426" s="16">
        <f>IF(OR(U426=regle!$J$11,U426=regle!$K$11),-2,IF(U426=regle!$B$11,0,IF(AO$1=$AK$1,IF($O426,-1,regle!$B$2-$M426),IF(AN426=-1,-1,AN426+1))))</f>
        <v>43</v>
      </c>
      <c r="AP426" s="16">
        <f>IF(OR(V426=regle!$J$11,V426=regle!$K$11),-2,IF(V426=regle!$B$11,0,IF(AP$1=$AK$1,IF($O426,-1,regle!$B$2-$M426),IF(AO426=-1,-1,AO426+1))))</f>
        <v>44</v>
      </c>
      <c r="AQ426" s="16">
        <f>IF(OR(W426=regle!$J$11,W426=regle!$K$11),-2,IF(W426=regle!$B$11,0,IF(AQ$1=$AK$1,IF($O426,-1,regle!$B$2-$M426),IF(AP426=-1,-1,AP426+1))))</f>
        <v>45</v>
      </c>
      <c r="AR426" s="16">
        <f>IF(OR(X426=regle!$J$11,X426=regle!$K$11),-2,IF(X426=regle!$B$11,0,IF(AR$1=$AK$1,IF($O426,-1,regle!$B$2-$M426),IF(AQ426=-1,-1,AQ426+1))))</f>
        <v>46</v>
      </c>
      <c r="AS426" s="16">
        <f>IF(OR(Y426=regle!$J$11,Y426=regle!$K$11),-2,IF(Y426=regle!$B$11,0,IF(AS$1=$AK$1,IF($O426,-1,regle!$B$2-$M426),IF(AR426=-1,-1,AR426+1))))</f>
        <v>47</v>
      </c>
      <c r="AT426" s="16">
        <f>IF(OR(Z426=regle!$J$11,Z426=regle!$K$11),-2,IF(Z426=regle!$B$11,0,IF(AT$1=$AK$1,IF($O426,-1,regle!$B$2-$M426),IF(AS426=-1,-1,AS426+1))))</f>
        <v>48</v>
      </c>
    </row>
    <row r="427" spans="1:46" x14ac:dyDescent="0.25">
      <c r="A427" t="b">
        <f>modif0!A384</f>
        <v>0</v>
      </c>
      <c r="B427">
        <f>ROW(modif0!B384)</f>
        <v>384</v>
      </c>
      <c r="C427" t="str">
        <f>modif0!D384</f>
        <v>536</v>
      </c>
      <c r="D427" t="str">
        <f>modif0!E384</f>
        <v>LE TUZAN</v>
      </c>
      <c r="E427">
        <f>modif0!F384</f>
        <v>21</v>
      </c>
      <c r="F427" t="str">
        <f>modif0!G384</f>
        <v>METAIRIES DE TABARTON</v>
      </c>
      <c r="G427" t="str">
        <f>modif0!I384</f>
        <v>0A</v>
      </c>
      <c r="H427">
        <f>modif0!J384</f>
        <v>409</v>
      </c>
      <c r="I427" t="str">
        <f>modif0!K384</f>
        <v>j</v>
      </c>
      <c r="J427" s="11">
        <f>modif0!M384</f>
        <v>0.21110000000000001</v>
      </c>
      <c r="K427" s="11" t="str">
        <f>modif0!P384</f>
        <v>TAIL</v>
      </c>
      <c r="L427" t="str">
        <f>modif0!N384</f>
        <v>FEUIL</v>
      </c>
      <c r="M427">
        <f>modif0!Q384</f>
        <v>1985</v>
      </c>
      <c r="N427" t="str">
        <f>modif0!R384</f>
        <v>TAIL-FEUIL_1985</v>
      </c>
      <c r="O427" t="b">
        <f>modif0!S384</f>
        <v>0</v>
      </c>
      <c r="P427">
        <v>40</v>
      </c>
      <c r="AA427" s="17" t="b">
        <f>IF($A427,$J427*(IF(Q427=regle!$B$11,regle!$B$23*IF(AJ427=-2,1+regle!$B$35,1),
IF(Q427=regle!$C$11,regle!$C$23,
IF(Q427=regle!$D$11,regle!$D$23,
IF(Q427=regle!$E$11,regle!$E$23,
IF(Q427=regle!$F$11,regle!$F$23,
IF(Q427=regle!$G$11,regle!$G$23,
IF(Q427=regle!$H$11,regle!$H$23,
IF(Q427=regle!$I$11,regle!$I$23,
IF(Q427=regle!$J$11,regle!$J$23,
IF(Q427=regle!$K$11,regle!$K$23,0))))))))))))</f>
        <v>0</v>
      </c>
      <c r="AB427" s="17" t="b">
        <f>IF($A427,$J427*(IF(R427=regle!$B$11,regle!$B$23*IF(AK427=-2,1+regle!$B$35,1),
IF(R427=regle!$C$11,regle!$C$23,
IF(R427=regle!$D$11,regle!$D$23,
IF(R427=regle!$E$11,regle!$E$23,
IF(R427=regle!$F$11,regle!$F$23,
IF(R427=regle!$G$11,regle!$G$23,
IF(R427=regle!$H$11,regle!$H$23,
IF(R427=regle!$I$11,regle!$I$23,
IF(R427=regle!$J$11,regle!$J$23,
IF(R427=regle!$K$11,regle!$K$23,0))))))))))))</f>
        <v>0</v>
      </c>
      <c r="AC427" s="17" t="b">
        <f>IF($A427,$J427*(IF(S427=regle!$B$11,regle!$B$23*IF(AL427=-2,1+regle!$B$35,1),
IF(S427=regle!$C$11,regle!$C$23,
IF(S427=regle!$D$11,regle!$D$23,
IF(S427=regle!$E$11,regle!$E$23,
IF(S427=regle!$F$11,regle!$F$23,
IF(S427=regle!$G$11,regle!$G$23,
IF(S427=regle!$H$11,regle!$H$23,
IF(S427=regle!$I$11,regle!$I$23,
IF(S427=regle!$J$11,regle!$J$23,
IF(S427=regle!$K$11,regle!$K$23,0))))))))))))</f>
        <v>0</v>
      </c>
      <c r="AD427" s="17" t="b">
        <f>IF($A427,$J427*(IF(T427=regle!$B$11,regle!$B$23*IF(AM427=-2,1+regle!$B$35,1),
IF(T427=regle!$C$11,regle!$C$23,
IF(T427=regle!$D$11,regle!$D$23,
IF(T427=regle!$E$11,regle!$E$23,
IF(T427=regle!$F$11,regle!$F$23,
IF(T427=regle!$G$11,regle!$G$23,
IF(T427=regle!$H$11,regle!$H$23,
IF(T427=regle!$I$11,regle!$I$23,
IF(T427=regle!$J$11,regle!$J$23,
IF(T427=regle!$K$11,regle!$K$23,0))))))))))))</f>
        <v>0</v>
      </c>
      <c r="AE427" s="17" t="b">
        <f>IF($A427,$J427*(IF(U427=regle!$B$11,regle!$B$23*IF(AN427=-2,1+regle!$B$35,1),
IF(U427=regle!$C$11,regle!$C$23,
IF(U427=regle!$D$11,regle!$D$23,
IF(U427=regle!$E$11,regle!$E$23,
IF(U427=regle!$F$11,regle!$F$23,
IF(U427=regle!$G$11,regle!$G$23,
IF(U427=regle!$H$11,regle!$H$23,
IF(U427=regle!$I$11,regle!$I$23,
IF(U427=regle!$J$11,regle!$J$23,
IF(U427=regle!$K$11,regle!$K$23,0))))))))))))</f>
        <v>0</v>
      </c>
      <c r="AF427" s="17" t="b">
        <f>IF($A427,$J427*(IF(V427=regle!$B$11,regle!$B$23*IF(AO427=-2,1+regle!$B$35,1),
IF(V427=regle!$C$11,regle!$C$23,
IF(V427=regle!$D$11,regle!$D$23,
IF(V427=regle!$E$11,regle!$E$23,
IF(V427=regle!$F$11,regle!$F$23,
IF(V427=regle!$G$11,regle!$G$23,
IF(V427=regle!$H$11,regle!$H$23,
IF(V427=regle!$I$11,regle!$I$23,
IF(V427=regle!$J$11,regle!$J$23,
IF(V427=regle!$K$11,regle!$K$23,0))))))))))))</f>
        <v>0</v>
      </c>
      <c r="AG427" s="17" t="b">
        <f>IF($A427,$J427*(IF(W427=regle!$B$11,regle!$B$23*IF(AP427=-2,1+regle!$B$35,1),
IF(W427=regle!$C$11,regle!$C$23,
IF(W427=regle!$D$11,regle!$D$23,
IF(W427=regle!$E$11,regle!$E$23,
IF(W427=regle!$F$11,regle!$F$23,
IF(W427=regle!$G$11,regle!$G$23,
IF(W427=regle!$H$11,regle!$H$23,
IF(W427=regle!$I$11,regle!$I$23,
IF(W427=regle!$J$11,regle!$J$23,
IF(W427=regle!$K$11,regle!$K$23,0))))))))))))</f>
        <v>0</v>
      </c>
      <c r="AH427" s="17" t="b">
        <f>IF($A427,$J427*(IF(X427=regle!$B$11,regle!$B$23*IF(AQ427=-2,1+regle!$B$35,1),
IF(X427=regle!$C$11,regle!$C$23,
IF(X427=regle!$D$11,regle!$D$23,
IF(X427=regle!$E$11,regle!$E$23,
IF(X427=regle!$F$11,regle!$F$23,
IF(X427=regle!$G$11,regle!$G$23,
IF(X427=regle!$H$11,regle!$H$23,
IF(X427=regle!$I$11,regle!$I$23,
IF(X427=regle!$J$11,regle!$J$23,
IF(X427=regle!$K$11,regle!$K$23,0))))))))))))</f>
        <v>0</v>
      </c>
      <c r="AI427" s="17" t="b">
        <f>IF($A427,$J427*(IF(Y427=regle!$B$11,regle!$B$23*IF(AR427=-2,1+regle!$B$35,1),
IF(Y427=regle!$C$11,regle!$C$23,
IF(Y427=regle!$D$11,regle!$D$23,
IF(Y427=regle!$E$11,regle!$E$23,
IF(Y427=regle!$F$11,regle!$F$23,
IF(Y427=regle!$G$11,regle!$G$23,
IF(Y427=regle!$H$11,regle!$H$23,
IF(Y427=regle!$I$11,regle!$I$23,
IF(Y427=regle!$J$11,regle!$J$23,
IF(Y427=regle!$K$11,regle!$K$23,0))))))))))))</f>
        <v>0</v>
      </c>
      <c r="AJ427" s="17" t="b">
        <f>IF($A427,$J427*(IF(Z427=regle!$B$11,regle!$B$23*IF(AS427=-2,1+regle!$B$35,1),
IF(Z427=regle!$C$11,regle!$C$23,
IF(Z427=regle!$D$11,regle!$D$23,
IF(Z427=regle!$E$11,regle!$E$23,
IF(Z427=regle!$F$11,regle!$F$23,
IF(Z427=regle!$G$11,regle!$G$23,
IF(Z427=regle!$H$11,regle!$H$23,
IF(Z427=regle!$I$11,regle!$I$23,
IF(Z427=regle!$J$11,regle!$J$23,
IF(Z427=regle!$K$11,regle!$K$23,0))))))))))))</f>
        <v>0</v>
      </c>
      <c r="AK427" s="16">
        <f>IF(OR(Q427=regle!$J$11,Q427=regle!$K$11),-2,IF(Q427=regle!$B$11,0,IF(AK$1=$AK$1,IF($O427,-1,regle!$B$2-$M427),IF(AJ427=-1,-1,AJ427+1))))</f>
        <v>39</v>
      </c>
      <c r="AL427" s="16">
        <f>IF(OR(R427=regle!$J$11,R427=regle!$K$11),-2,IF(R427=regle!$B$11,0,IF(AL$1=$AK$1,IF($O427,-1,regle!$B$2-$M427),IF(AK427=-1,-1,AK427+1))))</f>
        <v>40</v>
      </c>
      <c r="AM427" s="16">
        <f>IF(OR(S427=regle!$J$11,S427=regle!$K$11),-2,IF(S427=regle!$B$11,0,IF(AM$1=$AK$1,IF($O427,-1,regle!$B$2-$M427),IF(AL427=-1,-1,AL427+1))))</f>
        <v>41</v>
      </c>
      <c r="AN427" s="16">
        <f>IF(OR(T427=regle!$J$11,T427=regle!$K$11),-2,IF(T427=regle!$B$11,0,IF(AN$1=$AK$1,IF($O427,-1,regle!$B$2-$M427),IF(AM427=-1,-1,AM427+1))))</f>
        <v>42</v>
      </c>
      <c r="AO427" s="16">
        <f>IF(OR(U427=regle!$J$11,U427=regle!$K$11),-2,IF(U427=regle!$B$11,0,IF(AO$1=$AK$1,IF($O427,-1,regle!$B$2-$M427),IF(AN427=-1,-1,AN427+1))))</f>
        <v>43</v>
      </c>
      <c r="AP427" s="16">
        <f>IF(OR(V427=regle!$J$11,V427=regle!$K$11),-2,IF(V427=regle!$B$11,0,IF(AP$1=$AK$1,IF($O427,-1,regle!$B$2-$M427),IF(AO427=-1,-1,AO427+1))))</f>
        <v>44</v>
      </c>
      <c r="AQ427" s="16">
        <f>IF(OR(W427=regle!$J$11,W427=regle!$K$11),-2,IF(W427=regle!$B$11,0,IF(AQ$1=$AK$1,IF($O427,-1,regle!$B$2-$M427),IF(AP427=-1,-1,AP427+1))))</f>
        <v>45</v>
      </c>
      <c r="AR427" s="16">
        <f>IF(OR(X427=regle!$J$11,X427=regle!$K$11),-2,IF(X427=regle!$B$11,0,IF(AR$1=$AK$1,IF($O427,-1,regle!$B$2-$M427),IF(AQ427=-1,-1,AQ427+1))))</f>
        <v>46</v>
      </c>
      <c r="AS427" s="16">
        <f>IF(OR(Y427=regle!$J$11,Y427=regle!$K$11),-2,IF(Y427=regle!$B$11,0,IF(AS$1=$AK$1,IF($O427,-1,regle!$B$2-$M427),IF(AR427=-1,-1,AR427+1))))</f>
        <v>47</v>
      </c>
      <c r="AT427" s="16">
        <f>IF(OR(Z427=regle!$J$11,Z427=regle!$K$11),-2,IF(Z427=regle!$B$11,0,IF(AT$1=$AK$1,IF($O427,-1,regle!$B$2-$M427),IF(AS427=-1,-1,AS427+1))))</f>
        <v>48</v>
      </c>
    </row>
    <row r="428" spans="1:46" x14ac:dyDescent="0.25">
      <c r="A428" t="b">
        <f>modif0!A405</f>
        <v>0</v>
      </c>
      <c r="B428">
        <f>ROW(modif0!B405)</f>
        <v>405</v>
      </c>
      <c r="C428" t="str">
        <f>modif0!D405</f>
        <v>202</v>
      </c>
      <c r="D428" t="str">
        <f>modif0!E405</f>
        <v>HOSTENS</v>
      </c>
      <c r="E428">
        <f>modif0!F405</f>
        <v>8</v>
      </c>
      <c r="F428" t="str">
        <f>modif0!G405</f>
        <v>LES BECS</v>
      </c>
      <c r="G428" t="str">
        <f>modif0!I405</f>
        <v>0B</v>
      </c>
      <c r="H428">
        <f>modif0!J405</f>
        <v>1202</v>
      </c>
      <c r="I428" t="str">
        <f>modif0!K405</f>
        <v>k</v>
      </c>
      <c r="J428" s="11">
        <f>modif0!M405</f>
        <v>0.18310000000000001</v>
      </c>
      <c r="K428" s="11" t="str">
        <f>modif0!P405</f>
        <v>TAIL</v>
      </c>
      <c r="L428" t="str">
        <f>modif0!N405</f>
        <v>FEUIL</v>
      </c>
      <c r="M428">
        <f>modif0!Q405</f>
        <v>1985</v>
      </c>
      <c r="N428" t="str">
        <f>modif0!R405</f>
        <v>TAIL-FEUIL_1985</v>
      </c>
      <c r="O428" t="b">
        <f>modif0!S405</f>
        <v>0</v>
      </c>
      <c r="P428">
        <v>40</v>
      </c>
      <c r="AA428" s="17" t="b">
        <f>IF($A428,$J428*(IF(Q428=regle!$B$11,regle!$B$23*IF(AJ428=-2,1+regle!$B$35,1),
IF(Q428=regle!$C$11,regle!$C$23,
IF(Q428=regle!$D$11,regle!$D$23,
IF(Q428=regle!$E$11,regle!$E$23,
IF(Q428=regle!$F$11,regle!$F$23,
IF(Q428=regle!$G$11,regle!$G$23,
IF(Q428=regle!$H$11,regle!$H$23,
IF(Q428=regle!$I$11,regle!$I$23,
IF(Q428=regle!$J$11,regle!$J$23,
IF(Q428=regle!$K$11,regle!$K$23,0))))))))))))</f>
        <v>0</v>
      </c>
      <c r="AB428" s="17" t="b">
        <f>IF($A428,$J428*(IF(R428=regle!$B$11,regle!$B$23*IF(AK428=-2,1+regle!$B$35,1),
IF(R428=regle!$C$11,regle!$C$23,
IF(R428=regle!$D$11,regle!$D$23,
IF(R428=regle!$E$11,regle!$E$23,
IF(R428=regle!$F$11,regle!$F$23,
IF(R428=regle!$G$11,regle!$G$23,
IF(R428=regle!$H$11,regle!$H$23,
IF(R428=regle!$I$11,regle!$I$23,
IF(R428=regle!$J$11,regle!$J$23,
IF(R428=regle!$K$11,regle!$K$23,0))))))))))))</f>
        <v>0</v>
      </c>
      <c r="AC428" s="17" t="b">
        <f>IF($A428,$J428*(IF(S428=regle!$B$11,regle!$B$23*IF(AL428=-2,1+regle!$B$35,1),
IF(S428=regle!$C$11,regle!$C$23,
IF(S428=regle!$D$11,regle!$D$23,
IF(S428=regle!$E$11,regle!$E$23,
IF(S428=regle!$F$11,regle!$F$23,
IF(S428=regle!$G$11,regle!$G$23,
IF(S428=regle!$H$11,regle!$H$23,
IF(S428=regle!$I$11,regle!$I$23,
IF(S428=regle!$J$11,regle!$J$23,
IF(S428=regle!$K$11,regle!$K$23,0))))))))))))</f>
        <v>0</v>
      </c>
      <c r="AD428" s="17" t="b">
        <f>IF($A428,$J428*(IF(T428=regle!$B$11,regle!$B$23*IF(AM428=-2,1+regle!$B$35,1),
IF(T428=regle!$C$11,regle!$C$23,
IF(T428=regle!$D$11,regle!$D$23,
IF(T428=regle!$E$11,regle!$E$23,
IF(T428=regle!$F$11,regle!$F$23,
IF(T428=regle!$G$11,regle!$G$23,
IF(T428=regle!$H$11,regle!$H$23,
IF(T428=regle!$I$11,regle!$I$23,
IF(T428=regle!$J$11,regle!$J$23,
IF(T428=regle!$K$11,regle!$K$23,0))))))))))))</f>
        <v>0</v>
      </c>
      <c r="AE428" s="17" t="b">
        <f>IF($A428,$J428*(IF(U428=regle!$B$11,regle!$B$23*IF(AN428=-2,1+regle!$B$35,1),
IF(U428=regle!$C$11,regle!$C$23,
IF(U428=regle!$D$11,regle!$D$23,
IF(U428=regle!$E$11,regle!$E$23,
IF(U428=regle!$F$11,regle!$F$23,
IF(U428=regle!$G$11,regle!$G$23,
IF(U428=regle!$H$11,regle!$H$23,
IF(U428=regle!$I$11,regle!$I$23,
IF(U428=regle!$J$11,regle!$J$23,
IF(U428=regle!$K$11,regle!$K$23,0))))))))))))</f>
        <v>0</v>
      </c>
      <c r="AF428" s="17" t="b">
        <f>IF($A428,$J428*(IF(V428=regle!$B$11,regle!$B$23*IF(AO428=-2,1+regle!$B$35,1),
IF(V428=regle!$C$11,regle!$C$23,
IF(V428=regle!$D$11,regle!$D$23,
IF(V428=regle!$E$11,regle!$E$23,
IF(V428=regle!$F$11,regle!$F$23,
IF(V428=regle!$G$11,regle!$G$23,
IF(V428=regle!$H$11,regle!$H$23,
IF(V428=regle!$I$11,regle!$I$23,
IF(V428=regle!$J$11,regle!$J$23,
IF(V428=regle!$K$11,regle!$K$23,0))))))))))))</f>
        <v>0</v>
      </c>
      <c r="AG428" s="17" t="b">
        <f>IF($A428,$J428*(IF(W428=regle!$B$11,regle!$B$23*IF(AP428=-2,1+regle!$B$35,1),
IF(W428=regle!$C$11,regle!$C$23,
IF(W428=regle!$D$11,regle!$D$23,
IF(W428=regle!$E$11,regle!$E$23,
IF(W428=regle!$F$11,regle!$F$23,
IF(W428=regle!$G$11,regle!$G$23,
IF(W428=regle!$H$11,regle!$H$23,
IF(W428=regle!$I$11,regle!$I$23,
IF(W428=regle!$J$11,regle!$J$23,
IF(W428=regle!$K$11,regle!$K$23,0))))))))))))</f>
        <v>0</v>
      </c>
      <c r="AH428" s="17" t="b">
        <f>IF($A428,$J428*(IF(X428=regle!$B$11,regle!$B$23*IF(AQ428=-2,1+regle!$B$35,1),
IF(X428=regle!$C$11,regle!$C$23,
IF(X428=regle!$D$11,regle!$D$23,
IF(X428=regle!$E$11,regle!$E$23,
IF(X428=regle!$F$11,regle!$F$23,
IF(X428=regle!$G$11,regle!$G$23,
IF(X428=regle!$H$11,regle!$H$23,
IF(X428=regle!$I$11,regle!$I$23,
IF(X428=regle!$J$11,regle!$J$23,
IF(X428=regle!$K$11,regle!$K$23,0))))))))))))</f>
        <v>0</v>
      </c>
      <c r="AI428" s="17" t="b">
        <f>IF($A428,$J428*(IF(Y428=regle!$B$11,regle!$B$23*IF(AR428=-2,1+regle!$B$35,1),
IF(Y428=regle!$C$11,regle!$C$23,
IF(Y428=regle!$D$11,regle!$D$23,
IF(Y428=regle!$E$11,regle!$E$23,
IF(Y428=regle!$F$11,regle!$F$23,
IF(Y428=regle!$G$11,regle!$G$23,
IF(Y428=regle!$H$11,regle!$H$23,
IF(Y428=regle!$I$11,regle!$I$23,
IF(Y428=regle!$J$11,regle!$J$23,
IF(Y428=regle!$K$11,regle!$K$23,0))))))))))))</f>
        <v>0</v>
      </c>
      <c r="AJ428" s="17" t="b">
        <f>IF($A428,$J428*(IF(Z428=regle!$B$11,regle!$B$23*IF(AS428=-2,1+regle!$B$35,1),
IF(Z428=regle!$C$11,regle!$C$23,
IF(Z428=regle!$D$11,regle!$D$23,
IF(Z428=regle!$E$11,regle!$E$23,
IF(Z428=regle!$F$11,regle!$F$23,
IF(Z428=regle!$G$11,regle!$G$23,
IF(Z428=regle!$H$11,regle!$H$23,
IF(Z428=regle!$I$11,regle!$I$23,
IF(Z428=regle!$J$11,regle!$J$23,
IF(Z428=regle!$K$11,regle!$K$23,0))))))))))))</f>
        <v>0</v>
      </c>
      <c r="AK428" s="16">
        <f>IF(OR(Q428=regle!$J$11,Q428=regle!$K$11),-2,IF(Q428=regle!$B$11,0,IF(AK$1=$AK$1,IF($O428,-1,regle!$B$2-$M428),IF(AJ428=-1,-1,AJ428+1))))</f>
        <v>39</v>
      </c>
      <c r="AL428" s="16">
        <f>IF(OR(R428=regle!$J$11,R428=regle!$K$11),-2,IF(R428=regle!$B$11,0,IF(AL$1=$AK$1,IF($O428,-1,regle!$B$2-$M428),IF(AK428=-1,-1,AK428+1))))</f>
        <v>40</v>
      </c>
      <c r="AM428" s="16">
        <f>IF(OR(S428=regle!$J$11,S428=regle!$K$11),-2,IF(S428=regle!$B$11,0,IF(AM$1=$AK$1,IF($O428,-1,regle!$B$2-$M428),IF(AL428=-1,-1,AL428+1))))</f>
        <v>41</v>
      </c>
      <c r="AN428" s="16">
        <f>IF(OR(T428=regle!$J$11,T428=regle!$K$11),-2,IF(T428=regle!$B$11,0,IF(AN$1=$AK$1,IF($O428,-1,regle!$B$2-$M428),IF(AM428=-1,-1,AM428+1))))</f>
        <v>42</v>
      </c>
      <c r="AO428" s="16">
        <f>IF(OR(U428=regle!$J$11,U428=regle!$K$11),-2,IF(U428=regle!$B$11,0,IF(AO$1=$AK$1,IF($O428,-1,regle!$B$2-$M428),IF(AN428=-1,-1,AN428+1))))</f>
        <v>43</v>
      </c>
      <c r="AP428" s="16">
        <f>IF(OR(V428=regle!$J$11,V428=regle!$K$11),-2,IF(V428=regle!$B$11,0,IF(AP$1=$AK$1,IF($O428,-1,regle!$B$2-$M428),IF(AO428=-1,-1,AO428+1))))</f>
        <v>44</v>
      </c>
      <c r="AQ428" s="16">
        <f>IF(OR(W428=regle!$J$11,W428=regle!$K$11),-2,IF(W428=regle!$B$11,0,IF(AQ$1=$AK$1,IF($O428,-1,regle!$B$2-$M428),IF(AP428=-1,-1,AP428+1))))</f>
        <v>45</v>
      </c>
      <c r="AR428" s="16">
        <f>IF(OR(X428=regle!$J$11,X428=regle!$K$11),-2,IF(X428=regle!$B$11,0,IF(AR$1=$AK$1,IF($O428,-1,regle!$B$2-$M428),IF(AQ428=-1,-1,AQ428+1))))</f>
        <v>46</v>
      </c>
      <c r="AS428" s="16">
        <f>IF(OR(Y428=regle!$J$11,Y428=regle!$K$11),-2,IF(Y428=regle!$B$11,0,IF(AS$1=$AK$1,IF($O428,-1,regle!$B$2-$M428),IF(AR428=-1,-1,AR428+1))))</f>
        <v>47</v>
      </c>
      <c r="AT428" s="16">
        <f>IF(OR(Z428=regle!$J$11,Z428=regle!$K$11),-2,IF(Z428=regle!$B$11,0,IF(AT$1=$AK$1,IF($O428,-1,regle!$B$2-$M428),IF(AS428=-1,-1,AS428+1))))</f>
        <v>48</v>
      </c>
    </row>
    <row r="429" spans="1:46" x14ac:dyDescent="0.25">
      <c r="A429" t="b">
        <f>modif0!A399</f>
        <v>0</v>
      </c>
      <c r="B429">
        <f>ROW(modif0!B399)</f>
        <v>399</v>
      </c>
      <c r="C429" t="str">
        <f>modif0!D399</f>
        <v>536</v>
      </c>
      <c r="D429" t="str">
        <f>modif0!E399</f>
        <v>LE TUZAN</v>
      </c>
      <c r="E429">
        <f>modif0!F399</f>
        <v>21</v>
      </c>
      <c r="F429" t="str">
        <f>modif0!G399</f>
        <v>METAIRIES DE TABARTON</v>
      </c>
      <c r="G429" t="str">
        <f>modif0!I399</f>
        <v>0A</v>
      </c>
      <c r="H429">
        <f>modif0!J399</f>
        <v>847</v>
      </c>
      <c r="I429" t="str">
        <f>modif0!K399</f>
        <v>f</v>
      </c>
      <c r="J429" s="11">
        <f>modif0!M399</f>
        <v>0.1313</v>
      </c>
      <c r="K429" s="11" t="str">
        <f>modif0!P399</f>
        <v>TAIL</v>
      </c>
      <c r="L429" t="str">
        <f>modif0!N399</f>
        <v>FEUIL</v>
      </c>
      <c r="M429">
        <f>modif0!Q399</f>
        <v>1985</v>
      </c>
      <c r="N429" t="str">
        <f>modif0!R399</f>
        <v>TAIL-FEUIL_1985</v>
      </c>
      <c r="O429" t="b">
        <f>modif0!S399</f>
        <v>0</v>
      </c>
      <c r="P429">
        <v>40</v>
      </c>
      <c r="AA429" s="17" t="b">
        <f>IF($A429,$J429*(IF(Q429=regle!$B$11,regle!$B$23*IF(AJ429=-2,1+regle!$B$35,1),
IF(Q429=regle!$C$11,regle!$C$23,
IF(Q429=regle!$D$11,regle!$D$23,
IF(Q429=regle!$E$11,regle!$E$23,
IF(Q429=regle!$F$11,regle!$F$23,
IF(Q429=regle!$G$11,regle!$G$23,
IF(Q429=regle!$H$11,regle!$H$23,
IF(Q429=regle!$I$11,regle!$I$23,
IF(Q429=regle!$J$11,regle!$J$23,
IF(Q429=regle!$K$11,regle!$K$23,0))))))))))))</f>
        <v>0</v>
      </c>
      <c r="AB429" s="17" t="b">
        <f>IF($A429,$J429*(IF(R429=regle!$B$11,regle!$B$23*IF(AK429=-2,1+regle!$B$35,1),
IF(R429=regle!$C$11,regle!$C$23,
IF(R429=regle!$D$11,regle!$D$23,
IF(R429=regle!$E$11,regle!$E$23,
IF(R429=regle!$F$11,regle!$F$23,
IF(R429=regle!$G$11,regle!$G$23,
IF(R429=regle!$H$11,regle!$H$23,
IF(R429=regle!$I$11,regle!$I$23,
IF(R429=regle!$J$11,regle!$J$23,
IF(R429=regle!$K$11,regle!$K$23,0))))))))))))</f>
        <v>0</v>
      </c>
      <c r="AC429" s="17" t="b">
        <f>IF($A429,$J429*(IF(S429=regle!$B$11,regle!$B$23*IF(AL429=-2,1+regle!$B$35,1),
IF(S429=regle!$C$11,regle!$C$23,
IF(S429=regle!$D$11,regle!$D$23,
IF(S429=regle!$E$11,regle!$E$23,
IF(S429=regle!$F$11,regle!$F$23,
IF(S429=regle!$G$11,regle!$G$23,
IF(S429=regle!$H$11,regle!$H$23,
IF(S429=regle!$I$11,regle!$I$23,
IF(S429=regle!$J$11,regle!$J$23,
IF(S429=regle!$K$11,regle!$K$23,0))))))))))))</f>
        <v>0</v>
      </c>
      <c r="AD429" s="17" t="b">
        <f>IF($A429,$J429*(IF(T429=regle!$B$11,regle!$B$23*IF(AM429=-2,1+regle!$B$35,1),
IF(T429=regle!$C$11,regle!$C$23,
IF(T429=regle!$D$11,regle!$D$23,
IF(T429=regle!$E$11,regle!$E$23,
IF(T429=regle!$F$11,regle!$F$23,
IF(T429=regle!$G$11,regle!$G$23,
IF(T429=regle!$H$11,regle!$H$23,
IF(T429=regle!$I$11,regle!$I$23,
IF(T429=regle!$J$11,regle!$J$23,
IF(T429=regle!$K$11,regle!$K$23,0))))))))))))</f>
        <v>0</v>
      </c>
      <c r="AE429" s="17" t="b">
        <f>IF($A429,$J429*(IF(U429=regle!$B$11,regle!$B$23*IF(AN429=-2,1+regle!$B$35,1),
IF(U429=regle!$C$11,regle!$C$23,
IF(U429=regle!$D$11,regle!$D$23,
IF(U429=regle!$E$11,regle!$E$23,
IF(U429=regle!$F$11,regle!$F$23,
IF(U429=regle!$G$11,regle!$G$23,
IF(U429=regle!$H$11,regle!$H$23,
IF(U429=regle!$I$11,regle!$I$23,
IF(U429=regle!$J$11,regle!$J$23,
IF(U429=regle!$K$11,regle!$K$23,0))))))))))))</f>
        <v>0</v>
      </c>
      <c r="AF429" s="17" t="b">
        <f>IF($A429,$J429*(IF(V429=regle!$B$11,regle!$B$23*IF(AO429=-2,1+regle!$B$35,1),
IF(V429=regle!$C$11,regle!$C$23,
IF(V429=regle!$D$11,regle!$D$23,
IF(V429=regle!$E$11,regle!$E$23,
IF(V429=regle!$F$11,regle!$F$23,
IF(V429=regle!$G$11,regle!$G$23,
IF(V429=regle!$H$11,regle!$H$23,
IF(V429=regle!$I$11,regle!$I$23,
IF(V429=regle!$J$11,regle!$J$23,
IF(V429=regle!$K$11,regle!$K$23,0))))))))))))</f>
        <v>0</v>
      </c>
      <c r="AG429" s="17" t="b">
        <f>IF($A429,$J429*(IF(W429=regle!$B$11,regle!$B$23*IF(AP429=-2,1+regle!$B$35,1),
IF(W429=regle!$C$11,regle!$C$23,
IF(W429=regle!$D$11,regle!$D$23,
IF(W429=regle!$E$11,regle!$E$23,
IF(W429=regle!$F$11,regle!$F$23,
IF(W429=regle!$G$11,regle!$G$23,
IF(W429=regle!$H$11,regle!$H$23,
IF(W429=regle!$I$11,regle!$I$23,
IF(W429=regle!$J$11,regle!$J$23,
IF(W429=regle!$K$11,regle!$K$23,0))))))))))))</f>
        <v>0</v>
      </c>
      <c r="AH429" s="17" t="b">
        <f>IF($A429,$J429*(IF(X429=regle!$B$11,regle!$B$23*IF(AQ429=-2,1+regle!$B$35,1),
IF(X429=regle!$C$11,regle!$C$23,
IF(X429=regle!$D$11,regle!$D$23,
IF(X429=regle!$E$11,regle!$E$23,
IF(X429=regle!$F$11,regle!$F$23,
IF(X429=regle!$G$11,regle!$G$23,
IF(X429=regle!$H$11,regle!$H$23,
IF(X429=regle!$I$11,regle!$I$23,
IF(X429=regle!$J$11,regle!$J$23,
IF(X429=regle!$K$11,regle!$K$23,0))))))))))))</f>
        <v>0</v>
      </c>
      <c r="AI429" s="17" t="b">
        <f>IF($A429,$J429*(IF(Y429=regle!$B$11,regle!$B$23*IF(AR429=-2,1+regle!$B$35,1),
IF(Y429=regle!$C$11,regle!$C$23,
IF(Y429=regle!$D$11,regle!$D$23,
IF(Y429=regle!$E$11,regle!$E$23,
IF(Y429=regle!$F$11,regle!$F$23,
IF(Y429=regle!$G$11,regle!$G$23,
IF(Y429=regle!$H$11,regle!$H$23,
IF(Y429=regle!$I$11,regle!$I$23,
IF(Y429=regle!$J$11,regle!$J$23,
IF(Y429=regle!$K$11,regle!$K$23,0))))))))))))</f>
        <v>0</v>
      </c>
      <c r="AJ429" s="17" t="b">
        <f>IF($A429,$J429*(IF(Z429=regle!$B$11,regle!$B$23*IF(AS429=-2,1+regle!$B$35,1),
IF(Z429=regle!$C$11,regle!$C$23,
IF(Z429=regle!$D$11,regle!$D$23,
IF(Z429=regle!$E$11,regle!$E$23,
IF(Z429=regle!$F$11,regle!$F$23,
IF(Z429=regle!$G$11,regle!$G$23,
IF(Z429=regle!$H$11,regle!$H$23,
IF(Z429=regle!$I$11,regle!$I$23,
IF(Z429=regle!$J$11,regle!$J$23,
IF(Z429=regle!$K$11,regle!$K$23,0))))))))))))</f>
        <v>0</v>
      </c>
      <c r="AK429" s="16">
        <f>IF(OR(Q429=regle!$J$11,Q429=regle!$K$11),-2,IF(Q429=regle!$B$11,0,IF(AK$1=$AK$1,IF($O429,-1,regle!$B$2-$M429),IF(AJ429=-1,-1,AJ429+1))))</f>
        <v>39</v>
      </c>
      <c r="AL429" s="16">
        <f>IF(OR(R429=regle!$J$11,R429=regle!$K$11),-2,IF(R429=regle!$B$11,0,IF(AL$1=$AK$1,IF($O429,-1,regle!$B$2-$M429),IF(AK429=-1,-1,AK429+1))))</f>
        <v>40</v>
      </c>
      <c r="AM429" s="16">
        <f>IF(OR(S429=regle!$J$11,S429=regle!$K$11),-2,IF(S429=regle!$B$11,0,IF(AM$1=$AK$1,IF($O429,-1,regle!$B$2-$M429),IF(AL429=-1,-1,AL429+1))))</f>
        <v>41</v>
      </c>
      <c r="AN429" s="16">
        <f>IF(OR(T429=regle!$J$11,T429=regle!$K$11),-2,IF(T429=regle!$B$11,0,IF(AN$1=$AK$1,IF($O429,-1,regle!$B$2-$M429),IF(AM429=-1,-1,AM429+1))))</f>
        <v>42</v>
      </c>
      <c r="AO429" s="16">
        <f>IF(OR(U429=regle!$J$11,U429=regle!$K$11),-2,IF(U429=regle!$B$11,0,IF(AO$1=$AK$1,IF($O429,-1,regle!$B$2-$M429),IF(AN429=-1,-1,AN429+1))))</f>
        <v>43</v>
      </c>
      <c r="AP429" s="16">
        <f>IF(OR(V429=regle!$J$11,V429=regle!$K$11),-2,IF(V429=regle!$B$11,0,IF(AP$1=$AK$1,IF($O429,-1,regle!$B$2-$M429),IF(AO429=-1,-1,AO429+1))))</f>
        <v>44</v>
      </c>
      <c r="AQ429" s="16">
        <f>IF(OR(W429=regle!$J$11,W429=regle!$K$11),-2,IF(W429=regle!$B$11,0,IF(AQ$1=$AK$1,IF($O429,-1,regle!$B$2-$M429),IF(AP429=-1,-1,AP429+1))))</f>
        <v>45</v>
      </c>
      <c r="AR429" s="16">
        <f>IF(OR(X429=regle!$J$11,X429=regle!$K$11),-2,IF(X429=regle!$B$11,0,IF(AR$1=$AK$1,IF($O429,-1,regle!$B$2-$M429),IF(AQ429=-1,-1,AQ429+1))))</f>
        <v>46</v>
      </c>
      <c r="AS429" s="16">
        <f>IF(OR(Y429=regle!$J$11,Y429=regle!$K$11),-2,IF(Y429=regle!$B$11,0,IF(AS$1=$AK$1,IF($O429,-1,regle!$B$2-$M429),IF(AR429=-1,-1,AR429+1))))</f>
        <v>47</v>
      </c>
      <c r="AT429" s="16">
        <f>IF(OR(Z429=regle!$J$11,Z429=regle!$K$11),-2,IF(Z429=regle!$B$11,0,IF(AT$1=$AK$1,IF($O429,-1,regle!$B$2-$M429),IF(AS429=-1,-1,AS429+1))))</f>
        <v>48</v>
      </c>
    </row>
    <row r="430" spans="1:46" x14ac:dyDescent="0.25">
      <c r="A430" t="b">
        <f>modif0!A398</f>
        <v>0</v>
      </c>
      <c r="B430">
        <f>ROW(modif0!B398)</f>
        <v>398</v>
      </c>
      <c r="C430" t="str">
        <f>modif0!D398</f>
        <v>536</v>
      </c>
      <c r="D430" t="str">
        <f>modif0!E398</f>
        <v>LE TUZAN</v>
      </c>
      <c r="E430">
        <f>modif0!F398</f>
        <v>21</v>
      </c>
      <c r="F430" t="str">
        <f>modif0!G398</f>
        <v>METAIRIES DE TABARTON</v>
      </c>
      <c r="G430" t="str">
        <f>modif0!I398</f>
        <v>0A</v>
      </c>
      <c r="H430">
        <f>modif0!J398</f>
        <v>844</v>
      </c>
      <c r="I430" t="str">
        <f>modif0!K398</f>
        <v>k</v>
      </c>
      <c r="J430" s="11">
        <f>modif0!M398</f>
        <v>6.8900000000000003E-2</v>
      </c>
      <c r="K430" s="11" t="str">
        <f>modif0!P398</f>
        <v>TAIL</v>
      </c>
      <c r="L430" t="str">
        <f>modif0!N398</f>
        <v>FEUIL</v>
      </c>
      <c r="M430">
        <f>modif0!Q398</f>
        <v>1985</v>
      </c>
      <c r="N430" t="str">
        <f>modif0!R398</f>
        <v>TAIL-FEUIL_1985</v>
      </c>
      <c r="O430" t="b">
        <f>modif0!S398</f>
        <v>0</v>
      </c>
      <c r="P430">
        <v>40</v>
      </c>
      <c r="AA430" s="17" t="b">
        <f>IF($A430,$J430*(IF(Q430=regle!$B$11,regle!$B$23*IF(AJ430=-2,1+regle!$B$35,1),
IF(Q430=regle!$C$11,regle!$C$23,
IF(Q430=regle!$D$11,regle!$D$23,
IF(Q430=regle!$E$11,regle!$E$23,
IF(Q430=regle!$F$11,regle!$F$23,
IF(Q430=regle!$G$11,regle!$G$23,
IF(Q430=regle!$H$11,regle!$H$23,
IF(Q430=regle!$I$11,regle!$I$23,
IF(Q430=regle!$J$11,regle!$J$23,
IF(Q430=regle!$K$11,regle!$K$23,0))))))))))))</f>
        <v>0</v>
      </c>
      <c r="AB430" s="17" t="b">
        <f>IF($A430,$J430*(IF(R430=regle!$B$11,regle!$B$23*IF(AK430=-2,1+regle!$B$35,1),
IF(R430=regle!$C$11,regle!$C$23,
IF(R430=regle!$D$11,regle!$D$23,
IF(R430=regle!$E$11,regle!$E$23,
IF(R430=regle!$F$11,regle!$F$23,
IF(R430=regle!$G$11,regle!$G$23,
IF(R430=regle!$H$11,regle!$H$23,
IF(R430=regle!$I$11,regle!$I$23,
IF(R430=regle!$J$11,regle!$J$23,
IF(R430=regle!$K$11,regle!$K$23,0))))))))))))</f>
        <v>0</v>
      </c>
      <c r="AC430" s="17" t="b">
        <f>IF($A430,$J430*(IF(S430=regle!$B$11,regle!$B$23*IF(AL430=-2,1+regle!$B$35,1),
IF(S430=regle!$C$11,regle!$C$23,
IF(S430=regle!$D$11,regle!$D$23,
IF(S430=regle!$E$11,regle!$E$23,
IF(S430=regle!$F$11,regle!$F$23,
IF(S430=regle!$G$11,regle!$G$23,
IF(S430=regle!$H$11,regle!$H$23,
IF(S430=regle!$I$11,regle!$I$23,
IF(S430=regle!$J$11,regle!$J$23,
IF(S430=regle!$K$11,regle!$K$23,0))))))))))))</f>
        <v>0</v>
      </c>
      <c r="AD430" s="17" t="b">
        <f>IF($A430,$J430*(IF(T430=regle!$B$11,regle!$B$23*IF(AM430=-2,1+regle!$B$35,1),
IF(T430=regle!$C$11,regle!$C$23,
IF(T430=regle!$D$11,regle!$D$23,
IF(T430=regle!$E$11,regle!$E$23,
IF(T430=regle!$F$11,regle!$F$23,
IF(T430=regle!$G$11,regle!$G$23,
IF(T430=regle!$H$11,regle!$H$23,
IF(T430=regle!$I$11,regle!$I$23,
IF(T430=regle!$J$11,regle!$J$23,
IF(T430=regle!$K$11,regle!$K$23,0))))))))))))</f>
        <v>0</v>
      </c>
      <c r="AE430" s="17" t="b">
        <f>IF($A430,$J430*(IF(U430=regle!$B$11,regle!$B$23*IF(AN430=-2,1+regle!$B$35,1),
IF(U430=regle!$C$11,regle!$C$23,
IF(U430=regle!$D$11,regle!$D$23,
IF(U430=regle!$E$11,regle!$E$23,
IF(U430=regle!$F$11,regle!$F$23,
IF(U430=regle!$G$11,regle!$G$23,
IF(U430=regle!$H$11,regle!$H$23,
IF(U430=regle!$I$11,regle!$I$23,
IF(U430=regle!$J$11,regle!$J$23,
IF(U430=regle!$K$11,regle!$K$23,0))))))))))))</f>
        <v>0</v>
      </c>
      <c r="AF430" s="17" t="b">
        <f>IF($A430,$J430*(IF(V430=regle!$B$11,regle!$B$23*IF(AO430=-2,1+regle!$B$35,1),
IF(V430=regle!$C$11,regle!$C$23,
IF(V430=regle!$D$11,regle!$D$23,
IF(V430=regle!$E$11,regle!$E$23,
IF(V430=regle!$F$11,regle!$F$23,
IF(V430=regle!$G$11,regle!$G$23,
IF(V430=regle!$H$11,regle!$H$23,
IF(V430=regle!$I$11,regle!$I$23,
IF(V430=regle!$J$11,regle!$J$23,
IF(V430=regle!$K$11,regle!$K$23,0))))))))))))</f>
        <v>0</v>
      </c>
      <c r="AG430" s="17" t="b">
        <f>IF($A430,$J430*(IF(W430=regle!$B$11,regle!$B$23*IF(AP430=-2,1+regle!$B$35,1),
IF(W430=regle!$C$11,regle!$C$23,
IF(W430=regle!$D$11,regle!$D$23,
IF(W430=regle!$E$11,regle!$E$23,
IF(W430=regle!$F$11,regle!$F$23,
IF(W430=regle!$G$11,regle!$G$23,
IF(W430=regle!$H$11,regle!$H$23,
IF(W430=regle!$I$11,regle!$I$23,
IF(W430=regle!$J$11,regle!$J$23,
IF(W430=regle!$K$11,regle!$K$23,0))))))))))))</f>
        <v>0</v>
      </c>
      <c r="AH430" s="17" t="b">
        <f>IF($A430,$J430*(IF(X430=regle!$B$11,regle!$B$23*IF(AQ430=-2,1+regle!$B$35,1),
IF(X430=regle!$C$11,regle!$C$23,
IF(X430=regle!$D$11,regle!$D$23,
IF(X430=regle!$E$11,regle!$E$23,
IF(X430=regle!$F$11,regle!$F$23,
IF(X430=regle!$G$11,regle!$G$23,
IF(X430=regle!$H$11,regle!$H$23,
IF(X430=regle!$I$11,regle!$I$23,
IF(X430=regle!$J$11,regle!$J$23,
IF(X430=regle!$K$11,regle!$K$23,0))))))))))))</f>
        <v>0</v>
      </c>
      <c r="AI430" s="17" t="b">
        <f>IF($A430,$J430*(IF(Y430=regle!$B$11,regle!$B$23*IF(AR430=-2,1+regle!$B$35,1),
IF(Y430=regle!$C$11,regle!$C$23,
IF(Y430=regle!$D$11,regle!$D$23,
IF(Y430=regle!$E$11,regle!$E$23,
IF(Y430=regle!$F$11,regle!$F$23,
IF(Y430=regle!$G$11,regle!$G$23,
IF(Y430=regle!$H$11,regle!$H$23,
IF(Y430=regle!$I$11,regle!$I$23,
IF(Y430=regle!$J$11,regle!$J$23,
IF(Y430=regle!$K$11,regle!$K$23,0))))))))))))</f>
        <v>0</v>
      </c>
      <c r="AJ430" s="17" t="b">
        <f>IF($A430,$J430*(IF(Z430=regle!$B$11,regle!$B$23*IF(AS430=-2,1+regle!$B$35,1),
IF(Z430=regle!$C$11,regle!$C$23,
IF(Z430=regle!$D$11,regle!$D$23,
IF(Z430=regle!$E$11,regle!$E$23,
IF(Z430=regle!$F$11,regle!$F$23,
IF(Z430=regle!$G$11,regle!$G$23,
IF(Z430=regle!$H$11,regle!$H$23,
IF(Z430=regle!$I$11,regle!$I$23,
IF(Z430=regle!$J$11,regle!$J$23,
IF(Z430=regle!$K$11,regle!$K$23,0))))))))))))</f>
        <v>0</v>
      </c>
      <c r="AK430" s="16">
        <f>IF(OR(Q430=regle!$J$11,Q430=regle!$K$11),-2,IF(Q430=regle!$B$11,0,IF(AK$1=$AK$1,IF($O430,-1,regle!$B$2-$M430),IF(AJ430=-1,-1,AJ430+1))))</f>
        <v>39</v>
      </c>
      <c r="AL430" s="16">
        <f>IF(OR(R430=regle!$J$11,R430=regle!$K$11),-2,IF(R430=regle!$B$11,0,IF(AL$1=$AK$1,IF($O430,-1,regle!$B$2-$M430),IF(AK430=-1,-1,AK430+1))))</f>
        <v>40</v>
      </c>
      <c r="AM430" s="16">
        <f>IF(OR(S430=regle!$J$11,S430=regle!$K$11),-2,IF(S430=regle!$B$11,0,IF(AM$1=$AK$1,IF($O430,-1,regle!$B$2-$M430),IF(AL430=-1,-1,AL430+1))))</f>
        <v>41</v>
      </c>
      <c r="AN430" s="16">
        <f>IF(OR(T430=regle!$J$11,T430=regle!$K$11),-2,IF(T430=regle!$B$11,0,IF(AN$1=$AK$1,IF($O430,-1,regle!$B$2-$M430),IF(AM430=-1,-1,AM430+1))))</f>
        <v>42</v>
      </c>
      <c r="AO430" s="16">
        <f>IF(OR(U430=regle!$J$11,U430=regle!$K$11),-2,IF(U430=regle!$B$11,0,IF(AO$1=$AK$1,IF($O430,-1,regle!$B$2-$M430),IF(AN430=-1,-1,AN430+1))))</f>
        <v>43</v>
      </c>
      <c r="AP430" s="16">
        <f>IF(OR(V430=regle!$J$11,V430=regle!$K$11),-2,IF(V430=regle!$B$11,0,IF(AP$1=$AK$1,IF($O430,-1,regle!$B$2-$M430),IF(AO430=-1,-1,AO430+1))))</f>
        <v>44</v>
      </c>
      <c r="AQ430" s="16">
        <f>IF(OR(W430=regle!$J$11,W430=regle!$K$11),-2,IF(W430=regle!$B$11,0,IF(AQ$1=$AK$1,IF($O430,-1,regle!$B$2-$M430),IF(AP430=-1,-1,AP430+1))))</f>
        <v>45</v>
      </c>
      <c r="AR430" s="16">
        <f>IF(OR(X430=regle!$J$11,X430=regle!$K$11),-2,IF(X430=regle!$B$11,0,IF(AR$1=$AK$1,IF($O430,-1,regle!$B$2-$M430),IF(AQ430=-1,-1,AQ430+1))))</f>
        <v>46</v>
      </c>
      <c r="AS430" s="16">
        <f>IF(OR(Y430=regle!$J$11,Y430=regle!$K$11),-2,IF(Y430=regle!$B$11,0,IF(AS$1=$AK$1,IF($O430,-1,regle!$B$2-$M430),IF(AR430=-1,-1,AR430+1))))</f>
        <v>47</v>
      </c>
      <c r="AT430" s="16">
        <f>IF(OR(Z430=regle!$J$11,Z430=regle!$K$11),-2,IF(Z430=regle!$B$11,0,IF(AT$1=$AK$1,IF($O430,-1,regle!$B$2-$M430),IF(AS430=-1,-1,AS430+1))))</f>
        <v>48</v>
      </c>
    </row>
    <row r="431" spans="1:46" x14ac:dyDescent="0.25">
      <c r="A431" t="b">
        <f>modif0!A428</f>
        <v>0</v>
      </c>
      <c r="B431">
        <f>ROW(modif0!B428)</f>
        <v>428</v>
      </c>
      <c r="C431" t="str">
        <f>modif0!D428</f>
        <v>200</v>
      </c>
      <c r="D431" t="str">
        <f>modif0!E428</f>
        <v>MOUSTEY</v>
      </c>
      <c r="E431">
        <f>modif0!F428</f>
        <v>5</v>
      </c>
      <c r="F431" t="str">
        <f>modif0!G428</f>
        <v>Plata</v>
      </c>
      <c r="G431" t="str">
        <f>modif0!I428</f>
        <v>0M</v>
      </c>
      <c r="H431">
        <f>modif0!J428</f>
        <v>1</v>
      </c>
      <c r="I431" t="str">
        <f>modif0!K428</f>
        <v/>
      </c>
      <c r="J431" s="11">
        <f>modif0!M428</f>
        <v>1.0017</v>
      </c>
      <c r="K431" s="11" t="str">
        <f>modif0!P428</f>
        <v>TAIL</v>
      </c>
      <c r="L431" t="str">
        <f>modif0!N428</f>
        <v>FEUIL</v>
      </c>
      <c r="M431">
        <f>modif0!Q428</f>
        <v>1980</v>
      </c>
      <c r="N431" t="str">
        <f>modif0!R428</f>
        <v>TAIL-FEUIL_1980</v>
      </c>
      <c r="O431" t="b">
        <f>modif0!S428</f>
        <v>0</v>
      </c>
      <c r="P431">
        <v>40</v>
      </c>
      <c r="AA431" s="17" t="b">
        <f>IF($A431,$J431*(IF(Q431=regle!$B$11,regle!$B$23*IF(AJ431=-2,1+regle!$B$35,1),
IF(Q431=regle!$C$11,regle!$C$23,
IF(Q431=regle!$D$11,regle!$D$23,
IF(Q431=regle!$E$11,regle!$E$23,
IF(Q431=regle!$F$11,regle!$F$23,
IF(Q431=regle!$G$11,regle!$G$23,
IF(Q431=regle!$H$11,regle!$H$23,
IF(Q431=regle!$I$11,regle!$I$23,
IF(Q431=regle!$J$11,regle!$J$23,
IF(Q431=regle!$K$11,regle!$K$23,0))))))))))))</f>
        <v>0</v>
      </c>
      <c r="AB431" s="17" t="b">
        <f>IF($A431,$J431*(IF(R431=regle!$B$11,regle!$B$23*IF(AK431=-2,1+regle!$B$35,1),
IF(R431=regle!$C$11,regle!$C$23,
IF(R431=regle!$D$11,regle!$D$23,
IF(R431=regle!$E$11,regle!$E$23,
IF(R431=regle!$F$11,regle!$F$23,
IF(R431=regle!$G$11,regle!$G$23,
IF(R431=regle!$H$11,regle!$H$23,
IF(R431=regle!$I$11,regle!$I$23,
IF(R431=regle!$J$11,regle!$J$23,
IF(R431=regle!$K$11,regle!$K$23,0))))))))))))</f>
        <v>0</v>
      </c>
      <c r="AC431" s="17" t="b">
        <f>IF($A431,$J431*(IF(S431=regle!$B$11,regle!$B$23*IF(AL431=-2,1+regle!$B$35,1),
IF(S431=regle!$C$11,regle!$C$23,
IF(S431=regle!$D$11,regle!$D$23,
IF(S431=regle!$E$11,regle!$E$23,
IF(S431=regle!$F$11,regle!$F$23,
IF(S431=regle!$G$11,regle!$G$23,
IF(S431=regle!$H$11,regle!$H$23,
IF(S431=regle!$I$11,regle!$I$23,
IF(S431=regle!$J$11,regle!$J$23,
IF(S431=regle!$K$11,regle!$K$23,0))))))))))))</f>
        <v>0</v>
      </c>
      <c r="AD431" s="17" t="b">
        <f>IF($A431,$J431*(IF(T431=regle!$B$11,regle!$B$23*IF(AM431=-2,1+regle!$B$35,1),
IF(T431=regle!$C$11,regle!$C$23,
IF(T431=regle!$D$11,regle!$D$23,
IF(T431=regle!$E$11,regle!$E$23,
IF(T431=regle!$F$11,regle!$F$23,
IF(T431=regle!$G$11,regle!$G$23,
IF(T431=regle!$H$11,regle!$H$23,
IF(T431=regle!$I$11,regle!$I$23,
IF(T431=regle!$J$11,regle!$J$23,
IF(T431=regle!$K$11,regle!$K$23,0))))))))))))</f>
        <v>0</v>
      </c>
      <c r="AE431" s="17" t="b">
        <f>IF($A431,$J431*(IF(U431=regle!$B$11,regle!$B$23*IF(AN431=-2,1+regle!$B$35,1),
IF(U431=regle!$C$11,regle!$C$23,
IF(U431=regle!$D$11,regle!$D$23,
IF(U431=regle!$E$11,regle!$E$23,
IF(U431=regle!$F$11,regle!$F$23,
IF(U431=regle!$G$11,regle!$G$23,
IF(U431=regle!$H$11,regle!$H$23,
IF(U431=regle!$I$11,regle!$I$23,
IF(U431=regle!$J$11,regle!$J$23,
IF(U431=regle!$K$11,regle!$K$23,0))))))))))))</f>
        <v>0</v>
      </c>
      <c r="AF431" s="17" t="b">
        <f>IF($A431,$J431*(IF(V431=regle!$B$11,regle!$B$23*IF(AO431=-2,1+regle!$B$35,1),
IF(V431=regle!$C$11,regle!$C$23,
IF(V431=regle!$D$11,regle!$D$23,
IF(V431=regle!$E$11,regle!$E$23,
IF(V431=regle!$F$11,regle!$F$23,
IF(V431=regle!$G$11,regle!$G$23,
IF(V431=regle!$H$11,regle!$H$23,
IF(V431=regle!$I$11,regle!$I$23,
IF(V431=regle!$J$11,regle!$J$23,
IF(V431=regle!$K$11,regle!$K$23,0))))))))))))</f>
        <v>0</v>
      </c>
      <c r="AG431" s="17" t="b">
        <f>IF($A431,$J431*(IF(W431=regle!$B$11,regle!$B$23*IF(AP431=-2,1+regle!$B$35,1),
IF(W431=regle!$C$11,regle!$C$23,
IF(W431=regle!$D$11,regle!$D$23,
IF(W431=regle!$E$11,regle!$E$23,
IF(W431=regle!$F$11,regle!$F$23,
IF(W431=regle!$G$11,regle!$G$23,
IF(W431=regle!$H$11,regle!$H$23,
IF(W431=regle!$I$11,regle!$I$23,
IF(W431=regle!$J$11,regle!$J$23,
IF(W431=regle!$K$11,regle!$K$23,0))))))))))))</f>
        <v>0</v>
      </c>
      <c r="AH431" s="17" t="b">
        <f>IF($A431,$J431*(IF(X431=regle!$B$11,regle!$B$23*IF(AQ431=-2,1+regle!$B$35,1),
IF(X431=regle!$C$11,regle!$C$23,
IF(X431=regle!$D$11,regle!$D$23,
IF(X431=regle!$E$11,regle!$E$23,
IF(X431=regle!$F$11,regle!$F$23,
IF(X431=regle!$G$11,regle!$G$23,
IF(X431=regle!$H$11,regle!$H$23,
IF(X431=regle!$I$11,regle!$I$23,
IF(X431=regle!$J$11,regle!$J$23,
IF(X431=regle!$K$11,regle!$K$23,0))))))))))))</f>
        <v>0</v>
      </c>
      <c r="AI431" s="17" t="b">
        <f>IF($A431,$J431*(IF(Y431=regle!$B$11,regle!$B$23*IF(AR431=-2,1+regle!$B$35,1),
IF(Y431=regle!$C$11,regle!$C$23,
IF(Y431=regle!$D$11,regle!$D$23,
IF(Y431=regle!$E$11,regle!$E$23,
IF(Y431=regle!$F$11,regle!$F$23,
IF(Y431=regle!$G$11,regle!$G$23,
IF(Y431=regle!$H$11,regle!$H$23,
IF(Y431=regle!$I$11,regle!$I$23,
IF(Y431=regle!$J$11,regle!$J$23,
IF(Y431=regle!$K$11,regle!$K$23,0))))))))))))</f>
        <v>0</v>
      </c>
      <c r="AJ431" s="17" t="b">
        <f>IF($A431,$J431*(IF(Z431=regle!$B$11,regle!$B$23*IF(AS431=-2,1+regle!$B$35,1),
IF(Z431=regle!$C$11,regle!$C$23,
IF(Z431=regle!$D$11,regle!$D$23,
IF(Z431=regle!$E$11,regle!$E$23,
IF(Z431=regle!$F$11,regle!$F$23,
IF(Z431=regle!$G$11,regle!$G$23,
IF(Z431=regle!$H$11,regle!$H$23,
IF(Z431=regle!$I$11,regle!$I$23,
IF(Z431=regle!$J$11,regle!$J$23,
IF(Z431=regle!$K$11,regle!$K$23,0))))))))))))</f>
        <v>0</v>
      </c>
      <c r="AK431" s="16">
        <f>IF(OR(Q431=regle!$J$11,Q431=regle!$K$11),-2,IF(Q431=regle!$B$11,0,IF(AK$1=$AK$1,IF($O431,-1,regle!$B$2-$M431),IF(AJ431=-1,-1,AJ431+1))))</f>
        <v>44</v>
      </c>
      <c r="AL431" s="16">
        <f>IF(OR(R431=regle!$J$11,R431=regle!$K$11),-2,IF(R431=regle!$B$11,0,IF(AL$1=$AK$1,IF($O431,-1,regle!$B$2-$M431),IF(AK431=-1,-1,AK431+1))))</f>
        <v>45</v>
      </c>
      <c r="AM431" s="16">
        <f>IF(OR(S431=regle!$J$11,S431=regle!$K$11),-2,IF(S431=regle!$B$11,0,IF(AM$1=$AK$1,IF($O431,-1,regle!$B$2-$M431),IF(AL431=-1,-1,AL431+1))))</f>
        <v>46</v>
      </c>
      <c r="AN431" s="16">
        <f>IF(OR(T431=regle!$J$11,T431=regle!$K$11),-2,IF(T431=regle!$B$11,0,IF(AN$1=$AK$1,IF($O431,-1,regle!$B$2-$M431),IF(AM431=-1,-1,AM431+1))))</f>
        <v>47</v>
      </c>
      <c r="AO431" s="16">
        <f>IF(OR(U431=regle!$J$11,U431=regle!$K$11),-2,IF(U431=regle!$B$11,0,IF(AO$1=$AK$1,IF($O431,-1,regle!$B$2-$M431),IF(AN431=-1,-1,AN431+1))))</f>
        <v>48</v>
      </c>
      <c r="AP431" s="16">
        <f>IF(OR(V431=regle!$J$11,V431=regle!$K$11),-2,IF(V431=regle!$B$11,0,IF(AP$1=$AK$1,IF($O431,-1,regle!$B$2-$M431),IF(AO431=-1,-1,AO431+1))))</f>
        <v>49</v>
      </c>
      <c r="AQ431" s="16">
        <f>IF(OR(W431=regle!$J$11,W431=regle!$K$11),-2,IF(W431=regle!$B$11,0,IF(AQ$1=$AK$1,IF($O431,-1,regle!$B$2-$M431),IF(AP431=-1,-1,AP431+1))))</f>
        <v>50</v>
      </c>
      <c r="AR431" s="16">
        <f>IF(OR(X431=regle!$J$11,X431=regle!$K$11),-2,IF(X431=regle!$B$11,0,IF(AR$1=$AK$1,IF($O431,-1,regle!$B$2-$M431),IF(AQ431=-1,-1,AQ431+1))))</f>
        <v>51</v>
      </c>
      <c r="AS431" s="16">
        <f>IF(OR(Y431=regle!$J$11,Y431=regle!$K$11),-2,IF(Y431=regle!$B$11,0,IF(AS$1=$AK$1,IF($O431,-1,regle!$B$2-$M431),IF(AR431=-1,-1,AR431+1))))</f>
        <v>52</v>
      </c>
      <c r="AT431" s="16">
        <f>IF(OR(Z431=regle!$J$11,Z431=regle!$K$11),-2,IF(Z431=regle!$B$11,0,IF(AT$1=$AK$1,IF($O431,-1,regle!$B$2-$M431),IF(AS431=-1,-1,AS431+1))))</f>
        <v>53</v>
      </c>
    </row>
    <row r="432" spans="1:46" x14ac:dyDescent="0.25">
      <c r="A432" t="b">
        <f>modif0!A379</f>
        <v>0</v>
      </c>
      <c r="B432">
        <f>ROW(modif0!B379)</f>
        <v>379</v>
      </c>
      <c r="C432" t="str">
        <f>modif0!D379</f>
        <v>536</v>
      </c>
      <c r="D432" t="str">
        <f>modif0!E379</f>
        <v>LE TUZAN</v>
      </c>
      <c r="E432">
        <f>modif0!F379</f>
        <v>11</v>
      </c>
      <c r="F432" t="str">
        <f>modif0!G379</f>
        <v>LA HONTEYRE</v>
      </c>
      <c r="G432" t="str">
        <f>modif0!I379</f>
        <v>0A</v>
      </c>
      <c r="H432">
        <f>modif0!J379</f>
        <v>255</v>
      </c>
      <c r="I432" t="str">
        <f>modif0!K379</f>
        <v/>
      </c>
      <c r="J432" s="11">
        <f>modif0!M379</f>
        <v>0.66800000000000004</v>
      </c>
      <c r="K432" s="11" t="str">
        <f>modif0!P379</f>
        <v>TAIL</v>
      </c>
      <c r="L432" t="str">
        <f>modif0!N379</f>
        <v>FEUIL</v>
      </c>
      <c r="M432">
        <f>modif0!Q379</f>
        <v>1980</v>
      </c>
      <c r="N432" t="str">
        <f>modif0!R379</f>
        <v>TAIL-FEUIL_1980</v>
      </c>
      <c r="O432" t="b">
        <f>modif0!S379</f>
        <v>0</v>
      </c>
      <c r="P432">
        <v>40</v>
      </c>
      <c r="AA432" s="17" t="b">
        <f>IF($A432,$J432*(IF(Q432=regle!$B$11,regle!$B$23*IF(AJ432=-2,1+regle!$B$35,1),
IF(Q432=regle!$C$11,regle!$C$23,
IF(Q432=regle!$D$11,regle!$D$23,
IF(Q432=regle!$E$11,regle!$E$23,
IF(Q432=regle!$F$11,regle!$F$23,
IF(Q432=regle!$G$11,regle!$G$23,
IF(Q432=regle!$H$11,regle!$H$23,
IF(Q432=regle!$I$11,regle!$I$23,
IF(Q432=regle!$J$11,regle!$J$23,
IF(Q432=regle!$K$11,regle!$K$23,0))))))))))))</f>
        <v>0</v>
      </c>
      <c r="AB432" s="17" t="b">
        <f>IF($A432,$J432*(IF(R432=regle!$B$11,regle!$B$23*IF(AK432=-2,1+regle!$B$35,1),
IF(R432=regle!$C$11,regle!$C$23,
IF(R432=regle!$D$11,regle!$D$23,
IF(R432=regle!$E$11,regle!$E$23,
IF(R432=regle!$F$11,regle!$F$23,
IF(R432=regle!$G$11,regle!$G$23,
IF(R432=regle!$H$11,regle!$H$23,
IF(R432=regle!$I$11,regle!$I$23,
IF(R432=regle!$J$11,regle!$J$23,
IF(R432=regle!$K$11,regle!$K$23,0))))))))))))</f>
        <v>0</v>
      </c>
      <c r="AC432" s="17" t="b">
        <f>IF($A432,$J432*(IF(S432=regle!$B$11,regle!$B$23*IF(AL432=-2,1+regle!$B$35,1),
IF(S432=regle!$C$11,regle!$C$23,
IF(S432=regle!$D$11,regle!$D$23,
IF(S432=regle!$E$11,regle!$E$23,
IF(S432=regle!$F$11,regle!$F$23,
IF(S432=regle!$G$11,regle!$G$23,
IF(S432=regle!$H$11,regle!$H$23,
IF(S432=regle!$I$11,regle!$I$23,
IF(S432=regle!$J$11,regle!$J$23,
IF(S432=regle!$K$11,regle!$K$23,0))))))))))))</f>
        <v>0</v>
      </c>
      <c r="AD432" s="17" t="b">
        <f>IF($A432,$J432*(IF(T432=regle!$B$11,regle!$B$23*IF(AM432=-2,1+regle!$B$35,1),
IF(T432=regle!$C$11,regle!$C$23,
IF(T432=regle!$D$11,regle!$D$23,
IF(T432=regle!$E$11,regle!$E$23,
IF(T432=regle!$F$11,regle!$F$23,
IF(T432=regle!$G$11,regle!$G$23,
IF(T432=regle!$H$11,regle!$H$23,
IF(T432=regle!$I$11,regle!$I$23,
IF(T432=regle!$J$11,regle!$J$23,
IF(T432=regle!$K$11,regle!$K$23,0))))))))))))</f>
        <v>0</v>
      </c>
      <c r="AE432" s="17" t="b">
        <f>IF($A432,$J432*(IF(U432=regle!$B$11,regle!$B$23*IF(AN432=-2,1+regle!$B$35,1),
IF(U432=regle!$C$11,regle!$C$23,
IF(U432=regle!$D$11,regle!$D$23,
IF(U432=regle!$E$11,regle!$E$23,
IF(U432=regle!$F$11,regle!$F$23,
IF(U432=regle!$G$11,regle!$G$23,
IF(U432=regle!$H$11,regle!$H$23,
IF(U432=regle!$I$11,regle!$I$23,
IF(U432=regle!$J$11,regle!$J$23,
IF(U432=regle!$K$11,regle!$K$23,0))))))))))))</f>
        <v>0</v>
      </c>
      <c r="AF432" s="17" t="b">
        <f>IF($A432,$J432*(IF(V432=regle!$B$11,regle!$B$23*IF(AO432=-2,1+regle!$B$35,1),
IF(V432=regle!$C$11,regle!$C$23,
IF(V432=regle!$D$11,regle!$D$23,
IF(V432=regle!$E$11,regle!$E$23,
IF(V432=regle!$F$11,regle!$F$23,
IF(V432=regle!$G$11,regle!$G$23,
IF(V432=regle!$H$11,regle!$H$23,
IF(V432=regle!$I$11,regle!$I$23,
IF(V432=regle!$J$11,regle!$J$23,
IF(V432=regle!$K$11,regle!$K$23,0))))))))))))</f>
        <v>0</v>
      </c>
      <c r="AG432" s="17" t="b">
        <f>IF($A432,$J432*(IF(W432=regle!$B$11,regle!$B$23*IF(AP432=-2,1+regle!$B$35,1),
IF(W432=regle!$C$11,regle!$C$23,
IF(W432=regle!$D$11,regle!$D$23,
IF(W432=regle!$E$11,regle!$E$23,
IF(W432=regle!$F$11,regle!$F$23,
IF(W432=regle!$G$11,regle!$G$23,
IF(W432=regle!$H$11,regle!$H$23,
IF(W432=regle!$I$11,regle!$I$23,
IF(W432=regle!$J$11,regle!$J$23,
IF(W432=regle!$K$11,regle!$K$23,0))))))))))))</f>
        <v>0</v>
      </c>
      <c r="AH432" s="17" t="b">
        <f>IF($A432,$J432*(IF(X432=regle!$B$11,regle!$B$23*IF(AQ432=-2,1+regle!$B$35,1),
IF(X432=regle!$C$11,regle!$C$23,
IF(X432=regle!$D$11,regle!$D$23,
IF(X432=regle!$E$11,regle!$E$23,
IF(X432=regle!$F$11,regle!$F$23,
IF(X432=regle!$G$11,regle!$G$23,
IF(X432=regle!$H$11,regle!$H$23,
IF(X432=regle!$I$11,regle!$I$23,
IF(X432=regle!$J$11,regle!$J$23,
IF(X432=regle!$K$11,regle!$K$23,0))))))))))))</f>
        <v>0</v>
      </c>
      <c r="AI432" s="17" t="b">
        <f>IF($A432,$J432*(IF(Y432=regle!$B$11,regle!$B$23*IF(AR432=-2,1+regle!$B$35,1),
IF(Y432=regle!$C$11,regle!$C$23,
IF(Y432=regle!$D$11,regle!$D$23,
IF(Y432=regle!$E$11,regle!$E$23,
IF(Y432=regle!$F$11,regle!$F$23,
IF(Y432=regle!$G$11,regle!$G$23,
IF(Y432=regle!$H$11,regle!$H$23,
IF(Y432=regle!$I$11,regle!$I$23,
IF(Y432=regle!$J$11,regle!$J$23,
IF(Y432=regle!$K$11,regle!$K$23,0))))))))))))</f>
        <v>0</v>
      </c>
      <c r="AJ432" s="17" t="b">
        <f>IF($A432,$J432*(IF(Z432=regle!$B$11,regle!$B$23*IF(AS432=-2,1+regle!$B$35,1),
IF(Z432=regle!$C$11,regle!$C$23,
IF(Z432=regle!$D$11,regle!$D$23,
IF(Z432=regle!$E$11,regle!$E$23,
IF(Z432=regle!$F$11,regle!$F$23,
IF(Z432=regle!$G$11,regle!$G$23,
IF(Z432=regle!$H$11,regle!$H$23,
IF(Z432=regle!$I$11,regle!$I$23,
IF(Z432=regle!$J$11,regle!$J$23,
IF(Z432=regle!$K$11,regle!$K$23,0))))))))))))</f>
        <v>0</v>
      </c>
      <c r="AK432" s="16">
        <f>IF(OR(Q432=regle!$J$11,Q432=regle!$K$11),-2,IF(Q432=regle!$B$11,0,IF(AK$1=$AK$1,IF($O432,-1,regle!$B$2-$M432),IF(AJ432=-1,-1,AJ432+1))))</f>
        <v>44</v>
      </c>
      <c r="AL432" s="16">
        <f>IF(OR(R432=regle!$J$11,R432=regle!$K$11),-2,IF(R432=regle!$B$11,0,IF(AL$1=$AK$1,IF($O432,-1,regle!$B$2-$M432),IF(AK432=-1,-1,AK432+1))))</f>
        <v>45</v>
      </c>
      <c r="AM432" s="16">
        <f>IF(OR(S432=regle!$J$11,S432=regle!$K$11),-2,IF(S432=regle!$B$11,0,IF(AM$1=$AK$1,IF($O432,-1,regle!$B$2-$M432),IF(AL432=-1,-1,AL432+1))))</f>
        <v>46</v>
      </c>
      <c r="AN432" s="16">
        <f>IF(OR(T432=regle!$J$11,T432=regle!$K$11),-2,IF(T432=regle!$B$11,0,IF(AN$1=$AK$1,IF($O432,-1,regle!$B$2-$M432),IF(AM432=-1,-1,AM432+1))))</f>
        <v>47</v>
      </c>
      <c r="AO432" s="16">
        <f>IF(OR(U432=regle!$J$11,U432=regle!$K$11),-2,IF(U432=regle!$B$11,0,IF(AO$1=$AK$1,IF($O432,-1,regle!$B$2-$M432),IF(AN432=-1,-1,AN432+1))))</f>
        <v>48</v>
      </c>
      <c r="AP432" s="16">
        <f>IF(OR(V432=regle!$J$11,V432=regle!$K$11),-2,IF(V432=regle!$B$11,0,IF(AP$1=$AK$1,IF($O432,-1,regle!$B$2-$M432),IF(AO432=-1,-1,AO432+1))))</f>
        <v>49</v>
      </c>
      <c r="AQ432" s="16">
        <f>IF(OR(W432=regle!$J$11,W432=regle!$K$11),-2,IF(W432=regle!$B$11,0,IF(AQ$1=$AK$1,IF($O432,-1,regle!$B$2-$M432),IF(AP432=-1,-1,AP432+1))))</f>
        <v>50</v>
      </c>
      <c r="AR432" s="16">
        <f>IF(OR(X432=regle!$J$11,X432=regle!$K$11),-2,IF(X432=regle!$B$11,0,IF(AR$1=$AK$1,IF($O432,-1,regle!$B$2-$M432),IF(AQ432=-1,-1,AQ432+1))))</f>
        <v>51</v>
      </c>
      <c r="AS432" s="16">
        <f>IF(OR(Y432=regle!$J$11,Y432=regle!$K$11),-2,IF(Y432=regle!$B$11,0,IF(AS$1=$AK$1,IF($O432,-1,regle!$B$2-$M432),IF(AR432=-1,-1,AR432+1))))</f>
        <v>52</v>
      </c>
      <c r="AT432" s="16">
        <f>IF(OR(Z432=regle!$J$11,Z432=regle!$K$11),-2,IF(Z432=regle!$B$11,0,IF(AT$1=$AK$1,IF($O432,-1,regle!$B$2-$M432),IF(AS432=-1,-1,AS432+1))))</f>
        <v>53</v>
      </c>
    </row>
    <row r="433" spans="1:46" x14ac:dyDescent="0.25">
      <c r="A433" t="b">
        <f>modif0!A421</f>
        <v>0</v>
      </c>
      <c r="B433">
        <f>ROW(modif0!B421)</f>
        <v>421</v>
      </c>
      <c r="C433" t="str">
        <f>modif0!D421</f>
        <v>171</v>
      </c>
      <c r="D433" t="str">
        <f>modif0!E421</f>
        <v>MANO</v>
      </c>
      <c r="E433">
        <f>modif0!F421</f>
        <v>17</v>
      </c>
      <c r="F433" t="str">
        <f>modif0!G421</f>
        <v>LANDE DE TABARTON</v>
      </c>
      <c r="G433" t="str">
        <f>modif0!I421</f>
        <v>0B</v>
      </c>
      <c r="H433">
        <f>modif0!J421</f>
        <v>296</v>
      </c>
      <c r="I433" t="str">
        <f>modif0!K421</f>
        <v/>
      </c>
      <c r="J433" s="11">
        <f>modif0!M421</f>
        <v>0.66400000000000003</v>
      </c>
      <c r="K433" s="11" t="str">
        <f>modif0!P421</f>
        <v>TAIL</v>
      </c>
      <c r="L433" t="str">
        <f>modif0!N421</f>
        <v>FEUIL</v>
      </c>
      <c r="M433">
        <f>modif0!Q421</f>
        <v>1980</v>
      </c>
      <c r="N433" t="str">
        <f>modif0!R421</f>
        <v>TAIL-FEUIL_1980</v>
      </c>
      <c r="O433" t="b">
        <f>modif0!S421</f>
        <v>0</v>
      </c>
      <c r="P433">
        <v>40</v>
      </c>
      <c r="AA433" s="17" t="b">
        <f>IF($A433,$J433*(IF(Q433=regle!$B$11,regle!$B$23*IF(AJ433=-2,1+regle!$B$35,1),
IF(Q433=regle!$C$11,regle!$C$23,
IF(Q433=regle!$D$11,regle!$D$23,
IF(Q433=regle!$E$11,regle!$E$23,
IF(Q433=regle!$F$11,regle!$F$23,
IF(Q433=regle!$G$11,regle!$G$23,
IF(Q433=regle!$H$11,regle!$H$23,
IF(Q433=regle!$I$11,regle!$I$23,
IF(Q433=regle!$J$11,regle!$J$23,
IF(Q433=regle!$K$11,regle!$K$23,0))))))))))))</f>
        <v>0</v>
      </c>
      <c r="AB433" s="17" t="b">
        <f>IF($A433,$J433*(IF(R433=regle!$B$11,regle!$B$23*IF(AK433=-2,1+regle!$B$35,1),
IF(R433=regle!$C$11,regle!$C$23,
IF(R433=regle!$D$11,regle!$D$23,
IF(R433=regle!$E$11,regle!$E$23,
IF(R433=regle!$F$11,regle!$F$23,
IF(R433=regle!$G$11,regle!$G$23,
IF(R433=regle!$H$11,regle!$H$23,
IF(R433=regle!$I$11,regle!$I$23,
IF(R433=regle!$J$11,regle!$J$23,
IF(R433=regle!$K$11,regle!$K$23,0))))))))))))</f>
        <v>0</v>
      </c>
      <c r="AC433" s="17" t="b">
        <f>IF($A433,$J433*(IF(S433=regle!$B$11,regle!$B$23*IF(AL433=-2,1+regle!$B$35,1),
IF(S433=regle!$C$11,regle!$C$23,
IF(S433=regle!$D$11,regle!$D$23,
IF(S433=regle!$E$11,regle!$E$23,
IF(S433=regle!$F$11,regle!$F$23,
IF(S433=regle!$G$11,regle!$G$23,
IF(S433=regle!$H$11,regle!$H$23,
IF(S433=regle!$I$11,regle!$I$23,
IF(S433=regle!$J$11,regle!$J$23,
IF(S433=regle!$K$11,regle!$K$23,0))))))))))))</f>
        <v>0</v>
      </c>
      <c r="AD433" s="17" t="b">
        <f>IF($A433,$J433*(IF(T433=regle!$B$11,regle!$B$23*IF(AM433=-2,1+regle!$B$35,1),
IF(T433=regle!$C$11,regle!$C$23,
IF(T433=regle!$D$11,regle!$D$23,
IF(T433=regle!$E$11,regle!$E$23,
IF(T433=regle!$F$11,regle!$F$23,
IF(T433=regle!$G$11,regle!$G$23,
IF(T433=regle!$H$11,regle!$H$23,
IF(T433=regle!$I$11,regle!$I$23,
IF(T433=regle!$J$11,regle!$J$23,
IF(T433=regle!$K$11,regle!$K$23,0))))))))))))</f>
        <v>0</v>
      </c>
      <c r="AE433" s="17" t="b">
        <f>IF($A433,$J433*(IF(U433=regle!$B$11,regle!$B$23*IF(AN433=-2,1+regle!$B$35,1),
IF(U433=regle!$C$11,regle!$C$23,
IF(U433=regle!$D$11,regle!$D$23,
IF(U433=regle!$E$11,regle!$E$23,
IF(U433=regle!$F$11,regle!$F$23,
IF(U433=regle!$G$11,regle!$G$23,
IF(U433=regle!$H$11,regle!$H$23,
IF(U433=regle!$I$11,regle!$I$23,
IF(U433=regle!$J$11,regle!$J$23,
IF(U433=regle!$K$11,regle!$K$23,0))))))))))))</f>
        <v>0</v>
      </c>
      <c r="AF433" s="17" t="b">
        <f>IF($A433,$J433*(IF(V433=regle!$B$11,regle!$B$23*IF(AO433=-2,1+regle!$B$35,1),
IF(V433=regle!$C$11,regle!$C$23,
IF(V433=regle!$D$11,regle!$D$23,
IF(V433=regle!$E$11,regle!$E$23,
IF(V433=regle!$F$11,regle!$F$23,
IF(V433=regle!$G$11,regle!$G$23,
IF(V433=regle!$H$11,regle!$H$23,
IF(V433=regle!$I$11,regle!$I$23,
IF(V433=regle!$J$11,regle!$J$23,
IF(V433=regle!$K$11,regle!$K$23,0))))))))))))</f>
        <v>0</v>
      </c>
      <c r="AG433" s="17" t="b">
        <f>IF($A433,$J433*(IF(W433=regle!$B$11,regle!$B$23*IF(AP433=-2,1+regle!$B$35,1),
IF(W433=regle!$C$11,regle!$C$23,
IF(W433=regle!$D$11,regle!$D$23,
IF(W433=regle!$E$11,regle!$E$23,
IF(W433=regle!$F$11,regle!$F$23,
IF(W433=regle!$G$11,regle!$G$23,
IF(W433=regle!$H$11,regle!$H$23,
IF(W433=regle!$I$11,regle!$I$23,
IF(W433=regle!$J$11,regle!$J$23,
IF(W433=regle!$K$11,regle!$K$23,0))))))))))))</f>
        <v>0</v>
      </c>
      <c r="AH433" s="17" t="b">
        <f>IF($A433,$J433*(IF(X433=regle!$B$11,regle!$B$23*IF(AQ433=-2,1+regle!$B$35,1),
IF(X433=regle!$C$11,regle!$C$23,
IF(X433=regle!$D$11,regle!$D$23,
IF(X433=regle!$E$11,regle!$E$23,
IF(X433=regle!$F$11,regle!$F$23,
IF(X433=regle!$G$11,regle!$G$23,
IF(X433=regle!$H$11,regle!$H$23,
IF(X433=regle!$I$11,regle!$I$23,
IF(X433=regle!$J$11,regle!$J$23,
IF(X433=regle!$K$11,regle!$K$23,0))))))))))))</f>
        <v>0</v>
      </c>
      <c r="AI433" s="17" t="b">
        <f>IF($A433,$J433*(IF(Y433=regle!$B$11,regle!$B$23*IF(AR433=-2,1+regle!$B$35,1),
IF(Y433=regle!$C$11,regle!$C$23,
IF(Y433=regle!$D$11,regle!$D$23,
IF(Y433=regle!$E$11,regle!$E$23,
IF(Y433=regle!$F$11,regle!$F$23,
IF(Y433=regle!$G$11,regle!$G$23,
IF(Y433=regle!$H$11,regle!$H$23,
IF(Y433=regle!$I$11,regle!$I$23,
IF(Y433=regle!$J$11,regle!$J$23,
IF(Y433=regle!$K$11,regle!$K$23,0))))))))))))</f>
        <v>0</v>
      </c>
      <c r="AJ433" s="17" t="b">
        <f>IF($A433,$J433*(IF(Z433=regle!$B$11,regle!$B$23*IF(AS433=-2,1+regle!$B$35,1),
IF(Z433=regle!$C$11,regle!$C$23,
IF(Z433=regle!$D$11,regle!$D$23,
IF(Z433=regle!$E$11,regle!$E$23,
IF(Z433=regle!$F$11,regle!$F$23,
IF(Z433=regle!$G$11,regle!$G$23,
IF(Z433=regle!$H$11,regle!$H$23,
IF(Z433=regle!$I$11,regle!$I$23,
IF(Z433=regle!$J$11,regle!$J$23,
IF(Z433=regle!$K$11,regle!$K$23,0))))))))))))</f>
        <v>0</v>
      </c>
      <c r="AK433" s="16">
        <f>IF(OR(Q433=regle!$J$11,Q433=regle!$K$11),-2,IF(Q433=regle!$B$11,0,IF(AK$1=$AK$1,IF($O433,-1,regle!$B$2-$M433),IF(AJ433=-1,-1,AJ433+1))))</f>
        <v>44</v>
      </c>
      <c r="AL433" s="16">
        <f>IF(OR(R433=regle!$J$11,R433=regle!$K$11),-2,IF(R433=regle!$B$11,0,IF(AL$1=$AK$1,IF($O433,-1,regle!$B$2-$M433),IF(AK433=-1,-1,AK433+1))))</f>
        <v>45</v>
      </c>
      <c r="AM433" s="16">
        <f>IF(OR(S433=regle!$J$11,S433=regle!$K$11),-2,IF(S433=regle!$B$11,0,IF(AM$1=$AK$1,IF($O433,-1,regle!$B$2-$M433),IF(AL433=-1,-1,AL433+1))))</f>
        <v>46</v>
      </c>
      <c r="AN433" s="16">
        <f>IF(OR(T433=regle!$J$11,T433=regle!$K$11),-2,IF(T433=regle!$B$11,0,IF(AN$1=$AK$1,IF($O433,-1,regle!$B$2-$M433),IF(AM433=-1,-1,AM433+1))))</f>
        <v>47</v>
      </c>
      <c r="AO433" s="16">
        <f>IF(OR(U433=regle!$J$11,U433=regle!$K$11),-2,IF(U433=regle!$B$11,0,IF(AO$1=$AK$1,IF($O433,-1,regle!$B$2-$M433),IF(AN433=-1,-1,AN433+1))))</f>
        <v>48</v>
      </c>
      <c r="AP433" s="16">
        <f>IF(OR(V433=regle!$J$11,V433=regle!$K$11),-2,IF(V433=regle!$B$11,0,IF(AP$1=$AK$1,IF($O433,-1,regle!$B$2-$M433),IF(AO433=-1,-1,AO433+1))))</f>
        <v>49</v>
      </c>
      <c r="AQ433" s="16">
        <f>IF(OR(W433=regle!$J$11,W433=regle!$K$11),-2,IF(W433=regle!$B$11,0,IF(AQ$1=$AK$1,IF($O433,-1,regle!$B$2-$M433),IF(AP433=-1,-1,AP433+1))))</f>
        <v>50</v>
      </c>
      <c r="AR433" s="16">
        <f>IF(OR(X433=regle!$J$11,X433=regle!$K$11),-2,IF(X433=regle!$B$11,0,IF(AR$1=$AK$1,IF($O433,-1,regle!$B$2-$M433),IF(AQ433=-1,-1,AQ433+1))))</f>
        <v>51</v>
      </c>
      <c r="AS433" s="16">
        <f>IF(OR(Y433=regle!$J$11,Y433=regle!$K$11),-2,IF(Y433=regle!$B$11,0,IF(AS$1=$AK$1,IF($O433,-1,regle!$B$2-$M433),IF(AR433=-1,-1,AR433+1))))</f>
        <v>52</v>
      </c>
      <c r="AT433" s="16">
        <f>IF(OR(Z433=regle!$J$11,Z433=regle!$K$11),-2,IF(Z433=regle!$B$11,0,IF(AT$1=$AK$1,IF($O433,-1,regle!$B$2-$M433),IF(AS433=-1,-1,AS433+1))))</f>
        <v>53</v>
      </c>
    </row>
    <row r="434" spans="1:46" x14ac:dyDescent="0.25">
      <c r="A434" t="b">
        <f>modif0!A381</f>
        <v>0</v>
      </c>
      <c r="B434">
        <f>ROW(modif0!B381)</f>
        <v>381</v>
      </c>
      <c r="C434" t="str">
        <f>modif0!D381</f>
        <v>536</v>
      </c>
      <c r="D434" t="str">
        <f>modif0!E381</f>
        <v>LE TUZAN</v>
      </c>
      <c r="E434">
        <f>modif0!F381</f>
        <v>16</v>
      </c>
      <c r="F434" t="str">
        <f>modif0!G381</f>
        <v>LA GRAVE REDONNE</v>
      </c>
      <c r="G434" t="str">
        <f>modif0!I381</f>
        <v>0A</v>
      </c>
      <c r="H434">
        <f>modif0!J381</f>
        <v>313</v>
      </c>
      <c r="I434" t="str">
        <f>modif0!K381</f>
        <v/>
      </c>
      <c r="J434" s="11">
        <f>modif0!M381</f>
        <v>0.06</v>
      </c>
      <c r="K434" s="11" t="str">
        <f>modif0!P381</f>
        <v>TAIL</v>
      </c>
      <c r="L434" t="str">
        <f>modif0!N381</f>
        <v>FEUIL</v>
      </c>
      <c r="M434">
        <f>modif0!Q381</f>
        <v>1980</v>
      </c>
      <c r="N434" t="str">
        <f>modif0!R381</f>
        <v>TAIL-FEUIL_1980</v>
      </c>
      <c r="O434" t="b">
        <f>modif0!S381</f>
        <v>0</v>
      </c>
      <c r="P434">
        <v>40</v>
      </c>
      <c r="AA434" s="17" t="b">
        <f>IF($A434,$J434*(IF(Q434=regle!$B$11,regle!$B$23*IF(AJ434=-2,1+regle!$B$35,1),
IF(Q434=regle!$C$11,regle!$C$23,
IF(Q434=regle!$D$11,regle!$D$23,
IF(Q434=regle!$E$11,regle!$E$23,
IF(Q434=regle!$F$11,regle!$F$23,
IF(Q434=regle!$G$11,regle!$G$23,
IF(Q434=regle!$H$11,regle!$H$23,
IF(Q434=regle!$I$11,regle!$I$23,
IF(Q434=regle!$J$11,regle!$J$23,
IF(Q434=regle!$K$11,regle!$K$23,0))))))))))))</f>
        <v>0</v>
      </c>
      <c r="AB434" s="17" t="b">
        <f>IF($A434,$J434*(IF(R434=regle!$B$11,regle!$B$23*IF(AK434=-2,1+regle!$B$35,1),
IF(R434=regle!$C$11,regle!$C$23,
IF(R434=regle!$D$11,regle!$D$23,
IF(R434=regle!$E$11,regle!$E$23,
IF(R434=regle!$F$11,regle!$F$23,
IF(R434=regle!$G$11,regle!$G$23,
IF(R434=regle!$H$11,regle!$H$23,
IF(R434=regle!$I$11,regle!$I$23,
IF(R434=regle!$J$11,regle!$J$23,
IF(R434=regle!$K$11,regle!$K$23,0))))))))))))</f>
        <v>0</v>
      </c>
      <c r="AC434" s="17" t="b">
        <f>IF($A434,$J434*(IF(S434=regle!$B$11,regle!$B$23*IF(AL434=-2,1+regle!$B$35,1),
IF(S434=regle!$C$11,regle!$C$23,
IF(S434=regle!$D$11,regle!$D$23,
IF(S434=regle!$E$11,regle!$E$23,
IF(S434=regle!$F$11,regle!$F$23,
IF(S434=regle!$G$11,regle!$G$23,
IF(S434=regle!$H$11,regle!$H$23,
IF(S434=regle!$I$11,regle!$I$23,
IF(S434=regle!$J$11,regle!$J$23,
IF(S434=regle!$K$11,regle!$K$23,0))))))))))))</f>
        <v>0</v>
      </c>
      <c r="AD434" s="17" t="b">
        <f>IF($A434,$J434*(IF(T434=regle!$B$11,regle!$B$23*IF(AM434=-2,1+regle!$B$35,1),
IF(T434=regle!$C$11,regle!$C$23,
IF(T434=regle!$D$11,regle!$D$23,
IF(T434=regle!$E$11,regle!$E$23,
IF(T434=regle!$F$11,regle!$F$23,
IF(T434=regle!$G$11,regle!$G$23,
IF(T434=regle!$H$11,regle!$H$23,
IF(T434=regle!$I$11,regle!$I$23,
IF(T434=regle!$J$11,regle!$J$23,
IF(T434=regle!$K$11,regle!$K$23,0))))))))))))</f>
        <v>0</v>
      </c>
      <c r="AE434" s="17" t="b">
        <f>IF($A434,$J434*(IF(U434=regle!$B$11,regle!$B$23*IF(AN434=-2,1+regle!$B$35,1),
IF(U434=regle!$C$11,regle!$C$23,
IF(U434=regle!$D$11,regle!$D$23,
IF(U434=regle!$E$11,regle!$E$23,
IF(U434=regle!$F$11,regle!$F$23,
IF(U434=regle!$G$11,regle!$G$23,
IF(U434=regle!$H$11,regle!$H$23,
IF(U434=regle!$I$11,regle!$I$23,
IF(U434=regle!$J$11,regle!$J$23,
IF(U434=regle!$K$11,regle!$K$23,0))))))))))))</f>
        <v>0</v>
      </c>
      <c r="AF434" s="17" t="b">
        <f>IF($A434,$J434*(IF(V434=regle!$B$11,regle!$B$23*IF(AO434=-2,1+regle!$B$35,1),
IF(V434=regle!$C$11,regle!$C$23,
IF(V434=regle!$D$11,regle!$D$23,
IF(V434=regle!$E$11,regle!$E$23,
IF(V434=regle!$F$11,regle!$F$23,
IF(V434=regle!$G$11,regle!$G$23,
IF(V434=regle!$H$11,regle!$H$23,
IF(V434=regle!$I$11,regle!$I$23,
IF(V434=regle!$J$11,regle!$J$23,
IF(V434=regle!$K$11,regle!$K$23,0))))))))))))</f>
        <v>0</v>
      </c>
      <c r="AG434" s="17" t="b">
        <f>IF($A434,$J434*(IF(W434=regle!$B$11,regle!$B$23*IF(AP434=-2,1+regle!$B$35,1),
IF(W434=regle!$C$11,regle!$C$23,
IF(W434=regle!$D$11,regle!$D$23,
IF(W434=regle!$E$11,regle!$E$23,
IF(W434=regle!$F$11,regle!$F$23,
IF(W434=regle!$G$11,regle!$G$23,
IF(W434=regle!$H$11,regle!$H$23,
IF(W434=regle!$I$11,regle!$I$23,
IF(W434=regle!$J$11,regle!$J$23,
IF(W434=regle!$K$11,regle!$K$23,0))))))))))))</f>
        <v>0</v>
      </c>
      <c r="AH434" s="17" t="b">
        <f>IF($A434,$J434*(IF(X434=regle!$B$11,regle!$B$23*IF(AQ434=-2,1+regle!$B$35,1),
IF(X434=regle!$C$11,regle!$C$23,
IF(X434=regle!$D$11,regle!$D$23,
IF(X434=regle!$E$11,regle!$E$23,
IF(X434=regle!$F$11,regle!$F$23,
IF(X434=regle!$G$11,regle!$G$23,
IF(X434=regle!$H$11,regle!$H$23,
IF(X434=regle!$I$11,regle!$I$23,
IF(X434=regle!$J$11,regle!$J$23,
IF(X434=regle!$K$11,regle!$K$23,0))))))))))))</f>
        <v>0</v>
      </c>
      <c r="AI434" s="17" t="b">
        <f>IF($A434,$J434*(IF(Y434=regle!$B$11,regle!$B$23*IF(AR434=-2,1+regle!$B$35,1),
IF(Y434=regle!$C$11,regle!$C$23,
IF(Y434=regle!$D$11,regle!$D$23,
IF(Y434=regle!$E$11,regle!$E$23,
IF(Y434=regle!$F$11,regle!$F$23,
IF(Y434=regle!$G$11,regle!$G$23,
IF(Y434=regle!$H$11,regle!$H$23,
IF(Y434=regle!$I$11,regle!$I$23,
IF(Y434=regle!$J$11,regle!$J$23,
IF(Y434=regle!$K$11,regle!$K$23,0))))))))))))</f>
        <v>0</v>
      </c>
      <c r="AJ434" s="17" t="b">
        <f>IF($A434,$J434*(IF(Z434=regle!$B$11,regle!$B$23*IF(AS434=-2,1+regle!$B$35,1),
IF(Z434=regle!$C$11,regle!$C$23,
IF(Z434=regle!$D$11,regle!$D$23,
IF(Z434=regle!$E$11,regle!$E$23,
IF(Z434=regle!$F$11,regle!$F$23,
IF(Z434=regle!$G$11,regle!$G$23,
IF(Z434=regle!$H$11,regle!$H$23,
IF(Z434=regle!$I$11,regle!$I$23,
IF(Z434=regle!$J$11,regle!$J$23,
IF(Z434=regle!$K$11,regle!$K$23,0))))))))))))</f>
        <v>0</v>
      </c>
      <c r="AK434" s="16">
        <f>IF(OR(Q434=regle!$J$11,Q434=regle!$K$11),-2,IF(Q434=regle!$B$11,0,IF(AK$1=$AK$1,IF($O434,-1,regle!$B$2-$M434),IF(AJ434=-1,-1,AJ434+1))))</f>
        <v>44</v>
      </c>
      <c r="AL434" s="16">
        <f>IF(OR(R434=regle!$J$11,R434=regle!$K$11),-2,IF(R434=regle!$B$11,0,IF(AL$1=$AK$1,IF($O434,-1,regle!$B$2-$M434),IF(AK434=-1,-1,AK434+1))))</f>
        <v>45</v>
      </c>
      <c r="AM434" s="16">
        <f>IF(OR(S434=regle!$J$11,S434=regle!$K$11),-2,IF(S434=regle!$B$11,0,IF(AM$1=$AK$1,IF($O434,-1,regle!$B$2-$M434),IF(AL434=-1,-1,AL434+1))))</f>
        <v>46</v>
      </c>
      <c r="AN434" s="16">
        <f>IF(OR(T434=regle!$J$11,T434=regle!$K$11),-2,IF(T434=regle!$B$11,0,IF(AN$1=$AK$1,IF($O434,-1,regle!$B$2-$M434),IF(AM434=-1,-1,AM434+1))))</f>
        <v>47</v>
      </c>
      <c r="AO434" s="16">
        <f>IF(OR(U434=regle!$J$11,U434=regle!$K$11),-2,IF(U434=regle!$B$11,0,IF(AO$1=$AK$1,IF($O434,-1,regle!$B$2-$M434),IF(AN434=-1,-1,AN434+1))))</f>
        <v>48</v>
      </c>
      <c r="AP434" s="16">
        <f>IF(OR(V434=regle!$J$11,V434=regle!$K$11),-2,IF(V434=regle!$B$11,0,IF(AP$1=$AK$1,IF($O434,-1,regle!$B$2-$M434),IF(AO434=-1,-1,AO434+1))))</f>
        <v>49</v>
      </c>
      <c r="AQ434" s="16">
        <f>IF(OR(W434=regle!$J$11,W434=regle!$K$11),-2,IF(W434=regle!$B$11,0,IF(AQ$1=$AK$1,IF($O434,-1,regle!$B$2-$M434),IF(AP434=-1,-1,AP434+1))))</f>
        <v>50</v>
      </c>
      <c r="AR434" s="16">
        <f>IF(OR(X434=regle!$J$11,X434=regle!$K$11),-2,IF(X434=regle!$B$11,0,IF(AR$1=$AK$1,IF($O434,-1,regle!$B$2-$M434),IF(AQ434=-1,-1,AQ434+1))))</f>
        <v>51</v>
      </c>
      <c r="AS434" s="16">
        <f>IF(OR(Y434=regle!$J$11,Y434=regle!$K$11),-2,IF(Y434=regle!$B$11,0,IF(AS$1=$AK$1,IF($O434,-1,regle!$B$2-$M434),IF(AR434=-1,-1,AR434+1))))</f>
        <v>52</v>
      </c>
      <c r="AT434" s="16">
        <f>IF(OR(Z434=regle!$J$11,Z434=regle!$K$11),-2,IF(Z434=regle!$B$11,0,IF(AT$1=$AK$1,IF($O434,-1,regle!$B$2-$M434),IF(AS434=-1,-1,AS434+1))))</f>
        <v>53</v>
      </c>
    </row>
    <row r="435" spans="1:46" x14ac:dyDescent="0.25">
      <c r="A435" t="b">
        <f>modif0!A427</f>
        <v>0</v>
      </c>
      <c r="B435">
        <f>ROW(modif0!B427)</f>
        <v>427</v>
      </c>
      <c r="C435" t="str">
        <f>modif0!D427</f>
        <v>077</v>
      </c>
      <c r="D435" t="str">
        <f>modif0!E427</f>
        <v>CABANAC-ET-VILLAGRAINS</v>
      </c>
      <c r="E435">
        <f>modif0!F427</f>
        <v>12</v>
      </c>
      <c r="F435" t="str">
        <f>modif0!G427</f>
        <v>LES JEANNOTS</v>
      </c>
      <c r="G435" t="str">
        <f>modif0!I427</f>
        <v>0D</v>
      </c>
      <c r="H435">
        <f>modif0!J427</f>
        <v>2309</v>
      </c>
      <c r="I435" t="str">
        <f>modif0!K427</f>
        <v/>
      </c>
      <c r="J435" s="11">
        <f>modif0!M427</f>
        <v>2.5999999999999999E-3</v>
      </c>
      <c r="K435" s="11" t="str">
        <f>modif0!P427</f>
        <v>TAIL</v>
      </c>
      <c r="L435" t="str">
        <f>modif0!N427</f>
        <v>FEUIL</v>
      </c>
      <c r="M435">
        <f>modif0!Q427</f>
        <v>1980</v>
      </c>
      <c r="N435" t="str">
        <f>modif0!R427</f>
        <v>TAIL-FEUIL_1980</v>
      </c>
      <c r="O435" t="b">
        <f>modif0!S427</f>
        <v>0</v>
      </c>
      <c r="P435">
        <v>40</v>
      </c>
      <c r="AA435" s="17" t="b">
        <f>IF($A435,$J435*(IF(Q435=regle!$B$11,regle!$B$23*IF(AJ435=-2,1+regle!$B$35,1),
IF(Q435=regle!$C$11,regle!$C$23,
IF(Q435=regle!$D$11,regle!$D$23,
IF(Q435=regle!$E$11,regle!$E$23,
IF(Q435=regle!$F$11,regle!$F$23,
IF(Q435=regle!$G$11,regle!$G$23,
IF(Q435=regle!$H$11,regle!$H$23,
IF(Q435=regle!$I$11,regle!$I$23,
IF(Q435=regle!$J$11,regle!$J$23,
IF(Q435=regle!$K$11,regle!$K$23,0))))))))))))</f>
        <v>0</v>
      </c>
      <c r="AB435" s="17" t="b">
        <f>IF($A435,$J435*(IF(R435=regle!$B$11,regle!$B$23*IF(AK435=-2,1+regle!$B$35,1),
IF(R435=regle!$C$11,regle!$C$23,
IF(R435=regle!$D$11,regle!$D$23,
IF(R435=regle!$E$11,regle!$E$23,
IF(R435=regle!$F$11,regle!$F$23,
IF(R435=regle!$G$11,regle!$G$23,
IF(R435=regle!$H$11,regle!$H$23,
IF(R435=regle!$I$11,regle!$I$23,
IF(R435=regle!$J$11,regle!$J$23,
IF(R435=regle!$K$11,regle!$K$23,0))))))))))))</f>
        <v>0</v>
      </c>
      <c r="AC435" s="17" t="b">
        <f>IF($A435,$J435*(IF(S435=regle!$B$11,regle!$B$23*IF(AL435=-2,1+regle!$B$35,1),
IF(S435=regle!$C$11,regle!$C$23,
IF(S435=regle!$D$11,regle!$D$23,
IF(S435=regle!$E$11,regle!$E$23,
IF(S435=regle!$F$11,regle!$F$23,
IF(S435=regle!$G$11,regle!$G$23,
IF(S435=regle!$H$11,regle!$H$23,
IF(S435=regle!$I$11,regle!$I$23,
IF(S435=regle!$J$11,regle!$J$23,
IF(S435=regle!$K$11,regle!$K$23,0))))))))))))</f>
        <v>0</v>
      </c>
      <c r="AD435" s="17" t="b">
        <f>IF($A435,$J435*(IF(T435=regle!$B$11,regle!$B$23*IF(AM435=-2,1+regle!$B$35,1),
IF(T435=regle!$C$11,regle!$C$23,
IF(T435=regle!$D$11,regle!$D$23,
IF(T435=regle!$E$11,regle!$E$23,
IF(T435=regle!$F$11,regle!$F$23,
IF(T435=regle!$G$11,regle!$G$23,
IF(T435=regle!$H$11,regle!$H$23,
IF(T435=regle!$I$11,regle!$I$23,
IF(T435=regle!$J$11,regle!$J$23,
IF(T435=regle!$K$11,regle!$K$23,0))))))))))))</f>
        <v>0</v>
      </c>
      <c r="AE435" s="17" t="b">
        <f>IF($A435,$J435*(IF(U435=regle!$B$11,regle!$B$23*IF(AN435=-2,1+regle!$B$35,1),
IF(U435=regle!$C$11,regle!$C$23,
IF(U435=regle!$D$11,regle!$D$23,
IF(U435=regle!$E$11,regle!$E$23,
IF(U435=regle!$F$11,regle!$F$23,
IF(U435=regle!$G$11,regle!$G$23,
IF(U435=regle!$H$11,regle!$H$23,
IF(U435=regle!$I$11,regle!$I$23,
IF(U435=regle!$J$11,regle!$J$23,
IF(U435=regle!$K$11,regle!$K$23,0))))))))))))</f>
        <v>0</v>
      </c>
      <c r="AF435" s="17" t="b">
        <f>IF($A435,$J435*(IF(V435=regle!$B$11,regle!$B$23*IF(AO435=-2,1+regle!$B$35,1),
IF(V435=regle!$C$11,regle!$C$23,
IF(V435=regle!$D$11,regle!$D$23,
IF(V435=regle!$E$11,regle!$E$23,
IF(V435=regle!$F$11,regle!$F$23,
IF(V435=regle!$G$11,regle!$G$23,
IF(V435=regle!$H$11,regle!$H$23,
IF(V435=regle!$I$11,regle!$I$23,
IF(V435=regle!$J$11,regle!$J$23,
IF(V435=regle!$K$11,regle!$K$23,0))))))))))))</f>
        <v>0</v>
      </c>
      <c r="AG435" s="17" t="b">
        <f>IF($A435,$J435*(IF(W435=regle!$B$11,regle!$B$23*IF(AP435=-2,1+regle!$B$35,1),
IF(W435=regle!$C$11,regle!$C$23,
IF(W435=regle!$D$11,regle!$D$23,
IF(W435=regle!$E$11,regle!$E$23,
IF(W435=regle!$F$11,regle!$F$23,
IF(W435=regle!$G$11,regle!$G$23,
IF(W435=regle!$H$11,regle!$H$23,
IF(W435=regle!$I$11,regle!$I$23,
IF(W435=regle!$J$11,regle!$J$23,
IF(W435=regle!$K$11,regle!$K$23,0))))))))))))</f>
        <v>0</v>
      </c>
      <c r="AH435" s="17" t="b">
        <f>IF($A435,$J435*(IF(X435=regle!$B$11,regle!$B$23*IF(AQ435=-2,1+regle!$B$35,1),
IF(X435=regle!$C$11,regle!$C$23,
IF(X435=regle!$D$11,regle!$D$23,
IF(X435=regle!$E$11,regle!$E$23,
IF(X435=regle!$F$11,regle!$F$23,
IF(X435=regle!$G$11,regle!$G$23,
IF(X435=regle!$H$11,regle!$H$23,
IF(X435=regle!$I$11,regle!$I$23,
IF(X435=regle!$J$11,regle!$J$23,
IF(X435=regle!$K$11,regle!$K$23,0))))))))))))</f>
        <v>0</v>
      </c>
      <c r="AI435" s="17" t="b">
        <f>IF($A435,$J435*(IF(Y435=regle!$B$11,regle!$B$23*IF(AR435=-2,1+regle!$B$35,1),
IF(Y435=regle!$C$11,regle!$C$23,
IF(Y435=regle!$D$11,regle!$D$23,
IF(Y435=regle!$E$11,regle!$E$23,
IF(Y435=regle!$F$11,regle!$F$23,
IF(Y435=regle!$G$11,regle!$G$23,
IF(Y435=regle!$H$11,regle!$H$23,
IF(Y435=regle!$I$11,regle!$I$23,
IF(Y435=regle!$J$11,regle!$J$23,
IF(Y435=regle!$K$11,regle!$K$23,0))))))))))))</f>
        <v>0</v>
      </c>
      <c r="AJ435" s="17" t="b">
        <f>IF($A435,$J435*(IF(Z435=regle!$B$11,regle!$B$23*IF(AS435=-2,1+regle!$B$35,1),
IF(Z435=regle!$C$11,regle!$C$23,
IF(Z435=regle!$D$11,regle!$D$23,
IF(Z435=regle!$E$11,regle!$E$23,
IF(Z435=regle!$F$11,regle!$F$23,
IF(Z435=regle!$G$11,regle!$G$23,
IF(Z435=regle!$H$11,regle!$H$23,
IF(Z435=regle!$I$11,regle!$I$23,
IF(Z435=regle!$J$11,regle!$J$23,
IF(Z435=regle!$K$11,regle!$K$23,0))))))))))))</f>
        <v>0</v>
      </c>
      <c r="AK435" s="16">
        <f>IF(OR(Q435=regle!$J$11,Q435=regle!$K$11),-2,IF(Q435=regle!$B$11,0,IF(AK$1=$AK$1,IF($O435,-1,regle!$B$2-$M435),IF(AJ435=-1,-1,AJ435+1))))</f>
        <v>44</v>
      </c>
      <c r="AL435" s="16">
        <f>IF(OR(R435=regle!$J$11,R435=regle!$K$11),-2,IF(R435=regle!$B$11,0,IF(AL$1=$AK$1,IF($O435,-1,regle!$B$2-$M435),IF(AK435=-1,-1,AK435+1))))</f>
        <v>45</v>
      </c>
      <c r="AM435" s="16">
        <f>IF(OR(S435=regle!$J$11,S435=regle!$K$11),-2,IF(S435=regle!$B$11,0,IF(AM$1=$AK$1,IF($O435,-1,regle!$B$2-$M435),IF(AL435=-1,-1,AL435+1))))</f>
        <v>46</v>
      </c>
      <c r="AN435" s="16">
        <f>IF(OR(T435=regle!$J$11,T435=regle!$K$11),-2,IF(T435=regle!$B$11,0,IF(AN$1=$AK$1,IF($O435,-1,regle!$B$2-$M435),IF(AM435=-1,-1,AM435+1))))</f>
        <v>47</v>
      </c>
      <c r="AO435" s="16">
        <f>IF(OR(U435=regle!$J$11,U435=regle!$K$11),-2,IF(U435=regle!$B$11,0,IF(AO$1=$AK$1,IF($O435,-1,regle!$B$2-$M435),IF(AN435=-1,-1,AN435+1))))</f>
        <v>48</v>
      </c>
      <c r="AP435" s="16">
        <f>IF(OR(V435=regle!$J$11,V435=regle!$K$11),-2,IF(V435=regle!$B$11,0,IF(AP$1=$AK$1,IF($O435,-1,regle!$B$2-$M435),IF(AO435=-1,-1,AO435+1))))</f>
        <v>49</v>
      </c>
      <c r="AQ435" s="16">
        <f>IF(OR(W435=regle!$J$11,W435=regle!$K$11),-2,IF(W435=regle!$B$11,0,IF(AQ$1=$AK$1,IF($O435,-1,regle!$B$2-$M435),IF(AP435=-1,-1,AP435+1))))</f>
        <v>50</v>
      </c>
      <c r="AR435" s="16">
        <f>IF(OR(X435=regle!$J$11,X435=regle!$K$11),-2,IF(X435=regle!$B$11,0,IF(AR$1=$AK$1,IF($O435,-1,regle!$B$2-$M435),IF(AQ435=-1,-1,AQ435+1))))</f>
        <v>51</v>
      </c>
      <c r="AS435" s="16">
        <f>IF(OR(Y435=regle!$J$11,Y435=regle!$K$11),-2,IF(Y435=regle!$B$11,0,IF(AS$1=$AK$1,IF($O435,-1,regle!$B$2-$M435),IF(AR435=-1,-1,AR435+1))))</f>
        <v>52</v>
      </c>
      <c r="AT435" s="16">
        <f>IF(OR(Z435=regle!$J$11,Z435=regle!$K$11),-2,IF(Z435=regle!$B$11,0,IF(AT$1=$AK$1,IF($O435,-1,regle!$B$2-$M435),IF(AS435=-1,-1,AS435+1))))</f>
        <v>53</v>
      </c>
    </row>
    <row r="436" spans="1:46" x14ac:dyDescent="0.25">
      <c r="A436" t="b">
        <f>modif0!A395</f>
        <v>0</v>
      </c>
      <c r="B436">
        <f>ROW(modif0!B395)</f>
        <v>395</v>
      </c>
      <c r="C436" t="str">
        <f>modif0!D395</f>
        <v>536</v>
      </c>
      <c r="D436" t="str">
        <f>modif0!E395</f>
        <v>LE TUZAN</v>
      </c>
      <c r="E436">
        <f>modif0!F395</f>
        <v>21</v>
      </c>
      <c r="F436" t="str">
        <f>modif0!G395</f>
        <v>METAIRIES DE TABARTON</v>
      </c>
      <c r="G436" t="str">
        <f>modif0!I395</f>
        <v>0A</v>
      </c>
      <c r="H436">
        <f>modif0!J395</f>
        <v>523</v>
      </c>
      <c r="I436" t="str">
        <f>modif0!K395</f>
        <v>s</v>
      </c>
      <c r="J436" s="11">
        <f>modif0!M395</f>
        <v>0.92559999999999998</v>
      </c>
      <c r="K436" s="11" t="str">
        <f>modif0!P395</f>
        <v>TAIL</v>
      </c>
      <c r="L436" t="str">
        <f>modif0!N395</f>
        <v>FEUIL</v>
      </c>
      <c r="M436">
        <f>modif0!Q395</f>
        <v>1975</v>
      </c>
      <c r="N436" t="str">
        <f>modif0!R395</f>
        <v>TAIL-FEUIL_1975</v>
      </c>
      <c r="O436" t="b">
        <f>modif0!S395</f>
        <v>0</v>
      </c>
      <c r="P436">
        <v>40</v>
      </c>
      <c r="AA436" s="17" t="b">
        <f>IF($A436,$J436*(IF(Q436=regle!$B$11,regle!$B$23*IF(AJ436=-2,1+regle!$B$35,1),
IF(Q436=regle!$C$11,regle!$C$23,
IF(Q436=regle!$D$11,regle!$D$23,
IF(Q436=regle!$E$11,regle!$E$23,
IF(Q436=regle!$F$11,regle!$F$23,
IF(Q436=regle!$G$11,regle!$G$23,
IF(Q436=regle!$H$11,regle!$H$23,
IF(Q436=regle!$I$11,regle!$I$23,
IF(Q436=regle!$J$11,regle!$J$23,
IF(Q436=regle!$K$11,regle!$K$23,0))))))))))))</f>
        <v>0</v>
      </c>
      <c r="AB436" s="17" t="b">
        <f>IF($A436,$J436*(IF(R436=regle!$B$11,regle!$B$23*IF(AK436=-2,1+regle!$B$35,1),
IF(R436=regle!$C$11,regle!$C$23,
IF(R436=regle!$D$11,regle!$D$23,
IF(R436=regle!$E$11,regle!$E$23,
IF(R436=regle!$F$11,regle!$F$23,
IF(R436=regle!$G$11,regle!$G$23,
IF(R436=regle!$H$11,regle!$H$23,
IF(R436=regle!$I$11,regle!$I$23,
IF(R436=regle!$J$11,regle!$J$23,
IF(R436=regle!$K$11,regle!$K$23,0))))))))))))</f>
        <v>0</v>
      </c>
      <c r="AC436" s="17" t="b">
        <f>IF($A436,$J436*(IF(S436=regle!$B$11,regle!$B$23*IF(AL436=-2,1+regle!$B$35,1),
IF(S436=regle!$C$11,regle!$C$23,
IF(S436=regle!$D$11,regle!$D$23,
IF(S436=regle!$E$11,regle!$E$23,
IF(S436=regle!$F$11,regle!$F$23,
IF(S436=regle!$G$11,regle!$G$23,
IF(S436=regle!$H$11,regle!$H$23,
IF(S436=regle!$I$11,regle!$I$23,
IF(S436=regle!$J$11,regle!$J$23,
IF(S436=regle!$K$11,regle!$K$23,0))))))))))))</f>
        <v>0</v>
      </c>
      <c r="AD436" s="17" t="b">
        <f>IF($A436,$J436*(IF(T436=regle!$B$11,regle!$B$23*IF(AM436=-2,1+regle!$B$35,1),
IF(T436=regle!$C$11,regle!$C$23,
IF(T436=regle!$D$11,regle!$D$23,
IF(T436=regle!$E$11,regle!$E$23,
IF(T436=regle!$F$11,regle!$F$23,
IF(T436=regle!$G$11,regle!$G$23,
IF(T436=regle!$H$11,regle!$H$23,
IF(T436=regle!$I$11,regle!$I$23,
IF(T436=regle!$J$11,regle!$J$23,
IF(T436=regle!$K$11,regle!$K$23,0))))))))))))</f>
        <v>0</v>
      </c>
      <c r="AE436" s="17" t="b">
        <f>IF($A436,$J436*(IF(U436=regle!$B$11,regle!$B$23*IF(AN436=-2,1+regle!$B$35,1),
IF(U436=regle!$C$11,regle!$C$23,
IF(U436=regle!$D$11,regle!$D$23,
IF(U436=regle!$E$11,regle!$E$23,
IF(U436=regle!$F$11,regle!$F$23,
IF(U436=regle!$G$11,regle!$G$23,
IF(U436=regle!$H$11,regle!$H$23,
IF(U436=regle!$I$11,regle!$I$23,
IF(U436=regle!$J$11,regle!$J$23,
IF(U436=regle!$K$11,regle!$K$23,0))))))))))))</f>
        <v>0</v>
      </c>
      <c r="AF436" s="17" t="b">
        <f>IF($A436,$J436*(IF(V436=regle!$B$11,regle!$B$23*IF(AO436=-2,1+regle!$B$35,1),
IF(V436=regle!$C$11,regle!$C$23,
IF(V436=regle!$D$11,regle!$D$23,
IF(V436=regle!$E$11,regle!$E$23,
IF(V436=regle!$F$11,regle!$F$23,
IF(V436=regle!$G$11,regle!$G$23,
IF(V436=regle!$H$11,regle!$H$23,
IF(V436=regle!$I$11,regle!$I$23,
IF(V436=regle!$J$11,regle!$J$23,
IF(V436=regle!$K$11,regle!$K$23,0))))))))))))</f>
        <v>0</v>
      </c>
      <c r="AG436" s="17" t="b">
        <f>IF($A436,$J436*(IF(W436=regle!$B$11,regle!$B$23*IF(AP436=-2,1+regle!$B$35,1),
IF(W436=regle!$C$11,regle!$C$23,
IF(W436=regle!$D$11,regle!$D$23,
IF(W436=regle!$E$11,regle!$E$23,
IF(W436=regle!$F$11,regle!$F$23,
IF(W436=regle!$G$11,regle!$G$23,
IF(W436=regle!$H$11,regle!$H$23,
IF(W436=regle!$I$11,regle!$I$23,
IF(W436=regle!$J$11,regle!$J$23,
IF(W436=regle!$K$11,regle!$K$23,0))))))))))))</f>
        <v>0</v>
      </c>
      <c r="AH436" s="17" t="b">
        <f>IF($A436,$J436*(IF(X436=regle!$B$11,regle!$B$23*IF(AQ436=-2,1+regle!$B$35,1),
IF(X436=regle!$C$11,regle!$C$23,
IF(X436=regle!$D$11,regle!$D$23,
IF(X436=regle!$E$11,regle!$E$23,
IF(X436=regle!$F$11,regle!$F$23,
IF(X436=regle!$G$11,regle!$G$23,
IF(X436=regle!$H$11,regle!$H$23,
IF(X436=regle!$I$11,regle!$I$23,
IF(X436=regle!$J$11,regle!$J$23,
IF(X436=regle!$K$11,regle!$K$23,0))))))))))))</f>
        <v>0</v>
      </c>
      <c r="AI436" s="17" t="b">
        <f>IF($A436,$J436*(IF(Y436=regle!$B$11,regle!$B$23*IF(AR436=-2,1+regle!$B$35,1),
IF(Y436=regle!$C$11,regle!$C$23,
IF(Y436=regle!$D$11,regle!$D$23,
IF(Y436=regle!$E$11,regle!$E$23,
IF(Y436=regle!$F$11,regle!$F$23,
IF(Y436=regle!$G$11,regle!$G$23,
IF(Y436=regle!$H$11,regle!$H$23,
IF(Y436=regle!$I$11,regle!$I$23,
IF(Y436=regle!$J$11,regle!$J$23,
IF(Y436=regle!$K$11,regle!$K$23,0))))))))))))</f>
        <v>0</v>
      </c>
      <c r="AJ436" s="17" t="b">
        <f>IF($A436,$J436*(IF(Z436=regle!$B$11,regle!$B$23*IF(AS436=-2,1+regle!$B$35,1),
IF(Z436=regle!$C$11,regle!$C$23,
IF(Z436=regle!$D$11,regle!$D$23,
IF(Z436=regle!$E$11,regle!$E$23,
IF(Z436=regle!$F$11,regle!$F$23,
IF(Z436=regle!$G$11,regle!$G$23,
IF(Z436=regle!$H$11,regle!$H$23,
IF(Z436=regle!$I$11,regle!$I$23,
IF(Z436=regle!$J$11,regle!$J$23,
IF(Z436=regle!$K$11,regle!$K$23,0))))))))))))</f>
        <v>0</v>
      </c>
      <c r="AK436" s="16">
        <f>IF(OR(Q436=regle!$J$11,Q436=regle!$K$11),-2,IF(Q436=regle!$B$11,0,IF(AK$1=$AK$1,IF($O436,-1,regle!$B$2-$M436),IF(AJ436=-1,-1,AJ436+1))))</f>
        <v>49</v>
      </c>
      <c r="AL436" s="16">
        <f>IF(OR(R436=regle!$J$11,R436=regle!$K$11),-2,IF(R436=regle!$B$11,0,IF(AL$1=$AK$1,IF($O436,-1,regle!$B$2-$M436),IF(AK436=-1,-1,AK436+1))))</f>
        <v>50</v>
      </c>
      <c r="AM436" s="16">
        <f>IF(OR(S436=regle!$J$11,S436=regle!$K$11),-2,IF(S436=regle!$B$11,0,IF(AM$1=$AK$1,IF($O436,-1,regle!$B$2-$M436),IF(AL436=-1,-1,AL436+1))))</f>
        <v>51</v>
      </c>
      <c r="AN436" s="16">
        <f>IF(OR(T436=regle!$J$11,T436=regle!$K$11),-2,IF(T436=regle!$B$11,0,IF(AN$1=$AK$1,IF($O436,-1,regle!$B$2-$M436),IF(AM436=-1,-1,AM436+1))))</f>
        <v>52</v>
      </c>
      <c r="AO436" s="16">
        <f>IF(OR(U436=regle!$J$11,U436=regle!$K$11),-2,IF(U436=regle!$B$11,0,IF(AO$1=$AK$1,IF($O436,-1,regle!$B$2-$M436),IF(AN436=-1,-1,AN436+1))))</f>
        <v>53</v>
      </c>
      <c r="AP436" s="16">
        <f>IF(OR(V436=regle!$J$11,V436=regle!$K$11),-2,IF(V436=regle!$B$11,0,IF(AP$1=$AK$1,IF($O436,-1,regle!$B$2-$M436),IF(AO436=-1,-1,AO436+1))))</f>
        <v>54</v>
      </c>
      <c r="AQ436" s="16">
        <f>IF(OR(W436=regle!$J$11,W436=regle!$K$11),-2,IF(W436=regle!$B$11,0,IF(AQ$1=$AK$1,IF($O436,-1,regle!$B$2-$M436),IF(AP436=-1,-1,AP436+1))))</f>
        <v>55</v>
      </c>
      <c r="AR436" s="16">
        <f>IF(OR(X436=regle!$J$11,X436=regle!$K$11),-2,IF(X436=regle!$B$11,0,IF(AR$1=$AK$1,IF($O436,-1,regle!$B$2-$M436),IF(AQ436=-1,-1,AQ436+1))))</f>
        <v>56</v>
      </c>
      <c r="AS436" s="16">
        <f>IF(OR(Y436=regle!$J$11,Y436=regle!$K$11),-2,IF(Y436=regle!$B$11,0,IF(AS$1=$AK$1,IF($O436,-1,regle!$B$2-$M436),IF(AR436=-1,-1,AR436+1))))</f>
        <v>57</v>
      </c>
      <c r="AT436" s="16">
        <f>IF(OR(Z436=regle!$J$11,Z436=regle!$K$11),-2,IF(Z436=regle!$B$11,0,IF(AT$1=$AK$1,IF($O436,-1,regle!$B$2-$M436),IF(AS436=-1,-1,AS436+1))))</f>
        <v>58</v>
      </c>
    </row>
    <row r="437" spans="1:46" x14ac:dyDescent="0.25">
      <c r="A437" t="b">
        <f>modif0!A387</f>
        <v>0</v>
      </c>
      <c r="B437">
        <f>ROW(modif0!B387)</f>
        <v>387</v>
      </c>
      <c r="C437" t="str">
        <f>modif0!D387</f>
        <v>536</v>
      </c>
      <c r="D437" t="str">
        <f>modif0!E387</f>
        <v>LE TUZAN</v>
      </c>
      <c r="E437">
        <f>modif0!F387</f>
        <v>21</v>
      </c>
      <c r="F437" t="str">
        <f>modif0!G387</f>
        <v>METAIRIES DE TABARTON</v>
      </c>
      <c r="G437" t="str">
        <f>modif0!I387</f>
        <v>0A</v>
      </c>
      <c r="H437">
        <f>modif0!J387</f>
        <v>415</v>
      </c>
      <c r="I437" t="str">
        <f>modif0!K387</f>
        <v>j</v>
      </c>
      <c r="J437" s="11">
        <f>modif0!M387</f>
        <v>0.53239999999999998</v>
      </c>
      <c r="K437" s="11" t="str">
        <f>modif0!P387</f>
        <v>TAIL</v>
      </c>
      <c r="L437" t="str">
        <f>modif0!N387</f>
        <v>FEUIL</v>
      </c>
      <c r="M437">
        <f>modif0!Q387</f>
        <v>1975</v>
      </c>
      <c r="N437" t="str">
        <f>modif0!R387</f>
        <v>TAIL-FEUIL_1975</v>
      </c>
      <c r="O437" t="b">
        <f>modif0!S387</f>
        <v>0</v>
      </c>
      <c r="P437">
        <v>40</v>
      </c>
      <c r="AA437" s="17" t="b">
        <f>IF($A437,$J437*(IF(Q437=regle!$B$11,regle!$B$23*IF(AJ437=-2,1+regle!$B$35,1),
IF(Q437=regle!$C$11,regle!$C$23,
IF(Q437=regle!$D$11,regle!$D$23,
IF(Q437=regle!$E$11,regle!$E$23,
IF(Q437=regle!$F$11,regle!$F$23,
IF(Q437=regle!$G$11,regle!$G$23,
IF(Q437=regle!$H$11,regle!$H$23,
IF(Q437=regle!$I$11,regle!$I$23,
IF(Q437=regle!$J$11,regle!$J$23,
IF(Q437=regle!$K$11,regle!$K$23,0))))))))))))</f>
        <v>0</v>
      </c>
      <c r="AB437" s="17" t="b">
        <f>IF($A437,$J437*(IF(R437=regle!$B$11,regle!$B$23*IF(AK437=-2,1+regle!$B$35,1),
IF(R437=regle!$C$11,regle!$C$23,
IF(R437=regle!$D$11,regle!$D$23,
IF(R437=regle!$E$11,regle!$E$23,
IF(R437=regle!$F$11,regle!$F$23,
IF(R437=regle!$G$11,regle!$G$23,
IF(R437=regle!$H$11,regle!$H$23,
IF(R437=regle!$I$11,regle!$I$23,
IF(R437=regle!$J$11,regle!$J$23,
IF(R437=regle!$K$11,regle!$K$23,0))))))))))))</f>
        <v>0</v>
      </c>
      <c r="AC437" s="17" t="b">
        <f>IF($A437,$J437*(IF(S437=regle!$B$11,regle!$B$23*IF(AL437=-2,1+regle!$B$35,1),
IF(S437=regle!$C$11,regle!$C$23,
IF(S437=regle!$D$11,regle!$D$23,
IF(S437=regle!$E$11,regle!$E$23,
IF(S437=regle!$F$11,regle!$F$23,
IF(S437=regle!$G$11,regle!$G$23,
IF(S437=regle!$H$11,regle!$H$23,
IF(S437=regle!$I$11,regle!$I$23,
IF(S437=regle!$J$11,regle!$J$23,
IF(S437=regle!$K$11,regle!$K$23,0))))))))))))</f>
        <v>0</v>
      </c>
      <c r="AD437" s="17" t="b">
        <f>IF($A437,$J437*(IF(T437=regle!$B$11,regle!$B$23*IF(AM437=-2,1+regle!$B$35,1),
IF(T437=regle!$C$11,regle!$C$23,
IF(T437=regle!$D$11,regle!$D$23,
IF(T437=regle!$E$11,regle!$E$23,
IF(T437=regle!$F$11,regle!$F$23,
IF(T437=regle!$G$11,regle!$G$23,
IF(T437=regle!$H$11,regle!$H$23,
IF(T437=regle!$I$11,regle!$I$23,
IF(T437=regle!$J$11,regle!$J$23,
IF(T437=regle!$K$11,regle!$K$23,0))))))))))))</f>
        <v>0</v>
      </c>
      <c r="AE437" s="17" t="b">
        <f>IF($A437,$J437*(IF(U437=regle!$B$11,regle!$B$23*IF(AN437=-2,1+regle!$B$35,1),
IF(U437=regle!$C$11,regle!$C$23,
IF(U437=regle!$D$11,regle!$D$23,
IF(U437=regle!$E$11,regle!$E$23,
IF(U437=regle!$F$11,regle!$F$23,
IF(U437=regle!$G$11,regle!$G$23,
IF(U437=regle!$H$11,regle!$H$23,
IF(U437=regle!$I$11,regle!$I$23,
IF(U437=regle!$J$11,regle!$J$23,
IF(U437=regle!$K$11,regle!$K$23,0))))))))))))</f>
        <v>0</v>
      </c>
      <c r="AF437" s="17" t="b">
        <f>IF($A437,$J437*(IF(V437=regle!$B$11,regle!$B$23*IF(AO437=-2,1+regle!$B$35,1),
IF(V437=regle!$C$11,regle!$C$23,
IF(V437=regle!$D$11,regle!$D$23,
IF(V437=regle!$E$11,regle!$E$23,
IF(V437=regle!$F$11,regle!$F$23,
IF(V437=regle!$G$11,regle!$G$23,
IF(V437=regle!$H$11,regle!$H$23,
IF(V437=regle!$I$11,regle!$I$23,
IF(V437=regle!$J$11,regle!$J$23,
IF(V437=regle!$K$11,regle!$K$23,0))))))))))))</f>
        <v>0</v>
      </c>
      <c r="AG437" s="17" t="b">
        <f>IF($A437,$J437*(IF(W437=regle!$B$11,regle!$B$23*IF(AP437=-2,1+regle!$B$35,1),
IF(W437=regle!$C$11,regle!$C$23,
IF(W437=regle!$D$11,regle!$D$23,
IF(W437=regle!$E$11,regle!$E$23,
IF(W437=regle!$F$11,regle!$F$23,
IF(W437=regle!$G$11,regle!$G$23,
IF(W437=regle!$H$11,regle!$H$23,
IF(W437=regle!$I$11,regle!$I$23,
IF(W437=regle!$J$11,regle!$J$23,
IF(W437=regle!$K$11,regle!$K$23,0))))))))))))</f>
        <v>0</v>
      </c>
      <c r="AH437" s="17" t="b">
        <f>IF($A437,$J437*(IF(X437=regle!$B$11,regle!$B$23*IF(AQ437=-2,1+regle!$B$35,1),
IF(X437=regle!$C$11,regle!$C$23,
IF(X437=regle!$D$11,regle!$D$23,
IF(X437=regle!$E$11,regle!$E$23,
IF(X437=regle!$F$11,regle!$F$23,
IF(X437=regle!$G$11,regle!$G$23,
IF(X437=regle!$H$11,regle!$H$23,
IF(X437=regle!$I$11,regle!$I$23,
IF(X437=regle!$J$11,regle!$J$23,
IF(X437=regle!$K$11,regle!$K$23,0))))))))))))</f>
        <v>0</v>
      </c>
      <c r="AI437" s="17" t="b">
        <f>IF($A437,$J437*(IF(Y437=regle!$B$11,regle!$B$23*IF(AR437=-2,1+regle!$B$35,1),
IF(Y437=regle!$C$11,regle!$C$23,
IF(Y437=regle!$D$11,regle!$D$23,
IF(Y437=regle!$E$11,regle!$E$23,
IF(Y437=regle!$F$11,regle!$F$23,
IF(Y437=regle!$G$11,regle!$G$23,
IF(Y437=regle!$H$11,regle!$H$23,
IF(Y437=regle!$I$11,regle!$I$23,
IF(Y437=regle!$J$11,regle!$J$23,
IF(Y437=regle!$K$11,regle!$K$23,0))))))))))))</f>
        <v>0</v>
      </c>
      <c r="AJ437" s="17" t="b">
        <f>IF($A437,$J437*(IF(Z437=regle!$B$11,regle!$B$23*IF(AS437=-2,1+regle!$B$35,1),
IF(Z437=regle!$C$11,regle!$C$23,
IF(Z437=regle!$D$11,regle!$D$23,
IF(Z437=regle!$E$11,regle!$E$23,
IF(Z437=regle!$F$11,regle!$F$23,
IF(Z437=regle!$G$11,regle!$G$23,
IF(Z437=regle!$H$11,regle!$H$23,
IF(Z437=regle!$I$11,regle!$I$23,
IF(Z437=regle!$J$11,regle!$J$23,
IF(Z437=regle!$K$11,regle!$K$23,0))))))))))))</f>
        <v>0</v>
      </c>
      <c r="AK437" s="16">
        <f>IF(OR(Q437=regle!$J$11,Q437=regle!$K$11),-2,IF(Q437=regle!$B$11,0,IF(AK$1=$AK$1,IF($O437,-1,regle!$B$2-$M437),IF(AJ437=-1,-1,AJ437+1))))</f>
        <v>49</v>
      </c>
      <c r="AL437" s="16">
        <f>IF(OR(R437=regle!$J$11,R437=regle!$K$11),-2,IF(R437=regle!$B$11,0,IF(AL$1=$AK$1,IF($O437,-1,regle!$B$2-$M437),IF(AK437=-1,-1,AK437+1))))</f>
        <v>50</v>
      </c>
      <c r="AM437" s="16">
        <f>IF(OR(S437=regle!$J$11,S437=regle!$K$11),-2,IF(S437=regle!$B$11,0,IF(AM$1=$AK$1,IF($O437,-1,regle!$B$2-$M437),IF(AL437=-1,-1,AL437+1))))</f>
        <v>51</v>
      </c>
      <c r="AN437" s="16">
        <f>IF(OR(T437=regle!$J$11,T437=regle!$K$11),-2,IF(T437=regle!$B$11,0,IF(AN$1=$AK$1,IF($O437,-1,regle!$B$2-$M437),IF(AM437=-1,-1,AM437+1))))</f>
        <v>52</v>
      </c>
      <c r="AO437" s="16">
        <f>IF(OR(U437=regle!$J$11,U437=regle!$K$11),-2,IF(U437=regle!$B$11,0,IF(AO$1=$AK$1,IF($O437,-1,regle!$B$2-$M437),IF(AN437=-1,-1,AN437+1))))</f>
        <v>53</v>
      </c>
      <c r="AP437" s="16">
        <f>IF(OR(V437=regle!$J$11,V437=regle!$K$11),-2,IF(V437=regle!$B$11,0,IF(AP$1=$AK$1,IF($O437,-1,regle!$B$2-$M437),IF(AO437=-1,-1,AO437+1))))</f>
        <v>54</v>
      </c>
      <c r="AQ437" s="16">
        <f>IF(OR(W437=regle!$J$11,W437=regle!$K$11),-2,IF(W437=regle!$B$11,0,IF(AQ$1=$AK$1,IF($O437,-1,regle!$B$2-$M437),IF(AP437=-1,-1,AP437+1))))</f>
        <v>55</v>
      </c>
      <c r="AR437" s="16">
        <f>IF(OR(X437=regle!$J$11,X437=regle!$K$11),-2,IF(X437=regle!$B$11,0,IF(AR$1=$AK$1,IF($O437,-1,regle!$B$2-$M437),IF(AQ437=-1,-1,AQ437+1))))</f>
        <v>56</v>
      </c>
      <c r="AS437" s="16">
        <f>IF(OR(Y437=regle!$J$11,Y437=regle!$K$11),-2,IF(Y437=regle!$B$11,0,IF(AS$1=$AK$1,IF($O437,-1,regle!$B$2-$M437),IF(AR437=-1,-1,AR437+1))))</f>
        <v>57</v>
      </c>
      <c r="AT437" s="16">
        <f>IF(OR(Z437=regle!$J$11,Z437=regle!$K$11),-2,IF(Z437=regle!$B$11,0,IF(AT$1=$AK$1,IF($O437,-1,regle!$B$2-$M437),IF(AS437=-1,-1,AS437+1))))</f>
        <v>58</v>
      </c>
    </row>
    <row r="438" spans="1:46" x14ac:dyDescent="0.25">
      <c r="A438" t="b">
        <f>modif0!A385</f>
        <v>0</v>
      </c>
      <c r="B438">
        <f>ROW(modif0!B385)</f>
        <v>385</v>
      </c>
      <c r="C438" t="str">
        <f>modif0!D385</f>
        <v>536</v>
      </c>
      <c r="D438" t="str">
        <f>modif0!E385</f>
        <v>LE TUZAN</v>
      </c>
      <c r="E438">
        <f>modif0!F385</f>
        <v>21</v>
      </c>
      <c r="F438" t="str">
        <f>modif0!G385</f>
        <v>METAIRIES DE TABARTON</v>
      </c>
      <c r="G438" t="str">
        <f>modif0!I385</f>
        <v>0A</v>
      </c>
      <c r="H438">
        <f>modif0!J385</f>
        <v>410</v>
      </c>
      <c r="I438" t="str">
        <f>modif0!K385</f>
        <v/>
      </c>
      <c r="J438" s="11">
        <f>modif0!M385</f>
        <v>0.33100000000000002</v>
      </c>
      <c r="K438" s="11" t="str">
        <f>modif0!P385</f>
        <v>TAIL</v>
      </c>
      <c r="L438" t="str">
        <f>modif0!N385</f>
        <v>FEUIL</v>
      </c>
      <c r="M438">
        <f>modif0!Q385</f>
        <v>1975</v>
      </c>
      <c r="N438" t="str">
        <f>modif0!R385</f>
        <v>TAIL-FEUIL_1975</v>
      </c>
      <c r="O438" t="b">
        <f>modif0!S385</f>
        <v>0</v>
      </c>
      <c r="P438">
        <v>40</v>
      </c>
      <c r="AA438" s="17" t="b">
        <f>IF($A438,$J438*(IF(Q438=regle!$B$11,regle!$B$23*IF(AJ438=-2,1+regle!$B$35,1),
IF(Q438=regle!$C$11,regle!$C$23,
IF(Q438=regle!$D$11,regle!$D$23,
IF(Q438=regle!$E$11,regle!$E$23,
IF(Q438=regle!$F$11,regle!$F$23,
IF(Q438=regle!$G$11,regle!$G$23,
IF(Q438=regle!$H$11,regle!$H$23,
IF(Q438=regle!$I$11,regle!$I$23,
IF(Q438=regle!$J$11,regle!$J$23,
IF(Q438=regle!$K$11,regle!$K$23,0))))))))))))</f>
        <v>0</v>
      </c>
      <c r="AB438" s="17" t="b">
        <f>IF($A438,$J438*(IF(R438=regle!$B$11,regle!$B$23*IF(AK438=-2,1+regle!$B$35,1),
IF(R438=regle!$C$11,regle!$C$23,
IF(R438=regle!$D$11,regle!$D$23,
IF(R438=regle!$E$11,regle!$E$23,
IF(R438=regle!$F$11,regle!$F$23,
IF(R438=regle!$G$11,regle!$G$23,
IF(R438=regle!$H$11,regle!$H$23,
IF(R438=regle!$I$11,regle!$I$23,
IF(R438=regle!$J$11,regle!$J$23,
IF(R438=regle!$K$11,regle!$K$23,0))))))))))))</f>
        <v>0</v>
      </c>
      <c r="AC438" s="17" t="b">
        <f>IF($A438,$J438*(IF(S438=regle!$B$11,regle!$B$23*IF(AL438=-2,1+regle!$B$35,1),
IF(S438=regle!$C$11,regle!$C$23,
IF(S438=regle!$D$11,regle!$D$23,
IF(S438=regle!$E$11,regle!$E$23,
IF(S438=regle!$F$11,regle!$F$23,
IF(S438=regle!$G$11,regle!$G$23,
IF(S438=regle!$H$11,regle!$H$23,
IF(S438=regle!$I$11,regle!$I$23,
IF(S438=regle!$J$11,regle!$J$23,
IF(S438=regle!$K$11,regle!$K$23,0))))))))))))</f>
        <v>0</v>
      </c>
      <c r="AD438" s="17" t="b">
        <f>IF($A438,$J438*(IF(T438=regle!$B$11,regle!$B$23*IF(AM438=-2,1+regle!$B$35,1),
IF(T438=regle!$C$11,regle!$C$23,
IF(T438=regle!$D$11,regle!$D$23,
IF(T438=regle!$E$11,regle!$E$23,
IF(T438=regle!$F$11,regle!$F$23,
IF(T438=regle!$G$11,regle!$G$23,
IF(T438=regle!$H$11,regle!$H$23,
IF(T438=regle!$I$11,regle!$I$23,
IF(T438=regle!$J$11,regle!$J$23,
IF(T438=regle!$K$11,regle!$K$23,0))))))))))))</f>
        <v>0</v>
      </c>
      <c r="AE438" s="17" t="b">
        <f>IF($A438,$J438*(IF(U438=regle!$B$11,regle!$B$23*IF(AN438=-2,1+regle!$B$35,1),
IF(U438=regle!$C$11,regle!$C$23,
IF(U438=regle!$D$11,regle!$D$23,
IF(U438=regle!$E$11,regle!$E$23,
IF(U438=regle!$F$11,regle!$F$23,
IF(U438=regle!$G$11,regle!$G$23,
IF(U438=regle!$H$11,regle!$H$23,
IF(U438=regle!$I$11,regle!$I$23,
IF(U438=regle!$J$11,regle!$J$23,
IF(U438=regle!$K$11,regle!$K$23,0))))))))))))</f>
        <v>0</v>
      </c>
      <c r="AF438" s="17" t="b">
        <f>IF($A438,$J438*(IF(V438=regle!$B$11,regle!$B$23*IF(AO438=-2,1+regle!$B$35,1),
IF(V438=regle!$C$11,regle!$C$23,
IF(V438=regle!$D$11,regle!$D$23,
IF(V438=regle!$E$11,regle!$E$23,
IF(V438=regle!$F$11,regle!$F$23,
IF(V438=regle!$G$11,regle!$G$23,
IF(V438=regle!$H$11,regle!$H$23,
IF(V438=regle!$I$11,regle!$I$23,
IF(V438=regle!$J$11,regle!$J$23,
IF(V438=regle!$K$11,regle!$K$23,0))))))))))))</f>
        <v>0</v>
      </c>
      <c r="AG438" s="17" t="b">
        <f>IF($A438,$J438*(IF(W438=regle!$B$11,regle!$B$23*IF(AP438=-2,1+regle!$B$35,1),
IF(W438=regle!$C$11,regle!$C$23,
IF(W438=regle!$D$11,regle!$D$23,
IF(W438=regle!$E$11,regle!$E$23,
IF(W438=regle!$F$11,regle!$F$23,
IF(W438=regle!$G$11,regle!$G$23,
IF(W438=regle!$H$11,regle!$H$23,
IF(W438=regle!$I$11,regle!$I$23,
IF(W438=regle!$J$11,regle!$J$23,
IF(W438=regle!$K$11,regle!$K$23,0))))))))))))</f>
        <v>0</v>
      </c>
      <c r="AH438" s="17" t="b">
        <f>IF($A438,$J438*(IF(X438=regle!$B$11,regle!$B$23*IF(AQ438=-2,1+regle!$B$35,1),
IF(X438=regle!$C$11,regle!$C$23,
IF(X438=regle!$D$11,regle!$D$23,
IF(X438=regle!$E$11,regle!$E$23,
IF(X438=regle!$F$11,regle!$F$23,
IF(X438=regle!$G$11,regle!$G$23,
IF(X438=regle!$H$11,regle!$H$23,
IF(X438=regle!$I$11,regle!$I$23,
IF(X438=regle!$J$11,regle!$J$23,
IF(X438=regle!$K$11,regle!$K$23,0))))))))))))</f>
        <v>0</v>
      </c>
      <c r="AI438" s="17" t="b">
        <f>IF($A438,$J438*(IF(Y438=regle!$B$11,regle!$B$23*IF(AR438=-2,1+regle!$B$35,1),
IF(Y438=regle!$C$11,regle!$C$23,
IF(Y438=regle!$D$11,regle!$D$23,
IF(Y438=regle!$E$11,regle!$E$23,
IF(Y438=regle!$F$11,regle!$F$23,
IF(Y438=regle!$G$11,regle!$G$23,
IF(Y438=regle!$H$11,regle!$H$23,
IF(Y438=regle!$I$11,regle!$I$23,
IF(Y438=regle!$J$11,regle!$J$23,
IF(Y438=regle!$K$11,regle!$K$23,0))))))))))))</f>
        <v>0</v>
      </c>
      <c r="AJ438" s="17" t="b">
        <f>IF($A438,$J438*(IF(Z438=regle!$B$11,regle!$B$23*IF(AS438=-2,1+regle!$B$35,1),
IF(Z438=regle!$C$11,regle!$C$23,
IF(Z438=regle!$D$11,regle!$D$23,
IF(Z438=regle!$E$11,regle!$E$23,
IF(Z438=regle!$F$11,regle!$F$23,
IF(Z438=regle!$G$11,regle!$G$23,
IF(Z438=regle!$H$11,regle!$H$23,
IF(Z438=regle!$I$11,regle!$I$23,
IF(Z438=regle!$J$11,regle!$J$23,
IF(Z438=regle!$K$11,regle!$K$23,0))))))))))))</f>
        <v>0</v>
      </c>
      <c r="AK438" s="16">
        <f>IF(OR(Q438=regle!$J$11,Q438=regle!$K$11),-2,IF(Q438=regle!$B$11,0,IF(AK$1=$AK$1,IF($O438,-1,regle!$B$2-$M438),IF(AJ438=-1,-1,AJ438+1))))</f>
        <v>49</v>
      </c>
      <c r="AL438" s="16">
        <f>IF(OR(R438=regle!$J$11,R438=regle!$K$11),-2,IF(R438=regle!$B$11,0,IF(AL$1=$AK$1,IF($O438,-1,regle!$B$2-$M438),IF(AK438=-1,-1,AK438+1))))</f>
        <v>50</v>
      </c>
      <c r="AM438" s="16">
        <f>IF(OR(S438=regle!$J$11,S438=regle!$K$11),-2,IF(S438=regle!$B$11,0,IF(AM$1=$AK$1,IF($O438,-1,regle!$B$2-$M438),IF(AL438=-1,-1,AL438+1))))</f>
        <v>51</v>
      </c>
      <c r="AN438" s="16">
        <f>IF(OR(T438=regle!$J$11,T438=regle!$K$11),-2,IF(T438=regle!$B$11,0,IF(AN$1=$AK$1,IF($O438,-1,regle!$B$2-$M438),IF(AM438=-1,-1,AM438+1))))</f>
        <v>52</v>
      </c>
      <c r="AO438" s="16">
        <f>IF(OR(U438=regle!$J$11,U438=regle!$K$11),-2,IF(U438=regle!$B$11,0,IF(AO$1=$AK$1,IF($O438,-1,regle!$B$2-$M438),IF(AN438=-1,-1,AN438+1))))</f>
        <v>53</v>
      </c>
      <c r="AP438" s="16">
        <f>IF(OR(V438=regle!$J$11,V438=regle!$K$11),-2,IF(V438=regle!$B$11,0,IF(AP$1=$AK$1,IF($O438,-1,regle!$B$2-$M438),IF(AO438=-1,-1,AO438+1))))</f>
        <v>54</v>
      </c>
      <c r="AQ438" s="16">
        <f>IF(OR(W438=regle!$J$11,W438=regle!$K$11),-2,IF(W438=regle!$B$11,0,IF(AQ$1=$AK$1,IF($O438,-1,regle!$B$2-$M438),IF(AP438=-1,-1,AP438+1))))</f>
        <v>55</v>
      </c>
      <c r="AR438" s="16">
        <f>IF(OR(X438=regle!$J$11,X438=regle!$K$11),-2,IF(X438=regle!$B$11,0,IF(AR$1=$AK$1,IF($O438,-1,regle!$B$2-$M438),IF(AQ438=-1,-1,AQ438+1))))</f>
        <v>56</v>
      </c>
      <c r="AS438" s="16">
        <f>IF(OR(Y438=regle!$J$11,Y438=regle!$K$11),-2,IF(Y438=regle!$B$11,0,IF(AS$1=$AK$1,IF($O438,-1,regle!$B$2-$M438),IF(AR438=-1,-1,AR438+1))))</f>
        <v>57</v>
      </c>
      <c r="AT438" s="16">
        <f>IF(OR(Z438=regle!$J$11,Z438=regle!$K$11),-2,IF(Z438=regle!$B$11,0,IF(AT$1=$AK$1,IF($O438,-1,regle!$B$2-$M438),IF(AS438=-1,-1,AS438+1))))</f>
        <v>58</v>
      </c>
    </row>
    <row r="439" spans="1:46" x14ac:dyDescent="0.25">
      <c r="A439" t="b">
        <f>modif0!A386</f>
        <v>0</v>
      </c>
      <c r="B439">
        <f>ROW(modif0!B386)</f>
        <v>386</v>
      </c>
      <c r="C439" t="str">
        <f>modif0!D386</f>
        <v>536</v>
      </c>
      <c r="D439" t="str">
        <f>modif0!E386</f>
        <v>LE TUZAN</v>
      </c>
      <c r="E439">
        <f>modif0!F386</f>
        <v>21</v>
      </c>
      <c r="F439" t="str">
        <f>modif0!G386</f>
        <v>METAIRIES DE TABARTON</v>
      </c>
      <c r="G439" t="str">
        <f>modif0!I386</f>
        <v>0A</v>
      </c>
      <c r="H439">
        <f>modif0!J386</f>
        <v>414</v>
      </c>
      <c r="I439" t="str">
        <f>modif0!K386</f>
        <v>k</v>
      </c>
      <c r="J439" s="11">
        <f>modif0!M386</f>
        <v>0.20369999999999999</v>
      </c>
      <c r="K439" s="11" t="str">
        <f>modif0!P386</f>
        <v>TAIL</v>
      </c>
      <c r="L439" t="str">
        <f>modif0!N386</f>
        <v>FEUIL</v>
      </c>
      <c r="M439">
        <f>modif0!Q386</f>
        <v>1975</v>
      </c>
      <c r="N439" t="str">
        <f>modif0!R386</f>
        <v>TAIL-FEUIL_1975</v>
      </c>
      <c r="O439" t="b">
        <f>modif0!S386</f>
        <v>0</v>
      </c>
      <c r="P439">
        <v>40</v>
      </c>
      <c r="AA439" s="17" t="b">
        <f>IF($A439,$J439*(IF(Q439=regle!$B$11,regle!$B$23*IF(AJ439=-2,1+regle!$B$35,1),
IF(Q439=regle!$C$11,regle!$C$23,
IF(Q439=regle!$D$11,regle!$D$23,
IF(Q439=regle!$E$11,regle!$E$23,
IF(Q439=regle!$F$11,regle!$F$23,
IF(Q439=regle!$G$11,regle!$G$23,
IF(Q439=regle!$H$11,regle!$H$23,
IF(Q439=regle!$I$11,regle!$I$23,
IF(Q439=regle!$J$11,regle!$J$23,
IF(Q439=regle!$K$11,regle!$K$23,0))))))))))))</f>
        <v>0</v>
      </c>
      <c r="AB439" s="17" t="b">
        <f>IF($A439,$J439*(IF(R439=regle!$B$11,regle!$B$23*IF(AK439=-2,1+regle!$B$35,1),
IF(R439=regle!$C$11,regle!$C$23,
IF(R439=regle!$D$11,regle!$D$23,
IF(R439=regle!$E$11,regle!$E$23,
IF(R439=regle!$F$11,regle!$F$23,
IF(R439=regle!$G$11,regle!$G$23,
IF(R439=regle!$H$11,regle!$H$23,
IF(R439=regle!$I$11,regle!$I$23,
IF(R439=regle!$J$11,regle!$J$23,
IF(R439=regle!$K$11,regle!$K$23,0))))))))))))</f>
        <v>0</v>
      </c>
      <c r="AC439" s="17" t="b">
        <f>IF($A439,$J439*(IF(S439=regle!$B$11,regle!$B$23*IF(AL439=-2,1+regle!$B$35,1),
IF(S439=regle!$C$11,regle!$C$23,
IF(S439=regle!$D$11,regle!$D$23,
IF(S439=regle!$E$11,regle!$E$23,
IF(S439=regle!$F$11,regle!$F$23,
IF(S439=regle!$G$11,regle!$G$23,
IF(S439=regle!$H$11,regle!$H$23,
IF(S439=regle!$I$11,regle!$I$23,
IF(S439=regle!$J$11,regle!$J$23,
IF(S439=regle!$K$11,regle!$K$23,0))))))))))))</f>
        <v>0</v>
      </c>
      <c r="AD439" s="17" t="b">
        <f>IF($A439,$J439*(IF(T439=regle!$B$11,regle!$B$23*IF(AM439=-2,1+regle!$B$35,1),
IF(T439=regle!$C$11,regle!$C$23,
IF(T439=regle!$D$11,regle!$D$23,
IF(T439=regle!$E$11,regle!$E$23,
IF(T439=regle!$F$11,regle!$F$23,
IF(T439=regle!$G$11,regle!$G$23,
IF(T439=regle!$H$11,regle!$H$23,
IF(T439=regle!$I$11,regle!$I$23,
IF(T439=regle!$J$11,regle!$J$23,
IF(T439=regle!$K$11,regle!$K$23,0))))))))))))</f>
        <v>0</v>
      </c>
      <c r="AE439" s="17" t="b">
        <f>IF($A439,$J439*(IF(U439=regle!$B$11,regle!$B$23*IF(AN439=-2,1+regle!$B$35,1),
IF(U439=regle!$C$11,regle!$C$23,
IF(U439=regle!$D$11,regle!$D$23,
IF(U439=regle!$E$11,regle!$E$23,
IF(U439=regle!$F$11,regle!$F$23,
IF(U439=regle!$G$11,regle!$G$23,
IF(U439=regle!$H$11,regle!$H$23,
IF(U439=regle!$I$11,regle!$I$23,
IF(U439=regle!$J$11,regle!$J$23,
IF(U439=regle!$K$11,regle!$K$23,0))))))))))))</f>
        <v>0</v>
      </c>
      <c r="AF439" s="17" t="b">
        <f>IF($A439,$J439*(IF(V439=regle!$B$11,regle!$B$23*IF(AO439=-2,1+regle!$B$35,1),
IF(V439=regle!$C$11,regle!$C$23,
IF(V439=regle!$D$11,regle!$D$23,
IF(V439=regle!$E$11,regle!$E$23,
IF(V439=regle!$F$11,regle!$F$23,
IF(V439=regle!$G$11,regle!$G$23,
IF(V439=regle!$H$11,regle!$H$23,
IF(V439=regle!$I$11,regle!$I$23,
IF(V439=regle!$J$11,regle!$J$23,
IF(V439=regle!$K$11,regle!$K$23,0))))))))))))</f>
        <v>0</v>
      </c>
      <c r="AG439" s="17" t="b">
        <f>IF($A439,$J439*(IF(W439=regle!$B$11,regle!$B$23*IF(AP439=-2,1+regle!$B$35,1),
IF(W439=regle!$C$11,regle!$C$23,
IF(W439=regle!$D$11,regle!$D$23,
IF(W439=regle!$E$11,regle!$E$23,
IF(W439=regle!$F$11,regle!$F$23,
IF(W439=regle!$G$11,regle!$G$23,
IF(W439=regle!$H$11,regle!$H$23,
IF(W439=regle!$I$11,regle!$I$23,
IF(W439=regle!$J$11,regle!$J$23,
IF(W439=regle!$K$11,regle!$K$23,0))))))))))))</f>
        <v>0</v>
      </c>
      <c r="AH439" s="17" t="b">
        <f>IF($A439,$J439*(IF(X439=regle!$B$11,regle!$B$23*IF(AQ439=-2,1+regle!$B$35,1),
IF(X439=regle!$C$11,regle!$C$23,
IF(X439=regle!$D$11,regle!$D$23,
IF(X439=regle!$E$11,regle!$E$23,
IF(X439=regle!$F$11,regle!$F$23,
IF(X439=regle!$G$11,regle!$G$23,
IF(X439=regle!$H$11,regle!$H$23,
IF(X439=regle!$I$11,regle!$I$23,
IF(X439=regle!$J$11,regle!$J$23,
IF(X439=regle!$K$11,regle!$K$23,0))))))))))))</f>
        <v>0</v>
      </c>
      <c r="AI439" s="17" t="b">
        <f>IF($A439,$J439*(IF(Y439=regle!$B$11,regle!$B$23*IF(AR439=-2,1+regle!$B$35,1),
IF(Y439=regle!$C$11,regle!$C$23,
IF(Y439=regle!$D$11,regle!$D$23,
IF(Y439=regle!$E$11,regle!$E$23,
IF(Y439=regle!$F$11,regle!$F$23,
IF(Y439=regle!$G$11,regle!$G$23,
IF(Y439=regle!$H$11,regle!$H$23,
IF(Y439=regle!$I$11,regle!$I$23,
IF(Y439=regle!$J$11,regle!$J$23,
IF(Y439=regle!$K$11,regle!$K$23,0))))))))))))</f>
        <v>0</v>
      </c>
      <c r="AJ439" s="17" t="b">
        <f>IF($A439,$J439*(IF(Z439=regle!$B$11,regle!$B$23*IF(AS439=-2,1+regle!$B$35,1),
IF(Z439=regle!$C$11,regle!$C$23,
IF(Z439=regle!$D$11,regle!$D$23,
IF(Z439=regle!$E$11,regle!$E$23,
IF(Z439=regle!$F$11,regle!$F$23,
IF(Z439=regle!$G$11,regle!$G$23,
IF(Z439=regle!$H$11,regle!$H$23,
IF(Z439=regle!$I$11,regle!$I$23,
IF(Z439=regle!$J$11,regle!$J$23,
IF(Z439=regle!$K$11,regle!$K$23,0))))))))))))</f>
        <v>0</v>
      </c>
      <c r="AK439" s="16">
        <f>IF(OR(Q439=regle!$J$11,Q439=regle!$K$11),-2,IF(Q439=regle!$B$11,0,IF(AK$1=$AK$1,IF($O439,-1,regle!$B$2-$M439),IF(AJ439=-1,-1,AJ439+1))))</f>
        <v>49</v>
      </c>
      <c r="AL439" s="16">
        <f>IF(OR(R439=regle!$J$11,R439=regle!$K$11),-2,IF(R439=regle!$B$11,0,IF(AL$1=$AK$1,IF($O439,-1,regle!$B$2-$M439),IF(AK439=-1,-1,AK439+1))))</f>
        <v>50</v>
      </c>
      <c r="AM439" s="16">
        <f>IF(OR(S439=regle!$J$11,S439=regle!$K$11),-2,IF(S439=regle!$B$11,0,IF(AM$1=$AK$1,IF($O439,-1,regle!$B$2-$M439),IF(AL439=-1,-1,AL439+1))))</f>
        <v>51</v>
      </c>
      <c r="AN439" s="16">
        <f>IF(OR(T439=regle!$J$11,T439=regle!$K$11),-2,IF(T439=regle!$B$11,0,IF(AN$1=$AK$1,IF($O439,-1,regle!$B$2-$M439),IF(AM439=-1,-1,AM439+1))))</f>
        <v>52</v>
      </c>
      <c r="AO439" s="16">
        <f>IF(OR(U439=regle!$J$11,U439=regle!$K$11),-2,IF(U439=regle!$B$11,0,IF(AO$1=$AK$1,IF($O439,-1,regle!$B$2-$M439),IF(AN439=-1,-1,AN439+1))))</f>
        <v>53</v>
      </c>
      <c r="AP439" s="16">
        <f>IF(OR(V439=regle!$J$11,V439=regle!$K$11),-2,IF(V439=regle!$B$11,0,IF(AP$1=$AK$1,IF($O439,-1,regle!$B$2-$M439),IF(AO439=-1,-1,AO439+1))))</f>
        <v>54</v>
      </c>
      <c r="AQ439" s="16">
        <f>IF(OR(W439=regle!$J$11,W439=regle!$K$11),-2,IF(W439=regle!$B$11,0,IF(AQ$1=$AK$1,IF($O439,-1,regle!$B$2-$M439),IF(AP439=-1,-1,AP439+1))))</f>
        <v>55</v>
      </c>
      <c r="AR439" s="16">
        <f>IF(OR(X439=regle!$J$11,X439=regle!$K$11),-2,IF(X439=regle!$B$11,0,IF(AR$1=$AK$1,IF($O439,-1,regle!$B$2-$M439),IF(AQ439=-1,-1,AQ439+1))))</f>
        <v>56</v>
      </c>
      <c r="AS439" s="16">
        <f>IF(OR(Y439=regle!$J$11,Y439=regle!$K$11),-2,IF(Y439=regle!$B$11,0,IF(AS$1=$AK$1,IF($O439,-1,regle!$B$2-$M439),IF(AR439=-1,-1,AR439+1))))</f>
        <v>57</v>
      </c>
      <c r="AT439" s="16">
        <f>IF(OR(Z439=regle!$J$11,Z439=regle!$K$11),-2,IF(Z439=regle!$B$11,0,IF(AT$1=$AK$1,IF($O439,-1,regle!$B$2-$M439),IF(AS439=-1,-1,AS439+1))))</f>
        <v>58</v>
      </c>
    </row>
    <row r="440" spans="1:46" x14ac:dyDescent="0.25">
      <c r="A440" t="b">
        <f>modif0!A419</f>
        <v>0</v>
      </c>
      <c r="B440">
        <f>ROW(modif0!B419)</f>
        <v>419</v>
      </c>
      <c r="C440" t="str">
        <f>modif0!D419</f>
        <v>202</v>
      </c>
      <c r="D440" t="str">
        <f>modif0!E419</f>
        <v>HOSTENS</v>
      </c>
      <c r="E440">
        <f>modif0!F419</f>
        <v>8</v>
      </c>
      <c r="F440" t="str">
        <f>modif0!G419</f>
        <v>LES BECS</v>
      </c>
      <c r="G440" t="str">
        <f>modif0!I419</f>
        <v>0B</v>
      </c>
      <c r="H440">
        <f>modif0!J419</f>
        <v>2472</v>
      </c>
      <c r="I440" t="str">
        <f>modif0!K419</f>
        <v>j</v>
      </c>
      <c r="J440" s="11">
        <f>modif0!M419</f>
        <v>0.90880000000000005</v>
      </c>
      <c r="K440" s="11" t="str">
        <f>modif0!P419</f>
        <v>TAIL</v>
      </c>
      <c r="L440" t="str">
        <f>modif0!N419</f>
        <v>FEUIL</v>
      </c>
      <c r="M440">
        <f>modif0!Q419</f>
        <v>1970</v>
      </c>
      <c r="N440" t="str">
        <f>modif0!R419</f>
        <v>TAIL-FEUIL_1970</v>
      </c>
      <c r="O440" t="b">
        <f>modif0!S419</f>
        <v>0</v>
      </c>
      <c r="P440">
        <v>40</v>
      </c>
      <c r="AA440" s="17" t="b">
        <f>IF($A440,$J440*(IF(Q440=regle!$B$11,regle!$B$23*IF(AJ440=-2,1+regle!$B$35,1),
IF(Q440=regle!$C$11,regle!$C$23,
IF(Q440=regle!$D$11,regle!$D$23,
IF(Q440=regle!$E$11,regle!$E$23,
IF(Q440=regle!$F$11,regle!$F$23,
IF(Q440=regle!$G$11,regle!$G$23,
IF(Q440=regle!$H$11,regle!$H$23,
IF(Q440=regle!$I$11,regle!$I$23,
IF(Q440=regle!$J$11,regle!$J$23,
IF(Q440=regle!$K$11,regle!$K$23,0))))))))))))</f>
        <v>0</v>
      </c>
      <c r="AB440" s="17" t="b">
        <f>IF($A440,$J440*(IF(R440=regle!$B$11,regle!$B$23*IF(AK440=-2,1+regle!$B$35,1),
IF(R440=regle!$C$11,regle!$C$23,
IF(R440=regle!$D$11,regle!$D$23,
IF(R440=regle!$E$11,regle!$E$23,
IF(R440=regle!$F$11,regle!$F$23,
IF(R440=regle!$G$11,regle!$G$23,
IF(R440=regle!$H$11,regle!$H$23,
IF(R440=regle!$I$11,regle!$I$23,
IF(R440=regle!$J$11,regle!$J$23,
IF(R440=regle!$K$11,regle!$K$23,0))))))))))))</f>
        <v>0</v>
      </c>
      <c r="AC440" s="17" t="b">
        <f>IF($A440,$J440*(IF(S440=regle!$B$11,regle!$B$23*IF(AL440=-2,1+regle!$B$35,1),
IF(S440=regle!$C$11,regle!$C$23,
IF(S440=regle!$D$11,regle!$D$23,
IF(S440=regle!$E$11,regle!$E$23,
IF(S440=regle!$F$11,regle!$F$23,
IF(S440=regle!$G$11,regle!$G$23,
IF(S440=regle!$H$11,regle!$H$23,
IF(S440=regle!$I$11,regle!$I$23,
IF(S440=regle!$J$11,regle!$J$23,
IF(S440=regle!$K$11,regle!$K$23,0))))))))))))</f>
        <v>0</v>
      </c>
      <c r="AD440" s="17" t="b">
        <f>IF($A440,$J440*(IF(T440=regle!$B$11,regle!$B$23*IF(AM440=-2,1+regle!$B$35,1),
IF(T440=regle!$C$11,regle!$C$23,
IF(T440=regle!$D$11,regle!$D$23,
IF(T440=regle!$E$11,regle!$E$23,
IF(T440=regle!$F$11,regle!$F$23,
IF(T440=regle!$G$11,regle!$G$23,
IF(T440=regle!$H$11,regle!$H$23,
IF(T440=regle!$I$11,regle!$I$23,
IF(T440=regle!$J$11,regle!$J$23,
IF(T440=regle!$K$11,regle!$K$23,0))))))))))))</f>
        <v>0</v>
      </c>
      <c r="AE440" s="17" t="b">
        <f>IF($A440,$J440*(IF(U440=regle!$B$11,regle!$B$23*IF(AN440=-2,1+regle!$B$35,1),
IF(U440=regle!$C$11,regle!$C$23,
IF(U440=regle!$D$11,regle!$D$23,
IF(U440=regle!$E$11,regle!$E$23,
IF(U440=regle!$F$11,regle!$F$23,
IF(U440=regle!$G$11,regle!$G$23,
IF(U440=regle!$H$11,regle!$H$23,
IF(U440=regle!$I$11,regle!$I$23,
IF(U440=regle!$J$11,regle!$J$23,
IF(U440=regle!$K$11,regle!$K$23,0))))))))))))</f>
        <v>0</v>
      </c>
      <c r="AF440" s="17" t="b">
        <f>IF($A440,$J440*(IF(V440=regle!$B$11,regle!$B$23*IF(AO440=-2,1+regle!$B$35,1),
IF(V440=regle!$C$11,regle!$C$23,
IF(V440=regle!$D$11,regle!$D$23,
IF(V440=regle!$E$11,regle!$E$23,
IF(V440=regle!$F$11,regle!$F$23,
IF(V440=regle!$G$11,regle!$G$23,
IF(V440=regle!$H$11,regle!$H$23,
IF(V440=regle!$I$11,regle!$I$23,
IF(V440=regle!$J$11,regle!$J$23,
IF(V440=regle!$K$11,regle!$K$23,0))))))))))))</f>
        <v>0</v>
      </c>
      <c r="AG440" s="17" t="b">
        <f>IF($A440,$J440*(IF(W440=regle!$B$11,regle!$B$23*IF(AP440=-2,1+regle!$B$35,1),
IF(W440=regle!$C$11,regle!$C$23,
IF(W440=regle!$D$11,regle!$D$23,
IF(W440=regle!$E$11,regle!$E$23,
IF(W440=regle!$F$11,regle!$F$23,
IF(W440=regle!$G$11,regle!$G$23,
IF(W440=regle!$H$11,regle!$H$23,
IF(W440=regle!$I$11,regle!$I$23,
IF(W440=regle!$J$11,regle!$J$23,
IF(W440=regle!$K$11,regle!$K$23,0))))))))))))</f>
        <v>0</v>
      </c>
      <c r="AH440" s="17" t="b">
        <f>IF($A440,$J440*(IF(X440=regle!$B$11,regle!$B$23*IF(AQ440=-2,1+regle!$B$35,1),
IF(X440=regle!$C$11,regle!$C$23,
IF(X440=regle!$D$11,regle!$D$23,
IF(X440=regle!$E$11,regle!$E$23,
IF(X440=regle!$F$11,regle!$F$23,
IF(X440=regle!$G$11,regle!$G$23,
IF(X440=regle!$H$11,regle!$H$23,
IF(X440=regle!$I$11,regle!$I$23,
IF(X440=regle!$J$11,regle!$J$23,
IF(X440=regle!$K$11,regle!$K$23,0))))))))))))</f>
        <v>0</v>
      </c>
      <c r="AI440" s="17" t="b">
        <f>IF($A440,$J440*(IF(Y440=regle!$B$11,regle!$B$23*IF(AR440=-2,1+regle!$B$35,1),
IF(Y440=regle!$C$11,regle!$C$23,
IF(Y440=regle!$D$11,regle!$D$23,
IF(Y440=regle!$E$11,regle!$E$23,
IF(Y440=regle!$F$11,regle!$F$23,
IF(Y440=regle!$G$11,regle!$G$23,
IF(Y440=regle!$H$11,regle!$H$23,
IF(Y440=regle!$I$11,regle!$I$23,
IF(Y440=regle!$J$11,regle!$J$23,
IF(Y440=regle!$K$11,regle!$K$23,0))))))))))))</f>
        <v>0</v>
      </c>
      <c r="AJ440" s="17" t="b">
        <f>IF($A440,$J440*(IF(Z440=regle!$B$11,regle!$B$23*IF(AS440=-2,1+regle!$B$35,1),
IF(Z440=regle!$C$11,regle!$C$23,
IF(Z440=regle!$D$11,regle!$D$23,
IF(Z440=regle!$E$11,regle!$E$23,
IF(Z440=regle!$F$11,regle!$F$23,
IF(Z440=regle!$G$11,regle!$G$23,
IF(Z440=regle!$H$11,regle!$H$23,
IF(Z440=regle!$I$11,regle!$I$23,
IF(Z440=regle!$J$11,regle!$J$23,
IF(Z440=regle!$K$11,regle!$K$23,0))))))))))))</f>
        <v>0</v>
      </c>
      <c r="AK440" s="16">
        <f>IF(OR(Q440=regle!$J$11,Q440=regle!$K$11),-2,IF(Q440=regle!$B$11,0,IF(AK$1=$AK$1,IF($O440,-1,regle!$B$2-$M440),IF(AJ440=-1,-1,AJ440+1))))</f>
        <v>54</v>
      </c>
      <c r="AL440" s="16">
        <f>IF(OR(R440=regle!$J$11,R440=regle!$K$11),-2,IF(R440=regle!$B$11,0,IF(AL$1=$AK$1,IF($O440,-1,regle!$B$2-$M440),IF(AK440=-1,-1,AK440+1))))</f>
        <v>55</v>
      </c>
      <c r="AM440" s="16">
        <f>IF(OR(S440=regle!$J$11,S440=regle!$K$11),-2,IF(S440=regle!$B$11,0,IF(AM$1=$AK$1,IF($O440,-1,regle!$B$2-$M440),IF(AL440=-1,-1,AL440+1))))</f>
        <v>56</v>
      </c>
      <c r="AN440" s="16">
        <f>IF(OR(T440=regle!$J$11,T440=regle!$K$11),-2,IF(T440=regle!$B$11,0,IF(AN$1=$AK$1,IF($O440,-1,regle!$B$2-$M440),IF(AM440=-1,-1,AM440+1))))</f>
        <v>57</v>
      </c>
      <c r="AO440" s="16">
        <f>IF(OR(U440=regle!$J$11,U440=regle!$K$11),-2,IF(U440=regle!$B$11,0,IF(AO$1=$AK$1,IF($O440,-1,regle!$B$2-$M440),IF(AN440=-1,-1,AN440+1))))</f>
        <v>58</v>
      </c>
      <c r="AP440" s="16">
        <f>IF(OR(V440=regle!$J$11,V440=regle!$K$11),-2,IF(V440=regle!$B$11,0,IF(AP$1=$AK$1,IF($O440,-1,regle!$B$2-$M440),IF(AO440=-1,-1,AO440+1))))</f>
        <v>59</v>
      </c>
      <c r="AQ440" s="16">
        <f>IF(OR(W440=regle!$J$11,W440=regle!$K$11),-2,IF(W440=regle!$B$11,0,IF(AQ$1=$AK$1,IF($O440,-1,regle!$B$2-$M440),IF(AP440=-1,-1,AP440+1))))</f>
        <v>60</v>
      </c>
      <c r="AR440" s="16">
        <f>IF(OR(X440=regle!$J$11,X440=regle!$K$11),-2,IF(X440=regle!$B$11,0,IF(AR$1=$AK$1,IF($O440,-1,regle!$B$2-$M440),IF(AQ440=-1,-1,AQ440+1))))</f>
        <v>61</v>
      </c>
      <c r="AS440" s="16">
        <f>IF(OR(Y440=regle!$J$11,Y440=regle!$K$11),-2,IF(Y440=regle!$B$11,0,IF(AS$1=$AK$1,IF($O440,-1,regle!$B$2-$M440),IF(AR440=-1,-1,AR440+1))))</f>
        <v>62</v>
      </c>
      <c r="AT440" s="16">
        <f>IF(OR(Z440=regle!$J$11,Z440=regle!$K$11),-2,IF(Z440=regle!$B$11,0,IF(AT$1=$AK$1,IF($O440,-1,regle!$B$2-$M440),IF(AS440=-1,-1,AS440+1))))</f>
        <v>63</v>
      </c>
    </row>
    <row r="441" spans="1:46" x14ac:dyDescent="0.25">
      <c r="A441" t="b">
        <f>modif0!A402</f>
        <v>0</v>
      </c>
      <c r="B441">
        <f>ROW(modif0!B402)</f>
        <v>402</v>
      </c>
      <c r="C441" t="str">
        <f>modif0!D402</f>
        <v>202</v>
      </c>
      <c r="D441" t="str">
        <f>modif0!E402</f>
        <v>HOSTENS</v>
      </c>
      <c r="E441">
        <f>modif0!F402</f>
        <v>11</v>
      </c>
      <c r="F441" t="str">
        <f>modif0!G402</f>
        <v>LES CAZALAS</v>
      </c>
      <c r="G441" t="str">
        <f>modif0!I402</f>
        <v>0B</v>
      </c>
      <c r="H441">
        <f>modif0!J402</f>
        <v>1140</v>
      </c>
      <c r="I441" t="str">
        <f>modif0!K402</f>
        <v/>
      </c>
      <c r="J441" s="11">
        <f>modif0!M402</f>
        <v>0.63100000000000001</v>
      </c>
      <c r="K441" s="11" t="str">
        <f>modif0!P402</f>
        <v>TAIL</v>
      </c>
      <c r="L441" t="str">
        <f>modif0!N402</f>
        <v>FEUIL</v>
      </c>
      <c r="M441">
        <f>modif0!Q402</f>
        <v>1970</v>
      </c>
      <c r="N441" t="str">
        <f>modif0!R402</f>
        <v>TAIL-FEUIL_1970</v>
      </c>
      <c r="O441" t="b">
        <f>modif0!S402</f>
        <v>0</v>
      </c>
      <c r="P441">
        <v>40</v>
      </c>
      <c r="AA441" s="17" t="b">
        <f>IF($A441,$J441*(IF(Q441=regle!$B$11,regle!$B$23*IF(AJ441=-2,1+regle!$B$35,1),
IF(Q441=regle!$C$11,regle!$C$23,
IF(Q441=regle!$D$11,regle!$D$23,
IF(Q441=regle!$E$11,regle!$E$23,
IF(Q441=regle!$F$11,regle!$F$23,
IF(Q441=regle!$G$11,regle!$G$23,
IF(Q441=regle!$H$11,regle!$H$23,
IF(Q441=regle!$I$11,regle!$I$23,
IF(Q441=regle!$J$11,regle!$J$23,
IF(Q441=regle!$K$11,regle!$K$23,0))))))))))))</f>
        <v>0</v>
      </c>
      <c r="AB441" s="17" t="b">
        <f>IF($A441,$J441*(IF(R441=regle!$B$11,regle!$B$23*IF(AK441=-2,1+regle!$B$35,1),
IF(R441=regle!$C$11,regle!$C$23,
IF(R441=regle!$D$11,regle!$D$23,
IF(R441=regle!$E$11,regle!$E$23,
IF(R441=regle!$F$11,regle!$F$23,
IF(R441=regle!$G$11,regle!$G$23,
IF(R441=regle!$H$11,regle!$H$23,
IF(R441=regle!$I$11,regle!$I$23,
IF(R441=regle!$J$11,regle!$J$23,
IF(R441=regle!$K$11,regle!$K$23,0))))))))))))</f>
        <v>0</v>
      </c>
      <c r="AC441" s="17" t="b">
        <f>IF($A441,$J441*(IF(S441=regle!$B$11,regle!$B$23*IF(AL441=-2,1+regle!$B$35,1),
IF(S441=regle!$C$11,regle!$C$23,
IF(S441=regle!$D$11,regle!$D$23,
IF(S441=regle!$E$11,regle!$E$23,
IF(S441=regle!$F$11,regle!$F$23,
IF(S441=regle!$G$11,regle!$G$23,
IF(S441=regle!$H$11,regle!$H$23,
IF(S441=regle!$I$11,regle!$I$23,
IF(S441=regle!$J$11,regle!$J$23,
IF(S441=regle!$K$11,regle!$K$23,0))))))))))))</f>
        <v>0</v>
      </c>
      <c r="AD441" s="17" t="b">
        <f>IF($A441,$J441*(IF(T441=regle!$B$11,regle!$B$23*IF(AM441=-2,1+regle!$B$35,1),
IF(T441=regle!$C$11,regle!$C$23,
IF(T441=regle!$D$11,regle!$D$23,
IF(T441=regle!$E$11,regle!$E$23,
IF(T441=regle!$F$11,regle!$F$23,
IF(T441=regle!$G$11,regle!$G$23,
IF(T441=regle!$H$11,regle!$H$23,
IF(T441=regle!$I$11,regle!$I$23,
IF(T441=regle!$J$11,regle!$J$23,
IF(T441=regle!$K$11,regle!$K$23,0))))))))))))</f>
        <v>0</v>
      </c>
      <c r="AE441" s="17" t="b">
        <f>IF($A441,$J441*(IF(U441=regle!$B$11,regle!$B$23*IF(AN441=-2,1+regle!$B$35,1),
IF(U441=regle!$C$11,regle!$C$23,
IF(U441=regle!$D$11,regle!$D$23,
IF(U441=regle!$E$11,regle!$E$23,
IF(U441=regle!$F$11,regle!$F$23,
IF(U441=regle!$G$11,regle!$G$23,
IF(U441=regle!$H$11,regle!$H$23,
IF(U441=regle!$I$11,regle!$I$23,
IF(U441=regle!$J$11,regle!$J$23,
IF(U441=regle!$K$11,regle!$K$23,0))))))))))))</f>
        <v>0</v>
      </c>
      <c r="AF441" s="17" t="b">
        <f>IF($A441,$J441*(IF(V441=regle!$B$11,regle!$B$23*IF(AO441=-2,1+regle!$B$35,1),
IF(V441=regle!$C$11,regle!$C$23,
IF(V441=regle!$D$11,regle!$D$23,
IF(V441=regle!$E$11,regle!$E$23,
IF(V441=regle!$F$11,regle!$F$23,
IF(V441=regle!$G$11,regle!$G$23,
IF(V441=regle!$H$11,regle!$H$23,
IF(V441=regle!$I$11,regle!$I$23,
IF(V441=regle!$J$11,regle!$J$23,
IF(V441=regle!$K$11,regle!$K$23,0))))))))))))</f>
        <v>0</v>
      </c>
      <c r="AG441" s="17" t="b">
        <f>IF($A441,$J441*(IF(W441=regle!$B$11,regle!$B$23*IF(AP441=-2,1+regle!$B$35,1),
IF(W441=regle!$C$11,regle!$C$23,
IF(W441=regle!$D$11,regle!$D$23,
IF(W441=regle!$E$11,regle!$E$23,
IF(W441=regle!$F$11,regle!$F$23,
IF(W441=regle!$G$11,regle!$G$23,
IF(W441=regle!$H$11,regle!$H$23,
IF(W441=regle!$I$11,regle!$I$23,
IF(W441=regle!$J$11,regle!$J$23,
IF(W441=regle!$K$11,regle!$K$23,0))))))))))))</f>
        <v>0</v>
      </c>
      <c r="AH441" s="17" t="b">
        <f>IF($A441,$J441*(IF(X441=regle!$B$11,regle!$B$23*IF(AQ441=-2,1+regle!$B$35,1),
IF(X441=regle!$C$11,regle!$C$23,
IF(X441=regle!$D$11,regle!$D$23,
IF(X441=regle!$E$11,regle!$E$23,
IF(X441=regle!$F$11,regle!$F$23,
IF(X441=regle!$G$11,regle!$G$23,
IF(X441=regle!$H$11,regle!$H$23,
IF(X441=regle!$I$11,regle!$I$23,
IF(X441=regle!$J$11,regle!$J$23,
IF(X441=regle!$K$11,regle!$K$23,0))))))))))))</f>
        <v>0</v>
      </c>
      <c r="AI441" s="17" t="b">
        <f>IF($A441,$J441*(IF(Y441=regle!$B$11,regle!$B$23*IF(AR441=-2,1+regle!$B$35,1),
IF(Y441=regle!$C$11,regle!$C$23,
IF(Y441=regle!$D$11,regle!$D$23,
IF(Y441=regle!$E$11,regle!$E$23,
IF(Y441=regle!$F$11,regle!$F$23,
IF(Y441=regle!$G$11,regle!$G$23,
IF(Y441=regle!$H$11,regle!$H$23,
IF(Y441=regle!$I$11,regle!$I$23,
IF(Y441=regle!$J$11,regle!$J$23,
IF(Y441=regle!$K$11,regle!$K$23,0))))))))))))</f>
        <v>0</v>
      </c>
      <c r="AJ441" s="17" t="b">
        <f>IF($A441,$J441*(IF(Z441=regle!$B$11,regle!$B$23*IF(AS441=-2,1+regle!$B$35,1),
IF(Z441=regle!$C$11,regle!$C$23,
IF(Z441=regle!$D$11,regle!$D$23,
IF(Z441=regle!$E$11,regle!$E$23,
IF(Z441=regle!$F$11,regle!$F$23,
IF(Z441=regle!$G$11,regle!$G$23,
IF(Z441=regle!$H$11,regle!$H$23,
IF(Z441=regle!$I$11,regle!$I$23,
IF(Z441=regle!$J$11,regle!$J$23,
IF(Z441=regle!$K$11,regle!$K$23,0))))))))))))</f>
        <v>0</v>
      </c>
      <c r="AK441" s="16">
        <f>IF(OR(Q441=regle!$J$11,Q441=regle!$K$11),-2,IF(Q441=regle!$B$11,0,IF(AK$1=$AK$1,IF($O441,-1,regle!$B$2-$M441),IF(AJ441=-1,-1,AJ441+1))))</f>
        <v>54</v>
      </c>
      <c r="AL441" s="16">
        <f>IF(OR(R441=regle!$J$11,R441=regle!$K$11),-2,IF(R441=regle!$B$11,0,IF(AL$1=$AK$1,IF($O441,-1,regle!$B$2-$M441),IF(AK441=-1,-1,AK441+1))))</f>
        <v>55</v>
      </c>
      <c r="AM441" s="16">
        <f>IF(OR(S441=regle!$J$11,S441=regle!$K$11),-2,IF(S441=regle!$B$11,0,IF(AM$1=$AK$1,IF($O441,-1,regle!$B$2-$M441),IF(AL441=-1,-1,AL441+1))))</f>
        <v>56</v>
      </c>
      <c r="AN441" s="16">
        <f>IF(OR(T441=regle!$J$11,T441=regle!$K$11),-2,IF(T441=regle!$B$11,0,IF(AN$1=$AK$1,IF($O441,-1,regle!$B$2-$M441),IF(AM441=-1,-1,AM441+1))))</f>
        <v>57</v>
      </c>
      <c r="AO441" s="16">
        <f>IF(OR(U441=regle!$J$11,U441=regle!$K$11),-2,IF(U441=regle!$B$11,0,IF(AO$1=$AK$1,IF($O441,-1,regle!$B$2-$M441),IF(AN441=-1,-1,AN441+1))))</f>
        <v>58</v>
      </c>
      <c r="AP441" s="16">
        <f>IF(OR(V441=regle!$J$11,V441=regle!$K$11),-2,IF(V441=regle!$B$11,0,IF(AP$1=$AK$1,IF($O441,-1,regle!$B$2-$M441),IF(AO441=-1,-1,AO441+1))))</f>
        <v>59</v>
      </c>
      <c r="AQ441" s="16">
        <f>IF(OR(W441=regle!$J$11,W441=regle!$K$11),-2,IF(W441=regle!$B$11,0,IF(AQ$1=$AK$1,IF($O441,-1,regle!$B$2-$M441),IF(AP441=-1,-1,AP441+1))))</f>
        <v>60</v>
      </c>
      <c r="AR441" s="16">
        <f>IF(OR(X441=regle!$J$11,X441=regle!$K$11),-2,IF(X441=regle!$B$11,0,IF(AR$1=$AK$1,IF($O441,-1,regle!$B$2-$M441),IF(AQ441=-1,-1,AQ441+1))))</f>
        <v>61</v>
      </c>
      <c r="AS441" s="16">
        <f>IF(OR(Y441=regle!$J$11,Y441=regle!$K$11),-2,IF(Y441=regle!$B$11,0,IF(AS$1=$AK$1,IF($O441,-1,regle!$B$2-$M441),IF(AR441=-1,-1,AR441+1))))</f>
        <v>62</v>
      </c>
      <c r="AT441" s="16">
        <f>IF(OR(Z441=regle!$J$11,Z441=regle!$K$11),-2,IF(Z441=regle!$B$11,0,IF(AT$1=$AK$1,IF($O441,-1,regle!$B$2-$M441),IF(AS441=-1,-1,AS441+1))))</f>
        <v>63</v>
      </c>
    </row>
    <row r="442" spans="1:46" x14ac:dyDescent="0.25">
      <c r="A442" t="b">
        <f>modif0!A420</f>
        <v>0</v>
      </c>
      <c r="B442">
        <f>ROW(modif0!B420)</f>
        <v>420</v>
      </c>
      <c r="C442" t="str">
        <f>modif0!D420</f>
        <v>171</v>
      </c>
      <c r="D442" t="str">
        <f>modif0!E420</f>
        <v>MANO</v>
      </c>
      <c r="E442">
        <f>modif0!F420</f>
        <v>17</v>
      </c>
      <c r="F442" t="str">
        <f>modif0!G420</f>
        <v>LANDE DE TABARTON</v>
      </c>
      <c r="G442" t="str">
        <f>modif0!I420</f>
        <v>0B</v>
      </c>
      <c r="H442">
        <f>modif0!J420</f>
        <v>266</v>
      </c>
      <c r="I442" t="str">
        <f>modif0!K420</f>
        <v>m</v>
      </c>
      <c r="J442" s="11">
        <f>modif0!M420</f>
        <v>0.2898</v>
      </c>
      <c r="K442" s="11" t="str">
        <f>modif0!P420</f>
        <v>TAIL</v>
      </c>
      <c r="L442" t="str">
        <f>modif0!N420</f>
        <v>FEUIL</v>
      </c>
      <c r="M442">
        <f>modif0!Q420</f>
        <v>1960</v>
      </c>
      <c r="N442" t="str">
        <f>modif0!R420</f>
        <v>TAIL-FEUIL_1960</v>
      </c>
      <c r="O442" t="b">
        <f>modif0!S420</f>
        <v>0</v>
      </c>
      <c r="P442">
        <v>40</v>
      </c>
      <c r="AA442" s="17" t="b">
        <f>IF($A442,$J442*(IF(Q442=regle!$B$11,regle!$B$23*IF(AJ442=-2,1+regle!$B$35,1),
IF(Q442=regle!$C$11,regle!$C$23,
IF(Q442=regle!$D$11,regle!$D$23,
IF(Q442=regle!$E$11,regle!$E$23,
IF(Q442=regle!$F$11,regle!$F$23,
IF(Q442=regle!$G$11,regle!$G$23,
IF(Q442=regle!$H$11,regle!$H$23,
IF(Q442=regle!$I$11,regle!$I$23,
IF(Q442=regle!$J$11,regle!$J$23,
IF(Q442=regle!$K$11,regle!$K$23,0))))))))))))</f>
        <v>0</v>
      </c>
      <c r="AB442" s="17" t="b">
        <f>IF($A442,$J442*(IF(R442=regle!$B$11,regle!$B$23*IF(AK442=-2,1+regle!$B$35,1),
IF(R442=regle!$C$11,regle!$C$23,
IF(R442=regle!$D$11,regle!$D$23,
IF(R442=regle!$E$11,regle!$E$23,
IF(R442=regle!$F$11,regle!$F$23,
IF(R442=regle!$G$11,regle!$G$23,
IF(R442=regle!$H$11,regle!$H$23,
IF(R442=regle!$I$11,regle!$I$23,
IF(R442=regle!$J$11,regle!$J$23,
IF(R442=regle!$K$11,regle!$K$23,0))))))))))))</f>
        <v>0</v>
      </c>
      <c r="AC442" s="17" t="b">
        <f>IF($A442,$J442*(IF(S442=regle!$B$11,regle!$B$23*IF(AL442=-2,1+regle!$B$35,1),
IF(S442=regle!$C$11,regle!$C$23,
IF(S442=regle!$D$11,regle!$D$23,
IF(S442=regle!$E$11,regle!$E$23,
IF(S442=regle!$F$11,regle!$F$23,
IF(S442=regle!$G$11,regle!$G$23,
IF(S442=regle!$H$11,regle!$H$23,
IF(S442=regle!$I$11,regle!$I$23,
IF(S442=regle!$J$11,regle!$J$23,
IF(S442=regle!$K$11,regle!$K$23,0))))))))))))</f>
        <v>0</v>
      </c>
      <c r="AD442" s="17" t="b">
        <f>IF($A442,$J442*(IF(T442=regle!$B$11,regle!$B$23*IF(AM442=-2,1+regle!$B$35,1),
IF(T442=regle!$C$11,regle!$C$23,
IF(T442=regle!$D$11,regle!$D$23,
IF(T442=regle!$E$11,regle!$E$23,
IF(T442=regle!$F$11,regle!$F$23,
IF(T442=regle!$G$11,regle!$G$23,
IF(T442=regle!$H$11,regle!$H$23,
IF(T442=regle!$I$11,regle!$I$23,
IF(T442=regle!$J$11,regle!$J$23,
IF(T442=regle!$K$11,regle!$K$23,0))))))))))))</f>
        <v>0</v>
      </c>
      <c r="AE442" s="17" t="b">
        <f>IF($A442,$J442*(IF(U442=regle!$B$11,regle!$B$23*IF(AN442=-2,1+regle!$B$35,1),
IF(U442=regle!$C$11,regle!$C$23,
IF(U442=regle!$D$11,regle!$D$23,
IF(U442=regle!$E$11,regle!$E$23,
IF(U442=regle!$F$11,regle!$F$23,
IF(U442=regle!$G$11,regle!$G$23,
IF(U442=regle!$H$11,regle!$H$23,
IF(U442=regle!$I$11,regle!$I$23,
IF(U442=regle!$J$11,regle!$J$23,
IF(U442=regle!$K$11,regle!$K$23,0))))))))))))</f>
        <v>0</v>
      </c>
      <c r="AF442" s="17" t="b">
        <f>IF($A442,$J442*(IF(V442=regle!$B$11,regle!$B$23*IF(AO442=-2,1+regle!$B$35,1),
IF(V442=regle!$C$11,regle!$C$23,
IF(V442=regle!$D$11,regle!$D$23,
IF(V442=regle!$E$11,regle!$E$23,
IF(V442=regle!$F$11,regle!$F$23,
IF(V442=regle!$G$11,regle!$G$23,
IF(V442=regle!$H$11,regle!$H$23,
IF(V442=regle!$I$11,regle!$I$23,
IF(V442=regle!$J$11,regle!$J$23,
IF(V442=regle!$K$11,regle!$K$23,0))))))))))))</f>
        <v>0</v>
      </c>
      <c r="AG442" s="17" t="b">
        <f>IF($A442,$J442*(IF(W442=regle!$B$11,regle!$B$23*IF(AP442=-2,1+regle!$B$35,1),
IF(W442=regle!$C$11,regle!$C$23,
IF(W442=regle!$D$11,regle!$D$23,
IF(W442=regle!$E$11,regle!$E$23,
IF(W442=regle!$F$11,regle!$F$23,
IF(W442=regle!$G$11,regle!$G$23,
IF(W442=regle!$H$11,regle!$H$23,
IF(W442=regle!$I$11,regle!$I$23,
IF(W442=regle!$J$11,regle!$J$23,
IF(W442=regle!$K$11,regle!$K$23,0))))))))))))</f>
        <v>0</v>
      </c>
      <c r="AH442" s="17" t="b">
        <f>IF($A442,$J442*(IF(X442=regle!$B$11,regle!$B$23*IF(AQ442=-2,1+regle!$B$35,1),
IF(X442=regle!$C$11,regle!$C$23,
IF(X442=regle!$D$11,regle!$D$23,
IF(X442=regle!$E$11,regle!$E$23,
IF(X442=regle!$F$11,regle!$F$23,
IF(X442=regle!$G$11,regle!$G$23,
IF(X442=regle!$H$11,regle!$H$23,
IF(X442=regle!$I$11,regle!$I$23,
IF(X442=regle!$J$11,regle!$J$23,
IF(X442=regle!$K$11,regle!$K$23,0))))))))))))</f>
        <v>0</v>
      </c>
      <c r="AI442" s="17" t="b">
        <f>IF($A442,$J442*(IF(Y442=regle!$B$11,regle!$B$23*IF(AR442=-2,1+regle!$B$35,1),
IF(Y442=regle!$C$11,regle!$C$23,
IF(Y442=regle!$D$11,regle!$D$23,
IF(Y442=regle!$E$11,regle!$E$23,
IF(Y442=regle!$F$11,regle!$F$23,
IF(Y442=regle!$G$11,regle!$G$23,
IF(Y442=regle!$H$11,regle!$H$23,
IF(Y442=regle!$I$11,regle!$I$23,
IF(Y442=regle!$J$11,regle!$J$23,
IF(Y442=regle!$K$11,regle!$K$23,0))))))))))))</f>
        <v>0</v>
      </c>
      <c r="AJ442" s="17" t="b">
        <f>IF($A442,$J442*(IF(Z442=regle!$B$11,regle!$B$23*IF(AS442=-2,1+regle!$B$35,1),
IF(Z442=regle!$C$11,regle!$C$23,
IF(Z442=regle!$D$11,regle!$D$23,
IF(Z442=regle!$E$11,regle!$E$23,
IF(Z442=regle!$F$11,regle!$F$23,
IF(Z442=regle!$G$11,regle!$G$23,
IF(Z442=regle!$H$11,regle!$H$23,
IF(Z442=regle!$I$11,regle!$I$23,
IF(Z442=regle!$J$11,regle!$J$23,
IF(Z442=regle!$K$11,regle!$K$23,0))))))))))))</f>
        <v>0</v>
      </c>
      <c r="AK442" s="16">
        <f>IF(OR(Q442=regle!$J$11,Q442=regle!$K$11),-2,IF(Q442=regle!$B$11,0,IF(AK$1=$AK$1,IF($O442,-1,regle!$B$2-$M442),IF(AJ442=-1,-1,AJ442+1))))</f>
        <v>64</v>
      </c>
      <c r="AL442" s="16">
        <f>IF(OR(R442=regle!$J$11,R442=regle!$K$11),-2,IF(R442=regle!$B$11,0,IF(AL$1=$AK$1,IF($O442,-1,regle!$B$2-$M442),IF(AK442=-1,-1,AK442+1))))</f>
        <v>65</v>
      </c>
      <c r="AM442" s="16">
        <f>IF(OR(S442=regle!$J$11,S442=regle!$K$11),-2,IF(S442=regle!$B$11,0,IF(AM$1=$AK$1,IF($O442,-1,regle!$B$2-$M442),IF(AL442=-1,-1,AL442+1))))</f>
        <v>66</v>
      </c>
      <c r="AN442" s="16">
        <f>IF(OR(T442=regle!$J$11,T442=regle!$K$11),-2,IF(T442=regle!$B$11,0,IF(AN$1=$AK$1,IF($O442,-1,regle!$B$2-$M442),IF(AM442=-1,-1,AM442+1))))</f>
        <v>67</v>
      </c>
      <c r="AO442" s="16">
        <f>IF(OR(U442=regle!$J$11,U442=regle!$K$11),-2,IF(U442=regle!$B$11,0,IF(AO$1=$AK$1,IF($O442,-1,regle!$B$2-$M442),IF(AN442=-1,-1,AN442+1))))</f>
        <v>68</v>
      </c>
      <c r="AP442" s="16">
        <f>IF(OR(V442=regle!$J$11,V442=regle!$K$11),-2,IF(V442=regle!$B$11,0,IF(AP$1=$AK$1,IF($O442,-1,regle!$B$2-$M442),IF(AO442=-1,-1,AO442+1))))</f>
        <v>69</v>
      </c>
      <c r="AQ442" s="16">
        <f>IF(OR(W442=regle!$J$11,W442=regle!$K$11),-2,IF(W442=regle!$B$11,0,IF(AQ$1=$AK$1,IF($O442,-1,regle!$B$2-$M442),IF(AP442=-1,-1,AP442+1))))</f>
        <v>70</v>
      </c>
      <c r="AR442" s="16">
        <f>IF(OR(X442=regle!$J$11,X442=regle!$K$11),-2,IF(X442=regle!$B$11,0,IF(AR$1=$AK$1,IF($O442,-1,regle!$B$2-$M442),IF(AQ442=-1,-1,AQ442+1))))</f>
        <v>71</v>
      </c>
      <c r="AS442" s="16">
        <f>IF(OR(Y442=regle!$J$11,Y442=regle!$K$11),-2,IF(Y442=regle!$B$11,0,IF(AS$1=$AK$1,IF($O442,-1,regle!$B$2-$M442),IF(AR442=-1,-1,AR442+1))))</f>
        <v>72</v>
      </c>
      <c r="AT442" s="16">
        <f>IF(OR(Z442=regle!$J$11,Z442=regle!$K$11),-2,IF(Z442=regle!$B$11,0,IF(AT$1=$AK$1,IF($O442,-1,regle!$B$2-$M442),IF(AS442=-1,-1,AS442+1))))</f>
        <v>73</v>
      </c>
    </row>
    <row r="443" spans="1:46" x14ac:dyDescent="0.25">
      <c r="A443" t="b">
        <f>modif0!A416</f>
        <v>0</v>
      </c>
      <c r="B443">
        <f>ROW(modif0!B416)</f>
        <v>416</v>
      </c>
      <c r="C443" t="str">
        <f>modif0!D416</f>
        <v>202</v>
      </c>
      <c r="D443" t="str">
        <f>modif0!E416</f>
        <v>HOSTENS</v>
      </c>
      <c r="E443">
        <f>modif0!F416</f>
        <v>13</v>
      </c>
      <c r="F443" t="str">
        <f>modif0!G416</f>
        <v>LA BROUSTETTE</v>
      </c>
      <c r="G443" t="str">
        <f>modif0!I416</f>
        <v>0B</v>
      </c>
      <c r="H443">
        <f>modif0!J416</f>
        <v>1233</v>
      </c>
      <c r="I443" t="str">
        <f>modif0!K416</f>
        <v/>
      </c>
      <c r="J443" s="11">
        <f>modif0!M416</f>
        <v>0.29299999999999998</v>
      </c>
      <c r="K443" s="11" t="str">
        <f>modif0!P416</f>
        <v>TAIL</v>
      </c>
      <c r="L443" t="str">
        <f>modif0!N416</f>
        <v>FEUIL</v>
      </c>
      <c r="M443">
        <f>modif0!Q416</f>
        <v>1950</v>
      </c>
      <c r="N443" t="str">
        <f>modif0!R416</f>
        <v>TAIL-FEUIL_1950</v>
      </c>
      <c r="O443" t="b">
        <f>modif0!S416</f>
        <v>0</v>
      </c>
      <c r="P443">
        <v>40</v>
      </c>
      <c r="AA443" s="17" t="b">
        <f>IF($A443,$J443*(IF(Q443=regle!$B$11,regle!$B$23*IF(AJ443=-2,1+regle!$B$35,1),
IF(Q443=regle!$C$11,regle!$C$23,
IF(Q443=regle!$D$11,regle!$D$23,
IF(Q443=regle!$E$11,regle!$E$23,
IF(Q443=regle!$F$11,regle!$F$23,
IF(Q443=regle!$G$11,regle!$G$23,
IF(Q443=regle!$H$11,regle!$H$23,
IF(Q443=regle!$I$11,regle!$I$23,
IF(Q443=regle!$J$11,regle!$J$23,
IF(Q443=regle!$K$11,regle!$K$23,0))))))))))))</f>
        <v>0</v>
      </c>
      <c r="AB443" s="17" t="b">
        <f>IF($A443,$J443*(IF(R443=regle!$B$11,regle!$B$23*IF(AK443=-2,1+regle!$B$35,1),
IF(R443=regle!$C$11,regle!$C$23,
IF(R443=regle!$D$11,regle!$D$23,
IF(R443=regle!$E$11,regle!$E$23,
IF(R443=regle!$F$11,regle!$F$23,
IF(R443=regle!$G$11,regle!$G$23,
IF(R443=regle!$H$11,regle!$H$23,
IF(R443=regle!$I$11,regle!$I$23,
IF(R443=regle!$J$11,regle!$J$23,
IF(R443=regle!$K$11,regle!$K$23,0))))))))))))</f>
        <v>0</v>
      </c>
      <c r="AC443" s="17" t="b">
        <f>IF($A443,$J443*(IF(S443=regle!$B$11,regle!$B$23*IF(AL443=-2,1+regle!$B$35,1),
IF(S443=regle!$C$11,regle!$C$23,
IF(S443=regle!$D$11,regle!$D$23,
IF(S443=regle!$E$11,regle!$E$23,
IF(S443=regle!$F$11,regle!$F$23,
IF(S443=regle!$G$11,regle!$G$23,
IF(S443=regle!$H$11,regle!$H$23,
IF(S443=regle!$I$11,regle!$I$23,
IF(S443=regle!$J$11,regle!$J$23,
IF(S443=regle!$K$11,regle!$K$23,0))))))))))))</f>
        <v>0</v>
      </c>
      <c r="AD443" s="17" t="b">
        <f>IF($A443,$J443*(IF(T443=regle!$B$11,regle!$B$23*IF(AM443=-2,1+regle!$B$35,1),
IF(T443=regle!$C$11,regle!$C$23,
IF(T443=regle!$D$11,regle!$D$23,
IF(T443=regle!$E$11,regle!$E$23,
IF(T443=regle!$F$11,regle!$F$23,
IF(T443=regle!$G$11,regle!$G$23,
IF(T443=regle!$H$11,regle!$H$23,
IF(T443=regle!$I$11,regle!$I$23,
IF(T443=regle!$J$11,regle!$J$23,
IF(T443=regle!$K$11,regle!$K$23,0))))))))))))</f>
        <v>0</v>
      </c>
      <c r="AE443" s="17" t="b">
        <f>IF($A443,$J443*(IF(U443=regle!$B$11,regle!$B$23*IF(AN443=-2,1+regle!$B$35,1),
IF(U443=regle!$C$11,regle!$C$23,
IF(U443=regle!$D$11,regle!$D$23,
IF(U443=regle!$E$11,regle!$E$23,
IF(U443=regle!$F$11,regle!$F$23,
IF(U443=regle!$G$11,regle!$G$23,
IF(U443=regle!$H$11,regle!$H$23,
IF(U443=regle!$I$11,regle!$I$23,
IF(U443=regle!$J$11,regle!$J$23,
IF(U443=regle!$K$11,regle!$K$23,0))))))))))))</f>
        <v>0</v>
      </c>
      <c r="AF443" s="17" t="b">
        <f>IF($A443,$J443*(IF(V443=regle!$B$11,regle!$B$23*IF(AO443=-2,1+regle!$B$35,1),
IF(V443=regle!$C$11,regle!$C$23,
IF(V443=regle!$D$11,regle!$D$23,
IF(V443=regle!$E$11,regle!$E$23,
IF(V443=regle!$F$11,regle!$F$23,
IF(V443=regle!$G$11,regle!$G$23,
IF(V443=regle!$H$11,regle!$H$23,
IF(V443=regle!$I$11,regle!$I$23,
IF(V443=regle!$J$11,regle!$J$23,
IF(V443=regle!$K$11,regle!$K$23,0))))))))))))</f>
        <v>0</v>
      </c>
      <c r="AG443" s="17" t="b">
        <f>IF($A443,$J443*(IF(W443=regle!$B$11,regle!$B$23*IF(AP443=-2,1+regle!$B$35,1),
IF(W443=regle!$C$11,regle!$C$23,
IF(W443=regle!$D$11,regle!$D$23,
IF(W443=regle!$E$11,regle!$E$23,
IF(W443=regle!$F$11,regle!$F$23,
IF(W443=regle!$G$11,regle!$G$23,
IF(W443=regle!$H$11,regle!$H$23,
IF(W443=regle!$I$11,regle!$I$23,
IF(W443=regle!$J$11,regle!$J$23,
IF(W443=regle!$K$11,regle!$K$23,0))))))))))))</f>
        <v>0</v>
      </c>
      <c r="AH443" s="17" t="b">
        <f>IF($A443,$J443*(IF(X443=regle!$B$11,regle!$B$23*IF(AQ443=-2,1+regle!$B$35,1),
IF(X443=regle!$C$11,regle!$C$23,
IF(X443=regle!$D$11,regle!$D$23,
IF(X443=regle!$E$11,regle!$E$23,
IF(X443=regle!$F$11,regle!$F$23,
IF(X443=regle!$G$11,regle!$G$23,
IF(X443=regle!$H$11,regle!$H$23,
IF(X443=regle!$I$11,regle!$I$23,
IF(X443=regle!$J$11,regle!$J$23,
IF(X443=regle!$K$11,regle!$K$23,0))))))))))))</f>
        <v>0</v>
      </c>
      <c r="AI443" s="17" t="b">
        <f>IF($A443,$J443*(IF(Y443=regle!$B$11,regle!$B$23*IF(AR443=-2,1+regle!$B$35,1),
IF(Y443=regle!$C$11,regle!$C$23,
IF(Y443=regle!$D$11,regle!$D$23,
IF(Y443=regle!$E$11,regle!$E$23,
IF(Y443=regle!$F$11,regle!$F$23,
IF(Y443=regle!$G$11,regle!$G$23,
IF(Y443=regle!$H$11,regle!$H$23,
IF(Y443=regle!$I$11,regle!$I$23,
IF(Y443=regle!$J$11,regle!$J$23,
IF(Y443=regle!$K$11,regle!$K$23,0))))))))))))</f>
        <v>0</v>
      </c>
      <c r="AJ443" s="17" t="b">
        <f>IF($A443,$J443*(IF(Z443=regle!$B$11,regle!$B$23*IF(AS443=-2,1+regle!$B$35,1),
IF(Z443=regle!$C$11,regle!$C$23,
IF(Z443=regle!$D$11,regle!$D$23,
IF(Z443=regle!$E$11,regle!$E$23,
IF(Z443=regle!$F$11,regle!$F$23,
IF(Z443=regle!$G$11,regle!$G$23,
IF(Z443=regle!$H$11,regle!$H$23,
IF(Z443=regle!$I$11,regle!$I$23,
IF(Z443=regle!$J$11,regle!$J$23,
IF(Z443=regle!$K$11,regle!$K$23,0))))))))))))</f>
        <v>0</v>
      </c>
      <c r="AK443" s="16">
        <f>IF(OR(Q443=regle!$J$11,Q443=regle!$K$11),-2,IF(Q443=regle!$B$11,0,IF(AK$1=$AK$1,IF($O443,-1,regle!$B$2-$M443),IF(AJ443=-1,-1,AJ443+1))))</f>
        <v>74</v>
      </c>
      <c r="AL443" s="16">
        <f>IF(OR(R443=regle!$J$11,R443=regle!$K$11),-2,IF(R443=regle!$B$11,0,IF(AL$1=$AK$1,IF($O443,-1,regle!$B$2-$M443),IF(AK443=-1,-1,AK443+1))))</f>
        <v>75</v>
      </c>
      <c r="AM443" s="16">
        <f>IF(OR(S443=regle!$J$11,S443=regle!$K$11),-2,IF(S443=regle!$B$11,0,IF(AM$1=$AK$1,IF($O443,-1,regle!$B$2-$M443),IF(AL443=-1,-1,AL443+1))))</f>
        <v>76</v>
      </c>
      <c r="AN443" s="16">
        <f>IF(OR(T443=regle!$J$11,T443=regle!$K$11),-2,IF(T443=regle!$B$11,0,IF(AN$1=$AK$1,IF($O443,-1,regle!$B$2-$M443),IF(AM443=-1,-1,AM443+1))))</f>
        <v>77</v>
      </c>
      <c r="AO443" s="16">
        <f>IF(OR(U443=regle!$J$11,U443=regle!$K$11),-2,IF(U443=regle!$B$11,0,IF(AO$1=$AK$1,IF($O443,-1,regle!$B$2-$M443),IF(AN443=-1,-1,AN443+1))))</f>
        <v>78</v>
      </c>
      <c r="AP443" s="16">
        <f>IF(OR(V443=regle!$J$11,V443=regle!$K$11),-2,IF(V443=regle!$B$11,0,IF(AP$1=$AK$1,IF($O443,-1,regle!$B$2-$M443),IF(AO443=-1,-1,AO443+1))))</f>
        <v>79</v>
      </c>
      <c r="AQ443" s="16">
        <f>IF(OR(W443=regle!$J$11,W443=regle!$K$11),-2,IF(W443=regle!$B$11,0,IF(AQ$1=$AK$1,IF($O443,-1,regle!$B$2-$M443),IF(AP443=-1,-1,AP443+1))))</f>
        <v>80</v>
      </c>
      <c r="AR443" s="16">
        <f>IF(OR(X443=regle!$J$11,X443=regle!$K$11),-2,IF(X443=regle!$B$11,0,IF(AR$1=$AK$1,IF($O443,-1,regle!$B$2-$M443),IF(AQ443=-1,-1,AQ443+1))))</f>
        <v>81</v>
      </c>
      <c r="AS443" s="16">
        <f>IF(OR(Y443=regle!$J$11,Y443=regle!$K$11),-2,IF(Y443=regle!$B$11,0,IF(AS$1=$AK$1,IF($O443,-1,regle!$B$2-$M443),IF(AR443=-1,-1,AR443+1))))</f>
        <v>82</v>
      </c>
      <c r="AT443" s="16">
        <f>IF(OR(Z443=regle!$J$11,Z443=regle!$K$11),-2,IF(Z443=regle!$B$11,0,IF(AT$1=$AK$1,IF($O443,-1,regle!$B$2-$M443),IF(AS443=-1,-1,AS443+1))))</f>
        <v>83</v>
      </c>
    </row>
  </sheetData>
  <phoneticPr fontId="18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72875-D74E-4CF5-AA95-C6CF4904F94C}">
  <sheetPr codeName="Feuil14"/>
  <dimension ref="A1:AX443"/>
  <sheetViews>
    <sheetView zoomScale="85" zoomScaleNormal="85" workbookViewId="0">
      <selection activeCell="A2" sqref="A2:AX443"/>
    </sheetView>
  </sheetViews>
  <sheetFormatPr baseColWidth="10" defaultColWidth="11.42578125" defaultRowHeight="15" x14ac:dyDescent="0.25"/>
  <cols>
    <col min="1" max="1" width="5.7109375" bestFit="1" customWidth="1"/>
    <col min="2" max="2" width="4.140625" bestFit="1" customWidth="1"/>
    <col min="3" max="3" width="13.85546875" bestFit="1" customWidth="1"/>
    <col min="4" max="4" width="4.140625" bestFit="1" customWidth="1"/>
    <col min="5" max="5" width="25" bestFit="1" customWidth="1"/>
    <col min="6" max="6" width="3.140625" bestFit="1" customWidth="1"/>
    <col min="7" max="7" width="23.7109375" bestFit="1" customWidth="1"/>
    <col min="8" max="8" width="8.140625" bestFit="1" customWidth="1"/>
    <col min="9" max="9" width="3.85546875" bestFit="1" customWidth="1"/>
    <col min="10" max="10" width="5.140625" bestFit="1" customWidth="1"/>
    <col min="11" max="11" width="3.28515625" bestFit="1" customWidth="1"/>
    <col min="12" max="12" width="7.140625" bestFit="1" customWidth="1"/>
    <col min="13" max="13" width="7.7109375" style="11" bestFit="1" customWidth="1"/>
    <col min="14" max="14" width="6" bestFit="1" customWidth="1"/>
    <col min="15" max="15" width="8.85546875" bestFit="1" customWidth="1"/>
    <col min="16" max="16" width="4.85546875" bestFit="1" customWidth="1"/>
    <col min="17" max="17" width="5.140625" bestFit="1" customWidth="1"/>
    <col min="18" max="18" width="15.42578125" bestFit="1" customWidth="1"/>
    <col min="19" max="19" width="5.7109375" bestFit="1" customWidth="1"/>
    <col min="20" max="20" width="5.7109375" customWidth="1"/>
    <col min="21" max="26" width="5.5703125" bestFit="1" customWidth="1"/>
    <col min="27" max="27" width="4.140625" bestFit="1" customWidth="1"/>
    <col min="28" max="30" width="5.5703125" bestFit="1" customWidth="1"/>
    <col min="31" max="40" width="9.5703125" bestFit="1" customWidth="1"/>
    <col min="41" max="49" width="7.140625" bestFit="1" customWidth="1"/>
    <col min="50" max="50" width="8.140625" bestFit="1" customWidth="1"/>
  </cols>
  <sheetData>
    <row r="1" spans="1:50" x14ac:dyDescent="0.25">
      <c r="A1" t="s">
        <v>58</v>
      </c>
      <c r="B1" t="s">
        <v>59</v>
      </c>
      <c r="C1" t="s">
        <v>76</v>
      </c>
      <c r="D1" t="s">
        <v>60</v>
      </c>
      <c r="E1" t="s">
        <v>2</v>
      </c>
      <c r="F1" t="s">
        <v>61</v>
      </c>
      <c r="G1" t="s">
        <v>4</v>
      </c>
      <c r="H1" t="s">
        <v>77</v>
      </c>
      <c r="I1" t="s">
        <v>3</v>
      </c>
      <c r="J1" t="s">
        <v>5</v>
      </c>
      <c r="K1" t="s">
        <v>6</v>
      </c>
      <c r="L1" t="s">
        <v>78</v>
      </c>
      <c r="M1" s="11" t="s">
        <v>1801</v>
      </c>
      <c r="N1" t="s">
        <v>62</v>
      </c>
      <c r="O1" t="s">
        <v>79</v>
      </c>
      <c r="P1" t="s">
        <v>80</v>
      </c>
      <c r="Q1" t="s">
        <v>81</v>
      </c>
      <c r="R1" t="s">
        <v>32</v>
      </c>
      <c r="S1" t="s">
        <v>1856</v>
      </c>
      <c r="T1" t="s">
        <v>1884</v>
      </c>
      <c r="U1" t="s">
        <v>1836</v>
      </c>
      <c r="V1" t="s">
        <v>1838</v>
      </c>
      <c r="W1" t="s">
        <v>1840</v>
      </c>
      <c r="X1" t="s">
        <v>1842</v>
      </c>
      <c r="Y1" t="s">
        <v>1844</v>
      </c>
      <c r="Z1" t="s">
        <v>1846</v>
      </c>
      <c r="AA1" t="s">
        <v>1848</v>
      </c>
      <c r="AB1" t="s">
        <v>1850</v>
      </c>
      <c r="AC1" t="s">
        <v>1852</v>
      </c>
      <c r="AD1" t="s">
        <v>1854</v>
      </c>
      <c r="AE1" t="s">
        <v>1837</v>
      </c>
      <c r="AF1" t="s">
        <v>1839</v>
      </c>
      <c r="AG1" t="s">
        <v>1841</v>
      </c>
      <c r="AH1" t="s">
        <v>1843</v>
      </c>
      <c r="AI1" t="s">
        <v>1845</v>
      </c>
      <c r="AJ1" t="s">
        <v>1847</v>
      </c>
      <c r="AK1" t="s">
        <v>1849</v>
      </c>
      <c r="AL1" t="s">
        <v>1851</v>
      </c>
      <c r="AM1" t="s">
        <v>1853</v>
      </c>
      <c r="AN1" t="s">
        <v>1855</v>
      </c>
      <c r="AO1" s="15" t="s">
        <v>1857</v>
      </c>
      <c r="AP1" s="15" t="s">
        <v>1858</v>
      </c>
      <c r="AQ1" s="15" t="s">
        <v>1859</v>
      </c>
      <c r="AR1" s="15" t="s">
        <v>1860</v>
      </c>
      <c r="AS1" s="15" t="s">
        <v>1861</v>
      </c>
      <c r="AT1" s="15" t="s">
        <v>1862</v>
      </c>
      <c r="AU1" s="15" t="s">
        <v>1863</v>
      </c>
      <c r="AV1" s="15" t="s">
        <v>1864</v>
      </c>
      <c r="AW1" s="15" t="s">
        <v>1865</v>
      </c>
      <c r="AX1" s="15" t="s">
        <v>1866</v>
      </c>
    </row>
    <row r="2" spans="1:50" x14ac:dyDescent="0.25">
      <c r="A2" t="b">
        <f>AND(modif0[[#This Row],[cdstr]]&lt;&gt;0,OR(regle!$H$27=FALSE,modif0[[#This Row],[essnc]]="PM"))</f>
        <v>1</v>
      </c>
      <c r="B2">
        <f>ROW(objet!A2)</f>
        <v>2</v>
      </c>
      <c r="C2" s="10" t="str">
        <f>objet!D2</f>
        <v>2020000A1144</v>
      </c>
      <c r="D2" t="str">
        <f>LEFT(modif0[[#This Row],[cdstr]],3)</f>
        <v>202</v>
      </c>
      <c r="E2" s="10" t="str">
        <f>objet!G2</f>
        <v>HOSTENS</v>
      </c>
      <c r="F2">
        <f>LEN(modif0[[#This Row],[l_dt]])</f>
        <v>13</v>
      </c>
      <c r="G2" s="10" t="str">
        <f>objet!H2</f>
        <v>PIQUETAILLADE</v>
      </c>
      <c r="H2" s="10" t="str">
        <f>objet!C2</f>
        <v>A1144</v>
      </c>
      <c r="I2" t="str">
        <f>IF(ISNUMBER(VALUE(RIGHT(LEFT(modif0[[#This Row],[idntfn]],2),1))),_xlfn.CONCAT(0,LEFT(modif0[[#This Row],[idntfn]],1)),LEFT(modif0[[#This Row],[idntfn]],2))</f>
        <v>0A</v>
      </c>
      <c r="J2">
        <f>VALUE(LEFT(RIGHT(modif0[[#This Row],[idntfn]],LEN(modif0[[#This Row],[idntfn]])-IF(LEFT(modif0[[#This Row],[sctn]],1)="0",1,2)),LEN(modif0[[#This Row],[idntfn]])-IF(LEFT(modif0[[#This Row],[sctn]],1)="0",1,2)-LEN(modif0[[#This Row],[lttr]])))</f>
        <v>1144</v>
      </c>
      <c r="K2" t="str">
        <f>IF(ISNUMBER(VALUE(RIGHT(modif0[[#This Row],[idntfn]],1))),"",IF(ISNUMBER(VALUE(LEFT(RIGHT(modif0[[#This Row],[idntfn]],2),1))),RIGHT(modif0[[#This Row],[idntfn]],1),RIGHT(modif0[[#This Row],[idntfn]],2)))</f>
        <v/>
      </c>
      <c r="L2" s="10">
        <f>objet!I2</f>
        <v>18850</v>
      </c>
      <c r="M2" s="11">
        <f>modif0[[#This Row],[srfc]]/10000</f>
        <v>1.885</v>
      </c>
      <c r="N2" s="10" t="str">
        <f>objet!Z2</f>
        <v>PM</v>
      </c>
      <c r="O2" s="10" t="str">
        <f>objet!AA2</f>
        <v>CR2022</v>
      </c>
      <c r="P2" t="str">
        <f>IF(ISNUMBER(modif0[[#This Row],[trvx]]),"",LEFT(modif0[[#This Row],[trvx]],LEN(modif0[[#This Row],[trvx]])-4))</f>
        <v>CR</v>
      </c>
      <c r="Q2">
        <f>VALUE(RIGHT(modif0[[#This Row],[trvx]],4))</f>
        <v>2022</v>
      </c>
      <c r="R2" t="str">
        <f>_xlfn.CONCAT(modif0[[#This Row],[tp]],"-",modif0[[#This Row],[essnc]],"_",modif0[[#This Row],[anns]])</f>
        <v>CR-PM_2022</v>
      </c>
      <c r="S2" t="b">
        <f>modif0[[#This Row],[tp]]="CR"</f>
        <v>1</v>
      </c>
      <c r="T2">
        <v>40</v>
      </c>
      <c r="U2" t="str">
        <f>IF(NOT($A2),"",
IF(AO2=-2,regle!$J$11,
IF(AO2=regle!$B$12,regle!$B$11,
IF(AO2=regle!$C$12,regle!$C$11,
IF(AO2=regle!$D$12,regle!$D$11,
IF(AO2=regle!$E$12,regle!$E$11,
IF(AO2=regle!$F$12,regle!$F$11,
IF(AO2=regle!$G$12,regle!$G$11,
IF(AO2=regle!$H$12,regle!$H$11,
IF(AO2=regle!$I$12,regle!$I$11,""))))))))))</f>
        <v>RBST</v>
      </c>
      <c r="V2" t="str">
        <f>IF(NOT($A2),"",
IF(AP2=-2,regle!$J$11,
IF(AP2=regle!$B$12,regle!$B$11,
IF(AP2=regle!$C$12,regle!$C$11,
IF(AP2=regle!$D$12,regle!$D$11,
IF(AP2=regle!$E$12,regle!$E$11,
IF(AP2=regle!$F$12,regle!$F$11,
IF(AP2=regle!$G$12,regle!$G$11,
IF(AP2=regle!$H$12,regle!$H$11,
IF(AP2=regle!$I$12,regle!$I$11,""))))))))))</f>
        <v/>
      </c>
      <c r="W2" t="str">
        <f>IF(NOT($A2),"",
IF(AQ2=-2,regle!$J$11,
IF(AQ2=regle!$B$12,regle!$B$11,
IF(AQ2=regle!$C$12,regle!$C$11,
IF(AQ2=regle!$D$12,regle!$D$11,
IF(AQ2=regle!$E$12,regle!$E$11,
IF(AQ2=regle!$F$12,regle!$F$11,
IF(AQ2=regle!$G$12,regle!$G$11,
IF(AQ2=regle!$H$12,regle!$H$11,
IF(AQ2=regle!$I$12,regle!$I$11,""))))))))))</f>
        <v>DGT</v>
      </c>
      <c r="X2" t="str">
        <f>IF(NOT($A2),"",
IF(AR2=-2,regle!$J$11,
IF(AR2=regle!$B$12,regle!$B$11,
IF(AR2=regle!$C$12,regle!$C$11,
IF(AR2=regle!$D$12,regle!$D$11,
IF(AR2=regle!$E$12,regle!$E$11,
IF(AR2=regle!$F$12,regle!$F$11,
IF(AR2=regle!$G$12,regle!$G$11,
IF(AR2=regle!$H$12,regle!$H$11,
IF(AR2=regle!$I$12,regle!$I$11,""))))))))))</f>
        <v/>
      </c>
      <c r="Y2" t="str">
        <f>IF(NOT($A2),"",
IF(AS2=-2,regle!$J$11,
IF(AS2=regle!$B$12,regle!$B$11,
IF(AS2=regle!$C$12,regle!$C$11,
IF(AS2=regle!$D$12,regle!$D$11,
IF(AS2=regle!$E$12,regle!$E$11,
IF(AS2=regle!$F$12,regle!$F$11,
IF(AS2=regle!$G$12,regle!$G$11,
IF(AS2=regle!$H$12,regle!$H$11,
IF(AS2=regle!$I$12,regle!$I$11,""))))))))))</f>
        <v/>
      </c>
      <c r="Z2" t="str">
        <f>IF(NOT($A2),"",
IF(AT2=-2,regle!$J$11,
IF(AT2=regle!$B$12,regle!$B$11,
IF(AT2=regle!$C$12,regle!$C$11,
IF(AT2=regle!$D$12,regle!$D$11,
IF(AT2=regle!$E$12,regle!$E$11,
IF(AT2=regle!$F$12,regle!$F$11,
IF(AT2=regle!$G$12,regle!$G$11,
IF(AT2=regle!$H$12,regle!$H$11,
IF(AT2=regle!$I$12,regle!$I$11,""))))))))))</f>
        <v>ENT1</v>
      </c>
      <c r="AA2" t="str">
        <f>IF(NOT($A2),"",
IF(AU2=-2,regle!$J$11,
IF(AU2=regle!$B$12,regle!$B$11,
IF(AU2=regle!$C$12,regle!$C$11,
IF(AU2=regle!$D$12,regle!$D$11,
IF(AU2=regle!$E$12,regle!$E$11,
IF(AU2=regle!$F$12,regle!$F$11,
IF(AU2=regle!$G$12,regle!$G$11,
IF(AU2=regle!$H$12,regle!$H$11,
IF(AU2=regle!$I$12,regle!$I$11,""))))))))))</f>
        <v/>
      </c>
      <c r="AB2" t="str">
        <f>IF(NOT($A2),"",
IF(AV2=-2,regle!$J$11,
IF(AV2=regle!$B$12,regle!$B$11,
IF(AV2=regle!$C$12,regle!$C$11,
IF(AV2=regle!$D$12,regle!$D$11,
IF(AV2=regle!$E$12,regle!$E$11,
IF(AV2=regle!$F$12,regle!$F$11,
IF(AV2=regle!$G$12,regle!$G$11,
IF(AV2=regle!$H$12,regle!$H$11,
IF(AV2=regle!$I$12,regle!$I$11,""))))))))))</f>
        <v/>
      </c>
      <c r="AC2" t="str">
        <f>IF(NOT($A2),"",
IF(AW2=-2,regle!$J$11,
IF(AW2=regle!$B$12,regle!$B$11,
IF(AW2=regle!$C$12,regle!$C$11,
IF(AW2=regle!$D$12,regle!$D$11,
IF(AW2=regle!$E$12,regle!$E$11,
IF(AW2=regle!$F$12,regle!$F$11,
IF(AW2=regle!$G$12,regle!$G$11,
IF(AW2=regle!$H$12,regle!$H$11,
IF(AW2=regle!$I$12,regle!$I$11,""))))))))))</f>
        <v>ENT2</v>
      </c>
      <c r="AD2" t="str">
        <f>IF(NOT($A2),"",
IF(AX2=-2,regle!$J$11,
IF(AX2=regle!$B$12,regle!$B$11,
IF(AX2=regle!$C$12,regle!$C$11,
IF(AX2=regle!$D$12,regle!$D$11,
IF(AX2=regle!$E$12,regle!$E$11,
IF(AX2=regle!$F$12,regle!$F$11,
IF(AX2=regle!$G$12,regle!$G$11,
IF(AX2=regle!$H$12,regle!$H$11,
IF(AX2=regle!$I$12,regle!$I$11,""))))))))))</f>
        <v/>
      </c>
      <c r="AE2" s="14">
        <f>IF($A2,$M2*(IF(U2=regle!$B$11,regle!$B$23,IF(U2=regle!$C$11,regle!$C$23,IF(U2=regle!$D$11,regle!$D$23,IF(U2=regle!$E$11,regle!$E$23,IF(U2=regle!$F$11,regle!$F$23,IF(U2=regle!$G$11,regle!$G$23,IF(U2=regle!$H$11,regle!$H$23,IF(U2=regle!$I$11,regle!$I$23,IF(U2=regle!$J$11,regle!$J$23,0)))))))))))</f>
        <v>-3204.5</v>
      </c>
      <c r="AF2" s="14">
        <f>IF($A2,$M2*(IF(V2=regle!$B$11,regle!$B$23,IF(V2=regle!$C$11,regle!$C$23,IF(V2=regle!$D$11,regle!$D$23,IF(V2=regle!$E$11,regle!$E$23,IF(V2=regle!$F$11,regle!$F$23,IF(V2=regle!$G$11,regle!$G$23,IF(V2=regle!$H$11,regle!$H$23,IF(V2=regle!$I$11,regle!$I$23,IF(V2=regle!$J$11,regle!$J$23,0)))))))))))</f>
        <v>0</v>
      </c>
      <c r="AG2" s="14">
        <f>IF($A2,$M2*(IF(W2=regle!$B$11,regle!$B$23,IF(W2=regle!$C$11,regle!$C$23,IF(W2=regle!$D$11,regle!$D$23,IF(W2=regle!$E$11,regle!$E$23,IF(W2=regle!$F$11,regle!$F$23,IF(W2=regle!$G$11,regle!$G$23,IF(W2=regle!$H$11,regle!$H$23,IF(W2=regle!$I$11,regle!$I$23,IF(W2=regle!$J$11,regle!$J$23,0)))))))))))</f>
        <v>-141.375</v>
      </c>
      <c r="AH2" s="14">
        <f>IF($A2,$M2*(IF(X2=regle!$B$11,regle!$B$23,IF(X2=regle!$C$11,regle!$C$23,IF(X2=regle!$D$11,regle!$D$23,IF(X2=regle!$E$11,regle!$E$23,IF(X2=regle!$F$11,regle!$F$23,IF(X2=regle!$G$11,regle!$G$23,IF(X2=regle!$H$11,regle!$H$23,IF(X2=regle!$I$11,regle!$I$23,IF(X2=regle!$J$11,regle!$J$23,0)))))))))))</f>
        <v>0</v>
      </c>
      <c r="AI2" s="14">
        <f>IF($A2,$M2*(IF(Y2=regle!$B$11,regle!$B$23,IF(Y2=regle!$C$11,regle!$C$23,IF(Y2=regle!$D$11,regle!$D$23,IF(Y2=regle!$E$11,regle!$E$23,IF(Y2=regle!$F$11,regle!$F$23,IF(Y2=regle!$G$11,regle!$G$23,IF(Y2=regle!$H$11,regle!$H$23,IF(Y2=regle!$I$11,regle!$I$23,IF(Y2=regle!$J$11,regle!$J$23,0)))))))))))</f>
        <v>0</v>
      </c>
      <c r="AJ2" s="14">
        <f>IF($A2,$M2*(IF(Z2=regle!$B$11,regle!$B$23,IF(Z2=regle!$C$11,regle!$C$23,IF(Z2=regle!$D$11,regle!$D$23,IF(Z2=regle!$E$11,regle!$E$23,IF(Z2=regle!$F$11,regle!$F$23,IF(Z2=regle!$G$11,regle!$G$23,IF(Z2=regle!$H$11,regle!$H$23,IF(Z2=regle!$I$11,regle!$I$23,IF(Z2=regle!$J$11,regle!$J$23,0)))))))))))</f>
        <v>-169.65</v>
      </c>
      <c r="AK2" s="14">
        <f>IF($A2,$M2*(IF(AA2=regle!$B$11,regle!$B$23,IF(AA2=regle!$C$11,regle!$C$23,IF(AA2=regle!$D$11,regle!$D$23,IF(AA2=regle!$E$11,regle!$E$23,IF(AA2=regle!$F$11,regle!$F$23,IF(AA2=regle!$G$11,regle!$G$23,IF(AA2=regle!$H$11,regle!$H$23,IF(AA2=regle!$I$11,regle!$I$23,IF(AA2=regle!$J$11,regle!$J$23,0)))))))))))</f>
        <v>0</v>
      </c>
      <c r="AL2" s="14">
        <f>IF($A2,$M2*(IF(AB2=regle!$B$11,regle!$B$23,IF(AB2=regle!$C$11,regle!$C$23,IF(AB2=regle!$D$11,regle!$D$23,IF(AB2=regle!$E$11,regle!$E$23,IF(AB2=regle!$F$11,regle!$F$23,IF(AB2=regle!$G$11,regle!$G$23,IF(AB2=regle!$H$11,regle!$H$23,IF(AB2=regle!$I$11,regle!$I$23,IF(AB2=regle!$J$11,regle!$J$23,0)))))))))))</f>
        <v>0</v>
      </c>
      <c r="AM2" s="14">
        <f>IF($A2,$M2*(IF(AC2=regle!$B$11,regle!$B$23,IF(AC2=regle!$C$11,regle!$C$23,IF(AC2=regle!$D$11,regle!$D$23,IF(AC2=regle!$E$11,regle!$E$23,IF(AC2=regle!$F$11,regle!$F$23,IF(AC2=regle!$G$11,regle!$G$23,IF(AC2=regle!$H$11,regle!$H$23,IF(AC2=regle!$I$11,regle!$I$23,IF(AC2=regle!$J$11,regle!$J$23,0)))))))))))</f>
        <v>-169.65</v>
      </c>
      <c r="AN2" s="14">
        <f>IF($A2,$M2*(IF(AD2=regle!$B$11,regle!$B$23,IF(AD2=regle!$C$11,regle!$C$23,IF(AD2=regle!$D$11,regle!$D$23,IF(AD2=regle!$E$11,regle!$E$23,IF(AD2=regle!$F$11,regle!$F$23,IF(AD2=regle!$G$11,regle!$G$23,IF(AD2=regle!$H$11,regle!$H$23,IF(AD2=regle!$I$11,regle!$I$23,IF(AD2=regle!$J$11,regle!$J$23,0)))))))))))</f>
        <v>0</v>
      </c>
      <c r="AO2">
        <f>IF(AO$1=$AO$1,IF(regle!B$2-$Q2&gt;=regle!$J$12,-2,IF($S2,IF(regle!$B$2-$Q2&gt;=2,0,-1),regle!B$2-$Q2)),IF(AN2+1&gt;=regle!$J$12,-2,AN2+1))</f>
        <v>0</v>
      </c>
      <c r="AP2">
        <f>IF(AP$1=$AO$1,IF(regle!C$2-$Q2&gt;=regle!$J$12,-2,IF($S2,IF(regle!$B$2-$Q2&gt;=2,0,-1),regle!C$2-$Q2)),IF(AO2+1&gt;=regle!$J$12,-2,AO2+1))</f>
        <v>1</v>
      </c>
      <c r="AQ2">
        <f>IF(AQ$1=$AO$1,IF(regle!D$2-$Q2&gt;=regle!$J$12,-2,IF($S2,IF(regle!$B$2-$Q2&gt;=2,0,-1),regle!D$2-$Q2)),IF(AP2+1&gt;=regle!$J$12,-2,AP2+1))</f>
        <v>2</v>
      </c>
      <c r="AR2">
        <f>IF(AR$1=$AO$1,IF(regle!E$2-$Q2&gt;=regle!$J$12,-2,IF($S2,IF(regle!$B$2-$Q2&gt;=2,0,-1),regle!E$2-$Q2)),IF(AQ2+1&gt;=regle!$J$12,-2,AQ2+1))</f>
        <v>3</v>
      </c>
      <c r="AS2">
        <f>IF(AS$1=$AO$1,IF(regle!F$2-$Q2&gt;=regle!$J$12,-2,IF($S2,IF(regle!$B$2-$Q2&gt;=2,0,-1),regle!F$2-$Q2)),IF(AR2+1&gt;=regle!$J$12,-2,AR2+1))</f>
        <v>4</v>
      </c>
      <c r="AT2">
        <f>IF(AT$1=$AO$1,IF(regle!G$2-$Q2&gt;=regle!$J$12,-2,IF($S2,IF(regle!$B$2-$Q2&gt;=2,0,-1),regle!G$2-$Q2)),IF(AS2+1&gt;=regle!$J$12,-2,AS2+1))</f>
        <v>5</v>
      </c>
      <c r="AU2">
        <f>IF(AU$1=$AO$1,IF(regle!H$2-$Q2&gt;=regle!$J$12,-2,IF($S2,IF(regle!$B$2-$Q2&gt;=2,0,-1),regle!H$2-$Q2)),IF(AT2+1&gt;=regle!$J$12,-2,AT2+1))</f>
        <v>6</v>
      </c>
      <c r="AV2">
        <f>IF(AV$1=$AO$1,IF(regle!I$2-$Q2&gt;=regle!$J$12,-2,IF($S2,IF(regle!$B$2-$Q2&gt;=2,0,-1),regle!I$2-$Q2)),IF(AU2+1&gt;=regle!$J$12,-2,AU2+1))</f>
        <v>7</v>
      </c>
      <c r="AW2">
        <f>IF(AW$1=$AO$1,IF(regle!J$2-$Q2&gt;=regle!$J$12,-2,IF($S2,IF(regle!$B$2-$Q2&gt;=2,0,-1),regle!J$2-$Q2)),IF(AV2+1&gt;=regle!$J$12,-2,AV2+1))</f>
        <v>8</v>
      </c>
      <c r="AX2">
        <f>IF(AX$1=$AO$1,IF(regle!K$2-$Q2&gt;=regle!$J$12,-2,IF($S2,IF(regle!$B$2-$Q2&gt;=2,0,-1),regle!K$2-$Q2)),IF(AW2+1&gt;=regle!$J$12,-2,AW2+1))</f>
        <v>9</v>
      </c>
    </row>
    <row r="3" spans="1:50" x14ac:dyDescent="0.25">
      <c r="A3" t="b">
        <f>AND(modif0[[#This Row],[cdstr]]&lt;&gt;0,OR(regle!$H$27=FALSE,modif0[[#This Row],[essnc]]="PM"))</f>
        <v>1</v>
      </c>
      <c r="B3">
        <f>ROW(objet!A3)</f>
        <v>3</v>
      </c>
      <c r="C3" s="10" t="str">
        <f>objet!D3</f>
        <v>2020000A1224</v>
      </c>
      <c r="D3" t="str">
        <f>LEFT(modif0[[#This Row],[cdstr]],3)</f>
        <v>202</v>
      </c>
      <c r="E3" s="10" t="str">
        <f>objet!G3</f>
        <v>HOSTENS</v>
      </c>
      <c r="F3">
        <f>LEN(modif0[[#This Row],[l_dt]])</f>
        <v>10</v>
      </c>
      <c r="G3" s="10" t="str">
        <f>objet!H3</f>
        <v>LES DOUILS</v>
      </c>
      <c r="H3" s="10" t="str">
        <f>objet!C3</f>
        <v>A1224</v>
      </c>
      <c r="I3" t="str">
        <f>IF(ISNUMBER(VALUE(RIGHT(LEFT(modif0[[#This Row],[idntfn]],2),1))),_xlfn.CONCAT(0,LEFT(modif0[[#This Row],[idntfn]],1)),LEFT(modif0[[#This Row],[idntfn]],2))</f>
        <v>0A</v>
      </c>
      <c r="J3">
        <f>VALUE(LEFT(RIGHT(modif0[[#This Row],[idntfn]],LEN(modif0[[#This Row],[idntfn]])-IF(LEFT(modif0[[#This Row],[sctn]],1)="0",1,2)),LEN(modif0[[#This Row],[idntfn]])-IF(LEFT(modif0[[#This Row],[sctn]],1)="0",1,2)-LEN(modif0[[#This Row],[lttr]])))</f>
        <v>1224</v>
      </c>
      <c r="K3" t="str">
        <f>IF(ISNUMBER(VALUE(RIGHT(modif0[[#This Row],[idntfn]],1))),"",IF(ISNUMBER(VALUE(LEFT(RIGHT(modif0[[#This Row],[idntfn]],2),1))),RIGHT(modif0[[#This Row],[idntfn]],1),RIGHT(modif0[[#This Row],[idntfn]],2)))</f>
        <v/>
      </c>
      <c r="L3" s="10">
        <f>objet!I3</f>
        <v>14250</v>
      </c>
      <c r="M3" s="11">
        <f>modif0[[#This Row],[srfc]]/10000</f>
        <v>1.425</v>
      </c>
      <c r="N3" s="10" t="str">
        <f>objet!Z3</f>
        <v>PM</v>
      </c>
      <c r="O3" s="10" t="str">
        <f>objet!AA3</f>
        <v>CR2022</v>
      </c>
      <c r="P3" t="str">
        <f>IF(ISNUMBER(modif0[[#This Row],[trvx]]),"",LEFT(modif0[[#This Row],[trvx]],LEN(modif0[[#This Row],[trvx]])-4))</f>
        <v>CR</v>
      </c>
      <c r="Q3">
        <f>VALUE(RIGHT(modif0[[#This Row],[trvx]],4))</f>
        <v>2022</v>
      </c>
      <c r="R3" t="str">
        <f>_xlfn.CONCAT(modif0[[#This Row],[tp]],"-",modif0[[#This Row],[essnc]],"_",modif0[[#This Row],[anns]])</f>
        <v>CR-PM_2022</v>
      </c>
      <c r="S3" t="b">
        <f>modif0[[#This Row],[tp]]="CR"</f>
        <v>1</v>
      </c>
      <c r="T3">
        <v>40</v>
      </c>
      <c r="U3" t="str">
        <f>IF(NOT($A3),"",
IF(AO3=-2,regle!$J$11,
IF(AO3=regle!$B$12,regle!$B$11,
IF(AO3=regle!$C$12,regle!$C$11,
IF(AO3=regle!$D$12,regle!$D$11,
IF(AO3=regle!$E$12,regle!$E$11,
IF(AO3=regle!$F$12,regle!$F$11,
IF(AO3=regle!$G$12,regle!$G$11,
IF(AO3=regle!$H$12,regle!$H$11,
IF(AO3=regle!$I$12,regle!$I$11,""))))))))))</f>
        <v>RBST</v>
      </c>
      <c r="V3" t="str">
        <f>IF(NOT($A3),"",
IF(AP3=-2,regle!$J$11,
IF(AP3=regle!$B$12,regle!$B$11,
IF(AP3=regle!$C$12,regle!$C$11,
IF(AP3=regle!$D$12,regle!$D$11,
IF(AP3=regle!$E$12,regle!$E$11,
IF(AP3=regle!$F$12,regle!$F$11,
IF(AP3=regle!$G$12,regle!$G$11,
IF(AP3=regle!$H$12,regle!$H$11,
IF(AP3=regle!$I$12,regle!$I$11,""))))))))))</f>
        <v/>
      </c>
      <c r="W3" t="str">
        <f>IF(NOT($A3),"",
IF(AQ3=-2,regle!$J$11,
IF(AQ3=regle!$B$12,regle!$B$11,
IF(AQ3=regle!$C$12,regle!$C$11,
IF(AQ3=regle!$D$12,regle!$D$11,
IF(AQ3=regle!$E$12,regle!$E$11,
IF(AQ3=regle!$F$12,regle!$F$11,
IF(AQ3=regle!$G$12,regle!$G$11,
IF(AQ3=regle!$H$12,regle!$H$11,
IF(AQ3=regle!$I$12,regle!$I$11,""))))))))))</f>
        <v>DGT</v>
      </c>
      <c r="X3" t="str">
        <f>IF(NOT($A3),"",
IF(AR3=-2,regle!$J$11,
IF(AR3=regle!$B$12,regle!$B$11,
IF(AR3=regle!$C$12,regle!$C$11,
IF(AR3=regle!$D$12,regle!$D$11,
IF(AR3=regle!$E$12,regle!$E$11,
IF(AR3=regle!$F$12,regle!$F$11,
IF(AR3=regle!$G$12,regle!$G$11,
IF(AR3=regle!$H$12,regle!$H$11,
IF(AR3=regle!$I$12,regle!$I$11,""))))))))))</f>
        <v/>
      </c>
      <c r="Y3" t="str">
        <f>IF(NOT($A3),"",
IF(AS3=-2,regle!$J$11,
IF(AS3=regle!$B$12,regle!$B$11,
IF(AS3=regle!$C$12,regle!$C$11,
IF(AS3=regle!$D$12,regle!$D$11,
IF(AS3=regle!$E$12,regle!$E$11,
IF(AS3=regle!$F$12,regle!$F$11,
IF(AS3=regle!$G$12,regle!$G$11,
IF(AS3=regle!$H$12,regle!$H$11,
IF(AS3=regle!$I$12,regle!$I$11,""))))))))))</f>
        <v/>
      </c>
      <c r="Z3" t="str">
        <f>IF(NOT($A3),"",
IF(AT3=-2,regle!$J$11,
IF(AT3=regle!$B$12,regle!$B$11,
IF(AT3=regle!$C$12,regle!$C$11,
IF(AT3=regle!$D$12,regle!$D$11,
IF(AT3=regle!$E$12,regle!$E$11,
IF(AT3=regle!$F$12,regle!$F$11,
IF(AT3=regle!$G$12,regle!$G$11,
IF(AT3=regle!$H$12,regle!$H$11,
IF(AT3=regle!$I$12,regle!$I$11,""))))))))))</f>
        <v>ENT1</v>
      </c>
      <c r="AA3" t="str">
        <f>IF(NOT($A3),"",
IF(AU3=-2,regle!$J$11,
IF(AU3=regle!$B$12,regle!$B$11,
IF(AU3=regle!$C$12,regle!$C$11,
IF(AU3=regle!$D$12,regle!$D$11,
IF(AU3=regle!$E$12,regle!$E$11,
IF(AU3=regle!$F$12,regle!$F$11,
IF(AU3=regle!$G$12,regle!$G$11,
IF(AU3=regle!$H$12,regle!$H$11,
IF(AU3=regle!$I$12,regle!$I$11,""))))))))))</f>
        <v/>
      </c>
      <c r="AB3" t="str">
        <f>IF(NOT($A3),"",
IF(AV3=-2,regle!$J$11,
IF(AV3=regle!$B$12,regle!$B$11,
IF(AV3=regle!$C$12,regle!$C$11,
IF(AV3=regle!$D$12,regle!$D$11,
IF(AV3=regle!$E$12,regle!$E$11,
IF(AV3=regle!$F$12,regle!$F$11,
IF(AV3=regle!$G$12,regle!$G$11,
IF(AV3=regle!$H$12,regle!$H$11,
IF(AV3=regle!$I$12,regle!$I$11,""))))))))))</f>
        <v/>
      </c>
      <c r="AC3" t="str">
        <f>IF(NOT($A3),"",
IF(AW3=-2,regle!$J$11,
IF(AW3=regle!$B$12,regle!$B$11,
IF(AW3=regle!$C$12,regle!$C$11,
IF(AW3=regle!$D$12,regle!$D$11,
IF(AW3=regle!$E$12,regle!$E$11,
IF(AW3=regle!$F$12,regle!$F$11,
IF(AW3=regle!$G$12,regle!$G$11,
IF(AW3=regle!$H$12,regle!$H$11,
IF(AW3=regle!$I$12,regle!$I$11,""))))))))))</f>
        <v>ENT2</v>
      </c>
      <c r="AD3" t="str">
        <f>IF(NOT($A3),"",
IF(AX3=-2,regle!$J$11,
IF(AX3=regle!$B$12,regle!$B$11,
IF(AX3=regle!$C$12,regle!$C$11,
IF(AX3=regle!$D$12,regle!$D$11,
IF(AX3=regle!$E$12,regle!$E$11,
IF(AX3=regle!$F$12,regle!$F$11,
IF(AX3=regle!$G$12,regle!$G$11,
IF(AX3=regle!$H$12,regle!$H$11,
IF(AX3=regle!$I$12,regle!$I$11,""))))))))))</f>
        <v/>
      </c>
      <c r="AE3" s="14">
        <f>IF($A3,$M3*(IF(U3=regle!$B$11,regle!$B$23,IF(U3=regle!$C$11,regle!$C$23,IF(U3=regle!$D$11,regle!$D$23,IF(U3=regle!$E$11,regle!$E$23,IF(U3=regle!$F$11,regle!$F$23,IF(U3=regle!$G$11,regle!$G$23,IF(U3=regle!$H$11,regle!$H$23,IF(U3=regle!$I$11,regle!$I$23,IF(U3=regle!$J$11,regle!$J$23,0)))))))))))</f>
        <v>-2422.5</v>
      </c>
      <c r="AF3" s="14">
        <f>IF($A3,$M3*(IF(V3=regle!$B$11,regle!$B$23,IF(V3=regle!$C$11,regle!$C$23,IF(V3=regle!$D$11,regle!$D$23,IF(V3=regle!$E$11,regle!$E$23,IF(V3=regle!$F$11,regle!$F$23,IF(V3=regle!$G$11,regle!$G$23,IF(V3=regle!$H$11,regle!$H$23,IF(V3=regle!$I$11,regle!$I$23,IF(V3=regle!$J$11,regle!$J$23,0)))))))))))</f>
        <v>0</v>
      </c>
      <c r="AG3" s="14">
        <f>IF($A3,$M3*(IF(W3=regle!$B$11,regle!$B$23,IF(W3=regle!$C$11,regle!$C$23,IF(W3=regle!$D$11,regle!$D$23,IF(W3=regle!$E$11,regle!$E$23,IF(W3=regle!$F$11,regle!$F$23,IF(W3=regle!$G$11,regle!$G$23,IF(W3=regle!$H$11,regle!$H$23,IF(W3=regle!$I$11,regle!$I$23,IF(W3=regle!$J$11,regle!$J$23,0)))))))))))</f>
        <v>-106.875</v>
      </c>
      <c r="AH3" s="14">
        <f>IF($A3,$M3*(IF(X3=regle!$B$11,regle!$B$23,IF(X3=regle!$C$11,regle!$C$23,IF(X3=regle!$D$11,regle!$D$23,IF(X3=regle!$E$11,regle!$E$23,IF(X3=regle!$F$11,regle!$F$23,IF(X3=regle!$G$11,regle!$G$23,IF(X3=regle!$H$11,regle!$H$23,IF(X3=regle!$I$11,regle!$I$23,IF(X3=regle!$J$11,regle!$J$23,0)))))))))))</f>
        <v>0</v>
      </c>
      <c r="AI3" s="14">
        <f>IF($A3,$M3*(IF(Y3=regle!$B$11,regle!$B$23,IF(Y3=regle!$C$11,regle!$C$23,IF(Y3=regle!$D$11,regle!$D$23,IF(Y3=regle!$E$11,regle!$E$23,IF(Y3=regle!$F$11,regle!$F$23,IF(Y3=regle!$G$11,regle!$G$23,IF(Y3=regle!$H$11,regle!$H$23,IF(Y3=regle!$I$11,regle!$I$23,IF(Y3=regle!$J$11,regle!$J$23,0)))))))))))</f>
        <v>0</v>
      </c>
      <c r="AJ3" s="14">
        <f>IF($A3,$M3*(IF(Z3=regle!$B$11,regle!$B$23,IF(Z3=regle!$C$11,regle!$C$23,IF(Z3=regle!$D$11,regle!$D$23,IF(Z3=regle!$E$11,regle!$E$23,IF(Z3=regle!$F$11,regle!$F$23,IF(Z3=regle!$G$11,regle!$G$23,IF(Z3=regle!$H$11,regle!$H$23,IF(Z3=regle!$I$11,regle!$I$23,IF(Z3=regle!$J$11,regle!$J$23,0)))))))))))</f>
        <v>-128.25</v>
      </c>
      <c r="AK3" s="14">
        <f>IF($A3,$M3*(IF(AA3=regle!$B$11,regle!$B$23,IF(AA3=regle!$C$11,regle!$C$23,IF(AA3=regle!$D$11,regle!$D$23,IF(AA3=regle!$E$11,regle!$E$23,IF(AA3=regle!$F$11,regle!$F$23,IF(AA3=regle!$G$11,regle!$G$23,IF(AA3=regle!$H$11,regle!$H$23,IF(AA3=regle!$I$11,regle!$I$23,IF(AA3=regle!$J$11,regle!$J$23,0)))))))))))</f>
        <v>0</v>
      </c>
      <c r="AL3" s="14">
        <f>IF($A3,$M3*(IF(AB3=regle!$B$11,regle!$B$23,IF(AB3=regle!$C$11,regle!$C$23,IF(AB3=regle!$D$11,regle!$D$23,IF(AB3=regle!$E$11,regle!$E$23,IF(AB3=regle!$F$11,regle!$F$23,IF(AB3=regle!$G$11,regle!$G$23,IF(AB3=regle!$H$11,regle!$H$23,IF(AB3=regle!$I$11,regle!$I$23,IF(AB3=regle!$J$11,regle!$J$23,0)))))))))))</f>
        <v>0</v>
      </c>
      <c r="AM3" s="14">
        <f>IF($A3,$M3*(IF(AC3=regle!$B$11,regle!$B$23,IF(AC3=regle!$C$11,regle!$C$23,IF(AC3=regle!$D$11,regle!$D$23,IF(AC3=regle!$E$11,regle!$E$23,IF(AC3=regle!$F$11,regle!$F$23,IF(AC3=regle!$G$11,regle!$G$23,IF(AC3=regle!$H$11,regle!$H$23,IF(AC3=regle!$I$11,regle!$I$23,IF(AC3=regle!$J$11,regle!$J$23,0)))))))))))</f>
        <v>-128.25</v>
      </c>
      <c r="AN3" s="14">
        <f>IF($A3,$M3*(IF(AD3=regle!$B$11,regle!$B$23,IF(AD3=regle!$C$11,regle!$C$23,IF(AD3=regle!$D$11,regle!$D$23,IF(AD3=regle!$E$11,regle!$E$23,IF(AD3=regle!$F$11,regle!$F$23,IF(AD3=regle!$G$11,regle!$G$23,IF(AD3=regle!$H$11,regle!$H$23,IF(AD3=regle!$I$11,regle!$I$23,IF(AD3=regle!$J$11,regle!$J$23,0)))))))))))</f>
        <v>0</v>
      </c>
      <c r="AO3">
        <f>IF(AO$1=$AO$1,IF(regle!B$2-$Q3&gt;=regle!$J$12,-2,IF($S3,IF(regle!$B$2-$Q3&gt;=2,0,-1),regle!B$2-$Q3)),IF(AN3+1&gt;=regle!$J$12,-2,AN3+1))</f>
        <v>0</v>
      </c>
      <c r="AP3">
        <f>IF(AP$1=$AO$1,IF(regle!C$2-$Q3&gt;=regle!$J$12,-2,IF($S3,IF(regle!$B$2-$Q3&gt;=2,0,-1),regle!C$2-$Q3)),IF(AO3+1&gt;=regle!$J$12,-2,AO3+1))</f>
        <v>1</v>
      </c>
      <c r="AQ3">
        <f>IF(AQ$1=$AO$1,IF(regle!D$2-$Q3&gt;=regle!$J$12,-2,IF($S3,IF(regle!$B$2-$Q3&gt;=2,0,-1),regle!D$2-$Q3)),IF(AP3+1&gt;=regle!$J$12,-2,AP3+1))</f>
        <v>2</v>
      </c>
      <c r="AR3">
        <f>IF(AR$1=$AO$1,IF(regle!E$2-$Q3&gt;=regle!$J$12,-2,IF($S3,IF(regle!$B$2-$Q3&gt;=2,0,-1),regle!E$2-$Q3)),IF(AQ3+1&gt;=regle!$J$12,-2,AQ3+1))</f>
        <v>3</v>
      </c>
      <c r="AS3">
        <f>IF(AS$1=$AO$1,IF(regle!F$2-$Q3&gt;=regle!$J$12,-2,IF($S3,IF(regle!$B$2-$Q3&gt;=2,0,-1),regle!F$2-$Q3)),IF(AR3+1&gt;=regle!$J$12,-2,AR3+1))</f>
        <v>4</v>
      </c>
      <c r="AT3">
        <f>IF(AT$1=$AO$1,IF(regle!G$2-$Q3&gt;=regle!$J$12,-2,IF($S3,IF(regle!$B$2-$Q3&gt;=2,0,-1),regle!G$2-$Q3)),IF(AS3+1&gt;=regle!$J$12,-2,AS3+1))</f>
        <v>5</v>
      </c>
      <c r="AU3">
        <f>IF(AU$1=$AO$1,IF(regle!H$2-$Q3&gt;=regle!$J$12,-2,IF($S3,IF(regle!$B$2-$Q3&gt;=2,0,-1),regle!H$2-$Q3)),IF(AT3+1&gt;=regle!$J$12,-2,AT3+1))</f>
        <v>6</v>
      </c>
      <c r="AV3">
        <f>IF(AV$1=$AO$1,IF(regle!I$2-$Q3&gt;=regle!$J$12,-2,IF($S3,IF(regle!$B$2-$Q3&gt;=2,0,-1),regle!I$2-$Q3)),IF(AU3+1&gt;=regle!$J$12,-2,AU3+1))</f>
        <v>7</v>
      </c>
      <c r="AW3">
        <f>IF(AW$1=$AO$1,IF(regle!J$2-$Q3&gt;=regle!$J$12,-2,IF($S3,IF(regle!$B$2-$Q3&gt;=2,0,-1),regle!J$2-$Q3)),IF(AV3+1&gt;=regle!$J$12,-2,AV3+1))</f>
        <v>8</v>
      </c>
      <c r="AX3">
        <f>IF(AX$1=$AO$1,IF(regle!K$2-$Q3&gt;=regle!$J$12,-2,IF($S3,IF(regle!$B$2-$Q3&gt;=2,0,-1),regle!K$2-$Q3)),IF(AW3+1&gt;=regle!$J$12,-2,AW3+1))</f>
        <v>9</v>
      </c>
    </row>
    <row r="4" spans="1:50" x14ac:dyDescent="0.25">
      <c r="A4" t="b">
        <f>AND(modif0[[#This Row],[cdstr]]&lt;&gt;0,OR(regle!$H$27=FALSE,modif0[[#This Row],[essnc]]="PM"))</f>
        <v>1</v>
      </c>
      <c r="B4">
        <f>ROW(objet!A4)</f>
        <v>4</v>
      </c>
      <c r="C4" s="10" t="str">
        <f>objet!D4</f>
        <v>2020000A1293</v>
      </c>
      <c r="D4" t="str">
        <f>LEFT(modif0[[#This Row],[cdstr]],3)</f>
        <v>202</v>
      </c>
      <c r="E4" s="10" t="str">
        <f>objet!G4</f>
        <v>HOSTENS</v>
      </c>
      <c r="F4">
        <f>LEN(modif0[[#This Row],[l_dt]])</f>
        <v>11</v>
      </c>
      <c r="G4" s="10" t="str">
        <f>objet!H4</f>
        <v>L'ARGILEYRE</v>
      </c>
      <c r="H4" s="10" t="str">
        <f>objet!C4</f>
        <v>A1293k</v>
      </c>
      <c r="I4" t="str">
        <f>IF(ISNUMBER(VALUE(RIGHT(LEFT(modif0[[#This Row],[idntfn]],2),1))),_xlfn.CONCAT(0,LEFT(modif0[[#This Row],[idntfn]],1)),LEFT(modif0[[#This Row],[idntfn]],2))</f>
        <v>0A</v>
      </c>
      <c r="J4">
        <f>VALUE(LEFT(RIGHT(modif0[[#This Row],[idntfn]],LEN(modif0[[#This Row],[idntfn]])-IF(LEFT(modif0[[#This Row],[sctn]],1)="0",1,2)),LEN(modif0[[#This Row],[idntfn]])-IF(LEFT(modif0[[#This Row],[sctn]],1)="0",1,2)-LEN(modif0[[#This Row],[lttr]])))</f>
        <v>1293</v>
      </c>
      <c r="K4" t="str">
        <f>IF(ISNUMBER(VALUE(RIGHT(modif0[[#This Row],[idntfn]],1))),"",IF(ISNUMBER(VALUE(LEFT(RIGHT(modif0[[#This Row],[idntfn]],2),1))),RIGHT(modif0[[#This Row],[idntfn]],1),RIGHT(modif0[[#This Row],[idntfn]],2)))</f>
        <v>k</v>
      </c>
      <c r="L4" s="10">
        <f>objet!I4</f>
        <v>21432</v>
      </c>
      <c r="M4" s="11">
        <f>modif0[[#This Row],[srfc]]/10000</f>
        <v>2.1432000000000002</v>
      </c>
      <c r="N4" s="10" t="str">
        <f>objet!Z4</f>
        <v>PM</v>
      </c>
      <c r="O4" s="10" t="str">
        <f>objet!AA4</f>
        <v>CR2022</v>
      </c>
      <c r="P4" t="str">
        <f>IF(ISNUMBER(modif0[[#This Row],[trvx]]),"",LEFT(modif0[[#This Row],[trvx]],LEN(modif0[[#This Row],[trvx]])-4))</f>
        <v>CR</v>
      </c>
      <c r="Q4">
        <f>VALUE(RIGHT(modif0[[#This Row],[trvx]],4))</f>
        <v>2022</v>
      </c>
      <c r="R4" t="str">
        <f>_xlfn.CONCAT(modif0[[#This Row],[tp]],"-",modif0[[#This Row],[essnc]],"_",modif0[[#This Row],[anns]])</f>
        <v>CR-PM_2022</v>
      </c>
      <c r="S4" t="b">
        <f>modif0[[#This Row],[tp]]="CR"</f>
        <v>1</v>
      </c>
      <c r="T4">
        <v>40</v>
      </c>
      <c r="U4" t="str">
        <f>IF(NOT($A4),"",
IF(AO4=-2,regle!$J$11,
IF(AO4=regle!$B$12,regle!$B$11,
IF(AO4=regle!$C$12,regle!$C$11,
IF(AO4=regle!$D$12,regle!$D$11,
IF(AO4=regle!$E$12,regle!$E$11,
IF(AO4=regle!$F$12,regle!$F$11,
IF(AO4=regle!$G$12,regle!$G$11,
IF(AO4=regle!$H$12,regle!$H$11,
IF(AO4=regle!$I$12,regle!$I$11,""))))))))))</f>
        <v>RBST</v>
      </c>
      <c r="V4" t="str">
        <f>IF(NOT($A4),"",
IF(AP4=-2,regle!$J$11,
IF(AP4=regle!$B$12,regle!$B$11,
IF(AP4=regle!$C$12,regle!$C$11,
IF(AP4=regle!$D$12,regle!$D$11,
IF(AP4=regle!$E$12,regle!$E$11,
IF(AP4=regle!$F$12,regle!$F$11,
IF(AP4=regle!$G$12,regle!$G$11,
IF(AP4=regle!$H$12,regle!$H$11,
IF(AP4=regle!$I$12,regle!$I$11,""))))))))))</f>
        <v/>
      </c>
      <c r="W4" t="str">
        <f>IF(NOT($A4),"",
IF(AQ4=-2,regle!$J$11,
IF(AQ4=regle!$B$12,regle!$B$11,
IF(AQ4=regle!$C$12,regle!$C$11,
IF(AQ4=regle!$D$12,regle!$D$11,
IF(AQ4=regle!$E$12,regle!$E$11,
IF(AQ4=regle!$F$12,regle!$F$11,
IF(AQ4=regle!$G$12,regle!$G$11,
IF(AQ4=regle!$H$12,regle!$H$11,
IF(AQ4=regle!$I$12,regle!$I$11,""))))))))))</f>
        <v>DGT</v>
      </c>
      <c r="X4" t="str">
        <f>IF(NOT($A4),"",
IF(AR4=-2,regle!$J$11,
IF(AR4=regle!$B$12,regle!$B$11,
IF(AR4=regle!$C$12,regle!$C$11,
IF(AR4=regle!$D$12,regle!$D$11,
IF(AR4=regle!$E$12,regle!$E$11,
IF(AR4=regle!$F$12,regle!$F$11,
IF(AR4=regle!$G$12,regle!$G$11,
IF(AR4=regle!$H$12,regle!$H$11,
IF(AR4=regle!$I$12,regle!$I$11,""))))))))))</f>
        <v/>
      </c>
      <c r="Y4" t="str">
        <f>IF(NOT($A4),"",
IF(AS4=-2,regle!$J$11,
IF(AS4=regle!$B$12,regle!$B$11,
IF(AS4=regle!$C$12,regle!$C$11,
IF(AS4=regle!$D$12,regle!$D$11,
IF(AS4=regle!$E$12,regle!$E$11,
IF(AS4=regle!$F$12,regle!$F$11,
IF(AS4=regle!$G$12,regle!$G$11,
IF(AS4=regle!$H$12,regle!$H$11,
IF(AS4=regle!$I$12,regle!$I$11,""))))))))))</f>
        <v/>
      </c>
      <c r="Z4" t="str">
        <f>IF(NOT($A4),"",
IF(AT4=-2,regle!$J$11,
IF(AT4=regle!$B$12,regle!$B$11,
IF(AT4=regle!$C$12,regle!$C$11,
IF(AT4=regle!$D$12,regle!$D$11,
IF(AT4=regle!$E$12,regle!$E$11,
IF(AT4=regle!$F$12,regle!$F$11,
IF(AT4=regle!$G$12,regle!$G$11,
IF(AT4=regle!$H$12,regle!$H$11,
IF(AT4=regle!$I$12,regle!$I$11,""))))))))))</f>
        <v>ENT1</v>
      </c>
      <c r="AA4" t="str">
        <f>IF(NOT($A4),"",
IF(AU4=-2,regle!$J$11,
IF(AU4=regle!$B$12,regle!$B$11,
IF(AU4=regle!$C$12,regle!$C$11,
IF(AU4=regle!$D$12,regle!$D$11,
IF(AU4=regle!$E$12,regle!$E$11,
IF(AU4=regle!$F$12,regle!$F$11,
IF(AU4=regle!$G$12,regle!$G$11,
IF(AU4=regle!$H$12,regle!$H$11,
IF(AU4=regle!$I$12,regle!$I$11,""))))))))))</f>
        <v/>
      </c>
      <c r="AB4" t="str">
        <f>IF(NOT($A4),"",
IF(AV4=-2,regle!$J$11,
IF(AV4=regle!$B$12,regle!$B$11,
IF(AV4=regle!$C$12,regle!$C$11,
IF(AV4=regle!$D$12,regle!$D$11,
IF(AV4=regle!$E$12,regle!$E$11,
IF(AV4=regle!$F$12,regle!$F$11,
IF(AV4=regle!$G$12,regle!$G$11,
IF(AV4=regle!$H$12,regle!$H$11,
IF(AV4=regle!$I$12,regle!$I$11,""))))))))))</f>
        <v/>
      </c>
      <c r="AC4" t="str">
        <f>IF(NOT($A4),"",
IF(AW4=-2,regle!$J$11,
IF(AW4=regle!$B$12,regle!$B$11,
IF(AW4=regle!$C$12,regle!$C$11,
IF(AW4=regle!$D$12,regle!$D$11,
IF(AW4=regle!$E$12,regle!$E$11,
IF(AW4=regle!$F$12,regle!$F$11,
IF(AW4=regle!$G$12,regle!$G$11,
IF(AW4=regle!$H$12,regle!$H$11,
IF(AW4=regle!$I$12,regle!$I$11,""))))))))))</f>
        <v>ENT2</v>
      </c>
      <c r="AD4" t="str">
        <f>IF(NOT($A4),"",
IF(AX4=-2,regle!$J$11,
IF(AX4=regle!$B$12,regle!$B$11,
IF(AX4=regle!$C$12,regle!$C$11,
IF(AX4=regle!$D$12,regle!$D$11,
IF(AX4=regle!$E$12,regle!$E$11,
IF(AX4=regle!$F$12,regle!$F$11,
IF(AX4=regle!$G$12,regle!$G$11,
IF(AX4=regle!$H$12,regle!$H$11,
IF(AX4=regle!$I$12,regle!$I$11,""))))))))))</f>
        <v/>
      </c>
      <c r="AE4" s="14">
        <f>IF($A4,$M4*(IF(U4=regle!$B$11,regle!$B$23,IF(U4=regle!$C$11,regle!$C$23,IF(U4=regle!$D$11,regle!$D$23,IF(U4=regle!$E$11,regle!$E$23,IF(U4=regle!$F$11,regle!$F$23,IF(U4=regle!$G$11,regle!$G$23,IF(U4=regle!$H$11,regle!$H$23,IF(U4=regle!$I$11,regle!$I$23,IF(U4=regle!$J$11,regle!$J$23,0)))))))))))</f>
        <v>-3643.4400000000005</v>
      </c>
      <c r="AF4" s="14">
        <f>IF($A4,$M4*(IF(V4=regle!$B$11,regle!$B$23,IF(V4=regle!$C$11,regle!$C$23,IF(V4=regle!$D$11,regle!$D$23,IF(V4=regle!$E$11,regle!$E$23,IF(V4=regle!$F$11,regle!$F$23,IF(V4=regle!$G$11,regle!$G$23,IF(V4=regle!$H$11,regle!$H$23,IF(V4=regle!$I$11,regle!$I$23,IF(V4=regle!$J$11,regle!$J$23,0)))))))))))</f>
        <v>0</v>
      </c>
      <c r="AG4" s="14">
        <f>IF($A4,$M4*(IF(W4=regle!$B$11,regle!$B$23,IF(W4=regle!$C$11,regle!$C$23,IF(W4=regle!$D$11,regle!$D$23,IF(W4=regle!$E$11,regle!$E$23,IF(W4=regle!$F$11,regle!$F$23,IF(W4=regle!$G$11,regle!$G$23,IF(W4=regle!$H$11,regle!$H$23,IF(W4=regle!$I$11,regle!$I$23,IF(W4=regle!$J$11,regle!$J$23,0)))))))))))</f>
        <v>-160.74</v>
      </c>
      <c r="AH4" s="14">
        <f>IF($A4,$M4*(IF(X4=regle!$B$11,regle!$B$23,IF(X4=regle!$C$11,regle!$C$23,IF(X4=regle!$D$11,regle!$D$23,IF(X4=regle!$E$11,regle!$E$23,IF(X4=regle!$F$11,regle!$F$23,IF(X4=regle!$G$11,regle!$G$23,IF(X4=regle!$H$11,regle!$H$23,IF(X4=regle!$I$11,regle!$I$23,IF(X4=regle!$J$11,regle!$J$23,0)))))))))))</f>
        <v>0</v>
      </c>
      <c r="AI4" s="14">
        <f>IF($A4,$M4*(IF(Y4=regle!$B$11,regle!$B$23,IF(Y4=regle!$C$11,regle!$C$23,IF(Y4=regle!$D$11,regle!$D$23,IF(Y4=regle!$E$11,regle!$E$23,IF(Y4=regle!$F$11,regle!$F$23,IF(Y4=regle!$G$11,regle!$G$23,IF(Y4=regle!$H$11,regle!$H$23,IF(Y4=regle!$I$11,regle!$I$23,IF(Y4=regle!$J$11,regle!$J$23,0)))))))))))</f>
        <v>0</v>
      </c>
      <c r="AJ4" s="14">
        <f>IF($A4,$M4*(IF(Z4=regle!$B$11,regle!$B$23,IF(Z4=regle!$C$11,regle!$C$23,IF(Z4=regle!$D$11,regle!$D$23,IF(Z4=regle!$E$11,regle!$E$23,IF(Z4=regle!$F$11,regle!$F$23,IF(Z4=regle!$G$11,regle!$G$23,IF(Z4=regle!$H$11,regle!$H$23,IF(Z4=regle!$I$11,regle!$I$23,IF(Z4=regle!$J$11,regle!$J$23,0)))))))))))</f>
        <v>-192.88800000000003</v>
      </c>
      <c r="AK4" s="14">
        <f>IF($A4,$M4*(IF(AA4=regle!$B$11,regle!$B$23,IF(AA4=regle!$C$11,regle!$C$23,IF(AA4=regle!$D$11,regle!$D$23,IF(AA4=regle!$E$11,regle!$E$23,IF(AA4=regle!$F$11,regle!$F$23,IF(AA4=regle!$G$11,regle!$G$23,IF(AA4=regle!$H$11,regle!$H$23,IF(AA4=regle!$I$11,regle!$I$23,IF(AA4=regle!$J$11,regle!$J$23,0)))))))))))</f>
        <v>0</v>
      </c>
      <c r="AL4" s="14">
        <f>IF($A4,$M4*(IF(AB4=regle!$B$11,regle!$B$23,IF(AB4=regle!$C$11,regle!$C$23,IF(AB4=regle!$D$11,regle!$D$23,IF(AB4=regle!$E$11,regle!$E$23,IF(AB4=regle!$F$11,regle!$F$23,IF(AB4=regle!$G$11,regle!$G$23,IF(AB4=regle!$H$11,regle!$H$23,IF(AB4=regle!$I$11,regle!$I$23,IF(AB4=regle!$J$11,regle!$J$23,0)))))))))))</f>
        <v>0</v>
      </c>
      <c r="AM4" s="14">
        <f>IF($A4,$M4*(IF(AC4=regle!$B$11,regle!$B$23,IF(AC4=regle!$C$11,regle!$C$23,IF(AC4=regle!$D$11,regle!$D$23,IF(AC4=regle!$E$11,regle!$E$23,IF(AC4=regle!$F$11,regle!$F$23,IF(AC4=regle!$G$11,regle!$G$23,IF(AC4=regle!$H$11,regle!$H$23,IF(AC4=regle!$I$11,regle!$I$23,IF(AC4=regle!$J$11,regle!$J$23,0)))))))))))</f>
        <v>-192.88800000000003</v>
      </c>
      <c r="AN4" s="14">
        <f>IF($A4,$M4*(IF(AD4=regle!$B$11,regle!$B$23,IF(AD4=regle!$C$11,regle!$C$23,IF(AD4=regle!$D$11,regle!$D$23,IF(AD4=regle!$E$11,regle!$E$23,IF(AD4=regle!$F$11,regle!$F$23,IF(AD4=regle!$G$11,regle!$G$23,IF(AD4=regle!$H$11,regle!$H$23,IF(AD4=regle!$I$11,regle!$I$23,IF(AD4=regle!$J$11,regle!$J$23,0)))))))))))</f>
        <v>0</v>
      </c>
      <c r="AO4">
        <f>IF(AO$1=$AO$1,IF(regle!B$2-$Q4&gt;=regle!$J$12,-2,IF($S4,IF(regle!$B$2-$Q4&gt;=2,0,-1),regle!B$2-$Q4)),IF(AN4+1&gt;=regle!$J$12,-2,AN4+1))</f>
        <v>0</v>
      </c>
      <c r="AP4">
        <f>IF(AP$1=$AO$1,IF(regle!C$2-$Q4&gt;=regle!$J$12,-2,IF($S4,IF(regle!$B$2-$Q4&gt;=2,0,-1),regle!C$2-$Q4)),IF(AO4+1&gt;=regle!$J$12,-2,AO4+1))</f>
        <v>1</v>
      </c>
      <c r="AQ4">
        <f>IF(AQ$1=$AO$1,IF(regle!D$2-$Q4&gt;=regle!$J$12,-2,IF($S4,IF(regle!$B$2-$Q4&gt;=2,0,-1),regle!D$2-$Q4)),IF(AP4+1&gt;=regle!$J$12,-2,AP4+1))</f>
        <v>2</v>
      </c>
      <c r="AR4">
        <f>IF(AR$1=$AO$1,IF(regle!E$2-$Q4&gt;=regle!$J$12,-2,IF($S4,IF(regle!$B$2-$Q4&gt;=2,0,-1),regle!E$2-$Q4)),IF(AQ4+1&gt;=regle!$J$12,-2,AQ4+1))</f>
        <v>3</v>
      </c>
      <c r="AS4">
        <f>IF(AS$1=$AO$1,IF(regle!F$2-$Q4&gt;=regle!$J$12,-2,IF($S4,IF(regle!$B$2-$Q4&gt;=2,0,-1),regle!F$2-$Q4)),IF(AR4+1&gt;=regle!$J$12,-2,AR4+1))</f>
        <v>4</v>
      </c>
      <c r="AT4">
        <f>IF(AT$1=$AO$1,IF(regle!G$2-$Q4&gt;=regle!$J$12,-2,IF($S4,IF(regle!$B$2-$Q4&gt;=2,0,-1),regle!G$2-$Q4)),IF(AS4+1&gt;=regle!$J$12,-2,AS4+1))</f>
        <v>5</v>
      </c>
      <c r="AU4">
        <f>IF(AU$1=$AO$1,IF(regle!H$2-$Q4&gt;=regle!$J$12,-2,IF($S4,IF(regle!$B$2-$Q4&gt;=2,0,-1),regle!H$2-$Q4)),IF(AT4+1&gt;=regle!$J$12,-2,AT4+1))</f>
        <v>6</v>
      </c>
      <c r="AV4">
        <f>IF(AV$1=$AO$1,IF(regle!I$2-$Q4&gt;=regle!$J$12,-2,IF($S4,IF(regle!$B$2-$Q4&gt;=2,0,-1),regle!I$2-$Q4)),IF(AU4+1&gt;=regle!$J$12,-2,AU4+1))</f>
        <v>7</v>
      </c>
      <c r="AW4">
        <f>IF(AW$1=$AO$1,IF(regle!J$2-$Q4&gt;=regle!$J$12,-2,IF($S4,IF(regle!$B$2-$Q4&gt;=2,0,-1),regle!J$2-$Q4)),IF(AV4+1&gt;=regle!$J$12,-2,AV4+1))</f>
        <v>8</v>
      </c>
      <c r="AX4">
        <f>IF(AX$1=$AO$1,IF(regle!K$2-$Q4&gt;=regle!$J$12,-2,IF($S4,IF(regle!$B$2-$Q4&gt;=2,0,-1),regle!K$2-$Q4)),IF(AW4+1&gt;=regle!$J$12,-2,AW4+1))</f>
        <v>9</v>
      </c>
    </row>
    <row r="5" spans="1:50" x14ac:dyDescent="0.25">
      <c r="A5" t="b">
        <f>AND(modif0[[#This Row],[cdstr]]&lt;&gt;0,OR(regle!$H$27=FALSE,modif0[[#This Row],[essnc]]="PM"))</f>
        <v>1</v>
      </c>
      <c r="B5">
        <f>ROW(objet!A5)</f>
        <v>5</v>
      </c>
      <c r="C5" s="10" t="str">
        <f>objet!D5</f>
        <v>2020000A1293</v>
      </c>
      <c r="D5" t="str">
        <f>LEFT(modif0[[#This Row],[cdstr]],3)</f>
        <v>202</v>
      </c>
      <c r="E5" s="10" t="str">
        <f>objet!G5</f>
        <v>HOSTENS</v>
      </c>
      <c r="F5">
        <f>LEN(modif0[[#This Row],[l_dt]])</f>
        <v>11</v>
      </c>
      <c r="G5" s="10" t="str">
        <f>objet!H5</f>
        <v>L'ARGILEYRE</v>
      </c>
      <c r="H5" s="10" t="str">
        <f>objet!C5</f>
        <v>A1293l</v>
      </c>
      <c r="I5" t="str">
        <f>IF(ISNUMBER(VALUE(RIGHT(LEFT(modif0[[#This Row],[idntfn]],2),1))),_xlfn.CONCAT(0,LEFT(modif0[[#This Row],[idntfn]],1)),LEFT(modif0[[#This Row],[idntfn]],2))</f>
        <v>0A</v>
      </c>
      <c r="J5">
        <f>VALUE(LEFT(RIGHT(modif0[[#This Row],[idntfn]],LEN(modif0[[#This Row],[idntfn]])-IF(LEFT(modif0[[#This Row],[sctn]],1)="0",1,2)),LEN(modif0[[#This Row],[idntfn]])-IF(LEFT(modif0[[#This Row],[sctn]],1)="0",1,2)-LEN(modif0[[#This Row],[lttr]])))</f>
        <v>1293</v>
      </c>
      <c r="K5" t="str">
        <f>IF(ISNUMBER(VALUE(RIGHT(modif0[[#This Row],[idntfn]],1))),"",IF(ISNUMBER(VALUE(LEFT(RIGHT(modif0[[#This Row],[idntfn]],2),1))),RIGHT(modif0[[#This Row],[idntfn]],1),RIGHT(modif0[[#This Row],[idntfn]],2)))</f>
        <v>l</v>
      </c>
      <c r="L5" s="10">
        <f>objet!I5</f>
        <v>11172</v>
      </c>
      <c r="M5" s="11">
        <f>modif0[[#This Row],[srfc]]/10000</f>
        <v>1.1172</v>
      </c>
      <c r="N5" s="10" t="str">
        <f>objet!Z5</f>
        <v>PM</v>
      </c>
      <c r="O5" s="10" t="str">
        <f>objet!AA5</f>
        <v>CR2022</v>
      </c>
      <c r="P5" t="str">
        <f>IF(ISNUMBER(modif0[[#This Row],[trvx]]),"",LEFT(modif0[[#This Row],[trvx]],LEN(modif0[[#This Row],[trvx]])-4))</f>
        <v>CR</v>
      </c>
      <c r="Q5">
        <f>VALUE(RIGHT(modif0[[#This Row],[trvx]],4))</f>
        <v>2022</v>
      </c>
      <c r="R5" t="str">
        <f>_xlfn.CONCAT(modif0[[#This Row],[tp]],"-",modif0[[#This Row],[essnc]],"_",modif0[[#This Row],[anns]])</f>
        <v>CR-PM_2022</v>
      </c>
      <c r="S5" t="b">
        <f>modif0[[#This Row],[tp]]="CR"</f>
        <v>1</v>
      </c>
      <c r="T5">
        <v>40</v>
      </c>
      <c r="U5" t="str">
        <f>IF(NOT($A5),"",
IF(AO5=-2,regle!$J$11,
IF(AO5=regle!$B$12,regle!$B$11,
IF(AO5=regle!$C$12,regle!$C$11,
IF(AO5=regle!$D$12,regle!$D$11,
IF(AO5=regle!$E$12,regle!$E$11,
IF(AO5=regle!$F$12,regle!$F$11,
IF(AO5=regle!$G$12,regle!$G$11,
IF(AO5=regle!$H$12,regle!$H$11,
IF(AO5=regle!$I$12,regle!$I$11,""))))))))))</f>
        <v>RBST</v>
      </c>
      <c r="V5" t="str">
        <f>IF(NOT($A5),"",
IF(AP5=-2,regle!$J$11,
IF(AP5=regle!$B$12,regle!$B$11,
IF(AP5=regle!$C$12,regle!$C$11,
IF(AP5=regle!$D$12,regle!$D$11,
IF(AP5=regle!$E$12,regle!$E$11,
IF(AP5=regle!$F$12,regle!$F$11,
IF(AP5=regle!$G$12,regle!$G$11,
IF(AP5=regle!$H$12,regle!$H$11,
IF(AP5=regle!$I$12,regle!$I$11,""))))))))))</f>
        <v/>
      </c>
      <c r="W5" t="str">
        <f>IF(NOT($A5),"",
IF(AQ5=-2,regle!$J$11,
IF(AQ5=regle!$B$12,regle!$B$11,
IF(AQ5=regle!$C$12,regle!$C$11,
IF(AQ5=regle!$D$12,regle!$D$11,
IF(AQ5=regle!$E$12,regle!$E$11,
IF(AQ5=regle!$F$12,regle!$F$11,
IF(AQ5=regle!$G$12,regle!$G$11,
IF(AQ5=regle!$H$12,regle!$H$11,
IF(AQ5=regle!$I$12,regle!$I$11,""))))))))))</f>
        <v>DGT</v>
      </c>
      <c r="X5" t="str">
        <f>IF(NOT($A5),"",
IF(AR5=-2,regle!$J$11,
IF(AR5=regle!$B$12,regle!$B$11,
IF(AR5=regle!$C$12,regle!$C$11,
IF(AR5=regle!$D$12,regle!$D$11,
IF(AR5=regle!$E$12,regle!$E$11,
IF(AR5=regle!$F$12,regle!$F$11,
IF(AR5=regle!$G$12,regle!$G$11,
IF(AR5=regle!$H$12,regle!$H$11,
IF(AR5=regle!$I$12,regle!$I$11,""))))))))))</f>
        <v/>
      </c>
      <c r="Y5" t="str">
        <f>IF(NOT($A5),"",
IF(AS5=-2,regle!$J$11,
IF(AS5=regle!$B$12,regle!$B$11,
IF(AS5=regle!$C$12,regle!$C$11,
IF(AS5=regle!$D$12,regle!$D$11,
IF(AS5=regle!$E$12,regle!$E$11,
IF(AS5=regle!$F$12,regle!$F$11,
IF(AS5=regle!$G$12,regle!$G$11,
IF(AS5=regle!$H$12,regle!$H$11,
IF(AS5=regle!$I$12,regle!$I$11,""))))))))))</f>
        <v/>
      </c>
      <c r="Z5" t="str">
        <f>IF(NOT($A5),"",
IF(AT5=-2,regle!$J$11,
IF(AT5=regle!$B$12,regle!$B$11,
IF(AT5=regle!$C$12,regle!$C$11,
IF(AT5=regle!$D$12,regle!$D$11,
IF(AT5=regle!$E$12,regle!$E$11,
IF(AT5=regle!$F$12,regle!$F$11,
IF(AT5=regle!$G$12,regle!$G$11,
IF(AT5=regle!$H$12,regle!$H$11,
IF(AT5=regle!$I$12,regle!$I$11,""))))))))))</f>
        <v>ENT1</v>
      </c>
      <c r="AA5" t="str">
        <f>IF(NOT($A5),"",
IF(AU5=-2,regle!$J$11,
IF(AU5=regle!$B$12,regle!$B$11,
IF(AU5=regle!$C$12,regle!$C$11,
IF(AU5=regle!$D$12,regle!$D$11,
IF(AU5=regle!$E$12,regle!$E$11,
IF(AU5=regle!$F$12,regle!$F$11,
IF(AU5=regle!$G$12,regle!$G$11,
IF(AU5=regle!$H$12,regle!$H$11,
IF(AU5=regle!$I$12,regle!$I$11,""))))))))))</f>
        <v/>
      </c>
      <c r="AB5" t="str">
        <f>IF(NOT($A5),"",
IF(AV5=-2,regle!$J$11,
IF(AV5=regle!$B$12,regle!$B$11,
IF(AV5=regle!$C$12,regle!$C$11,
IF(AV5=regle!$D$12,regle!$D$11,
IF(AV5=regle!$E$12,regle!$E$11,
IF(AV5=regle!$F$12,regle!$F$11,
IF(AV5=regle!$G$12,regle!$G$11,
IF(AV5=regle!$H$12,regle!$H$11,
IF(AV5=regle!$I$12,regle!$I$11,""))))))))))</f>
        <v/>
      </c>
      <c r="AC5" t="str">
        <f>IF(NOT($A5),"",
IF(AW5=-2,regle!$J$11,
IF(AW5=regle!$B$12,regle!$B$11,
IF(AW5=regle!$C$12,regle!$C$11,
IF(AW5=regle!$D$12,regle!$D$11,
IF(AW5=regle!$E$12,regle!$E$11,
IF(AW5=regle!$F$12,regle!$F$11,
IF(AW5=regle!$G$12,regle!$G$11,
IF(AW5=regle!$H$12,regle!$H$11,
IF(AW5=regle!$I$12,regle!$I$11,""))))))))))</f>
        <v>ENT2</v>
      </c>
      <c r="AD5" t="str">
        <f>IF(NOT($A5),"",
IF(AX5=-2,regle!$J$11,
IF(AX5=regle!$B$12,regle!$B$11,
IF(AX5=regle!$C$12,regle!$C$11,
IF(AX5=regle!$D$12,regle!$D$11,
IF(AX5=regle!$E$12,regle!$E$11,
IF(AX5=regle!$F$12,regle!$F$11,
IF(AX5=regle!$G$12,regle!$G$11,
IF(AX5=regle!$H$12,regle!$H$11,
IF(AX5=regle!$I$12,regle!$I$11,""))))))))))</f>
        <v/>
      </c>
      <c r="AE5" s="14">
        <f>IF($A5,$M5*(IF(U5=regle!$B$11,regle!$B$23,IF(U5=regle!$C$11,regle!$C$23,IF(U5=regle!$D$11,regle!$D$23,IF(U5=regle!$E$11,regle!$E$23,IF(U5=regle!$F$11,regle!$F$23,IF(U5=regle!$G$11,regle!$G$23,IF(U5=regle!$H$11,regle!$H$23,IF(U5=regle!$I$11,regle!$I$23,IF(U5=regle!$J$11,regle!$J$23,0)))))))))))</f>
        <v>-1899.24</v>
      </c>
      <c r="AF5" s="14">
        <f>IF($A5,$M5*(IF(V5=regle!$B$11,regle!$B$23,IF(V5=regle!$C$11,regle!$C$23,IF(V5=regle!$D$11,regle!$D$23,IF(V5=regle!$E$11,regle!$E$23,IF(V5=regle!$F$11,regle!$F$23,IF(V5=regle!$G$11,regle!$G$23,IF(V5=regle!$H$11,regle!$H$23,IF(V5=regle!$I$11,regle!$I$23,IF(V5=regle!$J$11,regle!$J$23,0)))))))))))</f>
        <v>0</v>
      </c>
      <c r="AG5" s="14">
        <f>IF($A5,$M5*(IF(W5=regle!$B$11,regle!$B$23,IF(W5=regle!$C$11,regle!$C$23,IF(W5=regle!$D$11,regle!$D$23,IF(W5=regle!$E$11,regle!$E$23,IF(W5=regle!$F$11,regle!$F$23,IF(W5=regle!$G$11,regle!$G$23,IF(W5=regle!$H$11,regle!$H$23,IF(W5=regle!$I$11,regle!$I$23,IF(W5=regle!$J$11,regle!$J$23,0)))))))))))</f>
        <v>-83.789999999999992</v>
      </c>
      <c r="AH5" s="14">
        <f>IF($A5,$M5*(IF(X5=regle!$B$11,regle!$B$23,IF(X5=regle!$C$11,regle!$C$23,IF(X5=regle!$D$11,regle!$D$23,IF(X5=regle!$E$11,regle!$E$23,IF(X5=regle!$F$11,regle!$F$23,IF(X5=regle!$G$11,regle!$G$23,IF(X5=regle!$H$11,regle!$H$23,IF(X5=regle!$I$11,regle!$I$23,IF(X5=regle!$J$11,regle!$J$23,0)))))))))))</f>
        <v>0</v>
      </c>
      <c r="AI5" s="14">
        <f>IF($A5,$M5*(IF(Y5=regle!$B$11,regle!$B$23,IF(Y5=regle!$C$11,regle!$C$23,IF(Y5=regle!$D$11,regle!$D$23,IF(Y5=regle!$E$11,regle!$E$23,IF(Y5=regle!$F$11,regle!$F$23,IF(Y5=regle!$G$11,regle!$G$23,IF(Y5=regle!$H$11,regle!$H$23,IF(Y5=regle!$I$11,regle!$I$23,IF(Y5=regle!$J$11,regle!$J$23,0)))))))))))</f>
        <v>0</v>
      </c>
      <c r="AJ5" s="14">
        <f>IF($A5,$M5*(IF(Z5=regle!$B$11,regle!$B$23,IF(Z5=regle!$C$11,regle!$C$23,IF(Z5=regle!$D$11,regle!$D$23,IF(Z5=regle!$E$11,regle!$E$23,IF(Z5=regle!$F$11,regle!$F$23,IF(Z5=regle!$G$11,regle!$G$23,IF(Z5=regle!$H$11,regle!$H$23,IF(Z5=regle!$I$11,regle!$I$23,IF(Z5=regle!$J$11,regle!$J$23,0)))))))))))</f>
        <v>-100.548</v>
      </c>
      <c r="AK5" s="14">
        <f>IF($A5,$M5*(IF(AA5=regle!$B$11,regle!$B$23,IF(AA5=regle!$C$11,regle!$C$23,IF(AA5=regle!$D$11,regle!$D$23,IF(AA5=regle!$E$11,regle!$E$23,IF(AA5=regle!$F$11,regle!$F$23,IF(AA5=regle!$G$11,regle!$G$23,IF(AA5=regle!$H$11,regle!$H$23,IF(AA5=regle!$I$11,regle!$I$23,IF(AA5=regle!$J$11,regle!$J$23,0)))))))))))</f>
        <v>0</v>
      </c>
      <c r="AL5" s="14">
        <f>IF($A5,$M5*(IF(AB5=regle!$B$11,regle!$B$23,IF(AB5=regle!$C$11,regle!$C$23,IF(AB5=regle!$D$11,regle!$D$23,IF(AB5=regle!$E$11,regle!$E$23,IF(AB5=regle!$F$11,regle!$F$23,IF(AB5=regle!$G$11,regle!$G$23,IF(AB5=regle!$H$11,regle!$H$23,IF(AB5=regle!$I$11,regle!$I$23,IF(AB5=regle!$J$11,regle!$J$23,0)))))))))))</f>
        <v>0</v>
      </c>
      <c r="AM5" s="14">
        <f>IF($A5,$M5*(IF(AC5=regle!$B$11,regle!$B$23,IF(AC5=regle!$C$11,regle!$C$23,IF(AC5=regle!$D$11,regle!$D$23,IF(AC5=regle!$E$11,regle!$E$23,IF(AC5=regle!$F$11,regle!$F$23,IF(AC5=regle!$G$11,regle!$G$23,IF(AC5=regle!$H$11,regle!$H$23,IF(AC5=regle!$I$11,regle!$I$23,IF(AC5=regle!$J$11,regle!$J$23,0)))))))))))</f>
        <v>-100.548</v>
      </c>
      <c r="AN5" s="14">
        <f>IF($A5,$M5*(IF(AD5=regle!$B$11,regle!$B$23,IF(AD5=regle!$C$11,regle!$C$23,IF(AD5=regle!$D$11,regle!$D$23,IF(AD5=regle!$E$11,regle!$E$23,IF(AD5=regle!$F$11,regle!$F$23,IF(AD5=regle!$G$11,regle!$G$23,IF(AD5=regle!$H$11,regle!$H$23,IF(AD5=regle!$I$11,regle!$I$23,IF(AD5=regle!$J$11,regle!$J$23,0)))))))))))</f>
        <v>0</v>
      </c>
      <c r="AO5">
        <f>IF(AO$1=$AO$1,IF(regle!B$2-$Q5&gt;=regle!$J$12,-2,IF($S5,IF(regle!$B$2-$Q5&gt;=2,0,-1),regle!B$2-$Q5)),IF(AN5+1&gt;=regle!$J$12,-2,AN5+1))</f>
        <v>0</v>
      </c>
      <c r="AP5">
        <f>IF(AP$1=$AO$1,IF(regle!C$2-$Q5&gt;=regle!$J$12,-2,IF($S5,IF(regle!$B$2-$Q5&gt;=2,0,-1),regle!C$2-$Q5)),IF(AO5+1&gt;=regle!$J$12,-2,AO5+1))</f>
        <v>1</v>
      </c>
      <c r="AQ5">
        <f>IF(AQ$1=$AO$1,IF(regle!D$2-$Q5&gt;=regle!$J$12,-2,IF($S5,IF(regle!$B$2-$Q5&gt;=2,0,-1),regle!D$2-$Q5)),IF(AP5+1&gt;=regle!$J$12,-2,AP5+1))</f>
        <v>2</v>
      </c>
      <c r="AR5">
        <f>IF(AR$1=$AO$1,IF(regle!E$2-$Q5&gt;=regle!$J$12,-2,IF($S5,IF(regle!$B$2-$Q5&gt;=2,0,-1),regle!E$2-$Q5)),IF(AQ5+1&gt;=regle!$J$12,-2,AQ5+1))</f>
        <v>3</v>
      </c>
      <c r="AS5">
        <f>IF(AS$1=$AO$1,IF(regle!F$2-$Q5&gt;=regle!$J$12,-2,IF($S5,IF(regle!$B$2-$Q5&gt;=2,0,-1),regle!F$2-$Q5)),IF(AR5+1&gt;=regle!$J$12,-2,AR5+1))</f>
        <v>4</v>
      </c>
      <c r="AT5">
        <f>IF(AT$1=$AO$1,IF(regle!G$2-$Q5&gt;=regle!$J$12,-2,IF($S5,IF(regle!$B$2-$Q5&gt;=2,0,-1),regle!G$2-$Q5)),IF(AS5+1&gt;=regle!$J$12,-2,AS5+1))</f>
        <v>5</v>
      </c>
      <c r="AU5">
        <f>IF(AU$1=$AO$1,IF(regle!H$2-$Q5&gt;=regle!$J$12,-2,IF($S5,IF(regle!$B$2-$Q5&gt;=2,0,-1),regle!H$2-$Q5)),IF(AT5+1&gt;=regle!$J$12,-2,AT5+1))</f>
        <v>6</v>
      </c>
      <c r="AV5">
        <f>IF(AV$1=$AO$1,IF(regle!I$2-$Q5&gt;=regle!$J$12,-2,IF($S5,IF(regle!$B$2-$Q5&gt;=2,0,-1),regle!I$2-$Q5)),IF(AU5+1&gt;=regle!$J$12,-2,AU5+1))</f>
        <v>7</v>
      </c>
      <c r="AW5">
        <f>IF(AW$1=$AO$1,IF(regle!J$2-$Q5&gt;=regle!$J$12,-2,IF($S5,IF(regle!$B$2-$Q5&gt;=2,0,-1),regle!J$2-$Q5)),IF(AV5+1&gt;=regle!$J$12,-2,AV5+1))</f>
        <v>8</v>
      </c>
      <c r="AX5">
        <f>IF(AX$1=$AO$1,IF(regle!K$2-$Q5&gt;=regle!$J$12,-2,IF($S5,IF(regle!$B$2-$Q5&gt;=2,0,-1),regle!K$2-$Q5)),IF(AW5+1&gt;=regle!$J$12,-2,AW5+1))</f>
        <v>9</v>
      </c>
    </row>
    <row r="6" spans="1:50" x14ac:dyDescent="0.25">
      <c r="A6" t="b">
        <f>AND(modif0[[#This Row],[cdstr]]&lt;&gt;0,OR(regle!$H$27=FALSE,modif0[[#This Row],[essnc]]="PM"))</f>
        <v>1</v>
      </c>
      <c r="B6">
        <f>ROW(objet!A6)</f>
        <v>6</v>
      </c>
      <c r="C6" s="10" t="str">
        <f>objet!D6</f>
        <v>2020000A1294</v>
      </c>
      <c r="D6" t="str">
        <f>LEFT(modif0[[#This Row],[cdstr]],3)</f>
        <v>202</v>
      </c>
      <c r="E6" s="10" t="str">
        <f>objet!G6</f>
        <v>HOSTENS</v>
      </c>
      <c r="F6">
        <f>LEN(modif0[[#This Row],[l_dt]])</f>
        <v>11</v>
      </c>
      <c r="G6" s="10" t="str">
        <f>objet!H6</f>
        <v>L'ARGILEYRE</v>
      </c>
      <c r="H6" s="10" t="str">
        <f>objet!C6</f>
        <v>A1294k</v>
      </c>
      <c r="I6" t="str">
        <f>IF(ISNUMBER(VALUE(RIGHT(LEFT(modif0[[#This Row],[idntfn]],2),1))),_xlfn.CONCAT(0,LEFT(modif0[[#This Row],[idntfn]],1)),LEFT(modif0[[#This Row],[idntfn]],2))</f>
        <v>0A</v>
      </c>
      <c r="J6">
        <f>VALUE(LEFT(RIGHT(modif0[[#This Row],[idntfn]],LEN(modif0[[#This Row],[idntfn]])-IF(LEFT(modif0[[#This Row],[sctn]],1)="0",1,2)),LEN(modif0[[#This Row],[idntfn]])-IF(LEFT(modif0[[#This Row],[sctn]],1)="0",1,2)-LEN(modif0[[#This Row],[lttr]])))</f>
        <v>1294</v>
      </c>
      <c r="K6" t="str">
        <f>IF(ISNUMBER(VALUE(RIGHT(modif0[[#This Row],[idntfn]],1))),"",IF(ISNUMBER(VALUE(LEFT(RIGHT(modif0[[#This Row],[idntfn]],2),1))),RIGHT(modif0[[#This Row],[idntfn]],1),RIGHT(modif0[[#This Row],[idntfn]],2)))</f>
        <v>k</v>
      </c>
      <c r="L6" s="10">
        <f>objet!I6</f>
        <v>3341</v>
      </c>
      <c r="M6" s="11">
        <f>modif0[[#This Row],[srfc]]/10000</f>
        <v>0.33410000000000001</v>
      </c>
      <c r="N6" s="10" t="str">
        <f>objet!Z6</f>
        <v>PM</v>
      </c>
      <c r="O6" s="10" t="str">
        <f>objet!AA6</f>
        <v>CR2022</v>
      </c>
      <c r="P6" t="str">
        <f>IF(ISNUMBER(modif0[[#This Row],[trvx]]),"",LEFT(modif0[[#This Row],[trvx]],LEN(modif0[[#This Row],[trvx]])-4))</f>
        <v>CR</v>
      </c>
      <c r="Q6">
        <f>VALUE(RIGHT(modif0[[#This Row],[trvx]],4))</f>
        <v>2022</v>
      </c>
      <c r="R6" t="str">
        <f>_xlfn.CONCAT(modif0[[#This Row],[tp]],"-",modif0[[#This Row],[essnc]],"_",modif0[[#This Row],[anns]])</f>
        <v>CR-PM_2022</v>
      </c>
      <c r="S6" t="b">
        <f>modif0[[#This Row],[tp]]="CR"</f>
        <v>1</v>
      </c>
      <c r="T6">
        <v>40</v>
      </c>
      <c r="U6" t="str">
        <f>IF(NOT($A6),"",
IF(AO6=-2,regle!$J$11,
IF(AO6=regle!$B$12,regle!$B$11,
IF(AO6=regle!$C$12,regle!$C$11,
IF(AO6=regle!$D$12,regle!$D$11,
IF(AO6=regle!$E$12,regle!$E$11,
IF(AO6=regle!$F$12,regle!$F$11,
IF(AO6=regle!$G$12,regle!$G$11,
IF(AO6=regle!$H$12,regle!$H$11,
IF(AO6=regle!$I$12,regle!$I$11,""))))))))))</f>
        <v>RBST</v>
      </c>
      <c r="V6" t="str">
        <f>IF(NOT($A6),"",
IF(AP6=-2,regle!$J$11,
IF(AP6=regle!$B$12,regle!$B$11,
IF(AP6=regle!$C$12,regle!$C$11,
IF(AP6=regle!$D$12,regle!$D$11,
IF(AP6=regle!$E$12,regle!$E$11,
IF(AP6=regle!$F$12,regle!$F$11,
IF(AP6=regle!$G$12,regle!$G$11,
IF(AP6=regle!$H$12,regle!$H$11,
IF(AP6=regle!$I$12,regle!$I$11,""))))))))))</f>
        <v/>
      </c>
      <c r="W6" t="str">
        <f>IF(NOT($A6),"",
IF(AQ6=-2,regle!$J$11,
IF(AQ6=regle!$B$12,regle!$B$11,
IF(AQ6=regle!$C$12,regle!$C$11,
IF(AQ6=regle!$D$12,regle!$D$11,
IF(AQ6=regle!$E$12,regle!$E$11,
IF(AQ6=regle!$F$12,regle!$F$11,
IF(AQ6=regle!$G$12,regle!$G$11,
IF(AQ6=regle!$H$12,regle!$H$11,
IF(AQ6=regle!$I$12,regle!$I$11,""))))))))))</f>
        <v>DGT</v>
      </c>
      <c r="X6" t="str">
        <f>IF(NOT($A6),"",
IF(AR6=-2,regle!$J$11,
IF(AR6=regle!$B$12,regle!$B$11,
IF(AR6=regle!$C$12,regle!$C$11,
IF(AR6=regle!$D$12,regle!$D$11,
IF(AR6=regle!$E$12,regle!$E$11,
IF(AR6=regle!$F$12,regle!$F$11,
IF(AR6=regle!$G$12,regle!$G$11,
IF(AR6=regle!$H$12,regle!$H$11,
IF(AR6=regle!$I$12,regle!$I$11,""))))))))))</f>
        <v/>
      </c>
      <c r="Y6" t="str">
        <f>IF(NOT($A6),"",
IF(AS6=-2,regle!$J$11,
IF(AS6=regle!$B$12,regle!$B$11,
IF(AS6=regle!$C$12,regle!$C$11,
IF(AS6=regle!$D$12,regle!$D$11,
IF(AS6=regle!$E$12,regle!$E$11,
IF(AS6=regle!$F$12,regle!$F$11,
IF(AS6=regle!$G$12,regle!$G$11,
IF(AS6=regle!$H$12,regle!$H$11,
IF(AS6=regle!$I$12,regle!$I$11,""))))))))))</f>
        <v/>
      </c>
      <c r="Z6" t="str">
        <f>IF(NOT($A6),"",
IF(AT6=-2,regle!$J$11,
IF(AT6=regle!$B$12,regle!$B$11,
IF(AT6=regle!$C$12,regle!$C$11,
IF(AT6=regle!$D$12,regle!$D$11,
IF(AT6=regle!$E$12,regle!$E$11,
IF(AT6=regle!$F$12,regle!$F$11,
IF(AT6=regle!$G$12,regle!$G$11,
IF(AT6=regle!$H$12,regle!$H$11,
IF(AT6=regle!$I$12,regle!$I$11,""))))))))))</f>
        <v>ENT1</v>
      </c>
      <c r="AA6" t="str">
        <f>IF(NOT($A6),"",
IF(AU6=-2,regle!$J$11,
IF(AU6=regle!$B$12,regle!$B$11,
IF(AU6=regle!$C$12,regle!$C$11,
IF(AU6=regle!$D$12,regle!$D$11,
IF(AU6=regle!$E$12,regle!$E$11,
IF(AU6=regle!$F$12,regle!$F$11,
IF(AU6=regle!$G$12,regle!$G$11,
IF(AU6=regle!$H$12,regle!$H$11,
IF(AU6=regle!$I$12,regle!$I$11,""))))))))))</f>
        <v/>
      </c>
      <c r="AB6" t="str">
        <f>IF(NOT($A6),"",
IF(AV6=-2,regle!$J$11,
IF(AV6=regle!$B$12,regle!$B$11,
IF(AV6=regle!$C$12,regle!$C$11,
IF(AV6=regle!$D$12,regle!$D$11,
IF(AV6=regle!$E$12,regle!$E$11,
IF(AV6=regle!$F$12,regle!$F$11,
IF(AV6=regle!$G$12,regle!$G$11,
IF(AV6=regle!$H$12,regle!$H$11,
IF(AV6=regle!$I$12,regle!$I$11,""))))))))))</f>
        <v/>
      </c>
      <c r="AC6" t="str">
        <f>IF(NOT($A6),"",
IF(AW6=-2,regle!$J$11,
IF(AW6=regle!$B$12,regle!$B$11,
IF(AW6=regle!$C$12,regle!$C$11,
IF(AW6=regle!$D$12,regle!$D$11,
IF(AW6=regle!$E$12,regle!$E$11,
IF(AW6=regle!$F$12,regle!$F$11,
IF(AW6=regle!$G$12,regle!$G$11,
IF(AW6=regle!$H$12,regle!$H$11,
IF(AW6=regle!$I$12,regle!$I$11,""))))))))))</f>
        <v>ENT2</v>
      </c>
      <c r="AD6" t="str">
        <f>IF(NOT($A6),"",
IF(AX6=-2,regle!$J$11,
IF(AX6=regle!$B$12,regle!$B$11,
IF(AX6=regle!$C$12,regle!$C$11,
IF(AX6=regle!$D$12,regle!$D$11,
IF(AX6=regle!$E$12,regle!$E$11,
IF(AX6=regle!$F$12,regle!$F$11,
IF(AX6=regle!$G$12,regle!$G$11,
IF(AX6=regle!$H$12,regle!$H$11,
IF(AX6=regle!$I$12,regle!$I$11,""))))))))))</f>
        <v/>
      </c>
      <c r="AE6" s="14">
        <f>IF($A6,$M6*(IF(U6=regle!$B$11,regle!$B$23,IF(U6=regle!$C$11,regle!$C$23,IF(U6=regle!$D$11,regle!$D$23,IF(U6=regle!$E$11,regle!$E$23,IF(U6=regle!$F$11,regle!$F$23,IF(U6=regle!$G$11,regle!$G$23,IF(U6=regle!$H$11,regle!$H$23,IF(U6=regle!$I$11,regle!$I$23,IF(U6=regle!$J$11,regle!$J$23,0)))))))))))</f>
        <v>-567.97</v>
      </c>
      <c r="AF6" s="14">
        <f>IF($A6,$M6*(IF(V6=regle!$B$11,regle!$B$23,IF(V6=regle!$C$11,regle!$C$23,IF(V6=regle!$D$11,regle!$D$23,IF(V6=regle!$E$11,regle!$E$23,IF(V6=regle!$F$11,regle!$F$23,IF(V6=regle!$G$11,regle!$G$23,IF(V6=regle!$H$11,regle!$H$23,IF(V6=regle!$I$11,regle!$I$23,IF(V6=regle!$J$11,regle!$J$23,0)))))))))))</f>
        <v>0</v>
      </c>
      <c r="AG6" s="14">
        <f>IF($A6,$M6*(IF(W6=regle!$B$11,regle!$B$23,IF(W6=regle!$C$11,regle!$C$23,IF(W6=regle!$D$11,regle!$D$23,IF(W6=regle!$E$11,regle!$E$23,IF(W6=regle!$F$11,regle!$F$23,IF(W6=regle!$G$11,regle!$G$23,IF(W6=regle!$H$11,regle!$H$23,IF(W6=regle!$I$11,regle!$I$23,IF(W6=regle!$J$11,regle!$J$23,0)))))))))))</f>
        <v>-25.057500000000001</v>
      </c>
      <c r="AH6" s="14">
        <f>IF($A6,$M6*(IF(X6=regle!$B$11,regle!$B$23,IF(X6=regle!$C$11,regle!$C$23,IF(X6=regle!$D$11,regle!$D$23,IF(X6=regle!$E$11,regle!$E$23,IF(X6=regle!$F$11,regle!$F$23,IF(X6=regle!$G$11,regle!$G$23,IF(X6=regle!$H$11,regle!$H$23,IF(X6=regle!$I$11,regle!$I$23,IF(X6=regle!$J$11,regle!$J$23,0)))))))))))</f>
        <v>0</v>
      </c>
      <c r="AI6" s="14">
        <f>IF($A6,$M6*(IF(Y6=regle!$B$11,regle!$B$23,IF(Y6=regle!$C$11,regle!$C$23,IF(Y6=regle!$D$11,regle!$D$23,IF(Y6=regle!$E$11,regle!$E$23,IF(Y6=regle!$F$11,regle!$F$23,IF(Y6=regle!$G$11,regle!$G$23,IF(Y6=regle!$H$11,regle!$H$23,IF(Y6=regle!$I$11,regle!$I$23,IF(Y6=regle!$J$11,regle!$J$23,0)))))))))))</f>
        <v>0</v>
      </c>
      <c r="AJ6" s="14">
        <f>IF($A6,$M6*(IF(Z6=regle!$B$11,regle!$B$23,IF(Z6=regle!$C$11,regle!$C$23,IF(Z6=regle!$D$11,regle!$D$23,IF(Z6=regle!$E$11,regle!$E$23,IF(Z6=regle!$F$11,regle!$F$23,IF(Z6=regle!$G$11,regle!$G$23,IF(Z6=regle!$H$11,regle!$H$23,IF(Z6=regle!$I$11,regle!$I$23,IF(Z6=regle!$J$11,regle!$J$23,0)))))))))))</f>
        <v>-30.068999999999999</v>
      </c>
      <c r="AK6" s="14">
        <f>IF($A6,$M6*(IF(AA6=regle!$B$11,regle!$B$23,IF(AA6=regle!$C$11,regle!$C$23,IF(AA6=regle!$D$11,regle!$D$23,IF(AA6=regle!$E$11,regle!$E$23,IF(AA6=regle!$F$11,regle!$F$23,IF(AA6=regle!$G$11,regle!$G$23,IF(AA6=regle!$H$11,regle!$H$23,IF(AA6=regle!$I$11,regle!$I$23,IF(AA6=regle!$J$11,regle!$J$23,0)))))))))))</f>
        <v>0</v>
      </c>
      <c r="AL6" s="14">
        <f>IF($A6,$M6*(IF(AB6=regle!$B$11,regle!$B$23,IF(AB6=regle!$C$11,regle!$C$23,IF(AB6=regle!$D$11,regle!$D$23,IF(AB6=regle!$E$11,regle!$E$23,IF(AB6=regle!$F$11,regle!$F$23,IF(AB6=regle!$G$11,regle!$G$23,IF(AB6=regle!$H$11,regle!$H$23,IF(AB6=regle!$I$11,regle!$I$23,IF(AB6=regle!$J$11,regle!$J$23,0)))))))))))</f>
        <v>0</v>
      </c>
      <c r="AM6" s="14">
        <f>IF($A6,$M6*(IF(AC6=regle!$B$11,regle!$B$23,IF(AC6=regle!$C$11,regle!$C$23,IF(AC6=regle!$D$11,regle!$D$23,IF(AC6=regle!$E$11,regle!$E$23,IF(AC6=regle!$F$11,regle!$F$23,IF(AC6=regle!$G$11,regle!$G$23,IF(AC6=regle!$H$11,regle!$H$23,IF(AC6=regle!$I$11,regle!$I$23,IF(AC6=regle!$J$11,regle!$J$23,0)))))))))))</f>
        <v>-30.068999999999999</v>
      </c>
      <c r="AN6" s="14">
        <f>IF($A6,$M6*(IF(AD6=regle!$B$11,regle!$B$23,IF(AD6=regle!$C$11,regle!$C$23,IF(AD6=regle!$D$11,regle!$D$23,IF(AD6=regle!$E$11,regle!$E$23,IF(AD6=regle!$F$11,regle!$F$23,IF(AD6=regle!$G$11,regle!$G$23,IF(AD6=regle!$H$11,regle!$H$23,IF(AD6=regle!$I$11,regle!$I$23,IF(AD6=regle!$J$11,regle!$J$23,0)))))))))))</f>
        <v>0</v>
      </c>
      <c r="AO6">
        <f>IF(AO$1=$AO$1,IF(regle!B$2-$Q6&gt;=regle!$J$12,-2,IF($S6,IF(regle!$B$2-$Q6&gt;=2,0,-1),regle!B$2-$Q6)),IF(AN6+1&gt;=regle!$J$12,-2,AN6+1))</f>
        <v>0</v>
      </c>
      <c r="AP6">
        <f>IF(AP$1=$AO$1,IF(regle!C$2-$Q6&gt;=regle!$J$12,-2,IF($S6,IF(regle!$B$2-$Q6&gt;=2,0,-1),regle!C$2-$Q6)),IF(AO6+1&gt;=regle!$J$12,-2,AO6+1))</f>
        <v>1</v>
      </c>
      <c r="AQ6">
        <f>IF(AQ$1=$AO$1,IF(regle!D$2-$Q6&gt;=regle!$J$12,-2,IF($S6,IF(regle!$B$2-$Q6&gt;=2,0,-1),regle!D$2-$Q6)),IF(AP6+1&gt;=regle!$J$12,-2,AP6+1))</f>
        <v>2</v>
      </c>
      <c r="AR6">
        <f>IF(AR$1=$AO$1,IF(regle!E$2-$Q6&gt;=regle!$J$12,-2,IF($S6,IF(regle!$B$2-$Q6&gt;=2,0,-1),regle!E$2-$Q6)),IF(AQ6+1&gt;=regle!$J$12,-2,AQ6+1))</f>
        <v>3</v>
      </c>
      <c r="AS6">
        <f>IF(AS$1=$AO$1,IF(regle!F$2-$Q6&gt;=regle!$J$12,-2,IF($S6,IF(regle!$B$2-$Q6&gt;=2,0,-1),regle!F$2-$Q6)),IF(AR6+1&gt;=regle!$J$12,-2,AR6+1))</f>
        <v>4</v>
      </c>
      <c r="AT6">
        <f>IF(AT$1=$AO$1,IF(regle!G$2-$Q6&gt;=regle!$J$12,-2,IF($S6,IF(regle!$B$2-$Q6&gt;=2,0,-1),regle!G$2-$Q6)),IF(AS6+1&gt;=regle!$J$12,-2,AS6+1))</f>
        <v>5</v>
      </c>
      <c r="AU6">
        <f>IF(AU$1=$AO$1,IF(regle!H$2-$Q6&gt;=regle!$J$12,-2,IF($S6,IF(regle!$B$2-$Q6&gt;=2,0,-1),regle!H$2-$Q6)),IF(AT6+1&gt;=regle!$J$12,-2,AT6+1))</f>
        <v>6</v>
      </c>
      <c r="AV6">
        <f>IF(AV$1=$AO$1,IF(regle!I$2-$Q6&gt;=regle!$J$12,-2,IF($S6,IF(regle!$B$2-$Q6&gt;=2,0,-1),regle!I$2-$Q6)),IF(AU6+1&gt;=regle!$J$12,-2,AU6+1))</f>
        <v>7</v>
      </c>
      <c r="AW6">
        <f>IF(AW$1=$AO$1,IF(regle!J$2-$Q6&gt;=regle!$J$12,-2,IF($S6,IF(regle!$B$2-$Q6&gt;=2,0,-1),regle!J$2-$Q6)),IF(AV6+1&gt;=regle!$J$12,-2,AV6+1))</f>
        <v>8</v>
      </c>
      <c r="AX6">
        <f>IF(AX$1=$AO$1,IF(regle!K$2-$Q6&gt;=regle!$J$12,-2,IF($S6,IF(regle!$B$2-$Q6&gt;=2,0,-1),regle!K$2-$Q6)),IF(AW6+1&gt;=regle!$J$12,-2,AW6+1))</f>
        <v>9</v>
      </c>
    </row>
    <row r="7" spans="1:50" x14ac:dyDescent="0.25">
      <c r="A7" t="b">
        <f>AND(modif0[[#This Row],[cdstr]]&lt;&gt;0,OR(regle!$H$27=FALSE,modif0[[#This Row],[essnc]]="PM"))</f>
        <v>1</v>
      </c>
      <c r="B7">
        <f>ROW(objet!A7)</f>
        <v>7</v>
      </c>
      <c r="C7" s="10" t="str">
        <f>objet!D7</f>
        <v>2020000A1295</v>
      </c>
      <c r="D7" t="str">
        <f>LEFT(modif0[[#This Row],[cdstr]],3)</f>
        <v>202</v>
      </c>
      <c r="E7" s="10" t="str">
        <f>objet!G7</f>
        <v>HOSTENS</v>
      </c>
      <c r="F7">
        <f>LEN(modif0[[#This Row],[l_dt]])</f>
        <v>11</v>
      </c>
      <c r="G7" s="10" t="str">
        <f>objet!H7</f>
        <v>L'ARGILEYRE</v>
      </c>
      <c r="H7" s="10" t="str">
        <f>objet!C7</f>
        <v>A1295</v>
      </c>
      <c r="I7" t="str">
        <f>IF(ISNUMBER(VALUE(RIGHT(LEFT(modif0[[#This Row],[idntfn]],2),1))),_xlfn.CONCAT(0,LEFT(modif0[[#This Row],[idntfn]],1)),LEFT(modif0[[#This Row],[idntfn]],2))</f>
        <v>0A</v>
      </c>
      <c r="J7">
        <f>VALUE(LEFT(RIGHT(modif0[[#This Row],[idntfn]],LEN(modif0[[#This Row],[idntfn]])-IF(LEFT(modif0[[#This Row],[sctn]],1)="0",1,2)),LEN(modif0[[#This Row],[idntfn]])-IF(LEFT(modif0[[#This Row],[sctn]],1)="0",1,2)-LEN(modif0[[#This Row],[lttr]])))</f>
        <v>1295</v>
      </c>
      <c r="K7" t="str">
        <f>IF(ISNUMBER(VALUE(RIGHT(modif0[[#This Row],[idntfn]],1))),"",IF(ISNUMBER(VALUE(LEFT(RIGHT(modif0[[#This Row],[idntfn]],2),1))),RIGHT(modif0[[#This Row],[idntfn]],1),RIGHT(modif0[[#This Row],[idntfn]],2)))</f>
        <v/>
      </c>
      <c r="L7" s="10">
        <f>objet!I7</f>
        <v>3250</v>
      </c>
      <c r="M7" s="11">
        <f>modif0[[#This Row],[srfc]]/10000</f>
        <v>0.32500000000000001</v>
      </c>
      <c r="N7" s="10" t="str">
        <f>objet!Z7</f>
        <v>PM</v>
      </c>
      <c r="O7" s="10" t="str">
        <f>objet!AA7</f>
        <v>CR2022</v>
      </c>
      <c r="P7" t="str">
        <f>IF(ISNUMBER(modif0[[#This Row],[trvx]]),"",LEFT(modif0[[#This Row],[trvx]],LEN(modif0[[#This Row],[trvx]])-4))</f>
        <v>CR</v>
      </c>
      <c r="Q7">
        <f>VALUE(RIGHT(modif0[[#This Row],[trvx]],4))</f>
        <v>2022</v>
      </c>
      <c r="R7" t="str">
        <f>_xlfn.CONCAT(modif0[[#This Row],[tp]],"-",modif0[[#This Row],[essnc]],"_",modif0[[#This Row],[anns]])</f>
        <v>CR-PM_2022</v>
      </c>
      <c r="S7" t="b">
        <f>modif0[[#This Row],[tp]]="CR"</f>
        <v>1</v>
      </c>
      <c r="T7">
        <v>40</v>
      </c>
      <c r="U7" t="str">
        <f>IF(NOT($A7),"",
IF(AO7=-2,regle!$J$11,
IF(AO7=regle!$B$12,regle!$B$11,
IF(AO7=regle!$C$12,regle!$C$11,
IF(AO7=regle!$D$12,regle!$D$11,
IF(AO7=regle!$E$12,regle!$E$11,
IF(AO7=regle!$F$12,regle!$F$11,
IF(AO7=regle!$G$12,regle!$G$11,
IF(AO7=regle!$H$12,regle!$H$11,
IF(AO7=regle!$I$12,regle!$I$11,""))))))))))</f>
        <v>RBST</v>
      </c>
      <c r="V7" t="str">
        <f>IF(NOT($A7),"",
IF(AP7=-2,regle!$J$11,
IF(AP7=regle!$B$12,regle!$B$11,
IF(AP7=regle!$C$12,regle!$C$11,
IF(AP7=regle!$D$12,regle!$D$11,
IF(AP7=regle!$E$12,regle!$E$11,
IF(AP7=regle!$F$12,regle!$F$11,
IF(AP7=regle!$G$12,regle!$G$11,
IF(AP7=regle!$H$12,regle!$H$11,
IF(AP7=regle!$I$12,regle!$I$11,""))))))))))</f>
        <v/>
      </c>
      <c r="W7" t="str">
        <f>IF(NOT($A7),"",
IF(AQ7=-2,regle!$J$11,
IF(AQ7=regle!$B$12,regle!$B$11,
IF(AQ7=regle!$C$12,regle!$C$11,
IF(AQ7=regle!$D$12,regle!$D$11,
IF(AQ7=regle!$E$12,regle!$E$11,
IF(AQ7=regle!$F$12,regle!$F$11,
IF(AQ7=regle!$G$12,regle!$G$11,
IF(AQ7=regle!$H$12,regle!$H$11,
IF(AQ7=regle!$I$12,regle!$I$11,""))))))))))</f>
        <v>DGT</v>
      </c>
      <c r="X7" t="str">
        <f>IF(NOT($A7),"",
IF(AR7=-2,regle!$J$11,
IF(AR7=regle!$B$12,regle!$B$11,
IF(AR7=regle!$C$12,regle!$C$11,
IF(AR7=regle!$D$12,regle!$D$11,
IF(AR7=regle!$E$12,regle!$E$11,
IF(AR7=regle!$F$12,regle!$F$11,
IF(AR7=regle!$G$12,regle!$G$11,
IF(AR7=regle!$H$12,regle!$H$11,
IF(AR7=regle!$I$12,regle!$I$11,""))))))))))</f>
        <v/>
      </c>
      <c r="Y7" t="str">
        <f>IF(NOT($A7),"",
IF(AS7=-2,regle!$J$11,
IF(AS7=regle!$B$12,regle!$B$11,
IF(AS7=regle!$C$12,regle!$C$11,
IF(AS7=regle!$D$12,regle!$D$11,
IF(AS7=regle!$E$12,regle!$E$11,
IF(AS7=regle!$F$12,regle!$F$11,
IF(AS7=regle!$G$12,regle!$G$11,
IF(AS7=regle!$H$12,regle!$H$11,
IF(AS7=regle!$I$12,regle!$I$11,""))))))))))</f>
        <v/>
      </c>
      <c r="Z7" t="str">
        <f>IF(NOT($A7),"",
IF(AT7=-2,regle!$J$11,
IF(AT7=regle!$B$12,regle!$B$11,
IF(AT7=regle!$C$12,regle!$C$11,
IF(AT7=regle!$D$12,regle!$D$11,
IF(AT7=regle!$E$12,regle!$E$11,
IF(AT7=regle!$F$12,regle!$F$11,
IF(AT7=regle!$G$12,regle!$G$11,
IF(AT7=regle!$H$12,regle!$H$11,
IF(AT7=regle!$I$12,regle!$I$11,""))))))))))</f>
        <v>ENT1</v>
      </c>
      <c r="AA7" t="str">
        <f>IF(NOT($A7),"",
IF(AU7=-2,regle!$J$11,
IF(AU7=regle!$B$12,regle!$B$11,
IF(AU7=regle!$C$12,regle!$C$11,
IF(AU7=regle!$D$12,regle!$D$11,
IF(AU7=regle!$E$12,regle!$E$11,
IF(AU7=regle!$F$12,regle!$F$11,
IF(AU7=regle!$G$12,regle!$G$11,
IF(AU7=regle!$H$12,regle!$H$11,
IF(AU7=regle!$I$12,regle!$I$11,""))))))))))</f>
        <v/>
      </c>
      <c r="AB7" t="str">
        <f>IF(NOT($A7),"",
IF(AV7=-2,regle!$J$11,
IF(AV7=regle!$B$12,regle!$B$11,
IF(AV7=regle!$C$12,regle!$C$11,
IF(AV7=regle!$D$12,regle!$D$11,
IF(AV7=regle!$E$12,regle!$E$11,
IF(AV7=regle!$F$12,regle!$F$11,
IF(AV7=regle!$G$12,regle!$G$11,
IF(AV7=regle!$H$12,regle!$H$11,
IF(AV7=regle!$I$12,regle!$I$11,""))))))))))</f>
        <v/>
      </c>
      <c r="AC7" t="str">
        <f>IF(NOT($A7),"",
IF(AW7=-2,regle!$J$11,
IF(AW7=regle!$B$12,regle!$B$11,
IF(AW7=regle!$C$12,regle!$C$11,
IF(AW7=regle!$D$12,regle!$D$11,
IF(AW7=regle!$E$12,regle!$E$11,
IF(AW7=regle!$F$12,regle!$F$11,
IF(AW7=regle!$G$12,regle!$G$11,
IF(AW7=regle!$H$12,regle!$H$11,
IF(AW7=regle!$I$12,regle!$I$11,""))))))))))</f>
        <v>ENT2</v>
      </c>
      <c r="AD7" t="str">
        <f>IF(NOT($A7),"",
IF(AX7=-2,regle!$J$11,
IF(AX7=regle!$B$12,regle!$B$11,
IF(AX7=regle!$C$12,regle!$C$11,
IF(AX7=regle!$D$12,regle!$D$11,
IF(AX7=regle!$E$12,regle!$E$11,
IF(AX7=regle!$F$12,regle!$F$11,
IF(AX7=regle!$G$12,regle!$G$11,
IF(AX7=regle!$H$12,regle!$H$11,
IF(AX7=regle!$I$12,regle!$I$11,""))))))))))</f>
        <v/>
      </c>
      <c r="AE7" s="14">
        <f>IF($A7,$M7*(IF(U7=regle!$B$11,regle!$B$23,IF(U7=regle!$C$11,regle!$C$23,IF(U7=regle!$D$11,regle!$D$23,IF(U7=regle!$E$11,regle!$E$23,IF(U7=regle!$F$11,regle!$F$23,IF(U7=regle!$G$11,regle!$G$23,IF(U7=regle!$H$11,regle!$H$23,IF(U7=regle!$I$11,regle!$I$23,IF(U7=regle!$J$11,regle!$J$23,0)))))))))))</f>
        <v>-552.5</v>
      </c>
      <c r="AF7" s="14">
        <f>IF($A7,$M7*(IF(V7=regle!$B$11,regle!$B$23,IF(V7=regle!$C$11,regle!$C$23,IF(V7=regle!$D$11,regle!$D$23,IF(V7=regle!$E$11,regle!$E$23,IF(V7=regle!$F$11,regle!$F$23,IF(V7=regle!$G$11,regle!$G$23,IF(V7=regle!$H$11,regle!$H$23,IF(V7=regle!$I$11,regle!$I$23,IF(V7=regle!$J$11,regle!$J$23,0)))))))))))</f>
        <v>0</v>
      </c>
      <c r="AG7" s="14">
        <f>IF($A7,$M7*(IF(W7=regle!$B$11,regle!$B$23,IF(W7=regle!$C$11,regle!$C$23,IF(W7=regle!$D$11,regle!$D$23,IF(W7=regle!$E$11,regle!$E$23,IF(W7=regle!$F$11,regle!$F$23,IF(W7=regle!$G$11,regle!$G$23,IF(W7=regle!$H$11,regle!$H$23,IF(W7=regle!$I$11,regle!$I$23,IF(W7=regle!$J$11,regle!$J$23,0)))))))))))</f>
        <v>-24.375</v>
      </c>
      <c r="AH7" s="14">
        <f>IF($A7,$M7*(IF(X7=regle!$B$11,regle!$B$23,IF(X7=regle!$C$11,regle!$C$23,IF(X7=regle!$D$11,regle!$D$23,IF(X7=regle!$E$11,regle!$E$23,IF(X7=regle!$F$11,regle!$F$23,IF(X7=regle!$G$11,regle!$G$23,IF(X7=regle!$H$11,regle!$H$23,IF(X7=regle!$I$11,regle!$I$23,IF(X7=regle!$J$11,regle!$J$23,0)))))))))))</f>
        <v>0</v>
      </c>
      <c r="AI7" s="14">
        <f>IF($A7,$M7*(IF(Y7=regle!$B$11,regle!$B$23,IF(Y7=regle!$C$11,regle!$C$23,IF(Y7=regle!$D$11,regle!$D$23,IF(Y7=regle!$E$11,regle!$E$23,IF(Y7=regle!$F$11,regle!$F$23,IF(Y7=regle!$G$11,regle!$G$23,IF(Y7=regle!$H$11,regle!$H$23,IF(Y7=regle!$I$11,regle!$I$23,IF(Y7=regle!$J$11,regle!$J$23,0)))))))))))</f>
        <v>0</v>
      </c>
      <c r="AJ7" s="14">
        <f>IF($A7,$M7*(IF(Z7=regle!$B$11,regle!$B$23,IF(Z7=regle!$C$11,regle!$C$23,IF(Z7=regle!$D$11,regle!$D$23,IF(Z7=regle!$E$11,regle!$E$23,IF(Z7=regle!$F$11,regle!$F$23,IF(Z7=regle!$G$11,regle!$G$23,IF(Z7=regle!$H$11,regle!$H$23,IF(Z7=regle!$I$11,regle!$I$23,IF(Z7=regle!$J$11,regle!$J$23,0)))))))))))</f>
        <v>-29.25</v>
      </c>
      <c r="AK7" s="14">
        <f>IF($A7,$M7*(IF(AA7=regle!$B$11,regle!$B$23,IF(AA7=regle!$C$11,regle!$C$23,IF(AA7=regle!$D$11,regle!$D$23,IF(AA7=regle!$E$11,regle!$E$23,IF(AA7=regle!$F$11,regle!$F$23,IF(AA7=regle!$G$11,regle!$G$23,IF(AA7=regle!$H$11,regle!$H$23,IF(AA7=regle!$I$11,regle!$I$23,IF(AA7=regle!$J$11,regle!$J$23,0)))))))))))</f>
        <v>0</v>
      </c>
      <c r="AL7" s="14">
        <f>IF($A7,$M7*(IF(AB7=regle!$B$11,regle!$B$23,IF(AB7=regle!$C$11,regle!$C$23,IF(AB7=regle!$D$11,regle!$D$23,IF(AB7=regle!$E$11,regle!$E$23,IF(AB7=regle!$F$11,regle!$F$23,IF(AB7=regle!$G$11,regle!$G$23,IF(AB7=regle!$H$11,regle!$H$23,IF(AB7=regle!$I$11,regle!$I$23,IF(AB7=regle!$J$11,regle!$J$23,0)))))))))))</f>
        <v>0</v>
      </c>
      <c r="AM7" s="14">
        <f>IF($A7,$M7*(IF(AC7=regle!$B$11,regle!$B$23,IF(AC7=regle!$C$11,regle!$C$23,IF(AC7=regle!$D$11,regle!$D$23,IF(AC7=regle!$E$11,regle!$E$23,IF(AC7=regle!$F$11,regle!$F$23,IF(AC7=regle!$G$11,regle!$G$23,IF(AC7=regle!$H$11,regle!$H$23,IF(AC7=regle!$I$11,regle!$I$23,IF(AC7=regle!$J$11,regle!$J$23,0)))))))))))</f>
        <v>-29.25</v>
      </c>
      <c r="AN7" s="14">
        <f>IF($A7,$M7*(IF(AD7=regle!$B$11,regle!$B$23,IF(AD7=regle!$C$11,regle!$C$23,IF(AD7=regle!$D$11,regle!$D$23,IF(AD7=regle!$E$11,regle!$E$23,IF(AD7=regle!$F$11,regle!$F$23,IF(AD7=regle!$G$11,regle!$G$23,IF(AD7=regle!$H$11,regle!$H$23,IF(AD7=regle!$I$11,regle!$I$23,IF(AD7=regle!$J$11,regle!$J$23,0)))))))))))</f>
        <v>0</v>
      </c>
      <c r="AO7">
        <f>IF(AO$1=$AO$1,IF(regle!B$2-$Q7&gt;=regle!$J$12,-2,IF($S7,IF(regle!$B$2-$Q7&gt;=2,0,-1),regle!B$2-$Q7)),IF(AN7+1&gt;=regle!$J$12,-2,AN7+1))</f>
        <v>0</v>
      </c>
      <c r="AP7">
        <f>IF(AP$1=$AO$1,IF(regle!C$2-$Q7&gt;=regle!$J$12,-2,IF($S7,IF(regle!$B$2-$Q7&gt;=2,0,-1),regle!C$2-$Q7)),IF(AO7+1&gt;=regle!$J$12,-2,AO7+1))</f>
        <v>1</v>
      </c>
      <c r="AQ7">
        <f>IF(AQ$1=$AO$1,IF(regle!D$2-$Q7&gt;=regle!$J$12,-2,IF($S7,IF(regle!$B$2-$Q7&gt;=2,0,-1),regle!D$2-$Q7)),IF(AP7+1&gt;=regle!$J$12,-2,AP7+1))</f>
        <v>2</v>
      </c>
      <c r="AR7">
        <f>IF(AR$1=$AO$1,IF(regle!E$2-$Q7&gt;=regle!$J$12,-2,IF($S7,IF(regle!$B$2-$Q7&gt;=2,0,-1),regle!E$2-$Q7)),IF(AQ7+1&gt;=regle!$J$12,-2,AQ7+1))</f>
        <v>3</v>
      </c>
      <c r="AS7">
        <f>IF(AS$1=$AO$1,IF(regle!F$2-$Q7&gt;=regle!$J$12,-2,IF($S7,IF(regle!$B$2-$Q7&gt;=2,0,-1),regle!F$2-$Q7)),IF(AR7+1&gt;=regle!$J$12,-2,AR7+1))</f>
        <v>4</v>
      </c>
      <c r="AT7">
        <f>IF(AT$1=$AO$1,IF(regle!G$2-$Q7&gt;=regle!$J$12,-2,IF($S7,IF(regle!$B$2-$Q7&gt;=2,0,-1),regle!G$2-$Q7)),IF(AS7+1&gt;=regle!$J$12,-2,AS7+1))</f>
        <v>5</v>
      </c>
      <c r="AU7">
        <f>IF(AU$1=$AO$1,IF(regle!H$2-$Q7&gt;=regle!$J$12,-2,IF($S7,IF(regle!$B$2-$Q7&gt;=2,0,-1),regle!H$2-$Q7)),IF(AT7+1&gt;=regle!$J$12,-2,AT7+1))</f>
        <v>6</v>
      </c>
      <c r="AV7">
        <f>IF(AV$1=$AO$1,IF(regle!I$2-$Q7&gt;=regle!$J$12,-2,IF($S7,IF(regle!$B$2-$Q7&gt;=2,0,-1),regle!I$2-$Q7)),IF(AU7+1&gt;=regle!$J$12,-2,AU7+1))</f>
        <v>7</v>
      </c>
      <c r="AW7">
        <f>IF(AW$1=$AO$1,IF(regle!J$2-$Q7&gt;=regle!$J$12,-2,IF($S7,IF(regle!$B$2-$Q7&gt;=2,0,-1),regle!J$2-$Q7)),IF(AV7+1&gt;=regle!$J$12,-2,AV7+1))</f>
        <v>8</v>
      </c>
      <c r="AX7">
        <f>IF(AX$1=$AO$1,IF(regle!K$2-$Q7&gt;=regle!$J$12,-2,IF($S7,IF(regle!$B$2-$Q7&gt;=2,0,-1),regle!K$2-$Q7)),IF(AW7+1&gt;=regle!$J$12,-2,AW7+1))</f>
        <v>9</v>
      </c>
    </row>
    <row r="8" spans="1:50" x14ac:dyDescent="0.25">
      <c r="A8" t="b">
        <f>AND(modif0[[#This Row],[cdstr]]&lt;&gt;0,OR(regle!$H$27=FALSE,modif0[[#This Row],[essnc]]="PM"))</f>
        <v>1</v>
      </c>
      <c r="B8">
        <f>ROW(objet!A8)</f>
        <v>8</v>
      </c>
      <c r="C8" s="10" t="str">
        <f>objet!D8</f>
        <v>2020000A1298</v>
      </c>
      <c r="D8" t="str">
        <f>LEFT(modif0[[#This Row],[cdstr]],3)</f>
        <v>202</v>
      </c>
      <c r="E8" s="10" t="str">
        <f>objet!G8</f>
        <v>HOSTENS</v>
      </c>
      <c r="F8">
        <f>LEN(modif0[[#This Row],[l_dt]])</f>
        <v>11</v>
      </c>
      <c r="G8" s="10" t="str">
        <f>objet!H8</f>
        <v>L'ARGILEYRE</v>
      </c>
      <c r="H8" s="10" t="str">
        <f>objet!C8</f>
        <v>A1298</v>
      </c>
      <c r="I8" t="str">
        <f>IF(ISNUMBER(VALUE(RIGHT(LEFT(modif0[[#This Row],[idntfn]],2),1))),_xlfn.CONCAT(0,LEFT(modif0[[#This Row],[idntfn]],1)),LEFT(modif0[[#This Row],[idntfn]],2))</f>
        <v>0A</v>
      </c>
      <c r="J8">
        <f>VALUE(LEFT(RIGHT(modif0[[#This Row],[idntfn]],LEN(modif0[[#This Row],[idntfn]])-IF(LEFT(modif0[[#This Row],[sctn]],1)="0",1,2)),LEN(modif0[[#This Row],[idntfn]])-IF(LEFT(modif0[[#This Row],[sctn]],1)="0",1,2)-LEN(modif0[[#This Row],[lttr]])))</f>
        <v>1298</v>
      </c>
      <c r="K8" t="str">
        <f>IF(ISNUMBER(VALUE(RIGHT(modif0[[#This Row],[idntfn]],1))),"",IF(ISNUMBER(VALUE(LEFT(RIGHT(modif0[[#This Row],[idntfn]],2),1))),RIGHT(modif0[[#This Row],[idntfn]],1),RIGHT(modif0[[#This Row],[idntfn]],2)))</f>
        <v/>
      </c>
      <c r="L8" s="10">
        <f>objet!I8</f>
        <v>40000</v>
      </c>
      <c r="M8" s="11">
        <f>modif0[[#This Row],[srfc]]/10000</f>
        <v>4</v>
      </c>
      <c r="N8" s="10" t="str">
        <f>objet!Z8</f>
        <v>PM</v>
      </c>
      <c r="O8" s="10" t="str">
        <f>objet!AA8</f>
        <v>CR2022</v>
      </c>
      <c r="P8" t="str">
        <f>IF(ISNUMBER(modif0[[#This Row],[trvx]]),"",LEFT(modif0[[#This Row],[trvx]],LEN(modif0[[#This Row],[trvx]])-4))</f>
        <v>CR</v>
      </c>
      <c r="Q8">
        <f>VALUE(RIGHT(modif0[[#This Row],[trvx]],4))</f>
        <v>2022</v>
      </c>
      <c r="R8" t="str">
        <f>_xlfn.CONCAT(modif0[[#This Row],[tp]],"-",modif0[[#This Row],[essnc]],"_",modif0[[#This Row],[anns]])</f>
        <v>CR-PM_2022</v>
      </c>
      <c r="S8" t="b">
        <f>modif0[[#This Row],[tp]]="CR"</f>
        <v>1</v>
      </c>
      <c r="T8">
        <v>40</v>
      </c>
      <c r="U8" t="str">
        <f>IF(NOT($A8),"",
IF(AO8=-2,regle!$J$11,
IF(AO8=regle!$B$12,regle!$B$11,
IF(AO8=regle!$C$12,regle!$C$11,
IF(AO8=regle!$D$12,regle!$D$11,
IF(AO8=regle!$E$12,regle!$E$11,
IF(AO8=regle!$F$12,regle!$F$11,
IF(AO8=regle!$G$12,regle!$G$11,
IF(AO8=regle!$H$12,regle!$H$11,
IF(AO8=regle!$I$12,regle!$I$11,""))))))))))</f>
        <v>RBST</v>
      </c>
      <c r="V8" t="str">
        <f>IF(NOT($A8),"",
IF(AP8=-2,regle!$J$11,
IF(AP8=regle!$B$12,regle!$B$11,
IF(AP8=regle!$C$12,regle!$C$11,
IF(AP8=regle!$D$12,regle!$D$11,
IF(AP8=regle!$E$12,regle!$E$11,
IF(AP8=regle!$F$12,regle!$F$11,
IF(AP8=regle!$G$12,regle!$G$11,
IF(AP8=regle!$H$12,regle!$H$11,
IF(AP8=regle!$I$12,regle!$I$11,""))))))))))</f>
        <v/>
      </c>
      <c r="W8" t="str">
        <f>IF(NOT($A8),"",
IF(AQ8=-2,regle!$J$11,
IF(AQ8=regle!$B$12,regle!$B$11,
IF(AQ8=regle!$C$12,regle!$C$11,
IF(AQ8=regle!$D$12,regle!$D$11,
IF(AQ8=regle!$E$12,regle!$E$11,
IF(AQ8=regle!$F$12,regle!$F$11,
IF(AQ8=regle!$G$12,regle!$G$11,
IF(AQ8=regle!$H$12,regle!$H$11,
IF(AQ8=regle!$I$12,regle!$I$11,""))))))))))</f>
        <v>DGT</v>
      </c>
      <c r="X8" t="str">
        <f>IF(NOT($A8),"",
IF(AR8=-2,regle!$J$11,
IF(AR8=regle!$B$12,regle!$B$11,
IF(AR8=regle!$C$12,regle!$C$11,
IF(AR8=regle!$D$12,regle!$D$11,
IF(AR8=regle!$E$12,regle!$E$11,
IF(AR8=regle!$F$12,regle!$F$11,
IF(AR8=regle!$G$12,regle!$G$11,
IF(AR8=regle!$H$12,regle!$H$11,
IF(AR8=regle!$I$12,regle!$I$11,""))))))))))</f>
        <v/>
      </c>
      <c r="Y8" t="str">
        <f>IF(NOT($A8),"",
IF(AS8=-2,regle!$J$11,
IF(AS8=regle!$B$12,regle!$B$11,
IF(AS8=regle!$C$12,regle!$C$11,
IF(AS8=regle!$D$12,regle!$D$11,
IF(AS8=regle!$E$12,regle!$E$11,
IF(AS8=regle!$F$12,regle!$F$11,
IF(AS8=regle!$G$12,regle!$G$11,
IF(AS8=regle!$H$12,regle!$H$11,
IF(AS8=regle!$I$12,regle!$I$11,""))))))))))</f>
        <v/>
      </c>
      <c r="Z8" t="str">
        <f>IF(NOT($A8),"",
IF(AT8=-2,regle!$J$11,
IF(AT8=regle!$B$12,regle!$B$11,
IF(AT8=regle!$C$12,regle!$C$11,
IF(AT8=regle!$D$12,regle!$D$11,
IF(AT8=regle!$E$12,regle!$E$11,
IF(AT8=regle!$F$12,regle!$F$11,
IF(AT8=regle!$G$12,regle!$G$11,
IF(AT8=regle!$H$12,regle!$H$11,
IF(AT8=regle!$I$12,regle!$I$11,""))))))))))</f>
        <v>ENT1</v>
      </c>
      <c r="AA8" t="str">
        <f>IF(NOT($A8),"",
IF(AU8=-2,regle!$J$11,
IF(AU8=regle!$B$12,regle!$B$11,
IF(AU8=regle!$C$12,regle!$C$11,
IF(AU8=regle!$D$12,regle!$D$11,
IF(AU8=regle!$E$12,regle!$E$11,
IF(AU8=regle!$F$12,regle!$F$11,
IF(AU8=regle!$G$12,regle!$G$11,
IF(AU8=regle!$H$12,regle!$H$11,
IF(AU8=regle!$I$12,regle!$I$11,""))))))))))</f>
        <v/>
      </c>
      <c r="AB8" t="str">
        <f>IF(NOT($A8),"",
IF(AV8=-2,regle!$J$11,
IF(AV8=regle!$B$12,regle!$B$11,
IF(AV8=regle!$C$12,regle!$C$11,
IF(AV8=regle!$D$12,regle!$D$11,
IF(AV8=regle!$E$12,regle!$E$11,
IF(AV8=regle!$F$12,regle!$F$11,
IF(AV8=regle!$G$12,regle!$G$11,
IF(AV8=regle!$H$12,regle!$H$11,
IF(AV8=regle!$I$12,regle!$I$11,""))))))))))</f>
        <v/>
      </c>
      <c r="AC8" t="str">
        <f>IF(NOT($A8),"",
IF(AW8=-2,regle!$J$11,
IF(AW8=regle!$B$12,regle!$B$11,
IF(AW8=regle!$C$12,regle!$C$11,
IF(AW8=regle!$D$12,regle!$D$11,
IF(AW8=regle!$E$12,regle!$E$11,
IF(AW8=regle!$F$12,regle!$F$11,
IF(AW8=regle!$G$12,regle!$G$11,
IF(AW8=regle!$H$12,regle!$H$11,
IF(AW8=regle!$I$12,regle!$I$11,""))))))))))</f>
        <v>ENT2</v>
      </c>
      <c r="AD8" t="str">
        <f>IF(NOT($A8),"",
IF(AX8=-2,regle!$J$11,
IF(AX8=regle!$B$12,regle!$B$11,
IF(AX8=regle!$C$12,regle!$C$11,
IF(AX8=regle!$D$12,regle!$D$11,
IF(AX8=regle!$E$12,regle!$E$11,
IF(AX8=regle!$F$12,regle!$F$11,
IF(AX8=regle!$G$12,regle!$G$11,
IF(AX8=regle!$H$12,regle!$H$11,
IF(AX8=regle!$I$12,regle!$I$11,""))))))))))</f>
        <v/>
      </c>
      <c r="AE8" s="14">
        <f>IF($A8,$M8*(IF(U8=regle!$B$11,regle!$B$23,IF(U8=regle!$C$11,regle!$C$23,IF(U8=regle!$D$11,regle!$D$23,IF(U8=regle!$E$11,regle!$E$23,IF(U8=regle!$F$11,regle!$F$23,IF(U8=regle!$G$11,regle!$G$23,IF(U8=regle!$H$11,regle!$H$23,IF(U8=regle!$I$11,regle!$I$23,IF(U8=regle!$J$11,regle!$J$23,0)))))))))))</f>
        <v>-6800</v>
      </c>
      <c r="AF8" s="14">
        <f>IF($A8,$M8*(IF(V8=regle!$B$11,regle!$B$23,IF(V8=regle!$C$11,regle!$C$23,IF(V8=regle!$D$11,regle!$D$23,IF(V8=regle!$E$11,regle!$E$23,IF(V8=regle!$F$11,regle!$F$23,IF(V8=regle!$G$11,regle!$G$23,IF(V8=regle!$H$11,regle!$H$23,IF(V8=regle!$I$11,regle!$I$23,IF(V8=regle!$J$11,regle!$J$23,0)))))))))))</f>
        <v>0</v>
      </c>
      <c r="AG8" s="14">
        <f>IF($A8,$M8*(IF(W8=regle!$B$11,regle!$B$23,IF(W8=regle!$C$11,regle!$C$23,IF(W8=regle!$D$11,regle!$D$23,IF(W8=regle!$E$11,regle!$E$23,IF(W8=regle!$F$11,regle!$F$23,IF(W8=regle!$G$11,regle!$G$23,IF(W8=regle!$H$11,regle!$H$23,IF(W8=regle!$I$11,regle!$I$23,IF(W8=regle!$J$11,regle!$J$23,0)))))))))))</f>
        <v>-300</v>
      </c>
      <c r="AH8" s="14">
        <f>IF($A8,$M8*(IF(X8=regle!$B$11,regle!$B$23,IF(X8=regle!$C$11,regle!$C$23,IF(X8=regle!$D$11,regle!$D$23,IF(X8=regle!$E$11,regle!$E$23,IF(X8=regle!$F$11,regle!$F$23,IF(X8=regle!$G$11,regle!$G$23,IF(X8=regle!$H$11,regle!$H$23,IF(X8=regle!$I$11,regle!$I$23,IF(X8=regle!$J$11,regle!$J$23,0)))))))))))</f>
        <v>0</v>
      </c>
      <c r="AI8" s="14">
        <f>IF($A8,$M8*(IF(Y8=regle!$B$11,regle!$B$23,IF(Y8=regle!$C$11,regle!$C$23,IF(Y8=regle!$D$11,regle!$D$23,IF(Y8=regle!$E$11,regle!$E$23,IF(Y8=regle!$F$11,regle!$F$23,IF(Y8=regle!$G$11,regle!$G$23,IF(Y8=regle!$H$11,regle!$H$23,IF(Y8=regle!$I$11,regle!$I$23,IF(Y8=regle!$J$11,regle!$J$23,0)))))))))))</f>
        <v>0</v>
      </c>
      <c r="AJ8" s="14">
        <f>IF($A8,$M8*(IF(Z8=regle!$B$11,regle!$B$23,IF(Z8=regle!$C$11,regle!$C$23,IF(Z8=regle!$D$11,regle!$D$23,IF(Z8=regle!$E$11,regle!$E$23,IF(Z8=regle!$F$11,regle!$F$23,IF(Z8=regle!$G$11,regle!$G$23,IF(Z8=regle!$H$11,regle!$H$23,IF(Z8=regle!$I$11,regle!$I$23,IF(Z8=regle!$J$11,regle!$J$23,0)))))))))))</f>
        <v>-360</v>
      </c>
      <c r="AK8" s="14">
        <f>IF($A8,$M8*(IF(AA8=regle!$B$11,regle!$B$23,IF(AA8=regle!$C$11,regle!$C$23,IF(AA8=regle!$D$11,regle!$D$23,IF(AA8=regle!$E$11,regle!$E$23,IF(AA8=regle!$F$11,regle!$F$23,IF(AA8=regle!$G$11,regle!$G$23,IF(AA8=regle!$H$11,regle!$H$23,IF(AA8=regle!$I$11,regle!$I$23,IF(AA8=regle!$J$11,regle!$J$23,0)))))))))))</f>
        <v>0</v>
      </c>
      <c r="AL8" s="14">
        <f>IF($A8,$M8*(IF(AB8=regle!$B$11,regle!$B$23,IF(AB8=regle!$C$11,regle!$C$23,IF(AB8=regle!$D$11,regle!$D$23,IF(AB8=regle!$E$11,regle!$E$23,IF(AB8=regle!$F$11,regle!$F$23,IF(AB8=regle!$G$11,regle!$G$23,IF(AB8=regle!$H$11,regle!$H$23,IF(AB8=regle!$I$11,regle!$I$23,IF(AB8=regle!$J$11,regle!$J$23,0)))))))))))</f>
        <v>0</v>
      </c>
      <c r="AM8" s="14">
        <f>IF($A8,$M8*(IF(AC8=regle!$B$11,regle!$B$23,IF(AC8=regle!$C$11,regle!$C$23,IF(AC8=regle!$D$11,regle!$D$23,IF(AC8=regle!$E$11,regle!$E$23,IF(AC8=regle!$F$11,regle!$F$23,IF(AC8=regle!$G$11,regle!$G$23,IF(AC8=regle!$H$11,regle!$H$23,IF(AC8=regle!$I$11,regle!$I$23,IF(AC8=regle!$J$11,regle!$J$23,0)))))))))))</f>
        <v>-360</v>
      </c>
      <c r="AN8" s="14">
        <f>IF($A8,$M8*(IF(AD8=regle!$B$11,regle!$B$23,IF(AD8=regle!$C$11,regle!$C$23,IF(AD8=regle!$D$11,regle!$D$23,IF(AD8=regle!$E$11,regle!$E$23,IF(AD8=regle!$F$11,regle!$F$23,IF(AD8=regle!$G$11,regle!$G$23,IF(AD8=regle!$H$11,regle!$H$23,IF(AD8=regle!$I$11,regle!$I$23,IF(AD8=regle!$J$11,regle!$J$23,0)))))))))))</f>
        <v>0</v>
      </c>
      <c r="AO8">
        <f>IF(AO$1=$AO$1,IF(regle!B$2-$Q8&gt;=regle!$J$12,-2,IF($S8,IF(regle!$B$2-$Q8&gt;=2,0,-1),regle!B$2-$Q8)),IF(AN8+1&gt;=regle!$J$12,-2,AN8+1))</f>
        <v>0</v>
      </c>
      <c r="AP8">
        <f>IF(AP$1=$AO$1,IF(regle!C$2-$Q8&gt;=regle!$J$12,-2,IF($S8,IF(regle!$B$2-$Q8&gt;=2,0,-1),regle!C$2-$Q8)),IF(AO8+1&gt;=regle!$J$12,-2,AO8+1))</f>
        <v>1</v>
      </c>
      <c r="AQ8">
        <f>IF(AQ$1=$AO$1,IF(regle!D$2-$Q8&gt;=regle!$J$12,-2,IF($S8,IF(regle!$B$2-$Q8&gt;=2,0,-1),regle!D$2-$Q8)),IF(AP8+1&gt;=regle!$J$12,-2,AP8+1))</f>
        <v>2</v>
      </c>
      <c r="AR8">
        <f>IF(AR$1=$AO$1,IF(regle!E$2-$Q8&gt;=regle!$J$12,-2,IF($S8,IF(regle!$B$2-$Q8&gt;=2,0,-1),regle!E$2-$Q8)),IF(AQ8+1&gt;=regle!$J$12,-2,AQ8+1))</f>
        <v>3</v>
      </c>
      <c r="AS8">
        <f>IF(AS$1=$AO$1,IF(regle!F$2-$Q8&gt;=regle!$J$12,-2,IF($S8,IF(regle!$B$2-$Q8&gt;=2,0,-1),regle!F$2-$Q8)),IF(AR8+1&gt;=regle!$J$12,-2,AR8+1))</f>
        <v>4</v>
      </c>
      <c r="AT8">
        <f>IF(AT$1=$AO$1,IF(regle!G$2-$Q8&gt;=regle!$J$12,-2,IF($S8,IF(regle!$B$2-$Q8&gt;=2,0,-1),regle!G$2-$Q8)),IF(AS8+1&gt;=regle!$J$12,-2,AS8+1))</f>
        <v>5</v>
      </c>
      <c r="AU8">
        <f>IF(AU$1=$AO$1,IF(regle!H$2-$Q8&gt;=regle!$J$12,-2,IF($S8,IF(regle!$B$2-$Q8&gt;=2,0,-1),regle!H$2-$Q8)),IF(AT8+1&gt;=regle!$J$12,-2,AT8+1))</f>
        <v>6</v>
      </c>
      <c r="AV8">
        <f>IF(AV$1=$AO$1,IF(regle!I$2-$Q8&gt;=regle!$J$12,-2,IF($S8,IF(regle!$B$2-$Q8&gt;=2,0,-1),regle!I$2-$Q8)),IF(AU8+1&gt;=regle!$J$12,-2,AU8+1))</f>
        <v>7</v>
      </c>
      <c r="AW8">
        <f>IF(AW$1=$AO$1,IF(regle!J$2-$Q8&gt;=regle!$J$12,-2,IF($S8,IF(regle!$B$2-$Q8&gt;=2,0,-1),regle!J$2-$Q8)),IF(AV8+1&gt;=regle!$J$12,-2,AV8+1))</f>
        <v>8</v>
      </c>
      <c r="AX8">
        <f>IF(AX$1=$AO$1,IF(regle!K$2-$Q8&gt;=regle!$J$12,-2,IF($S8,IF(regle!$B$2-$Q8&gt;=2,0,-1),regle!K$2-$Q8)),IF(AW8+1&gt;=regle!$J$12,-2,AW8+1))</f>
        <v>9</v>
      </c>
    </row>
    <row r="9" spans="1:50" x14ac:dyDescent="0.25">
      <c r="A9" t="b">
        <f>AND(modif0[[#This Row],[cdstr]]&lt;&gt;0,OR(regle!$H$27=FALSE,modif0[[#This Row],[essnc]]="PM"))</f>
        <v>1</v>
      </c>
      <c r="B9">
        <f>ROW(objet!A9)</f>
        <v>9</v>
      </c>
      <c r="C9" s="10" t="str">
        <f>objet!D9</f>
        <v>2020000A1310</v>
      </c>
      <c r="D9" t="str">
        <f>LEFT(modif0[[#This Row],[cdstr]],3)</f>
        <v>202</v>
      </c>
      <c r="E9" s="10" t="str">
        <f>objet!G9</f>
        <v>HOSTENS</v>
      </c>
      <c r="F9">
        <f>LEN(modif0[[#This Row],[l_dt]])</f>
        <v>11</v>
      </c>
      <c r="G9" s="10" t="str">
        <f>objet!H9</f>
        <v>L'ARGILEYRE</v>
      </c>
      <c r="H9" s="10" t="str">
        <f>objet!C9</f>
        <v>A1310</v>
      </c>
      <c r="I9" t="str">
        <f>IF(ISNUMBER(VALUE(RIGHT(LEFT(modif0[[#This Row],[idntfn]],2),1))),_xlfn.CONCAT(0,LEFT(modif0[[#This Row],[idntfn]],1)),LEFT(modif0[[#This Row],[idntfn]],2))</f>
        <v>0A</v>
      </c>
      <c r="J9">
        <f>VALUE(LEFT(RIGHT(modif0[[#This Row],[idntfn]],LEN(modif0[[#This Row],[idntfn]])-IF(LEFT(modif0[[#This Row],[sctn]],1)="0",1,2)),LEN(modif0[[#This Row],[idntfn]])-IF(LEFT(modif0[[#This Row],[sctn]],1)="0",1,2)-LEN(modif0[[#This Row],[lttr]])))</f>
        <v>1310</v>
      </c>
      <c r="K9" t="str">
        <f>IF(ISNUMBER(VALUE(RIGHT(modif0[[#This Row],[idntfn]],1))),"",IF(ISNUMBER(VALUE(LEFT(RIGHT(modif0[[#This Row],[idntfn]],2),1))),RIGHT(modif0[[#This Row],[idntfn]],1),RIGHT(modif0[[#This Row],[idntfn]],2)))</f>
        <v/>
      </c>
      <c r="L9" s="10">
        <f>objet!I9</f>
        <v>10280</v>
      </c>
      <c r="M9" s="11">
        <f>modif0[[#This Row],[srfc]]/10000</f>
        <v>1.028</v>
      </c>
      <c r="N9" s="10" t="str">
        <f>objet!Z9</f>
        <v>PM</v>
      </c>
      <c r="O9" s="10" t="str">
        <f>objet!AA9</f>
        <v>CR2022</v>
      </c>
      <c r="P9" t="str">
        <f>IF(ISNUMBER(modif0[[#This Row],[trvx]]),"",LEFT(modif0[[#This Row],[trvx]],LEN(modif0[[#This Row],[trvx]])-4))</f>
        <v>CR</v>
      </c>
      <c r="Q9">
        <f>VALUE(RIGHT(modif0[[#This Row],[trvx]],4))</f>
        <v>2022</v>
      </c>
      <c r="R9" t="str">
        <f>_xlfn.CONCAT(modif0[[#This Row],[tp]],"-",modif0[[#This Row],[essnc]],"_",modif0[[#This Row],[anns]])</f>
        <v>CR-PM_2022</v>
      </c>
      <c r="S9" t="b">
        <f>modif0[[#This Row],[tp]]="CR"</f>
        <v>1</v>
      </c>
      <c r="T9">
        <v>40</v>
      </c>
      <c r="U9" t="str">
        <f>IF(NOT($A9),"",
IF(AO9=-2,regle!$J$11,
IF(AO9=regle!$B$12,regle!$B$11,
IF(AO9=regle!$C$12,regle!$C$11,
IF(AO9=regle!$D$12,regle!$D$11,
IF(AO9=regle!$E$12,regle!$E$11,
IF(AO9=regle!$F$12,regle!$F$11,
IF(AO9=regle!$G$12,regle!$G$11,
IF(AO9=regle!$H$12,regle!$H$11,
IF(AO9=regle!$I$12,regle!$I$11,""))))))))))</f>
        <v>RBST</v>
      </c>
      <c r="V9" t="str">
        <f>IF(NOT($A9),"",
IF(AP9=-2,regle!$J$11,
IF(AP9=regle!$B$12,regle!$B$11,
IF(AP9=regle!$C$12,regle!$C$11,
IF(AP9=regle!$D$12,regle!$D$11,
IF(AP9=regle!$E$12,regle!$E$11,
IF(AP9=regle!$F$12,regle!$F$11,
IF(AP9=regle!$G$12,regle!$G$11,
IF(AP9=regle!$H$12,regle!$H$11,
IF(AP9=regle!$I$12,regle!$I$11,""))))))))))</f>
        <v/>
      </c>
      <c r="W9" t="str">
        <f>IF(NOT($A9),"",
IF(AQ9=-2,regle!$J$11,
IF(AQ9=regle!$B$12,regle!$B$11,
IF(AQ9=regle!$C$12,regle!$C$11,
IF(AQ9=regle!$D$12,regle!$D$11,
IF(AQ9=regle!$E$12,regle!$E$11,
IF(AQ9=regle!$F$12,regle!$F$11,
IF(AQ9=regle!$G$12,regle!$G$11,
IF(AQ9=regle!$H$12,regle!$H$11,
IF(AQ9=regle!$I$12,regle!$I$11,""))))))))))</f>
        <v>DGT</v>
      </c>
      <c r="X9" t="str">
        <f>IF(NOT($A9),"",
IF(AR9=-2,regle!$J$11,
IF(AR9=regle!$B$12,regle!$B$11,
IF(AR9=regle!$C$12,regle!$C$11,
IF(AR9=regle!$D$12,regle!$D$11,
IF(AR9=regle!$E$12,regle!$E$11,
IF(AR9=regle!$F$12,regle!$F$11,
IF(AR9=regle!$G$12,regle!$G$11,
IF(AR9=regle!$H$12,regle!$H$11,
IF(AR9=regle!$I$12,regle!$I$11,""))))))))))</f>
        <v/>
      </c>
      <c r="Y9" t="str">
        <f>IF(NOT($A9),"",
IF(AS9=-2,regle!$J$11,
IF(AS9=regle!$B$12,regle!$B$11,
IF(AS9=regle!$C$12,regle!$C$11,
IF(AS9=regle!$D$12,regle!$D$11,
IF(AS9=regle!$E$12,regle!$E$11,
IF(AS9=regle!$F$12,regle!$F$11,
IF(AS9=regle!$G$12,regle!$G$11,
IF(AS9=regle!$H$12,regle!$H$11,
IF(AS9=regle!$I$12,regle!$I$11,""))))))))))</f>
        <v/>
      </c>
      <c r="Z9" t="str">
        <f>IF(NOT($A9),"",
IF(AT9=-2,regle!$J$11,
IF(AT9=regle!$B$12,regle!$B$11,
IF(AT9=regle!$C$12,regle!$C$11,
IF(AT9=regle!$D$12,regle!$D$11,
IF(AT9=regle!$E$12,regle!$E$11,
IF(AT9=regle!$F$12,regle!$F$11,
IF(AT9=regle!$G$12,regle!$G$11,
IF(AT9=regle!$H$12,regle!$H$11,
IF(AT9=regle!$I$12,regle!$I$11,""))))))))))</f>
        <v>ENT1</v>
      </c>
      <c r="AA9" t="str">
        <f>IF(NOT($A9),"",
IF(AU9=-2,regle!$J$11,
IF(AU9=regle!$B$12,regle!$B$11,
IF(AU9=regle!$C$12,regle!$C$11,
IF(AU9=regle!$D$12,regle!$D$11,
IF(AU9=regle!$E$12,regle!$E$11,
IF(AU9=regle!$F$12,regle!$F$11,
IF(AU9=regle!$G$12,regle!$G$11,
IF(AU9=regle!$H$12,regle!$H$11,
IF(AU9=regle!$I$12,regle!$I$11,""))))))))))</f>
        <v/>
      </c>
      <c r="AB9" t="str">
        <f>IF(NOT($A9),"",
IF(AV9=-2,regle!$J$11,
IF(AV9=regle!$B$12,regle!$B$11,
IF(AV9=regle!$C$12,regle!$C$11,
IF(AV9=regle!$D$12,regle!$D$11,
IF(AV9=regle!$E$12,regle!$E$11,
IF(AV9=regle!$F$12,regle!$F$11,
IF(AV9=regle!$G$12,regle!$G$11,
IF(AV9=regle!$H$12,regle!$H$11,
IF(AV9=regle!$I$12,regle!$I$11,""))))))))))</f>
        <v/>
      </c>
      <c r="AC9" t="str">
        <f>IF(NOT($A9),"",
IF(AW9=-2,regle!$J$11,
IF(AW9=regle!$B$12,regle!$B$11,
IF(AW9=regle!$C$12,regle!$C$11,
IF(AW9=regle!$D$12,regle!$D$11,
IF(AW9=regle!$E$12,regle!$E$11,
IF(AW9=regle!$F$12,regle!$F$11,
IF(AW9=regle!$G$12,regle!$G$11,
IF(AW9=regle!$H$12,regle!$H$11,
IF(AW9=regle!$I$12,regle!$I$11,""))))))))))</f>
        <v>ENT2</v>
      </c>
      <c r="AD9" t="str">
        <f>IF(NOT($A9),"",
IF(AX9=-2,regle!$J$11,
IF(AX9=regle!$B$12,regle!$B$11,
IF(AX9=regle!$C$12,regle!$C$11,
IF(AX9=regle!$D$12,regle!$D$11,
IF(AX9=regle!$E$12,regle!$E$11,
IF(AX9=regle!$F$12,regle!$F$11,
IF(AX9=regle!$G$12,regle!$G$11,
IF(AX9=regle!$H$12,regle!$H$11,
IF(AX9=regle!$I$12,regle!$I$11,""))))))))))</f>
        <v/>
      </c>
      <c r="AE9" s="14">
        <f>IF($A9,$M9*(IF(U9=regle!$B$11,regle!$B$23,IF(U9=regle!$C$11,regle!$C$23,IF(U9=regle!$D$11,regle!$D$23,IF(U9=regle!$E$11,regle!$E$23,IF(U9=regle!$F$11,regle!$F$23,IF(U9=regle!$G$11,regle!$G$23,IF(U9=regle!$H$11,regle!$H$23,IF(U9=regle!$I$11,regle!$I$23,IF(U9=regle!$J$11,regle!$J$23,0)))))))))))</f>
        <v>-1747.6000000000001</v>
      </c>
      <c r="AF9" s="14">
        <f>IF($A9,$M9*(IF(V9=regle!$B$11,regle!$B$23,IF(V9=regle!$C$11,regle!$C$23,IF(V9=regle!$D$11,regle!$D$23,IF(V9=regle!$E$11,regle!$E$23,IF(V9=regle!$F$11,regle!$F$23,IF(V9=regle!$G$11,regle!$G$23,IF(V9=regle!$H$11,regle!$H$23,IF(V9=regle!$I$11,regle!$I$23,IF(V9=regle!$J$11,regle!$J$23,0)))))))))))</f>
        <v>0</v>
      </c>
      <c r="AG9" s="14">
        <f>IF($A9,$M9*(IF(W9=regle!$B$11,regle!$B$23,IF(W9=regle!$C$11,regle!$C$23,IF(W9=regle!$D$11,regle!$D$23,IF(W9=regle!$E$11,regle!$E$23,IF(W9=regle!$F$11,regle!$F$23,IF(W9=regle!$G$11,regle!$G$23,IF(W9=regle!$H$11,regle!$H$23,IF(W9=regle!$I$11,regle!$I$23,IF(W9=regle!$J$11,regle!$J$23,0)))))))))))</f>
        <v>-77.100000000000009</v>
      </c>
      <c r="AH9" s="14">
        <f>IF($A9,$M9*(IF(X9=regle!$B$11,regle!$B$23,IF(X9=regle!$C$11,regle!$C$23,IF(X9=regle!$D$11,regle!$D$23,IF(X9=regle!$E$11,regle!$E$23,IF(X9=regle!$F$11,regle!$F$23,IF(X9=regle!$G$11,regle!$G$23,IF(X9=regle!$H$11,regle!$H$23,IF(X9=regle!$I$11,regle!$I$23,IF(X9=regle!$J$11,regle!$J$23,0)))))))))))</f>
        <v>0</v>
      </c>
      <c r="AI9" s="14">
        <f>IF($A9,$M9*(IF(Y9=regle!$B$11,regle!$B$23,IF(Y9=regle!$C$11,regle!$C$23,IF(Y9=regle!$D$11,regle!$D$23,IF(Y9=regle!$E$11,regle!$E$23,IF(Y9=regle!$F$11,regle!$F$23,IF(Y9=regle!$G$11,regle!$G$23,IF(Y9=regle!$H$11,regle!$H$23,IF(Y9=regle!$I$11,regle!$I$23,IF(Y9=regle!$J$11,regle!$J$23,0)))))))))))</f>
        <v>0</v>
      </c>
      <c r="AJ9" s="14">
        <f>IF($A9,$M9*(IF(Z9=regle!$B$11,regle!$B$23,IF(Z9=regle!$C$11,regle!$C$23,IF(Z9=regle!$D$11,regle!$D$23,IF(Z9=regle!$E$11,regle!$E$23,IF(Z9=regle!$F$11,regle!$F$23,IF(Z9=regle!$G$11,regle!$G$23,IF(Z9=regle!$H$11,regle!$H$23,IF(Z9=regle!$I$11,regle!$I$23,IF(Z9=regle!$J$11,regle!$J$23,0)))))))))))</f>
        <v>-92.52</v>
      </c>
      <c r="AK9" s="14">
        <f>IF($A9,$M9*(IF(AA9=regle!$B$11,regle!$B$23,IF(AA9=regle!$C$11,regle!$C$23,IF(AA9=regle!$D$11,regle!$D$23,IF(AA9=regle!$E$11,regle!$E$23,IF(AA9=regle!$F$11,regle!$F$23,IF(AA9=regle!$G$11,regle!$G$23,IF(AA9=regle!$H$11,regle!$H$23,IF(AA9=regle!$I$11,regle!$I$23,IF(AA9=regle!$J$11,regle!$J$23,0)))))))))))</f>
        <v>0</v>
      </c>
      <c r="AL9" s="14">
        <f>IF($A9,$M9*(IF(AB9=regle!$B$11,regle!$B$23,IF(AB9=regle!$C$11,regle!$C$23,IF(AB9=regle!$D$11,regle!$D$23,IF(AB9=regle!$E$11,regle!$E$23,IF(AB9=regle!$F$11,regle!$F$23,IF(AB9=regle!$G$11,regle!$G$23,IF(AB9=regle!$H$11,regle!$H$23,IF(AB9=regle!$I$11,regle!$I$23,IF(AB9=regle!$J$11,regle!$J$23,0)))))))))))</f>
        <v>0</v>
      </c>
      <c r="AM9" s="14">
        <f>IF($A9,$M9*(IF(AC9=regle!$B$11,regle!$B$23,IF(AC9=regle!$C$11,regle!$C$23,IF(AC9=regle!$D$11,regle!$D$23,IF(AC9=regle!$E$11,regle!$E$23,IF(AC9=regle!$F$11,regle!$F$23,IF(AC9=regle!$G$11,regle!$G$23,IF(AC9=regle!$H$11,regle!$H$23,IF(AC9=regle!$I$11,regle!$I$23,IF(AC9=regle!$J$11,regle!$J$23,0)))))))))))</f>
        <v>-92.52</v>
      </c>
      <c r="AN9" s="14">
        <f>IF($A9,$M9*(IF(AD9=regle!$B$11,regle!$B$23,IF(AD9=regle!$C$11,regle!$C$23,IF(AD9=regle!$D$11,regle!$D$23,IF(AD9=regle!$E$11,regle!$E$23,IF(AD9=regle!$F$11,regle!$F$23,IF(AD9=regle!$G$11,regle!$G$23,IF(AD9=regle!$H$11,regle!$H$23,IF(AD9=regle!$I$11,regle!$I$23,IF(AD9=regle!$J$11,regle!$J$23,0)))))))))))</f>
        <v>0</v>
      </c>
      <c r="AO9">
        <f>IF(AO$1=$AO$1,IF(regle!B$2-$Q9&gt;=regle!$J$12,-2,IF($S9,IF(regle!$B$2-$Q9&gt;=2,0,-1),regle!B$2-$Q9)),IF(AN9+1&gt;=regle!$J$12,-2,AN9+1))</f>
        <v>0</v>
      </c>
      <c r="AP9">
        <f>IF(AP$1=$AO$1,IF(regle!C$2-$Q9&gt;=regle!$J$12,-2,IF($S9,IF(regle!$B$2-$Q9&gt;=2,0,-1),regle!C$2-$Q9)),IF(AO9+1&gt;=regle!$J$12,-2,AO9+1))</f>
        <v>1</v>
      </c>
      <c r="AQ9">
        <f>IF(AQ$1=$AO$1,IF(regle!D$2-$Q9&gt;=regle!$J$12,-2,IF($S9,IF(regle!$B$2-$Q9&gt;=2,0,-1),regle!D$2-$Q9)),IF(AP9+1&gt;=regle!$J$12,-2,AP9+1))</f>
        <v>2</v>
      </c>
      <c r="AR9">
        <f>IF(AR$1=$AO$1,IF(regle!E$2-$Q9&gt;=regle!$J$12,-2,IF($S9,IF(regle!$B$2-$Q9&gt;=2,0,-1),regle!E$2-$Q9)),IF(AQ9+1&gt;=regle!$J$12,-2,AQ9+1))</f>
        <v>3</v>
      </c>
      <c r="AS9">
        <f>IF(AS$1=$AO$1,IF(regle!F$2-$Q9&gt;=regle!$J$12,-2,IF($S9,IF(regle!$B$2-$Q9&gt;=2,0,-1),regle!F$2-$Q9)),IF(AR9+1&gt;=regle!$J$12,-2,AR9+1))</f>
        <v>4</v>
      </c>
      <c r="AT9">
        <f>IF(AT$1=$AO$1,IF(regle!G$2-$Q9&gt;=regle!$J$12,-2,IF($S9,IF(regle!$B$2-$Q9&gt;=2,0,-1),regle!G$2-$Q9)),IF(AS9+1&gt;=regle!$J$12,-2,AS9+1))</f>
        <v>5</v>
      </c>
      <c r="AU9">
        <f>IF(AU$1=$AO$1,IF(regle!H$2-$Q9&gt;=regle!$J$12,-2,IF($S9,IF(regle!$B$2-$Q9&gt;=2,0,-1),regle!H$2-$Q9)),IF(AT9+1&gt;=regle!$J$12,-2,AT9+1))</f>
        <v>6</v>
      </c>
      <c r="AV9">
        <f>IF(AV$1=$AO$1,IF(regle!I$2-$Q9&gt;=regle!$J$12,-2,IF($S9,IF(regle!$B$2-$Q9&gt;=2,0,-1),regle!I$2-$Q9)),IF(AU9+1&gt;=regle!$J$12,-2,AU9+1))</f>
        <v>7</v>
      </c>
      <c r="AW9">
        <f>IF(AW$1=$AO$1,IF(regle!J$2-$Q9&gt;=regle!$J$12,-2,IF($S9,IF(regle!$B$2-$Q9&gt;=2,0,-1),regle!J$2-$Q9)),IF(AV9+1&gt;=regle!$J$12,-2,AV9+1))</f>
        <v>8</v>
      </c>
      <c r="AX9">
        <f>IF(AX$1=$AO$1,IF(regle!K$2-$Q9&gt;=regle!$J$12,-2,IF($S9,IF(regle!$B$2-$Q9&gt;=2,0,-1),regle!K$2-$Q9)),IF(AW9+1&gt;=regle!$J$12,-2,AW9+1))</f>
        <v>9</v>
      </c>
    </row>
    <row r="10" spans="1:50" x14ac:dyDescent="0.25">
      <c r="A10" t="b">
        <f>AND(modif0[[#This Row],[cdstr]]&lt;&gt;0,OR(regle!$H$27=FALSE,modif0[[#This Row],[essnc]]="PM"))</f>
        <v>1</v>
      </c>
      <c r="B10">
        <f>ROW(objet!A10)</f>
        <v>10</v>
      </c>
      <c r="C10" s="10" t="str">
        <f>objet!D10</f>
        <v>2020000A1311</v>
      </c>
      <c r="D10" t="str">
        <f>LEFT(modif0[[#This Row],[cdstr]],3)</f>
        <v>202</v>
      </c>
      <c r="E10" s="10" t="str">
        <f>objet!G10</f>
        <v>HOSTENS</v>
      </c>
      <c r="F10">
        <f>LEN(modif0[[#This Row],[l_dt]])</f>
        <v>11</v>
      </c>
      <c r="G10" s="10" t="str">
        <f>objet!H10</f>
        <v>L'ARGILEYRE</v>
      </c>
      <c r="H10" s="10" t="str">
        <f>objet!C10</f>
        <v>A1311</v>
      </c>
      <c r="I10" t="str">
        <f>IF(ISNUMBER(VALUE(RIGHT(LEFT(modif0[[#This Row],[idntfn]],2),1))),_xlfn.CONCAT(0,LEFT(modif0[[#This Row],[idntfn]],1)),LEFT(modif0[[#This Row],[idntfn]],2))</f>
        <v>0A</v>
      </c>
      <c r="J10">
        <f>VALUE(LEFT(RIGHT(modif0[[#This Row],[idntfn]],LEN(modif0[[#This Row],[idntfn]])-IF(LEFT(modif0[[#This Row],[sctn]],1)="0",1,2)),LEN(modif0[[#This Row],[idntfn]])-IF(LEFT(modif0[[#This Row],[sctn]],1)="0",1,2)-LEN(modif0[[#This Row],[lttr]])))</f>
        <v>1311</v>
      </c>
      <c r="K10" t="str">
        <f>IF(ISNUMBER(VALUE(RIGHT(modif0[[#This Row],[idntfn]],1))),"",IF(ISNUMBER(VALUE(LEFT(RIGHT(modif0[[#This Row],[idntfn]],2),1))),RIGHT(modif0[[#This Row],[idntfn]],1),RIGHT(modif0[[#This Row],[idntfn]],2)))</f>
        <v/>
      </c>
      <c r="L10" s="10">
        <f>objet!I10</f>
        <v>29060</v>
      </c>
      <c r="M10" s="11">
        <f>modif0[[#This Row],[srfc]]/10000</f>
        <v>2.9060000000000001</v>
      </c>
      <c r="N10" s="10" t="str">
        <f>objet!Z10</f>
        <v>PM</v>
      </c>
      <c r="O10" s="10" t="str">
        <f>objet!AA10</f>
        <v>CR2022</v>
      </c>
      <c r="P10" t="str">
        <f>IF(ISNUMBER(modif0[[#This Row],[trvx]]),"",LEFT(modif0[[#This Row],[trvx]],LEN(modif0[[#This Row],[trvx]])-4))</f>
        <v>CR</v>
      </c>
      <c r="Q10">
        <f>VALUE(RIGHT(modif0[[#This Row],[trvx]],4))</f>
        <v>2022</v>
      </c>
      <c r="R10" t="str">
        <f>_xlfn.CONCAT(modif0[[#This Row],[tp]],"-",modif0[[#This Row],[essnc]],"_",modif0[[#This Row],[anns]])</f>
        <v>CR-PM_2022</v>
      </c>
      <c r="S10" t="b">
        <f>modif0[[#This Row],[tp]]="CR"</f>
        <v>1</v>
      </c>
      <c r="T10">
        <v>40</v>
      </c>
      <c r="U10" t="str">
        <f>IF(NOT($A10),"",
IF(AO10=-2,regle!$J$11,
IF(AO10=regle!$B$12,regle!$B$11,
IF(AO10=regle!$C$12,regle!$C$11,
IF(AO10=regle!$D$12,regle!$D$11,
IF(AO10=regle!$E$12,regle!$E$11,
IF(AO10=regle!$F$12,regle!$F$11,
IF(AO10=regle!$G$12,regle!$G$11,
IF(AO10=regle!$H$12,regle!$H$11,
IF(AO10=regle!$I$12,regle!$I$11,""))))))))))</f>
        <v>RBST</v>
      </c>
      <c r="V10" t="str">
        <f>IF(NOT($A10),"",
IF(AP10=-2,regle!$J$11,
IF(AP10=regle!$B$12,regle!$B$11,
IF(AP10=regle!$C$12,regle!$C$11,
IF(AP10=regle!$D$12,regle!$D$11,
IF(AP10=regle!$E$12,regle!$E$11,
IF(AP10=regle!$F$12,regle!$F$11,
IF(AP10=regle!$G$12,regle!$G$11,
IF(AP10=regle!$H$12,regle!$H$11,
IF(AP10=regle!$I$12,regle!$I$11,""))))))))))</f>
        <v/>
      </c>
      <c r="W10" t="str">
        <f>IF(NOT($A10),"",
IF(AQ10=-2,regle!$J$11,
IF(AQ10=regle!$B$12,regle!$B$11,
IF(AQ10=regle!$C$12,regle!$C$11,
IF(AQ10=regle!$D$12,regle!$D$11,
IF(AQ10=regle!$E$12,regle!$E$11,
IF(AQ10=regle!$F$12,regle!$F$11,
IF(AQ10=regle!$G$12,regle!$G$11,
IF(AQ10=regle!$H$12,regle!$H$11,
IF(AQ10=regle!$I$12,regle!$I$11,""))))))))))</f>
        <v>DGT</v>
      </c>
      <c r="X10" t="str">
        <f>IF(NOT($A10),"",
IF(AR10=-2,regle!$J$11,
IF(AR10=regle!$B$12,regle!$B$11,
IF(AR10=regle!$C$12,regle!$C$11,
IF(AR10=regle!$D$12,regle!$D$11,
IF(AR10=regle!$E$12,regle!$E$11,
IF(AR10=regle!$F$12,regle!$F$11,
IF(AR10=regle!$G$12,regle!$G$11,
IF(AR10=regle!$H$12,regle!$H$11,
IF(AR10=regle!$I$12,regle!$I$11,""))))))))))</f>
        <v/>
      </c>
      <c r="Y10" t="str">
        <f>IF(NOT($A10),"",
IF(AS10=-2,regle!$J$11,
IF(AS10=regle!$B$12,regle!$B$11,
IF(AS10=regle!$C$12,regle!$C$11,
IF(AS10=regle!$D$12,regle!$D$11,
IF(AS10=regle!$E$12,regle!$E$11,
IF(AS10=regle!$F$12,regle!$F$11,
IF(AS10=regle!$G$12,regle!$G$11,
IF(AS10=regle!$H$12,regle!$H$11,
IF(AS10=regle!$I$12,regle!$I$11,""))))))))))</f>
        <v/>
      </c>
      <c r="Z10" t="str">
        <f>IF(NOT($A10),"",
IF(AT10=-2,regle!$J$11,
IF(AT10=regle!$B$12,regle!$B$11,
IF(AT10=regle!$C$12,regle!$C$11,
IF(AT10=regle!$D$12,regle!$D$11,
IF(AT10=regle!$E$12,regle!$E$11,
IF(AT10=regle!$F$12,regle!$F$11,
IF(AT10=regle!$G$12,regle!$G$11,
IF(AT10=regle!$H$12,regle!$H$11,
IF(AT10=regle!$I$12,regle!$I$11,""))))))))))</f>
        <v>ENT1</v>
      </c>
      <c r="AA10" t="str">
        <f>IF(NOT($A10),"",
IF(AU10=-2,regle!$J$11,
IF(AU10=regle!$B$12,regle!$B$11,
IF(AU10=regle!$C$12,regle!$C$11,
IF(AU10=regle!$D$12,regle!$D$11,
IF(AU10=regle!$E$12,regle!$E$11,
IF(AU10=regle!$F$12,regle!$F$11,
IF(AU10=regle!$G$12,regle!$G$11,
IF(AU10=regle!$H$12,regle!$H$11,
IF(AU10=regle!$I$12,regle!$I$11,""))))))))))</f>
        <v/>
      </c>
      <c r="AB10" t="str">
        <f>IF(NOT($A10),"",
IF(AV10=-2,regle!$J$11,
IF(AV10=regle!$B$12,regle!$B$11,
IF(AV10=regle!$C$12,regle!$C$11,
IF(AV10=regle!$D$12,regle!$D$11,
IF(AV10=regle!$E$12,regle!$E$11,
IF(AV10=regle!$F$12,regle!$F$11,
IF(AV10=regle!$G$12,regle!$G$11,
IF(AV10=regle!$H$12,regle!$H$11,
IF(AV10=regle!$I$12,regle!$I$11,""))))))))))</f>
        <v/>
      </c>
      <c r="AC10" t="str">
        <f>IF(NOT($A10),"",
IF(AW10=-2,regle!$J$11,
IF(AW10=regle!$B$12,regle!$B$11,
IF(AW10=regle!$C$12,regle!$C$11,
IF(AW10=regle!$D$12,regle!$D$11,
IF(AW10=regle!$E$12,regle!$E$11,
IF(AW10=regle!$F$12,regle!$F$11,
IF(AW10=regle!$G$12,regle!$G$11,
IF(AW10=regle!$H$12,regle!$H$11,
IF(AW10=regle!$I$12,regle!$I$11,""))))))))))</f>
        <v>ENT2</v>
      </c>
      <c r="AD10" t="str">
        <f>IF(NOT($A10),"",
IF(AX10=-2,regle!$J$11,
IF(AX10=regle!$B$12,regle!$B$11,
IF(AX10=regle!$C$12,regle!$C$11,
IF(AX10=regle!$D$12,regle!$D$11,
IF(AX10=regle!$E$12,regle!$E$11,
IF(AX10=regle!$F$12,regle!$F$11,
IF(AX10=regle!$G$12,regle!$G$11,
IF(AX10=regle!$H$12,regle!$H$11,
IF(AX10=regle!$I$12,regle!$I$11,""))))))))))</f>
        <v/>
      </c>
      <c r="AE10" s="14">
        <f>IF($A10,$M10*(IF(U10=regle!$B$11,regle!$B$23,IF(U10=regle!$C$11,regle!$C$23,IF(U10=regle!$D$11,regle!$D$23,IF(U10=regle!$E$11,regle!$E$23,IF(U10=regle!$F$11,regle!$F$23,IF(U10=regle!$G$11,regle!$G$23,IF(U10=regle!$H$11,regle!$H$23,IF(U10=regle!$I$11,regle!$I$23,IF(U10=regle!$J$11,regle!$J$23,0)))))))))))</f>
        <v>-4940.2</v>
      </c>
      <c r="AF10" s="14">
        <f>IF($A10,$M10*(IF(V10=regle!$B$11,regle!$B$23,IF(V10=regle!$C$11,regle!$C$23,IF(V10=regle!$D$11,regle!$D$23,IF(V10=regle!$E$11,regle!$E$23,IF(V10=regle!$F$11,regle!$F$23,IF(V10=regle!$G$11,regle!$G$23,IF(V10=regle!$H$11,regle!$H$23,IF(V10=regle!$I$11,regle!$I$23,IF(V10=regle!$J$11,regle!$J$23,0)))))))))))</f>
        <v>0</v>
      </c>
      <c r="AG10" s="14">
        <f>IF($A10,$M10*(IF(W10=regle!$B$11,regle!$B$23,IF(W10=regle!$C$11,regle!$C$23,IF(W10=regle!$D$11,regle!$D$23,IF(W10=regle!$E$11,regle!$E$23,IF(W10=regle!$F$11,regle!$F$23,IF(W10=regle!$G$11,regle!$G$23,IF(W10=regle!$H$11,regle!$H$23,IF(W10=regle!$I$11,regle!$I$23,IF(W10=regle!$J$11,regle!$J$23,0)))))))))))</f>
        <v>-217.95000000000002</v>
      </c>
      <c r="AH10" s="14">
        <f>IF($A10,$M10*(IF(X10=regle!$B$11,regle!$B$23,IF(X10=regle!$C$11,regle!$C$23,IF(X10=regle!$D$11,regle!$D$23,IF(X10=regle!$E$11,regle!$E$23,IF(X10=regle!$F$11,regle!$F$23,IF(X10=regle!$G$11,regle!$G$23,IF(X10=regle!$H$11,regle!$H$23,IF(X10=regle!$I$11,regle!$I$23,IF(X10=regle!$J$11,regle!$J$23,0)))))))))))</f>
        <v>0</v>
      </c>
      <c r="AI10" s="14">
        <f>IF($A10,$M10*(IF(Y10=regle!$B$11,regle!$B$23,IF(Y10=regle!$C$11,regle!$C$23,IF(Y10=regle!$D$11,regle!$D$23,IF(Y10=regle!$E$11,regle!$E$23,IF(Y10=regle!$F$11,regle!$F$23,IF(Y10=regle!$G$11,regle!$G$23,IF(Y10=regle!$H$11,regle!$H$23,IF(Y10=regle!$I$11,regle!$I$23,IF(Y10=regle!$J$11,regle!$J$23,0)))))))))))</f>
        <v>0</v>
      </c>
      <c r="AJ10" s="14">
        <f>IF($A10,$M10*(IF(Z10=regle!$B$11,regle!$B$23,IF(Z10=regle!$C$11,regle!$C$23,IF(Z10=regle!$D$11,regle!$D$23,IF(Z10=regle!$E$11,regle!$E$23,IF(Z10=regle!$F$11,regle!$F$23,IF(Z10=regle!$G$11,regle!$G$23,IF(Z10=regle!$H$11,regle!$H$23,IF(Z10=regle!$I$11,regle!$I$23,IF(Z10=regle!$J$11,regle!$J$23,0)))))))))))</f>
        <v>-261.54000000000002</v>
      </c>
      <c r="AK10" s="14">
        <f>IF($A10,$M10*(IF(AA10=regle!$B$11,regle!$B$23,IF(AA10=regle!$C$11,regle!$C$23,IF(AA10=regle!$D$11,regle!$D$23,IF(AA10=regle!$E$11,regle!$E$23,IF(AA10=regle!$F$11,regle!$F$23,IF(AA10=regle!$G$11,regle!$G$23,IF(AA10=regle!$H$11,regle!$H$23,IF(AA10=regle!$I$11,regle!$I$23,IF(AA10=regle!$J$11,regle!$J$23,0)))))))))))</f>
        <v>0</v>
      </c>
      <c r="AL10" s="14">
        <f>IF($A10,$M10*(IF(AB10=regle!$B$11,regle!$B$23,IF(AB10=regle!$C$11,regle!$C$23,IF(AB10=regle!$D$11,regle!$D$23,IF(AB10=regle!$E$11,regle!$E$23,IF(AB10=regle!$F$11,regle!$F$23,IF(AB10=regle!$G$11,regle!$G$23,IF(AB10=regle!$H$11,regle!$H$23,IF(AB10=regle!$I$11,regle!$I$23,IF(AB10=regle!$J$11,regle!$J$23,0)))))))))))</f>
        <v>0</v>
      </c>
      <c r="AM10" s="14">
        <f>IF($A10,$M10*(IF(AC10=regle!$B$11,regle!$B$23,IF(AC10=regle!$C$11,regle!$C$23,IF(AC10=regle!$D$11,regle!$D$23,IF(AC10=regle!$E$11,regle!$E$23,IF(AC10=regle!$F$11,regle!$F$23,IF(AC10=regle!$G$11,regle!$G$23,IF(AC10=regle!$H$11,regle!$H$23,IF(AC10=regle!$I$11,regle!$I$23,IF(AC10=regle!$J$11,regle!$J$23,0)))))))))))</f>
        <v>-261.54000000000002</v>
      </c>
      <c r="AN10" s="14">
        <f>IF($A10,$M10*(IF(AD10=regle!$B$11,regle!$B$23,IF(AD10=regle!$C$11,regle!$C$23,IF(AD10=regle!$D$11,regle!$D$23,IF(AD10=regle!$E$11,regle!$E$23,IF(AD10=regle!$F$11,regle!$F$23,IF(AD10=regle!$G$11,regle!$G$23,IF(AD10=regle!$H$11,regle!$H$23,IF(AD10=regle!$I$11,regle!$I$23,IF(AD10=regle!$J$11,regle!$J$23,0)))))))))))</f>
        <v>0</v>
      </c>
      <c r="AO10">
        <f>IF(AO$1=$AO$1,IF(regle!B$2-$Q10&gt;=regle!$J$12,-2,IF($S10,IF(regle!$B$2-$Q10&gt;=2,0,-1),regle!B$2-$Q10)),IF(AN10+1&gt;=regle!$J$12,-2,AN10+1))</f>
        <v>0</v>
      </c>
      <c r="AP10">
        <f>IF(AP$1=$AO$1,IF(regle!C$2-$Q10&gt;=regle!$J$12,-2,IF($S10,IF(regle!$B$2-$Q10&gt;=2,0,-1),regle!C$2-$Q10)),IF(AO10+1&gt;=regle!$J$12,-2,AO10+1))</f>
        <v>1</v>
      </c>
      <c r="AQ10">
        <f>IF(AQ$1=$AO$1,IF(regle!D$2-$Q10&gt;=regle!$J$12,-2,IF($S10,IF(regle!$B$2-$Q10&gt;=2,0,-1),regle!D$2-$Q10)),IF(AP10+1&gt;=regle!$J$12,-2,AP10+1))</f>
        <v>2</v>
      </c>
      <c r="AR10">
        <f>IF(AR$1=$AO$1,IF(regle!E$2-$Q10&gt;=regle!$J$12,-2,IF($S10,IF(regle!$B$2-$Q10&gt;=2,0,-1),regle!E$2-$Q10)),IF(AQ10+1&gt;=regle!$J$12,-2,AQ10+1))</f>
        <v>3</v>
      </c>
      <c r="AS10">
        <f>IF(AS$1=$AO$1,IF(regle!F$2-$Q10&gt;=regle!$J$12,-2,IF($S10,IF(regle!$B$2-$Q10&gt;=2,0,-1),regle!F$2-$Q10)),IF(AR10+1&gt;=regle!$J$12,-2,AR10+1))</f>
        <v>4</v>
      </c>
      <c r="AT10">
        <f>IF(AT$1=$AO$1,IF(regle!G$2-$Q10&gt;=regle!$J$12,-2,IF($S10,IF(regle!$B$2-$Q10&gt;=2,0,-1),regle!G$2-$Q10)),IF(AS10+1&gt;=regle!$J$12,-2,AS10+1))</f>
        <v>5</v>
      </c>
      <c r="AU10">
        <f>IF(AU$1=$AO$1,IF(regle!H$2-$Q10&gt;=regle!$J$12,-2,IF($S10,IF(regle!$B$2-$Q10&gt;=2,0,-1),regle!H$2-$Q10)),IF(AT10+1&gt;=regle!$J$12,-2,AT10+1))</f>
        <v>6</v>
      </c>
      <c r="AV10">
        <f>IF(AV$1=$AO$1,IF(regle!I$2-$Q10&gt;=regle!$J$12,-2,IF($S10,IF(regle!$B$2-$Q10&gt;=2,0,-1),regle!I$2-$Q10)),IF(AU10+1&gt;=regle!$J$12,-2,AU10+1))</f>
        <v>7</v>
      </c>
      <c r="AW10">
        <f>IF(AW$1=$AO$1,IF(regle!J$2-$Q10&gt;=regle!$J$12,-2,IF($S10,IF(regle!$B$2-$Q10&gt;=2,0,-1),regle!J$2-$Q10)),IF(AV10+1&gt;=regle!$J$12,-2,AV10+1))</f>
        <v>8</v>
      </c>
      <c r="AX10">
        <f>IF(AX$1=$AO$1,IF(regle!K$2-$Q10&gt;=regle!$J$12,-2,IF($S10,IF(regle!$B$2-$Q10&gt;=2,0,-1),regle!K$2-$Q10)),IF(AW10+1&gt;=regle!$J$12,-2,AW10+1))</f>
        <v>9</v>
      </c>
    </row>
    <row r="11" spans="1:50" x14ac:dyDescent="0.25">
      <c r="A11" t="b">
        <f>AND(modif0[[#This Row],[cdstr]]&lt;&gt;0,OR(regle!$H$27=FALSE,modif0[[#This Row],[essnc]]="PM"))</f>
        <v>1</v>
      </c>
      <c r="B11">
        <f>ROW(objet!A11)</f>
        <v>11</v>
      </c>
      <c r="C11" s="10" t="str">
        <f>objet!D11</f>
        <v>2020000A1312</v>
      </c>
      <c r="D11" t="str">
        <f>LEFT(modif0[[#This Row],[cdstr]],3)</f>
        <v>202</v>
      </c>
      <c r="E11" s="10" t="str">
        <f>objet!G11</f>
        <v>HOSTENS</v>
      </c>
      <c r="F11">
        <f>LEN(modif0[[#This Row],[l_dt]])</f>
        <v>11</v>
      </c>
      <c r="G11" s="10" t="str">
        <f>objet!H11</f>
        <v>L'ARGILEYRE</v>
      </c>
      <c r="H11" s="10" t="str">
        <f>objet!C11</f>
        <v>A1312j</v>
      </c>
      <c r="I11" t="str">
        <f>IF(ISNUMBER(VALUE(RIGHT(LEFT(modif0[[#This Row],[idntfn]],2),1))),_xlfn.CONCAT(0,LEFT(modif0[[#This Row],[idntfn]],1)),LEFT(modif0[[#This Row],[idntfn]],2))</f>
        <v>0A</v>
      </c>
      <c r="J11">
        <f>VALUE(LEFT(RIGHT(modif0[[#This Row],[idntfn]],LEN(modif0[[#This Row],[idntfn]])-IF(LEFT(modif0[[#This Row],[sctn]],1)="0",1,2)),LEN(modif0[[#This Row],[idntfn]])-IF(LEFT(modif0[[#This Row],[sctn]],1)="0",1,2)-LEN(modif0[[#This Row],[lttr]])))</f>
        <v>1312</v>
      </c>
      <c r="K11" t="str">
        <f>IF(ISNUMBER(VALUE(RIGHT(modif0[[#This Row],[idntfn]],1))),"",IF(ISNUMBER(VALUE(LEFT(RIGHT(modif0[[#This Row],[idntfn]],2),1))),RIGHT(modif0[[#This Row],[idntfn]],1),RIGHT(modif0[[#This Row],[idntfn]],2)))</f>
        <v>j</v>
      </c>
      <c r="L11" s="10">
        <f>objet!I11</f>
        <v>15450</v>
      </c>
      <c r="M11" s="11">
        <f>modif0[[#This Row],[srfc]]/10000</f>
        <v>1.5449999999999999</v>
      </c>
      <c r="N11" s="10" t="str">
        <f>objet!Z11</f>
        <v>PM</v>
      </c>
      <c r="O11" s="10" t="str">
        <f>objet!AA11</f>
        <v>CR2022</v>
      </c>
      <c r="P11" t="str">
        <f>IF(ISNUMBER(modif0[[#This Row],[trvx]]),"",LEFT(modif0[[#This Row],[trvx]],LEN(modif0[[#This Row],[trvx]])-4))</f>
        <v>CR</v>
      </c>
      <c r="Q11">
        <f>VALUE(RIGHT(modif0[[#This Row],[trvx]],4))</f>
        <v>2022</v>
      </c>
      <c r="R11" t="str">
        <f>_xlfn.CONCAT(modif0[[#This Row],[tp]],"-",modif0[[#This Row],[essnc]],"_",modif0[[#This Row],[anns]])</f>
        <v>CR-PM_2022</v>
      </c>
      <c r="S11" t="b">
        <f>modif0[[#This Row],[tp]]="CR"</f>
        <v>1</v>
      </c>
      <c r="T11">
        <v>40</v>
      </c>
      <c r="U11" t="str">
        <f>IF(NOT($A11),"",
IF(AO11=-2,regle!$J$11,
IF(AO11=regle!$B$12,regle!$B$11,
IF(AO11=regle!$C$12,regle!$C$11,
IF(AO11=regle!$D$12,regle!$D$11,
IF(AO11=regle!$E$12,regle!$E$11,
IF(AO11=regle!$F$12,regle!$F$11,
IF(AO11=regle!$G$12,regle!$G$11,
IF(AO11=regle!$H$12,regle!$H$11,
IF(AO11=regle!$I$12,regle!$I$11,""))))))))))</f>
        <v>RBST</v>
      </c>
      <c r="V11" t="str">
        <f>IF(NOT($A11),"",
IF(AP11=-2,regle!$J$11,
IF(AP11=regle!$B$12,regle!$B$11,
IF(AP11=regle!$C$12,regle!$C$11,
IF(AP11=regle!$D$12,regle!$D$11,
IF(AP11=regle!$E$12,regle!$E$11,
IF(AP11=regle!$F$12,regle!$F$11,
IF(AP11=regle!$G$12,regle!$G$11,
IF(AP11=regle!$H$12,regle!$H$11,
IF(AP11=regle!$I$12,regle!$I$11,""))))))))))</f>
        <v/>
      </c>
      <c r="W11" t="str">
        <f>IF(NOT($A11),"",
IF(AQ11=-2,regle!$J$11,
IF(AQ11=regle!$B$12,regle!$B$11,
IF(AQ11=regle!$C$12,regle!$C$11,
IF(AQ11=regle!$D$12,regle!$D$11,
IF(AQ11=regle!$E$12,regle!$E$11,
IF(AQ11=regle!$F$12,regle!$F$11,
IF(AQ11=regle!$G$12,regle!$G$11,
IF(AQ11=regle!$H$12,regle!$H$11,
IF(AQ11=regle!$I$12,regle!$I$11,""))))))))))</f>
        <v>DGT</v>
      </c>
      <c r="X11" t="str">
        <f>IF(NOT($A11),"",
IF(AR11=-2,regle!$J$11,
IF(AR11=regle!$B$12,regle!$B$11,
IF(AR11=regle!$C$12,regle!$C$11,
IF(AR11=regle!$D$12,regle!$D$11,
IF(AR11=regle!$E$12,regle!$E$11,
IF(AR11=regle!$F$12,regle!$F$11,
IF(AR11=regle!$G$12,regle!$G$11,
IF(AR11=regle!$H$12,regle!$H$11,
IF(AR11=regle!$I$12,regle!$I$11,""))))))))))</f>
        <v/>
      </c>
      <c r="Y11" t="str">
        <f>IF(NOT($A11),"",
IF(AS11=-2,regle!$J$11,
IF(AS11=regle!$B$12,regle!$B$11,
IF(AS11=regle!$C$12,regle!$C$11,
IF(AS11=regle!$D$12,regle!$D$11,
IF(AS11=regle!$E$12,regle!$E$11,
IF(AS11=regle!$F$12,regle!$F$11,
IF(AS11=regle!$G$12,regle!$G$11,
IF(AS11=regle!$H$12,regle!$H$11,
IF(AS11=regle!$I$12,regle!$I$11,""))))))))))</f>
        <v/>
      </c>
      <c r="Z11" t="str">
        <f>IF(NOT($A11),"",
IF(AT11=-2,regle!$J$11,
IF(AT11=regle!$B$12,regle!$B$11,
IF(AT11=regle!$C$12,regle!$C$11,
IF(AT11=regle!$D$12,regle!$D$11,
IF(AT11=regle!$E$12,regle!$E$11,
IF(AT11=regle!$F$12,regle!$F$11,
IF(AT11=regle!$G$12,regle!$G$11,
IF(AT11=regle!$H$12,regle!$H$11,
IF(AT11=regle!$I$12,regle!$I$11,""))))))))))</f>
        <v>ENT1</v>
      </c>
      <c r="AA11" t="str">
        <f>IF(NOT($A11),"",
IF(AU11=-2,regle!$J$11,
IF(AU11=regle!$B$12,regle!$B$11,
IF(AU11=regle!$C$12,regle!$C$11,
IF(AU11=regle!$D$12,regle!$D$11,
IF(AU11=regle!$E$12,regle!$E$11,
IF(AU11=regle!$F$12,regle!$F$11,
IF(AU11=regle!$G$12,regle!$G$11,
IF(AU11=regle!$H$12,regle!$H$11,
IF(AU11=regle!$I$12,regle!$I$11,""))))))))))</f>
        <v/>
      </c>
      <c r="AB11" t="str">
        <f>IF(NOT($A11),"",
IF(AV11=-2,regle!$J$11,
IF(AV11=regle!$B$12,regle!$B$11,
IF(AV11=regle!$C$12,regle!$C$11,
IF(AV11=regle!$D$12,regle!$D$11,
IF(AV11=regle!$E$12,regle!$E$11,
IF(AV11=regle!$F$12,regle!$F$11,
IF(AV11=regle!$G$12,regle!$G$11,
IF(AV11=regle!$H$12,regle!$H$11,
IF(AV11=regle!$I$12,regle!$I$11,""))))))))))</f>
        <v/>
      </c>
      <c r="AC11" t="str">
        <f>IF(NOT($A11),"",
IF(AW11=-2,regle!$J$11,
IF(AW11=regle!$B$12,regle!$B$11,
IF(AW11=regle!$C$12,regle!$C$11,
IF(AW11=regle!$D$12,regle!$D$11,
IF(AW11=regle!$E$12,regle!$E$11,
IF(AW11=regle!$F$12,regle!$F$11,
IF(AW11=regle!$G$12,regle!$G$11,
IF(AW11=regle!$H$12,regle!$H$11,
IF(AW11=regle!$I$12,regle!$I$11,""))))))))))</f>
        <v>ENT2</v>
      </c>
      <c r="AD11" t="str">
        <f>IF(NOT($A11),"",
IF(AX11=-2,regle!$J$11,
IF(AX11=regle!$B$12,regle!$B$11,
IF(AX11=regle!$C$12,regle!$C$11,
IF(AX11=regle!$D$12,regle!$D$11,
IF(AX11=regle!$E$12,regle!$E$11,
IF(AX11=regle!$F$12,regle!$F$11,
IF(AX11=regle!$G$12,regle!$G$11,
IF(AX11=regle!$H$12,regle!$H$11,
IF(AX11=regle!$I$12,regle!$I$11,""))))))))))</f>
        <v/>
      </c>
      <c r="AE11" s="14">
        <f>IF($A11,$M11*(IF(U11=regle!$B$11,regle!$B$23,IF(U11=regle!$C$11,regle!$C$23,IF(U11=regle!$D$11,regle!$D$23,IF(U11=regle!$E$11,regle!$E$23,IF(U11=regle!$F$11,regle!$F$23,IF(U11=regle!$G$11,regle!$G$23,IF(U11=regle!$H$11,regle!$H$23,IF(U11=regle!$I$11,regle!$I$23,IF(U11=regle!$J$11,regle!$J$23,0)))))))))))</f>
        <v>-2626.5</v>
      </c>
      <c r="AF11" s="14">
        <f>IF($A11,$M11*(IF(V11=regle!$B$11,regle!$B$23,IF(V11=regle!$C$11,regle!$C$23,IF(V11=regle!$D$11,regle!$D$23,IF(V11=regle!$E$11,regle!$E$23,IF(V11=regle!$F$11,regle!$F$23,IF(V11=regle!$G$11,regle!$G$23,IF(V11=regle!$H$11,regle!$H$23,IF(V11=regle!$I$11,regle!$I$23,IF(V11=regle!$J$11,regle!$J$23,0)))))))))))</f>
        <v>0</v>
      </c>
      <c r="AG11" s="14">
        <f>IF($A11,$M11*(IF(W11=regle!$B$11,regle!$B$23,IF(W11=regle!$C$11,regle!$C$23,IF(W11=regle!$D$11,regle!$D$23,IF(W11=regle!$E$11,regle!$E$23,IF(W11=regle!$F$11,regle!$F$23,IF(W11=regle!$G$11,regle!$G$23,IF(W11=regle!$H$11,regle!$H$23,IF(W11=regle!$I$11,regle!$I$23,IF(W11=regle!$J$11,regle!$J$23,0)))))))))))</f>
        <v>-115.875</v>
      </c>
      <c r="AH11" s="14">
        <f>IF($A11,$M11*(IF(X11=regle!$B$11,regle!$B$23,IF(X11=regle!$C$11,regle!$C$23,IF(X11=regle!$D$11,regle!$D$23,IF(X11=regle!$E$11,regle!$E$23,IF(X11=regle!$F$11,regle!$F$23,IF(X11=regle!$G$11,regle!$G$23,IF(X11=regle!$H$11,regle!$H$23,IF(X11=regle!$I$11,regle!$I$23,IF(X11=regle!$J$11,regle!$J$23,0)))))))))))</f>
        <v>0</v>
      </c>
      <c r="AI11" s="14">
        <f>IF($A11,$M11*(IF(Y11=regle!$B$11,regle!$B$23,IF(Y11=regle!$C$11,regle!$C$23,IF(Y11=regle!$D$11,regle!$D$23,IF(Y11=regle!$E$11,regle!$E$23,IF(Y11=regle!$F$11,regle!$F$23,IF(Y11=regle!$G$11,regle!$G$23,IF(Y11=regle!$H$11,regle!$H$23,IF(Y11=regle!$I$11,regle!$I$23,IF(Y11=regle!$J$11,regle!$J$23,0)))))))))))</f>
        <v>0</v>
      </c>
      <c r="AJ11" s="14">
        <f>IF($A11,$M11*(IF(Z11=regle!$B$11,regle!$B$23,IF(Z11=regle!$C$11,regle!$C$23,IF(Z11=regle!$D$11,regle!$D$23,IF(Z11=regle!$E$11,regle!$E$23,IF(Z11=regle!$F$11,regle!$F$23,IF(Z11=regle!$G$11,regle!$G$23,IF(Z11=regle!$H$11,regle!$H$23,IF(Z11=regle!$I$11,regle!$I$23,IF(Z11=regle!$J$11,regle!$J$23,0)))))))))))</f>
        <v>-139.04999999999998</v>
      </c>
      <c r="AK11" s="14">
        <f>IF($A11,$M11*(IF(AA11=regle!$B$11,regle!$B$23,IF(AA11=regle!$C$11,regle!$C$23,IF(AA11=regle!$D$11,regle!$D$23,IF(AA11=regle!$E$11,regle!$E$23,IF(AA11=regle!$F$11,regle!$F$23,IF(AA11=regle!$G$11,regle!$G$23,IF(AA11=regle!$H$11,regle!$H$23,IF(AA11=regle!$I$11,regle!$I$23,IF(AA11=regle!$J$11,regle!$J$23,0)))))))))))</f>
        <v>0</v>
      </c>
      <c r="AL11" s="14">
        <f>IF($A11,$M11*(IF(AB11=regle!$B$11,regle!$B$23,IF(AB11=regle!$C$11,regle!$C$23,IF(AB11=regle!$D$11,regle!$D$23,IF(AB11=regle!$E$11,regle!$E$23,IF(AB11=regle!$F$11,regle!$F$23,IF(AB11=regle!$G$11,regle!$G$23,IF(AB11=regle!$H$11,regle!$H$23,IF(AB11=regle!$I$11,regle!$I$23,IF(AB11=regle!$J$11,regle!$J$23,0)))))))))))</f>
        <v>0</v>
      </c>
      <c r="AM11" s="14">
        <f>IF($A11,$M11*(IF(AC11=regle!$B$11,regle!$B$23,IF(AC11=regle!$C$11,regle!$C$23,IF(AC11=regle!$D$11,regle!$D$23,IF(AC11=regle!$E$11,regle!$E$23,IF(AC11=regle!$F$11,regle!$F$23,IF(AC11=regle!$G$11,regle!$G$23,IF(AC11=regle!$H$11,regle!$H$23,IF(AC11=regle!$I$11,regle!$I$23,IF(AC11=regle!$J$11,regle!$J$23,0)))))))))))</f>
        <v>-139.04999999999998</v>
      </c>
      <c r="AN11" s="14">
        <f>IF($A11,$M11*(IF(AD11=regle!$B$11,regle!$B$23,IF(AD11=regle!$C$11,regle!$C$23,IF(AD11=regle!$D$11,regle!$D$23,IF(AD11=regle!$E$11,regle!$E$23,IF(AD11=regle!$F$11,regle!$F$23,IF(AD11=regle!$G$11,regle!$G$23,IF(AD11=regle!$H$11,regle!$H$23,IF(AD11=regle!$I$11,regle!$I$23,IF(AD11=regle!$J$11,regle!$J$23,0)))))))))))</f>
        <v>0</v>
      </c>
      <c r="AO11">
        <f>IF(AO$1=$AO$1,IF(regle!B$2-$Q11&gt;=regle!$J$12,-2,IF($S11,IF(regle!$B$2-$Q11&gt;=2,0,-1),regle!B$2-$Q11)),IF(AN11+1&gt;=regle!$J$12,-2,AN11+1))</f>
        <v>0</v>
      </c>
      <c r="AP11">
        <f>IF(AP$1=$AO$1,IF(regle!C$2-$Q11&gt;=regle!$J$12,-2,IF($S11,IF(regle!$B$2-$Q11&gt;=2,0,-1),regle!C$2-$Q11)),IF(AO11+1&gt;=regle!$J$12,-2,AO11+1))</f>
        <v>1</v>
      </c>
      <c r="AQ11">
        <f>IF(AQ$1=$AO$1,IF(regle!D$2-$Q11&gt;=regle!$J$12,-2,IF($S11,IF(regle!$B$2-$Q11&gt;=2,0,-1),regle!D$2-$Q11)),IF(AP11+1&gt;=regle!$J$12,-2,AP11+1))</f>
        <v>2</v>
      </c>
      <c r="AR11">
        <f>IF(AR$1=$AO$1,IF(regle!E$2-$Q11&gt;=regle!$J$12,-2,IF($S11,IF(regle!$B$2-$Q11&gt;=2,0,-1),regle!E$2-$Q11)),IF(AQ11+1&gt;=regle!$J$12,-2,AQ11+1))</f>
        <v>3</v>
      </c>
      <c r="AS11">
        <f>IF(AS$1=$AO$1,IF(regle!F$2-$Q11&gt;=regle!$J$12,-2,IF($S11,IF(regle!$B$2-$Q11&gt;=2,0,-1),regle!F$2-$Q11)),IF(AR11+1&gt;=regle!$J$12,-2,AR11+1))</f>
        <v>4</v>
      </c>
      <c r="AT11">
        <f>IF(AT$1=$AO$1,IF(regle!G$2-$Q11&gt;=regle!$J$12,-2,IF($S11,IF(regle!$B$2-$Q11&gt;=2,0,-1),regle!G$2-$Q11)),IF(AS11+1&gt;=regle!$J$12,-2,AS11+1))</f>
        <v>5</v>
      </c>
      <c r="AU11">
        <f>IF(AU$1=$AO$1,IF(regle!H$2-$Q11&gt;=regle!$J$12,-2,IF($S11,IF(regle!$B$2-$Q11&gt;=2,0,-1),regle!H$2-$Q11)),IF(AT11+1&gt;=regle!$J$12,-2,AT11+1))</f>
        <v>6</v>
      </c>
      <c r="AV11">
        <f>IF(AV$1=$AO$1,IF(regle!I$2-$Q11&gt;=regle!$J$12,-2,IF($S11,IF(regle!$B$2-$Q11&gt;=2,0,-1),regle!I$2-$Q11)),IF(AU11+1&gt;=regle!$J$12,-2,AU11+1))</f>
        <v>7</v>
      </c>
      <c r="AW11">
        <f>IF(AW$1=$AO$1,IF(regle!J$2-$Q11&gt;=regle!$J$12,-2,IF($S11,IF(regle!$B$2-$Q11&gt;=2,0,-1),regle!J$2-$Q11)),IF(AV11+1&gt;=regle!$J$12,-2,AV11+1))</f>
        <v>8</v>
      </c>
      <c r="AX11">
        <f>IF(AX$1=$AO$1,IF(regle!K$2-$Q11&gt;=regle!$J$12,-2,IF($S11,IF(regle!$B$2-$Q11&gt;=2,0,-1),regle!K$2-$Q11)),IF(AW11+1&gt;=regle!$J$12,-2,AW11+1))</f>
        <v>9</v>
      </c>
    </row>
    <row r="12" spans="1:50" x14ac:dyDescent="0.25">
      <c r="A12" t="b">
        <f>AND(modif0[[#This Row],[cdstr]]&lt;&gt;0,OR(regle!$H$27=FALSE,modif0[[#This Row],[essnc]]="PM"))</f>
        <v>1</v>
      </c>
      <c r="B12">
        <f>ROW(objet!A12)</f>
        <v>12</v>
      </c>
      <c r="C12" s="10" t="str">
        <f>objet!D12</f>
        <v>2020000A1312</v>
      </c>
      <c r="D12" t="str">
        <f>LEFT(modif0[[#This Row],[cdstr]],3)</f>
        <v>202</v>
      </c>
      <c r="E12" s="10" t="str">
        <f>objet!G12</f>
        <v>HOSTENS</v>
      </c>
      <c r="F12">
        <f>LEN(modif0[[#This Row],[l_dt]])</f>
        <v>11</v>
      </c>
      <c r="G12" s="10" t="str">
        <f>objet!H12</f>
        <v>L'ARGILEYRE</v>
      </c>
      <c r="H12" s="10" t="str">
        <f>objet!C12</f>
        <v>A1312k</v>
      </c>
      <c r="I12" t="str">
        <f>IF(ISNUMBER(VALUE(RIGHT(LEFT(modif0[[#This Row],[idntfn]],2),1))),_xlfn.CONCAT(0,LEFT(modif0[[#This Row],[idntfn]],1)),LEFT(modif0[[#This Row],[idntfn]],2))</f>
        <v>0A</v>
      </c>
      <c r="J12">
        <f>VALUE(LEFT(RIGHT(modif0[[#This Row],[idntfn]],LEN(modif0[[#This Row],[idntfn]])-IF(LEFT(modif0[[#This Row],[sctn]],1)="0",1,2)),LEN(modif0[[#This Row],[idntfn]])-IF(LEFT(modif0[[#This Row],[sctn]],1)="0",1,2)-LEN(modif0[[#This Row],[lttr]])))</f>
        <v>1312</v>
      </c>
      <c r="K12" t="str">
        <f>IF(ISNUMBER(VALUE(RIGHT(modif0[[#This Row],[idntfn]],1))),"",IF(ISNUMBER(VALUE(LEFT(RIGHT(modif0[[#This Row],[idntfn]],2),1))),RIGHT(modif0[[#This Row],[idntfn]],1),RIGHT(modif0[[#This Row],[idntfn]],2)))</f>
        <v>k</v>
      </c>
      <c r="L12" s="10">
        <f>objet!I12</f>
        <v>8620</v>
      </c>
      <c r="M12" s="11">
        <f>modif0[[#This Row],[srfc]]/10000</f>
        <v>0.86199999999999999</v>
      </c>
      <c r="N12" s="10" t="str">
        <f>objet!Z12</f>
        <v>PM</v>
      </c>
      <c r="O12" s="10" t="str">
        <f>objet!AA12</f>
        <v>CR2022</v>
      </c>
      <c r="P12" t="str">
        <f>IF(ISNUMBER(modif0[[#This Row],[trvx]]),"",LEFT(modif0[[#This Row],[trvx]],LEN(modif0[[#This Row],[trvx]])-4))</f>
        <v>CR</v>
      </c>
      <c r="Q12">
        <f>VALUE(RIGHT(modif0[[#This Row],[trvx]],4))</f>
        <v>2022</v>
      </c>
      <c r="R12" t="str">
        <f>_xlfn.CONCAT(modif0[[#This Row],[tp]],"-",modif0[[#This Row],[essnc]],"_",modif0[[#This Row],[anns]])</f>
        <v>CR-PM_2022</v>
      </c>
      <c r="S12" t="b">
        <f>modif0[[#This Row],[tp]]="CR"</f>
        <v>1</v>
      </c>
      <c r="T12">
        <v>40</v>
      </c>
      <c r="U12" t="str">
        <f>IF(NOT($A12),"",
IF(AO12=-2,regle!$J$11,
IF(AO12=regle!$B$12,regle!$B$11,
IF(AO12=regle!$C$12,regle!$C$11,
IF(AO12=regle!$D$12,regle!$D$11,
IF(AO12=regle!$E$12,regle!$E$11,
IF(AO12=regle!$F$12,regle!$F$11,
IF(AO12=regle!$G$12,regle!$G$11,
IF(AO12=regle!$H$12,regle!$H$11,
IF(AO12=regle!$I$12,regle!$I$11,""))))))))))</f>
        <v>RBST</v>
      </c>
      <c r="V12" t="str">
        <f>IF(NOT($A12),"",
IF(AP12=-2,regle!$J$11,
IF(AP12=regle!$B$12,regle!$B$11,
IF(AP12=regle!$C$12,regle!$C$11,
IF(AP12=regle!$D$12,regle!$D$11,
IF(AP12=regle!$E$12,regle!$E$11,
IF(AP12=regle!$F$12,regle!$F$11,
IF(AP12=regle!$G$12,regle!$G$11,
IF(AP12=regle!$H$12,regle!$H$11,
IF(AP12=regle!$I$12,regle!$I$11,""))))))))))</f>
        <v/>
      </c>
      <c r="W12" t="str">
        <f>IF(NOT($A12),"",
IF(AQ12=-2,regle!$J$11,
IF(AQ12=regle!$B$12,regle!$B$11,
IF(AQ12=regle!$C$12,regle!$C$11,
IF(AQ12=regle!$D$12,regle!$D$11,
IF(AQ12=regle!$E$12,regle!$E$11,
IF(AQ12=regle!$F$12,regle!$F$11,
IF(AQ12=regle!$G$12,regle!$G$11,
IF(AQ12=regle!$H$12,regle!$H$11,
IF(AQ12=regle!$I$12,regle!$I$11,""))))))))))</f>
        <v>DGT</v>
      </c>
      <c r="X12" t="str">
        <f>IF(NOT($A12),"",
IF(AR12=-2,regle!$J$11,
IF(AR12=regle!$B$12,regle!$B$11,
IF(AR12=regle!$C$12,regle!$C$11,
IF(AR12=regle!$D$12,regle!$D$11,
IF(AR12=regle!$E$12,regle!$E$11,
IF(AR12=regle!$F$12,regle!$F$11,
IF(AR12=regle!$G$12,regle!$G$11,
IF(AR12=regle!$H$12,regle!$H$11,
IF(AR12=regle!$I$12,regle!$I$11,""))))))))))</f>
        <v/>
      </c>
      <c r="Y12" t="str">
        <f>IF(NOT($A12),"",
IF(AS12=-2,regle!$J$11,
IF(AS12=regle!$B$12,regle!$B$11,
IF(AS12=regle!$C$12,regle!$C$11,
IF(AS12=regle!$D$12,regle!$D$11,
IF(AS12=regle!$E$12,regle!$E$11,
IF(AS12=regle!$F$12,regle!$F$11,
IF(AS12=regle!$G$12,regle!$G$11,
IF(AS12=regle!$H$12,regle!$H$11,
IF(AS12=regle!$I$12,regle!$I$11,""))))))))))</f>
        <v/>
      </c>
      <c r="Z12" t="str">
        <f>IF(NOT($A12),"",
IF(AT12=-2,regle!$J$11,
IF(AT12=regle!$B$12,regle!$B$11,
IF(AT12=regle!$C$12,regle!$C$11,
IF(AT12=regle!$D$12,regle!$D$11,
IF(AT12=regle!$E$12,regle!$E$11,
IF(AT12=regle!$F$12,regle!$F$11,
IF(AT12=regle!$G$12,regle!$G$11,
IF(AT12=regle!$H$12,regle!$H$11,
IF(AT12=regle!$I$12,regle!$I$11,""))))))))))</f>
        <v>ENT1</v>
      </c>
      <c r="AA12" t="str">
        <f>IF(NOT($A12),"",
IF(AU12=-2,regle!$J$11,
IF(AU12=regle!$B$12,regle!$B$11,
IF(AU12=regle!$C$12,regle!$C$11,
IF(AU12=regle!$D$12,regle!$D$11,
IF(AU12=regle!$E$12,regle!$E$11,
IF(AU12=regle!$F$12,regle!$F$11,
IF(AU12=regle!$G$12,regle!$G$11,
IF(AU12=regle!$H$12,regle!$H$11,
IF(AU12=regle!$I$12,regle!$I$11,""))))))))))</f>
        <v/>
      </c>
      <c r="AB12" t="str">
        <f>IF(NOT($A12),"",
IF(AV12=-2,regle!$J$11,
IF(AV12=regle!$B$12,regle!$B$11,
IF(AV12=regle!$C$12,regle!$C$11,
IF(AV12=regle!$D$12,regle!$D$11,
IF(AV12=regle!$E$12,regle!$E$11,
IF(AV12=regle!$F$12,regle!$F$11,
IF(AV12=regle!$G$12,regle!$G$11,
IF(AV12=regle!$H$12,regle!$H$11,
IF(AV12=regle!$I$12,regle!$I$11,""))))))))))</f>
        <v/>
      </c>
      <c r="AC12" t="str">
        <f>IF(NOT($A12),"",
IF(AW12=-2,regle!$J$11,
IF(AW12=regle!$B$12,regle!$B$11,
IF(AW12=regle!$C$12,regle!$C$11,
IF(AW12=regle!$D$12,regle!$D$11,
IF(AW12=regle!$E$12,regle!$E$11,
IF(AW12=regle!$F$12,regle!$F$11,
IF(AW12=regle!$G$12,regle!$G$11,
IF(AW12=regle!$H$12,regle!$H$11,
IF(AW12=regle!$I$12,regle!$I$11,""))))))))))</f>
        <v>ENT2</v>
      </c>
      <c r="AD12" t="str">
        <f>IF(NOT($A12),"",
IF(AX12=-2,regle!$J$11,
IF(AX12=regle!$B$12,regle!$B$11,
IF(AX12=regle!$C$12,regle!$C$11,
IF(AX12=regle!$D$12,regle!$D$11,
IF(AX12=regle!$E$12,regle!$E$11,
IF(AX12=regle!$F$12,regle!$F$11,
IF(AX12=regle!$G$12,regle!$G$11,
IF(AX12=regle!$H$12,regle!$H$11,
IF(AX12=regle!$I$12,regle!$I$11,""))))))))))</f>
        <v/>
      </c>
      <c r="AE12" s="14">
        <f>IF($A12,$M12*(IF(U12=regle!$B$11,regle!$B$23,IF(U12=regle!$C$11,regle!$C$23,IF(U12=regle!$D$11,regle!$D$23,IF(U12=regle!$E$11,regle!$E$23,IF(U12=regle!$F$11,regle!$F$23,IF(U12=regle!$G$11,regle!$G$23,IF(U12=regle!$H$11,regle!$H$23,IF(U12=regle!$I$11,regle!$I$23,IF(U12=regle!$J$11,regle!$J$23,0)))))))))))</f>
        <v>-1465.4</v>
      </c>
      <c r="AF12" s="14">
        <f>IF($A12,$M12*(IF(V12=regle!$B$11,regle!$B$23,IF(V12=regle!$C$11,regle!$C$23,IF(V12=regle!$D$11,regle!$D$23,IF(V12=regle!$E$11,regle!$E$23,IF(V12=regle!$F$11,regle!$F$23,IF(V12=regle!$G$11,regle!$G$23,IF(V12=regle!$H$11,regle!$H$23,IF(V12=regle!$I$11,regle!$I$23,IF(V12=regle!$J$11,regle!$J$23,0)))))))))))</f>
        <v>0</v>
      </c>
      <c r="AG12" s="14">
        <f>IF($A12,$M12*(IF(W12=regle!$B$11,regle!$B$23,IF(W12=regle!$C$11,regle!$C$23,IF(W12=regle!$D$11,regle!$D$23,IF(W12=regle!$E$11,regle!$E$23,IF(W12=regle!$F$11,regle!$F$23,IF(W12=regle!$G$11,regle!$G$23,IF(W12=regle!$H$11,regle!$H$23,IF(W12=regle!$I$11,regle!$I$23,IF(W12=regle!$J$11,regle!$J$23,0)))))))))))</f>
        <v>-64.650000000000006</v>
      </c>
      <c r="AH12" s="14">
        <f>IF($A12,$M12*(IF(X12=regle!$B$11,regle!$B$23,IF(X12=regle!$C$11,regle!$C$23,IF(X12=regle!$D$11,regle!$D$23,IF(X12=regle!$E$11,regle!$E$23,IF(X12=regle!$F$11,regle!$F$23,IF(X12=regle!$G$11,regle!$G$23,IF(X12=regle!$H$11,regle!$H$23,IF(X12=regle!$I$11,regle!$I$23,IF(X12=regle!$J$11,regle!$J$23,0)))))))))))</f>
        <v>0</v>
      </c>
      <c r="AI12" s="14">
        <f>IF($A12,$M12*(IF(Y12=regle!$B$11,regle!$B$23,IF(Y12=regle!$C$11,regle!$C$23,IF(Y12=regle!$D$11,regle!$D$23,IF(Y12=regle!$E$11,regle!$E$23,IF(Y12=regle!$F$11,regle!$F$23,IF(Y12=regle!$G$11,regle!$G$23,IF(Y12=regle!$H$11,regle!$H$23,IF(Y12=regle!$I$11,regle!$I$23,IF(Y12=regle!$J$11,regle!$J$23,0)))))))))))</f>
        <v>0</v>
      </c>
      <c r="AJ12" s="14">
        <f>IF($A12,$M12*(IF(Z12=regle!$B$11,regle!$B$23,IF(Z12=regle!$C$11,regle!$C$23,IF(Z12=regle!$D$11,regle!$D$23,IF(Z12=regle!$E$11,regle!$E$23,IF(Z12=regle!$F$11,regle!$F$23,IF(Z12=regle!$G$11,regle!$G$23,IF(Z12=regle!$H$11,regle!$H$23,IF(Z12=regle!$I$11,regle!$I$23,IF(Z12=regle!$J$11,regle!$J$23,0)))))))))))</f>
        <v>-77.58</v>
      </c>
      <c r="AK12" s="14">
        <f>IF($A12,$M12*(IF(AA12=regle!$B$11,regle!$B$23,IF(AA12=regle!$C$11,regle!$C$23,IF(AA12=regle!$D$11,regle!$D$23,IF(AA12=regle!$E$11,regle!$E$23,IF(AA12=regle!$F$11,regle!$F$23,IF(AA12=regle!$G$11,regle!$G$23,IF(AA12=regle!$H$11,regle!$H$23,IF(AA12=regle!$I$11,regle!$I$23,IF(AA12=regle!$J$11,regle!$J$23,0)))))))))))</f>
        <v>0</v>
      </c>
      <c r="AL12" s="14">
        <f>IF($A12,$M12*(IF(AB12=regle!$B$11,regle!$B$23,IF(AB12=regle!$C$11,regle!$C$23,IF(AB12=regle!$D$11,regle!$D$23,IF(AB12=regle!$E$11,regle!$E$23,IF(AB12=regle!$F$11,regle!$F$23,IF(AB12=regle!$G$11,regle!$G$23,IF(AB12=regle!$H$11,regle!$H$23,IF(AB12=regle!$I$11,regle!$I$23,IF(AB12=regle!$J$11,regle!$J$23,0)))))))))))</f>
        <v>0</v>
      </c>
      <c r="AM12" s="14">
        <f>IF($A12,$M12*(IF(AC12=regle!$B$11,regle!$B$23,IF(AC12=regle!$C$11,regle!$C$23,IF(AC12=regle!$D$11,regle!$D$23,IF(AC12=regle!$E$11,regle!$E$23,IF(AC12=regle!$F$11,regle!$F$23,IF(AC12=regle!$G$11,regle!$G$23,IF(AC12=regle!$H$11,regle!$H$23,IF(AC12=regle!$I$11,regle!$I$23,IF(AC12=regle!$J$11,regle!$J$23,0)))))))))))</f>
        <v>-77.58</v>
      </c>
      <c r="AN12" s="14">
        <f>IF($A12,$M12*(IF(AD12=regle!$B$11,regle!$B$23,IF(AD12=regle!$C$11,regle!$C$23,IF(AD12=regle!$D$11,regle!$D$23,IF(AD12=regle!$E$11,regle!$E$23,IF(AD12=regle!$F$11,regle!$F$23,IF(AD12=regle!$G$11,regle!$G$23,IF(AD12=regle!$H$11,regle!$H$23,IF(AD12=regle!$I$11,regle!$I$23,IF(AD12=regle!$J$11,regle!$J$23,0)))))))))))</f>
        <v>0</v>
      </c>
      <c r="AO12">
        <f>IF(AO$1=$AO$1,IF(regle!B$2-$Q12&gt;=regle!$J$12,-2,IF($S12,IF(regle!$B$2-$Q12&gt;=2,0,-1),regle!B$2-$Q12)),IF(AN12+1&gt;=regle!$J$12,-2,AN12+1))</f>
        <v>0</v>
      </c>
      <c r="AP12">
        <f>IF(AP$1=$AO$1,IF(regle!C$2-$Q12&gt;=regle!$J$12,-2,IF($S12,IF(regle!$B$2-$Q12&gt;=2,0,-1),regle!C$2-$Q12)),IF(AO12+1&gt;=regle!$J$12,-2,AO12+1))</f>
        <v>1</v>
      </c>
      <c r="AQ12">
        <f>IF(AQ$1=$AO$1,IF(regle!D$2-$Q12&gt;=regle!$J$12,-2,IF($S12,IF(regle!$B$2-$Q12&gt;=2,0,-1),regle!D$2-$Q12)),IF(AP12+1&gt;=regle!$J$12,-2,AP12+1))</f>
        <v>2</v>
      </c>
      <c r="AR12">
        <f>IF(AR$1=$AO$1,IF(regle!E$2-$Q12&gt;=regle!$J$12,-2,IF($S12,IF(regle!$B$2-$Q12&gt;=2,0,-1),regle!E$2-$Q12)),IF(AQ12+1&gt;=regle!$J$12,-2,AQ12+1))</f>
        <v>3</v>
      </c>
      <c r="AS12">
        <f>IF(AS$1=$AO$1,IF(regle!F$2-$Q12&gt;=regle!$J$12,-2,IF($S12,IF(regle!$B$2-$Q12&gt;=2,0,-1),regle!F$2-$Q12)),IF(AR12+1&gt;=regle!$J$12,-2,AR12+1))</f>
        <v>4</v>
      </c>
      <c r="AT12">
        <f>IF(AT$1=$AO$1,IF(regle!G$2-$Q12&gt;=regle!$J$12,-2,IF($S12,IF(regle!$B$2-$Q12&gt;=2,0,-1),regle!G$2-$Q12)),IF(AS12+1&gt;=regle!$J$12,-2,AS12+1))</f>
        <v>5</v>
      </c>
      <c r="AU12">
        <f>IF(AU$1=$AO$1,IF(regle!H$2-$Q12&gt;=regle!$J$12,-2,IF($S12,IF(regle!$B$2-$Q12&gt;=2,0,-1),regle!H$2-$Q12)),IF(AT12+1&gt;=regle!$J$12,-2,AT12+1))</f>
        <v>6</v>
      </c>
      <c r="AV12">
        <f>IF(AV$1=$AO$1,IF(regle!I$2-$Q12&gt;=regle!$J$12,-2,IF($S12,IF(regle!$B$2-$Q12&gt;=2,0,-1),regle!I$2-$Q12)),IF(AU12+1&gt;=regle!$J$12,-2,AU12+1))</f>
        <v>7</v>
      </c>
      <c r="AW12">
        <f>IF(AW$1=$AO$1,IF(regle!J$2-$Q12&gt;=regle!$J$12,-2,IF($S12,IF(regle!$B$2-$Q12&gt;=2,0,-1),regle!J$2-$Q12)),IF(AV12+1&gt;=regle!$J$12,-2,AV12+1))</f>
        <v>8</v>
      </c>
      <c r="AX12">
        <f>IF(AX$1=$AO$1,IF(regle!K$2-$Q12&gt;=regle!$J$12,-2,IF($S12,IF(regle!$B$2-$Q12&gt;=2,0,-1),regle!K$2-$Q12)),IF(AW12+1&gt;=regle!$J$12,-2,AW12+1))</f>
        <v>9</v>
      </c>
    </row>
    <row r="13" spans="1:50" x14ac:dyDescent="0.25">
      <c r="A13" t="b">
        <f>AND(modif0[[#This Row],[cdstr]]&lt;&gt;0,OR(regle!$H$27=FALSE,modif0[[#This Row],[essnc]]="PM"))</f>
        <v>1</v>
      </c>
      <c r="B13">
        <f>ROW(objet!A13)</f>
        <v>13</v>
      </c>
      <c r="C13" s="10" t="str">
        <f>objet!D13</f>
        <v>5360000A0251</v>
      </c>
      <c r="D13" t="str">
        <f>LEFT(modif0[[#This Row],[cdstr]],3)</f>
        <v>536</v>
      </c>
      <c r="E13" s="10" t="str">
        <f>objet!G13</f>
        <v>LE TUZAN</v>
      </c>
      <c r="F13">
        <f>LEN(modif0[[#This Row],[l_dt]])</f>
        <v>11</v>
      </c>
      <c r="G13" s="10" t="str">
        <f>objet!H13</f>
        <v>LA HONTEYRE</v>
      </c>
      <c r="H13" s="10" t="str">
        <f>objet!C13</f>
        <v>A251</v>
      </c>
      <c r="I13" t="str">
        <f>IF(ISNUMBER(VALUE(RIGHT(LEFT(modif0[[#This Row],[idntfn]],2),1))),_xlfn.CONCAT(0,LEFT(modif0[[#This Row],[idntfn]],1)),LEFT(modif0[[#This Row],[idntfn]],2))</f>
        <v>0A</v>
      </c>
      <c r="J13">
        <f>VALUE(LEFT(RIGHT(modif0[[#This Row],[idntfn]],LEN(modif0[[#This Row],[idntfn]])-IF(LEFT(modif0[[#This Row],[sctn]],1)="0",1,2)),LEN(modif0[[#This Row],[idntfn]])-IF(LEFT(modif0[[#This Row],[sctn]],1)="0",1,2)-LEN(modif0[[#This Row],[lttr]])))</f>
        <v>251</v>
      </c>
      <c r="K13" t="str">
        <f>IF(ISNUMBER(VALUE(RIGHT(modif0[[#This Row],[idntfn]],1))),"",IF(ISNUMBER(VALUE(LEFT(RIGHT(modif0[[#This Row],[idntfn]],2),1))),RIGHT(modif0[[#This Row],[idntfn]],1),RIGHT(modif0[[#This Row],[idntfn]],2)))</f>
        <v/>
      </c>
      <c r="L13" s="10">
        <f>objet!I13</f>
        <v>3125</v>
      </c>
      <c r="M13" s="11">
        <f>modif0[[#This Row],[srfc]]/10000</f>
        <v>0.3125</v>
      </c>
      <c r="N13" s="10" t="str">
        <f>objet!Z13</f>
        <v>PM</v>
      </c>
      <c r="O13" s="10" t="str">
        <f>objet!AA13</f>
        <v>PLA2005</v>
      </c>
      <c r="P13" t="str">
        <f>IF(ISNUMBER(modif0[[#This Row],[trvx]]),"",LEFT(modif0[[#This Row],[trvx]],LEN(modif0[[#This Row],[trvx]])-4))</f>
        <v>PLA</v>
      </c>
      <c r="Q13">
        <f>VALUE(RIGHT(modif0[[#This Row],[trvx]],4))</f>
        <v>2005</v>
      </c>
      <c r="R13" t="str">
        <f>_xlfn.CONCAT(modif0[[#This Row],[tp]],"-",modif0[[#This Row],[essnc]],"_",modif0[[#This Row],[anns]])</f>
        <v>PLA-PM_2005</v>
      </c>
      <c r="S13" t="b">
        <f>modif0[[#This Row],[tp]]="CR"</f>
        <v>0</v>
      </c>
      <c r="T13">
        <v>40</v>
      </c>
      <c r="U13" t="str">
        <f>IF(NOT($A13),"",
IF(AO13=-2,regle!$J$11,
IF(AO13=regle!$B$12,regle!$B$11,
IF(AO13=regle!$C$12,regle!$C$11,
IF(AO13=regle!$D$12,regle!$D$11,
IF(AO13=regle!$E$12,regle!$E$11,
IF(AO13=regle!$F$12,regle!$F$11,
IF(AO13=regle!$G$12,regle!$G$11,
IF(AO13=regle!$H$12,regle!$H$11,
IF(AO13=regle!$I$12,regle!$I$11,""))))))))))</f>
        <v/>
      </c>
      <c r="V13" t="str">
        <f>IF(NOT($A13),"",
IF(AP13=-2,regle!$J$11,
IF(AP13=regle!$B$12,regle!$B$11,
IF(AP13=regle!$C$12,regle!$C$11,
IF(AP13=regle!$D$12,regle!$D$11,
IF(AP13=regle!$E$12,regle!$E$11,
IF(AP13=regle!$F$12,regle!$F$11,
IF(AP13=regle!$G$12,regle!$G$11,
IF(AP13=regle!$H$12,regle!$H$11,
IF(AP13=regle!$I$12,regle!$I$11,""))))))))))</f>
        <v/>
      </c>
      <c r="W13" t="str">
        <f>IF(NOT($A13),"",
IF(AQ13=-2,regle!$J$11,
IF(AQ13=regle!$B$12,regle!$B$11,
IF(AQ13=regle!$C$12,regle!$C$11,
IF(AQ13=regle!$D$12,regle!$D$11,
IF(AQ13=regle!$E$12,regle!$E$11,
IF(AQ13=regle!$F$12,regle!$F$11,
IF(AQ13=regle!$G$12,regle!$G$11,
IF(AQ13=regle!$H$12,regle!$H$11,
IF(AQ13=regle!$I$12,regle!$I$11,""))))))))))</f>
        <v/>
      </c>
      <c r="X13" t="str">
        <f>IF(NOT($A13),"",
IF(AR13=-2,regle!$J$11,
IF(AR13=regle!$B$12,regle!$B$11,
IF(AR13=regle!$C$12,regle!$C$11,
IF(AR13=regle!$D$12,regle!$D$11,
IF(AR13=regle!$E$12,regle!$E$11,
IF(AR13=regle!$F$12,regle!$F$11,
IF(AR13=regle!$G$12,regle!$G$11,
IF(AR13=regle!$H$12,regle!$H$11,
IF(AR13=regle!$I$12,regle!$I$11,""))))))))))</f>
        <v/>
      </c>
      <c r="Y13" t="str">
        <f>IF(NOT($A13),"",
IF(AS13=-2,regle!$J$11,
IF(AS13=regle!$B$12,regle!$B$11,
IF(AS13=regle!$C$12,regle!$C$11,
IF(AS13=regle!$D$12,regle!$D$11,
IF(AS13=regle!$E$12,regle!$E$11,
IF(AS13=regle!$F$12,regle!$F$11,
IF(AS13=regle!$G$12,regle!$G$11,
IF(AS13=regle!$H$12,regle!$H$11,
IF(AS13=regle!$I$12,regle!$I$11,""))))))))))</f>
        <v>EC3</v>
      </c>
      <c r="Z13" t="str">
        <f>IF(NOT($A13),"",
IF(AT13=-2,regle!$J$11,
IF(AT13=regle!$B$12,regle!$B$11,
IF(AT13=regle!$C$12,regle!$C$11,
IF(AT13=regle!$D$12,regle!$D$11,
IF(AT13=regle!$E$12,regle!$E$11,
IF(AT13=regle!$F$12,regle!$F$11,
IF(AT13=regle!$G$12,regle!$G$11,
IF(AT13=regle!$H$12,regle!$H$11,
IF(AT13=regle!$I$12,regle!$I$11,""))))))))))</f>
        <v/>
      </c>
      <c r="AA13" t="str">
        <f>IF(NOT($A13),"",
IF(AU13=-2,regle!$J$11,
IF(AU13=regle!$B$12,regle!$B$11,
IF(AU13=regle!$C$12,regle!$C$11,
IF(AU13=regle!$D$12,regle!$D$11,
IF(AU13=regle!$E$12,regle!$E$11,
IF(AU13=regle!$F$12,regle!$F$11,
IF(AU13=regle!$G$12,regle!$G$11,
IF(AU13=regle!$H$12,regle!$H$11,
IF(AU13=regle!$I$12,regle!$I$11,""))))))))))</f>
        <v/>
      </c>
      <c r="AB13" t="str">
        <f>IF(NOT($A13),"",
IF(AV13=-2,regle!$J$11,
IF(AV13=regle!$B$12,regle!$B$11,
IF(AV13=regle!$C$12,regle!$C$11,
IF(AV13=regle!$D$12,regle!$D$11,
IF(AV13=regle!$E$12,regle!$E$11,
IF(AV13=regle!$F$12,regle!$F$11,
IF(AV13=regle!$G$12,regle!$G$11,
IF(AV13=regle!$H$12,regle!$H$11,
IF(AV13=regle!$I$12,regle!$I$11,""))))))))))</f>
        <v/>
      </c>
      <c r="AC13" t="str">
        <f>IF(NOT($A13),"",
IF(AW13=-2,regle!$J$11,
IF(AW13=regle!$B$12,regle!$B$11,
IF(AW13=regle!$C$12,regle!$C$11,
IF(AW13=regle!$D$12,regle!$D$11,
IF(AW13=regle!$E$12,regle!$E$11,
IF(AW13=regle!$F$12,regle!$F$11,
IF(AW13=regle!$G$12,regle!$G$11,
IF(AW13=regle!$H$12,regle!$H$11,
IF(AW13=regle!$I$12,regle!$I$11,""))))))))))</f>
        <v/>
      </c>
      <c r="AD13" t="str">
        <f>IF(NOT($A13),"",
IF(AX13=-2,regle!$J$11,
IF(AX13=regle!$B$12,regle!$B$11,
IF(AX13=regle!$C$12,regle!$C$11,
IF(AX13=regle!$D$12,regle!$D$11,
IF(AX13=regle!$E$12,regle!$E$11,
IF(AX13=regle!$F$12,regle!$F$11,
IF(AX13=regle!$G$12,regle!$G$11,
IF(AX13=regle!$H$12,regle!$H$11,
IF(AX13=regle!$I$12,regle!$I$11,""))))))))))</f>
        <v>EC4</v>
      </c>
      <c r="AE13" s="14">
        <f>IF($A13,$M13*(IF(U13=regle!$B$11,regle!$B$23,IF(U13=regle!$C$11,regle!$C$23,IF(U13=regle!$D$11,regle!$D$23,IF(U13=regle!$E$11,regle!$E$23,IF(U13=regle!$F$11,regle!$F$23,IF(U13=regle!$G$11,regle!$G$23,IF(U13=regle!$H$11,regle!$H$23,IF(U13=regle!$I$11,regle!$I$23,IF(U13=regle!$J$11,regle!$J$23,0)))))))))))</f>
        <v>0</v>
      </c>
      <c r="AF13" s="14">
        <f>IF($A13,$M13*(IF(V13=regle!$B$11,regle!$B$23,IF(V13=regle!$C$11,regle!$C$23,IF(V13=regle!$D$11,regle!$D$23,IF(V13=regle!$E$11,regle!$E$23,IF(V13=regle!$F$11,regle!$F$23,IF(V13=regle!$G$11,regle!$G$23,IF(V13=regle!$H$11,regle!$H$23,IF(V13=regle!$I$11,regle!$I$23,IF(V13=regle!$J$11,regle!$J$23,0)))))))))))</f>
        <v>0</v>
      </c>
      <c r="AG13" s="14">
        <f>IF($A13,$M13*(IF(W13=regle!$B$11,regle!$B$23,IF(W13=regle!$C$11,regle!$C$23,IF(W13=regle!$D$11,regle!$D$23,IF(W13=regle!$E$11,regle!$E$23,IF(W13=regle!$F$11,regle!$F$23,IF(W13=regle!$G$11,regle!$G$23,IF(W13=regle!$H$11,regle!$H$23,IF(W13=regle!$I$11,regle!$I$23,IF(W13=regle!$J$11,regle!$J$23,0)))))))))))</f>
        <v>0</v>
      </c>
      <c r="AH13" s="14">
        <f>IF($A13,$M13*(IF(X13=regle!$B$11,regle!$B$23,IF(X13=regle!$C$11,regle!$C$23,IF(X13=regle!$D$11,regle!$D$23,IF(X13=regle!$E$11,regle!$E$23,IF(X13=regle!$F$11,regle!$F$23,IF(X13=regle!$G$11,regle!$G$23,IF(X13=regle!$H$11,regle!$H$23,IF(X13=regle!$I$11,regle!$I$23,IF(X13=regle!$J$11,regle!$J$23,0)))))))))))</f>
        <v>0</v>
      </c>
      <c r="AI13" s="14">
        <f>IF($A13,$M13*(IF(Y13=regle!$B$11,regle!$B$23,IF(Y13=regle!$C$11,regle!$C$23,IF(Y13=regle!$D$11,regle!$D$23,IF(Y13=regle!$E$11,regle!$E$23,IF(Y13=regle!$F$11,regle!$F$23,IF(Y13=regle!$G$11,regle!$G$23,IF(Y13=regle!$H$11,regle!$H$23,IF(Y13=regle!$I$11,regle!$I$23,IF(Y13=regle!$J$11,regle!$J$23,0)))))))))))</f>
        <v>440</v>
      </c>
      <c r="AJ13" s="14">
        <f>IF($A13,$M13*(IF(Z13=regle!$B$11,regle!$B$23,IF(Z13=regle!$C$11,regle!$C$23,IF(Z13=regle!$D$11,regle!$D$23,IF(Z13=regle!$E$11,regle!$E$23,IF(Z13=regle!$F$11,regle!$F$23,IF(Z13=regle!$G$11,regle!$G$23,IF(Z13=regle!$H$11,regle!$H$23,IF(Z13=regle!$I$11,regle!$I$23,IF(Z13=regle!$J$11,regle!$J$23,0)))))))))))</f>
        <v>0</v>
      </c>
      <c r="AK13" s="14">
        <f>IF($A13,$M13*(IF(AA13=regle!$B$11,regle!$B$23,IF(AA13=regle!$C$11,regle!$C$23,IF(AA13=regle!$D$11,regle!$D$23,IF(AA13=regle!$E$11,regle!$E$23,IF(AA13=regle!$F$11,regle!$F$23,IF(AA13=regle!$G$11,regle!$G$23,IF(AA13=regle!$H$11,regle!$H$23,IF(AA13=regle!$I$11,regle!$I$23,IF(AA13=regle!$J$11,regle!$J$23,0)))))))))))</f>
        <v>0</v>
      </c>
      <c r="AL13" s="14">
        <f>IF($A13,$M13*(IF(AB13=regle!$B$11,regle!$B$23,IF(AB13=regle!$C$11,regle!$C$23,IF(AB13=regle!$D$11,regle!$D$23,IF(AB13=regle!$E$11,regle!$E$23,IF(AB13=regle!$F$11,regle!$F$23,IF(AB13=regle!$G$11,regle!$G$23,IF(AB13=regle!$H$11,regle!$H$23,IF(AB13=regle!$I$11,regle!$I$23,IF(AB13=regle!$J$11,regle!$J$23,0)))))))))))</f>
        <v>0</v>
      </c>
      <c r="AM13" s="14">
        <f>IF($A13,$M13*(IF(AC13=regle!$B$11,regle!$B$23,IF(AC13=regle!$C$11,regle!$C$23,IF(AC13=regle!$D$11,regle!$D$23,IF(AC13=regle!$E$11,regle!$E$23,IF(AC13=regle!$F$11,regle!$F$23,IF(AC13=regle!$G$11,regle!$G$23,IF(AC13=regle!$H$11,regle!$H$23,IF(AC13=regle!$I$11,regle!$I$23,IF(AC13=regle!$J$11,regle!$J$23,0)))))))))))</f>
        <v>0</v>
      </c>
      <c r="AN13" s="14">
        <f>IF($A13,$M13*(IF(AD13=regle!$B$11,regle!$B$23,IF(AD13=regle!$C$11,regle!$C$23,IF(AD13=regle!$D$11,regle!$D$23,IF(AD13=regle!$E$11,regle!$E$23,IF(AD13=regle!$F$11,regle!$F$23,IF(AD13=regle!$G$11,regle!$G$23,IF(AD13=regle!$H$11,regle!$H$23,IF(AD13=regle!$I$11,regle!$I$23,IF(AD13=regle!$J$11,regle!$J$23,0)))))))))))</f>
        <v>400</v>
      </c>
      <c r="AO13">
        <f>IF(AO$1=$AO$1,IF(regle!B$2-$Q13&gt;=regle!$J$12,-2,IF($S13,IF(regle!$B$2-$Q13&gt;=2,0,-1),regle!B$2-$Q13)),IF(AN13+1&gt;=regle!$J$12,-2,AN13+1))</f>
        <v>19</v>
      </c>
      <c r="AP13">
        <f>IF(AP$1=$AO$1,IF(regle!C$2-$Q13&gt;=regle!$J$12,-2,IF($S13,IF(regle!$B$2-$Q13&gt;=2,0,-1),regle!C$2-$Q13)),IF(AO13+1&gt;=regle!$J$12,-2,AO13+1))</f>
        <v>20</v>
      </c>
      <c r="AQ13">
        <f>IF(AQ$1=$AO$1,IF(regle!D$2-$Q13&gt;=regle!$J$12,-2,IF($S13,IF(regle!$B$2-$Q13&gt;=2,0,-1),regle!D$2-$Q13)),IF(AP13+1&gt;=regle!$J$12,-2,AP13+1))</f>
        <v>21</v>
      </c>
      <c r="AR13">
        <f>IF(AR$1=$AO$1,IF(regle!E$2-$Q13&gt;=regle!$J$12,-2,IF($S13,IF(regle!$B$2-$Q13&gt;=2,0,-1),regle!E$2-$Q13)),IF(AQ13+1&gt;=regle!$J$12,-2,AQ13+1))</f>
        <v>22</v>
      </c>
      <c r="AS13">
        <f>IF(AS$1=$AO$1,IF(regle!F$2-$Q13&gt;=regle!$J$12,-2,IF($S13,IF(regle!$B$2-$Q13&gt;=2,0,-1),regle!F$2-$Q13)),IF(AR13+1&gt;=regle!$J$12,-2,AR13+1))</f>
        <v>23</v>
      </c>
      <c r="AT13">
        <f>IF(AT$1=$AO$1,IF(regle!G$2-$Q13&gt;=regle!$J$12,-2,IF($S13,IF(regle!$B$2-$Q13&gt;=2,0,-1),regle!G$2-$Q13)),IF(AS13+1&gt;=regle!$J$12,-2,AS13+1))</f>
        <v>24</v>
      </c>
      <c r="AU13">
        <f>IF(AU$1=$AO$1,IF(regle!H$2-$Q13&gt;=regle!$J$12,-2,IF($S13,IF(regle!$B$2-$Q13&gt;=2,0,-1),regle!H$2-$Q13)),IF(AT13+1&gt;=regle!$J$12,-2,AT13+1))</f>
        <v>25</v>
      </c>
      <c r="AV13">
        <f>IF(AV$1=$AO$1,IF(regle!I$2-$Q13&gt;=regle!$J$12,-2,IF($S13,IF(regle!$B$2-$Q13&gt;=2,0,-1),regle!I$2-$Q13)),IF(AU13+1&gt;=regle!$J$12,-2,AU13+1))</f>
        <v>26</v>
      </c>
      <c r="AW13">
        <f>IF(AW$1=$AO$1,IF(regle!J$2-$Q13&gt;=regle!$J$12,-2,IF($S13,IF(regle!$B$2-$Q13&gt;=2,0,-1),regle!J$2-$Q13)),IF(AV13+1&gt;=regle!$J$12,-2,AV13+1))</f>
        <v>27</v>
      </c>
      <c r="AX13">
        <f>IF(AX$1=$AO$1,IF(regle!K$2-$Q13&gt;=regle!$J$12,-2,IF($S13,IF(regle!$B$2-$Q13&gt;=2,0,-1),regle!K$2-$Q13)),IF(AW13+1&gt;=regle!$J$12,-2,AW13+1))</f>
        <v>28</v>
      </c>
    </row>
    <row r="14" spans="1:50" x14ac:dyDescent="0.25">
      <c r="A14" t="b">
        <f>AND(modif0[[#This Row],[cdstr]]&lt;&gt;0,OR(regle!$H$27=FALSE,modif0[[#This Row],[essnc]]="PM"))</f>
        <v>1</v>
      </c>
      <c r="B14">
        <f>ROW(objet!A14)</f>
        <v>14</v>
      </c>
      <c r="C14" s="10" t="str">
        <f>objet!D14</f>
        <v>5360000A0253</v>
      </c>
      <c r="D14" t="str">
        <f>LEFT(modif0[[#This Row],[cdstr]],3)</f>
        <v>536</v>
      </c>
      <c r="E14" s="10" t="str">
        <f>objet!G14</f>
        <v>LE TUZAN</v>
      </c>
      <c r="F14">
        <f>LEN(modif0[[#This Row],[l_dt]])</f>
        <v>11</v>
      </c>
      <c r="G14" s="10" t="str">
        <f>objet!H14</f>
        <v>LA HONTEYRE</v>
      </c>
      <c r="H14" s="10" t="str">
        <f>objet!C14</f>
        <v>A253</v>
      </c>
      <c r="I14" t="str">
        <f>IF(ISNUMBER(VALUE(RIGHT(LEFT(modif0[[#This Row],[idntfn]],2),1))),_xlfn.CONCAT(0,LEFT(modif0[[#This Row],[idntfn]],1)),LEFT(modif0[[#This Row],[idntfn]],2))</f>
        <v>0A</v>
      </c>
      <c r="J14">
        <f>VALUE(LEFT(RIGHT(modif0[[#This Row],[idntfn]],LEN(modif0[[#This Row],[idntfn]])-IF(LEFT(modif0[[#This Row],[sctn]],1)="0",1,2)),LEN(modif0[[#This Row],[idntfn]])-IF(LEFT(modif0[[#This Row],[sctn]],1)="0",1,2)-LEN(modif0[[#This Row],[lttr]])))</f>
        <v>253</v>
      </c>
      <c r="K14" t="str">
        <f>IF(ISNUMBER(VALUE(RIGHT(modif0[[#This Row],[idntfn]],1))),"",IF(ISNUMBER(VALUE(LEFT(RIGHT(modif0[[#This Row],[idntfn]],2),1))),RIGHT(modif0[[#This Row],[idntfn]],1),RIGHT(modif0[[#This Row],[idntfn]],2)))</f>
        <v/>
      </c>
      <c r="L14" s="10">
        <f>objet!I14</f>
        <v>35975</v>
      </c>
      <c r="M14" s="11">
        <f>modif0[[#This Row],[srfc]]/10000</f>
        <v>3.5975000000000001</v>
      </c>
      <c r="N14" s="10" t="str">
        <f>objet!Z14</f>
        <v>PM</v>
      </c>
      <c r="O14" s="10" t="str">
        <f>objet!AA14</f>
        <v>PLA2005</v>
      </c>
      <c r="P14" t="str">
        <f>IF(ISNUMBER(modif0[[#This Row],[trvx]]),"",LEFT(modif0[[#This Row],[trvx]],LEN(modif0[[#This Row],[trvx]])-4))</f>
        <v>PLA</v>
      </c>
      <c r="Q14">
        <f>VALUE(RIGHT(modif0[[#This Row],[trvx]],4))</f>
        <v>2005</v>
      </c>
      <c r="R14" t="str">
        <f>_xlfn.CONCAT(modif0[[#This Row],[tp]],"-",modif0[[#This Row],[essnc]],"_",modif0[[#This Row],[anns]])</f>
        <v>PLA-PM_2005</v>
      </c>
      <c r="S14" t="b">
        <f>modif0[[#This Row],[tp]]="CR"</f>
        <v>0</v>
      </c>
      <c r="T14">
        <v>40</v>
      </c>
      <c r="U14" t="str">
        <f>IF(NOT($A14),"",
IF(AO14=-2,regle!$J$11,
IF(AO14=regle!$B$12,regle!$B$11,
IF(AO14=regle!$C$12,regle!$C$11,
IF(AO14=regle!$D$12,regle!$D$11,
IF(AO14=regle!$E$12,regle!$E$11,
IF(AO14=regle!$F$12,regle!$F$11,
IF(AO14=regle!$G$12,regle!$G$11,
IF(AO14=regle!$H$12,regle!$H$11,
IF(AO14=regle!$I$12,regle!$I$11,""))))))))))</f>
        <v/>
      </c>
      <c r="V14" t="str">
        <f>IF(NOT($A14),"",
IF(AP14=-2,regle!$J$11,
IF(AP14=regle!$B$12,regle!$B$11,
IF(AP14=regle!$C$12,regle!$C$11,
IF(AP14=regle!$D$12,regle!$D$11,
IF(AP14=regle!$E$12,regle!$E$11,
IF(AP14=regle!$F$12,regle!$F$11,
IF(AP14=regle!$G$12,regle!$G$11,
IF(AP14=regle!$H$12,regle!$H$11,
IF(AP14=regle!$I$12,regle!$I$11,""))))))))))</f>
        <v/>
      </c>
      <c r="W14" t="str">
        <f>IF(NOT($A14),"",
IF(AQ14=-2,regle!$J$11,
IF(AQ14=regle!$B$12,regle!$B$11,
IF(AQ14=regle!$C$12,regle!$C$11,
IF(AQ14=regle!$D$12,regle!$D$11,
IF(AQ14=regle!$E$12,regle!$E$11,
IF(AQ14=regle!$F$12,regle!$F$11,
IF(AQ14=regle!$G$12,regle!$G$11,
IF(AQ14=regle!$H$12,regle!$H$11,
IF(AQ14=regle!$I$12,regle!$I$11,""))))))))))</f>
        <v/>
      </c>
      <c r="X14" t="str">
        <f>IF(NOT($A14),"",
IF(AR14=-2,regle!$J$11,
IF(AR14=regle!$B$12,regle!$B$11,
IF(AR14=regle!$C$12,regle!$C$11,
IF(AR14=regle!$D$12,regle!$D$11,
IF(AR14=regle!$E$12,regle!$E$11,
IF(AR14=regle!$F$12,regle!$F$11,
IF(AR14=regle!$G$12,regle!$G$11,
IF(AR14=regle!$H$12,regle!$H$11,
IF(AR14=regle!$I$12,regle!$I$11,""))))))))))</f>
        <v/>
      </c>
      <c r="Y14" t="str">
        <f>IF(NOT($A14),"",
IF(AS14=-2,regle!$J$11,
IF(AS14=regle!$B$12,regle!$B$11,
IF(AS14=regle!$C$12,regle!$C$11,
IF(AS14=regle!$D$12,regle!$D$11,
IF(AS14=regle!$E$12,regle!$E$11,
IF(AS14=regle!$F$12,regle!$F$11,
IF(AS14=regle!$G$12,regle!$G$11,
IF(AS14=regle!$H$12,regle!$H$11,
IF(AS14=regle!$I$12,regle!$I$11,""))))))))))</f>
        <v>EC3</v>
      </c>
      <c r="Z14" t="str">
        <f>IF(NOT($A14),"",
IF(AT14=-2,regle!$J$11,
IF(AT14=regle!$B$12,regle!$B$11,
IF(AT14=regle!$C$12,regle!$C$11,
IF(AT14=regle!$D$12,regle!$D$11,
IF(AT14=regle!$E$12,regle!$E$11,
IF(AT14=regle!$F$12,regle!$F$11,
IF(AT14=regle!$G$12,regle!$G$11,
IF(AT14=regle!$H$12,regle!$H$11,
IF(AT14=regle!$I$12,regle!$I$11,""))))))))))</f>
        <v/>
      </c>
      <c r="AA14" t="str">
        <f>IF(NOT($A14),"",
IF(AU14=-2,regle!$J$11,
IF(AU14=regle!$B$12,regle!$B$11,
IF(AU14=regle!$C$12,regle!$C$11,
IF(AU14=regle!$D$12,regle!$D$11,
IF(AU14=regle!$E$12,regle!$E$11,
IF(AU14=regle!$F$12,regle!$F$11,
IF(AU14=regle!$G$12,regle!$G$11,
IF(AU14=regle!$H$12,regle!$H$11,
IF(AU14=regle!$I$12,regle!$I$11,""))))))))))</f>
        <v/>
      </c>
      <c r="AB14" t="str">
        <f>IF(NOT($A14),"",
IF(AV14=-2,regle!$J$11,
IF(AV14=regle!$B$12,regle!$B$11,
IF(AV14=regle!$C$12,regle!$C$11,
IF(AV14=regle!$D$12,regle!$D$11,
IF(AV14=regle!$E$12,regle!$E$11,
IF(AV14=regle!$F$12,regle!$F$11,
IF(AV14=regle!$G$12,regle!$G$11,
IF(AV14=regle!$H$12,regle!$H$11,
IF(AV14=regle!$I$12,regle!$I$11,""))))))))))</f>
        <v/>
      </c>
      <c r="AC14" t="str">
        <f>IF(NOT($A14),"",
IF(AW14=-2,regle!$J$11,
IF(AW14=regle!$B$12,regle!$B$11,
IF(AW14=regle!$C$12,regle!$C$11,
IF(AW14=regle!$D$12,regle!$D$11,
IF(AW14=regle!$E$12,regle!$E$11,
IF(AW14=regle!$F$12,regle!$F$11,
IF(AW14=regle!$G$12,regle!$G$11,
IF(AW14=regle!$H$12,regle!$H$11,
IF(AW14=regle!$I$12,regle!$I$11,""))))))))))</f>
        <v/>
      </c>
      <c r="AD14" t="str">
        <f>IF(NOT($A14),"",
IF(AX14=-2,regle!$J$11,
IF(AX14=regle!$B$12,regle!$B$11,
IF(AX14=regle!$C$12,regle!$C$11,
IF(AX14=regle!$D$12,regle!$D$11,
IF(AX14=regle!$E$12,regle!$E$11,
IF(AX14=regle!$F$12,regle!$F$11,
IF(AX14=regle!$G$12,regle!$G$11,
IF(AX14=regle!$H$12,regle!$H$11,
IF(AX14=regle!$I$12,regle!$I$11,""))))))))))</f>
        <v>EC4</v>
      </c>
      <c r="AE14" s="14">
        <f>IF($A14,$M14*(IF(U14=regle!$B$11,regle!$B$23,IF(U14=regle!$C$11,regle!$C$23,IF(U14=regle!$D$11,regle!$D$23,IF(U14=regle!$E$11,regle!$E$23,IF(U14=regle!$F$11,regle!$F$23,IF(U14=regle!$G$11,regle!$G$23,IF(U14=regle!$H$11,regle!$H$23,IF(U14=regle!$I$11,regle!$I$23,IF(U14=regle!$J$11,regle!$J$23,0)))))))))))</f>
        <v>0</v>
      </c>
      <c r="AF14" s="14">
        <f>IF($A14,$M14*(IF(V14=regle!$B$11,regle!$B$23,IF(V14=regle!$C$11,regle!$C$23,IF(V14=regle!$D$11,regle!$D$23,IF(V14=regle!$E$11,regle!$E$23,IF(V14=regle!$F$11,regle!$F$23,IF(V14=regle!$G$11,regle!$G$23,IF(V14=regle!$H$11,regle!$H$23,IF(V14=regle!$I$11,regle!$I$23,IF(V14=regle!$J$11,regle!$J$23,0)))))))))))</f>
        <v>0</v>
      </c>
      <c r="AG14" s="14">
        <f>IF($A14,$M14*(IF(W14=regle!$B$11,regle!$B$23,IF(W14=regle!$C$11,regle!$C$23,IF(W14=regle!$D$11,regle!$D$23,IF(W14=regle!$E$11,regle!$E$23,IF(W14=regle!$F$11,regle!$F$23,IF(W14=regle!$G$11,regle!$G$23,IF(W14=regle!$H$11,regle!$H$23,IF(W14=regle!$I$11,regle!$I$23,IF(W14=regle!$J$11,regle!$J$23,0)))))))))))</f>
        <v>0</v>
      </c>
      <c r="AH14" s="14">
        <f>IF($A14,$M14*(IF(X14=regle!$B$11,regle!$B$23,IF(X14=regle!$C$11,regle!$C$23,IF(X14=regle!$D$11,regle!$D$23,IF(X14=regle!$E$11,regle!$E$23,IF(X14=regle!$F$11,regle!$F$23,IF(X14=regle!$G$11,regle!$G$23,IF(X14=regle!$H$11,regle!$H$23,IF(X14=regle!$I$11,regle!$I$23,IF(X14=regle!$J$11,regle!$J$23,0)))))))))))</f>
        <v>0</v>
      </c>
      <c r="AI14" s="14">
        <f>IF($A14,$M14*(IF(Y14=regle!$B$11,regle!$B$23,IF(Y14=regle!$C$11,regle!$C$23,IF(Y14=regle!$D$11,regle!$D$23,IF(Y14=regle!$E$11,regle!$E$23,IF(Y14=regle!$F$11,regle!$F$23,IF(Y14=regle!$G$11,regle!$G$23,IF(Y14=regle!$H$11,regle!$H$23,IF(Y14=regle!$I$11,regle!$I$23,IF(Y14=regle!$J$11,regle!$J$23,0)))))))))))</f>
        <v>5065.2800000000007</v>
      </c>
      <c r="AJ14" s="14">
        <f>IF($A14,$M14*(IF(Z14=regle!$B$11,regle!$B$23,IF(Z14=regle!$C$11,regle!$C$23,IF(Z14=regle!$D$11,regle!$D$23,IF(Z14=regle!$E$11,regle!$E$23,IF(Z14=regle!$F$11,regle!$F$23,IF(Z14=regle!$G$11,regle!$G$23,IF(Z14=regle!$H$11,regle!$H$23,IF(Z14=regle!$I$11,regle!$I$23,IF(Z14=regle!$J$11,regle!$J$23,0)))))))))))</f>
        <v>0</v>
      </c>
      <c r="AK14" s="14">
        <f>IF($A14,$M14*(IF(AA14=regle!$B$11,regle!$B$23,IF(AA14=regle!$C$11,regle!$C$23,IF(AA14=regle!$D$11,regle!$D$23,IF(AA14=regle!$E$11,regle!$E$23,IF(AA14=regle!$F$11,regle!$F$23,IF(AA14=regle!$G$11,regle!$G$23,IF(AA14=regle!$H$11,regle!$H$23,IF(AA14=regle!$I$11,regle!$I$23,IF(AA14=regle!$J$11,regle!$J$23,0)))))))))))</f>
        <v>0</v>
      </c>
      <c r="AL14" s="14">
        <f>IF($A14,$M14*(IF(AB14=regle!$B$11,regle!$B$23,IF(AB14=regle!$C$11,regle!$C$23,IF(AB14=regle!$D$11,regle!$D$23,IF(AB14=regle!$E$11,regle!$E$23,IF(AB14=regle!$F$11,regle!$F$23,IF(AB14=regle!$G$11,regle!$G$23,IF(AB14=regle!$H$11,regle!$H$23,IF(AB14=regle!$I$11,regle!$I$23,IF(AB14=regle!$J$11,regle!$J$23,0)))))))))))</f>
        <v>0</v>
      </c>
      <c r="AM14" s="14">
        <f>IF($A14,$M14*(IF(AC14=regle!$B$11,regle!$B$23,IF(AC14=regle!$C$11,regle!$C$23,IF(AC14=regle!$D$11,regle!$D$23,IF(AC14=regle!$E$11,regle!$E$23,IF(AC14=regle!$F$11,regle!$F$23,IF(AC14=regle!$G$11,regle!$G$23,IF(AC14=regle!$H$11,regle!$H$23,IF(AC14=regle!$I$11,regle!$I$23,IF(AC14=regle!$J$11,regle!$J$23,0)))))))))))</f>
        <v>0</v>
      </c>
      <c r="AN14" s="14">
        <f>IF($A14,$M14*(IF(AD14=regle!$B$11,regle!$B$23,IF(AD14=regle!$C$11,regle!$C$23,IF(AD14=regle!$D$11,regle!$D$23,IF(AD14=regle!$E$11,regle!$E$23,IF(AD14=regle!$F$11,regle!$F$23,IF(AD14=regle!$G$11,regle!$G$23,IF(AD14=regle!$H$11,regle!$H$23,IF(AD14=regle!$I$11,regle!$I$23,IF(AD14=regle!$J$11,regle!$J$23,0)))))))))))</f>
        <v>4604.8</v>
      </c>
      <c r="AO14">
        <f>IF(AO$1=$AO$1,IF(regle!B$2-$Q14&gt;=regle!$J$12,-2,IF($S14,IF(regle!$B$2-$Q14&gt;=2,0,-1),regle!B$2-$Q14)),IF(AN14+1&gt;=regle!$J$12,-2,AN14+1))</f>
        <v>19</v>
      </c>
      <c r="AP14">
        <f>IF(AP$1=$AO$1,IF(regle!C$2-$Q14&gt;=regle!$J$12,-2,IF($S14,IF(regle!$B$2-$Q14&gt;=2,0,-1),regle!C$2-$Q14)),IF(AO14+1&gt;=regle!$J$12,-2,AO14+1))</f>
        <v>20</v>
      </c>
      <c r="AQ14">
        <f>IF(AQ$1=$AO$1,IF(regle!D$2-$Q14&gt;=regle!$J$12,-2,IF($S14,IF(regle!$B$2-$Q14&gt;=2,0,-1),regle!D$2-$Q14)),IF(AP14+1&gt;=regle!$J$12,-2,AP14+1))</f>
        <v>21</v>
      </c>
      <c r="AR14">
        <f>IF(AR$1=$AO$1,IF(regle!E$2-$Q14&gt;=regle!$J$12,-2,IF($S14,IF(regle!$B$2-$Q14&gt;=2,0,-1),regle!E$2-$Q14)),IF(AQ14+1&gt;=regle!$J$12,-2,AQ14+1))</f>
        <v>22</v>
      </c>
      <c r="AS14">
        <f>IF(AS$1=$AO$1,IF(regle!F$2-$Q14&gt;=regle!$J$12,-2,IF($S14,IF(regle!$B$2-$Q14&gt;=2,0,-1),regle!F$2-$Q14)),IF(AR14+1&gt;=regle!$J$12,-2,AR14+1))</f>
        <v>23</v>
      </c>
      <c r="AT14">
        <f>IF(AT$1=$AO$1,IF(regle!G$2-$Q14&gt;=regle!$J$12,-2,IF($S14,IF(regle!$B$2-$Q14&gt;=2,0,-1),regle!G$2-$Q14)),IF(AS14+1&gt;=regle!$J$12,-2,AS14+1))</f>
        <v>24</v>
      </c>
      <c r="AU14">
        <f>IF(AU$1=$AO$1,IF(regle!H$2-$Q14&gt;=regle!$J$12,-2,IF($S14,IF(regle!$B$2-$Q14&gt;=2,0,-1),regle!H$2-$Q14)),IF(AT14+1&gt;=regle!$J$12,-2,AT14+1))</f>
        <v>25</v>
      </c>
      <c r="AV14">
        <f>IF(AV$1=$AO$1,IF(regle!I$2-$Q14&gt;=regle!$J$12,-2,IF($S14,IF(regle!$B$2-$Q14&gt;=2,0,-1),regle!I$2-$Q14)),IF(AU14+1&gt;=regle!$J$12,-2,AU14+1))</f>
        <v>26</v>
      </c>
      <c r="AW14">
        <f>IF(AW$1=$AO$1,IF(regle!J$2-$Q14&gt;=regle!$J$12,-2,IF($S14,IF(regle!$B$2-$Q14&gt;=2,0,-1),regle!J$2-$Q14)),IF(AV14+1&gt;=regle!$J$12,-2,AV14+1))</f>
        <v>27</v>
      </c>
      <c r="AX14">
        <f>IF(AX$1=$AO$1,IF(regle!K$2-$Q14&gt;=regle!$J$12,-2,IF($S14,IF(regle!$B$2-$Q14&gt;=2,0,-1),regle!K$2-$Q14)),IF(AW14+1&gt;=regle!$J$12,-2,AW14+1))</f>
        <v>28</v>
      </c>
    </row>
    <row r="15" spans="1:50" x14ac:dyDescent="0.25">
      <c r="A15" t="b">
        <f>AND(modif0[[#This Row],[cdstr]]&lt;&gt;0,OR(regle!$H$27=FALSE,modif0[[#This Row],[essnc]]="PM"))</f>
        <v>1</v>
      </c>
      <c r="B15">
        <f>ROW(objet!A16)</f>
        <v>16</v>
      </c>
      <c r="C15" s="10" t="str">
        <f>objet!D16</f>
        <v>5360000A0254</v>
      </c>
      <c r="D15" t="str">
        <f>LEFT(modif0[[#This Row],[cdstr]],3)</f>
        <v>536</v>
      </c>
      <c r="E15" s="10" t="str">
        <f>objet!G16</f>
        <v>LE TUZAN</v>
      </c>
      <c r="F15">
        <f>LEN(modif0[[#This Row],[l_dt]])</f>
        <v>11</v>
      </c>
      <c r="G15" s="10" t="str">
        <f>objet!H16</f>
        <v>LA HONTEYRE</v>
      </c>
      <c r="H15" s="10" t="str">
        <f>objet!C16</f>
        <v>A254k</v>
      </c>
      <c r="I15" t="str">
        <f>IF(ISNUMBER(VALUE(RIGHT(LEFT(modif0[[#This Row],[idntfn]],2),1))),_xlfn.CONCAT(0,LEFT(modif0[[#This Row],[idntfn]],1)),LEFT(modif0[[#This Row],[idntfn]],2))</f>
        <v>0A</v>
      </c>
      <c r="J15">
        <f>VALUE(LEFT(RIGHT(modif0[[#This Row],[idntfn]],LEN(modif0[[#This Row],[idntfn]])-IF(LEFT(modif0[[#This Row],[sctn]],1)="0",1,2)),LEN(modif0[[#This Row],[idntfn]])-IF(LEFT(modif0[[#This Row],[sctn]],1)="0",1,2)-LEN(modif0[[#This Row],[lttr]])))</f>
        <v>254</v>
      </c>
      <c r="K15" t="str">
        <f>IF(ISNUMBER(VALUE(RIGHT(modif0[[#This Row],[idntfn]],1))),"",IF(ISNUMBER(VALUE(LEFT(RIGHT(modif0[[#This Row],[idntfn]],2),1))),RIGHT(modif0[[#This Row],[idntfn]],1),RIGHT(modif0[[#This Row],[idntfn]],2)))</f>
        <v>k</v>
      </c>
      <c r="L15" s="10">
        <f>objet!I16</f>
        <v>20193</v>
      </c>
      <c r="M15" s="11">
        <f>modif0[[#This Row],[srfc]]/10000</f>
        <v>2.0192999999999999</v>
      </c>
      <c r="N15" s="10" t="str">
        <f>objet!Z16</f>
        <v>PM</v>
      </c>
      <c r="O15" s="10" t="str">
        <f>objet!AA16</f>
        <v>PLA2005</v>
      </c>
      <c r="P15" t="str">
        <f>IF(ISNUMBER(modif0[[#This Row],[trvx]]),"",LEFT(modif0[[#This Row],[trvx]],LEN(modif0[[#This Row],[trvx]])-4))</f>
        <v>PLA</v>
      </c>
      <c r="Q15">
        <f>VALUE(RIGHT(modif0[[#This Row],[trvx]],4))</f>
        <v>2005</v>
      </c>
      <c r="R15" t="str">
        <f>_xlfn.CONCAT(modif0[[#This Row],[tp]],"-",modif0[[#This Row],[essnc]],"_",modif0[[#This Row],[anns]])</f>
        <v>PLA-PM_2005</v>
      </c>
      <c r="S15" t="b">
        <f>modif0[[#This Row],[tp]]="CR"</f>
        <v>0</v>
      </c>
      <c r="T15">
        <v>40</v>
      </c>
      <c r="U15" t="str">
        <f>IF(NOT($A15),"",
IF(AO15=-2,regle!$J$11,
IF(AO15=regle!$B$12,regle!$B$11,
IF(AO15=regle!$C$12,regle!$C$11,
IF(AO15=regle!$D$12,regle!$D$11,
IF(AO15=regle!$E$12,regle!$E$11,
IF(AO15=regle!$F$12,regle!$F$11,
IF(AO15=regle!$G$12,regle!$G$11,
IF(AO15=regle!$H$12,regle!$H$11,
IF(AO15=regle!$I$12,regle!$I$11,""))))))))))</f>
        <v/>
      </c>
      <c r="V15" t="str">
        <f>IF(NOT($A15),"",
IF(AP15=-2,regle!$J$11,
IF(AP15=regle!$B$12,regle!$B$11,
IF(AP15=regle!$C$12,regle!$C$11,
IF(AP15=regle!$D$12,regle!$D$11,
IF(AP15=regle!$E$12,regle!$E$11,
IF(AP15=regle!$F$12,regle!$F$11,
IF(AP15=regle!$G$12,regle!$G$11,
IF(AP15=regle!$H$12,regle!$H$11,
IF(AP15=regle!$I$12,regle!$I$11,""))))))))))</f>
        <v/>
      </c>
      <c r="W15" t="str">
        <f>IF(NOT($A15),"",
IF(AQ15=-2,regle!$J$11,
IF(AQ15=regle!$B$12,regle!$B$11,
IF(AQ15=regle!$C$12,regle!$C$11,
IF(AQ15=regle!$D$12,regle!$D$11,
IF(AQ15=regle!$E$12,regle!$E$11,
IF(AQ15=regle!$F$12,regle!$F$11,
IF(AQ15=regle!$G$12,regle!$G$11,
IF(AQ15=regle!$H$12,regle!$H$11,
IF(AQ15=regle!$I$12,regle!$I$11,""))))))))))</f>
        <v/>
      </c>
      <c r="X15" t="str">
        <f>IF(NOT($A15),"",
IF(AR15=-2,regle!$J$11,
IF(AR15=regle!$B$12,regle!$B$11,
IF(AR15=regle!$C$12,regle!$C$11,
IF(AR15=regle!$D$12,regle!$D$11,
IF(AR15=regle!$E$12,regle!$E$11,
IF(AR15=regle!$F$12,regle!$F$11,
IF(AR15=regle!$G$12,regle!$G$11,
IF(AR15=regle!$H$12,regle!$H$11,
IF(AR15=regle!$I$12,regle!$I$11,""))))))))))</f>
        <v/>
      </c>
      <c r="Y15" t="str">
        <f>IF(NOT($A15),"",
IF(AS15=-2,regle!$J$11,
IF(AS15=regle!$B$12,regle!$B$11,
IF(AS15=regle!$C$12,regle!$C$11,
IF(AS15=regle!$D$12,regle!$D$11,
IF(AS15=regle!$E$12,regle!$E$11,
IF(AS15=regle!$F$12,regle!$F$11,
IF(AS15=regle!$G$12,regle!$G$11,
IF(AS15=regle!$H$12,regle!$H$11,
IF(AS15=regle!$I$12,regle!$I$11,""))))))))))</f>
        <v>EC3</v>
      </c>
      <c r="Z15" t="str">
        <f>IF(NOT($A15),"",
IF(AT15=-2,regle!$J$11,
IF(AT15=regle!$B$12,regle!$B$11,
IF(AT15=regle!$C$12,regle!$C$11,
IF(AT15=regle!$D$12,regle!$D$11,
IF(AT15=regle!$E$12,regle!$E$11,
IF(AT15=regle!$F$12,regle!$F$11,
IF(AT15=regle!$G$12,regle!$G$11,
IF(AT15=regle!$H$12,regle!$H$11,
IF(AT15=regle!$I$12,regle!$I$11,""))))))))))</f>
        <v/>
      </c>
      <c r="AA15" t="str">
        <f>IF(NOT($A15),"",
IF(AU15=-2,regle!$J$11,
IF(AU15=regle!$B$12,regle!$B$11,
IF(AU15=regle!$C$12,regle!$C$11,
IF(AU15=regle!$D$12,regle!$D$11,
IF(AU15=regle!$E$12,regle!$E$11,
IF(AU15=regle!$F$12,regle!$F$11,
IF(AU15=regle!$G$12,regle!$G$11,
IF(AU15=regle!$H$12,regle!$H$11,
IF(AU15=regle!$I$12,regle!$I$11,""))))))))))</f>
        <v/>
      </c>
      <c r="AB15" t="str">
        <f>IF(NOT($A15),"",
IF(AV15=-2,regle!$J$11,
IF(AV15=regle!$B$12,regle!$B$11,
IF(AV15=regle!$C$12,regle!$C$11,
IF(AV15=regle!$D$12,regle!$D$11,
IF(AV15=regle!$E$12,regle!$E$11,
IF(AV15=regle!$F$12,regle!$F$11,
IF(AV15=regle!$G$12,regle!$G$11,
IF(AV15=regle!$H$12,regle!$H$11,
IF(AV15=regle!$I$12,regle!$I$11,""))))))))))</f>
        <v/>
      </c>
      <c r="AC15" t="str">
        <f>IF(NOT($A15),"",
IF(AW15=-2,regle!$J$11,
IF(AW15=regle!$B$12,regle!$B$11,
IF(AW15=regle!$C$12,regle!$C$11,
IF(AW15=regle!$D$12,regle!$D$11,
IF(AW15=regle!$E$12,regle!$E$11,
IF(AW15=regle!$F$12,regle!$F$11,
IF(AW15=regle!$G$12,regle!$G$11,
IF(AW15=regle!$H$12,regle!$H$11,
IF(AW15=regle!$I$12,regle!$I$11,""))))))))))</f>
        <v/>
      </c>
      <c r="AD15" t="str">
        <f>IF(NOT($A15),"",
IF(AX15=-2,regle!$J$11,
IF(AX15=regle!$B$12,regle!$B$11,
IF(AX15=regle!$C$12,regle!$C$11,
IF(AX15=regle!$D$12,regle!$D$11,
IF(AX15=regle!$E$12,regle!$E$11,
IF(AX15=regle!$F$12,regle!$F$11,
IF(AX15=regle!$G$12,regle!$G$11,
IF(AX15=regle!$H$12,regle!$H$11,
IF(AX15=regle!$I$12,regle!$I$11,""))))))))))</f>
        <v>EC4</v>
      </c>
      <c r="AE15" s="14">
        <f>IF($A15,$M15*(IF(U15=regle!$B$11,regle!$B$23,IF(U15=regle!$C$11,regle!$C$23,IF(U15=regle!$D$11,regle!$D$23,IF(U15=regle!$E$11,regle!$E$23,IF(U15=regle!$F$11,regle!$F$23,IF(U15=regle!$G$11,regle!$G$23,IF(U15=regle!$H$11,regle!$H$23,IF(U15=regle!$I$11,regle!$I$23,IF(U15=regle!$J$11,regle!$J$23,0)))))))))))</f>
        <v>0</v>
      </c>
      <c r="AF15" s="14">
        <f>IF($A15,$M15*(IF(V15=regle!$B$11,regle!$B$23,IF(V15=regle!$C$11,regle!$C$23,IF(V15=regle!$D$11,regle!$D$23,IF(V15=regle!$E$11,regle!$E$23,IF(V15=regle!$F$11,regle!$F$23,IF(V15=regle!$G$11,regle!$G$23,IF(V15=regle!$H$11,regle!$H$23,IF(V15=regle!$I$11,regle!$I$23,IF(V15=regle!$J$11,regle!$J$23,0)))))))))))</f>
        <v>0</v>
      </c>
      <c r="AG15" s="14">
        <f>IF($A15,$M15*(IF(W15=regle!$B$11,regle!$B$23,IF(W15=regle!$C$11,regle!$C$23,IF(W15=regle!$D$11,regle!$D$23,IF(W15=regle!$E$11,regle!$E$23,IF(W15=regle!$F$11,regle!$F$23,IF(W15=regle!$G$11,regle!$G$23,IF(W15=regle!$H$11,regle!$H$23,IF(W15=regle!$I$11,regle!$I$23,IF(W15=regle!$J$11,regle!$J$23,0)))))))))))</f>
        <v>0</v>
      </c>
      <c r="AH15" s="14">
        <f>IF($A15,$M15*(IF(X15=regle!$B$11,regle!$B$23,IF(X15=regle!$C$11,regle!$C$23,IF(X15=regle!$D$11,regle!$D$23,IF(X15=regle!$E$11,regle!$E$23,IF(X15=regle!$F$11,regle!$F$23,IF(X15=regle!$G$11,regle!$G$23,IF(X15=regle!$H$11,regle!$H$23,IF(X15=regle!$I$11,regle!$I$23,IF(X15=regle!$J$11,regle!$J$23,0)))))))))))</f>
        <v>0</v>
      </c>
      <c r="AI15" s="14">
        <f>IF($A15,$M15*(IF(Y15=regle!$B$11,regle!$B$23,IF(Y15=regle!$C$11,regle!$C$23,IF(Y15=regle!$D$11,regle!$D$23,IF(Y15=regle!$E$11,regle!$E$23,IF(Y15=regle!$F$11,regle!$F$23,IF(Y15=regle!$G$11,regle!$G$23,IF(Y15=regle!$H$11,regle!$H$23,IF(Y15=regle!$I$11,regle!$I$23,IF(Y15=regle!$J$11,regle!$J$23,0)))))))))))</f>
        <v>2843.1743999999999</v>
      </c>
      <c r="AJ15" s="14">
        <f>IF($A15,$M15*(IF(Z15=regle!$B$11,regle!$B$23,IF(Z15=regle!$C$11,regle!$C$23,IF(Z15=regle!$D$11,regle!$D$23,IF(Z15=regle!$E$11,regle!$E$23,IF(Z15=regle!$F$11,regle!$F$23,IF(Z15=regle!$G$11,regle!$G$23,IF(Z15=regle!$H$11,regle!$H$23,IF(Z15=regle!$I$11,regle!$I$23,IF(Z15=regle!$J$11,regle!$J$23,0)))))))))))</f>
        <v>0</v>
      </c>
      <c r="AK15" s="14">
        <f>IF($A15,$M15*(IF(AA15=regle!$B$11,regle!$B$23,IF(AA15=regle!$C$11,regle!$C$23,IF(AA15=regle!$D$11,regle!$D$23,IF(AA15=regle!$E$11,regle!$E$23,IF(AA15=regle!$F$11,regle!$F$23,IF(AA15=regle!$G$11,regle!$G$23,IF(AA15=regle!$H$11,regle!$H$23,IF(AA15=regle!$I$11,regle!$I$23,IF(AA15=regle!$J$11,regle!$J$23,0)))))))))))</f>
        <v>0</v>
      </c>
      <c r="AL15" s="14">
        <f>IF($A15,$M15*(IF(AB15=regle!$B$11,regle!$B$23,IF(AB15=regle!$C$11,regle!$C$23,IF(AB15=regle!$D$11,regle!$D$23,IF(AB15=regle!$E$11,regle!$E$23,IF(AB15=regle!$F$11,regle!$F$23,IF(AB15=regle!$G$11,regle!$G$23,IF(AB15=regle!$H$11,regle!$H$23,IF(AB15=regle!$I$11,regle!$I$23,IF(AB15=regle!$J$11,regle!$J$23,0)))))))))))</f>
        <v>0</v>
      </c>
      <c r="AM15" s="14">
        <f>IF($A15,$M15*(IF(AC15=regle!$B$11,regle!$B$23,IF(AC15=regle!$C$11,regle!$C$23,IF(AC15=regle!$D$11,regle!$D$23,IF(AC15=regle!$E$11,regle!$E$23,IF(AC15=regle!$F$11,regle!$F$23,IF(AC15=regle!$G$11,regle!$G$23,IF(AC15=regle!$H$11,regle!$H$23,IF(AC15=regle!$I$11,regle!$I$23,IF(AC15=regle!$J$11,regle!$J$23,0)))))))))))</f>
        <v>0</v>
      </c>
      <c r="AN15" s="14">
        <f>IF($A15,$M15*(IF(AD15=regle!$B$11,regle!$B$23,IF(AD15=regle!$C$11,regle!$C$23,IF(AD15=regle!$D$11,regle!$D$23,IF(AD15=regle!$E$11,regle!$E$23,IF(AD15=regle!$F$11,regle!$F$23,IF(AD15=regle!$G$11,regle!$G$23,IF(AD15=regle!$H$11,regle!$H$23,IF(AD15=regle!$I$11,regle!$I$23,IF(AD15=regle!$J$11,regle!$J$23,0)))))))))))</f>
        <v>2584.7039999999997</v>
      </c>
      <c r="AO15">
        <f>IF(AO$1=$AO$1,IF(regle!B$2-$Q15&gt;=regle!$J$12,-2,IF($S15,IF(regle!$B$2-$Q15&gt;=2,0,-1),regle!B$2-$Q15)),IF(AN15+1&gt;=regle!$J$12,-2,AN15+1))</f>
        <v>19</v>
      </c>
      <c r="AP15">
        <f>IF(AP$1=$AO$1,IF(regle!C$2-$Q15&gt;=regle!$J$12,-2,IF($S15,IF(regle!$B$2-$Q15&gt;=2,0,-1),regle!C$2-$Q15)),IF(AO15+1&gt;=regle!$J$12,-2,AO15+1))</f>
        <v>20</v>
      </c>
      <c r="AQ15">
        <f>IF(AQ$1=$AO$1,IF(regle!D$2-$Q15&gt;=regle!$J$12,-2,IF($S15,IF(regle!$B$2-$Q15&gt;=2,0,-1),regle!D$2-$Q15)),IF(AP15+1&gt;=regle!$J$12,-2,AP15+1))</f>
        <v>21</v>
      </c>
      <c r="AR15">
        <f>IF(AR$1=$AO$1,IF(regle!E$2-$Q15&gt;=regle!$J$12,-2,IF($S15,IF(regle!$B$2-$Q15&gt;=2,0,-1),regle!E$2-$Q15)),IF(AQ15+1&gt;=regle!$J$12,-2,AQ15+1))</f>
        <v>22</v>
      </c>
      <c r="AS15">
        <f>IF(AS$1=$AO$1,IF(regle!F$2-$Q15&gt;=regle!$J$12,-2,IF($S15,IF(regle!$B$2-$Q15&gt;=2,0,-1),regle!F$2-$Q15)),IF(AR15+1&gt;=regle!$J$12,-2,AR15+1))</f>
        <v>23</v>
      </c>
      <c r="AT15">
        <f>IF(AT$1=$AO$1,IF(regle!G$2-$Q15&gt;=regle!$J$12,-2,IF($S15,IF(regle!$B$2-$Q15&gt;=2,0,-1),regle!G$2-$Q15)),IF(AS15+1&gt;=regle!$J$12,-2,AS15+1))</f>
        <v>24</v>
      </c>
      <c r="AU15">
        <f>IF(AU$1=$AO$1,IF(regle!H$2-$Q15&gt;=regle!$J$12,-2,IF($S15,IF(regle!$B$2-$Q15&gt;=2,0,-1),regle!H$2-$Q15)),IF(AT15+1&gt;=regle!$J$12,-2,AT15+1))</f>
        <v>25</v>
      </c>
      <c r="AV15">
        <f>IF(AV$1=$AO$1,IF(regle!I$2-$Q15&gt;=regle!$J$12,-2,IF($S15,IF(regle!$B$2-$Q15&gt;=2,0,-1),regle!I$2-$Q15)),IF(AU15+1&gt;=regle!$J$12,-2,AU15+1))</f>
        <v>26</v>
      </c>
      <c r="AW15">
        <f>IF(AW$1=$AO$1,IF(regle!J$2-$Q15&gt;=regle!$J$12,-2,IF($S15,IF(regle!$B$2-$Q15&gt;=2,0,-1),regle!J$2-$Q15)),IF(AV15+1&gt;=regle!$J$12,-2,AV15+1))</f>
        <v>27</v>
      </c>
      <c r="AX15">
        <f>IF(AX$1=$AO$1,IF(regle!K$2-$Q15&gt;=regle!$J$12,-2,IF($S15,IF(regle!$B$2-$Q15&gt;=2,0,-1),regle!K$2-$Q15)),IF(AW15+1&gt;=regle!$J$12,-2,AW15+1))</f>
        <v>28</v>
      </c>
    </row>
    <row r="16" spans="1:50" x14ac:dyDescent="0.25">
      <c r="A16" t="b">
        <f>AND(modif0[[#This Row],[cdstr]]&lt;&gt;0,OR(regle!$H$27=FALSE,modif0[[#This Row],[essnc]]="PM"))</f>
        <v>1</v>
      </c>
      <c r="B16">
        <f>ROW(objet!A18)</f>
        <v>18</v>
      </c>
      <c r="C16" s="10" t="str">
        <f>objet!D18</f>
        <v>5360000A0254</v>
      </c>
      <c r="D16" t="str">
        <f>LEFT(modif0[[#This Row],[cdstr]],3)</f>
        <v>536</v>
      </c>
      <c r="E16" s="10" t="str">
        <f>objet!G18</f>
        <v>LE TUZAN</v>
      </c>
      <c r="F16">
        <f>LEN(modif0[[#This Row],[l_dt]])</f>
        <v>11</v>
      </c>
      <c r="G16" s="10" t="str">
        <f>objet!H18</f>
        <v>LA HONTEYRE</v>
      </c>
      <c r="H16" s="10" t="str">
        <f>objet!C18</f>
        <v>A254m</v>
      </c>
      <c r="I16" t="str">
        <f>IF(ISNUMBER(VALUE(RIGHT(LEFT(modif0[[#This Row],[idntfn]],2),1))),_xlfn.CONCAT(0,LEFT(modif0[[#This Row],[idntfn]],1)),LEFT(modif0[[#This Row],[idntfn]],2))</f>
        <v>0A</v>
      </c>
      <c r="J16">
        <f>VALUE(LEFT(RIGHT(modif0[[#This Row],[idntfn]],LEN(modif0[[#This Row],[idntfn]])-IF(LEFT(modif0[[#This Row],[sctn]],1)="0",1,2)),LEN(modif0[[#This Row],[idntfn]])-IF(LEFT(modif0[[#This Row],[sctn]],1)="0",1,2)-LEN(modif0[[#This Row],[lttr]])))</f>
        <v>254</v>
      </c>
      <c r="K16" t="str">
        <f>IF(ISNUMBER(VALUE(RIGHT(modif0[[#This Row],[idntfn]],1))),"",IF(ISNUMBER(VALUE(LEFT(RIGHT(modif0[[#This Row],[idntfn]],2),1))),RIGHT(modif0[[#This Row],[idntfn]],1),RIGHT(modif0[[#This Row],[idntfn]],2)))</f>
        <v>m</v>
      </c>
      <c r="L16" s="10">
        <f>objet!I18</f>
        <v>6357</v>
      </c>
      <c r="M16" s="11">
        <f>modif0[[#This Row],[srfc]]/10000</f>
        <v>0.63570000000000004</v>
      </c>
      <c r="N16" s="10" t="str">
        <f>objet!Z18</f>
        <v>PM</v>
      </c>
      <c r="O16" s="10" t="str">
        <f>objet!AA18</f>
        <v>PLA2017</v>
      </c>
      <c r="P16" t="str">
        <f>IF(ISNUMBER(modif0[[#This Row],[trvx]]),"",LEFT(modif0[[#This Row],[trvx]],LEN(modif0[[#This Row],[trvx]])-4))</f>
        <v>PLA</v>
      </c>
      <c r="Q16">
        <f>VALUE(RIGHT(modif0[[#This Row],[trvx]],4))</f>
        <v>2017</v>
      </c>
      <c r="R16" t="str">
        <f>_xlfn.CONCAT(modif0[[#This Row],[tp]],"-",modif0[[#This Row],[essnc]],"_",modif0[[#This Row],[anns]])</f>
        <v>PLA-PM_2017</v>
      </c>
      <c r="S16" t="b">
        <f>modif0[[#This Row],[tp]]="CR"</f>
        <v>0</v>
      </c>
      <c r="T16">
        <v>40</v>
      </c>
      <c r="U16" t="str">
        <f>IF(NOT($A16),"",
IF(AO16=-2,regle!$J$11,
IF(AO16=regle!$B$12,regle!$B$11,
IF(AO16=regle!$C$12,regle!$C$11,
IF(AO16=regle!$D$12,regle!$D$11,
IF(AO16=regle!$E$12,regle!$E$11,
IF(AO16=regle!$F$12,regle!$F$11,
IF(AO16=regle!$G$12,regle!$G$11,
IF(AO16=regle!$H$12,regle!$H$11,
IF(AO16=regle!$I$12,regle!$I$11,""))))))))))</f>
        <v/>
      </c>
      <c r="V16" t="str">
        <f>IF(NOT($A16),"",
IF(AP16=-2,regle!$J$11,
IF(AP16=regle!$B$12,regle!$B$11,
IF(AP16=regle!$C$12,regle!$C$11,
IF(AP16=regle!$D$12,regle!$D$11,
IF(AP16=regle!$E$12,regle!$E$11,
IF(AP16=regle!$F$12,regle!$F$11,
IF(AP16=regle!$G$12,regle!$G$11,
IF(AP16=regle!$H$12,regle!$H$11,
IF(AP16=regle!$I$12,regle!$I$11,""))))))))))</f>
        <v>ENT2</v>
      </c>
      <c r="W16" t="str">
        <f>IF(NOT($A16),"",
IF(AQ16=-2,regle!$J$11,
IF(AQ16=regle!$B$12,regle!$B$11,
IF(AQ16=regle!$C$12,regle!$C$11,
IF(AQ16=regle!$D$12,regle!$D$11,
IF(AQ16=regle!$E$12,regle!$E$11,
IF(AQ16=regle!$F$12,regle!$F$11,
IF(AQ16=regle!$G$12,regle!$G$11,
IF(AQ16=regle!$H$12,regle!$H$11,
IF(AQ16=regle!$I$12,regle!$I$11,""))))))))))</f>
        <v/>
      </c>
      <c r="X16" t="str">
        <f>IF(NOT($A16),"",
IF(AR16=-2,regle!$J$11,
IF(AR16=regle!$B$12,regle!$B$11,
IF(AR16=regle!$C$12,regle!$C$11,
IF(AR16=regle!$D$12,regle!$D$11,
IF(AR16=regle!$E$12,regle!$E$11,
IF(AR16=regle!$F$12,regle!$F$11,
IF(AR16=regle!$G$12,regle!$G$11,
IF(AR16=regle!$H$12,regle!$H$11,
IF(AR16=regle!$I$12,regle!$I$11,""))))))))))</f>
        <v/>
      </c>
      <c r="Y16" t="str">
        <f>IF(NOT($A16),"",
IF(AS16=-2,regle!$J$11,
IF(AS16=regle!$B$12,regle!$B$11,
IF(AS16=regle!$C$12,regle!$C$11,
IF(AS16=regle!$D$12,regle!$D$11,
IF(AS16=regle!$E$12,regle!$E$11,
IF(AS16=regle!$F$12,regle!$F$11,
IF(AS16=regle!$G$12,regle!$G$11,
IF(AS16=regle!$H$12,regle!$H$11,
IF(AS16=regle!$I$12,regle!$I$11,""))))))))))</f>
        <v/>
      </c>
      <c r="Z16" t="str">
        <f>IF(NOT($A16),"",
IF(AT16=-2,regle!$J$11,
IF(AT16=regle!$B$12,regle!$B$11,
IF(AT16=regle!$C$12,regle!$C$11,
IF(AT16=regle!$D$12,regle!$D$11,
IF(AT16=regle!$E$12,regle!$E$11,
IF(AT16=regle!$F$12,regle!$F$11,
IF(AT16=regle!$G$12,regle!$G$11,
IF(AT16=regle!$H$12,regle!$H$11,
IF(AT16=regle!$I$12,regle!$I$11,""))))))))))</f>
        <v/>
      </c>
      <c r="AA16" t="str">
        <f>IF(NOT($A16),"",
IF(AU16=-2,regle!$J$11,
IF(AU16=regle!$B$12,regle!$B$11,
IF(AU16=regle!$C$12,regle!$C$11,
IF(AU16=regle!$D$12,regle!$D$11,
IF(AU16=regle!$E$12,regle!$E$11,
IF(AU16=regle!$F$12,regle!$F$11,
IF(AU16=regle!$G$12,regle!$G$11,
IF(AU16=regle!$H$12,regle!$H$11,
IF(AU16=regle!$I$12,regle!$I$11,""))))))))))</f>
        <v>EC1</v>
      </c>
      <c r="AB16" t="str">
        <f>IF(NOT($A16),"",
IF(AV16=-2,regle!$J$11,
IF(AV16=regle!$B$12,regle!$B$11,
IF(AV16=regle!$C$12,regle!$C$11,
IF(AV16=regle!$D$12,regle!$D$11,
IF(AV16=regle!$E$12,regle!$E$11,
IF(AV16=regle!$F$12,regle!$F$11,
IF(AV16=regle!$G$12,regle!$G$11,
IF(AV16=regle!$H$12,regle!$H$11,
IF(AV16=regle!$I$12,regle!$I$11,""))))))))))</f>
        <v/>
      </c>
      <c r="AC16" t="str">
        <f>IF(NOT($A16),"",
IF(AW16=-2,regle!$J$11,
IF(AW16=regle!$B$12,regle!$B$11,
IF(AW16=regle!$C$12,regle!$C$11,
IF(AW16=regle!$D$12,regle!$D$11,
IF(AW16=regle!$E$12,regle!$E$11,
IF(AW16=regle!$F$12,regle!$F$11,
IF(AW16=regle!$G$12,regle!$G$11,
IF(AW16=regle!$H$12,regle!$H$11,
IF(AW16=regle!$I$12,regle!$I$11,""))))))))))</f>
        <v/>
      </c>
      <c r="AD16" t="str">
        <f>IF(NOT($A16),"",
IF(AX16=-2,regle!$J$11,
IF(AX16=regle!$B$12,regle!$B$11,
IF(AX16=regle!$C$12,regle!$C$11,
IF(AX16=regle!$D$12,regle!$D$11,
IF(AX16=regle!$E$12,regle!$E$11,
IF(AX16=regle!$F$12,regle!$F$11,
IF(AX16=regle!$G$12,regle!$G$11,
IF(AX16=regle!$H$12,regle!$H$11,
IF(AX16=regle!$I$12,regle!$I$11,""))))))))))</f>
        <v/>
      </c>
      <c r="AE16" s="14">
        <f>IF($A16,$M16*(IF(U16=regle!$B$11,regle!$B$23,IF(U16=regle!$C$11,regle!$C$23,IF(U16=regle!$D$11,regle!$D$23,IF(U16=regle!$E$11,regle!$E$23,IF(U16=regle!$F$11,regle!$F$23,IF(U16=regle!$G$11,regle!$G$23,IF(U16=regle!$H$11,regle!$H$23,IF(U16=regle!$I$11,regle!$I$23,IF(U16=regle!$J$11,regle!$J$23,0)))))))))))</f>
        <v>0</v>
      </c>
      <c r="AF16" s="14">
        <f>IF($A16,$M16*(IF(V16=regle!$B$11,regle!$B$23,IF(V16=regle!$C$11,regle!$C$23,IF(V16=regle!$D$11,regle!$D$23,IF(V16=regle!$E$11,regle!$E$23,IF(V16=regle!$F$11,regle!$F$23,IF(V16=regle!$G$11,regle!$G$23,IF(V16=regle!$H$11,regle!$H$23,IF(V16=regle!$I$11,regle!$I$23,IF(V16=regle!$J$11,regle!$J$23,0)))))))))))</f>
        <v>-57.213000000000001</v>
      </c>
      <c r="AG16" s="14">
        <f>IF($A16,$M16*(IF(W16=regle!$B$11,regle!$B$23,IF(W16=regle!$C$11,regle!$C$23,IF(W16=regle!$D$11,regle!$D$23,IF(W16=regle!$E$11,regle!$E$23,IF(W16=regle!$F$11,regle!$F$23,IF(W16=regle!$G$11,regle!$G$23,IF(W16=regle!$H$11,regle!$H$23,IF(W16=regle!$I$11,regle!$I$23,IF(W16=regle!$J$11,regle!$J$23,0)))))))))))</f>
        <v>0</v>
      </c>
      <c r="AH16" s="14">
        <f>IF($A16,$M16*(IF(X16=regle!$B$11,regle!$B$23,IF(X16=regle!$C$11,regle!$C$23,IF(X16=regle!$D$11,regle!$D$23,IF(X16=regle!$E$11,regle!$E$23,IF(X16=regle!$F$11,regle!$F$23,IF(X16=regle!$G$11,regle!$G$23,IF(X16=regle!$H$11,regle!$H$23,IF(X16=regle!$I$11,regle!$I$23,IF(X16=regle!$J$11,regle!$J$23,0)))))))))))</f>
        <v>0</v>
      </c>
      <c r="AI16" s="14">
        <f>IF($A16,$M16*(IF(Y16=regle!$B$11,regle!$B$23,IF(Y16=regle!$C$11,regle!$C$23,IF(Y16=regle!$D$11,regle!$D$23,IF(Y16=regle!$E$11,regle!$E$23,IF(Y16=regle!$F$11,regle!$F$23,IF(Y16=regle!$G$11,regle!$G$23,IF(Y16=regle!$H$11,regle!$H$23,IF(Y16=regle!$I$11,regle!$I$23,IF(Y16=regle!$J$11,regle!$J$23,0)))))))))))</f>
        <v>0</v>
      </c>
      <c r="AJ16" s="14">
        <f>IF($A16,$M16*(IF(Z16=regle!$B$11,regle!$B$23,IF(Z16=regle!$C$11,regle!$C$23,IF(Z16=regle!$D$11,regle!$D$23,IF(Z16=regle!$E$11,regle!$E$23,IF(Z16=regle!$F$11,regle!$F$23,IF(Z16=regle!$G$11,regle!$G$23,IF(Z16=regle!$H$11,regle!$H$23,IF(Z16=regle!$I$11,regle!$I$23,IF(Z16=regle!$J$11,regle!$J$23,0)))))))))))</f>
        <v>0</v>
      </c>
      <c r="AK16" s="14">
        <f>IF($A16,$M16*(IF(AA16=regle!$B$11,regle!$B$23,IF(AA16=regle!$C$11,regle!$C$23,IF(AA16=regle!$D$11,regle!$D$23,IF(AA16=regle!$E$11,regle!$E$23,IF(AA16=regle!$F$11,regle!$F$23,IF(AA16=regle!$G$11,regle!$G$23,IF(AA16=regle!$H$11,regle!$H$23,IF(AA16=regle!$I$11,regle!$I$23,IF(AA16=regle!$J$11,regle!$J$23,0)))))))))))</f>
        <v>366.16320000000002</v>
      </c>
      <c r="AL16" s="14">
        <f>IF($A16,$M16*(IF(AB16=regle!$B$11,regle!$B$23,IF(AB16=regle!$C$11,regle!$C$23,IF(AB16=regle!$D$11,regle!$D$23,IF(AB16=regle!$E$11,regle!$E$23,IF(AB16=regle!$F$11,regle!$F$23,IF(AB16=regle!$G$11,regle!$G$23,IF(AB16=regle!$H$11,regle!$H$23,IF(AB16=regle!$I$11,regle!$I$23,IF(AB16=regle!$J$11,regle!$J$23,0)))))))))))</f>
        <v>0</v>
      </c>
      <c r="AM16" s="14">
        <f>IF($A16,$M16*(IF(AC16=regle!$B$11,regle!$B$23,IF(AC16=regle!$C$11,regle!$C$23,IF(AC16=regle!$D$11,regle!$D$23,IF(AC16=regle!$E$11,regle!$E$23,IF(AC16=regle!$F$11,regle!$F$23,IF(AC16=regle!$G$11,regle!$G$23,IF(AC16=regle!$H$11,regle!$H$23,IF(AC16=regle!$I$11,regle!$I$23,IF(AC16=regle!$J$11,regle!$J$23,0)))))))))))</f>
        <v>0</v>
      </c>
      <c r="AN16" s="14">
        <f>IF($A16,$M16*(IF(AD16=regle!$B$11,regle!$B$23,IF(AD16=regle!$C$11,regle!$C$23,IF(AD16=regle!$D$11,regle!$D$23,IF(AD16=regle!$E$11,regle!$E$23,IF(AD16=regle!$F$11,regle!$F$23,IF(AD16=regle!$G$11,regle!$G$23,IF(AD16=regle!$H$11,regle!$H$23,IF(AD16=regle!$I$11,regle!$I$23,IF(AD16=regle!$J$11,regle!$J$23,0)))))))))))</f>
        <v>0</v>
      </c>
      <c r="AO16">
        <f>IF(AO$1=$AO$1,IF(regle!B$2-$Q16&gt;=regle!$J$12,-2,IF($S16,IF(regle!$B$2-$Q16&gt;=2,0,-1),regle!B$2-$Q16)),IF(AN16+1&gt;=regle!$J$12,-2,AN16+1))</f>
        <v>7</v>
      </c>
      <c r="AP16">
        <f>IF(AP$1=$AO$1,IF(regle!C$2-$Q16&gt;=regle!$J$12,-2,IF($S16,IF(regle!$B$2-$Q16&gt;=2,0,-1),regle!C$2-$Q16)),IF(AO16+1&gt;=regle!$J$12,-2,AO16+1))</f>
        <v>8</v>
      </c>
      <c r="AQ16">
        <f>IF(AQ$1=$AO$1,IF(regle!D$2-$Q16&gt;=regle!$J$12,-2,IF($S16,IF(regle!$B$2-$Q16&gt;=2,0,-1),regle!D$2-$Q16)),IF(AP16+1&gt;=regle!$J$12,-2,AP16+1))</f>
        <v>9</v>
      </c>
      <c r="AR16">
        <f>IF(AR$1=$AO$1,IF(regle!E$2-$Q16&gt;=regle!$J$12,-2,IF($S16,IF(regle!$B$2-$Q16&gt;=2,0,-1),regle!E$2-$Q16)),IF(AQ16+1&gt;=regle!$J$12,-2,AQ16+1))</f>
        <v>10</v>
      </c>
      <c r="AS16">
        <f>IF(AS$1=$AO$1,IF(regle!F$2-$Q16&gt;=regle!$J$12,-2,IF($S16,IF(regle!$B$2-$Q16&gt;=2,0,-1),regle!F$2-$Q16)),IF(AR16+1&gt;=regle!$J$12,-2,AR16+1))</f>
        <v>11</v>
      </c>
      <c r="AT16">
        <f>IF(AT$1=$AO$1,IF(regle!G$2-$Q16&gt;=regle!$J$12,-2,IF($S16,IF(regle!$B$2-$Q16&gt;=2,0,-1),regle!G$2-$Q16)),IF(AS16+1&gt;=regle!$J$12,-2,AS16+1))</f>
        <v>12</v>
      </c>
      <c r="AU16">
        <f>IF(AU$1=$AO$1,IF(regle!H$2-$Q16&gt;=regle!$J$12,-2,IF($S16,IF(regle!$B$2-$Q16&gt;=2,0,-1),regle!H$2-$Q16)),IF(AT16+1&gt;=regle!$J$12,-2,AT16+1))</f>
        <v>13</v>
      </c>
      <c r="AV16">
        <f>IF(AV$1=$AO$1,IF(regle!I$2-$Q16&gt;=regle!$J$12,-2,IF($S16,IF(regle!$B$2-$Q16&gt;=2,0,-1),regle!I$2-$Q16)),IF(AU16+1&gt;=regle!$J$12,-2,AU16+1))</f>
        <v>14</v>
      </c>
      <c r="AW16">
        <f>IF(AW$1=$AO$1,IF(regle!J$2-$Q16&gt;=regle!$J$12,-2,IF($S16,IF(regle!$B$2-$Q16&gt;=2,0,-1),regle!J$2-$Q16)),IF(AV16+1&gt;=regle!$J$12,-2,AV16+1))</f>
        <v>15</v>
      </c>
      <c r="AX16">
        <f>IF(AX$1=$AO$1,IF(regle!K$2-$Q16&gt;=regle!$J$12,-2,IF($S16,IF(regle!$B$2-$Q16&gt;=2,0,-1),regle!K$2-$Q16)),IF(AW16+1&gt;=regle!$J$12,-2,AW16+1))</f>
        <v>16</v>
      </c>
    </row>
    <row r="17" spans="1:50" x14ac:dyDescent="0.25">
      <c r="A17" t="b">
        <f>AND(modif0[[#This Row],[cdstr]]&lt;&gt;0,OR(regle!$H$27=FALSE,modif0[[#This Row],[essnc]]="PM"))</f>
        <v>1</v>
      </c>
      <c r="B17">
        <f>ROW(objet!A21)</f>
        <v>21</v>
      </c>
      <c r="C17" s="10" t="str">
        <f>objet!D21</f>
        <v>5360000A0256</v>
      </c>
      <c r="D17" t="str">
        <f>LEFT(modif0[[#This Row],[cdstr]],3)</f>
        <v>536</v>
      </c>
      <c r="E17" s="10" t="str">
        <f>objet!G21</f>
        <v>LE TUZAN</v>
      </c>
      <c r="F17">
        <f>LEN(modif0[[#This Row],[l_dt]])</f>
        <v>11</v>
      </c>
      <c r="G17" s="10" t="str">
        <f>objet!H21</f>
        <v>LA HONTEYRE</v>
      </c>
      <c r="H17" s="10" t="str">
        <f>objet!C21</f>
        <v>A256k</v>
      </c>
      <c r="I17" t="str">
        <f>IF(ISNUMBER(VALUE(RIGHT(LEFT(modif0[[#This Row],[idntfn]],2),1))),_xlfn.CONCAT(0,LEFT(modif0[[#This Row],[idntfn]],1)),LEFT(modif0[[#This Row],[idntfn]],2))</f>
        <v>0A</v>
      </c>
      <c r="J17">
        <f>VALUE(LEFT(RIGHT(modif0[[#This Row],[idntfn]],LEN(modif0[[#This Row],[idntfn]])-IF(LEFT(modif0[[#This Row],[sctn]],1)="0",1,2)),LEN(modif0[[#This Row],[idntfn]])-IF(LEFT(modif0[[#This Row],[sctn]],1)="0",1,2)-LEN(modif0[[#This Row],[lttr]])))</f>
        <v>256</v>
      </c>
      <c r="K17" t="str">
        <f>IF(ISNUMBER(VALUE(RIGHT(modif0[[#This Row],[idntfn]],1))),"",IF(ISNUMBER(VALUE(LEFT(RIGHT(modif0[[#This Row],[idntfn]],2),1))),RIGHT(modif0[[#This Row],[idntfn]],1),RIGHT(modif0[[#This Row],[idntfn]],2)))</f>
        <v>k</v>
      </c>
      <c r="L17" s="10">
        <f>objet!I21</f>
        <v>40731</v>
      </c>
      <c r="M17" s="11">
        <f>modif0[[#This Row],[srfc]]/10000</f>
        <v>4.0731000000000002</v>
      </c>
      <c r="N17" s="10" t="str">
        <f>objet!Z21</f>
        <v>PM</v>
      </c>
      <c r="O17" s="10" t="str">
        <f>objet!AA21</f>
        <v>PLA2017</v>
      </c>
      <c r="P17" t="str">
        <f>IF(ISNUMBER(modif0[[#This Row],[trvx]]),"",LEFT(modif0[[#This Row],[trvx]],LEN(modif0[[#This Row],[trvx]])-4))</f>
        <v>PLA</v>
      </c>
      <c r="Q17">
        <f>VALUE(RIGHT(modif0[[#This Row],[trvx]],4))</f>
        <v>2017</v>
      </c>
      <c r="R17" t="str">
        <f>_xlfn.CONCAT(modif0[[#This Row],[tp]],"-",modif0[[#This Row],[essnc]],"_",modif0[[#This Row],[anns]])</f>
        <v>PLA-PM_2017</v>
      </c>
      <c r="S17" t="b">
        <f>modif0[[#This Row],[tp]]="CR"</f>
        <v>0</v>
      </c>
      <c r="T17">
        <v>40</v>
      </c>
      <c r="U17" t="str">
        <f>IF(NOT($A17),"",
IF(AO17=-2,regle!$J$11,
IF(AO17=regle!$B$12,regle!$B$11,
IF(AO17=regle!$C$12,regle!$C$11,
IF(AO17=regle!$D$12,regle!$D$11,
IF(AO17=regle!$E$12,regle!$E$11,
IF(AO17=regle!$F$12,regle!$F$11,
IF(AO17=regle!$G$12,regle!$G$11,
IF(AO17=regle!$H$12,regle!$H$11,
IF(AO17=regle!$I$12,regle!$I$11,""))))))))))</f>
        <v/>
      </c>
      <c r="V17" t="str">
        <f>IF(NOT($A17),"",
IF(AP17=-2,regle!$J$11,
IF(AP17=regle!$B$12,regle!$B$11,
IF(AP17=regle!$C$12,regle!$C$11,
IF(AP17=regle!$D$12,regle!$D$11,
IF(AP17=regle!$E$12,regle!$E$11,
IF(AP17=regle!$F$12,regle!$F$11,
IF(AP17=regle!$G$12,regle!$G$11,
IF(AP17=regle!$H$12,regle!$H$11,
IF(AP17=regle!$I$12,regle!$I$11,""))))))))))</f>
        <v>ENT2</v>
      </c>
      <c r="W17" t="str">
        <f>IF(NOT($A17),"",
IF(AQ17=-2,regle!$J$11,
IF(AQ17=regle!$B$12,regle!$B$11,
IF(AQ17=regle!$C$12,regle!$C$11,
IF(AQ17=regle!$D$12,regle!$D$11,
IF(AQ17=regle!$E$12,regle!$E$11,
IF(AQ17=regle!$F$12,regle!$F$11,
IF(AQ17=regle!$G$12,regle!$G$11,
IF(AQ17=regle!$H$12,regle!$H$11,
IF(AQ17=regle!$I$12,regle!$I$11,""))))))))))</f>
        <v/>
      </c>
      <c r="X17" t="str">
        <f>IF(NOT($A17),"",
IF(AR17=-2,regle!$J$11,
IF(AR17=regle!$B$12,regle!$B$11,
IF(AR17=regle!$C$12,regle!$C$11,
IF(AR17=regle!$D$12,regle!$D$11,
IF(AR17=regle!$E$12,regle!$E$11,
IF(AR17=regle!$F$12,regle!$F$11,
IF(AR17=regle!$G$12,regle!$G$11,
IF(AR17=regle!$H$12,regle!$H$11,
IF(AR17=regle!$I$12,regle!$I$11,""))))))))))</f>
        <v/>
      </c>
      <c r="Y17" t="str">
        <f>IF(NOT($A17),"",
IF(AS17=-2,regle!$J$11,
IF(AS17=regle!$B$12,regle!$B$11,
IF(AS17=regle!$C$12,regle!$C$11,
IF(AS17=regle!$D$12,regle!$D$11,
IF(AS17=regle!$E$12,regle!$E$11,
IF(AS17=regle!$F$12,regle!$F$11,
IF(AS17=regle!$G$12,regle!$G$11,
IF(AS17=regle!$H$12,regle!$H$11,
IF(AS17=regle!$I$12,regle!$I$11,""))))))))))</f>
        <v/>
      </c>
      <c r="Z17" t="str">
        <f>IF(NOT($A17),"",
IF(AT17=-2,regle!$J$11,
IF(AT17=regle!$B$12,regle!$B$11,
IF(AT17=regle!$C$12,regle!$C$11,
IF(AT17=regle!$D$12,regle!$D$11,
IF(AT17=regle!$E$12,regle!$E$11,
IF(AT17=regle!$F$12,regle!$F$11,
IF(AT17=regle!$G$12,regle!$G$11,
IF(AT17=regle!$H$12,regle!$H$11,
IF(AT17=regle!$I$12,regle!$I$11,""))))))))))</f>
        <v/>
      </c>
      <c r="AA17" t="str">
        <f>IF(NOT($A17),"",
IF(AU17=-2,regle!$J$11,
IF(AU17=regle!$B$12,regle!$B$11,
IF(AU17=regle!$C$12,regle!$C$11,
IF(AU17=regle!$D$12,regle!$D$11,
IF(AU17=regle!$E$12,regle!$E$11,
IF(AU17=regle!$F$12,regle!$F$11,
IF(AU17=regle!$G$12,regle!$G$11,
IF(AU17=regle!$H$12,regle!$H$11,
IF(AU17=regle!$I$12,regle!$I$11,""))))))))))</f>
        <v>EC1</v>
      </c>
      <c r="AB17" t="str">
        <f>IF(NOT($A17),"",
IF(AV17=-2,regle!$J$11,
IF(AV17=regle!$B$12,regle!$B$11,
IF(AV17=regle!$C$12,regle!$C$11,
IF(AV17=regle!$D$12,regle!$D$11,
IF(AV17=regle!$E$12,regle!$E$11,
IF(AV17=regle!$F$12,regle!$F$11,
IF(AV17=regle!$G$12,regle!$G$11,
IF(AV17=regle!$H$12,regle!$H$11,
IF(AV17=regle!$I$12,regle!$I$11,""))))))))))</f>
        <v/>
      </c>
      <c r="AC17" t="str">
        <f>IF(NOT($A17),"",
IF(AW17=-2,regle!$J$11,
IF(AW17=regle!$B$12,regle!$B$11,
IF(AW17=regle!$C$12,regle!$C$11,
IF(AW17=regle!$D$12,regle!$D$11,
IF(AW17=regle!$E$12,regle!$E$11,
IF(AW17=regle!$F$12,regle!$F$11,
IF(AW17=regle!$G$12,regle!$G$11,
IF(AW17=regle!$H$12,regle!$H$11,
IF(AW17=regle!$I$12,regle!$I$11,""))))))))))</f>
        <v/>
      </c>
      <c r="AD17" t="str">
        <f>IF(NOT($A17),"",
IF(AX17=-2,regle!$J$11,
IF(AX17=regle!$B$12,regle!$B$11,
IF(AX17=regle!$C$12,regle!$C$11,
IF(AX17=regle!$D$12,regle!$D$11,
IF(AX17=regle!$E$12,regle!$E$11,
IF(AX17=regle!$F$12,regle!$F$11,
IF(AX17=regle!$G$12,regle!$G$11,
IF(AX17=regle!$H$12,regle!$H$11,
IF(AX17=regle!$I$12,regle!$I$11,""))))))))))</f>
        <v/>
      </c>
      <c r="AE17" s="14">
        <f>IF($A17,$M17*(IF(U17=regle!$B$11,regle!$B$23,IF(U17=regle!$C$11,regle!$C$23,IF(U17=regle!$D$11,regle!$D$23,IF(U17=regle!$E$11,regle!$E$23,IF(U17=regle!$F$11,regle!$F$23,IF(U17=regle!$G$11,regle!$G$23,IF(U17=regle!$H$11,regle!$H$23,IF(U17=regle!$I$11,regle!$I$23,IF(U17=regle!$J$11,regle!$J$23,0)))))))))))</f>
        <v>0</v>
      </c>
      <c r="AF17" s="14">
        <f>IF($A17,$M17*(IF(V17=regle!$B$11,regle!$B$23,IF(V17=regle!$C$11,regle!$C$23,IF(V17=regle!$D$11,regle!$D$23,IF(V17=regle!$E$11,regle!$E$23,IF(V17=regle!$F$11,regle!$F$23,IF(V17=regle!$G$11,regle!$G$23,IF(V17=regle!$H$11,regle!$H$23,IF(V17=regle!$I$11,regle!$I$23,IF(V17=regle!$J$11,regle!$J$23,0)))))))))))</f>
        <v>-366.57900000000001</v>
      </c>
      <c r="AG17" s="14">
        <f>IF($A17,$M17*(IF(W17=regle!$B$11,regle!$B$23,IF(W17=regle!$C$11,regle!$C$23,IF(W17=regle!$D$11,regle!$D$23,IF(W17=regle!$E$11,regle!$E$23,IF(W17=regle!$F$11,regle!$F$23,IF(W17=regle!$G$11,regle!$G$23,IF(W17=regle!$H$11,regle!$H$23,IF(W17=regle!$I$11,regle!$I$23,IF(W17=regle!$J$11,regle!$J$23,0)))))))))))</f>
        <v>0</v>
      </c>
      <c r="AH17" s="14">
        <f>IF($A17,$M17*(IF(X17=regle!$B$11,regle!$B$23,IF(X17=regle!$C$11,regle!$C$23,IF(X17=regle!$D$11,regle!$D$23,IF(X17=regle!$E$11,regle!$E$23,IF(X17=regle!$F$11,regle!$F$23,IF(X17=regle!$G$11,regle!$G$23,IF(X17=regle!$H$11,regle!$H$23,IF(X17=regle!$I$11,regle!$I$23,IF(X17=regle!$J$11,regle!$J$23,0)))))))))))</f>
        <v>0</v>
      </c>
      <c r="AI17" s="14">
        <f>IF($A17,$M17*(IF(Y17=regle!$B$11,regle!$B$23,IF(Y17=regle!$C$11,regle!$C$23,IF(Y17=regle!$D$11,regle!$D$23,IF(Y17=regle!$E$11,regle!$E$23,IF(Y17=regle!$F$11,regle!$F$23,IF(Y17=regle!$G$11,regle!$G$23,IF(Y17=regle!$H$11,regle!$H$23,IF(Y17=regle!$I$11,regle!$I$23,IF(Y17=regle!$J$11,regle!$J$23,0)))))))))))</f>
        <v>0</v>
      </c>
      <c r="AJ17" s="14">
        <f>IF($A17,$M17*(IF(Z17=regle!$B$11,regle!$B$23,IF(Z17=regle!$C$11,regle!$C$23,IF(Z17=regle!$D$11,regle!$D$23,IF(Z17=regle!$E$11,regle!$E$23,IF(Z17=regle!$F$11,regle!$F$23,IF(Z17=regle!$G$11,regle!$G$23,IF(Z17=regle!$H$11,regle!$H$23,IF(Z17=regle!$I$11,regle!$I$23,IF(Z17=regle!$J$11,regle!$J$23,0)))))))))))</f>
        <v>0</v>
      </c>
      <c r="AK17" s="14">
        <f>IF($A17,$M17*(IF(AA17=regle!$B$11,regle!$B$23,IF(AA17=regle!$C$11,regle!$C$23,IF(AA17=regle!$D$11,regle!$D$23,IF(AA17=regle!$E$11,regle!$E$23,IF(AA17=regle!$F$11,regle!$F$23,IF(AA17=regle!$G$11,regle!$G$23,IF(AA17=regle!$H$11,regle!$H$23,IF(AA17=regle!$I$11,regle!$I$23,IF(AA17=regle!$J$11,regle!$J$23,0)))))))))))</f>
        <v>2346.1055999999999</v>
      </c>
      <c r="AL17" s="14">
        <f>IF($A17,$M17*(IF(AB17=regle!$B$11,regle!$B$23,IF(AB17=regle!$C$11,regle!$C$23,IF(AB17=regle!$D$11,regle!$D$23,IF(AB17=regle!$E$11,regle!$E$23,IF(AB17=regle!$F$11,regle!$F$23,IF(AB17=regle!$G$11,regle!$G$23,IF(AB17=regle!$H$11,regle!$H$23,IF(AB17=regle!$I$11,regle!$I$23,IF(AB17=regle!$J$11,regle!$J$23,0)))))))))))</f>
        <v>0</v>
      </c>
      <c r="AM17" s="14">
        <f>IF($A17,$M17*(IF(AC17=regle!$B$11,regle!$B$23,IF(AC17=regle!$C$11,regle!$C$23,IF(AC17=regle!$D$11,regle!$D$23,IF(AC17=regle!$E$11,regle!$E$23,IF(AC17=regle!$F$11,regle!$F$23,IF(AC17=regle!$G$11,regle!$G$23,IF(AC17=regle!$H$11,regle!$H$23,IF(AC17=regle!$I$11,regle!$I$23,IF(AC17=regle!$J$11,regle!$J$23,0)))))))))))</f>
        <v>0</v>
      </c>
      <c r="AN17" s="14">
        <f>IF($A17,$M17*(IF(AD17=regle!$B$11,regle!$B$23,IF(AD17=regle!$C$11,regle!$C$23,IF(AD17=regle!$D$11,regle!$D$23,IF(AD17=regle!$E$11,regle!$E$23,IF(AD17=regle!$F$11,regle!$F$23,IF(AD17=regle!$G$11,regle!$G$23,IF(AD17=regle!$H$11,regle!$H$23,IF(AD17=regle!$I$11,regle!$I$23,IF(AD17=regle!$J$11,regle!$J$23,0)))))))))))</f>
        <v>0</v>
      </c>
      <c r="AO17">
        <f>IF(AO$1=$AO$1,IF(regle!B$2-$Q17&gt;=regle!$J$12,-2,IF($S17,IF(regle!$B$2-$Q17&gt;=2,0,-1),regle!B$2-$Q17)),IF(AN17+1&gt;=regle!$J$12,-2,AN17+1))</f>
        <v>7</v>
      </c>
      <c r="AP17">
        <f>IF(AP$1=$AO$1,IF(regle!C$2-$Q17&gt;=regle!$J$12,-2,IF($S17,IF(regle!$B$2-$Q17&gt;=2,0,-1),regle!C$2-$Q17)),IF(AO17+1&gt;=regle!$J$12,-2,AO17+1))</f>
        <v>8</v>
      </c>
      <c r="AQ17">
        <f>IF(AQ$1=$AO$1,IF(regle!D$2-$Q17&gt;=regle!$J$12,-2,IF($S17,IF(regle!$B$2-$Q17&gt;=2,0,-1),regle!D$2-$Q17)),IF(AP17+1&gt;=regle!$J$12,-2,AP17+1))</f>
        <v>9</v>
      </c>
      <c r="AR17">
        <f>IF(AR$1=$AO$1,IF(regle!E$2-$Q17&gt;=regle!$J$12,-2,IF($S17,IF(regle!$B$2-$Q17&gt;=2,0,-1),regle!E$2-$Q17)),IF(AQ17+1&gt;=regle!$J$12,-2,AQ17+1))</f>
        <v>10</v>
      </c>
      <c r="AS17">
        <f>IF(AS$1=$AO$1,IF(regle!F$2-$Q17&gt;=regle!$J$12,-2,IF($S17,IF(regle!$B$2-$Q17&gt;=2,0,-1),regle!F$2-$Q17)),IF(AR17+1&gt;=regle!$J$12,-2,AR17+1))</f>
        <v>11</v>
      </c>
      <c r="AT17">
        <f>IF(AT$1=$AO$1,IF(regle!G$2-$Q17&gt;=regle!$J$12,-2,IF($S17,IF(regle!$B$2-$Q17&gt;=2,0,-1),regle!G$2-$Q17)),IF(AS17+1&gt;=regle!$J$12,-2,AS17+1))</f>
        <v>12</v>
      </c>
      <c r="AU17">
        <f>IF(AU$1=$AO$1,IF(regle!H$2-$Q17&gt;=regle!$J$12,-2,IF($S17,IF(regle!$B$2-$Q17&gt;=2,0,-1),regle!H$2-$Q17)),IF(AT17+1&gt;=regle!$J$12,-2,AT17+1))</f>
        <v>13</v>
      </c>
      <c r="AV17">
        <f>IF(AV$1=$AO$1,IF(regle!I$2-$Q17&gt;=regle!$J$12,-2,IF($S17,IF(regle!$B$2-$Q17&gt;=2,0,-1),regle!I$2-$Q17)),IF(AU17+1&gt;=regle!$J$12,-2,AU17+1))</f>
        <v>14</v>
      </c>
      <c r="AW17">
        <f>IF(AW$1=$AO$1,IF(regle!J$2-$Q17&gt;=regle!$J$12,-2,IF($S17,IF(regle!$B$2-$Q17&gt;=2,0,-1),regle!J$2-$Q17)),IF(AV17+1&gt;=regle!$J$12,-2,AV17+1))</f>
        <v>15</v>
      </c>
      <c r="AX17">
        <f>IF(AX$1=$AO$1,IF(regle!K$2-$Q17&gt;=regle!$J$12,-2,IF($S17,IF(regle!$B$2-$Q17&gt;=2,0,-1),regle!K$2-$Q17)),IF(AW17+1&gt;=regle!$J$12,-2,AW17+1))</f>
        <v>16</v>
      </c>
    </row>
    <row r="18" spans="1:50" x14ac:dyDescent="0.25">
      <c r="A18" t="b">
        <f>AND(modif0[[#This Row],[cdstr]]&lt;&gt;0,OR(regle!$H$27=FALSE,modif0[[#This Row],[essnc]]="PM"))</f>
        <v>1</v>
      </c>
      <c r="B18">
        <f>ROW(objet!A22)</f>
        <v>22</v>
      </c>
      <c r="C18" s="10" t="str">
        <f>objet!D22</f>
        <v>5360000A0259</v>
      </c>
      <c r="D18" t="str">
        <f>LEFT(modif0[[#This Row],[cdstr]],3)</f>
        <v>536</v>
      </c>
      <c r="E18" s="10" t="str">
        <f>objet!G22</f>
        <v>LE TUZAN</v>
      </c>
      <c r="F18">
        <f>LEN(modif0[[#This Row],[l_dt]])</f>
        <v>11</v>
      </c>
      <c r="G18" s="10" t="str">
        <f>objet!H22</f>
        <v>LA HONTEYRE</v>
      </c>
      <c r="H18" s="10" t="str">
        <f>objet!C22</f>
        <v>A259</v>
      </c>
      <c r="I18" t="str">
        <f>IF(ISNUMBER(VALUE(RIGHT(LEFT(modif0[[#This Row],[idntfn]],2),1))),_xlfn.CONCAT(0,LEFT(modif0[[#This Row],[idntfn]],1)),LEFT(modif0[[#This Row],[idntfn]],2))</f>
        <v>0A</v>
      </c>
      <c r="J18">
        <f>VALUE(LEFT(RIGHT(modif0[[#This Row],[idntfn]],LEN(modif0[[#This Row],[idntfn]])-IF(LEFT(modif0[[#This Row],[sctn]],1)="0",1,2)),LEN(modif0[[#This Row],[idntfn]])-IF(LEFT(modif0[[#This Row],[sctn]],1)="0",1,2)-LEN(modif0[[#This Row],[lttr]])))</f>
        <v>259</v>
      </c>
      <c r="K18" t="str">
        <f>IF(ISNUMBER(VALUE(RIGHT(modif0[[#This Row],[idntfn]],1))),"",IF(ISNUMBER(VALUE(LEFT(RIGHT(modif0[[#This Row],[idntfn]],2),1))),RIGHT(modif0[[#This Row],[idntfn]],1),RIGHT(modif0[[#This Row],[idntfn]],2)))</f>
        <v/>
      </c>
      <c r="L18" s="10">
        <f>objet!I22</f>
        <v>18910</v>
      </c>
      <c r="M18" s="11">
        <f>modif0[[#This Row],[srfc]]/10000</f>
        <v>1.891</v>
      </c>
      <c r="N18" s="10" t="str">
        <f>objet!Z22</f>
        <v>PM</v>
      </c>
      <c r="O18" s="10" t="str">
        <f>objet!AA22</f>
        <v>SN2009</v>
      </c>
      <c r="P18" t="str">
        <f>IF(ISNUMBER(modif0[[#This Row],[trvx]]),"",LEFT(modif0[[#This Row],[trvx]],LEN(modif0[[#This Row],[trvx]])-4))</f>
        <v>SN</v>
      </c>
      <c r="Q18">
        <f>VALUE(RIGHT(modif0[[#This Row],[trvx]],4))</f>
        <v>2009</v>
      </c>
      <c r="R18" t="str">
        <f>_xlfn.CONCAT(modif0[[#This Row],[tp]],"-",modif0[[#This Row],[essnc]],"_",modif0[[#This Row],[anns]])</f>
        <v>SN-PM_2009</v>
      </c>
      <c r="S18" t="b">
        <f>modif0[[#This Row],[tp]]="CR"</f>
        <v>0</v>
      </c>
      <c r="T18">
        <v>40</v>
      </c>
      <c r="U18" t="str">
        <f>IF(NOT($A18),"",
IF(AO18=-2,regle!$J$11,
IF(AO18=regle!$B$12,regle!$B$11,
IF(AO18=regle!$C$12,regle!$C$11,
IF(AO18=regle!$D$12,regle!$D$11,
IF(AO18=regle!$E$12,regle!$E$11,
IF(AO18=regle!$F$12,regle!$F$11,
IF(AO18=regle!$G$12,regle!$G$11,
IF(AO18=regle!$H$12,regle!$H$11,
IF(AO18=regle!$I$12,regle!$I$11,""))))))))))</f>
        <v/>
      </c>
      <c r="V18" t="str">
        <f>IF(NOT($A18),"",
IF(AP18=-2,regle!$J$11,
IF(AP18=regle!$B$12,regle!$B$11,
IF(AP18=regle!$C$12,regle!$C$11,
IF(AP18=regle!$D$12,regle!$D$11,
IF(AP18=regle!$E$12,regle!$E$11,
IF(AP18=regle!$F$12,regle!$F$11,
IF(AP18=regle!$G$12,regle!$G$11,
IF(AP18=regle!$H$12,regle!$H$11,
IF(AP18=regle!$I$12,regle!$I$11,""))))))))))</f>
        <v/>
      </c>
      <c r="W18" t="str">
        <f>IF(NOT($A18),"",
IF(AQ18=-2,regle!$J$11,
IF(AQ18=regle!$B$12,regle!$B$11,
IF(AQ18=regle!$C$12,regle!$C$11,
IF(AQ18=regle!$D$12,regle!$D$11,
IF(AQ18=regle!$E$12,regle!$E$11,
IF(AQ18=regle!$F$12,regle!$F$11,
IF(AQ18=regle!$G$12,regle!$G$11,
IF(AQ18=regle!$H$12,regle!$H$11,
IF(AQ18=regle!$I$12,regle!$I$11,""))))))))))</f>
        <v/>
      </c>
      <c r="X18" t="str">
        <f>IF(NOT($A18),"",
IF(AR18=-2,regle!$J$11,
IF(AR18=regle!$B$12,regle!$B$11,
IF(AR18=regle!$C$12,regle!$C$11,
IF(AR18=regle!$D$12,regle!$D$11,
IF(AR18=regle!$E$12,regle!$E$11,
IF(AR18=regle!$F$12,regle!$F$11,
IF(AR18=regle!$G$12,regle!$G$11,
IF(AR18=regle!$H$12,regle!$H$11,
IF(AR18=regle!$I$12,regle!$I$11,""))))))))))</f>
        <v>EC2</v>
      </c>
      <c r="Y18" t="str">
        <f>IF(NOT($A18),"",
IF(AS18=-2,regle!$J$11,
IF(AS18=regle!$B$12,regle!$B$11,
IF(AS18=regle!$C$12,regle!$C$11,
IF(AS18=regle!$D$12,regle!$D$11,
IF(AS18=regle!$E$12,regle!$E$11,
IF(AS18=regle!$F$12,regle!$F$11,
IF(AS18=regle!$G$12,regle!$G$11,
IF(AS18=regle!$H$12,regle!$H$11,
IF(AS18=regle!$I$12,regle!$I$11,""))))))))))</f>
        <v/>
      </c>
      <c r="Z18" t="str">
        <f>IF(NOT($A18),"",
IF(AT18=-2,regle!$J$11,
IF(AT18=regle!$B$12,regle!$B$11,
IF(AT18=regle!$C$12,regle!$C$11,
IF(AT18=regle!$D$12,regle!$D$11,
IF(AT18=regle!$E$12,regle!$E$11,
IF(AT18=regle!$F$12,regle!$F$11,
IF(AT18=regle!$G$12,regle!$G$11,
IF(AT18=regle!$H$12,regle!$H$11,
IF(AT18=regle!$I$12,regle!$I$11,""))))))))))</f>
        <v/>
      </c>
      <c r="AA18" t="str">
        <f>IF(NOT($A18),"",
IF(AU18=-2,regle!$J$11,
IF(AU18=regle!$B$12,regle!$B$11,
IF(AU18=regle!$C$12,regle!$C$11,
IF(AU18=regle!$D$12,regle!$D$11,
IF(AU18=regle!$E$12,regle!$E$11,
IF(AU18=regle!$F$12,regle!$F$11,
IF(AU18=regle!$G$12,regle!$G$11,
IF(AU18=regle!$H$12,regle!$H$11,
IF(AU18=regle!$I$12,regle!$I$11,""))))))))))</f>
        <v/>
      </c>
      <c r="AB18" t="str">
        <f>IF(NOT($A18),"",
IF(AV18=-2,regle!$J$11,
IF(AV18=regle!$B$12,regle!$B$11,
IF(AV18=regle!$C$12,regle!$C$11,
IF(AV18=regle!$D$12,regle!$D$11,
IF(AV18=regle!$E$12,regle!$E$11,
IF(AV18=regle!$F$12,regle!$F$11,
IF(AV18=regle!$G$12,regle!$G$11,
IF(AV18=regle!$H$12,regle!$H$11,
IF(AV18=regle!$I$12,regle!$I$11,""))))))))))</f>
        <v/>
      </c>
      <c r="AC18" t="str">
        <f>IF(NOT($A18),"",
IF(AW18=-2,regle!$J$11,
IF(AW18=regle!$B$12,regle!$B$11,
IF(AW18=regle!$C$12,regle!$C$11,
IF(AW18=regle!$D$12,regle!$D$11,
IF(AW18=regle!$E$12,regle!$E$11,
IF(AW18=regle!$F$12,regle!$F$11,
IF(AW18=regle!$G$12,regle!$G$11,
IF(AW18=regle!$H$12,regle!$H$11,
IF(AW18=regle!$I$12,regle!$I$11,""))))))))))</f>
        <v>EC3</v>
      </c>
      <c r="AD18" t="str">
        <f>IF(NOT($A18),"",
IF(AX18=-2,regle!$J$11,
IF(AX18=regle!$B$12,regle!$B$11,
IF(AX18=regle!$C$12,regle!$C$11,
IF(AX18=regle!$D$12,regle!$D$11,
IF(AX18=regle!$E$12,regle!$E$11,
IF(AX18=regle!$F$12,regle!$F$11,
IF(AX18=regle!$G$12,regle!$G$11,
IF(AX18=regle!$H$12,regle!$H$11,
IF(AX18=regle!$I$12,regle!$I$11,""))))))))))</f>
        <v/>
      </c>
      <c r="AE18" s="14">
        <f>IF($A18,$M18*(IF(U18=regle!$B$11,regle!$B$23,IF(U18=regle!$C$11,regle!$C$23,IF(U18=regle!$D$11,regle!$D$23,IF(U18=regle!$E$11,regle!$E$23,IF(U18=regle!$F$11,regle!$F$23,IF(U18=regle!$G$11,regle!$G$23,IF(U18=regle!$H$11,regle!$H$23,IF(U18=regle!$I$11,regle!$I$23,IF(U18=regle!$J$11,regle!$J$23,0)))))))))))</f>
        <v>0</v>
      </c>
      <c r="AF18" s="14">
        <f>IF($A18,$M18*(IF(V18=regle!$B$11,regle!$B$23,IF(V18=regle!$C$11,regle!$C$23,IF(V18=regle!$D$11,regle!$D$23,IF(V18=regle!$E$11,regle!$E$23,IF(V18=regle!$F$11,regle!$F$23,IF(V18=regle!$G$11,regle!$G$23,IF(V18=regle!$H$11,regle!$H$23,IF(V18=regle!$I$11,regle!$I$23,IF(V18=regle!$J$11,regle!$J$23,0)))))))))))</f>
        <v>0</v>
      </c>
      <c r="AG18" s="14">
        <f>IF($A18,$M18*(IF(W18=regle!$B$11,regle!$B$23,IF(W18=regle!$C$11,regle!$C$23,IF(W18=regle!$D$11,regle!$D$23,IF(W18=regle!$E$11,regle!$E$23,IF(W18=regle!$F$11,regle!$F$23,IF(W18=regle!$G$11,regle!$G$23,IF(W18=regle!$H$11,regle!$H$23,IF(W18=regle!$I$11,regle!$I$23,IF(W18=regle!$J$11,regle!$J$23,0)))))))))))</f>
        <v>0</v>
      </c>
      <c r="AH18" s="14">
        <f>IF($A18,$M18*(IF(X18=regle!$B$11,regle!$B$23,IF(X18=regle!$C$11,regle!$C$23,IF(X18=regle!$D$11,regle!$D$23,IF(X18=regle!$E$11,regle!$E$23,IF(X18=regle!$F$11,regle!$F$23,IF(X18=regle!$G$11,regle!$G$23,IF(X18=regle!$H$11,regle!$H$23,IF(X18=regle!$I$11,regle!$I$23,IF(X18=regle!$J$11,regle!$J$23,0)))))))))))</f>
        <v>1588.44</v>
      </c>
      <c r="AI18" s="14">
        <f>IF($A18,$M18*(IF(Y18=regle!$B$11,regle!$B$23,IF(Y18=regle!$C$11,regle!$C$23,IF(Y18=regle!$D$11,regle!$D$23,IF(Y18=regle!$E$11,regle!$E$23,IF(Y18=regle!$F$11,regle!$F$23,IF(Y18=regle!$G$11,regle!$G$23,IF(Y18=regle!$H$11,regle!$H$23,IF(Y18=regle!$I$11,regle!$I$23,IF(Y18=regle!$J$11,regle!$J$23,0)))))))))))</f>
        <v>0</v>
      </c>
      <c r="AJ18" s="14">
        <f>IF($A18,$M18*(IF(Z18=regle!$B$11,regle!$B$23,IF(Z18=regle!$C$11,regle!$C$23,IF(Z18=regle!$D$11,regle!$D$23,IF(Z18=regle!$E$11,regle!$E$23,IF(Z18=regle!$F$11,regle!$F$23,IF(Z18=regle!$G$11,regle!$G$23,IF(Z18=regle!$H$11,regle!$H$23,IF(Z18=regle!$I$11,regle!$I$23,IF(Z18=regle!$J$11,regle!$J$23,0)))))))))))</f>
        <v>0</v>
      </c>
      <c r="AK18" s="14">
        <f>IF($A18,$M18*(IF(AA18=regle!$B$11,regle!$B$23,IF(AA18=regle!$C$11,regle!$C$23,IF(AA18=regle!$D$11,regle!$D$23,IF(AA18=regle!$E$11,regle!$E$23,IF(AA18=regle!$F$11,regle!$F$23,IF(AA18=regle!$G$11,regle!$G$23,IF(AA18=regle!$H$11,regle!$H$23,IF(AA18=regle!$I$11,regle!$I$23,IF(AA18=regle!$J$11,regle!$J$23,0)))))))))))</f>
        <v>0</v>
      </c>
      <c r="AL18" s="14">
        <f>IF($A18,$M18*(IF(AB18=regle!$B$11,regle!$B$23,IF(AB18=regle!$C$11,regle!$C$23,IF(AB18=regle!$D$11,regle!$D$23,IF(AB18=regle!$E$11,regle!$E$23,IF(AB18=regle!$F$11,regle!$F$23,IF(AB18=regle!$G$11,regle!$G$23,IF(AB18=regle!$H$11,regle!$H$23,IF(AB18=regle!$I$11,regle!$I$23,IF(AB18=regle!$J$11,regle!$J$23,0)))))))))))</f>
        <v>0</v>
      </c>
      <c r="AM18" s="14">
        <f>IF($A18,$M18*(IF(AC18=regle!$B$11,regle!$B$23,IF(AC18=regle!$C$11,regle!$C$23,IF(AC18=regle!$D$11,regle!$D$23,IF(AC18=regle!$E$11,regle!$E$23,IF(AC18=regle!$F$11,regle!$F$23,IF(AC18=regle!$G$11,regle!$G$23,IF(AC18=regle!$H$11,regle!$H$23,IF(AC18=regle!$I$11,regle!$I$23,IF(AC18=regle!$J$11,regle!$J$23,0)))))))))))</f>
        <v>2662.5280000000002</v>
      </c>
      <c r="AN18" s="14">
        <f>IF($A18,$M18*(IF(AD18=regle!$B$11,regle!$B$23,IF(AD18=regle!$C$11,regle!$C$23,IF(AD18=regle!$D$11,regle!$D$23,IF(AD18=regle!$E$11,regle!$E$23,IF(AD18=regle!$F$11,regle!$F$23,IF(AD18=regle!$G$11,regle!$G$23,IF(AD18=regle!$H$11,regle!$H$23,IF(AD18=regle!$I$11,regle!$I$23,IF(AD18=regle!$J$11,regle!$J$23,0)))))))))))</f>
        <v>0</v>
      </c>
      <c r="AO18">
        <f>IF(AO$1=$AO$1,IF(regle!B$2-$Q18&gt;=regle!$J$12,-2,IF($S18,IF(regle!$B$2-$Q18&gt;=2,0,-1),regle!B$2-$Q18)),IF(AN18+1&gt;=regle!$J$12,-2,AN18+1))</f>
        <v>15</v>
      </c>
      <c r="AP18">
        <f>IF(AP$1=$AO$1,IF(regle!C$2-$Q18&gt;=regle!$J$12,-2,IF($S18,IF(regle!$B$2-$Q18&gt;=2,0,-1),regle!C$2-$Q18)),IF(AO18+1&gt;=regle!$J$12,-2,AO18+1))</f>
        <v>16</v>
      </c>
      <c r="AQ18">
        <f>IF(AQ$1=$AO$1,IF(regle!D$2-$Q18&gt;=regle!$J$12,-2,IF($S18,IF(regle!$B$2-$Q18&gt;=2,0,-1),regle!D$2-$Q18)),IF(AP18+1&gt;=regle!$J$12,-2,AP18+1))</f>
        <v>17</v>
      </c>
      <c r="AR18">
        <f>IF(AR$1=$AO$1,IF(regle!E$2-$Q18&gt;=regle!$J$12,-2,IF($S18,IF(regle!$B$2-$Q18&gt;=2,0,-1),regle!E$2-$Q18)),IF(AQ18+1&gt;=regle!$J$12,-2,AQ18+1))</f>
        <v>18</v>
      </c>
      <c r="AS18">
        <f>IF(AS$1=$AO$1,IF(regle!F$2-$Q18&gt;=regle!$J$12,-2,IF($S18,IF(regle!$B$2-$Q18&gt;=2,0,-1),regle!F$2-$Q18)),IF(AR18+1&gt;=regle!$J$12,-2,AR18+1))</f>
        <v>19</v>
      </c>
      <c r="AT18">
        <f>IF(AT$1=$AO$1,IF(regle!G$2-$Q18&gt;=regle!$J$12,-2,IF($S18,IF(regle!$B$2-$Q18&gt;=2,0,-1),regle!G$2-$Q18)),IF(AS18+1&gt;=regle!$J$12,-2,AS18+1))</f>
        <v>20</v>
      </c>
      <c r="AU18">
        <f>IF(AU$1=$AO$1,IF(regle!H$2-$Q18&gt;=regle!$J$12,-2,IF($S18,IF(regle!$B$2-$Q18&gt;=2,0,-1),regle!H$2-$Q18)),IF(AT18+1&gt;=regle!$J$12,-2,AT18+1))</f>
        <v>21</v>
      </c>
      <c r="AV18">
        <f>IF(AV$1=$AO$1,IF(regle!I$2-$Q18&gt;=regle!$J$12,-2,IF($S18,IF(regle!$B$2-$Q18&gt;=2,0,-1),regle!I$2-$Q18)),IF(AU18+1&gt;=regle!$J$12,-2,AU18+1))</f>
        <v>22</v>
      </c>
      <c r="AW18">
        <f>IF(AW$1=$AO$1,IF(regle!J$2-$Q18&gt;=regle!$J$12,-2,IF($S18,IF(regle!$B$2-$Q18&gt;=2,0,-1),regle!J$2-$Q18)),IF(AV18+1&gt;=regle!$J$12,-2,AV18+1))</f>
        <v>23</v>
      </c>
      <c r="AX18">
        <f>IF(AX$1=$AO$1,IF(regle!K$2-$Q18&gt;=regle!$J$12,-2,IF($S18,IF(regle!$B$2-$Q18&gt;=2,0,-1),regle!K$2-$Q18)),IF(AW18+1&gt;=regle!$J$12,-2,AW18+1))</f>
        <v>24</v>
      </c>
    </row>
    <row r="19" spans="1:50" x14ac:dyDescent="0.25">
      <c r="A19" t="b">
        <f>AND(modif0[[#This Row],[cdstr]]&lt;&gt;0,OR(regle!$H$27=FALSE,modif0[[#This Row],[essnc]]="PM"))</f>
        <v>1</v>
      </c>
      <c r="B19">
        <f>ROW(objet!A24)</f>
        <v>24</v>
      </c>
      <c r="C19" s="10" t="str">
        <f>objet!D24</f>
        <v>5360000A0390</v>
      </c>
      <c r="D19" t="str">
        <f>LEFT(modif0[[#This Row],[cdstr]],3)</f>
        <v>536</v>
      </c>
      <c r="E19" s="10" t="str">
        <f>objet!G24</f>
        <v>LE TUZAN</v>
      </c>
      <c r="F19">
        <f>LEN(modif0[[#This Row],[l_dt]])</f>
        <v>8</v>
      </c>
      <c r="G19" s="10" t="str">
        <f>objet!H24</f>
        <v>AU BLANC</v>
      </c>
      <c r="H19" s="10" t="str">
        <f>objet!C24</f>
        <v>A390</v>
      </c>
      <c r="I19" t="str">
        <f>IF(ISNUMBER(VALUE(RIGHT(LEFT(modif0[[#This Row],[idntfn]],2),1))),_xlfn.CONCAT(0,LEFT(modif0[[#This Row],[idntfn]],1)),LEFT(modif0[[#This Row],[idntfn]],2))</f>
        <v>0A</v>
      </c>
      <c r="J19">
        <f>VALUE(LEFT(RIGHT(modif0[[#This Row],[idntfn]],LEN(modif0[[#This Row],[idntfn]])-IF(LEFT(modif0[[#This Row],[sctn]],1)="0",1,2)),LEN(modif0[[#This Row],[idntfn]])-IF(LEFT(modif0[[#This Row],[sctn]],1)="0",1,2)-LEN(modif0[[#This Row],[lttr]])))</f>
        <v>390</v>
      </c>
      <c r="K19" t="str">
        <f>IF(ISNUMBER(VALUE(RIGHT(modif0[[#This Row],[idntfn]],1))),"",IF(ISNUMBER(VALUE(LEFT(RIGHT(modif0[[#This Row],[idntfn]],2),1))),RIGHT(modif0[[#This Row],[idntfn]],1),RIGHT(modif0[[#This Row],[idntfn]],2)))</f>
        <v/>
      </c>
      <c r="L19" s="10">
        <f>objet!I24</f>
        <v>40070</v>
      </c>
      <c r="M19" s="11">
        <f>modif0[[#This Row],[srfc]]/10000</f>
        <v>4.0069999999999997</v>
      </c>
      <c r="N19" s="10" t="str">
        <f>objet!Z24</f>
        <v>PM</v>
      </c>
      <c r="O19" s="10" t="str">
        <f>objet!AA24</f>
        <v>PLA2005</v>
      </c>
      <c r="P19" t="str">
        <f>IF(ISNUMBER(modif0[[#This Row],[trvx]]),"",LEFT(modif0[[#This Row],[trvx]],LEN(modif0[[#This Row],[trvx]])-4))</f>
        <v>PLA</v>
      </c>
      <c r="Q19">
        <f>VALUE(RIGHT(modif0[[#This Row],[trvx]],4))</f>
        <v>2005</v>
      </c>
      <c r="R19" t="str">
        <f>_xlfn.CONCAT(modif0[[#This Row],[tp]],"-",modif0[[#This Row],[essnc]],"_",modif0[[#This Row],[anns]])</f>
        <v>PLA-PM_2005</v>
      </c>
      <c r="S19" t="b">
        <f>modif0[[#This Row],[tp]]="CR"</f>
        <v>0</v>
      </c>
      <c r="T19">
        <v>40</v>
      </c>
      <c r="U19" t="str">
        <f>IF(NOT($A19),"",
IF(AO19=-2,regle!$J$11,
IF(AO19=regle!$B$12,regle!$B$11,
IF(AO19=regle!$C$12,regle!$C$11,
IF(AO19=regle!$D$12,regle!$D$11,
IF(AO19=regle!$E$12,regle!$E$11,
IF(AO19=regle!$F$12,regle!$F$11,
IF(AO19=regle!$G$12,regle!$G$11,
IF(AO19=regle!$H$12,regle!$H$11,
IF(AO19=regle!$I$12,regle!$I$11,""))))))))))</f>
        <v/>
      </c>
      <c r="V19" t="str">
        <f>IF(NOT($A19),"",
IF(AP19=-2,regle!$J$11,
IF(AP19=regle!$B$12,regle!$B$11,
IF(AP19=regle!$C$12,regle!$C$11,
IF(AP19=regle!$D$12,regle!$D$11,
IF(AP19=regle!$E$12,regle!$E$11,
IF(AP19=regle!$F$12,regle!$F$11,
IF(AP19=regle!$G$12,regle!$G$11,
IF(AP19=regle!$H$12,regle!$H$11,
IF(AP19=regle!$I$12,regle!$I$11,""))))))))))</f>
        <v/>
      </c>
      <c r="W19" t="str">
        <f>IF(NOT($A19),"",
IF(AQ19=-2,regle!$J$11,
IF(AQ19=regle!$B$12,regle!$B$11,
IF(AQ19=regle!$C$12,regle!$C$11,
IF(AQ19=regle!$D$12,regle!$D$11,
IF(AQ19=regle!$E$12,regle!$E$11,
IF(AQ19=regle!$F$12,regle!$F$11,
IF(AQ19=regle!$G$12,regle!$G$11,
IF(AQ19=regle!$H$12,regle!$H$11,
IF(AQ19=regle!$I$12,regle!$I$11,""))))))))))</f>
        <v/>
      </c>
      <c r="X19" t="str">
        <f>IF(NOT($A19),"",
IF(AR19=-2,regle!$J$11,
IF(AR19=regle!$B$12,regle!$B$11,
IF(AR19=regle!$C$12,regle!$C$11,
IF(AR19=regle!$D$12,regle!$D$11,
IF(AR19=regle!$E$12,regle!$E$11,
IF(AR19=regle!$F$12,regle!$F$11,
IF(AR19=regle!$G$12,regle!$G$11,
IF(AR19=regle!$H$12,regle!$H$11,
IF(AR19=regle!$I$12,regle!$I$11,""))))))))))</f>
        <v/>
      </c>
      <c r="Y19" t="str">
        <f>IF(NOT($A19),"",
IF(AS19=-2,regle!$J$11,
IF(AS19=regle!$B$12,regle!$B$11,
IF(AS19=regle!$C$12,regle!$C$11,
IF(AS19=regle!$D$12,regle!$D$11,
IF(AS19=regle!$E$12,regle!$E$11,
IF(AS19=regle!$F$12,regle!$F$11,
IF(AS19=regle!$G$12,regle!$G$11,
IF(AS19=regle!$H$12,regle!$H$11,
IF(AS19=regle!$I$12,regle!$I$11,""))))))))))</f>
        <v>EC3</v>
      </c>
      <c r="Z19" t="str">
        <f>IF(NOT($A19),"",
IF(AT19=-2,regle!$J$11,
IF(AT19=regle!$B$12,regle!$B$11,
IF(AT19=regle!$C$12,regle!$C$11,
IF(AT19=regle!$D$12,regle!$D$11,
IF(AT19=regle!$E$12,regle!$E$11,
IF(AT19=regle!$F$12,regle!$F$11,
IF(AT19=regle!$G$12,regle!$G$11,
IF(AT19=regle!$H$12,regle!$H$11,
IF(AT19=regle!$I$12,regle!$I$11,""))))))))))</f>
        <v/>
      </c>
      <c r="AA19" t="str">
        <f>IF(NOT($A19),"",
IF(AU19=-2,regle!$J$11,
IF(AU19=regle!$B$12,regle!$B$11,
IF(AU19=regle!$C$12,regle!$C$11,
IF(AU19=regle!$D$12,regle!$D$11,
IF(AU19=regle!$E$12,regle!$E$11,
IF(AU19=regle!$F$12,regle!$F$11,
IF(AU19=regle!$G$12,regle!$G$11,
IF(AU19=regle!$H$12,regle!$H$11,
IF(AU19=regle!$I$12,regle!$I$11,""))))))))))</f>
        <v/>
      </c>
      <c r="AB19" t="str">
        <f>IF(NOT($A19),"",
IF(AV19=-2,regle!$J$11,
IF(AV19=regle!$B$12,regle!$B$11,
IF(AV19=regle!$C$12,regle!$C$11,
IF(AV19=regle!$D$12,regle!$D$11,
IF(AV19=regle!$E$12,regle!$E$11,
IF(AV19=regle!$F$12,regle!$F$11,
IF(AV19=regle!$G$12,regle!$G$11,
IF(AV19=regle!$H$12,regle!$H$11,
IF(AV19=regle!$I$12,regle!$I$11,""))))))))))</f>
        <v/>
      </c>
      <c r="AC19" t="str">
        <f>IF(NOT($A19),"",
IF(AW19=-2,regle!$J$11,
IF(AW19=regle!$B$12,regle!$B$11,
IF(AW19=regle!$C$12,regle!$C$11,
IF(AW19=regle!$D$12,regle!$D$11,
IF(AW19=regle!$E$12,regle!$E$11,
IF(AW19=regle!$F$12,regle!$F$11,
IF(AW19=regle!$G$12,regle!$G$11,
IF(AW19=regle!$H$12,regle!$H$11,
IF(AW19=regle!$I$12,regle!$I$11,""))))))))))</f>
        <v/>
      </c>
      <c r="AD19" t="str">
        <f>IF(NOT($A19),"",
IF(AX19=-2,regle!$J$11,
IF(AX19=regle!$B$12,regle!$B$11,
IF(AX19=regle!$C$12,regle!$C$11,
IF(AX19=regle!$D$12,regle!$D$11,
IF(AX19=regle!$E$12,regle!$E$11,
IF(AX19=regle!$F$12,regle!$F$11,
IF(AX19=regle!$G$12,regle!$G$11,
IF(AX19=regle!$H$12,regle!$H$11,
IF(AX19=regle!$I$12,regle!$I$11,""))))))))))</f>
        <v>EC4</v>
      </c>
      <c r="AE19" s="14">
        <f>IF($A19,$M19*(IF(U19=regle!$B$11,regle!$B$23,IF(U19=regle!$C$11,regle!$C$23,IF(U19=regle!$D$11,regle!$D$23,IF(U19=regle!$E$11,regle!$E$23,IF(U19=regle!$F$11,regle!$F$23,IF(U19=regle!$G$11,regle!$G$23,IF(U19=regle!$H$11,regle!$H$23,IF(U19=regle!$I$11,regle!$I$23,IF(U19=regle!$J$11,regle!$J$23,0)))))))))))</f>
        <v>0</v>
      </c>
      <c r="AF19" s="14">
        <f>IF($A19,$M19*(IF(V19=regle!$B$11,regle!$B$23,IF(V19=regle!$C$11,regle!$C$23,IF(V19=regle!$D$11,regle!$D$23,IF(V19=regle!$E$11,regle!$E$23,IF(V19=regle!$F$11,regle!$F$23,IF(V19=regle!$G$11,regle!$G$23,IF(V19=regle!$H$11,regle!$H$23,IF(V19=regle!$I$11,regle!$I$23,IF(V19=regle!$J$11,regle!$J$23,0)))))))))))</f>
        <v>0</v>
      </c>
      <c r="AG19" s="14">
        <f>IF($A19,$M19*(IF(W19=regle!$B$11,regle!$B$23,IF(W19=regle!$C$11,regle!$C$23,IF(W19=regle!$D$11,regle!$D$23,IF(W19=regle!$E$11,regle!$E$23,IF(W19=regle!$F$11,regle!$F$23,IF(W19=regle!$G$11,regle!$G$23,IF(W19=regle!$H$11,regle!$H$23,IF(W19=regle!$I$11,regle!$I$23,IF(W19=regle!$J$11,regle!$J$23,0)))))))))))</f>
        <v>0</v>
      </c>
      <c r="AH19" s="14">
        <f>IF($A19,$M19*(IF(X19=regle!$B$11,regle!$B$23,IF(X19=regle!$C$11,regle!$C$23,IF(X19=regle!$D$11,regle!$D$23,IF(X19=regle!$E$11,regle!$E$23,IF(X19=regle!$F$11,regle!$F$23,IF(X19=regle!$G$11,regle!$G$23,IF(X19=regle!$H$11,regle!$H$23,IF(X19=regle!$I$11,regle!$I$23,IF(X19=regle!$J$11,regle!$J$23,0)))))))))))</f>
        <v>0</v>
      </c>
      <c r="AI19" s="14">
        <f>IF($A19,$M19*(IF(Y19=regle!$B$11,regle!$B$23,IF(Y19=regle!$C$11,regle!$C$23,IF(Y19=regle!$D$11,regle!$D$23,IF(Y19=regle!$E$11,regle!$E$23,IF(Y19=regle!$F$11,regle!$F$23,IF(Y19=regle!$G$11,regle!$G$23,IF(Y19=regle!$H$11,regle!$H$23,IF(Y19=regle!$I$11,regle!$I$23,IF(Y19=regle!$J$11,regle!$J$23,0)))))))))))</f>
        <v>5641.8559999999998</v>
      </c>
      <c r="AJ19" s="14">
        <f>IF($A19,$M19*(IF(Z19=regle!$B$11,regle!$B$23,IF(Z19=regle!$C$11,regle!$C$23,IF(Z19=regle!$D$11,regle!$D$23,IF(Z19=regle!$E$11,regle!$E$23,IF(Z19=regle!$F$11,regle!$F$23,IF(Z19=regle!$G$11,regle!$G$23,IF(Z19=regle!$H$11,regle!$H$23,IF(Z19=regle!$I$11,regle!$I$23,IF(Z19=regle!$J$11,regle!$J$23,0)))))))))))</f>
        <v>0</v>
      </c>
      <c r="AK19" s="14">
        <f>IF($A19,$M19*(IF(AA19=regle!$B$11,regle!$B$23,IF(AA19=regle!$C$11,regle!$C$23,IF(AA19=regle!$D$11,regle!$D$23,IF(AA19=regle!$E$11,regle!$E$23,IF(AA19=regle!$F$11,regle!$F$23,IF(AA19=regle!$G$11,regle!$G$23,IF(AA19=regle!$H$11,regle!$H$23,IF(AA19=regle!$I$11,regle!$I$23,IF(AA19=regle!$J$11,regle!$J$23,0)))))))))))</f>
        <v>0</v>
      </c>
      <c r="AL19" s="14">
        <f>IF($A19,$M19*(IF(AB19=regle!$B$11,regle!$B$23,IF(AB19=regle!$C$11,regle!$C$23,IF(AB19=regle!$D$11,regle!$D$23,IF(AB19=regle!$E$11,regle!$E$23,IF(AB19=regle!$F$11,regle!$F$23,IF(AB19=regle!$G$11,regle!$G$23,IF(AB19=regle!$H$11,regle!$H$23,IF(AB19=regle!$I$11,regle!$I$23,IF(AB19=regle!$J$11,regle!$J$23,0)))))))))))</f>
        <v>0</v>
      </c>
      <c r="AM19" s="14">
        <f>IF($A19,$M19*(IF(AC19=regle!$B$11,regle!$B$23,IF(AC19=regle!$C$11,regle!$C$23,IF(AC19=regle!$D$11,regle!$D$23,IF(AC19=regle!$E$11,regle!$E$23,IF(AC19=regle!$F$11,regle!$F$23,IF(AC19=regle!$G$11,regle!$G$23,IF(AC19=regle!$H$11,regle!$H$23,IF(AC19=regle!$I$11,regle!$I$23,IF(AC19=regle!$J$11,regle!$J$23,0)))))))))))</f>
        <v>0</v>
      </c>
      <c r="AN19" s="14">
        <f>IF($A19,$M19*(IF(AD19=regle!$B$11,regle!$B$23,IF(AD19=regle!$C$11,regle!$C$23,IF(AD19=regle!$D$11,regle!$D$23,IF(AD19=regle!$E$11,regle!$E$23,IF(AD19=regle!$F$11,regle!$F$23,IF(AD19=regle!$G$11,regle!$G$23,IF(AD19=regle!$H$11,regle!$H$23,IF(AD19=regle!$I$11,regle!$I$23,IF(AD19=regle!$J$11,regle!$J$23,0)))))))))))</f>
        <v>5128.9599999999991</v>
      </c>
      <c r="AO19">
        <f>IF(AO$1=$AO$1,IF(regle!B$2-$Q19&gt;=regle!$J$12,-2,IF($S19,IF(regle!$B$2-$Q19&gt;=2,0,-1),regle!B$2-$Q19)),IF(AN19+1&gt;=regle!$J$12,-2,AN19+1))</f>
        <v>19</v>
      </c>
      <c r="AP19">
        <f>IF(AP$1=$AO$1,IF(regle!C$2-$Q19&gt;=regle!$J$12,-2,IF($S19,IF(regle!$B$2-$Q19&gt;=2,0,-1),regle!C$2-$Q19)),IF(AO19+1&gt;=regle!$J$12,-2,AO19+1))</f>
        <v>20</v>
      </c>
      <c r="AQ19">
        <f>IF(AQ$1=$AO$1,IF(regle!D$2-$Q19&gt;=regle!$J$12,-2,IF($S19,IF(regle!$B$2-$Q19&gt;=2,0,-1),regle!D$2-$Q19)),IF(AP19+1&gt;=regle!$J$12,-2,AP19+1))</f>
        <v>21</v>
      </c>
      <c r="AR19">
        <f>IF(AR$1=$AO$1,IF(regle!E$2-$Q19&gt;=regle!$J$12,-2,IF($S19,IF(regle!$B$2-$Q19&gt;=2,0,-1),regle!E$2-$Q19)),IF(AQ19+1&gt;=regle!$J$12,-2,AQ19+1))</f>
        <v>22</v>
      </c>
      <c r="AS19">
        <f>IF(AS$1=$AO$1,IF(regle!F$2-$Q19&gt;=regle!$J$12,-2,IF($S19,IF(regle!$B$2-$Q19&gt;=2,0,-1),regle!F$2-$Q19)),IF(AR19+1&gt;=regle!$J$12,-2,AR19+1))</f>
        <v>23</v>
      </c>
      <c r="AT19">
        <f>IF(AT$1=$AO$1,IF(regle!G$2-$Q19&gt;=regle!$J$12,-2,IF($S19,IF(regle!$B$2-$Q19&gt;=2,0,-1),regle!G$2-$Q19)),IF(AS19+1&gt;=regle!$J$12,-2,AS19+1))</f>
        <v>24</v>
      </c>
      <c r="AU19">
        <f>IF(AU$1=$AO$1,IF(regle!H$2-$Q19&gt;=regle!$J$12,-2,IF($S19,IF(regle!$B$2-$Q19&gt;=2,0,-1),regle!H$2-$Q19)),IF(AT19+1&gt;=regle!$J$12,-2,AT19+1))</f>
        <v>25</v>
      </c>
      <c r="AV19">
        <f>IF(AV$1=$AO$1,IF(regle!I$2-$Q19&gt;=regle!$J$12,-2,IF($S19,IF(regle!$B$2-$Q19&gt;=2,0,-1),regle!I$2-$Q19)),IF(AU19+1&gt;=regle!$J$12,-2,AU19+1))</f>
        <v>26</v>
      </c>
      <c r="AW19">
        <f>IF(AW$1=$AO$1,IF(regle!J$2-$Q19&gt;=regle!$J$12,-2,IF($S19,IF(regle!$B$2-$Q19&gt;=2,0,-1),regle!J$2-$Q19)),IF(AV19+1&gt;=regle!$J$12,-2,AV19+1))</f>
        <v>27</v>
      </c>
      <c r="AX19">
        <f>IF(AX$1=$AO$1,IF(regle!K$2-$Q19&gt;=regle!$J$12,-2,IF($S19,IF(regle!$B$2-$Q19&gt;=2,0,-1),regle!K$2-$Q19)),IF(AW19+1&gt;=regle!$J$12,-2,AW19+1))</f>
        <v>28</v>
      </c>
    </row>
    <row r="20" spans="1:50" x14ac:dyDescent="0.25">
      <c r="A20" t="b">
        <f>AND(modif0[[#This Row],[cdstr]]&lt;&gt;0,OR(regle!$H$27=FALSE,modif0[[#This Row],[essnc]]="PM"))</f>
        <v>1</v>
      </c>
      <c r="B20">
        <f>ROW(objet!A25)</f>
        <v>25</v>
      </c>
      <c r="C20" s="10" t="str">
        <f>objet!D25</f>
        <v>5360000A0405</v>
      </c>
      <c r="D20" t="str">
        <f>LEFT(modif0[[#This Row],[cdstr]],3)</f>
        <v>536</v>
      </c>
      <c r="E20" s="10" t="str">
        <f>objet!G25</f>
        <v>LE TUZAN</v>
      </c>
      <c r="F20">
        <f>LEN(modif0[[#This Row],[l_dt]])</f>
        <v>21</v>
      </c>
      <c r="G20" s="10" t="str">
        <f>objet!H25</f>
        <v>METAIRIES DE TABARTON</v>
      </c>
      <c r="H20" s="10" t="str">
        <f>objet!C25</f>
        <v>A405l</v>
      </c>
      <c r="I20" t="str">
        <f>IF(ISNUMBER(VALUE(RIGHT(LEFT(modif0[[#This Row],[idntfn]],2),1))),_xlfn.CONCAT(0,LEFT(modif0[[#This Row],[idntfn]],1)),LEFT(modif0[[#This Row],[idntfn]],2))</f>
        <v>0A</v>
      </c>
      <c r="J20">
        <f>VALUE(LEFT(RIGHT(modif0[[#This Row],[idntfn]],LEN(modif0[[#This Row],[idntfn]])-IF(LEFT(modif0[[#This Row],[sctn]],1)="0",1,2)),LEN(modif0[[#This Row],[idntfn]])-IF(LEFT(modif0[[#This Row],[sctn]],1)="0",1,2)-LEN(modif0[[#This Row],[lttr]])))</f>
        <v>405</v>
      </c>
      <c r="K20" t="str">
        <f>IF(ISNUMBER(VALUE(RIGHT(modif0[[#This Row],[idntfn]],1))),"",IF(ISNUMBER(VALUE(LEFT(RIGHT(modif0[[#This Row],[idntfn]],2),1))),RIGHT(modif0[[#This Row],[idntfn]],1),RIGHT(modif0[[#This Row],[idntfn]],2)))</f>
        <v>l</v>
      </c>
      <c r="L20" s="10">
        <f>objet!I25</f>
        <v>1946</v>
      </c>
      <c r="M20" s="11">
        <f>modif0[[#This Row],[srfc]]/10000</f>
        <v>0.1946</v>
      </c>
      <c r="N20" s="10" t="str">
        <f>objet!Z25</f>
        <v>PM</v>
      </c>
      <c r="O20" s="10" t="str">
        <f>objet!AA25</f>
        <v>PLA2005</v>
      </c>
      <c r="P20" t="str">
        <f>IF(ISNUMBER(modif0[[#This Row],[trvx]]),"",LEFT(modif0[[#This Row],[trvx]],LEN(modif0[[#This Row],[trvx]])-4))</f>
        <v>PLA</v>
      </c>
      <c r="Q20">
        <f>VALUE(RIGHT(modif0[[#This Row],[trvx]],4))</f>
        <v>2005</v>
      </c>
      <c r="R20" t="str">
        <f>_xlfn.CONCAT(modif0[[#This Row],[tp]],"-",modif0[[#This Row],[essnc]],"_",modif0[[#This Row],[anns]])</f>
        <v>PLA-PM_2005</v>
      </c>
      <c r="S20" t="b">
        <f>modif0[[#This Row],[tp]]="CR"</f>
        <v>0</v>
      </c>
      <c r="T20">
        <v>40</v>
      </c>
      <c r="U20" t="str">
        <f>IF(NOT($A20),"",
IF(AO20=-2,regle!$J$11,
IF(AO20=regle!$B$12,regle!$B$11,
IF(AO20=regle!$C$12,regle!$C$11,
IF(AO20=regle!$D$12,regle!$D$11,
IF(AO20=regle!$E$12,regle!$E$11,
IF(AO20=regle!$F$12,regle!$F$11,
IF(AO20=regle!$G$12,regle!$G$11,
IF(AO20=regle!$H$12,regle!$H$11,
IF(AO20=regle!$I$12,regle!$I$11,""))))))))))</f>
        <v/>
      </c>
      <c r="V20" t="str">
        <f>IF(NOT($A20),"",
IF(AP20=-2,regle!$J$11,
IF(AP20=regle!$B$12,regle!$B$11,
IF(AP20=regle!$C$12,regle!$C$11,
IF(AP20=regle!$D$12,regle!$D$11,
IF(AP20=regle!$E$12,regle!$E$11,
IF(AP20=regle!$F$12,regle!$F$11,
IF(AP20=regle!$G$12,regle!$G$11,
IF(AP20=regle!$H$12,regle!$H$11,
IF(AP20=regle!$I$12,regle!$I$11,""))))))))))</f>
        <v/>
      </c>
      <c r="W20" t="str">
        <f>IF(NOT($A20),"",
IF(AQ20=-2,regle!$J$11,
IF(AQ20=regle!$B$12,regle!$B$11,
IF(AQ20=regle!$C$12,regle!$C$11,
IF(AQ20=regle!$D$12,regle!$D$11,
IF(AQ20=regle!$E$12,regle!$E$11,
IF(AQ20=regle!$F$12,regle!$F$11,
IF(AQ20=regle!$G$12,regle!$G$11,
IF(AQ20=regle!$H$12,regle!$H$11,
IF(AQ20=regle!$I$12,regle!$I$11,""))))))))))</f>
        <v/>
      </c>
      <c r="X20" t="str">
        <f>IF(NOT($A20),"",
IF(AR20=-2,regle!$J$11,
IF(AR20=regle!$B$12,regle!$B$11,
IF(AR20=regle!$C$12,regle!$C$11,
IF(AR20=regle!$D$12,regle!$D$11,
IF(AR20=regle!$E$12,regle!$E$11,
IF(AR20=regle!$F$12,regle!$F$11,
IF(AR20=regle!$G$12,regle!$G$11,
IF(AR20=regle!$H$12,regle!$H$11,
IF(AR20=regle!$I$12,regle!$I$11,""))))))))))</f>
        <v/>
      </c>
      <c r="Y20" t="str">
        <f>IF(NOT($A20),"",
IF(AS20=-2,regle!$J$11,
IF(AS20=regle!$B$12,regle!$B$11,
IF(AS20=regle!$C$12,regle!$C$11,
IF(AS20=regle!$D$12,regle!$D$11,
IF(AS20=regle!$E$12,regle!$E$11,
IF(AS20=regle!$F$12,regle!$F$11,
IF(AS20=regle!$G$12,regle!$G$11,
IF(AS20=regle!$H$12,regle!$H$11,
IF(AS20=regle!$I$12,regle!$I$11,""))))))))))</f>
        <v>EC3</v>
      </c>
      <c r="Z20" t="str">
        <f>IF(NOT($A20),"",
IF(AT20=-2,regle!$J$11,
IF(AT20=regle!$B$12,regle!$B$11,
IF(AT20=regle!$C$12,regle!$C$11,
IF(AT20=regle!$D$12,regle!$D$11,
IF(AT20=regle!$E$12,regle!$E$11,
IF(AT20=regle!$F$12,regle!$F$11,
IF(AT20=regle!$G$12,regle!$G$11,
IF(AT20=regle!$H$12,regle!$H$11,
IF(AT20=regle!$I$12,regle!$I$11,""))))))))))</f>
        <v/>
      </c>
      <c r="AA20" t="str">
        <f>IF(NOT($A20),"",
IF(AU20=-2,regle!$J$11,
IF(AU20=regle!$B$12,regle!$B$11,
IF(AU20=regle!$C$12,regle!$C$11,
IF(AU20=regle!$D$12,regle!$D$11,
IF(AU20=regle!$E$12,regle!$E$11,
IF(AU20=regle!$F$12,regle!$F$11,
IF(AU20=regle!$G$12,regle!$G$11,
IF(AU20=regle!$H$12,regle!$H$11,
IF(AU20=regle!$I$12,regle!$I$11,""))))))))))</f>
        <v/>
      </c>
      <c r="AB20" t="str">
        <f>IF(NOT($A20),"",
IF(AV20=-2,regle!$J$11,
IF(AV20=regle!$B$12,regle!$B$11,
IF(AV20=regle!$C$12,regle!$C$11,
IF(AV20=regle!$D$12,regle!$D$11,
IF(AV20=regle!$E$12,regle!$E$11,
IF(AV20=regle!$F$12,regle!$F$11,
IF(AV20=regle!$G$12,regle!$G$11,
IF(AV20=regle!$H$12,regle!$H$11,
IF(AV20=regle!$I$12,regle!$I$11,""))))))))))</f>
        <v/>
      </c>
      <c r="AC20" t="str">
        <f>IF(NOT($A20),"",
IF(AW20=-2,regle!$J$11,
IF(AW20=regle!$B$12,regle!$B$11,
IF(AW20=regle!$C$12,regle!$C$11,
IF(AW20=regle!$D$12,regle!$D$11,
IF(AW20=regle!$E$12,regle!$E$11,
IF(AW20=regle!$F$12,regle!$F$11,
IF(AW20=regle!$G$12,regle!$G$11,
IF(AW20=regle!$H$12,regle!$H$11,
IF(AW20=regle!$I$12,regle!$I$11,""))))))))))</f>
        <v/>
      </c>
      <c r="AD20" t="str">
        <f>IF(NOT($A20),"",
IF(AX20=-2,regle!$J$11,
IF(AX20=regle!$B$12,regle!$B$11,
IF(AX20=regle!$C$12,regle!$C$11,
IF(AX20=regle!$D$12,regle!$D$11,
IF(AX20=regle!$E$12,regle!$E$11,
IF(AX20=regle!$F$12,regle!$F$11,
IF(AX20=regle!$G$12,regle!$G$11,
IF(AX20=regle!$H$12,regle!$H$11,
IF(AX20=regle!$I$12,regle!$I$11,""))))))))))</f>
        <v>EC4</v>
      </c>
      <c r="AE20" s="14">
        <f>IF($A20,$M20*(IF(U20=regle!$B$11,regle!$B$23,IF(U20=regle!$C$11,regle!$C$23,IF(U20=regle!$D$11,regle!$D$23,IF(U20=regle!$E$11,regle!$E$23,IF(U20=regle!$F$11,regle!$F$23,IF(U20=regle!$G$11,regle!$G$23,IF(U20=regle!$H$11,regle!$H$23,IF(U20=regle!$I$11,regle!$I$23,IF(U20=regle!$J$11,regle!$J$23,0)))))))))))</f>
        <v>0</v>
      </c>
      <c r="AF20" s="14">
        <f>IF($A20,$M20*(IF(V20=regle!$B$11,regle!$B$23,IF(V20=regle!$C$11,regle!$C$23,IF(V20=regle!$D$11,regle!$D$23,IF(V20=regle!$E$11,regle!$E$23,IF(V20=regle!$F$11,regle!$F$23,IF(V20=regle!$G$11,regle!$G$23,IF(V20=regle!$H$11,regle!$H$23,IF(V20=regle!$I$11,regle!$I$23,IF(V20=regle!$J$11,regle!$J$23,0)))))))))))</f>
        <v>0</v>
      </c>
      <c r="AG20" s="14">
        <f>IF($A20,$M20*(IF(W20=regle!$B$11,regle!$B$23,IF(W20=regle!$C$11,regle!$C$23,IF(W20=regle!$D$11,regle!$D$23,IF(W20=regle!$E$11,regle!$E$23,IF(W20=regle!$F$11,regle!$F$23,IF(W20=regle!$G$11,regle!$G$23,IF(W20=regle!$H$11,regle!$H$23,IF(W20=regle!$I$11,regle!$I$23,IF(W20=regle!$J$11,regle!$J$23,0)))))))))))</f>
        <v>0</v>
      </c>
      <c r="AH20" s="14">
        <f>IF($A20,$M20*(IF(X20=regle!$B$11,regle!$B$23,IF(X20=regle!$C$11,regle!$C$23,IF(X20=regle!$D$11,regle!$D$23,IF(X20=regle!$E$11,regle!$E$23,IF(X20=regle!$F$11,regle!$F$23,IF(X20=regle!$G$11,regle!$G$23,IF(X20=regle!$H$11,regle!$H$23,IF(X20=regle!$I$11,regle!$I$23,IF(X20=regle!$J$11,regle!$J$23,0)))))))))))</f>
        <v>0</v>
      </c>
      <c r="AI20" s="14">
        <f>IF($A20,$M20*(IF(Y20=regle!$B$11,regle!$B$23,IF(Y20=regle!$C$11,regle!$C$23,IF(Y20=regle!$D$11,regle!$D$23,IF(Y20=regle!$E$11,regle!$E$23,IF(Y20=regle!$F$11,regle!$F$23,IF(Y20=regle!$G$11,regle!$G$23,IF(Y20=regle!$H$11,regle!$H$23,IF(Y20=regle!$I$11,regle!$I$23,IF(Y20=regle!$J$11,regle!$J$23,0)))))))))))</f>
        <v>273.99680000000001</v>
      </c>
      <c r="AJ20" s="14">
        <f>IF($A20,$M20*(IF(Z20=regle!$B$11,regle!$B$23,IF(Z20=regle!$C$11,regle!$C$23,IF(Z20=regle!$D$11,regle!$D$23,IF(Z20=regle!$E$11,regle!$E$23,IF(Z20=regle!$F$11,regle!$F$23,IF(Z20=regle!$G$11,regle!$G$23,IF(Z20=regle!$H$11,regle!$H$23,IF(Z20=regle!$I$11,regle!$I$23,IF(Z20=regle!$J$11,regle!$J$23,0)))))))))))</f>
        <v>0</v>
      </c>
      <c r="AK20" s="14">
        <f>IF($A20,$M20*(IF(AA20=regle!$B$11,regle!$B$23,IF(AA20=regle!$C$11,regle!$C$23,IF(AA20=regle!$D$11,regle!$D$23,IF(AA20=regle!$E$11,regle!$E$23,IF(AA20=regle!$F$11,regle!$F$23,IF(AA20=regle!$G$11,regle!$G$23,IF(AA20=regle!$H$11,regle!$H$23,IF(AA20=regle!$I$11,regle!$I$23,IF(AA20=regle!$J$11,regle!$J$23,0)))))))))))</f>
        <v>0</v>
      </c>
      <c r="AL20" s="14">
        <f>IF($A20,$M20*(IF(AB20=regle!$B$11,regle!$B$23,IF(AB20=regle!$C$11,regle!$C$23,IF(AB20=regle!$D$11,regle!$D$23,IF(AB20=regle!$E$11,regle!$E$23,IF(AB20=regle!$F$11,regle!$F$23,IF(AB20=regle!$G$11,regle!$G$23,IF(AB20=regle!$H$11,regle!$H$23,IF(AB20=regle!$I$11,regle!$I$23,IF(AB20=regle!$J$11,regle!$J$23,0)))))))))))</f>
        <v>0</v>
      </c>
      <c r="AM20" s="14">
        <f>IF($A20,$M20*(IF(AC20=regle!$B$11,regle!$B$23,IF(AC20=regle!$C$11,regle!$C$23,IF(AC20=regle!$D$11,regle!$D$23,IF(AC20=regle!$E$11,regle!$E$23,IF(AC20=regle!$F$11,regle!$F$23,IF(AC20=regle!$G$11,regle!$G$23,IF(AC20=regle!$H$11,regle!$H$23,IF(AC20=regle!$I$11,regle!$I$23,IF(AC20=regle!$J$11,regle!$J$23,0)))))))))))</f>
        <v>0</v>
      </c>
      <c r="AN20" s="14">
        <f>IF($A20,$M20*(IF(AD20=regle!$B$11,regle!$B$23,IF(AD20=regle!$C$11,regle!$C$23,IF(AD20=regle!$D$11,regle!$D$23,IF(AD20=regle!$E$11,regle!$E$23,IF(AD20=regle!$F$11,regle!$F$23,IF(AD20=regle!$G$11,regle!$G$23,IF(AD20=regle!$H$11,regle!$H$23,IF(AD20=regle!$I$11,regle!$I$23,IF(AD20=regle!$J$11,regle!$J$23,0)))))))))))</f>
        <v>249.08799999999999</v>
      </c>
      <c r="AO20">
        <f>IF(AO$1=$AO$1,IF(regle!B$2-$Q20&gt;=regle!$J$12,-2,IF($S20,IF(regle!$B$2-$Q20&gt;=2,0,-1),regle!B$2-$Q20)),IF(AN20+1&gt;=regle!$J$12,-2,AN20+1))</f>
        <v>19</v>
      </c>
      <c r="AP20">
        <f>IF(AP$1=$AO$1,IF(regle!C$2-$Q20&gt;=regle!$J$12,-2,IF($S20,IF(regle!$B$2-$Q20&gt;=2,0,-1),regle!C$2-$Q20)),IF(AO20+1&gt;=regle!$J$12,-2,AO20+1))</f>
        <v>20</v>
      </c>
      <c r="AQ20">
        <f>IF(AQ$1=$AO$1,IF(regle!D$2-$Q20&gt;=regle!$J$12,-2,IF($S20,IF(regle!$B$2-$Q20&gt;=2,0,-1),regle!D$2-$Q20)),IF(AP20+1&gt;=regle!$J$12,-2,AP20+1))</f>
        <v>21</v>
      </c>
      <c r="AR20">
        <f>IF(AR$1=$AO$1,IF(regle!E$2-$Q20&gt;=regle!$J$12,-2,IF($S20,IF(regle!$B$2-$Q20&gt;=2,0,-1),regle!E$2-$Q20)),IF(AQ20+1&gt;=regle!$J$12,-2,AQ20+1))</f>
        <v>22</v>
      </c>
      <c r="AS20">
        <f>IF(AS$1=$AO$1,IF(regle!F$2-$Q20&gt;=regle!$J$12,-2,IF($S20,IF(regle!$B$2-$Q20&gt;=2,0,-1),regle!F$2-$Q20)),IF(AR20+1&gt;=regle!$J$12,-2,AR20+1))</f>
        <v>23</v>
      </c>
      <c r="AT20">
        <f>IF(AT$1=$AO$1,IF(regle!G$2-$Q20&gt;=regle!$J$12,-2,IF($S20,IF(regle!$B$2-$Q20&gt;=2,0,-1),regle!G$2-$Q20)),IF(AS20+1&gt;=regle!$J$12,-2,AS20+1))</f>
        <v>24</v>
      </c>
      <c r="AU20">
        <f>IF(AU$1=$AO$1,IF(regle!H$2-$Q20&gt;=regle!$J$12,-2,IF($S20,IF(regle!$B$2-$Q20&gt;=2,0,-1),regle!H$2-$Q20)),IF(AT20+1&gt;=regle!$J$12,-2,AT20+1))</f>
        <v>25</v>
      </c>
      <c r="AV20">
        <f>IF(AV$1=$AO$1,IF(regle!I$2-$Q20&gt;=regle!$J$12,-2,IF($S20,IF(regle!$B$2-$Q20&gt;=2,0,-1),regle!I$2-$Q20)),IF(AU20+1&gt;=regle!$J$12,-2,AU20+1))</f>
        <v>26</v>
      </c>
      <c r="AW20">
        <f>IF(AW$1=$AO$1,IF(regle!J$2-$Q20&gt;=regle!$J$12,-2,IF($S20,IF(regle!$B$2-$Q20&gt;=2,0,-1),regle!J$2-$Q20)),IF(AV20+1&gt;=regle!$J$12,-2,AV20+1))</f>
        <v>27</v>
      </c>
      <c r="AX20">
        <f>IF(AX$1=$AO$1,IF(regle!K$2-$Q20&gt;=regle!$J$12,-2,IF($S20,IF(regle!$B$2-$Q20&gt;=2,0,-1),regle!K$2-$Q20)),IF(AW20+1&gt;=regle!$J$12,-2,AW20+1))</f>
        <v>28</v>
      </c>
    </row>
    <row r="21" spans="1:50" x14ac:dyDescent="0.25">
      <c r="A21" t="b">
        <f>AND(modif0[[#This Row],[cdstr]]&lt;&gt;0,OR(regle!$H$27=FALSE,modif0[[#This Row],[essnc]]="PM"))</f>
        <v>1</v>
      </c>
      <c r="B21">
        <f>ROW(objet!A26)</f>
        <v>26</v>
      </c>
      <c r="C21" s="10" t="str">
        <f>objet!D26</f>
        <v>5360000A0406</v>
      </c>
      <c r="D21" t="str">
        <f>LEFT(modif0[[#This Row],[cdstr]],3)</f>
        <v>536</v>
      </c>
      <c r="E21" s="10" t="str">
        <f>objet!G26</f>
        <v>LE TUZAN</v>
      </c>
      <c r="F21">
        <f>LEN(modif0[[#This Row],[l_dt]])</f>
        <v>21</v>
      </c>
      <c r="G21" s="10" t="str">
        <f>objet!H26</f>
        <v>METAIRIES DE TABARTON</v>
      </c>
      <c r="H21" s="10" t="str">
        <f>objet!C26</f>
        <v>A406</v>
      </c>
      <c r="I21" t="str">
        <f>IF(ISNUMBER(VALUE(RIGHT(LEFT(modif0[[#This Row],[idntfn]],2),1))),_xlfn.CONCAT(0,LEFT(modif0[[#This Row],[idntfn]],1)),LEFT(modif0[[#This Row],[idntfn]],2))</f>
        <v>0A</v>
      </c>
      <c r="J21">
        <f>VALUE(LEFT(RIGHT(modif0[[#This Row],[idntfn]],LEN(modif0[[#This Row],[idntfn]])-IF(LEFT(modif0[[#This Row],[sctn]],1)="0",1,2)),LEN(modif0[[#This Row],[idntfn]])-IF(LEFT(modif0[[#This Row],[sctn]],1)="0",1,2)-LEN(modif0[[#This Row],[lttr]])))</f>
        <v>406</v>
      </c>
      <c r="K21" t="str">
        <f>IF(ISNUMBER(VALUE(RIGHT(modif0[[#This Row],[idntfn]],1))),"",IF(ISNUMBER(VALUE(LEFT(RIGHT(modif0[[#This Row],[idntfn]],2),1))),RIGHT(modif0[[#This Row],[idntfn]],1),RIGHT(modif0[[#This Row],[idntfn]],2)))</f>
        <v/>
      </c>
      <c r="L21" s="10">
        <f>objet!I26</f>
        <v>180</v>
      </c>
      <c r="M21" s="11">
        <f>modif0[[#This Row],[srfc]]/10000</f>
        <v>1.7999999999999999E-2</v>
      </c>
      <c r="N21" s="10" t="str">
        <f>objet!Z26</f>
        <v>PM</v>
      </c>
      <c r="O21" s="10" t="str">
        <f>objet!AA26</f>
        <v>PLA2005</v>
      </c>
      <c r="P21" t="str">
        <f>IF(ISNUMBER(modif0[[#This Row],[trvx]]),"",LEFT(modif0[[#This Row],[trvx]],LEN(modif0[[#This Row],[trvx]])-4))</f>
        <v>PLA</v>
      </c>
      <c r="Q21">
        <f>VALUE(RIGHT(modif0[[#This Row],[trvx]],4))</f>
        <v>2005</v>
      </c>
      <c r="R21" t="str">
        <f>_xlfn.CONCAT(modif0[[#This Row],[tp]],"-",modif0[[#This Row],[essnc]],"_",modif0[[#This Row],[anns]])</f>
        <v>PLA-PM_2005</v>
      </c>
      <c r="S21" t="b">
        <f>modif0[[#This Row],[tp]]="CR"</f>
        <v>0</v>
      </c>
      <c r="T21">
        <v>40</v>
      </c>
      <c r="U21" t="str">
        <f>IF(NOT($A21),"",
IF(AO21=-2,regle!$J$11,
IF(AO21=regle!$B$12,regle!$B$11,
IF(AO21=regle!$C$12,regle!$C$11,
IF(AO21=regle!$D$12,regle!$D$11,
IF(AO21=regle!$E$12,regle!$E$11,
IF(AO21=regle!$F$12,regle!$F$11,
IF(AO21=regle!$G$12,regle!$G$11,
IF(AO21=regle!$H$12,regle!$H$11,
IF(AO21=regle!$I$12,regle!$I$11,""))))))))))</f>
        <v/>
      </c>
      <c r="V21" t="str">
        <f>IF(NOT($A21),"",
IF(AP21=-2,regle!$J$11,
IF(AP21=regle!$B$12,regle!$B$11,
IF(AP21=regle!$C$12,regle!$C$11,
IF(AP21=regle!$D$12,regle!$D$11,
IF(AP21=regle!$E$12,regle!$E$11,
IF(AP21=regle!$F$12,regle!$F$11,
IF(AP21=regle!$G$12,regle!$G$11,
IF(AP21=regle!$H$12,regle!$H$11,
IF(AP21=regle!$I$12,regle!$I$11,""))))))))))</f>
        <v/>
      </c>
      <c r="W21" t="str">
        <f>IF(NOT($A21),"",
IF(AQ21=-2,regle!$J$11,
IF(AQ21=regle!$B$12,regle!$B$11,
IF(AQ21=regle!$C$12,regle!$C$11,
IF(AQ21=regle!$D$12,regle!$D$11,
IF(AQ21=regle!$E$12,regle!$E$11,
IF(AQ21=regle!$F$12,regle!$F$11,
IF(AQ21=regle!$G$12,regle!$G$11,
IF(AQ21=regle!$H$12,regle!$H$11,
IF(AQ21=regle!$I$12,regle!$I$11,""))))))))))</f>
        <v/>
      </c>
      <c r="X21" t="str">
        <f>IF(NOT($A21),"",
IF(AR21=-2,regle!$J$11,
IF(AR21=regle!$B$12,regle!$B$11,
IF(AR21=regle!$C$12,regle!$C$11,
IF(AR21=regle!$D$12,regle!$D$11,
IF(AR21=regle!$E$12,regle!$E$11,
IF(AR21=regle!$F$12,regle!$F$11,
IF(AR21=regle!$G$12,regle!$G$11,
IF(AR21=regle!$H$12,regle!$H$11,
IF(AR21=regle!$I$12,regle!$I$11,""))))))))))</f>
        <v/>
      </c>
      <c r="Y21" t="str">
        <f>IF(NOT($A21),"",
IF(AS21=-2,regle!$J$11,
IF(AS21=regle!$B$12,regle!$B$11,
IF(AS21=regle!$C$12,regle!$C$11,
IF(AS21=regle!$D$12,regle!$D$11,
IF(AS21=regle!$E$12,regle!$E$11,
IF(AS21=regle!$F$12,regle!$F$11,
IF(AS21=regle!$G$12,regle!$G$11,
IF(AS21=regle!$H$12,regle!$H$11,
IF(AS21=regle!$I$12,regle!$I$11,""))))))))))</f>
        <v>EC3</v>
      </c>
      <c r="Z21" t="str">
        <f>IF(NOT($A21),"",
IF(AT21=-2,regle!$J$11,
IF(AT21=regle!$B$12,regle!$B$11,
IF(AT21=regle!$C$12,regle!$C$11,
IF(AT21=regle!$D$12,regle!$D$11,
IF(AT21=regle!$E$12,regle!$E$11,
IF(AT21=regle!$F$12,regle!$F$11,
IF(AT21=regle!$G$12,regle!$G$11,
IF(AT21=regle!$H$12,regle!$H$11,
IF(AT21=regle!$I$12,regle!$I$11,""))))))))))</f>
        <v/>
      </c>
      <c r="AA21" t="str">
        <f>IF(NOT($A21),"",
IF(AU21=-2,regle!$J$11,
IF(AU21=regle!$B$12,regle!$B$11,
IF(AU21=regle!$C$12,regle!$C$11,
IF(AU21=regle!$D$12,regle!$D$11,
IF(AU21=regle!$E$12,regle!$E$11,
IF(AU21=regle!$F$12,regle!$F$11,
IF(AU21=regle!$G$12,regle!$G$11,
IF(AU21=regle!$H$12,regle!$H$11,
IF(AU21=regle!$I$12,regle!$I$11,""))))))))))</f>
        <v/>
      </c>
      <c r="AB21" t="str">
        <f>IF(NOT($A21),"",
IF(AV21=-2,regle!$J$11,
IF(AV21=regle!$B$12,regle!$B$11,
IF(AV21=regle!$C$12,regle!$C$11,
IF(AV21=regle!$D$12,regle!$D$11,
IF(AV21=regle!$E$12,regle!$E$11,
IF(AV21=regle!$F$12,regle!$F$11,
IF(AV21=regle!$G$12,regle!$G$11,
IF(AV21=regle!$H$12,regle!$H$11,
IF(AV21=regle!$I$12,regle!$I$11,""))))))))))</f>
        <v/>
      </c>
      <c r="AC21" t="str">
        <f>IF(NOT($A21),"",
IF(AW21=-2,regle!$J$11,
IF(AW21=regle!$B$12,regle!$B$11,
IF(AW21=regle!$C$12,regle!$C$11,
IF(AW21=regle!$D$12,regle!$D$11,
IF(AW21=regle!$E$12,regle!$E$11,
IF(AW21=regle!$F$12,regle!$F$11,
IF(AW21=regle!$G$12,regle!$G$11,
IF(AW21=regle!$H$12,regle!$H$11,
IF(AW21=regle!$I$12,regle!$I$11,""))))))))))</f>
        <v/>
      </c>
      <c r="AD21" t="str">
        <f>IF(NOT($A21),"",
IF(AX21=-2,regle!$J$11,
IF(AX21=regle!$B$12,regle!$B$11,
IF(AX21=regle!$C$12,regle!$C$11,
IF(AX21=regle!$D$12,regle!$D$11,
IF(AX21=regle!$E$12,regle!$E$11,
IF(AX21=regle!$F$12,regle!$F$11,
IF(AX21=regle!$G$12,regle!$G$11,
IF(AX21=regle!$H$12,regle!$H$11,
IF(AX21=regle!$I$12,regle!$I$11,""))))))))))</f>
        <v>EC4</v>
      </c>
      <c r="AE21" s="14">
        <f>IF($A21,$M21*(IF(U21=regle!$B$11,regle!$B$23,IF(U21=regle!$C$11,regle!$C$23,IF(U21=regle!$D$11,regle!$D$23,IF(U21=regle!$E$11,regle!$E$23,IF(U21=regle!$F$11,regle!$F$23,IF(U21=regle!$G$11,regle!$G$23,IF(U21=regle!$H$11,regle!$H$23,IF(U21=regle!$I$11,regle!$I$23,IF(U21=regle!$J$11,regle!$J$23,0)))))))))))</f>
        <v>0</v>
      </c>
      <c r="AF21" s="14">
        <f>IF($A21,$M21*(IF(V21=regle!$B$11,regle!$B$23,IF(V21=regle!$C$11,regle!$C$23,IF(V21=regle!$D$11,regle!$D$23,IF(V21=regle!$E$11,regle!$E$23,IF(V21=regle!$F$11,regle!$F$23,IF(V21=regle!$G$11,regle!$G$23,IF(V21=regle!$H$11,regle!$H$23,IF(V21=regle!$I$11,regle!$I$23,IF(V21=regle!$J$11,regle!$J$23,0)))))))))))</f>
        <v>0</v>
      </c>
      <c r="AG21" s="14">
        <f>IF($A21,$M21*(IF(W21=regle!$B$11,regle!$B$23,IF(W21=regle!$C$11,regle!$C$23,IF(W21=regle!$D$11,regle!$D$23,IF(W21=regle!$E$11,regle!$E$23,IF(W21=regle!$F$11,regle!$F$23,IF(W21=regle!$G$11,regle!$G$23,IF(W21=regle!$H$11,regle!$H$23,IF(W21=regle!$I$11,regle!$I$23,IF(W21=regle!$J$11,regle!$J$23,0)))))))))))</f>
        <v>0</v>
      </c>
      <c r="AH21" s="14">
        <f>IF($A21,$M21*(IF(X21=regle!$B$11,regle!$B$23,IF(X21=regle!$C$11,regle!$C$23,IF(X21=regle!$D$11,regle!$D$23,IF(X21=regle!$E$11,regle!$E$23,IF(X21=regle!$F$11,regle!$F$23,IF(X21=regle!$G$11,regle!$G$23,IF(X21=regle!$H$11,regle!$H$23,IF(X21=regle!$I$11,regle!$I$23,IF(X21=regle!$J$11,regle!$J$23,0)))))))))))</f>
        <v>0</v>
      </c>
      <c r="AI21" s="14">
        <f>IF($A21,$M21*(IF(Y21=regle!$B$11,regle!$B$23,IF(Y21=regle!$C$11,regle!$C$23,IF(Y21=regle!$D$11,regle!$D$23,IF(Y21=regle!$E$11,regle!$E$23,IF(Y21=regle!$F$11,regle!$F$23,IF(Y21=regle!$G$11,regle!$G$23,IF(Y21=regle!$H$11,regle!$H$23,IF(Y21=regle!$I$11,regle!$I$23,IF(Y21=regle!$J$11,regle!$J$23,0)))))))))))</f>
        <v>25.343999999999998</v>
      </c>
      <c r="AJ21" s="14">
        <f>IF($A21,$M21*(IF(Z21=regle!$B$11,regle!$B$23,IF(Z21=regle!$C$11,regle!$C$23,IF(Z21=regle!$D$11,regle!$D$23,IF(Z21=regle!$E$11,regle!$E$23,IF(Z21=regle!$F$11,regle!$F$23,IF(Z21=regle!$G$11,regle!$G$23,IF(Z21=regle!$H$11,regle!$H$23,IF(Z21=regle!$I$11,regle!$I$23,IF(Z21=regle!$J$11,regle!$J$23,0)))))))))))</f>
        <v>0</v>
      </c>
      <c r="AK21" s="14">
        <f>IF($A21,$M21*(IF(AA21=regle!$B$11,regle!$B$23,IF(AA21=regle!$C$11,regle!$C$23,IF(AA21=regle!$D$11,regle!$D$23,IF(AA21=regle!$E$11,regle!$E$23,IF(AA21=regle!$F$11,regle!$F$23,IF(AA21=regle!$G$11,regle!$G$23,IF(AA21=regle!$H$11,regle!$H$23,IF(AA21=regle!$I$11,regle!$I$23,IF(AA21=regle!$J$11,regle!$J$23,0)))))))))))</f>
        <v>0</v>
      </c>
      <c r="AL21" s="14">
        <f>IF($A21,$M21*(IF(AB21=regle!$B$11,regle!$B$23,IF(AB21=regle!$C$11,regle!$C$23,IF(AB21=regle!$D$11,regle!$D$23,IF(AB21=regle!$E$11,regle!$E$23,IF(AB21=regle!$F$11,regle!$F$23,IF(AB21=regle!$G$11,regle!$G$23,IF(AB21=regle!$H$11,regle!$H$23,IF(AB21=regle!$I$11,regle!$I$23,IF(AB21=regle!$J$11,regle!$J$23,0)))))))))))</f>
        <v>0</v>
      </c>
      <c r="AM21" s="14">
        <f>IF($A21,$M21*(IF(AC21=regle!$B$11,regle!$B$23,IF(AC21=regle!$C$11,regle!$C$23,IF(AC21=regle!$D$11,regle!$D$23,IF(AC21=regle!$E$11,regle!$E$23,IF(AC21=regle!$F$11,regle!$F$23,IF(AC21=regle!$G$11,regle!$G$23,IF(AC21=regle!$H$11,regle!$H$23,IF(AC21=regle!$I$11,regle!$I$23,IF(AC21=regle!$J$11,regle!$J$23,0)))))))))))</f>
        <v>0</v>
      </c>
      <c r="AN21" s="14">
        <f>IF($A21,$M21*(IF(AD21=regle!$B$11,regle!$B$23,IF(AD21=regle!$C$11,regle!$C$23,IF(AD21=regle!$D$11,regle!$D$23,IF(AD21=regle!$E$11,regle!$E$23,IF(AD21=regle!$F$11,regle!$F$23,IF(AD21=regle!$G$11,regle!$G$23,IF(AD21=regle!$H$11,regle!$H$23,IF(AD21=regle!$I$11,regle!$I$23,IF(AD21=regle!$J$11,regle!$J$23,0)))))))))))</f>
        <v>23.04</v>
      </c>
      <c r="AO21">
        <f>IF(AO$1=$AO$1,IF(regle!B$2-$Q21&gt;=regle!$J$12,-2,IF($S21,IF(regle!$B$2-$Q21&gt;=2,0,-1),regle!B$2-$Q21)),IF(AN21+1&gt;=regle!$J$12,-2,AN21+1))</f>
        <v>19</v>
      </c>
      <c r="AP21">
        <f>IF(AP$1=$AO$1,IF(regle!C$2-$Q21&gt;=regle!$J$12,-2,IF($S21,IF(regle!$B$2-$Q21&gt;=2,0,-1),regle!C$2-$Q21)),IF(AO21+1&gt;=regle!$J$12,-2,AO21+1))</f>
        <v>20</v>
      </c>
      <c r="AQ21">
        <f>IF(AQ$1=$AO$1,IF(regle!D$2-$Q21&gt;=regle!$J$12,-2,IF($S21,IF(regle!$B$2-$Q21&gt;=2,0,-1),regle!D$2-$Q21)),IF(AP21+1&gt;=regle!$J$12,-2,AP21+1))</f>
        <v>21</v>
      </c>
      <c r="AR21">
        <f>IF(AR$1=$AO$1,IF(regle!E$2-$Q21&gt;=regle!$J$12,-2,IF($S21,IF(regle!$B$2-$Q21&gt;=2,0,-1),regle!E$2-$Q21)),IF(AQ21+1&gt;=regle!$J$12,-2,AQ21+1))</f>
        <v>22</v>
      </c>
      <c r="AS21">
        <f>IF(AS$1=$AO$1,IF(regle!F$2-$Q21&gt;=regle!$J$12,-2,IF($S21,IF(regle!$B$2-$Q21&gt;=2,0,-1),regle!F$2-$Q21)),IF(AR21+1&gt;=regle!$J$12,-2,AR21+1))</f>
        <v>23</v>
      </c>
      <c r="AT21">
        <f>IF(AT$1=$AO$1,IF(regle!G$2-$Q21&gt;=regle!$J$12,-2,IF($S21,IF(regle!$B$2-$Q21&gt;=2,0,-1),regle!G$2-$Q21)),IF(AS21+1&gt;=regle!$J$12,-2,AS21+1))</f>
        <v>24</v>
      </c>
      <c r="AU21">
        <f>IF(AU$1=$AO$1,IF(regle!H$2-$Q21&gt;=regle!$J$12,-2,IF($S21,IF(regle!$B$2-$Q21&gt;=2,0,-1),regle!H$2-$Q21)),IF(AT21+1&gt;=regle!$J$12,-2,AT21+1))</f>
        <v>25</v>
      </c>
      <c r="AV21">
        <f>IF(AV$1=$AO$1,IF(regle!I$2-$Q21&gt;=regle!$J$12,-2,IF($S21,IF(regle!$B$2-$Q21&gt;=2,0,-1),regle!I$2-$Q21)),IF(AU21+1&gt;=regle!$J$12,-2,AU21+1))</f>
        <v>26</v>
      </c>
      <c r="AW21">
        <f>IF(AW$1=$AO$1,IF(regle!J$2-$Q21&gt;=regle!$J$12,-2,IF($S21,IF(regle!$B$2-$Q21&gt;=2,0,-1),regle!J$2-$Q21)),IF(AV21+1&gt;=regle!$J$12,-2,AV21+1))</f>
        <v>27</v>
      </c>
      <c r="AX21">
        <f>IF(AX$1=$AO$1,IF(regle!K$2-$Q21&gt;=regle!$J$12,-2,IF($S21,IF(regle!$B$2-$Q21&gt;=2,0,-1),regle!K$2-$Q21)),IF(AW21+1&gt;=regle!$J$12,-2,AW21+1))</f>
        <v>28</v>
      </c>
    </row>
    <row r="22" spans="1:50" x14ac:dyDescent="0.25">
      <c r="A22" t="b">
        <f>AND(modif0[[#This Row],[cdstr]]&lt;&gt;0,OR(regle!$H$27=FALSE,modif0[[#This Row],[essnc]]="PM"))</f>
        <v>1</v>
      </c>
      <c r="B22">
        <f>ROW(objet!A27)</f>
        <v>27</v>
      </c>
      <c r="C22" s="10" t="str">
        <f>objet!D27</f>
        <v>2020000A0407</v>
      </c>
      <c r="D22" t="str">
        <f>LEFT(modif0[[#This Row],[cdstr]],3)</f>
        <v>202</v>
      </c>
      <c r="E22" s="10" t="str">
        <f>objet!G27</f>
        <v>HOSTENS</v>
      </c>
      <c r="F22">
        <f>LEN(modif0[[#This Row],[l_dt]])</f>
        <v>7</v>
      </c>
      <c r="G22" s="10" t="str">
        <f>objet!H27</f>
        <v>HAUDOUA</v>
      </c>
      <c r="H22" s="10" t="str">
        <f>objet!C27</f>
        <v>A407</v>
      </c>
      <c r="I22" t="str">
        <f>IF(ISNUMBER(VALUE(RIGHT(LEFT(modif0[[#This Row],[idntfn]],2),1))),_xlfn.CONCAT(0,LEFT(modif0[[#This Row],[idntfn]],1)),LEFT(modif0[[#This Row],[idntfn]],2))</f>
        <v>0A</v>
      </c>
      <c r="J22">
        <f>VALUE(LEFT(RIGHT(modif0[[#This Row],[idntfn]],LEN(modif0[[#This Row],[idntfn]])-IF(LEFT(modif0[[#This Row],[sctn]],1)="0",1,2)),LEN(modif0[[#This Row],[idntfn]])-IF(LEFT(modif0[[#This Row],[sctn]],1)="0",1,2)-LEN(modif0[[#This Row],[lttr]])))</f>
        <v>407</v>
      </c>
      <c r="K22" t="str">
        <f>IF(ISNUMBER(VALUE(RIGHT(modif0[[#This Row],[idntfn]],1))),"",IF(ISNUMBER(VALUE(LEFT(RIGHT(modif0[[#This Row],[idntfn]],2),1))),RIGHT(modif0[[#This Row],[idntfn]],1),RIGHT(modif0[[#This Row],[idntfn]],2)))</f>
        <v/>
      </c>
      <c r="L22" s="10">
        <f>objet!I27</f>
        <v>7495</v>
      </c>
      <c r="M22" s="11">
        <f>modif0[[#This Row],[srfc]]/10000</f>
        <v>0.74950000000000006</v>
      </c>
      <c r="N22" s="10" t="str">
        <f>objet!Z27</f>
        <v>PM</v>
      </c>
      <c r="O22" s="10" t="str">
        <f>objet!AA27</f>
        <v>CR2022</v>
      </c>
      <c r="P22" t="str">
        <f>IF(ISNUMBER(modif0[[#This Row],[trvx]]),"",LEFT(modif0[[#This Row],[trvx]],LEN(modif0[[#This Row],[trvx]])-4))</f>
        <v>CR</v>
      </c>
      <c r="Q22">
        <f>VALUE(RIGHT(modif0[[#This Row],[trvx]],4))</f>
        <v>2022</v>
      </c>
      <c r="R22" t="str">
        <f>_xlfn.CONCAT(modif0[[#This Row],[tp]],"-",modif0[[#This Row],[essnc]],"_",modif0[[#This Row],[anns]])</f>
        <v>CR-PM_2022</v>
      </c>
      <c r="S22" t="b">
        <f>modif0[[#This Row],[tp]]="CR"</f>
        <v>1</v>
      </c>
      <c r="T22">
        <v>40</v>
      </c>
      <c r="U22" t="str">
        <f>IF(NOT($A22),"",
IF(AO22=-2,regle!$J$11,
IF(AO22=regle!$B$12,regle!$B$11,
IF(AO22=regle!$C$12,regle!$C$11,
IF(AO22=regle!$D$12,regle!$D$11,
IF(AO22=regle!$E$12,regle!$E$11,
IF(AO22=regle!$F$12,regle!$F$11,
IF(AO22=regle!$G$12,regle!$G$11,
IF(AO22=regle!$H$12,regle!$H$11,
IF(AO22=regle!$I$12,regle!$I$11,""))))))))))</f>
        <v>RBST</v>
      </c>
      <c r="V22" t="str">
        <f>IF(NOT($A22),"",
IF(AP22=-2,regle!$J$11,
IF(AP22=regle!$B$12,regle!$B$11,
IF(AP22=regle!$C$12,regle!$C$11,
IF(AP22=regle!$D$12,regle!$D$11,
IF(AP22=regle!$E$12,regle!$E$11,
IF(AP22=regle!$F$12,regle!$F$11,
IF(AP22=regle!$G$12,regle!$G$11,
IF(AP22=regle!$H$12,regle!$H$11,
IF(AP22=regle!$I$12,regle!$I$11,""))))))))))</f>
        <v/>
      </c>
      <c r="W22" t="str">
        <f>IF(NOT($A22),"",
IF(AQ22=-2,regle!$J$11,
IF(AQ22=regle!$B$12,regle!$B$11,
IF(AQ22=regle!$C$12,regle!$C$11,
IF(AQ22=regle!$D$12,regle!$D$11,
IF(AQ22=regle!$E$12,regle!$E$11,
IF(AQ22=regle!$F$12,regle!$F$11,
IF(AQ22=regle!$G$12,regle!$G$11,
IF(AQ22=regle!$H$12,regle!$H$11,
IF(AQ22=regle!$I$12,regle!$I$11,""))))))))))</f>
        <v>DGT</v>
      </c>
      <c r="X22" t="str">
        <f>IF(NOT($A22),"",
IF(AR22=-2,regle!$J$11,
IF(AR22=regle!$B$12,regle!$B$11,
IF(AR22=regle!$C$12,regle!$C$11,
IF(AR22=regle!$D$12,regle!$D$11,
IF(AR22=regle!$E$12,regle!$E$11,
IF(AR22=regle!$F$12,regle!$F$11,
IF(AR22=regle!$G$12,regle!$G$11,
IF(AR22=regle!$H$12,regle!$H$11,
IF(AR22=regle!$I$12,regle!$I$11,""))))))))))</f>
        <v/>
      </c>
      <c r="Y22" t="str">
        <f>IF(NOT($A22),"",
IF(AS22=-2,regle!$J$11,
IF(AS22=regle!$B$12,regle!$B$11,
IF(AS22=regle!$C$12,regle!$C$11,
IF(AS22=regle!$D$12,regle!$D$11,
IF(AS22=regle!$E$12,regle!$E$11,
IF(AS22=regle!$F$12,regle!$F$11,
IF(AS22=regle!$G$12,regle!$G$11,
IF(AS22=regle!$H$12,regle!$H$11,
IF(AS22=regle!$I$12,regle!$I$11,""))))))))))</f>
        <v/>
      </c>
      <c r="Z22" t="str">
        <f>IF(NOT($A22),"",
IF(AT22=-2,regle!$J$11,
IF(AT22=regle!$B$12,regle!$B$11,
IF(AT22=regle!$C$12,regle!$C$11,
IF(AT22=regle!$D$12,regle!$D$11,
IF(AT22=regle!$E$12,regle!$E$11,
IF(AT22=regle!$F$12,regle!$F$11,
IF(AT22=regle!$G$12,regle!$G$11,
IF(AT22=regle!$H$12,regle!$H$11,
IF(AT22=regle!$I$12,regle!$I$11,""))))))))))</f>
        <v>ENT1</v>
      </c>
      <c r="AA22" t="str">
        <f>IF(NOT($A22),"",
IF(AU22=-2,regle!$J$11,
IF(AU22=regle!$B$12,regle!$B$11,
IF(AU22=regle!$C$12,regle!$C$11,
IF(AU22=regle!$D$12,regle!$D$11,
IF(AU22=regle!$E$12,regle!$E$11,
IF(AU22=regle!$F$12,regle!$F$11,
IF(AU22=regle!$G$12,regle!$G$11,
IF(AU22=regle!$H$12,regle!$H$11,
IF(AU22=regle!$I$12,regle!$I$11,""))))))))))</f>
        <v/>
      </c>
      <c r="AB22" t="str">
        <f>IF(NOT($A22),"",
IF(AV22=-2,regle!$J$11,
IF(AV22=regle!$B$12,regle!$B$11,
IF(AV22=regle!$C$12,regle!$C$11,
IF(AV22=regle!$D$12,regle!$D$11,
IF(AV22=regle!$E$12,regle!$E$11,
IF(AV22=regle!$F$12,regle!$F$11,
IF(AV22=regle!$G$12,regle!$G$11,
IF(AV22=regle!$H$12,regle!$H$11,
IF(AV22=regle!$I$12,regle!$I$11,""))))))))))</f>
        <v/>
      </c>
      <c r="AC22" t="str">
        <f>IF(NOT($A22),"",
IF(AW22=-2,regle!$J$11,
IF(AW22=regle!$B$12,regle!$B$11,
IF(AW22=regle!$C$12,regle!$C$11,
IF(AW22=regle!$D$12,regle!$D$11,
IF(AW22=regle!$E$12,regle!$E$11,
IF(AW22=regle!$F$12,regle!$F$11,
IF(AW22=regle!$G$12,regle!$G$11,
IF(AW22=regle!$H$12,regle!$H$11,
IF(AW22=regle!$I$12,regle!$I$11,""))))))))))</f>
        <v>ENT2</v>
      </c>
      <c r="AD22" t="str">
        <f>IF(NOT($A22),"",
IF(AX22=-2,regle!$J$11,
IF(AX22=regle!$B$12,regle!$B$11,
IF(AX22=regle!$C$12,regle!$C$11,
IF(AX22=regle!$D$12,regle!$D$11,
IF(AX22=regle!$E$12,regle!$E$11,
IF(AX22=regle!$F$12,regle!$F$11,
IF(AX22=regle!$G$12,regle!$G$11,
IF(AX22=regle!$H$12,regle!$H$11,
IF(AX22=regle!$I$12,regle!$I$11,""))))))))))</f>
        <v/>
      </c>
      <c r="AE22" s="14">
        <f>IF($A22,$M22*(IF(U22=regle!$B$11,regle!$B$23,IF(U22=regle!$C$11,regle!$C$23,IF(U22=regle!$D$11,regle!$D$23,IF(U22=regle!$E$11,regle!$E$23,IF(U22=regle!$F$11,regle!$F$23,IF(U22=regle!$G$11,regle!$G$23,IF(U22=regle!$H$11,regle!$H$23,IF(U22=regle!$I$11,regle!$I$23,IF(U22=regle!$J$11,regle!$J$23,0)))))))))))</f>
        <v>-1274.1500000000001</v>
      </c>
      <c r="AF22" s="14">
        <f>IF($A22,$M22*(IF(V22=regle!$B$11,regle!$B$23,IF(V22=regle!$C$11,regle!$C$23,IF(V22=regle!$D$11,regle!$D$23,IF(V22=regle!$E$11,regle!$E$23,IF(V22=regle!$F$11,regle!$F$23,IF(V22=regle!$G$11,regle!$G$23,IF(V22=regle!$H$11,regle!$H$23,IF(V22=regle!$I$11,regle!$I$23,IF(V22=regle!$J$11,regle!$J$23,0)))))))))))</f>
        <v>0</v>
      </c>
      <c r="AG22" s="14">
        <f>IF($A22,$M22*(IF(W22=regle!$B$11,regle!$B$23,IF(W22=regle!$C$11,regle!$C$23,IF(W22=regle!$D$11,regle!$D$23,IF(W22=regle!$E$11,regle!$E$23,IF(W22=regle!$F$11,regle!$F$23,IF(W22=regle!$G$11,regle!$G$23,IF(W22=regle!$H$11,regle!$H$23,IF(W22=regle!$I$11,regle!$I$23,IF(W22=regle!$J$11,regle!$J$23,0)))))))))))</f>
        <v>-56.212500000000006</v>
      </c>
      <c r="AH22" s="14">
        <f>IF($A22,$M22*(IF(X22=regle!$B$11,regle!$B$23,IF(X22=regle!$C$11,regle!$C$23,IF(X22=regle!$D$11,regle!$D$23,IF(X22=regle!$E$11,regle!$E$23,IF(X22=regle!$F$11,regle!$F$23,IF(X22=regle!$G$11,regle!$G$23,IF(X22=regle!$H$11,regle!$H$23,IF(X22=regle!$I$11,regle!$I$23,IF(X22=regle!$J$11,regle!$J$23,0)))))))))))</f>
        <v>0</v>
      </c>
      <c r="AI22" s="14">
        <f>IF($A22,$M22*(IF(Y22=regle!$B$11,regle!$B$23,IF(Y22=regle!$C$11,regle!$C$23,IF(Y22=regle!$D$11,regle!$D$23,IF(Y22=regle!$E$11,regle!$E$23,IF(Y22=regle!$F$11,regle!$F$23,IF(Y22=regle!$G$11,regle!$G$23,IF(Y22=regle!$H$11,regle!$H$23,IF(Y22=regle!$I$11,regle!$I$23,IF(Y22=regle!$J$11,regle!$J$23,0)))))))))))</f>
        <v>0</v>
      </c>
      <c r="AJ22" s="14">
        <f>IF($A22,$M22*(IF(Z22=regle!$B$11,regle!$B$23,IF(Z22=regle!$C$11,regle!$C$23,IF(Z22=regle!$D$11,regle!$D$23,IF(Z22=regle!$E$11,regle!$E$23,IF(Z22=regle!$F$11,regle!$F$23,IF(Z22=regle!$G$11,regle!$G$23,IF(Z22=regle!$H$11,regle!$H$23,IF(Z22=regle!$I$11,regle!$I$23,IF(Z22=regle!$J$11,regle!$J$23,0)))))))))))</f>
        <v>-67.454999999999998</v>
      </c>
      <c r="AK22" s="14">
        <f>IF($A22,$M22*(IF(AA22=regle!$B$11,regle!$B$23,IF(AA22=regle!$C$11,regle!$C$23,IF(AA22=regle!$D$11,regle!$D$23,IF(AA22=regle!$E$11,regle!$E$23,IF(AA22=regle!$F$11,regle!$F$23,IF(AA22=regle!$G$11,regle!$G$23,IF(AA22=regle!$H$11,regle!$H$23,IF(AA22=regle!$I$11,regle!$I$23,IF(AA22=regle!$J$11,regle!$J$23,0)))))))))))</f>
        <v>0</v>
      </c>
      <c r="AL22" s="14">
        <f>IF($A22,$M22*(IF(AB22=regle!$B$11,regle!$B$23,IF(AB22=regle!$C$11,regle!$C$23,IF(AB22=regle!$D$11,regle!$D$23,IF(AB22=regle!$E$11,regle!$E$23,IF(AB22=regle!$F$11,regle!$F$23,IF(AB22=regle!$G$11,regle!$G$23,IF(AB22=regle!$H$11,regle!$H$23,IF(AB22=regle!$I$11,regle!$I$23,IF(AB22=regle!$J$11,regle!$J$23,0)))))))))))</f>
        <v>0</v>
      </c>
      <c r="AM22" s="14">
        <f>IF($A22,$M22*(IF(AC22=regle!$B$11,regle!$B$23,IF(AC22=regle!$C$11,regle!$C$23,IF(AC22=regle!$D$11,regle!$D$23,IF(AC22=regle!$E$11,regle!$E$23,IF(AC22=regle!$F$11,regle!$F$23,IF(AC22=regle!$G$11,regle!$G$23,IF(AC22=regle!$H$11,regle!$H$23,IF(AC22=regle!$I$11,regle!$I$23,IF(AC22=regle!$J$11,regle!$J$23,0)))))))))))</f>
        <v>-67.454999999999998</v>
      </c>
      <c r="AN22" s="14">
        <f>IF($A22,$M22*(IF(AD22=regle!$B$11,regle!$B$23,IF(AD22=regle!$C$11,regle!$C$23,IF(AD22=regle!$D$11,regle!$D$23,IF(AD22=regle!$E$11,regle!$E$23,IF(AD22=regle!$F$11,regle!$F$23,IF(AD22=regle!$G$11,regle!$G$23,IF(AD22=regle!$H$11,regle!$H$23,IF(AD22=regle!$I$11,regle!$I$23,IF(AD22=regle!$J$11,regle!$J$23,0)))))))))))</f>
        <v>0</v>
      </c>
      <c r="AO22">
        <f>IF(AO$1=$AO$1,IF(regle!B$2-$Q22&gt;=regle!$J$12,-2,IF($S22,IF(regle!$B$2-$Q22&gt;=2,0,-1),regle!B$2-$Q22)),IF(AN22+1&gt;=regle!$J$12,-2,AN22+1))</f>
        <v>0</v>
      </c>
      <c r="AP22">
        <f>IF(AP$1=$AO$1,IF(regle!C$2-$Q22&gt;=regle!$J$12,-2,IF($S22,IF(regle!$B$2-$Q22&gt;=2,0,-1),regle!C$2-$Q22)),IF(AO22+1&gt;=regle!$J$12,-2,AO22+1))</f>
        <v>1</v>
      </c>
      <c r="AQ22">
        <f>IF(AQ$1=$AO$1,IF(regle!D$2-$Q22&gt;=regle!$J$12,-2,IF($S22,IF(regle!$B$2-$Q22&gt;=2,0,-1),regle!D$2-$Q22)),IF(AP22+1&gt;=regle!$J$12,-2,AP22+1))</f>
        <v>2</v>
      </c>
      <c r="AR22">
        <f>IF(AR$1=$AO$1,IF(regle!E$2-$Q22&gt;=regle!$J$12,-2,IF($S22,IF(regle!$B$2-$Q22&gt;=2,0,-1),regle!E$2-$Q22)),IF(AQ22+1&gt;=regle!$J$12,-2,AQ22+1))</f>
        <v>3</v>
      </c>
      <c r="AS22">
        <f>IF(AS$1=$AO$1,IF(regle!F$2-$Q22&gt;=regle!$J$12,-2,IF($S22,IF(regle!$B$2-$Q22&gt;=2,0,-1),regle!F$2-$Q22)),IF(AR22+1&gt;=regle!$J$12,-2,AR22+1))</f>
        <v>4</v>
      </c>
      <c r="AT22">
        <f>IF(AT$1=$AO$1,IF(regle!G$2-$Q22&gt;=regle!$J$12,-2,IF($S22,IF(regle!$B$2-$Q22&gt;=2,0,-1),regle!G$2-$Q22)),IF(AS22+1&gt;=regle!$J$12,-2,AS22+1))</f>
        <v>5</v>
      </c>
      <c r="AU22">
        <f>IF(AU$1=$AO$1,IF(regle!H$2-$Q22&gt;=regle!$J$12,-2,IF($S22,IF(regle!$B$2-$Q22&gt;=2,0,-1),regle!H$2-$Q22)),IF(AT22+1&gt;=regle!$J$12,-2,AT22+1))</f>
        <v>6</v>
      </c>
      <c r="AV22">
        <f>IF(AV$1=$AO$1,IF(regle!I$2-$Q22&gt;=regle!$J$12,-2,IF($S22,IF(regle!$B$2-$Q22&gt;=2,0,-1),regle!I$2-$Q22)),IF(AU22+1&gt;=regle!$J$12,-2,AU22+1))</f>
        <v>7</v>
      </c>
      <c r="AW22">
        <f>IF(AW$1=$AO$1,IF(regle!J$2-$Q22&gt;=regle!$J$12,-2,IF($S22,IF(regle!$B$2-$Q22&gt;=2,0,-1),regle!J$2-$Q22)),IF(AV22+1&gt;=regle!$J$12,-2,AV22+1))</f>
        <v>8</v>
      </c>
      <c r="AX22">
        <f>IF(AX$1=$AO$1,IF(regle!K$2-$Q22&gt;=regle!$J$12,-2,IF($S22,IF(regle!$B$2-$Q22&gt;=2,0,-1),regle!K$2-$Q22)),IF(AW22+1&gt;=regle!$J$12,-2,AW22+1))</f>
        <v>9</v>
      </c>
    </row>
    <row r="23" spans="1:50" x14ac:dyDescent="0.25">
      <c r="A23" t="b">
        <f>AND(modif0[[#This Row],[cdstr]]&lt;&gt;0,OR(regle!$H$27=FALSE,modif0[[#This Row],[essnc]]="PM"))</f>
        <v>1</v>
      </c>
      <c r="B23">
        <f>ROW(objet!A29)</f>
        <v>29</v>
      </c>
      <c r="C23" s="10" t="str">
        <f>objet!D29</f>
        <v>5360000A0407</v>
      </c>
      <c r="D23" t="str">
        <f>LEFT(modif0[[#This Row],[cdstr]],3)</f>
        <v>536</v>
      </c>
      <c r="E23" s="10" t="str">
        <f>objet!G29</f>
        <v>LE TUZAN</v>
      </c>
      <c r="F23">
        <f>LEN(modif0[[#This Row],[l_dt]])</f>
        <v>21</v>
      </c>
      <c r="G23" s="10" t="str">
        <f>objet!H29</f>
        <v>METAIRIES DE TABARTON</v>
      </c>
      <c r="H23" s="10" t="str">
        <f>objet!C29</f>
        <v>A407d</v>
      </c>
      <c r="I23" t="str">
        <f>IF(ISNUMBER(VALUE(RIGHT(LEFT(modif0[[#This Row],[idntfn]],2),1))),_xlfn.CONCAT(0,LEFT(modif0[[#This Row],[idntfn]],1)),LEFT(modif0[[#This Row],[idntfn]],2))</f>
        <v>0A</v>
      </c>
      <c r="J23">
        <f>VALUE(LEFT(RIGHT(modif0[[#This Row],[idntfn]],LEN(modif0[[#This Row],[idntfn]])-IF(LEFT(modif0[[#This Row],[sctn]],1)="0",1,2)),LEN(modif0[[#This Row],[idntfn]])-IF(LEFT(modif0[[#This Row],[sctn]],1)="0",1,2)-LEN(modif0[[#This Row],[lttr]])))</f>
        <v>407</v>
      </c>
      <c r="K23" t="str">
        <f>IF(ISNUMBER(VALUE(RIGHT(modif0[[#This Row],[idntfn]],1))),"",IF(ISNUMBER(VALUE(LEFT(RIGHT(modif0[[#This Row],[idntfn]],2),1))),RIGHT(modif0[[#This Row],[idntfn]],1),RIGHT(modif0[[#This Row],[idntfn]],2)))</f>
        <v>d</v>
      </c>
      <c r="L23" s="10">
        <f>objet!I29</f>
        <v>1159</v>
      </c>
      <c r="M23" s="11">
        <f>modif0[[#This Row],[srfc]]/10000</f>
        <v>0.1159</v>
      </c>
      <c r="N23" s="10" t="str">
        <f>objet!Z29</f>
        <v>PM</v>
      </c>
      <c r="O23" s="10" t="str">
        <f>objet!AA29</f>
        <v>PLA2005</v>
      </c>
      <c r="P23" t="str">
        <f>IF(ISNUMBER(modif0[[#This Row],[trvx]]),"",LEFT(modif0[[#This Row],[trvx]],LEN(modif0[[#This Row],[trvx]])-4))</f>
        <v>PLA</v>
      </c>
      <c r="Q23">
        <f>VALUE(RIGHT(modif0[[#This Row],[trvx]],4))</f>
        <v>2005</v>
      </c>
      <c r="R23" t="str">
        <f>_xlfn.CONCAT(modif0[[#This Row],[tp]],"-",modif0[[#This Row],[essnc]],"_",modif0[[#This Row],[anns]])</f>
        <v>PLA-PM_2005</v>
      </c>
      <c r="S23" t="b">
        <f>modif0[[#This Row],[tp]]="CR"</f>
        <v>0</v>
      </c>
      <c r="T23">
        <v>40</v>
      </c>
      <c r="U23" t="str">
        <f>IF(NOT($A23),"",
IF(AO23=-2,regle!$J$11,
IF(AO23=regle!$B$12,regle!$B$11,
IF(AO23=regle!$C$12,regle!$C$11,
IF(AO23=regle!$D$12,regle!$D$11,
IF(AO23=regle!$E$12,regle!$E$11,
IF(AO23=regle!$F$12,regle!$F$11,
IF(AO23=regle!$G$12,regle!$G$11,
IF(AO23=regle!$H$12,regle!$H$11,
IF(AO23=regle!$I$12,regle!$I$11,""))))))))))</f>
        <v/>
      </c>
      <c r="V23" t="str">
        <f>IF(NOT($A23),"",
IF(AP23=-2,regle!$J$11,
IF(AP23=regle!$B$12,regle!$B$11,
IF(AP23=regle!$C$12,regle!$C$11,
IF(AP23=regle!$D$12,regle!$D$11,
IF(AP23=regle!$E$12,regle!$E$11,
IF(AP23=regle!$F$12,regle!$F$11,
IF(AP23=regle!$G$12,regle!$G$11,
IF(AP23=regle!$H$12,regle!$H$11,
IF(AP23=regle!$I$12,regle!$I$11,""))))))))))</f>
        <v/>
      </c>
      <c r="W23" t="str">
        <f>IF(NOT($A23),"",
IF(AQ23=-2,regle!$J$11,
IF(AQ23=regle!$B$12,regle!$B$11,
IF(AQ23=regle!$C$12,regle!$C$11,
IF(AQ23=regle!$D$12,regle!$D$11,
IF(AQ23=regle!$E$12,regle!$E$11,
IF(AQ23=regle!$F$12,regle!$F$11,
IF(AQ23=regle!$G$12,regle!$G$11,
IF(AQ23=regle!$H$12,regle!$H$11,
IF(AQ23=regle!$I$12,regle!$I$11,""))))))))))</f>
        <v/>
      </c>
      <c r="X23" t="str">
        <f>IF(NOT($A23),"",
IF(AR23=-2,regle!$J$11,
IF(AR23=regle!$B$12,regle!$B$11,
IF(AR23=regle!$C$12,regle!$C$11,
IF(AR23=regle!$D$12,regle!$D$11,
IF(AR23=regle!$E$12,regle!$E$11,
IF(AR23=regle!$F$12,regle!$F$11,
IF(AR23=regle!$G$12,regle!$G$11,
IF(AR23=regle!$H$12,regle!$H$11,
IF(AR23=regle!$I$12,regle!$I$11,""))))))))))</f>
        <v/>
      </c>
      <c r="Y23" t="str">
        <f>IF(NOT($A23),"",
IF(AS23=-2,regle!$J$11,
IF(AS23=regle!$B$12,regle!$B$11,
IF(AS23=regle!$C$12,regle!$C$11,
IF(AS23=regle!$D$12,regle!$D$11,
IF(AS23=regle!$E$12,regle!$E$11,
IF(AS23=regle!$F$12,regle!$F$11,
IF(AS23=regle!$G$12,regle!$G$11,
IF(AS23=regle!$H$12,regle!$H$11,
IF(AS23=regle!$I$12,regle!$I$11,""))))))))))</f>
        <v>EC3</v>
      </c>
      <c r="Z23" t="str">
        <f>IF(NOT($A23),"",
IF(AT23=-2,regle!$J$11,
IF(AT23=regle!$B$12,regle!$B$11,
IF(AT23=regle!$C$12,regle!$C$11,
IF(AT23=regle!$D$12,regle!$D$11,
IF(AT23=regle!$E$12,regle!$E$11,
IF(AT23=regle!$F$12,regle!$F$11,
IF(AT23=regle!$G$12,regle!$G$11,
IF(AT23=regle!$H$12,regle!$H$11,
IF(AT23=regle!$I$12,regle!$I$11,""))))))))))</f>
        <v/>
      </c>
      <c r="AA23" t="str">
        <f>IF(NOT($A23),"",
IF(AU23=-2,regle!$J$11,
IF(AU23=regle!$B$12,regle!$B$11,
IF(AU23=regle!$C$12,regle!$C$11,
IF(AU23=regle!$D$12,regle!$D$11,
IF(AU23=regle!$E$12,regle!$E$11,
IF(AU23=regle!$F$12,regle!$F$11,
IF(AU23=regle!$G$12,regle!$G$11,
IF(AU23=regle!$H$12,regle!$H$11,
IF(AU23=regle!$I$12,regle!$I$11,""))))))))))</f>
        <v/>
      </c>
      <c r="AB23" t="str">
        <f>IF(NOT($A23),"",
IF(AV23=-2,regle!$J$11,
IF(AV23=regle!$B$12,regle!$B$11,
IF(AV23=regle!$C$12,regle!$C$11,
IF(AV23=regle!$D$12,regle!$D$11,
IF(AV23=regle!$E$12,regle!$E$11,
IF(AV23=regle!$F$12,regle!$F$11,
IF(AV23=regle!$G$12,regle!$G$11,
IF(AV23=regle!$H$12,regle!$H$11,
IF(AV23=regle!$I$12,regle!$I$11,""))))))))))</f>
        <v/>
      </c>
      <c r="AC23" t="str">
        <f>IF(NOT($A23),"",
IF(AW23=-2,regle!$J$11,
IF(AW23=regle!$B$12,regle!$B$11,
IF(AW23=regle!$C$12,regle!$C$11,
IF(AW23=regle!$D$12,regle!$D$11,
IF(AW23=regle!$E$12,regle!$E$11,
IF(AW23=regle!$F$12,regle!$F$11,
IF(AW23=regle!$G$12,regle!$G$11,
IF(AW23=regle!$H$12,regle!$H$11,
IF(AW23=regle!$I$12,regle!$I$11,""))))))))))</f>
        <v/>
      </c>
      <c r="AD23" t="str">
        <f>IF(NOT($A23),"",
IF(AX23=-2,regle!$J$11,
IF(AX23=regle!$B$12,regle!$B$11,
IF(AX23=regle!$C$12,regle!$C$11,
IF(AX23=regle!$D$12,regle!$D$11,
IF(AX23=regle!$E$12,regle!$E$11,
IF(AX23=regle!$F$12,regle!$F$11,
IF(AX23=regle!$G$12,regle!$G$11,
IF(AX23=regle!$H$12,regle!$H$11,
IF(AX23=regle!$I$12,regle!$I$11,""))))))))))</f>
        <v>EC4</v>
      </c>
      <c r="AE23" s="14">
        <f>IF($A23,$M23*(IF(U23=regle!$B$11,regle!$B$23,IF(U23=regle!$C$11,regle!$C$23,IF(U23=regle!$D$11,regle!$D$23,IF(U23=regle!$E$11,regle!$E$23,IF(U23=regle!$F$11,regle!$F$23,IF(U23=regle!$G$11,regle!$G$23,IF(U23=regle!$H$11,regle!$H$23,IF(U23=regle!$I$11,regle!$I$23,IF(U23=regle!$J$11,regle!$J$23,0)))))))))))</f>
        <v>0</v>
      </c>
      <c r="AF23" s="14">
        <f>IF($A23,$M23*(IF(V23=regle!$B$11,regle!$B$23,IF(V23=regle!$C$11,regle!$C$23,IF(V23=regle!$D$11,regle!$D$23,IF(V23=regle!$E$11,regle!$E$23,IF(V23=regle!$F$11,regle!$F$23,IF(V23=regle!$G$11,regle!$G$23,IF(V23=regle!$H$11,regle!$H$23,IF(V23=regle!$I$11,regle!$I$23,IF(V23=regle!$J$11,regle!$J$23,0)))))))))))</f>
        <v>0</v>
      </c>
      <c r="AG23" s="14">
        <f>IF($A23,$M23*(IF(W23=regle!$B$11,regle!$B$23,IF(W23=regle!$C$11,regle!$C$23,IF(W23=regle!$D$11,regle!$D$23,IF(W23=regle!$E$11,regle!$E$23,IF(W23=regle!$F$11,regle!$F$23,IF(W23=regle!$G$11,regle!$G$23,IF(W23=regle!$H$11,regle!$H$23,IF(W23=regle!$I$11,regle!$I$23,IF(W23=regle!$J$11,regle!$J$23,0)))))))))))</f>
        <v>0</v>
      </c>
      <c r="AH23" s="14">
        <f>IF($A23,$M23*(IF(X23=regle!$B$11,regle!$B$23,IF(X23=regle!$C$11,regle!$C$23,IF(X23=regle!$D$11,regle!$D$23,IF(X23=regle!$E$11,regle!$E$23,IF(X23=regle!$F$11,regle!$F$23,IF(X23=regle!$G$11,regle!$G$23,IF(X23=regle!$H$11,regle!$H$23,IF(X23=regle!$I$11,regle!$I$23,IF(X23=regle!$J$11,regle!$J$23,0)))))))))))</f>
        <v>0</v>
      </c>
      <c r="AI23" s="14">
        <f>IF($A23,$M23*(IF(Y23=regle!$B$11,regle!$B$23,IF(Y23=regle!$C$11,regle!$C$23,IF(Y23=regle!$D$11,regle!$D$23,IF(Y23=regle!$E$11,regle!$E$23,IF(Y23=regle!$F$11,regle!$F$23,IF(Y23=regle!$G$11,regle!$G$23,IF(Y23=regle!$H$11,regle!$H$23,IF(Y23=regle!$I$11,regle!$I$23,IF(Y23=regle!$J$11,regle!$J$23,0)))))))))))</f>
        <v>163.18720000000002</v>
      </c>
      <c r="AJ23" s="14">
        <f>IF($A23,$M23*(IF(Z23=regle!$B$11,regle!$B$23,IF(Z23=regle!$C$11,regle!$C$23,IF(Z23=regle!$D$11,regle!$D$23,IF(Z23=regle!$E$11,regle!$E$23,IF(Z23=regle!$F$11,regle!$F$23,IF(Z23=regle!$G$11,regle!$G$23,IF(Z23=regle!$H$11,regle!$H$23,IF(Z23=regle!$I$11,regle!$I$23,IF(Z23=regle!$J$11,regle!$J$23,0)))))))))))</f>
        <v>0</v>
      </c>
      <c r="AK23" s="14">
        <f>IF($A23,$M23*(IF(AA23=regle!$B$11,regle!$B$23,IF(AA23=regle!$C$11,regle!$C$23,IF(AA23=regle!$D$11,regle!$D$23,IF(AA23=regle!$E$11,regle!$E$23,IF(AA23=regle!$F$11,regle!$F$23,IF(AA23=regle!$G$11,regle!$G$23,IF(AA23=regle!$H$11,regle!$H$23,IF(AA23=regle!$I$11,regle!$I$23,IF(AA23=regle!$J$11,regle!$J$23,0)))))))))))</f>
        <v>0</v>
      </c>
      <c r="AL23" s="14">
        <f>IF($A23,$M23*(IF(AB23=regle!$B$11,regle!$B$23,IF(AB23=regle!$C$11,regle!$C$23,IF(AB23=regle!$D$11,regle!$D$23,IF(AB23=regle!$E$11,regle!$E$23,IF(AB23=regle!$F$11,regle!$F$23,IF(AB23=regle!$G$11,regle!$G$23,IF(AB23=regle!$H$11,regle!$H$23,IF(AB23=regle!$I$11,regle!$I$23,IF(AB23=regle!$J$11,regle!$J$23,0)))))))))))</f>
        <v>0</v>
      </c>
      <c r="AM23" s="14">
        <f>IF($A23,$M23*(IF(AC23=regle!$B$11,regle!$B$23,IF(AC23=regle!$C$11,regle!$C$23,IF(AC23=regle!$D$11,regle!$D$23,IF(AC23=regle!$E$11,regle!$E$23,IF(AC23=regle!$F$11,regle!$F$23,IF(AC23=regle!$G$11,regle!$G$23,IF(AC23=regle!$H$11,regle!$H$23,IF(AC23=regle!$I$11,regle!$I$23,IF(AC23=regle!$J$11,regle!$J$23,0)))))))))))</f>
        <v>0</v>
      </c>
      <c r="AN23" s="14">
        <f>IF($A23,$M23*(IF(AD23=regle!$B$11,regle!$B$23,IF(AD23=regle!$C$11,regle!$C$23,IF(AD23=regle!$D$11,regle!$D$23,IF(AD23=regle!$E$11,regle!$E$23,IF(AD23=regle!$F$11,regle!$F$23,IF(AD23=regle!$G$11,regle!$G$23,IF(AD23=regle!$H$11,regle!$H$23,IF(AD23=regle!$I$11,regle!$I$23,IF(AD23=regle!$J$11,regle!$J$23,0)))))))))))</f>
        <v>148.352</v>
      </c>
      <c r="AO23">
        <f>IF(AO$1=$AO$1,IF(regle!B$2-$Q23&gt;=regle!$J$12,-2,IF($S23,IF(regle!$B$2-$Q23&gt;=2,0,-1),regle!B$2-$Q23)),IF(AN23+1&gt;=regle!$J$12,-2,AN23+1))</f>
        <v>19</v>
      </c>
      <c r="AP23">
        <f>IF(AP$1=$AO$1,IF(regle!C$2-$Q23&gt;=regle!$J$12,-2,IF($S23,IF(regle!$B$2-$Q23&gt;=2,0,-1),regle!C$2-$Q23)),IF(AO23+1&gt;=regle!$J$12,-2,AO23+1))</f>
        <v>20</v>
      </c>
      <c r="AQ23">
        <f>IF(AQ$1=$AO$1,IF(regle!D$2-$Q23&gt;=regle!$J$12,-2,IF($S23,IF(regle!$B$2-$Q23&gt;=2,0,-1),regle!D$2-$Q23)),IF(AP23+1&gt;=regle!$J$12,-2,AP23+1))</f>
        <v>21</v>
      </c>
      <c r="AR23">
        <f>IF(AR$1=$AO$1,IF(regle!E$2-$Q23&gt;=regle!$J$12,-2,IF($S23,IF(regle!$B$2-$Q23&gt;=2,0,-1),regle!E$2-$Q23)),IF(AQ23+1&gt;=regle!$J$12,-2,AQ23+1))</f>
        <v>22</v>
      </c>
      <c r="AS23">
        <f>IF(AS$1=$AO$1,IF(regle!F$2-$Q23&gt;=regle!$J$12,-2,IF($S23,IF(regle!$B$2-$Q23&gt;=2,0,-1),regle!F$2-$Q23)),IF(AR23+1&gt;=regle!$J$12,-2,AR23+1))</f>
        <v>23</v>
      </c>
      <c r="AT23">
        <f>IF(AT$1=$AO$1,IF(regle!G$2-$Q23&gt;=regle!$J$12,-2,IF($S23,IF(regle!$B$2-$Q23&gt;=2,0,-1),regle!G$2-$Q23)),IF(AS23+1&gt;=regle!$J$12,-2,AS23+1))</f>
        <v>24</v>
      </c>
      <c r="AU23">
        <f>IF(AU$1=$AO$1,IF(regle!H$2-$Q23&gt;=regle!$J$12,-2,IF($S23,IF(regle!$B$2-$Q23&gt;=2,0,-1),regle!H$2-$Q23)),IF(AT23+1&gt;=regle!$J$12,-2,AT23+1))</f>
        <v>25</v>
      </c>
      <c r="AV23">
        <f>IF(AV$1=$AO$1,IF(regle!I$2-$Q23&gt;=regle!$J$12,-2,IF($S23,IF(regle!$B$2-$Q23&gt;=2,0,-1),regle!I$2-$Q23)),IF(AU23+1&gt;=regle!$J$12,-2,AU23+1))</f>
        <v>26</v>
      </c>
      <c r="AW23">
        <f>IF(AW$1=$AO$1,IF(regle!J$2-$Q23&gt;=regle!$J$12,-2,IF($S23,IF(regle!$B$2-$Q23&gt;=2,0,-1),regle!J$2-$Q23)),IF(AV23+1&gt;=regle!$J$12,-2,AV23+1))</f>
        <v>27</v>
      </c>
      <c r="AX23">
        <f>IF(AX$1=$AO$1,IF(regle!K$2-$Q23&gt;=regle!$J$12,-2,IF($S23,IF(regle!$B$2-$Q23&gt;=2,0,-1),regle!K$2-$Q23)),IF(AW23+1&gt;=regle!$J$12,-2,AW23+1))</f>
        <v>28</v>
      </c>
    </row>
    <row r="24" spans="1:50" x14ac:dyDescent="0.25">
      <c r="A24" t="b">
        <f>AND(modif0[[#This Row],[cdstr]]&lt;&gt;0,OR(regle!$H$27=FALSE,modif0[[#This Row],[essnc]]="PM"))</f>
        <v>1</v>
      </c>
      <c r="B24">
        <f>ROW(objet!A31)</f>
        <v>31</v>
      </c>
      <c r="C24" s="10" t="str">
        <f>objet!D31</f>
        <v>5360000A0407</v>
      </c>
      <c r="D24" t="str">
        <f>LEFT(modif0[[#This Row],[cdstr]],3)</f>
        <v>536</v>
      </c>
      <c r="E24" s="10" t="str">
        <f>objet!G31</f>
        <v>LE TUZAN</v>
      </c>
      <c r="F24">
        <f>LEN(modif0[[#This Row],[l_dt]])</f>
        <v>21</v>
      </c>
      <c r="G24" s="10" t="str">
        <f>objet!H31</f>
        <v>METAIRIES DE TABARTON</v>
      </c>
      <c r="H24" s="10" t="str">
        <f>objet!C31</f>
        <v>A407f</v>
      </c>
      <c r="I24" t="str">
        <f>IF(ISNUMBER(VALUE(RIGHT(LEFT(modif0[[#This Row],[idntfn]],2),1))),_xlfn.CONCAT(0,LEFT(modif0[[#This Row],[idntfn]],1)),LEFT(modif0[[#This Row],[idntfn]],2))</f>
        <v>0A</v>
      </c>
      <c r="J24">
        <f>VALUE(LEFT(RIGHT(modif0[[#This Row],[idntfn]],LEN(modif0[[#This Row],[idntfn]])-IF(LEFT(modif0[[#This Row],[sctn]],1)="0",1,2)),LEN(modif0[[#This Row],[idntfn]])-IF(LEFT(modif0[[#This Row],[sctn]],1)="0",1,2)-LEN(modif0[[#This Row],[lttr]])))</f>
        <v>407</v>
      </c>
      <c r="K24" t="str">
        <f>IF(ISNUMBER(VALUE(RIGHT(modif0[[#This Row],[idntfn]],1))),"",IF(ISNUMBER(VALUE(LEFT(RIGHT(modif0[[#This Row],[idntfn]],2),1))),RIGHT(modif0[[#This Row],[idntfn]],1),RIGHT(modif0[[#This Row],[idntfn]],2)))</f>
        <v>f</v>
      </c>
      <c r="L24" s="10">
        <f>objet!I31</f>
        <v>6603</v>
      </c>
      <c r="M24" s="11">
        <f>modif0[[#This Row],[srfc]]/10000</f>
        <v>0.6603</v>
      </c>
      <c r="N24" s="10" t="str">
        <f>objet!Z31</f>
        <v>PM</v>
      </c>
      <c r="O24" s="10" t="str">
        <f>objet!AA31</f>
        <v>PLA2005</v>
      </c>
      <c r="P24" t="str">
        <f>IF(ISNUMBER(modif0[[#This Row],[trvx]]),"",LEFT(modif0[[#This Row],[trvx]],LEN(modif0[[#This Row],[trvx]])-4))</f>
        <v>PLA</v>
      </c>
      <c r="Q24">
        <f>VALUE(RIGHT(modif0[[#This Row],[trvx]],4))</f>
        <v>2005</v>
      </c>
      <c r="R24" t="str">
        <f>_xlfn.CONCAT(modif0[[#This Row],[tp]],"-",modif0[[#This Row],[essnc]],"_",modif0[[#This Row],[anns]])</f>
        <v>PLA-PM_2005</v>
      </c>
      <c r="S24" t="b">
        <f>modif0[[#This Row],[tp]]="CR"</f>
        <v>0</v>
      </c>
      <c r="T24">
        <v>40</v>
      </c>
      <c r="U24" t="str">
        <f>IF(NOT($A24),"",
IF(AO24=-2,regle!$J$11,
IF(AO24=regle!$B$12,regle!$B$11,
IF(AO24=regle!$C$12,regle!$C$11,
IF(AO24=regle!$D$12,regle!$D$11,
IF(AO24=regle!$E$12,regle!$E$11,
IF(AO24=regle!$F$12,regle!$F$11,
IF(AO24=regle!$G$12,regle!$G$11,
IF(AO24=regle!$H$12,regle!$H$11,
IF(AO24=regle!$I$12,regle!$I$11,""))))))))))</f>
        <v/>
      </c>
      <c r="V24" t="str">
        <f>IF(NOT($A24),"",
IF(AP24=-2,regle!$J$11,
IF(AP24=regle!$B$12,regle!$B$11,
IF(AP24=regle!$C$12,regle!$C$11,
IF(AP24=regle!$D$12,regle!$D$11,
IF(AP24=regle!$E$12,regle!$E$11,
IF(AP24=regle!$F$12,regle!$F$11,
IF(AP24=regle!$G$12,regle!$G$11,
IF(AP24=regle!$H$12,regle!$H$11,
IF(AP24=regle!$I$12,regle!$I$11,""))))))))))</f>
        <v/>
      </c>
      <c r="W24" t="str">
        <f>IF(NOT($A24),"",
IF(AQ24=-2,regle!$J$11,
IF(AQ24=regle!$B$12,regle!$B$11,
IF(AQ24=regle!$C$12,regle!$C$11,
IF(AQ24=regle!$D$12,regle!$D$11,
IF(AQ24=regle!$E$12,regle!$E$11,
IF(AQ24=regle!$F$12,regle!$F$11,
IF(AQ24=regle!$G$12,regle!$G$11,
IF(AQ24=regle!$H$12,regle!$H$11,
IF(AQ24=regle!$I$12,regle!$I$11,""))))))))))</f>
        <v/>
      </c>
      <c r="X24" t="str">
        <f>IF(NOT($A24),"",
IF(AR24=-2,regle!$J$11,
IF(AR24=regle!$B$12,regle!$B$11,
IF(AR24=regle!$C$12,regle!$C$11,
IF(AR24=regle!$D$12,regle!$D$11,
IF(AR24=regle!$E$12,regle!$E$11,
IF(AR24=regle!$F$12,regle!$F$11,
IF(AR24=regle!$G$12,regle!$G$11,
IF(AR24=regle!$H$12,regle!$H$11,
IF(AR24=regle!$I$12,regle!$I$11,""))))))))))</f>
        <v/>
      </c>
      <c r="Y24" t="str">
        <f>IF(NOT($A24),"",
IF(AS24=-2,regle!$J$11,
IF(AS24=regle!$B$12,regle!$B$11,
IF(AS24=regle!$C$12,regle!$C$11,
IF(AS24=regle!$D$12,regle!$D$11,
IF(AS24=regle!$E$12,regle!$E$11,
IF(AS24=regle!$F$12,regle!$F$11,
IF(AS24=regle!$G$12,regle!$G$11,
IF(AS24=regle!$H$12,regle!$H$11,
IF(AS24=regle!$I$12,regle!$I$11,""))))))))))</f>
        <v>EC3</v>
      </c>
      <c r="Z24" t="str">
        <f>IF(NOT($A24),"",
IF(AT24=-2,regle!$J$11,
IF(AT24=regle!$B$12,regle!$B$11,
IF(AT24=regle!$C$12,regle!$C$11,
IF(AT24=regle!$D$12,regle!$D$11,
IF(AT24=regle!$E$12,regle!$E$11,
IF(AT24=regle!$F$12,regle!$F$11,
IF(AT24=regle!$G$12,regle!$G$11,
IF(AT24=regle!$H$12,regle!$H$11,
IF(AT24=regle!$I$12,regle!$I$11,""))))))))))</f>
        <v/>
      </c>
      <c r="AA24" t="str">
        <f>IF(NOT($A24),"",
IF(AU24=-2,regle!$J$11,
IF(AU24=regle!$B$12,regle!$B$11,
IF(AU24=regle!$C$12,regle!$C$11,
IF(AU24=regle!$D$12,regle!$D$11,
IF(AU24=regle!$E$12,regle!$E$11,
IF(AU24=regle!$F$12,regle!$F$11,
IF(AU24=regle!$G$12,regle!$G$11,
IF(AU24=regle!$H$12,regle!$H$11,
IF(AU24=regle!$I$12,regle!$I$11,""))))))))))</f>
        <v/>
      </c>
      <c r="AB24" t="str">
        <f>IF(NOT($A24),"",
IF(AV24=-2,regle!$J$11,
IF(AV24=regle!$B$12,regle!$B$11,
IF(AV24=regle!$C$12,regle!$C$11,
IF(AV24=regle!$D$12,regle!$D$11,
IF(AV24=regle!$E$12,regle!$E$11,
IF(AV24=regle!$F$12,regle!$F$11,
IF(AV24=regle!$G$12,regle!$G$11,
IF(AV24=regle!$H$12,regle!$H$11,
IF(AV24=regle!$I$12,regle!$I$11,""))))))))))</f>
        <v/>
      </c>
      <c r="AC24" t="str">
        <f>IF(NOT($A24),"",
IF(AW24=-2,regle!$J$11,
IF(AW24=regle!$B$12,regle!$B$11,
IF(AW24=regle!$C$12,regle!$C$11,
IF(AW24=regle!$D$12,regle!$D$11,
IF(AW24=regle!$E$12,regle!$E$11,
IF(AW24=regle!$F$12,regle!$F$11,
IF(AW24=regle!$G$12,regle!$G$11,
IF(AW24=regle!$H$12,regle!$H$11,
IF(AW24=regle!$I$12,regle!$I$11,""))))))))))</f>
        <v/>
      </c>
      <c r="AD24" t="str">
        <f>IF(NOT($A24),"",
IF(AX24=-2,regle!$J$11,
IF(AX24=regle!$B$12,regle!$B$11,
IF(AX24=regle!$C$12,regle!$C$11,
IF(AX24=regle!$D$12,regle!$D$11,
IF(AX24=regle!$E$12,regle!$E$11,
IF(AX24=regle!$F$12,regle!$F$11,
IF(AX24=regle!$G$12,regle!$G$11,
IF(AX24=regle!$H$12,regle!$H$11,
IF(AX24=regle!$I$12,regle!$I$11,""))))))))))</f>
        <v>EC4</v>
      </c>
      <c r="AE24" s="14">
        <f>IF($A24,$M24*(IF(U24=regle!$B$11,regle!$B$23,IF(U24=regle!$C$11,regle!$C$23,IF(U24=regle!$D$11,regle!$D$23,IF(U24=regle!$E$11,regle!$E$23,IF(U24=regle!$F$11,regle!$F$23,IF(U24=regle!$G$11,regle!$G$23,IF(U24=regle!$H$11,regle!$H$23,IF(U24=regle!$I$11,regle!$I$23,IF(U24=regle!$J$11,regle!$J$23,0)))))))))))</f>
        <v>0</v>
      </c>
      <c r="AF24" s="14">
        <f>IF($A24,$M24*(IF(V24=regle!$B$11,regle!$B$23,IF(V24=regle!$C$11,regle!$C$23,IF(V24=regle!$D$11,regle!$D$23,IF(V24=regle!$E$11,regle!$E$23,IF(V24=regle!$F$11,regle!$F$23,IF(V24=regle!$G$11,regle!$G$23,IF(V24=regle!$H$11,regle!$H$23,IF(V24=regle!$I$11,regle!$I$23,IF(V24=regle!$J$11,regle!$J$23,0)))))))))))</f>
        <v>0</v>
      </c>
      <c r="AG24" s="14">
        <f>IF($A24,$M24*(IF(W24=regle!$B$11,regle!$B$23,IF(W24=regle!$C$11,regle!$C$23,IF(W24=regle!$D$11,regle!$D$23,IF(W24=regle!$E$11,regle!$E$23,IF(W24=regle!$F$11,regle!$F$23,IF(W24=regle!$G$11,regle!$G$23,IF(W24=regle!$H$11,regle!$H$23,IF(W24=regle!$I$11,regle!$I$23,IF(W24=regle!$J$11,regle!$J$23,0)))))))))))</f>
        <v>0</v>
      </c>
      <c r="AH24" s="14">
        <f>IF($A24,$M24*(IF(X24=regle!$B$11,regle!$B$23,IF(X24=regle!$C$11,regle!$C$23,IF(X24=regle!$D$11,regle!$D$23,IF(X24=regle!$E$11,regle!$E$23,IF(X24=regle!$F$11,regle!$F$23,IF(X24=regle!$G$11,regle!$G$23,IF(X24=regle!$H$11,regle!$H$23,IF(X24=regle!$I$11,regle!$I$23,IF(X24=regle!$J$11,regle!$J$23,0)))))))))))</f>
        <v>0</v>
      </c>
      <c r="AI24" s="14">
        <f>IF($A24,$M24*(IF(Y24=regle!$B$11,regle!$B$23,IF(Y24=regle!$C$11,regle!$C$23,IF(Y24=regle!$D$11,regle!$D$23,IF(Y24=regle!$E$11,regle!$E$23,IF(Y24=regle!$F$11,regle!$F$23,IF(Y24=regle!$G$11,regle!$G$23,IF(Y24=regle!$H$11,regle!$H$23,IF(Y24=regle!$I$11,regle!$I$23,IF(Y24=regle!$J$11,regle!$J$23,0)))))))))))</f>
        <v>929.70240000000001</v>
      </c>
      <c r="AJ24" s="14">
        <f>IF($A24,$M24*(IF(Z24=regle!$B$11,regle!$B$23,IF(Z24=regle!$C$11,regle!$C$23,IF(Z24=regle!$D$11,regle!$D$23,IF(Z24=regle!$E$11,regle!$E$23,IF(Z24=regle!$F$11,regle!$F$23,IF(Z24=regle!$G$11,regle!$G$23,IF(Z24=regle!$H$11,regle!$H$23,IF(Z24=regle!$I$11,regle!$I$23,IF(Z24=regle!$J$11,regle!$J$23,0)))))))))))</f>
        <v>0</v>
      </c>
      <c r="AK24" s="14">
        <f>IF($A24,$M24*(IF(AA24=regle!$B$11,regle!$B$23,IF(AA24=regle!$C$11,regle!$C$23,IF(AA24=regle!$D$11,regle!$D$23,IF(AA24=regle!$E$11,regle!$E$23,IF(AA24=regle!$F$11,regle!$F$23,IF(AA24=regle!$G$11,regle!$G$23,IF(AA24=regle!$H$11,regle!$H$23,IF(AA24=regle!$I$11,regle!$I$23,IF(AA24=regle!$J$11,regle!$J$23,0)))))))))))</f>
        <v>0</v>
      </c>
      <c r="AL24" s="14">
        <f>IF($A24,$M24*(IF(AB24=regle!$B$11,regle!$B$23,IF(AB24=regle!$C$11,regle!$C$23,IF(AB24=regle!$D$11,regle!$D$23,IF(AB24=regle!$E$11,regle!$E$23,IF(AB24=regle!$F$11,regle!$F$23,IF(AB24=regle!$G$11,regle!$G$23,IF(AB24=regle!$H$11,regle!$H$23,IF(AB24=regle!$I$11,regle!$I$23,IF(AB24=regle!$J$11,regle!$J$23,0)))))))))))</f>
        <v>0</v>
      </c>
      <c r="AM24" s="14">
        <f>IF($A24,$M24*(IF(AC24=regle!$B$11,regle!$B$23,IF(AC24=regle!$C$11,regle!$C$23,IF(AC24=regle!$D$11,regle!$D$23,IF(AC24=regle!$E$11,regle!$E$23,IF(AC24=regle!$F$11,regle!$F$23,IF(AC24=regle!$G$11,regle!$G$23,IF(AC24=regle!$H$11,regle!$H$23,IF(AC24=regle!$I$11,regle!$I$23,IF(AC24=regle!$J$11,regle!$J$23,0)))))))))))</f>
        <v>0</v>
      </c>
      <c r="AN24" s="14">
        <f>IF($A24,$M24*(IF(AD24=regle!$B$11,regle!$B$23,IF(AD24=regle!$C$11,regle!$C$23,IF(AD24=regle!$D$11,regle!$D$23,IF(AD24=regle!$E$11,regle!$E$23,IF(AD24=regle!$F$11,regle!$F$23,IF(AD24=regle!$G$11,regle!$G$23,IF(AD24=regle!$H$11,regle!$H$23,IF(AD24=regle!$I$11,regle!$I$23,IF(AD24=regle!$J$11,regle!$J$23,0)))))))))))</f>
        <v>845.18399999999997</v>
      </c>
      <c r="AO24">
        <f>IF(AO$1=$AO$1,IF(regle!B$2-$Q24&gt;=regle!$J$12,-2,IF($S24,IF(regle!$B$2-$Q24&gt;=2,0,-1),regle!B$2-$Q24)),IF(AN24+1&gt;=regle!$J$12,-2,AN24+1))</f>
        <v>19</v>
      </c>
      <c r="AP24">
        <f>IF(AP$1=$AO$1,IF(regle!C$2-$Q24&gt;=regle!$J$12,-2,IF($S24,IF(regle!$B$2-$Q24&gt;=2,0,-1),regle!C$2-$Q24)),IF(AO24+1&gt;=regle!$J$12,-2,AO24+1))</f>
        <v>20</v>
      </c>
      <c r="AQ24">
        <f>IF(AQ$1=$AO$1,IF(regle!D$2-$Q24&gt;=regle!$J$12,-2,IF($S24,IF(regle!$B$2-$Q24&gt;=2,0,-1),regle!D$2-$Q24)),IF(AP24+1&gt;=regle!$J$12,-2,AP24+1))</f>
        <v>21</v>
      </c>
      <c r="AR24">
        <f>IF(AR$1=$AO$1,IF(regle!E$2-$Q24&gt;=regle!$J$12,-2,IF($S24,IF(regle!$B$2-$Q24&gt;=2,0,-1),regle!E$2-$Q24)),IF(AQ24+1&gt;=regle!$J$12,-2,AQ24+1))</f>
        <v>22</v>
      </c>
      <c r="AS24">
        <f>IF(AS$1=$AO$1,IF(regle!F$2-$Q24&gt;=regle!$J$12,-2,IF($S24,IF(regle!$B$2-$Q24&gt;=2,0,-1),regle!F$2-$Q24)),IF(AR24+1&gt;=regle!$J$12,-2,AR24+1))</f>
        <v>23</v>
      </c>
      <c r="AT24">
        <f>IF(AT$1=$AO$1,IF(regle!G$2-$Q24&gt;=regle!$J$12,-2,IF($S24,IF(regle!$B$2-$Q24&gt;=2,0,-1),regle!G$2-$Q24)),IF(AS24+1&gt;=regle!$J$12,-2,AS24+1))</f>
        <v>24</v>
      </c>
      <c r="AU24">
        <f>IF(AU$1=$AO$1,IF(regle!H$2-$Q24&gt;=regle!$J$12,-2,IF($S24,IF(regle!$B$2-$Q24&gt;=2,0,-1),regle!H$2-$Q24)),IF(AT24+1&gt;=regle!$J$12,-2,AT24+1))</f>
        <v>25</v>
      </c>
      <c r="AV24">
        <f>IF(AV$1=$AO$1,IF(regle!I$2-$Q24&gt;=regle!$J$12,-2,IF($S24,IF(regle!$B$2-$Q24&gt;=2,0,-1),regle!I$2-$Q24)),IF(AU24+1&gt;=regle!$J$12,-2,AU24+1))</f>
        <v>26</v>
      </c>
      <c r="AW24">
        <f>IF(AW$1=$AO$1,IF(regle!J$2-$Q24&gt;=regle!$J$12,-2,IF($S24,IF(regle!$B$2-$Q24&gt;=2,0,-1),regle!J$2-$Q24)),IF(AV24+1&gt;=regle!$J$12,-2,AV24+1))</f>
        <v>27</v>
      </c>
      <c r="AX24">
        <f>IF(AX$1=$AO$1,IF(regle!K$2-$Q24&gt;=regle!$J$12,-2,IF($S24,IF(regle!$B$2-$Q24&gt;=2,0,-1),regle!K$2-$Q24)),IF(AW24+1&gt;=regle!$J$12,-2,AW24+1))</f>
        <v>28</v>
      </c>
    </row>
    <row r="25" spans="1:50" x14ac:dyDescent="0.25">
      <c r="A25" t="b">
        <f>AND(modif0[[#This Row],[cdstr]]&lt;&gt;0,OR(regle!$H$27=FALSE,modif0[[#This Row],[essnc]]="PM"))</f>
        <v>1</v>
      </c>
      <c r="B25">
        <f>ROW(objet!A32)</f>
        <v>32</v>
      </c>
      <c r="C25" s="10" t="str">
        <f>objet!D32</f>
        <v>5360000A0407</v>
      </c>
      <c r="D25" t="str">
        <f>LEFT(modif0[[#This Row],[cdstr]],3)</f>
        <v>536</v>
      </c>
      <c r="E25" s="10" t="str">
        <f>objet!G32</f>
        <v>LE TUZAN</v>
      </c>
      <c r="F25">
        <f>LEN(modif0[[#This Row],[l_dt]])</f>
        <v>21</v>
      </c>
      <c r="G25" s="10" t="str">
        <f>objet!H32</f>
        <v>METAIRIES DE TABARTON</v>
      </c>
      <c r="H25" s="10" t="str">
        <f>objet!C32</f>
        <v>A407j</v>
      </c>
      <c r="I25" t="str">
        <f>IF(ISNUMBER(VALUE(RIGHT(LEFT(modif0[[#This Row],[idntfn]],2),1))),_xlfn.CONCAT(0,LEFT(modif0[[#This Row],[idntfn]],1)),LEFT(modif0[[#This Row],[idntfn]],2))</f>
        <v>0A</v>
      </c>
      <c r="J25">
        <f>VALUE(LEFT(RIGHT(modif0[[#This Row],[idntfn]],LEN(modif0[[#This Row],[idntfn]])-IF(LEFT(modif0[[#This Row],[sctn]],1)="0",1,2)),LEN(modif0[[#This Row],[idntfn]])-IF(LEFT(modif0[[#This Row],[sctn]],1)="0",1,2)-LEN(modif0[[#This Row],[lttr]])))</f>
        <v>407</v>
      </c>
      <c r="K25" t="str">
        <f>IF(ISNUMBER(VALUE(RIGHT(modif0[[#This Row],[idntfn]],1))),"",IF(ISNUMBER(VALUE(LEFT(RIGHT(modif0[[#This Row],[idntfn]],2),1))),RIGHT(modif0[[#This Row],[idntfn]],1),RIGHT(modif0[[#This Row],[idntfn]],2)))</f>
        <v>j</v>
      </c>
      <c r="L25" s="10">
        <f>objet!I32</f>
        <v>36694</v>
      </c>
      <c r="M25" s="11">
        <f>modif0[[#This Row],[srfc]]/10000</f>
        <v>3.6694</v>
      </c>
      <c r="N25" s="10" t="str">
        <f>objet!Z32</f>
        <v>PM</v>
      </c>
      <c r="O25" s="10" t="str">
        <f>objet!AA32</f>
        <v>PLA2017</v>
      </c>
      <c r="P25" t="str">
        <f>IF(ISNUMBER(modif0[[#This Row],[trvx]]),"",LEFT(modif0[[#This Row],[trvx]],LEN(modif0[[#This Row],[trvx]])-4))</f>
        <v>PLA</v>
      </c>
      <c r="Q25">
        <f>VALUE(RIGHT(modif0[[#This Row],[trvx]],4))</f>
        <v>2017</v>
      </c>
      <c r="R25" t="str">
        <f>_xlfn.CONCAT(modif0[[#This Row],[tp]],"-",modif0[[#This Row],[essnc]],"_",modif0[[#This Row],[anns]])</f>
        <v>PLA-PM_2017</v>
      </c>
      <c r="S25" t="b">
        <f>modif0[[#This Row],[tp]]="CR"</f>
        <v>0</v>
      </c>
      <c r="T25">
        <v>40</v>
      </c>
      <c r="U25" t="str">
        <f>IF(NOT($A25),"",
IF(AO25=-2,regle!$J$11,
IF(AO25=regle!$B$12,regle!$B$11,
IF(AO25=regle!$C$12,regle!$C$11,
IF(AO25=regle!$D$12,regle!$D$11,
IF(AO25=regle!$E$12,regle!$E$11,
IF(AO25=regle!$F$12,regle!$F$11,
IF(AO25=regle!$G$12,regle!$G$11,
IF(AO25=regle!$H$12,regle!$H$11,
IF(AO25=regle!$I$12,regle!$I$11,""))))))))))</f>
        <v/>
      </c>
      <c r="V25" t="str">
        <f>IF(NOT($A25),"",
IF(AP25=-2,regle!$J$11,
IF(AP25=regle!$B$12,regle!$B$11,
IF(AP25=regle!$C$12,regle!$C$11,
IF(AP25=regle!$D$12,regle!$D$11,
IF(AP25=regle!$E$12,regle!$E$11,
IF(AP25=regle!$F$12,regle!$F$11,
IF(AP25=regle!$G$12,regle!$G$11,
IF(AP25=regle!$H$12,regle!$H$11,
IF(AP25=regle!$I$12,regle!$I$11,""))))))))))</f>
        <v>ENT2</v>
      </c>
      <c r="W25" t="str">
        <f>IF(NOT($A25),"",
IF(AQ25=-2,regle!$J$11,
IF(AQ25=regle!$B$12,regle!$B$11,
IF(AQ25=regle!$C$12,regle!$C$11,
IF(AQ25=regle!$D$12,regle!$D$11,
IF(AQ25=regle!$E$12,regle!$E$11,
IF(AQ25=regle!$F$12,regle!$F$11,
IF(AQ25=regle!$G$12,regle!$G$11,
IF(AQ25=regle!$H$12,regle!$H$11,
IF(AQ25=regle!$I$12,regle!$I$11,""))))))))))</f>
        <v/>
      </c>
      <c r="X25" t="str">
        <f>IF(NOT($A25),"",
IF(AR25=-2,regle!$J$11,
IF(AR25=regle!$B$12,regle!$B$11,
IF(AR25=regle!$C$12,regle!$C$11,
IF(AR25=regle!$D$12,regle!$D$11,
IF(AR25=regle!$E$12,regle!$E$11,
IF(AR25=regle!$F$12,regle!$F$11,
IF(AR25=regle!$G$12,regle!$G$11,
IF(AR25=regle!$H$12,regle!$H$11,
IF(AR25=regle!$I$12,regle!$I$11,""))))))))))</f>
        <v/>
      </c>
      <c r="Y25" t="str">
        <f>IF(NOT($A25),"",
IF(AS25=-2,regle!$J$11,
IF(AS25=regle!$B$12,regle!$B$11,
IF(AS25=regle!$C$12,regle!$C$11,
IF(AS25=regle!$D$12,regle!$D$11,
IF(AS25=regle!$E$12,regle!$E$11,
IF(AS25=regle!$F$12,regle!$F$11,
IF(AS25=regle!$G$12,regle!$G$11,
IF(AS25=regle!$H$12,regle!$H$11,
IF(AS25=regle!$I$12,regle!$I$11,""))))))))))</f>
        <v/>
      </c>
      <c r="Z25" t="str">
        <f>IF(NOT($A25),"",
IF(AT25=-2,regle!$J$11,
IF(AT25=regle!$B$12,regle!$B$11,
IF(AT25=regle!$C$12,regle!$C$11,
IF(AT25=regle!$D$12,regle!$D$11,
IF(AT25=regle!$E$12,regle!$E$11,
IF(AT25=regle!$F$12,regle!$F$11,
IF(AT25=regle!$G$12,regle!$G$11,
IF(AT25=regle!$H$12,regle!$H$11,
IF(AT25=regle!$I$12,regle!$I$11,""))))))))))</f>
        <v/>
      </c>
      <c r="AA25" t="str">
        <f>IF(NOT($A25),"",
IF(AU25=-2,regle!$J$11,
IF(AU25=regle!$B$12,regle!$B$11,
IF(AU25=regle!$C$12,regle!$C$11,
IF(AU25=regle!$D$12,regle!$D$11,
IF(AU25=regle!$E$12,regle!$E$11,
IF(AU25=regle!$F$12,regle!$F$11,
IF(AU25=regle!$G$12,regle!$G$11,
IF(AU25=regle!$H$12,regle!$H$11,
IF(AU25=regle!$I$12,regle!$I$11,""))))))))))</f>
        <v>EC1</v>
      </c>
      <c r="AB25" t="str">
        <f>IF(NOT($A25),"",
IF(AV25=-2,regle!$J$11,
IF(AV25=regle!$B$12,regle!$B$11,
IF(AV25=regle!$C$12,regle!$C$11,
IF(AV25=regle!$D$12,regle!$D$11,
IF(AV25=regle!$E$12,regle!$E$11,
IF(AV25=regle!$F$12,regle!$F$11,
IF(AV25=regle!$G$12,regle!$G$11,
IF(AV25=regle!$H$12,regle!$H$11,
IF(AV25=regle!$I$12,regle!$I$11,""))))))))))</f>
        <v/>
      </c>
      <c r="AC25" t="str">
        <f>IF(NOT($A25),"",
IF(AW25=-2,regle!$J$11,
IF(AW25=regle!$B$12,regle!$B$11,
IF(AW25=regle!$C$12,regle!$C$11,
IF(AW25=regle!$D$12,regle!$D$11,
IF(AW25=regle!$E$12,regle!$E$11,
IF(AW25=regle!$F$12,regle!$F$11,
IF(AW25=regle!$G$12,regle!$G$11,
IF(AW25=regle!$H$12,regle!$H$11,
IF(AW25=regle!$I$12,regle!$I$11,""))))))))))</f>
        <v/>
      </c>
      <c r="AD25" t="str">
        <f>IF(NOT($A25),"",
IF(AX25=-2,regle!$J$11,
IF(AX25=regle!$B$12,regle!$B$11,
IF(AX25=regle!$C$12,regle!$C$11,
IF(AX25=regle!$D$12,regle!$D$11,
IF(AX25=regle!$E$12,regle!$E$11,
IF(AX25=regle!$F$12,regle!$F$11,
IF(AX25=regle!$G$12,regle!$G$11,
IF(AX25=regle!$H$12,regle!$H$11,
IF(AX25=regle!$I$12,regle!$I$11,""))))))))))</f>
        <v/>
      </c>
      <c r="AE25" s="14">
        <f>IF($A25,$M25*(IF(U25=regle!$B$11,regle!$B$23,IF(U25=regle!$C$11,regle!$C$23,IF(U25=regle!$D$11,regle!$D$23,IF(U25=regle!$E$11,regle!$E$23,IF(U25=regle!$F$11,regle!$F$23,IF(U25=regle!$G$11,regle!$G$23,IF(U25=regle!$H$11,regle!$H$23,IF(U25=regle!$I$11,regle!$I$23,IF(U25=regle!$J$11,regle!$J$23,0)))))))))))</f>
        <v>0</v>
      </c>
      <c r="AF25" s="14">
        <f>IF($A25,$M25*(IF(V25=regle!$B$11,regle!$B$23,IF(V25=regle!$C$11,regle!$C$23,IF(V25=regle!$D$11,regle!$D$23,IF(V25=regle!$E$11,regle!$E$23,IF(V25=regle!$F$11,regle!$F$23,IF(V25=regle!$G$11,regle!$G$23,IF(V25=regle!$H$11,regle!$H$23,IF(V25=regle!$I$11,regle!$I$23,IF(V25=regle!$J$11,regle!$J$23,0)))))))))))</f>
        <v>-330.24599999999998</v>
      </c>
      <c r="AG25" s="14">
        <f>IF($A25,$M25*(IF(W25=regle!$B$11,regle!$B$23,IF(W25=regle!$C$11,regle!$C$23,IF(W25=regle!$D$11,regle!$D$23,IF(W25=regle!$E$11,regle!$E$23,IF(W25=regle!$F$11,regle!$F$23,IF(W25=regle!$G$11,regle!$G$23,IF(W25=regle!$H$11,regle!$H$23,IF(W25=regle!$I$11,regle!$I$23,IF(W25=regle!$J$11,regle!$J$23,0)))))))))))</f>
        <v>0</v>
      </c>
      <c r="AH25" s="14">
        <f>IF($A25,$M25*(IF(X25=regle!$B$11,regle!$B$23,IF(X25=regle!$C$11,regle!$C$23,IF(X25=regle!$D$11,regle!$D$23,IF(X25=regle!$E$11,regle!$E$23,IF(X25=regle!$F$11,regle!$F$23,IF(X25=regle!$G$11,regle!$G$23,IF(X25=regle!$H$11,regle!$H$23,IF(X25=regle!$I$11,regle!$I$23,IF(X25=regle!$J$11,regle!$J$23,0)))))))))))</f>
        <v>0</v>
      </c>
      <c r="AI25" s="14">
        <f>IF($A25,$M25*(IF(Y25=regle!$B$11,regle!$B$23,IF(Y25=regle!$C$11,regle!$C$23,IF(Y25=regle!$D$11,regle!$D$23,IF(Y25=regle!$E$11,regle!$E$23,IF(Y25=regle!$F$11,regle!$F$23,IF(Y25=regle!$G$11,regle!$G$23,IF(Y25=regle!$H$11,regle!$H$23,IF(Y25=regle!$I$11,regle!$I$23,IF(Y25=regle!$J$11,regle!$J$23,0)))))))))))</f>
        <v>0</v>
      </c>
      <c r="AJ25" s="14">
        <f>IF($A25,$M25*(IF(Z25=regle!$B$11,regle!$B$23,IF(Z25=regle!$C$11,regle!$C$23,IF(Z25=regle!$D$11,regle!$D$23,IF(Z25=regle!$E$11,regle!$E$23,IF(Z25=regle!$F$11,regle!$F$23,IF(Z25=regle!$G$11,regle!$G$23,IF(Z25=regle!$H$11,regle!$H$23,IF(Z25=regle!$I$11,regle!$I$23,IF(Z25=regle!$J$11,regle!$J$23,0)))))))))))</f>
        <v>0</v>
      </c>
      <c r="AK25" s="14">
        <f>IF($A25,$M25*(IF(AA25=regle!$B$11,regle!$B$23,IF(AA25=regle!$C$11,regle!$C$23,IF(AA25=regle!$D$11,regle!$D$23,IF(AA25=regle!$E$11,regle!$E$23,IF(AA25=regle!$F$11,regle!$F$23,IF(AA25=regle!$G$11,regle!$G$23,IF(AA25=regle!$H$11,regle!$H$23,IF(AA25=regle!$I$11,regle!$I$23,IF(AA25=regle!$J$11,regle!$J$23,0)))))))))))</f>
        <v>2113.5744</v>
      </c>
      <c r="AL25" s="14">
        <f>IF($A25,$M25*(IF(AB25=regle!$B$11,regle!$B$23,IF(AB25=regle!$C$11,regle!$C$23,IF(AB25=regle!$D$11,regle!$D$23,IF(AB25=regle!$E$11,regle!$E$23,IF(AB25=regle!$F$11,regle!$F$23,IF(AB25=regle!$G$11,regle!$G$23,IF(AB25=regle!$H$11,regle!$H$23,IF(AB25=regle!$I$11,regle!$I$23,IF(AB25=regle!$J$11,regle!$J$23,0)))))))))))</f>
        <v>0</v>
      </c>
      <c r="AM25" s="14">
        <f>IF($A25,$M25*(IF(AC25=regle!$B$11,regle!$B$23,IF(AC25=regle!$C$11,regle!$C$23,IF(AC25=regle!$D$11,regle!$D$23,IF(AC25=regle!$E$11,regle!$E$23,IF(AC25=regle!$F$11,regle!$F$23,IF(AC25=regle!$G$11,regle!$G$23,IF(AC25=regle!$H$11,regle!$H$23,IF(AC25=regle!$I$11,regle!$I$23,IF(AC25=regle!$J$11,regle!$J$23,0)))))))))))</f>
        <v>0</v>
      </c>
      <c r="AN25" s="14">
        <f>IF($A25,$M25*(IF(AD25=regle!$B$11,regle!$B$23,IF(AD25=regle!$C$11,regle!$C$23,IF(AD25=regle!$D$11,regle!$D$23,IF(AD25=regle!$E$11,regle!$E$23,IF(AD25=regle!$F$11,regle!$F$23,IF(AD25=regle!$G$11,regle!$G$23,IF(AD25=regle!$H$11,regle!$H$23,IF(AD25=regle!$I$11,regle!$I$23,IF(AD25=regle!$J$11,regle!$J$23,0)))))))))))</f>
        <v>0</v>
      </c>
      <c r="AO25">
        <f>IF(AO$1=$AO$1,IF(regle!B$2-$Q25&gt;=regle!$J$12,-2,IF($S25,IF(regle!$B$2-$Q25&gt;=2,0,-1),regle!B$2-$Q25)),IF(AN25+1&gt;=regle!$J$12,-2,AN25+1))</f>
        <v>7</v>
      </c>
      <c r="AP25">
        <f>IF(AP$1=$AO$1,IF(regle!C$2-$Q25&gt;=regle!$J$12,-2,IF($S25,IF(regle!$B$2-$Q25&gt;=2,0,-1),regle!C$2-$Q25)),IF(AO25+1&gt;=regle!$J$12,-2,AO25+1))</f>
        <v>8</v>
      </c>
      <c r="AQ25">
        <f>IF(AQ$1=$AO$1,IF(regle!D$2-$Q25&gt;=regle!$J$12,-2,IF($S25,IF(regle!$B$2-$Q25&gt;=2,0,-1),regle!D$2-$Q25)),IF(AP25+1&gt;=regle!$J$12,-2,AP25+1))</f>
        <v>9</v>
      </c>
      <c r="AR25">
        <f>IF(AR$1=$AO$1,IF(regle!E$2-$Q25&gt;=regle!$J$12,-2,IF($S25,IF(regle!$B$2-$Q25&gt;=2,0,-1),regle!E$2-$Q25)),IF(AQ25+1&gt;=regle!$J$12,-2,AQ25+1))</f>
        <v>10</v>
      </c>
      <c r="AS25">
        <f>IF(AS$1=$AO$1,IF(regle!F$2-$Q25&gt;=regle!$J$12,-2,IF($S25,IF(regle!$B$2-$Q25&gt;=2,0,-1),regle!F$2-$Q25)),IF(AR25+1&gt;=regle!$J$12,-2,AR25+1))</f>
        <v>11</v>
      </c>
      <c r="AT25">
        <f>IF(AT$1=$AO$1,IF(regle!G$2-$Q25&gt;=regle!$J$12,-2,IF($S25,IF(regle!$B$2-$Q25&gt;=2,0,-1),regle!G$2-$Q25)),IF(AS25+1&gt;=regle!$J$12,-2,AS25+1))</f>
        <v>12</v>
      </c>
      <c r="AU25">
        <f>IF(AU$1=$AO$1,IF(regle!H$2-$Q25&gt;=regle!$J$12,-2,IF($S25,IF(regle!$B$2-$Q25&gt;=2,0,-1),regle!H$2-$Q25)),IF(AT25+1&gt;=regle!$J$12,-2,AT25+1))</f>
        <v>13</v>
      </c>
      <c r="AV25">
        <f>IF(AV$1=$AO$1,IF(regle!I$2-$Q25&gt;=regle!$J$12,-2,IF($S25,IF(regle!$B$2-$Q25&gt;=2,0,-1),regle!I$2-$Q25)),IF(AU25+1&gt;=regle!$J$12,-2,AU25+1))</f>
        <v>14</v>
      </c>
      <c r="AW25">
        <f>IF(AW$1=$AO$1,IF(regle!J$2-$Q25&gt;=regle!$J$12,-2,IF($S25,IF(regle!$B$2-$Q25&gt;=2,0,-1),regle!J$2-$Q25)),IF(AV25+1&gt;=regle!$J$12,-2,AV25+1))</f>
        <v>15</v>
      </c>
      <c r="AX25">
        <f>IF(AX$1=$AO$1,IF(regle!K$2-$Q25&gt;=regle!$J$12,-2,IF($S25,IF(regle!$B$2-$Q25&gt;=2,0,-1),regle!K$2-$Q25)),IF(AW25+1&gt;=regle!$J$12,-2,AW25+1))</f>
        <v>16</v>
      </c>
    </row>
    <row r="26" spans="1:50" x14ac:dyDescent="0.25">
      <c r="A26" t="b">
        <f>AND(modif0[[#This Row],[cdstr]]&lt;&gt;0,OR(regle!$H$27=FALSE,modif0[[#This Row],[essnc]]="PM"))</f>
        <v>1</v>
      </c>
      <c r="B26">
        <f>ROW(objet!A33)</f>
        <v>33</v>
      </c>
      <c r="C26" s="10" t="str">
        <f>objet!D33</f>
        <v>2020000A0408</v>
      </c>
      <c r="D26" t="str">
        <f>LEFT(modif0[[#This Row],[cdstr]],3)</f>
        <v>202</v>
      </c>
      <c r="E26" s="10" t="str">
        <f>objet!G33</f>
        <v>HOSTENS</v>
      </c>
      <c r="F26">
        <f>LEN(modif0[[#This Row],[l_dt]])</f>
        <v>7</v>
      </c>
      <c r="G26" s="10" t="str">
        <f>objet!H33</f>
        <v>HAUDOUA</v>
      </c>
      <c r="H26" s="10" t="str">
        <f>objet!C33</f>
        <v>A408</v>
      </c>
      <c r="I26" t="str">
        <f>IF(ISNUMBER(VALUE(RIGHT(LEFT(modif0[[#This Row],[idntfn]],2),1))),_xlfn.CONCAT(0,LEFT(modif0[[#This Row],[idntfn]],1)),LEFT(modif0[[#This Row],[idntfn]],2))</f>
        <v>0A</v>
      </c>
      <c r="J26">
        <f>VALUE(LEFT(RIGHT(modif0[[#This Row],[idntfn]],LEN(modif0[[#This Row],[idntfn]])-IF(LEFT(modif0[[#This Row],[sctn]],1)="0",1,2)),LEN(modif0[[#This Row],[idntfn]])-IF(LEFT(modif0[[#This Row],[sctn]],1)="0",1,2)-LEN(modif0[[#This Row],[lttr]])))</f>
        <v>408</v>
      </c>
      <c r="K26" t="str">
        <f>IF(ISNUMBER(VALUE(RIGHT(modif0[[#This Row],[idntfn]],1))),"",IF(ISNUMBER(VALUE(LEFT(RIGHT(modif0[[#This Row],[idntfn]],2),1))),RIGHT(modif0[[#This Row],[idntfn]],1),RIGHT(modif0[[#This Row],[idntfn]],2)))</f>
        <v/>
      </c>
      <c r="L26" s="10">
        <f>objet!I33</f>
        <v>16405</v>
      </c>
      <c r="M26" s="11">
        <f>modif0[[#This Row],[srfc]]/10000</f>
        <v>1.6405000000000001</v>
      </c>
      <c r="N26" s="10" t="str">
        <f>objet!Z33</f>
        <v>PM</v>
      </c>
      <c r="O26" s="10" t="str">
        <f>objet!AA33</f>
        <v>CR2022</v>
      </c>
      <c r="P26" t="str">
        <f>IF(ISNUMBER(modif0[[#This Row],[trvx]]),"",LEFT(modif0[[#This Row],[trvx]],LEN(modif0[[#This Row],[trvx]])-4))</f>
        <v>CR</v>
      </c>
      <c r="Q26">
        <f>VALUE(RIGHT(modif0[[#This Row],[trvx]],4))</f>
        <v>2022</v>
      </c>
      <c r="R26" t="str">
        <f>_xlfn.CONCAT(modif0[[#This Row],[tp]],"-",modif0[[#This Row],[essnc]],"_",modif0[[#This Row],[anns]])</f>
        <v>CR-PM_2022</v>
      </c>
      <c r="S26" t="b">
        <f>modif0[[#This Row],[tp]]="CR"</f>
        <v>1</v>
      </c>
      <c r="T26">
        <v>40</v>
      </c>
      <c r="U26" t="str">
        <f>IF(NOT($A26),"",
IF(AO26=-2,regle!$J$11,
IF(AO26=regle!$B$12,regle!$B$11,
IF(AO26=regle!$C$12,regle!$C$11,
IF(AO26=regle!$D$12,regle!$D$11,
IF(AO26=regle!$E$12,regle!$E$11,
IF(AO26=regle!$F$12,regle!$F$11,
IF(AO26=regle!$G$12,regle!$G$11,
IF(AO26=regle!$H$12,regle!$H$11,
IF(AO26=regle!$I$12,regle!$I$11,""))))))))))</f>
        <v>RBST</v>
      </c>
      <c r="V26" t="str">
        <f>IF(NOT($A26),"",
IF(AP26=-2,regle!$J$11,
IF(AP26=regle!$B$12,regle!$B$11,
IF(AP26=regle!$C$12,regle!$C$11,
IF(AP26=regle!$D$12,regle!$D$11,
IF(AP26=regle!$E$12,regle!$E$11,
IF(AP26=regle!$F$12,regle!$F$11,
IF(AP26=regle!$G$12,regle!$G$11,
IF(AP26=regle!$H$12,regle!$H$11,
IF(AP26=regle!$I$12,regle!$I$11,""))))))))))</f>
        <v/>
      </c>
      <c r="W26" t="str">
        <f>IF(NOT($A26),"",
IF(AQ26=-2,regle!$J$11,
IF(AQ26=regle!$B$12,regle!$B$11,
IF(AQ26=regle!$C$12,regle!$C$11,
IF(AQ26=regle!$D$12,regle!$D$11,
IF(AQ26=regle!$E$12,regle!$E$11,
IF(AQ26=regle!$F$12,regle!$F$11,
IF(AQ26=regle!$G$12,regle!$G$11,
IF(AQ26=regle!$H$12,regle!$H$11,
IF(AQ26=regle!$I$12,regle!$I$11,""))))))))))</f>
        <v>DGT</v>
      </c>
      <c r="X26" t="str">
        <f>IF(NOT($A26),"",
IF(AR26=-2,regle!$J$11,
IF(AR26=regle!$B$12,regle!$B$11,
IF(AR26=regle!$C$12,regle!$C$11,
IF(AR26=regle!$D$12,regle!$D$11,
IF(AR26=regle!$E$12,regle!$E$11,
IF(AR26=regle!$F$12,regle!$F$11,
IF(AR26=regle!$G$12,regle!$G$11,
IF(AR26=regle!$H$12,regle!$H$11,
IF(AR26=regle!$I$12,regle!$I$11,""))))))))))</f>
        <v/>
      </c>
      <c r="Y26" t="str">
        <f>IF(NOT($A26),"",
IF(AS26=-2,regle!$J$11,
IF(AS26=regle!$B$12,regle!$B$11,
IF(AS26=regle!$C$12,regle!$C$11,
IF(AS26=regle!$D$12,regle!$D$11,
IF(AS26=regle!$E$12,regle!$E$11,
IF(AS26=regle!$F$12,regle!$F$11,
IF(AS26=regle!$G$12,regle!$G$11,
IF(AS26=regle!$H$12,regle!$H$11,
IF(AS26=regle!$I$12,regle!$I$11,""))))))))))</f>
        <v/>
      </c>
      <c r="Z26" t="str">
        <f>IF(NOT($A26),"",
IF(AT26=-2,regle!$J$11,
IF(AT26=regle!$B$12,regle!$B$11,
IF(AT26=regle!$C$12,regle!$C$11,
IF(AT26=regle!$D$12,regle!$D$11,
IF(AT26=regle!$E$12,regle!$E$11,
IF(AT26=regle!$F$12,regle!$F$11,
IF(AT26=regle!$G$12,regle!$G$11,
IF(AT26=regle!$H$12,regle!$H$11,
IF(AT26=regle!$I$12,regle!$I$11,""))))))))))</f>
        <v>ENT1</v>
      </c>
      <c r="AA26" t="str">
        <f>IF(NOT($A26),"",
IF(AU26=-2,regle!$J$11,
IF(AU26=regle!$B$12,regle!$B$11,
IF(AU26=regle!$C$12,regle!$C$11,
IF(AU26=regle!$D$12,regle!$D$11,
IF(AU26=regle!$E$12,regle!$E$11,
IF(AU26=regle!$F$12,regle!$F$11,
IF(AU26=regle!$G$12,regle!$G$11,
IF(AU26=regle!$H$12,regle!$H$11,
IF(AU26=regle!$I$12,regle!$I$11,""))))))))))</f>
        <v/>
      </c>
      <c r="AB26" t="str">
        <f>IF(NOT($A26),"",
IF(AV26=-2,regle!$J$11,
IF(AV26=regle!$B$12,regle!$B$11,
IF(AV26=regle!$C$12,regle!$C$11,
IF(AV26=regle!$D$12,regle!$D$11,
IF(AV26=regle!$E$12,regle!$E$11,
IF(AV26=regle!$F$12,regle!$F$11,
IF(AV26=regle!$G$12,regle!$G$11,
IF(AV26=regle!$H$12,regle!$H$11,
IF(AV26=regle!$I$12,regle!$I$11,""))))))))))</f>
        <v/>
      </c>
      <c r="AC26" t="str">
        <f>IF(NOT($A26),"",
IF(AW26=-2,regle!$J$11,
IF(AW26=regle!$B$12,regle!$B$11,
IF(AW26=regle!$C$12,regle!$C$11,
IF(AW26=regle!$D$12,regle!$D$11,
IF(AW26=regle!$E$12,regle!$E$11,
IF(AW26=regle!$F$12,regle!$F$11,
IF(AW26=regle!$G$12,regle!$G$11,
IF(AW26=regle!$H$12,regle!$H$11,
IF(AW26=regle!$I$12,regle!$I$11,""))))))))))</f>
        <v>ENT2</v>
      </c>
      <c r="AD26" t="str">
        <f>IF(NOT($A26),"",
IF(AX26=-2,regle!$J$11,
IF(AX26=regle!$B$12,regle!$B$11,
IF(AX26=regle!$C$12,regle!$C$11,
IF(AX26=regle!$D$12,regle!$D$11,
IF(AX26=regle!$E$12,regle!$E$11,
IF(AX26=regle!$F$12,regle!$F$11,
IF(AX26=regle!$G$12,regle!$G$11,
IF(AX26=regle!$H$12,regle!$H$11,
IF(AX26=regle!$I$12,regle!$I$11,""))))))))))</f>
        <v/>
      </c>
      <c r="AE26" s="14">
        <f>IF($A26,$M26*(IF(U26=regle!$B$11,regle!$B$23,IF(U26=regle!$C$11,regle!$C$23,IF(U26=regle!$D$11,regle!$D$23,IF(U26=regle!$E$11,regle!$E$23,IF(U26=regle!$F$11,regle!$F$23,IF(U26=regle!$G$11,regle!$G$23,IF(U26=regle!$H$11,regle!$H$23,IF(U26=regle!$I$11,regle!$I$23,IF(U26=regle!$J$11,regle!$J$23,0)))))))))))</f>
        <v>-2788.85</v>
      </c>
      <c r="AF26" s="14">
        <f>IF($A26,$M26*(IF(V26=regle!$B$11,regle!$B$23,IF(V26=regle!$C$11,regle!$C$23,IF(V26=regle!$D$11,regle!$D$23,IF(V26=regle!$E$11,regle!$E$23,IF(V26=regle!$F$11,regle!$F$23,IF(V26=regle!$G$11,regle!$G$23,IF(V26=regle!$H$11,regle!$H$23,IF(V26=regle!$I$11,regle!$I$23,IF(V26=regle!$J$11,regle!$J$23,0)))))))))))</f>
        <v>0</v>
      </c>
      <c r="AG26" s="14">
        <f>IF($A26,$M26*(IF(W26=regle!$B$11,regle!$B$23,IF(W26=regle!$C$11,regle!$C$23,IF(W26=regle!$D$11,regle!$D$23,IF(W26=regle!$E$11,regle!$E$23,IF(W26=regle!$F$11,regle!$F$23,IF(W26=regle!$G$11,regle!$G$23,IF(W26=regle!$H$11,regle!$H$23,IF(W26=regle!$I$11,regle!$I$23,IF(W26=regle!$J$11,regle!$J$23,0)))))))))))</f>
        <v>-123.03750000000001</v>
      </c>
      <c r="AH26" s="14">
        <f>IF($A26,$M26*(IF(X26=regle!$B$11,regle!$B$23,IF(X26=regle!$C$11,regle!$C$23,IF(X26=regle!$D$11,regle!$D$23,IF(X26=regle!$E$11,regle!$E$23,IF(X26=regle!$F$11,regle!$F$23,IF(X26=regle!$G$11,regle!$G$23,IF(X26=regle!$H$11,regle!$H$23,IF(X26=regle!$I$11,regle!$I$23,IF(X26=regle!$J$11,regle!$J$23,0)))))))))))</f>
        <v>0</v>
      </c>
      <c r="AI26" s="14">
        <f>IF($A26,$M26*(IF(Y26=regle!$B$11,regle!$B$23,IF(Y26=regle!$C$11,regle!$C$23,IF(Y26=regle!$D$11,regle!$D$23,IF(Y26=regle!$E$11,regle!$E$23,IF(Y26=regle!$F$11,regle!$F$23,IF(Y26=regle!$G$11,regle!$G$23,IF(Y26=regle!$H$11,regle!$H$23,IF(Y26=regle!$I$11,regle!$I$23,IF(Y26=regle!$J$11,regle!$J$23,0)))))))))))</f>
        <v>0</v>
      </c>
      <c r="AJ26" s="14">
        <f>IF($A26,$M26*(IF(Z26=regle!$B$11,regle!$B$23,IF(Z26=regle!$C$11,regle!$C$23,IF(Z26=regle!$D$11,regle!$D$23,IF(Z26=regle!$E$11,regle!$E$23,IF(Z26=regle!$F$11,regle!$F$23,IF(Z26=regle!$G$11,regle!$G$23,IF(Z26=regle!$H$11,regle!$H$23,IF(Z26=regle!$I$11,regle!$I$23,IF(Z26=regle!$J$11,regle!$J$23,0)))))))))))</f>
        <v>-147.64500000000001</v>
      </c>
      <c r="AK26" s="14">
        <f>IF($A26,$M26*(IF(AA26=regle!$B$11,regle!$B$23,IF(AA26=regle!$C$11,regle!$C$23,IF(AA26=regle!$D$11,regle!$D$23,IF(AA26=regle!$E$11,regle!$E$23,IF(AA26=regle!$F$11,regle!$F$23,IF(AA26=regle!$G$11,regle!$G$23,IF(AA26=regle!$H$11,regle!$H$23,IF(AA26=regle!$I$11,regle!$I$23,IF(AA26=regle!$J$11,regle!$J$23,0)))))))))))</f>
        <v>0</v>
      </c>
      <c r="AL26" s="14">
        <f>IF($A26,$M26*(IF(AB26=regle!$B$11,regle!$B$23,IF(AB26=regle!$C$11,regle!$C$23,IF(AB26=regle!$D$11,regle!$D$23,IF(AB26=regle!$E$11,regle!$E$23,IF(AB26=regle!$F$11,regle!$F$23,IF(AB26=regle!$G$11,regle!$G$23,IF(AB26=regle!$H$11,regle!$H$23,IF(AB26=regle!$I$11,regle!$I$23,IF(AB26=regle!$J$11,regle!$J$23,0)))))))))))</f>
        <v>0</v>
      </c>
      <c r="AM26" s="14">
        <f>IF($A26,$M26*(IF(AC26=regle!$B$11,regle!$B$23,IF(AC26=regle!$C$11,regle!$C$23,IF(AC26=regle!$D$11,regle!$D$23,IF(AC26=regle!$E$11,regle!$E$23,IF(AC26=regle!$F$11,regle!$F$23,IF(AC26=regle!$G$11,regle!$G$23,IF(AC26=regle!$H$11,regle!$H$23,IF(AC26=regle!$I$11,regle!$I$23,IF(AC26=regle!$J$11,regle!$J$23,0)))))))))))</f>
        <v>-147.64500000000001</v>
      </c>
      <c r="AN26" s="14">
        <f>IF($A26,$M26*(IF(AD26=regle!$B$11,regle!$B$23,IF(AD26=regle!$C$11,regle!$C$23,IF(AD26=regle!$D$11,regle!$D$23,IF(AD26=regle!$E$11,regle!$E$23,IF(AD26=regle!$F$11,regle!$F$23,IF(AD26=regle!$G$11,regle!$G$23,IF(AD26=regle!$H$11,regle!$H$23,IF(AD26=regle!$I$11,regle!$I$23,IF(AD26=regle!$J$11,regle!$J$23,0)))))))))))</f>
        <v>0</v>
      </c>
      <c r="AO26">
        <f>IF(AO$1=$AO$1,IF(regle!B$2-$Q26&gt;=regle!$J$12,-2,IF($S26,IF(regle!$B$2-$Q26&gt;=2,0,-1),regle!B$2-$Q26)),IF(AN26+1&gt;=regle!$J$12,-2,AN26+1))</f>
        <v>0</v>
      </c>
      <c r="AP26">
        <f>IF(AP$1=$AO$1,IF(regle!C$2-$Q26&gt;=regle!$J$12,-2,IF($S26,IF(regle!$B$2-$Q26&gt;=2,0,-1),regle!C$2-$Q26)),IF(AO26+1&gt;=regle!$J$12,-2,AO26+1))</f>
        <v>1</v>
      </c>
      <c r="AQ26">
        <f>IF(AQ$1=$AO$1,IF(regle!D$2-$Q26&gt;=regle!$J$12,-2,IF($S26,IF(regle!$B$2-$Q26&gt;=2,0,-1),regle!D$2-$Q26)),IF(AP26+1&gt;=regle!$J$12,-2,AP26+1))</f>
        <v>2</v>
      </c>
      <c r="AR26">
        <f>IF(AR$1=$AO$1,IF(regle!E$2-$Q26&gt;=regle!$J$12,-2,IF($S26,IF(regle!$B$2-$Q26&gt;=2,0,-1),regle!E$2-$Q26)),IF(AQ26+1&gt;=regle!$J$12,-2,AQ26+1))</f>
        <v>3</v>
      </c>
      <c r="AS26">
        <f>IF(AS$1=$AO$1,IF(regle!F$2-$Q26&gt;=regle!$J$12,-2,IF($S26,IF(regle!$B$2-$Q26&gt;=2,0,-1),regle!F$2-$Q26)),IF(AR26+1&gt;=regle!$J$12,-2,AR26+1))</f>
        <v>4</v>
      </c>
      <c r="AT26">
        <f>IF(AT$1=$AO$1,IF(regle!G$2-$Q26&gt;=regle!$J$12,-2,IF($S26,IF(regle!$B$2-$Q26&gt;=2,0,-1),regle!G$2-$Q26)),IF(AS26+1&gt;=regle!$J$12,-2,AS26+1))</f>
        <v>5</v>
      </c>
      <c r="AU26">
        <f>IF(AU$1=$AO$1,IF(regle!H$2-$Q26&gt;=regle!$J$12,-2,IF($S26,IF(regle!$B$2-$Q26&gt;=2,0,-1),regle!H$2-$Q26)),IF(AT26+1&gt;=regle!$J$12,-2,AT26+1))</f>
        <v>6</v>
      </c>
      <c r="AV26">
        <f>IF(AV$1=$AO$1,IF(regle!I$2-$Q26&gt;=regle!$J$12,-2,IF($S26,IF(regle!$B$2-$Q26&gt;=2,0,-1),regle!I$2-$Q26)),IF(AU26+1&gt;=regle!$J$12,-2,AU26+1))</f>
        <v>7</v>
      </c>
      <c r="AW26">
        <f>IF(AW$1=$AO$1,IF(regle!J$2-$Q26&gt;=regle!$J$12,-2,IF($S26,IF(regle!$B$2-$Q26&gt;=2,0,-1),regle!J$2-$Q26)),IF(AV26+1&gt;=regle!$J$12,-2,AV26+1))</f>
        <v>8</v>
      </c>
      <c r="AX26">
        <f>IF(AX$1=$AO$1,IF(regle!K$2-$Q26&gt;=regle!$J$12,-2,IF($S26,IF(regle!$B$2-$Q26&gt;=2,0,-1),regle!K$2-$Q26)),IF(AW26+1&gt;=regle!$J$12,-2,AW26+1))</f>
        <v>9</v>
      </c>
    </row>
    <row r="27" spans="1:50" x14ac:dyDescent="0.25">
      <c r="A27" t="b">
        <f>AND(modif0[[#This Row],[cdstr]]&lt;&gt;0,OR(regle!$H$27=FALSE,modif0[[#This Row],[essnc]]="PM"))</f>
        <v>1</v>
      </c>
      <c r="B27">
        <f>ROW(objet!A34)</f>
        <v>34</v>
      </c>
      <c r="C27" s="10" t="str">
        <f>objet!D34</f>
        <v>5360000A0408</v>
      </c>
      <c r="D27" t="str">
        <f>LEFT(modif0[[#This Row],[cdstr]],3)</f>
        <v>536</v>
      </c>
      <c r="E27" s="10" t="str">
        <f>objet!G34</f>
        <v>LE TUZAN</v>
      </c>
      <c r="F27">
        <f>LEN(modif0[[#This Row],[l_dt]])</f>
        <v>21</v>
      </c>
      <c r="G27" s="10" t="str">
        <f>objet!H34</f>
        <v>METAIRIES DE TABARTON</v>
      </c>
      <c r="H27" s="10" t="str">
        <f>objet!C34</f>
        <v>A408j</v>
      </c>
      <c r="I27" t="str">
        <f>IF(ISNUMBER(VALUE(RIGHT(LEFT(modif0[[#This Row],[idntfn]],2),1))),_xlfn.CONCAT(0,LEFT(modif0[[#This Row],[idntfn]],1)),LEFT(modif0[[#This Row],[idntfn]],2))</f>
        <v>0A</v>
      </c>
      <c r="J27">
        <f>VALUE(LEFT(RIGHT(modif0[[#This Row],[idntfn]],LEN(modif0[[#This Row],[idntfn]])-IF(LEFT(modif0[[#This Row],[sctn]],1)="0",1,2)),LEN(modif0[[#This Row],[idntfn]])-IF(LEFT(modif0[[#This Row],[sctn]],1)="0",1,2)-LEN(modif0[[#This Row],[lttr]])))</f>
        <v>408</v>
      </c>
      <c r="K27" t="str">
        <f>IF(ISNUMBER(VALUE(RIGHT(modif0[[#This Row],[idntfn]],1))),"",IF(ISNUMBER(VALUE(LEFT(RIGHT(modif0[[#This Row],[idntfn]],2),1))),RIGHT(modif0[[#This Row],[idntfn]],1),RIGHT(modif0[[#This Row],[idntfn]],2)))</f>
        <v>j</v>
      </c>
      <c r="L27" s="10">
        <f>objet!I34</f>
        <v>15445</v>
      </c>
      <c r="M27" s="11">
        <f>modif0[[#This Row],[srfc]]/10000</f>
        <v>1.5445</v>
      </c>
      <c r="N27" s="10" t="str">
        <f>objet!Z34</f>
        <v>PM</v>
      </c>
      <c r="O27" s="10" t="str">
        <f>objet!AA34</f>
        <v>PLA2005</v>
      </c>
      <c r="P27" t="str">
        <f>IF(ISNUMBER(modif0[[#This Row],[trvx]]),"",LEFT(modif0[[#This Row],[trvx]],LEN(modif0[[#This Row],[trvx]])-4))</f>
        <v>PLA</v>
      </c>
      <c r="Q27">
        <f>VALUE(RIGHT(modif0[[#This Row],[trvx]],4))</f>
        <v>2005</v>
      </c>
      <c r="R27" t="str">
        <f>_xlfn.CONCAT(modif0[[#This Row],[tp]],"-",modif0[[#This Row],[essnc]],"_",modif0[[#This Row],[anns]])</f>
        <v>PLA-PM_2005</v>
      </c>
      <c r="S27" t="b">
        <f>modif0[[#This Row],[tp]]="CR"</f>
        <v>0</v>
      </c>
      <c r="T27">
        <v>40</v>
      </c>
      <c r="U27" t="str">
        <f>IF(NOT($A27),"",
IF(AO27=-2,regle!$J$11,
IF(AO27=regle!$B$12,regle!$B$11,
IF(AO27=regle!$C$12,regle!$C$11,
IF(AO27=regle!$D$12,regle!$D$11,
IF(AO27=regle!$E$12,regle!$E$11,
IF(AO27=regle!$F$12,regle!$F$11,
IF(AO27=regle!$G$12,regle!$G$11,
IF(AO27=regle!$H$12,regle!$H$11,
IF(AO27=regle!$I$12,regle!$I$11,""))))))))))</f>
        <v/>
      </c>
      <c r="V27" t="str">
        <f>IF(NOT($A27),"",
IF(AP27=-2,regle!$J$11,
IF(AP27=regle!$B$12,regle!$B$11,
IF(AP27=regle!$C$12,regle!$C$11,
IF(AP27=regle!$D$12,regle!$D$11,
IF(AP27=regle!$E$12,regle!$E$11,
IF(AP27=regle!$F$12,regle!$F$11,
IF(AP27=regle!$G$12,regle!$G$11,
IF(AP27=regle!$H$12,regle!$H$11,
IF(AP27=regle!$I$12,regle!$I$11,""))))))))))</f>
        <v/>
      </c>
      <c r="W27" t="str">
        <f>IF(NOT($A27),"",
IF(AQ27=-2,regle!$J$11,
IF(AQ27=regle!$B$12,regle!$B$11,
IF(AQ27=regle!$C$12,regle!$C$11,
IF(AQ27=regle!$D$12,regle!$D$11,
IF(AQ27=regle!$E$12,regle!$E$11,
IF(AQ27=regle!$F$12,regle!$F$11,
IF(AQ27=regle!$G$12,regle!$G$11,
IF(AQ27=regle!$H$12,regle!$H$11,
IF(AQ27=regle!$I$12,regle!$I$11,""))))))))))</f>
        <v/>
      </c>
      <c r="X27" t="str">
        <f>IF(NOT($A27),"",
IF(AR27=-2,regle!$J$11,
IF(AR27=regle!$B$12,regle!$B$11,
IF(AR27=regle!$C$12,regle!$C$11,
IF(AR27=regle!$D$12,regle!$D$11,
IF(AR27=regle!$E$12,regle!$E$11,
IF(AR27=regle!$F$12,regle!$F$11,
IF(AR27=regle!$G$12,regle!$G$11,
IF(AR27=regle!$H$12,regle!$H$11,
IF(AR27=regle!$I$12,regle!$I$11,""))))))))))</f>
        <v/>
      </c>
      <c r="Y27" t="str">
        <f>IF(NOT($A27),"",
IF(AS27=-2,regle!$J$11,
IF(AS27=regle!$B$12,regle!$B$11,
IF(AS27=regle!$C$12,regle!$C$11,
IF(AS27=regle!$D$12,regle!$D$11,
IF(AS27=regle!$E$12,regle!$E$11,
IF(AS27=regle!$F$12,regle!$F$11,
IF(AS27=regle!$G$12,regle!$G$11,
IF(AS27=regle!$H$12,regle!$H$11,
IF(AS27=regle!$I$12,regle!$I$11,""))))))))))</f>
        <v>EC3</v>
      </c>
      <c r="Z27" t="str">
        <f>IF(NOT($A27),"",
IF(AT27=-2,regle!$J$11,
IF(AT27=regle!$B$12,regle!$B$11,
IF(AT27=regle!$C$12,regle!$C$11,
IF(AT27=regle!$D$12,regle!$D$11,
IF(AT27=regle!$E$12,regle!$E$11,
IF(AT27=regle!$F$12,regle!$F$11,
IF(AT27=regle!$G$12,regle!$G$11,
IF(AT27=regle!$H$12,regle!$H$11,
IF(AT27=regle!$I$12,regle!$I$11,""))))))))))</f>
        <v/>
      </c>
      <c r="AA27" t="str">
        <f>IF(NOT($A27),"",
IF(AU27=-2,regle!$J$11,
IF(AU27=regle!$B$12,regle!$B$11,
IF(AU27=regle!$C$12,regle!$C$11,
IF(AU27=regle!$D$12,regle!$D$11,
IF(AU27=regle!$E$12,regle!$E$11,
IF(AU27=regle!$F$12,regle!$F$11,
IF(AU27=regle!$G$12,regle!$G$11,
IF(AU27=regle!$H$12,regle!$H$11,
IF(AU27=regle!$I$12,regle!$I$11,""))))))))))</f>
        <v/>
      </c>
      <c r="AB27" t="str">
        <f>IF(NOT($A27),"",
IF(AV27=-2,regle!$J$11,
IF(AV27=regle!$B$12,regle!$B$11,
IF(AV27=regle!$C$12,regle!$C$11,
IF(AV27=regle!$D$12,regle!$D$11,
IF(AV27=regle!$E$12,regle!$E$11,
IF(AV27=regle!$F$12,regle!$F$11,
IF(AV27=regle!$G$12,regle!$G$11,
IF(AV27=regle!$H$12,regle!$H$11,
IF(AV27=regle!$I$12,regle!$I$11,""))))))))))</f>
        <v/>
      </c>
      <c r="AC27" t="str">
        <f>IF(NOT($A27),"",
IF(AW27=-2,regle!$J$11,
IF(AW27=regle!$B$12,regle!$B$11,
IF(AW27=regle!$C$12,regle!$C$11,
IF(AW27=regle!$D$12,regle!$D$11,
IF(AW27=regle!$E$12,regle!$E$11,
IF(AW27=regle!$F$12,regle!$F$11,
IF(AW27=regle!$G$12,regle!$G$11,
IF(AW27=regle!$H$12,regle!$H$11,
IF(AW27=regle!$I$12,regle!$I$11,""))))))))))</f>
        <v/>
      </c>
      <c r="AD27" t="str">
        <f>IF(NOT($A27),"",
IF(AX27=-2,regle!$J$11,
IF(AX27=regle!$B$12,regle!$B$11,
IF(AX27=regle!$C$12,regle!$C$11,
IF(AX27=regle!$D$12,regle!$D$11,
IF(AX27=regle!$E$12,regle!$E$11,
IF(AX27=regle!$F$12,regle!$F$11,
IF(AX27=regle!$G$12,regle!$G$11,
IF(AX27=regle!$H$12,regle!$H$11,
IF(AX27=regle!$I$12,regle!$I$11,""))))))))))</f>
        <v>EC4</v>
      </c>
      <c r="AE27" s="14">
        <f>IF($A27,$M27*(IF(U27=regle!$B$11,regle!$B$23,IF(U27=regle!$C$11,regle!$C$23,IF(U27=regle!$D$11,regle!$D$23,IF(U27=regle!$E$11,regle!$E$23,IF(U27=regle!$F$11,regle!$F$23,IF(U27=regle!$G$11,regle!$G$23,IF(U27=regle!$H$11,regle!$H$23,IF(U27=regle!$I$11,regle!$I$23,IF(U27=regle!$J$11,regle!$J$23,0)))))))))))</f>
        <v>0</v>
      </c>
      <c r="AF27" s="14">
        <f>IF($A27,$M27*(IF(V27=regle!$B$11,regle!$B$23,IF(V27=regle!$C$11,regle!$C$23,IF(V27=regle!$D$11,regle!$D$23,IF(V27=regle!$E$11,regle!$E$23,IF(V27=regle!$F$11,regle!$F$23,IF(V27=regle!$G$11,regle!$G$23,IF(V27=regle!$H$11,regle!$H$23,IF(V27=regle!$I$11,regle!$I$23,IF(V27=regle!$J$11,regle!$J$23,0)))))))))))</f>
        <v>0</v>
      </c>
      <c r="AG27" s="14">
        <f>IF($A27,$M27*(IF(W27=regle!$B$11,regle!$B$23,IF(W27=regle!$C$11,regle!$C$23,IF(W27=regle!$D$11,regle!$D$23,IF(W27=regle!$E$11,regle!$E$23,IF(W27=regle!$F$11,regle!$F$23,IF(W27=regle!$G$11,regle!$G$23,IF(W27=regle!$H$11,regle!$H$23,IF(W27=regle!$I$11,regle!$I$23,IF(W27=regle!$J$11,regle!$J$23,0)))))))))))</f>
        <v>0</v>
      </c>
      <c r="AH27" s="14">
        <f>IF($A27,$M27*(IF(X27=regle!$B$11,regle!$B$23,IF(X27=regle!$C$11,regle!$C$23,IF(X27=regle!$D$11,regle!$D$23,IF(X27=regle!$E$11,regle!$E$23,IF(X27=regle!$F$11,regle!$F$23,IF(X27=regle!$G$11,regle!$G$23,IF(X27=regle!$H$11,regle!$H$23,IF(X27=regle!$I$11,regle!$I$23,IF(X27=regle!$J$11,regle!$J$23,0)))))))))))</f>
        <v>0</v>
      </c>
      <c r="AI27" s="14">
        <f>IF($A27,$M27*(IF(Y27=regle!$B$11,regle!$B$23,IF(Y27=regle!$C$11,regle!$C$23,IF(Y27=regle!$D$11,regle!$D$23,IF(Y27=regle!$E$11,regle!$E$23,IF(Y27=regle!$F$11,regle!$F$23,IF(Y27=regle!$G$11,regle!$G$23,IF(Y27=regle!$H$11,regle!$H$23,IF(Y27=regle!$I$11,regle!$I$23,IF(Y27=regle!$J$11,regle!$J$23,0)))))))))))</f>
        <v>2174.6559999999999</v>
      </c>
      <c r="AJ27" s="14">
        <f>IF($A27,$M27*(IF(Z27=regle!$B$11,regle!$B$23,IF(Z27=regle!$C$11,regle!$C$23,IF(Z27=regle!$D$11,regle!$D$23,IF(Z27=regle!$E$11,regle!$E$23,IF(Z27=regle!$F$11,regle!$F$23,IF(Z27=regle!$G$11,regle!$G$23,IF(Z27=regle!$H$11,regle!$H$23,IF(Z27=regle!$I$11,regle!$I$23,IF(Z27=regle!$J$11,regle!$J$23,0)))))))))))</f>
        <v>0</v>
      </c>
      <c r="AK27" s="14">
        <f>IF($A27,$M27*(IF(AA27=regle!$B$11,regle!$B$23,IF(AA27=regle!$C$11,regle!$C$23,IF(AA27=regle!$D$11,regle!$D$23,IF(AA27=regle!$E$11,regle!$E$23,IF(AA27=regle!$F$11,regle!$F$23,IF(AA27=regle!$G$11,regle!$G$23,IF(AA27=regle!$H$11,regle!$H$23,IF(AA27=regle!$I$11,regle!$I$23,IF(AA27=regle!$J$11,regle!$J$23,0)))))))))))</f>
        <v>0</v>
      </c>
      <c r="AL27" s="14">
        <f>IF($A27,$M27*(IF(AB27=regle!$B$11,regle!$B$23,IF(AB27=regle!$C$11,regle!$C$23,IF(AB27=regle!$D$11,regle!$D$23,IF(AB27=regle!$E$11,regle!$E$23,IF(AB27=regle!$F$11,regle!$F$23,IF(AB27=regle!$G$11,regle!$G$23,IF(AB27=regle!$H$11,regle!$H$23,IF(AB27=regle!$I$11,regle!$I$23,IF(AB27=regle!$J$11,regle!$J$23,0)))))))))))</f>
        <v>0</v>
      </c>
      <c r="AM27" s="14">
        <f>IF($A27,$M27*(IF(AC27=regle!$B$11,regle!$B$23,IF(AC27=regle!$C$11,regle!$C$23,IF(AC27=regle!$D$11,regle!$D$23,IF(AC27=regle!$E$11,regle!$E$23,IF(AC27=regle!$F$11,regle!$F$23,IF(AC27=regle!$G$11,regle!$G$23,IF(AC27=regle!$H$11,regle!$H$23,IF(AC27=regle!$I$11,regle!$I$23,IF(AC27=regle!$J$11,regle!$J$23,0)))))))))))</f>
        <v>0</v>
      </c>
      <c r="AN27" s="14">
        <f>IF($A27,$M27*(IF(AD27=regle!$B$11,regle!$B$23,IF(AD27=regle!$C$11,regle!$C$23,IF(AD27=regle!$D$11,regle!$D$23,IF(AD27=regle!$E$11,regle!$E$23,IF(AD27=regle!$F$11,regle!$F$23,IF(AD27=regle!$G$11,regle!$G$23,IF(AD27=regle!$H$11,regle!$H$23,IF(AD27=regle!$I$11,regle!$I$23,IF(AD27=regle!$J$11,regle!$J$23,0)))))))))))</f>
        <v>1976.96</v>
      </c>
      <c r="AO27">
        <f>IF(AO$1=$AO$1,IF(regle!B$2-$Q27&gt;=regle!$J$12,-2,IF($S27,IF(regle!$B$2-$Q27&gt;=2,0,-1),regle!B$2-$Q27)),IF(AN27+1&gt;=regle!$J$12,-2,AN27+1))</f>
        <v>19</v>
      </c>
      <c r="AP27">
        <f>IF(AP$1=$AO$1,IF(regle!C$2-$Q27&gt;=regle!$J$12,-2,IF($S27,IF(regle!$B$2-$Q27&gt;=2,0,-1),regle!C$2-$Q27)),IF(AO27+1&gt;=regle!$J$12,-2,AO27+1))</f>
        <v>20</v>
      </c>
      <c r="AQ27">
        <f>IF(AQ$1=$AO$1,IF(regle!D$2-$Q27&gt;=regle!$J$12,-2,IF($S27,IF(regle!$B$2-$Q27&gt;=2,0,-1),regle!D$2-$Q27)),IF(AP27+1&gt;=regle!$J$12,-2,AP27+1))</f>
        <v>21</v>
      </c>
      <c r="AR27">
        <f>IF(AR$1=$AO$1,IF(regle!E$2-$Q27&gt;=regle!$J$12,-2,IF($S27,IF(regle!$B$2-$Q27&gt;=2,0,-1),regle!E$2-$Q27)),IF(AQ27+1&gt;=regle!$J$12,-2,AQ27+1))</f>
        <v>22</v>
      </c>
      <c r="AS27">
        <f>IF(AS$1=$AO$1,IF(regle!F$2-$Q27&gt;=regle!$J$12,-2,IF($S27,IF(regle!$B$2-$Q27&gt;=2,0,-1),regle!F$2-$Q27)),IF(AR27+1&gt;=regle!$J$12,-2,AR27+1))</f>
        <v>23</v>
      </c>
      <c r="AT27">
        <f>IF(AT$1=$AO$1,IF(regle!G$2-$Q27&gt;=regle!$J$12,-2,IF($S27,IF(regle!$B$2-$Q27&gt;=2,0,-1),regle!G$2-$Q27)),IF(AS27+1&gt;=regle!$J$12,-2,AS27+1))</f>
        <v>24</v>
      </c>
      <c r="AU27">
        <f>IF(AU$1=$AO$1,IF(regle!H$2-$Q27&gt;=regle!$J$12,-2,IF($S27,IF(regle!$B$2-$Q27&gt;=2,0,-1),regle!H$2-$Q27)),IF(AT27+1&gt;=regle!$J$12,-2,AT27+1))</f>
        <v>25</v>
      </c>
      <c r="AV27">
        <f>IF(AV$1=$AO$1,IF(regle!I$2-$Q27&gt;=regle!$J$12,-2,IF($S27,IF(regle!$B$2-$Q27&gt;=2,0,-1),regle!I$2-$Q27)),IF(AU27+1&gt;=regle!$J$12,-2,AU27+1))</f>
        <v>26</v>
      </c>
      <c r="AW27">
        <f>IF(AW$1=$AO$1,IF(regle!J$2-$Q27&gt;=regle!$J$12,-2,IF($S27,IF(regle!$B$2-$Q27&gt;=2,0,-1),regle!J$2-$Q27)),IF(AV27+1&gt;=regle!$J$12,-2,AV27+1))</f>
        <v>27</v>
      </c>
      <c r="AX27">
        <f>IF(AX$1=$AO$1,IF(regle!K$2-$Q27&gt;=regle!$J$12,-2,IF($S27,IF(regle!$B$2-$Q27&gt;=2,0,-1),regle!K$2-$Q27)),IF(AW27+1&gt;=regle!$J$12,-2,AW27+1))</f>
        <v>28</v>
      </c>
    </row>
    <row r="28" spans="1:50" x14ac:dyDescent="0.25">
      <c r="A28" t="b">
        <f>AND(modif0[[#This Row],[cdstr]]&lt;&gt;0,OR(regle!$H$27=FALSE,modif0[[#This Row],[essnc]]="PM"))</f>
        <v>1</v>
      </c>
      <c r="B28">
        <f>ROW(objet!A35)</f>
        <v>35</v>
      </c>
      <c r="C28" s="10" t="str">
        <f>objet!D35</f>
        <v>5360000A0408</v>
      </c>
      <c r="D28" t="str">
        <f>LEFT(modif0[[#This Row],[cdstr]],3)</f>
        <v>536</v>
      </c>
      <c r="E28" s="10" t="str">
        <f>objet!G35</f>
        <v>LE TUZAN</v>
      </c>
      <c r="F28">
        <f>LEN(modif0[[#This Row],[l_dt]])</f>
        <v>21</v>
      </c>
      <c r="G28" s="10" t="str">
        <f>objet!H35</f>
        <v>METAIRIES DE TABARTON</v>
      </c>
      <c r="H28" s="10" t="str">
        <f>objet!C35</f>
        <v>A408k</v>
      </c>
      <c r="I28" t="str">
        <f>IF(ISNUMBER(VALUE(RIGHT(LEFT(modif0[[#This Row],[idntfn]],2),1))),_xlfn.CONCAT(0,LEFT(modif0[[#This Row],[idntfn]],1)),LEFT(modif0[[#This Row],[idntfn]],2))</f>
        <v>0A</v>
      </c>
      <c r="J28">
        <f>VALUE(LEFT(RIGHT(modif0[[#This Row],[idntfn]],LEN(modif0[[#This Row],[idntfn]])-IF(LEFT(modif0[[#This Row],[sctn]],1)="0",1,2)),LEN(modif0[[#This Row],[idntfn]])-IF(LEFT(modif0[[#This Row],[sctn]],1)="0",1,2)-LEN(modif0[[#This Row],[lttr]])))</f>
        <v>408</v>
      </c>
      <c r="K28" t="str">
        <f>IF(ISNUMBER(VALUE(RIGHT(modif0[[#This Row],[idntfn]],1))),"",IF(ISNUMBER(VALUE(LEFT(RIGHT(modif0[[#This Row],[idntfn]],2),1))),RIGHT(modif0[[#This Row],[idntfn]],1),RIGHT(modif0[[#This Row],[idntfn]],2)))</f>
        <v>k</v>
      </c>
      <c r="L28" s="10">
        <f>objet!I35</f>
        <v>3100</v>
      </c>
      <c r="M28" s="11">
        <f>modif0[[#This Row],[srfc]]/10000</f>
        <v>0.31</v>
      </c>
      <c r="N28" s="10" t="str">
        <f>objet!Z35</f>
        <v>PM</v>
      </c>
      <c r="O28" s="10" t="str">
        <f>objet!AA35</f>
        <v>PLA2017</v>
      </c>
      <c r="P28" t="str">
        <f>IF(ISNUMBER(modif0[[#This Row],[trvx]]),"",LEFT(modif0[[#This Row],[trvx]],LEN(modif0[[#This Row],[trvx]])-4))</f>
        <v>PLA</v>
      </c>
      <c r="Q28">
        <f>VALUE(RIGHT(modif0[[#This Row],[trvx]],4))</f>
        <v>2017</v>
      </c>
      <c r="R28" t="str">
        <f>_xlfn.CONCAT(modif0[[#This Row],[tp]],"-",modif0[[#This Row],[essnc]],"_",modif0[[#This Row],[anns]])</f>
        <v>PLA-PM_2017</v>
      </c>
      <c r="S28" t="b">
        <f>modif0[[#This Row],[tp]]="CR"</f>
        <v>0</v>
      </c>
      <c r="T28">
        <v>40</v>
      </c>
      <c r="U28" t="str">
        <f>IF(NOT($A28),"",
IF(AO28=-2,regle!$J$11,
IF(AO28=regle!$B$12,regle!$B$11,
IF(AO28=regle!$C$12,regle!$C$11,
IF(AO28=regle!$D$12,regle!$D$11,
IF(AO28=regle!$E$12,regle!$E$11,
IF(AO28=regle!$F$12,regle!$F$11,
IF(AO28=regle!$G$12,regle!$G$11,
IF(AO28=regle!$H$12,regle!$H$11,
IF(AO28=regle!$I$12,regle!$I$11,""))))))))))</f>
        <v/>
      </c>
      <c r="V28" t="str">
        <f>IF(NOT($A28),"",
IF(AP28=-2,regle!$J$11,
IF(AP28=regle!$B$12,regle!$B$11,
IF(AP28=regle!$C$12,regle!$C$11,
IF(AP28=regle!$D$12,regle!$D$11,
IF(AP28=regle!$E$12,regle!$E$11,
IF(AP28=regle!$F$12,regle!$F$11,
IF(AP28=regle!$G$12,regle!$G$11,
IF(AP28=regle!$H$12,regle!$H$11,
IF(AP28=regle!$I$12,regle!$I$11,""))))))))))</f>
        <v>ENT2</v>
      </c>
      <c r="W28" t="str">
        <f>IF(NOT($A28),"",
IF(AQ28=-2,regle!$J$11,
IF(AQ28=regle!$B$12,regle!$B$11,
IF(AQ28=regle!$C$12,regle!$C$11,
IF(AQ28=regle!$D$12,regle!$D$11,
IF(AQ28=regle!$E$12,regle!$E$11,
IF(AQ28=regle!$F$12,regle!$F$11,
IF(AQ28=regle!$G$12,regle!$G$11,
IF(AQ28=regle!$H$12,regle!$H$11,
IF(AQ28=regle!$I$12,regle!$I$11,""))))))))))</f>
        <v/>
      </c>
      <c r="X28" t="str">
        <f>IF(NOT($A28),"",
IF(AR28=-2,regle!$J$11,
IF(AR28=regle!$B$12,regle!$B$11,
IF(AR28=regle!$C$12,regle!$C$11,
IF(AR28=regle!$D$12,regle!$D$11,
IF(AR28=regle!$E$12,regle!$E$11,
IF(AR28=regle!$F$12,regle!$F$11,
IF(AR28=regle!$G$12,regle!$G$11,
IF(AR28=regle!$H$12,regle!$H$11,
IF(AR28=regle!$I$12,regle!$I$11,""))))))))))</f>
        <v/>
      </c>
      <c r="Y28" t="str">
        <f>IF(NOT($A28),"",
IF(AS28=-2,regle!$J$11,
IF(AS28=regle!$B$12,regle!$B$11,
IF(AS28=regle!$C$12,regle!$C$11,
IF(AS28=regle!$D$12,regle!$D$11,
IF(AS28=regle!$E$12,regle!$E$11,
IF(AS28=regle!$F$12,regle!$F$11,
IF(AS28=regle!$G$12,regle!$G$11,
IF(AS28=regle!$H$12,regle!$H$11,
IF(AS28=regle!$I$12,regle!$I$11,""))))))))))</f>
        <v/>
      </c>
      <c r="Z28" t="str">
        <f>IF(NOT($A28),"",
IF(AT28=-2,regle!$J$11,
IF(AT28=regle!$B$12,regle!$B$11,
IF(AT28=regle!$C$12,regle!$C$11,
IF(AT28=regle!$D$12,regle!$D$11,
IF(AT28=regle!$E$12,regle!$E$11,
IF(AT28=regle!$F$12,regle!$F$11,
IF(AT28=regle!$G$12,regle!$G$11,
IF(AT28=regle!$H$12,regle!$H$11,
IF(AT28=regle!$I$12,regle!$I$11,""))))))))))</f>
        <v/>
      </c>
      <c r="AA28" t="str">
        <f>IF(NOT($A28),"",
IF(AU28=-2,regle!$J$11,
IF(AU28=regle!$B$12,regle!$B$11,
IF(AU28=regle!$C$12,regle!$C$11,
IF(AU28=regle!$D$12,regle!$D$11,
IF(AU28=regle!$E$12,regle!$E$11,
IF(AU28=regle!$F$12,regle!$F$11,
IF(AU28=regle!$G$12,regle!$G$11,
IF(AU28=regle!$H$12,regle!$H$11,
IF(AU28=regle!$I$12,regle!$I$11,""))))))))))</f>
        <v>EC1</v>
      </c>
      <c r="AB28" t="str">
        <f>IF(NOT($A28),"",
IF(AV28=-2,regle!$J$11,
IF(AV28=regle!$B$12,regle!$B$11,
IF(AV28=regle!$C$12,regle!$C$11,
IF(AV28=regle!$D$12,regle!$D$11,
IF(AV28=regle!$E$12,regle!$E$11,
IF(AV28=regle!$F$12,regle!$F$11,
IF(AV28=regle!$G$12,regle!$G$11,
IF(AV28=regle!$H$12,regle!$H$11,
IF(AV28=regle!$I$12,regle!$I$11,""))))))))))</f>
        <v/>
      </c>
      <c r="AC28" t="str">
        <f>IF(NOT($A28),"",
IF(AW28=-2,regle!$J$11,
IF(AW28=regle!$B$12,regle!$B$11,
IF(AW28=regle!$C$12,regle!$C$11,
IF(AW28=regle!$D$12,regle!$D$11,
IF(AW28=regle!$E$12,regle!$E$11,
IF(AW28=regle!$F$12,regle!$F$11,
IF(AW28=regle!$G$12,regle!$G$11,
IF(AW28=regle!$H$12,regle!$H$11,
IF(AW28=regle!$I$12,regle!$I$11,""))))))))))</f>
        <v/>
      </c>
      <c r="AD28" t="str">
        <f>IF(NOT($A28),"",
IF(AX28=-2,regle!$J$11,
IF(AX28=regle!$B$12,regle!$B$11,
IF(AX28=regle!$C$12,regle!$C$11,
IF(AX28=regle!$D$12,regle!$D$11,
IF(AX28=regle!$E$12,regle!$E$11,
IF(AX28=regle!$F$12,regle!$F$11,
IF(AX28=regle!$G$12,regle!$G$11,
IF(AX28=regle!$H$12,regle!$H$11,
IF(AX28=regle!$I$12,regle!$I$11,""))))))))))</f>
        <v/>
      </c>
      <c r="AE28" s="14">
        <f>IF($A28,$M28*(IF(U28=regle!$B$11,regle!$B$23,IF(U28=regle!$C$11,regle!$C$23,IF(U28=regle!$D$11,regle!$D$23,IF(U28=regle!$E$11,regle!$E$23,IF(U28=regle!$F$11,regle!$F$23,IF(U28=regle!$G$11,regle!$G$23,IF(U28=regle!$H$11,regle!$H$23,IF(U28=regle!$I$11,regle!$I$23,IF(U28=regle!$J$11,regle!$J$23,0)))))))))))</f>
        <v>0</v>
      </c>
      <c r="AF28" s="14">
        <f>IF($A28,$M28*(IF(V28=regle!$B$11,regle!$B$23,IF(V28=regle!$C$11,regle!$C$23,IF(V28=regle!$D$11,regle!$D$23,IF(V28=regle!$E$11,regle!$E$23,IF(V28=regle!$F$11,regle!$F$23,IF(V28=regle!$G$11,regle!$G$23,IF(V28=regle!$H$11,regle!$H$23,IF(V28=regle!$I$11,regle!$I$23,IF(V28=regle!$J$11,regle!$J$23,0)))))))))))</f>
        <v>-27.9</v>
      </c>
      <c r="AG28" s="14">
        <f>IF($A28,$M28*(IF(W28=regle!$B$11,regle!$B$23,IF(W28=regle!$C$11,regle!$C$23,IF(W28=regle!$D$11,regle!$D$23,IF(W28=regle!$E$11,regle!$E$23,IF(W28=regle!$F$11,regle!$F$23,IF(W28=regle!$G$11,regle!$G$23,IF(W28=regle!$H$11,regle!$H$23,IF(W28=regle!$I$11,regle!$I$23,IF(W28=regle!$J$11,regle!$J$23,0)))))))))))</f>
        <v>0</v>
      </c>
      <c r="AH28" s="14">
        <f>IF($A28,$M28*(IF(X28=regle!$B$11,regle!$B$23,IF(X28=regle!$C$11,regle!$C$23,IF(X28=regle!$D$11,regle!$D$23,IF(X28=regle!$E$11,regle!$E$23,IF(X28=regle!$F$11,regle!$F$23,IF(X28=regle!$G$11,regle!$G$23,IF(X28=regle!$H$11,regle!$H$23,IF(X28=regle!$I$11,regle!$I$23,IF(X28=regle!$J$11,regle!$J$23,0)))))))))))</f>
        <v>0</v>
      </c>
      <c r="AI28" s="14">
        <f>IF($A28,$M28*(IF(Y28=regle!$B$11,regle!$B$23,IF(Y28=regle!$C$11,regle!$C$23,IF(Y28=regle!$D$11,regle!$D$23,IF(Y28=regle!$E$11,regle!$E$23,IF(Y28=regle!$F$11,regle!$F$23,IF(Y28=regle!$G$11,regle!$G$23,IF(Y28=regle!$H$11,regle!$H$23,IF(Y28=regle!$I$11,regle!$I$23,IF(Y28=regle!$J$11,regle!$J$23,0)))))))))))</f>
        <v>0</v>
      </c>
      <c r="AJ28" s="14">
        <f>IF($A28,$M28*(IF(Z28=regle!$B$11,regle!$B$23,IF(Z28=regle!$C$11,regle!$C$23,IF(Z28=regle!$D$11,regle!$D$23,IF(Z28=regle!$E$11,regle!$E$23,IF(Z28=regle!$F$11,regle!$F$23,IF(Z28=regle!$G$11,regle!$G$23,IF(Z28=regle!$H$11,regle!$H$23,IF(Z28=regle!$I$11,regle!$I$23,IF(Z28=regle!$J$11,regle!$J$23,0)))))))))))</f>
        <v>0</v>
      </c>
      <c r="AK28" s="14">
        <f>IF($A28,$M28*(IF(AA28=regle!$B$11,regle!$B$23,IF(AA28=regle!$C$11,regle!$C$23,IF(AA28=regle!$D$11,regle!$D$23,IF(AA28=regle!$E$11,regle!$E$23,IF(AA28=regle!$F$11,regle!$F$23,IF(AA28=regle!$G$11,regle!$G$23,IF(AA28=regle!$H$11,regle!$H$23,IF(AA28=regle!$I$11,regle!$I$23,IF(AA28=regle!$J$11,regle!$J$23,0)))))))))))</f>
        <v>178.56</v>
      </c>
      <c r="AL28" s="14">
        <f>IF($A28,$M28*(IF(AB28=regle!$B$11,regle!$B$23,IF(AB28=regle!$C$11,regle!$C$23,IF(AB28=regle!$D$11,regle!$D$23,IF(AB28=regle!$E$11,regle!$E$23,IF(AB28=regle!$F$11,regle!$F$23,IF(AB28=regle!$G$11,regle!$G$23,IF(AB28=regle!$H$11,regle!$H$23,IF(AB28=regle!$I$11,regle!$I$23,IF(AB28=regle!$J$11,regle!$J$23,0)))))))))))</f>
        <v>0</v>
      </c>
      <c r="AM28" s="14">
        <f>IF($A28,$M28*(IF(AC28=regle!$B$11,regle!$B$23,IF(AC28=regle!$C$11,regle!$C$23,IF(AC28=regle!$D$11,regle!$D$23,IF(AC28=regle!$E$11,regle!$E$23,IF(AC28=regle!$F$11,regle!$F$23,IF(AC28=regle!$G$11,regle!$G$23,IF(AC28=regle!$H$11,regle!$H$23,IF(AC28=regle!$I$11,regle!$I$23,IF(AC28=regle!$J$11,regle!$J$23,0)))))))))))</f>
        <v>0</v>
      </c>
      <c r="AN28" s="14">
        <f>IF($A28,$M28*(IF(AD28=regle!$B$11,regle!$B$23,IF(AD28=regle!$C$11,regle!$C$23,IF(AD28=regle!$D$11,regle!$D$23,IF(AD28=regle!$E$11,regle!$E$23,IF(AD28=regle!$F$11,regle!$F$23,IF(AD28=regle!$G$11,regle!$G$23,IF(AD28=regle!$H$11,regle!$H$23,IF(AD28=regle!$I$11,regle!$I$23,IF(AD28=regle!$J$11,regle!$J$23,0)))))))))))</f>
        <v>0</v>
      </c>
      <c r="AO28">
        <f>IF(AO$1=$AO$1,IF(regle!B$2-$Q28&gt;=regle!$J$12,-2,IF($S28,IF(regle!$B$2-$Q28&gt;=2,0,-1),regle!B$2-$Q28)),IF(AN28+1&gt;=regle!$J$12,-2,AN28+1))</f>
        <v>7</v>
      </c>
      <c r="AP28">
        <f>IF(AP$1=$AO$1,IF(regle!C$2-$Q28&gt;=regle!$J$12,-2,IF($S28,IF(regle!$B$2-$Q28&gt;=2,0,-1),regle!C$2-$Q28)),IF(AO28+1&gt;=regle!$J$12,-2,AO28+1))</f>
        <v>8</v>
      </c>
      <c r="AQ28">
        <f>IF(AQ$1=$AO$1,IF(regle!D$2-$Q28&gt;=regle!$J$12,-2,IF($S28,IF(regle!$B$2-$Q28&gt;=2,0,-1),regle!D$2-$Q28)),IF(AP28+1&gt;=regle!$J$12,-2,AP28+1))</f>
        <v>9</v>
      </c>
      <c r="AR28">
        <f>IF(AR$1=$AO$1,IF(regle!E$2-$Q28&gt;=regle!$J$12,-2,IF($S28,IF(regle!$B$2-$Q28&gt;=2,0,-1),regle!E$2-$Q28)),IF(AQ28+1&gt;=regle!$J$12,-2,AQ28+1))</f>
        <v>10</v>
      </c>
      <c r="AS28">
        <f>IF(AS$1=$AO$1,IF(regle!F$2-$Q28&gt;=regle!$J$12,-2,IF($S28,IF(regle!$B$2-$Q28&gt;=2,0,-1),regle!F$2-$Q28)),IF(AR28+1&gt;=regle!$J$12,-2,AR28+1))</f>
        <v>11</v>
      </c>
      <c r="AT28">
        <f>IF(AT$1=$AO$1,IF(regle!G$2-$Q28&gt;=regle!$J$12,-2,IF($S28,IF(regle!$B$2-$Q28&gt;=2,0,-1),regle!G$2-$Q28)),IF(AS28+1&gt;=regle!$J$12,-2,AS28+1))</f>
        <v>12</v>
      </c>
      <c r="AU28">
        <f>IF(AU$1=$AO$1,IF(regle!H$2-$Q28&gt;=regle!$J$12,-2,IF($S28,IF(regle!$B$2-$Q28&gt;=2,0,-1),regle!H$2-$Q28)),IF(AT28+1&gt;=regle!$J$12,-2,AT28+1))</f>
        <v>13</v>
      </c>
      <c r="AV28">
        <f>IF(AV$1=$AO$1,IF(regle!I$2-$Q28&gt;=regle!$J$12,-2,IF($S28,IF(regle!$B$2-$Q28&gt;=2,0,-1),regle!I$2-$Q28)),IF(AU28+1&gt;=regle!$J$12,-2,AU28+1))</f>
        <v>14</v>
      </c>
      <c r="AW28">
        <f>IF(AW$1=$AO$1,IF(regle!J$2-$Q28&gt;=regle!$J$12,-2,IF($S28,IF(regle!$B$2-$Q28&gt;=2,0,-1),regle!J$2-$Q28)),IF(AV28+1&gt;=regle!$J$12,-2,AV28+1))</f>
        <v>15</v>
      </c>
      <c r="AX28">
        <f>IF(AX$1=$AO$1,IF(regle!K$2-$Q28&gt;=regle!$J$12,-2,IF($S28,IF(regle!$B$2-$Q28&gt;=2,0,-1),regle!K$2-$Q28)),IF(AW28+1&gt;=regle!$J$12,-2,AW28+1))</f>
        <v>16</v>
      </c>
    </row>
    <row r="29" spans="1:50" x14ac:dyDescent="0.25">
      <c r="A29" t="b">
        <f>AND(modif0[[#This Row],[cdstr]]&lt;&gt;0,OR(regle!$H$27=FALSE,modif0[[#This Row],[essnc]]="PM"))</f>
        <v>1</v>
      </c>
      <c r="B29">
        <f>ROW(objet!A37)</f>
        <v>37</v>
      </c>
      <c r="C29" s="10" t="str">
        <f>objet!D37</f>
        <v>5360000A0409</v>
      </c>
      <c r="D29" t="str">
        <f>LEFT(modif0[[#This Row],[cdstr]],3)</f>
        <v>536</v>
      </c>
      <c r="E29" s="10" t="str">
        <f>objet!G37</f>
        <v>LE TUZAN</v>
      </c>
      <c r="F29">
        <f>LEN(modif0[[#This Row],[l_dt]])</f>
        <v>21</v>
      </c>
      <c r="G29" s="10" t="str">
        <f>objet!H37</f>
        <v>METAIRIES DE TABARTON</v>
      </c>
      <c r="H29" s="10" t="str">
        <f>objet!C37</f>
        <v>A409k</v>
      </c>
      <c r="I29" t="str">
        <f>IF(ISNUMBER(VALUE(RIGHT(LEFT(modif0[[#This Row],[idntfn]],2),1))),_xlfn.CONCAT(0,LEFT(modif0[[#This Row],[idntfn]],1)),LEFT(modif0[[#This Row],[idntfn]],2))</f>
        <v>0A</v>
      </c>
      <c r="J29">
        <f>VALUE(LEFT(RIGHT(modif0[[#This Row],[idntfn]],LEN(modif0[[#This Row],[idntfn]])-IF(LEFT(modif0[[#This Row],[sctn]],1)="0",1,2)),LEN(modif0[[#This Row],[idntfn]])-IF(LEFT(modif0[[#This Row],[sctn]],1)="0",1,2)-LEN(modif0[[#This Row],[lttr]])))</f>
        <v>409</v>
      </c>
      <c r="K29" t="str">
        <f>IF(ISNUMBER(VALUE(RIGHT(modif0[[#This Row],[idntfn]],1))),"",IF(ISNUMBER(VALUE(LEFT(RIGHT(modif0[[#This Row],[idntfn]],2),1))),RIGHT(modif0[[#This Row],[idntfn]],1),RIGHT(modif0[[#This Row],[idntfn]],2)))</f>
        <v>k</v>
      </c>
      <c r="L29" s="10">
        <f>objet!I37</f>
        <v>804</v>
      </c>
      <c r="M29" s="11">
        <f>modif0[[#This Row],[srfc]]/10000</f>
        <v>8.0399999999999999E-2</v>
      </c>
      <c r="N29" s="10" t="str">
        <f>objet!Z37</f>
        <v>PM</v>
      </c>
      <c r="O29" s="10" t="str">
        <f>objet!AA37</f>
        <v>PLA2005</v>
      </c>
      <c r="P29" t="str">
        <f>IF(ISNUMBER(modif0[[#This Row],[trvx]]),"",LEFT(modif0[[#This Row],[trvx]],LEN(modif0[[#This Row],[trvx]])-4))</f>
        <v>PLA</v>
      </c>
      <c r="Q29">
        <f>VALUE(RIGHT(modif0[[#This Row],[trvx]],4))</f>
        <v>2005</v>
      </c>
      <c r="R29" t="str">
        <f>_xlfn.CONCAT(modif0[[#This Row],[tp]],"-",modif0[[#This Row],[essnc]],"_",modif0[[#This Row],[anns]])</f>
        <v>PLA-PM_2005</v>
      </c>
      <c r="S29" t="b">
        <f>modif0[[#This Row],[tp]]="CR"</f>
        <v>0</v>
      </c>
      <c r="T29">
        <v>40</v>
      </c>
      <c r="U29" t="str">
        <f>IF(NOT($A29),"",
IF(AO29=-2,regle!$J$11,
IF(AO29=regle!$B$12,regle!$B$11,
IF(AO29=regle!$C$12,regle!$C$11,
IF(AO29=regle!$D$12,regle!$D$11,
IF(AO29=regle!$E$12,regle!$E$11,
IF(AO29=regle!$F$12,regle!$F$11,
IF(AO29=regle!$G$12,regle!$G$11,
IF(AO29=regle!$H$12,regle!$H$11,
IF(AO29=regle!$I$12,regle!$I$11,""))))))))))</f>
        <v/>
      </c>
      <c r="V29" t="str">
        <f>IF(NOT($A29),"",
IF(AP29=-2,regle!$J$11,
IF(AP29=regle!$B$12,regle!$B$11,
IF(AP29=regle!$C$12,regle!$C$11,
IF(AP29=regle!$D$12,regle!$D$11,
IF(AP29=regle!$E$12,regle!$E$11,
IF(AP29=regle!$F$12,regle!$F$11,
IF(AP29=regle!$G$12,regle!$G$11,
IF(AP29=regle!$H$12,regle!$H$11,
IF(AP29=regle!$I$12,regle!$I$11,""))))))))))</f>
        <v/>
      </c>
      <c r="W29" t="str">
        <f>IF(NOT($A29),"",
IF(AQ29=-2,regle!$J$11,
IF(AQ29=regle!$B$12,regle!$B$11,
IF(AQ29=regle!$C$12,regle!$C$11,
IF(AQ29=regle!$D$12,regle!$D$11,
IF(AQ29=regle!$E$12,regle!$E$11,
IF(AQ29=regle!$F$12,regle!$F$11,
IF(AQ29=regle!$G$12,regle!$G$11,
IF(AQ29=regle!$H$12,regle!$H$11,
IF(AQ29=regle!$I$12,regle!$I$11,""))))))))))</f>
        <v/>
      </c>
      <c r="X29" t="str">
        <f>IF(NOT($A29),"",
IF(AR29=-2,regle!$J$11,
IF(AR29=regle!$B$12,regle!$B$11,
IF(AR29=regle!$C$12,regle!$C$11,
IF(AR29=regle!$D$12,regle!$D$11,
IF(AR29=regle!$E$12,regle!$E$11,
IF(AR29=regle!$F$12,regle!$F$11,
IF(AR29=regle!$G$12,regle!$G$11,
IF(AR29=regle!$H$12,regle!$H$11,
IF(AR29=regle!$I$12,regle!$I$11,""))))))))))</f>
        <v/>
      </c>
      <c r="Y29" t="str">
        <f>IF(NOT($A29),"",
IF(AS29=-2,regle!$J$11,
IF(AS29=regle!$B$12,regle!$B$11,
IF(AS29=regle!$C$12,regle!$C$11,
IF(AS29=regle!$D$12,regle!$D$11,
IF(AS29=regle!$E$12,regle!$E$11,
IF(AS29=regle!$F$12,regle!$F$11,
IF(AS29=regle!$G$12,regle!$G$11,
IF(AS29=regle!$H$12,regle!$H$11,
IF(AS29=regle!$I$12,regle!$I$11,""))))))))))</f>
        <v>EC3</v>
      </c>
      <c r="Z29" t="str">
        <f>IF(NOT($A29),"",
IF(AT29=-2,regle!$J$11,
IF(AT29=regle!$B$12,regle!$B$11,
IF(AT29=regle!$C$12,regle!$C$11,
IF(AT29=regle!$D$12,regle!$D$11,
IF(AT29=regle!$E$12,regle!$E$11,
IF(AT29=regle!$F$12,regle!$F$11,
IF(AT29=regle!$G$12,regle!$G$11,
IF(AT29=regle!$H$12,regle!$H$11,
IF(AT29=regle!$I$12,regle!$I$11,""))))))))))</f>
        <v/>
      </c>
      <c r="AA29" t="str">
        <f>IF(NOT($A29),"",
IF(AU29=-2,regle!$J$11,
IF(AU29=regle!$B$12,regle!$B$11,
IF(AU29=regle!$C$12,regle!$C$11,
IF(AU29=regle!$D$12,regle!$D$11,
IF(AU29=regle!$E$12,regle!$E$11,
IF(AU29=regle!$F$12,regle!$F$11,
IF(AU29=regle!$G$12,regle!$G$11,
IF(AU29=regle!$H$12,regle!$H$11,
IF(AU29=regle!$I$12,regle!$I$11,""))))))))))</f>
        <v/>
      </c>
      <c r="AB29" t="str">
        <f>IF(NOT($A29),"",
IF(AV29=-2,regle!$J$11,
IF(AV29=regle!$B$12,regle!$B$11,
IF(AV29=regle!$C$12,regle!$C$11,
IF(AV29=regle!$D$12,regle!$D$11,
IF(AV29=regle!$E$12,regle!$E$11,
IF(AV29=regle!$F$12,regle!$F$11,
IF(AV29=regle!$G$12,regle!$G$11,
IF(AV29=regle!$H$12,regle!$H$11,
IF(AV29=regle!$I$12,regle!$I$11,""))))))))))</f>
        <v/>
      </c>
      <c r="AC29" t="str">
        <f>IF(NOT($A29),"",
IF(AW29=-2,regle!$J$11,
IF(AW29=regle!$B$12,regle!$B$11,
IF(AW29=regle!$C$12,regle!$C$11,
IF(AW29=regle!$D$12,regle!$D$11,
IF(AW29=regle!$E$12,regle!$E$11,
IF(AW29=regle!$F$12,regle!$F$11,
IF(AW29=regle!$G$12,regle!$G$11,
IF(AW29=regle!$H$12,regle!$H$11,
IF(AW29=regle!$I$12,regle!$I$11,""))))))))))</f>
        <v/>
      </c>
      <c r="AD29" t="str">
        <f>IF(NOT($A29),"",
IF(AX29=-2,regle!$J$11,
IF(AX29=regle!$B$12,regle!$B$11,
IF(AX29=regle!$C$12,regle!$C$11,
IF(AX29=regle!$D$12,regle!$D$11,
IF(AX29=regle!$E$12,regle!$E$11,
IF(AX29=regle!$F$12,regle!$F$11,
IF(AX29=regle!$G$12,regle!$G$11,
IF(AX29=regle!$H$12,regle!$H$11,
IF(AX29=regle!$I$12,regle!$I$11,""))))))))))</f>
        <v>EC4</v>
      </c>
      <c r="AE29" s="14">
        <f>IF($A29,$M29*(IF(U29=regle!$B$11,regle!$B$23,IF(U29=regle!$C$11,regle!$C$23,IF(U29=regle!$D$11,regle!$D$23,IF(U29=regle!$E$11,regle!$E$23,IF(U29=regle!$F$11,regle!$F$23,IF(U29=regle!$G$11,regle!$G$23,IF(U29=regle!$H$11,regle!$H$23,IF(U29=regle!$I$11,regle!$I$23,IF(U29=regle!$J$11,regle!$J$23,0)))))))))))</f>
        <v>0</v>
      </c>
      <c r="AF29" s="14">
        <f>IF($A29,$M29*(IF(V29=regle!$B$11,regle!$B$23,IF(V29=regle!$C$11,regle!$C$23,IF(V29=regle!$D$11,regle!$D$23,IF(V29=regle!$E$11,regle!$E$23,IF(V29=regle!$F$11,regle!$F$23,IF(V29=regle!$G$11,regle!$G$23,IF(V29=regle!$H$11,regle!$H$23,IF(V29=regle!$I$11,regle!$I$23,IF(V29=regle!$J$11,regle!$J$23,0)))))))))))</f>
        <v>0</v>
      </c>
      <c r="AG29" s="14">
        <f>IF($A29,$M29*(IF(W29=regle!$B$11,regle!$B$23,IF(W29=regle!$C$11,regle!$C$23,IF(W29=regle!$D$11,regle!$D$23,IF(W29=regle!$E$11,regle!$E$23,IF(W29=regle!$F$11,regle!$F$23,IF(W29=regle!$G$11,regle!$G$23,IF(W29=regle!$H$11,regle!$H$23,IF(W29=regle!$I$11,regle!$I$23,IF(W29=regle!$J$11,regle!$J$23,0)))))))))))</f>
        <v>0</v>
      </c>
      <c r="AH29" s="14">
        <f>IF($A29,$M29*(IF(X29=regle!$B$11,regle!$B$23,IF(X29=regle!$C$11,regle!$C$23,IF(X29=regle!$D$11,regle!$D$23,IF(X29=regle!$E$11,regle!$E$23,IF(X29=regle!$F$11,regle!$F$23,IF(X29=regle!$G$11,regle!$G$23,IF(X29=regle!$H$11,regle!$H$23,IF(X29=regle!$I$11,regle!$I$23,IF(X29=regle!$J$11,regle!$J$23,0)))))))))))</f>
        <v>0</v>
      </c>
      <c r="AI29" s="14">
        <f>IF($A29,$M29*(IF(Y29=regle!$B$11,regle!$B$23,IF(Y29=regle!$C$11,regle!$C$23,IF(Y29=regle!$D$11,regle!$D$23,IF(Y29=regle!$E$11,regle!$E$23,IF(Y29=regle!$F$11,regle!$F$23,IF(Y29=regle!$G$11,regle!$G$23,IF(Y29=regle!$H$11,regle!$H$23,IF(Y29=regle!$I$11,regle!$I$23,IF(Y29=regle!$J$11,regle!$J$23,0)))))))))))</f>
        <v>113.2032</v>
      </c>
      <c r="AJ29" s="14">
        <f>IF($A29,$M29*(IF(Z29=regle!$B$11,regle!$B$23,IF(Z29=regle!$C$11,regle!$C$23,IF(Z29=regle!$D$11,regle!$D$23,IF(Z29=regle!$E$11,regle!$E$23,IF(Z29=regle!$F$11,regle!$F$23,IF(Z29=regle!$G$11,regle!$G$23,IF(Z29=regle!$H$11,regle!$H$23,IF(Z29=regle!$I$11,regle!$I$23,IF(Z29=regle!$J$11,regle!$J$23,0)))))))))))</f>
        <v>0</v>
      </c>
      <c r="AK29" s="14">
        <f>IF($A29,$M29*(IF(AA29=regle!$B$11,regle!$B$23,IF(AA29=regle!$C$11,regle!$C$23,IF(AA29=regle!$D$11,regle!$D$23,IF(AA29=regle!$E$11,regle!$E$23,IF(AA29=regle!$F$11,regle!$F$23,IF(AA29=regle!$G$11,regle!$G$23,IF(AA29=regle!$H$11,regle!$H$23,IF(AA29=regle!$I$11,regle!$I$23,IF(AA29=regle!$J$11,regle!$J$23,0)))))))))))</f>
        <v>0</v>
      </c>
      <c r="AL29" s="14">
        <f>IF($A29,$M29*(IF(AB29=regle!$B$11,regle!$B$23,IF(AB29=regle!$C$11,regle!$C$23,IF(AB29=regle!$D$11,regle!$D$23,IF(AB29=regle!$E$11,regle!$E$23,IF(AB29=regle!$F$11,regle!$F$23,IF(AB29=regle!$G$11,regle!$G$23,IF(AB29=regle!$H$11,regle!$H$23,IF(AB29=regle!$I$11,regle!$I$23,IF(AB29=regle!$J$11,regle!$J$23,0)))))))))))</f>
        <v>0</v>
      </c>
      <c r="AM29" s="14">
        <f>IF($A29,$M29*(IF(AC29=regle!$B$11,regle!$B$23,IF(AC29=regle!$C$11,regle!$C$23,IF(AC29=regle!$D$11,regle!$D$23,IF(AC29=regle!$E$11,regle!$E$23,IF(AC29=regle!$F$11,regle!$F$23,IF(AC29=regle!$G$11,regle!$G$23,IF(AC29=regle!$H$11,regle!$H$23,IF(AC29=regle!$I$11,regle!$I$23,IF(AC29=regle!$J$11,regle!$J$23,0)))))))))))</f>
        <v>0</v>
      </c>
      <c r="AN29" s="14">
        <f>IF($A29,$M29*(IF(AD29=regle!$B$11,regle!$B$23,IF(AD29=regle!$C$11,regle!$C$23,IF(AD29=regle!$D$11,regle!$D$23,IF(AD29=regle!$E$11,regle!$E$23,IF(AD29=regle!$F$11,regle!$F$23,IF(AD29=regle!$G$11,regle!$G$23,IF(AD29=regle!$H$11,regle!$H$23,IF(AD29=regle!$I$11,regle!$I$23,IF(AD29=regle!$J$11,regle!$J$23,0)))))))))))</f>
        <v>102.91200000000001</v>
      </c>
      <c r="AO29">
        <f>IF(AO$1=$AO$1,IF(regle!B$2-$Q29&gt;=regle!$J$12,-2,IF($S29,IF(regle!$B$2-$Q29&gt;=2,0,-1),regle!B$2-$Q29)),IF(AN29+1&gt;=regle!$J$12,-2,AN29+1))</f>
        <v>19</v>
      </c>
      <c r="AP29">
        <f>IF(AP$1=$AO$1,IF(regle!C$2-$Q29&gt;=regle!$J$12,-2,IF($S29,IF(regle!$B$2-$Q29&gt;=2,0,-1),regle!C$2-$Q29)),IF(AO29+1&gt;=regle!$J$12,-2,AO29+1))</f>
        <v>20</v>
      </c>
      <c r="AQ29">
        <f>IF(AQ$1=$AO$1,IF(regle!D$2-$Q29&gt;=regle!$J$12,-2,IF($S29,IF(regle!$B$2-$Q29&gt;=2,0,-1),regle!D$2-$Q29)),IF(AP29+1&gt;=regle!$J$12,-2,AP29+1))</f>
        <v>21</v>
      </c>
      <c r="AR29">
        <f>IF(AR$1=$AO$1,IF(regle!E$2-$Q29&gt;=regle!$J$12,-2,IF($S29,IF(regle!$B$2-$Q29&gt;=2,0,-1),regle!E$2-$Q29)),IF(AQ29+1&gt;=regle!$J$12,-2,AQ29+1))</f>
        <v>22</v>
      </c>
      <c r="AS29">
        <f>IF(AS$1=$AO$1,IF(regle!F$2-$Q29&gt;=regle!$J$12,-2,IF($S29,IF(regle!$B$2-$Q29&gt;=2,0,-1),regle!F$2-$Q29)),IF(AR29+1&gt;=regle!$J$12,-2,AR29+1))</f>
        <v>23</v>
      </c>
      <c r="AT29">
        <f>IF(AT$1=$AO$1,IF(regle!G$2-$Q29&gt;=regle!$J$12,-2,IF($S29,IF(regle!$B$2-$Q29&gt;=2,0,-1),regle!G$2-$Q29)),IF(AS29+1&gt;=regle!$J$12,-2,AS29+1))</f>
        <v>24</v>
      </c>
      <c r="AU29">
        <f>IF(AU$1=$AO$1,IF(regle!H$2-$Q29&gt;=regle!$J$12,-2,IF($S29,IF(regle!$B$2-$Q29&gt;=2,0,-1),regle!H$2-$Q29)),IF(AT29+1&gt;=regle!$J$12,-2,AT29+1))</f>
        <v>25</v>
      </c>
      <c r="AV29">
        <f>IF(AV$1=$AO$1,IF(regle!I$2-$Q29&gt;=regle!$J$12,-2,IF($S29,IF(regle!$B$2-$Q29&gt;=2,0,-1),regle!I$2-$Q29)),IF(AU29+1&gt;=regle!$J$12,-2,AU29+1))</f>
        <v>26</v>
      </c>
      <c r="AW29">
        <f>IF(AW$1=$AO$1,IF(regle!J$2-$Q29&gt;=regle!$J$12,-2,IF($S29,IF(regle!$B$2-$Q29&gt;=2,0,-1),regle!J$2-$Q29)),IF(AV29+1&gt;=regle!$J$12,-2,AV29+1))</f>
        <v>27</v>
      </c>
      <c r="AX29">
        <f>IF(AX$1=$AO$1,IF(regle!K$2-$Q29&gt;=regle!$J$12,-2,IF($S29,IF(regle!$B$2-$Q29&gt;=2,0,-1),regle!K$2-$Q29)),IF(AW29+1&gt;=regle!$J$12,-2,AW29+1))</f>
        <v>28</v>
      </c>
    </row>
    <row r="30" spans="1:50" x14ac:dyDescent="0.25">
      <c r="A30" t="b">
        <f>AND(modif0[[#This Row],[cdstr]]&lt;&gt;0,OR(regle!$H$27=FALSE,modif0[[#This Row],[essnc]]="PM"))</f>
        <v>1</v>
      </c>
      <c r="B30">
        <f>ROW(objet!A39)</f>
        <v>39</v>
      </c>
      <c r="C30" s="10" t="str">
        <f>objet!D39</f>
        <v>5360000A0413</v>
      </c>
      <c r="D30" t="str">
        <f>LEFT(modif0[[#This Row],[cdstr]],3)</f>
        <v>536</v>
      </c>
      <c r="E30" s="10" t="str">
        <f>objet!G39</f>
        <v>LE TUZAN</v>
      </c>
      <c r="F30">
        <f>LEN(modif0[[#This Row],[l_dt]])</f>
        <v>21</v>
      </c>
      <c r="G30" s="10" t="str">
        <f>objet!H39</f>
        <v>METAIRIES DE TABARTON</v>
      </c>
      <c r="H30" s="10" t="str">
        <f>objet!C39</f>
        <v>A413j</v>
      </c>
      <c r="I30" t="str">
        <f>IF(ISNUMBER(VALUE(RIGHT(LEFT(modif0[[#This Row],[idntfn]],2),1))),_xlfn.CONCAT(0,LEFT(modif0[[#This Row],[idntfn]],1)),LEFT(modif0[[#This Row],[idntfn]],2))</f>
        <v>0A</v>
      </c>
      <c r="J30">
        <f>VALUE(LEFT(RIGHT(modif0[[#This Row],[idntfn]],LEN(modif0[[#This Row],[idntfn]])-IF(LEFT(modif0[[#This Row],[sctn]],1)="0",1,2)),LEN(modif0[[#This Row],[idntfn]])-IF(LEFT(modif0[[#This Row],[sctn]],1)="0",1,2)-LEN(modif0[[#This Row],[lttr]])))</f>
        <v>413</v>
      </c>
      <c r="K30" t="str">
        <f>IF(ISNUMBER(VALUE(RIGHT(modif0[[#This Row],[idntfn]],1))),"",IF(ISNUMBER(VALUE(LEFT(RIGHT(modif0[[#This Row],[idntfn]],2),1))),RIGHT(modif0[[#This Row],[idntfn]],1),RIGHT(modif0[[#This Row],[idntfn]],2)))</f>
        <v>j</v>
      </c>
      <c r="L30" s="10">
        <f>objet!I39</f>
        <v>7071</v>
      </c>
      <c r="M30" s="11">
        <f>modif0[[#This Row],[srfc]]/10000</f>
        <v>0.70709999999999995</v>
      </c>
      <c r="N30" s="10" t="str">
        <f>objet!Z39</f>
        <v>PM</v>
      </c>
      <c r="O30" s="10" t="str">
        <f>objet!AA39</f>
        <v>SL2003</v>
      </c>
      <c r="P30" t="str">
        <f>IF(ISNUMBER(modif0[[#This Row],[trvx]]),"",LEFT(modif0[[#This Row],[trvx]],LEN(modif0[[#This Row],[trvx]])-4))</f>
        <v>SL</v>
      </c>
      <c r="Q30">
        <f>VALUE(RIGHT(modif0[[#This Row],[trvx]],4))</f>
        <v>2003</v>
      </c>
      <c r="R30" t="str">
        <f>_xlfn.CONCAT(modif0[[#This Row],[tp]],"-",modif0[[#This Row],[essnc]],"_",modif0[[#This Row],[anns]])</f>
        <v>SL-PM_2003</v>
      </c>
      <c r="S30" t="b">
        <f>modif0[[#This Row],[tp]]="CR"</f>
        <v>0</v>
      </c>
      <c r="T30">
        <v>40</v>
      </c>
      <c r="U30" t="str">
        <f>IF(NOT($A30),"",
IF(AO30=-2,regle!$J$11,
IF(AO30=regle!$B$12,regle!$B$11,
IF(AO30=regle!$C$12,regle!$C$11,
IF(AO30=regle!$D$12,regle!$D$11,
IF(AO30=regle!$E$12,regle!$E$11,
IF(AO30=regle!$F$12,regle!$F$11,
IF(AO30=regle!$G$12,regle!$G$11,
IF(AO30=regle!$H$12,regle!$H$11,
IF(AO30=regle!$I$12,regle!$I$11,""))))))))))</f>
        <v/>
      </c>
      <c r="V30" t="str">
        <f>IF(NOT($A30),"",
IF(AP30=-2,regle!$J$11,
IF(AP30=regle!$B$12,regle!$B$11,
IF(AP30=regle!$C$12,regle!$C$11,
IF(AP30=regle!$D$12,regle!$D$11,
IF(AP30=regle!$E$12,regle!$E$11,
IF(AP30=regle!$F$12,regle!$F$11,
IF(AP30=regle!$G$12,regle!$G$11,
IF(AP30=regle!$H$12,regle!$H$11,
IF(AP30=regle!$I$12,regle!$I$11,""))))))))))</f>
        <v/>
      </c>
      <c r="W30" t="str">
        <f>IF(NOT($A30),"",
IF(AQ30=-2,regle!$J$11,
IF(AQ30=regle!$B$12,regle!$B$11,
IF(AQ30=regle!$C$12,regle!$C$11,
IF(AQ30=regle!$D$12,regle!$D$11,
IF(AQ30=regle!$E$12,regle!$E$11,
IF(AQ30=regle!$F$12,regle!$F$11,
IF(AQ30=regle!$G$12,regle!$G$11,
IF(AQ30=regle!$H$12,regle!$H$11,
IF(AQ30=regle!$I$12,regle!$I$11,""))))))))))</f>
        <v>EC3</v>
      </c>
      <c r="X30" t="str">
        <f>IF(NOT($A30),"",
IF(AR30=-2,regle!$J$11,
IF(AR30=regle!$B$12,regle!$B$11,
IF(AR30=regle!$C$12,regle!$C$11,
IF(AR30=regle!$D$12,regle!$D$11,
IF(AR30=regle!$E$12,regle!$E$11,
IF(AR30=regle!$F$12,regle!$F$11,
IF(AR30=regle!$G$12,regle!$G$11,
IF(AR30=regle!$H$12,regle!$H$11,
IF(AR30=regle!$I$12,regle!$I$11,""))))))))))</f>
        <v/>
      </c>
      <c r="Y30" t="str">
        <f>IF(NOT($A30),"",
IF(AS30=-2,regle!$J$11,
IF(AS30=regle!$B$12,regle!$B$11,
IF(AS30=regle!$C$12,regle!$C$11,
IF(AS30=regle!$D$12,regle!$D$11,
IF(AS30=regle!$E$12,regle!$E$11,
IF(AS30=regle!$F$12,regle!$F$11,
IF(AS30=regle!$G$12,regle!$G$11,
IF(AS30=regle!$H$12,regle!$H$11,
IF(AS30=regle!$I$12,regle!$I$11,""))))))))))</f>
        <v/>
      </c>
      <c r="Z30" t="str">
        <f>IF(NOT($A30),"",
IF(AT30=-2,regle!$J$11,
IF(AT30=regle!$B$12,regle!$B$11,
IF(AT30=regle!$C$12,regle!$C$11,
IF(AT30=regle!$D$12,regle!$D$11,
IF(AT30=regle!$E$12,regle!$E$11,
IF(AT30=regle!$F$12,regle!$F$11,
IF(AT30=regle!$G$12,regle!$G$11,
IF(AT30=regle!$H$12,regle!$H$11,
IF(AT30=regle!$I$12,regle!$I$11,""))))))))))</f>
        <v/>
      </c>
      <c r="AA30" t="str">
        <f>IF(NOT($A30),"",
IF(AU30=-2,regle!$J$11,
IF(AU30=regle!$B$12,regle!$B$11,
IF(AU30=regle!$C$12,regle!$C$11,
IF(AU30=regle!$D$12,regle!$D$11,
IF(AU30=regle!$E$12,regle!$E$11,
IF(AU30=regle!$F$12,regle!$F$11,
IF(AU30=regle!$G$12,regle!$G$11,
IF(AU30=regle!$H$12,regle!$H$11,
IF(AU30=regle!$I$12,regle!$I$11,""))))))))))</f>
        <v/>
      </c>
      <c r="AB30" t="str">
        <f>IF(NOT($A30),"",
IF(AV30=-2,regle!$J$11,
IF(AV30=regle!$B$12,regle!$B$11,
IF(AV30=regle!$C$12,regle!$C$11,
IF(AV30=regle!$D$12,regle!$D$11,
IF(AV30=regle!$E$12,regle!$E$11,
IF(AV30=regle!$F$12,regle!$F$11,
IF(AV30=regle!$G$12,regle!$G$11,
IF(AV30=regle!$H$12,regle!$H$11,
IF(AV30=regle!$I$12,regle!$I$11,""))))))))))</f>
        <v>EC4</v>
      </c>
      <c r="AC30" t="str">
        <f>IF(NOT($A30),"",
IF(AW30=-2,regle!$J$11,
IF(AW30=regle!$B$12,regle!$B$11,
IF(AW30=regle!$C$12,regle!$C$11,
IF(AW30=regle!$D$12,regle!$D$11,
IF(AW30=regle!$E$12,regle!$E$11,
IF(AW30=regle!$F$12,regle!$F$11,
IF(AW30=regle!$G$12,regle!$G$11,
IF(AW30=regle!$H$12,regle!$H$11,
IF(AW30=regle!$I$12,regle!$I$11,""))))))))))</f>
        <v/>
      </c>
      <c r="AD30" t="str">
        <f>IF(NOT($A30),"",
IF(AX30=-2,regle!$J$11,
IF(AX30=regle!$B$12,regle!$B$11,
IF(AX30=regle!$C$12,regle!$C$11,
IF(AX30=regle!$D$12,regle!$D$11,
IF(AX30=regle!$E$12,regle!$E$11,
IF(AX30=regle!$F$12,regle!$F$11,
IF(AX30=regle!$G$12,regle!$G$11,
IF(AX30=regle!$H$12,regle!$H$11,
IF(AX30=regle!$I$12,regle!$I$11,""))))))))))</f>
        <v/>
      </c>
      <c r="AE30" s="14">
        <f>IF($A30,$M30*(IF(U30=regle!$B$11,regle!$B$23,IF(U30=regle!$C$11,regle!$C$23,IF(U30=regle!$D$11,regle!$D$23,IF(U30=regle!$E$11,regle!$E$23,IF(U30=regle!$F$11,regle!$F$23,IF(U30=regle!$G$11,regle!$G$23,IF(U30=regle!$H$11,regle!$H$23,IF(U30=regle!$I$11,regle!$I$23,IF(U30=regle!$J$11,regle!$J$23,0)))))))))))</f>
        <v>0</v>
      </c>
      <c r="AF30" s="14">
        <f>IF($A30,$M30*(IF(V30=regle!$B$11,regle!$B$23,IF(V30=regle!$C$11,regle!$C$23,IF(V30=regle!$D$11,regle!$D$23,IF(V30=regle!$E$11,regle!$E$23,IF(V30=regle!$F$11,regle!$F$23,IF(V30=regle!$G$11,regle!$G$23,IF(V30=regle!$H$11,regle!$H$23,IF(V30=regle!$I$11,regle!$I$23,IF(V30=regle!$J$11,regle!$J$23,0)))))))))))</f>
        <v>0</v>
      </c>
      <c r="AG30" s="14">
        <f>IF($A30,$M30*(IF(W30=regle!$B$11,regle!$B$23,IF(W30=regle!$C$11,regle!$C$23,IF(W30=regle!$D$11,regle!$D$23,IF(W30=regle!$E$11,regle!$E$23,IF(W30=regle!$F$11,regle!$F$23,IF(W30=regle!$G$11,regle!$G$23,IF(W30=regle!$H$11,regle!$H$23,IF(W30=regle!$I$11,regle!$I$23,IF(W30=regle!$J$11,regle!$J$23,0)))))))))))</f>
        <v>995.59679999999992</v>
      </c>
      <c r="AH30" s="14">
        <f>IF($A30,$M30*(IF(X30=regle!$B$11,regle!$B$23,IF(X30=regle!$C$11,regle!$C$23,IF(X30=regle!$D$11,regle!$D$23,IF(X30=regle!$E$11,regle!$E$23,IF(X30=regle!$F$11,regle!$F$23,IF(X30=regle!$G$11,regle!$G$23,IF(X30=regle!$H$11,regle!$H$23,IF(X30=regle!$I$11,regle!$I$23,IF(X30=regle!$J$11,regle!$J$23,0)))))))))))</f>
        <v>0</v>
      </c>
      <c r="AI30" s="14">
        <f>IF($A30,$M30*(IF(Y30=regle!$B$11,regle!$B$23,IF(Y30=regle!$C$11,regle!$C$23,IF(Y30=regle!$D$11,regle!$D$23,IF(Y30=regle!$E$11,regle!$E$23,IF(Y30=regle!$F$11,regle!$F$23,IF(Y30=regle!$G$11,regle!$G$23,IF(Y30=regle!$H$11,regle!$H$23,IF(Y30=regle!$I$11,regle!$I$23,IF(Y30=regle!$J$11,regle!$J$23,0)))))))))))</f>
        <v>0</v>
      </c>
      <c r="AJ30" s="14">
        <f>IF($A30,$M30*(IF(Z30=regle!$B$11,regle!$B$23,IF(Z30=regle!$C$11,regle!$C$23,IF(Z30=regle!$D$11,regle!$D$23,IF(Z30=regle!$E$11,regle!$E$23,IF(Z30=regle!$F$11,regle!$F$23,IF(Z30=regle!$G$11,regle!$G$23,IF(Z30=regle!$H$11,regle!$H$23,IF(Z30=regle!$I$11,regle!$I$23,IF(Z30=regle!$J$11,regle!$J$23,0)))))))))))</f>
        <v>0</v>
      </c>
      <c r="AK30" s="14">
        <f>IF($A30,$M30*(IF(AA30=regle!$B$11,regle!$B$23,IF(AA30=regle!$C$11,regle!$C$23,IF(AA30=regle!$D$11,regle!$D$23,IF(AA30=regle!$E$11,regle!$E$23,IF(AA30=regle!$F$11,regle!$F$23,IF(AA30=regle!$G$11,regle!$G$23,IF(AA30=regle!$H$11,regle!$H$23,IF(AA30=regle!$I$11,regle!$I$23,IF(AA30=regle!$J$11,regle!$J$23,0)))))))))))</f>
        <v>0</v>
      </c>
      <c r="AL30" s="14">
        <f>IF($A30,$M30*(IF(AB30=regle!$B$11,regle!$B$23,IF(AB30=regle!$C$11,regle!$C$23,IF(AB30=regle!$D$11,regle!$D$23,IF(AB30=regle!$E$11,regle!$E$23,IF(AB30=regle!$F$11,regle!$F$23,IF(AB30=regle!$G$11,regle!$G$23,IF(AB30=regle!$H$11,regle!$H$23,IF(AB30=regle!$I$11,regle!$I$23,IF(AB30=regle!$J$11,regle!$J$23,0)))))))))))</f>
        <v>905.08799999999997</v>
      </c>
      <c r="AM30" s="14">
        <f>IF($A30,$M30*(IF(AC30=regle!$B$11,regle!$B$23,IF(AC30=regle!$C$11,regle!$C$23,IF(AC30=regle!$D$11,regle!$D$23,IF(AC30=regle!$E$11,regle!$E$23,IF(AC30=regle!$F$11,regle!$F$23,IF(AC30=regle!$G$11,regle!$G$23,IF(AC30=regle!$H$11,regle!$H$23,IF(AC30=regle!$I$11,regle!$I$23,IF(AC30=regle!$J$11,regle!$J$23,0)))))))))))</f>
        <v>0</v>
      </c>
      <c r="AN30" s="14">
        <f>IF($A30,$M30*(IF(AD30=regle!$B$11,regle!$B$23,IF(AD30=regle!$C$11,regle!$C$23,IF(AD30=regle!$D$11,regle!$D$23,IF(AD30=regle!$E$11,regle!$E$23,IF(AD30=regle!$F$11,regle!$F$23,IF(AD30=regle!$G$11,regle!$G$23,IF(AD30=regle!$H$11,regle!$H$23,IF(AD30=regle!$I$11,regle!$I$23,IF(AD30=regle!$J$11,regle!$J$23,0)))))))))))</f>
        <v>0</v>
      </c>
      <c r="AO30">
        <f>IF(AO$1=$AO$1,IF(regle!B$2-$Q30&gt;=regle!$J$12,-2,IF($S30,IF(regle!$B$2-$Q30&gt;=2,0,-1),regle!B$2-$Q30)),IF(AN30+1&gt;=regle!$J$12,-2,AN30+1))</f>
        <v>21</v>
      </c>
      <c r="AP30">
        <f>IF(AP$1=$AO$1,IF(regle!C$2-$Q30&gt;=regle!$J$12,-2,IF($S30,IF(regle!$B$2-$Q30&gt;=2,0,-1),regle!C$2-$Q30)),IF(AO30+1&gt;=regle!$J$12,-2,AO30+1))</f>
        <v>22</v>
      </c>
      <c r="AQ30">
        <f>IF(AQ$1=$AO$1,IF(regle!D$2-$Q30&gt;=regle!$J$12,-2,IF($S30,IF(regle!$B$2-$Q30&gt;=2,0,-1),regle!D$2-$Q30)),IF(AP30+1&gt;=regle!$J$12,-2,AP30+1))</f>
        <v>23</v>
      </c>
      <c r="AR30">
        <f>IF(AR$1=$AO$1,IF(regle!E$2-$Q30&gt;=regle!$J$12,-2,IF($S30,IF(regle!$B$2-$Q30&gt;=2,0,-1),regle!E$2-$Q30)),IF(AQ30+1&gt;=regle!$J$12,-2,AQ30+1))</f>
        <v>24</v>
      </c>
      <c r="AS30">
        <f>IF(AS$1=$AO$1,IF(regle!F$2-$Q30&gt;=regle!$J$12,-2,IF($S30,IF(regle!$B$2-$Q30&gt;=2,0,-1),regle!F$2-$Q30)),IF(AR30+1&gt;=regle!$J$12,-2,AR30+1))</f>
        <v>25</v>
      </c>
      <c r="AT30">
        <f>IF(AT$1=$AO$1,IF(regle!G$2-$Q30&gt;=regle!$J$12,-2,IF($S30,IF(regle!$B$2-$Q30&gt;=2,0,-1),regle!G$2-$Q30)),IF(AS30+1&gt;=regle!$J$12,-2,AS30+1))</f>
        <v>26</v>
      </c>
      <c r="AU30">
        <f>IF(AU$1=$AO$1,IF(regle!H$2-$Q30&gt;=regle!$J$12,-2,IF($S30,IF(regle!$B$2-$Q30&gt;=2,0,-1),regle!H$2-$Q30)),IF(AT30+1&gt;=regle!$J$12,-2,AT30+1))</f>
        <v>27</v>
      </c>
      <c r="AV30">
        <f>IF(AV$1=$AO$1,IF(regle!I$2-$Q30&gt;=regle!$J$12,-2,IF($S30,IF(regle!$B$2-$Q30&gt;=2,0,-1),regle!I$2-$Q30)),IF(AU30+1&gt;=regle!$J$12,-2,AU30+1))</f>
        <v>28</v>
      </c>
      <c r="AW30">
        <f>IF(AW$1=$AO$1,IF(regle!J$2-$Q30&gt;=regle!$J$12,-2,IF($S30,IF(regle!$B$2-$Q30&gt;=2,0,-1),regle!J$2-$Q30)),IF(AV30+1&gt;=regle!$J$12,-2,AV30+1))</f>
        <v>29</v>
      </c>
      <c r="AX30">
        <f>IF(AX$1=$AO$1,IF(regle!K$2-$Q30&gt;=regle!$J$12,-2,IF($S30,IF(regle!$B$2-$Q30&gt;=2,0,-1),regle!K$2-$Q30)),IF(AW30+1&gt;=regle!$J$12,-2,AW30+1))</f>
        <v>30</v>
      </c>
    </row>
    <row r="31" spans="1:50" x14ac:dyDescent="0.25">
      <c r="A31" t="b">
        <f>AND(modif0[[#This Row],[cdstr]]&lt;&gt;0,OR(regle!$H$27=FALSE,modif0[[#This Row],[essnc]]="PM"))</f>
        <v>1</v>
      </c>
      <c r="B31">
        <f>ROW(objet!A40)</f>
        <v>40</v>
      </c>
      <c r="C31" s="10" t="str">
        <f>objet!D40</f>
        <v>5360000A0414</v>
      </c>
      <c r="D31" t="str">
        <f>LEFT(modif0[[#This Row],[cdstr]],3)</f>
        <v>536</v>
      </c>
      <c r="E31" s="10" t="str">
        <f>objet!G40</f>
        <v>LE TUZAN</v>
      </c>
      <c r="F31">
        <f>LEN(modif0[[#This Row],[l_dt]])</f>
        <v>21</v>
      </c>
      <c r="G31" s="10" t="str">
        <f>objet!H40</f>
        <v>METAIRIES DE TABARTON</v>
      </c>
      <c r="H31" s="10" t="str">
        <f>objet!C40</f>
        <v>A414j</v>
      </c>
      <c r="I31" t="str">
        <f>IF(ISNUMBER(VALUE(RIGHT(LEFT(modif0[[#This Row],[idntfn]],2),1))),_xlfn.CONCAT(0,LEFT(modif0[[#This Row],[idntfn]],1)),LEFT(modif0[[#This Row],[idntfn]],2))</f>
        <v>0A</v>
      </c>
      <c r="J31">
        <f>VALUE(LEFT(RIGHT(modif0[[#This Row],[idntfn]],LEN(modif0[[#This Row],[idntfn]])-IF(LEFT(modif0[[#This Row],[sctn]],1)="0",1,2)),LEN(modif0[[#This Row],[idntfn]])-IF(LEFT(modif0[[#This Row],[sctn]],1)="0",1,2)-LEN(modif0[[#This Row],[lttr]])))</f>
        <v>414</v>
      </c>
      <c r="K31" t="str">
        <f>IF(ISNUMBER(VALUE(RIGHT(modif0[[#This Row],[idntfn]],1))),"",IF(ISNUMBER(VALUE(LEFT(RIGHT(modif0[[#This Row],[idntfn]],2),1))),RIGHT(modif0[[#This Row],[idntfn]],1),RIGHT(modif0[[#This Row],[idntfn]],2)))</f>
        <v>j</v>
      </c>
      <c r="L31" s="10">
        <f>objet!I40</f>
        <v>1233</v>
      </c>
      <c r="M31" s="11">
        <f>modif0[[#This Row],[srfc]]/10000</f>
        <v>0.12330000000000001</v>
      </c>
      <c r="N31" s="10" t="str">
        <f>objet!Z40</f>
        <v>PM</v>
      </c>
      <c r="O31" s="10" t="str">
        <f>objet!AA40</f>
        <v>PLA2005</v>
      </c>
      <c r="P31" t="str">
        <f>IF(ISNUMBER(modif0[[#This Row],[trvx]]),"",LEFT(modif0[[#This Row],[trvx]],LEN(modif0[[#This Row],[trvx]])-4))</f>
        <v>PLA</v>
      </c>
      <c r="Q31">
        <f>VALUE(RIGHT(modif0[[#This Row],[trvx]],4))</f>
        <v>2005</v>
      </c>
      <c r="R31" t="str">
        <f>_xlfn.CONCAT(modif0[[#This Row],[tp]],"-",modif0[[#This Row],[essnc]],"_",modif0[[#This Row],[anns]])</f>
        <v>PLA-PM_2005</v>
      </c>
      <c r="S31" t="b">
        <f>modif0[[#This Row],[tp]]="CR"</f>
        <v>0</v>
      </c>
      <c r="T31">
        <v>40</v>
      </c>
      <c r="U31" t="str">
        <f>IF(NOT($A31),"",
IF(AO31=-2,regle!$J$11,
IF(AO31=regle!$B$12,regle!$B$11,
IF(AO31=regle!$C$12,regle!$C$11,
IF(AO31=regle!$D$12,regle!$D$11,
IF(AO31=regle!$E$12,regle!$E$11,
IF(AO31=regle!$F$12,regle!$F$11,
IF(AO31=regle!$G$12,regle!$G$11,
IF(AO31=regle!$H$12,regle!$H$11,
IF(AO31=regle!$I$12,regle!$I$11,""))))))))))</f>
        <v/>
      </c>
      <c r="V31" t="str">
        <f>IF(NOT($A31),"",
IF(AP31=-2,regle!$J$11,
IF(AP31=regle!$B$12,regle!$B$11,
IF(AP31=regle!$C$12,regle!$C$11,
IF(AP31=regle!$D$12,regle!$D$11,
IF(AP31=regle!$E$12,regle!$E$11,
IF(AP31=regle!$F$12,regle!$F$11,
IF(AP31=regle!$G$12,regle!$G$11,
IF(AP31=regle!$H$12,regle!$H$11,
IF(AP31=regle!$I$12,regle!$I$11,""))))))))))</f>
        <v/>
      </c>
      <c r="W31" t="str">
        <f>IF(NOT($A31),"",
IF(AQ31=-2,regle!$J$11,
IF(AQ31=regle!$B$12,regle!$B$11,
IF(AQ31=regle!$C$12,regle!$C$11,
IF(AQ31=regle!$D$12,regle!$D$11,
IF(AQ31=regle!$E$12,regle!$E$11,
IF(AQ31=regle!$F$12,regle!$F$11,
IF(AQ31=regle!$G$12,regle!$G$11,
IF(AQ31=regle!$H$12,regle!$H$11,
IF(AQ31=regle!$I$12,regle!$I$11,""))))))))))</f>
        <v/>
      </c>
      <c r="X31" t="str">
        <f>IF(NOT($A31),"",
IF(AR31=-2,regle!$J$11,
IF(AR31=regle!$B$12,regle!$B$11,
IF(AR31=regle!$C$12,regle!$C$11,
IF(AR31=regle!$D$12,regle!$D$11,
IF(AR31=regle!$E$12,regle!$E$11,
IF(AR31=regle!$F$12,regle!$F$11,
IF(AR31=regle!$G$12,regle!$G$11,
IF(AR31=regle!$H$12,regle!$H$11,
IF(AR31=regle!$I$12,regle!$I$11,""))))))))))</f>
        <v/>
      </c>
      <c r="Y31" t="str">
        <f>IF(NOT($A31),"",
IF(AS31=-2,regle!$J$11,
IF(AS31=regle!$B$12,regle!$B$11,
IF(AS31=regle!$C$12,regle!$C$11,
IF(AS31=regle!$D$12,regle!$D$11,
IF(AS31=regle!$E$12,regle!$E$11,
IF(AS31=regle!$F$12,regle!$F$11,
IF(AS31=regle!$G$12,regle!$G$11,
IF(AS31=regle!$H$12,regle!$H$11,
IF(AS31=regle!$I$12,regle!$I$11,""))))))))))</f>
        <v>EC3</v>
      </c>
      <c r="Z31" t="str">
        <f>IF(NOT($A31),"",
IF(AT31=-2,regle!$J$11,
IF(AT31=regle!$B$12,regle!$B$11,
IF(AT31=regle!$C$12,regle!$C$11,
IF(AT31=regle!$D$12,regle!$D$11,
IF(AT31=regle!$E$12,regle!$E$11,
IF(AT31=regle!$F$12,regle!$F$11,
IF(AT31=regle!$G$12,regle!$G$11,
IF(AT31=regle!$H$12,regle!$H$11,
IF(AT31=regle!$I$12,regle!$I$11,""))))))))))</f>
        <v/>
      </c>
      <c r="AA31" t="str">
        <f>IF(NOT($A31),"",
IF(AU31=-2,regle!$J$11,
IF(AU31=regle!$B$12,regle!$B$11,
IF(AU31=regle!$C$12,regle!$C$11,
IF(AU31=regle!$D$12,regle!$D$11,
IF(AU31=regle!$E$12,regle!$E$11,
IF(AU31=regle!$F$12,regle!$F$11,
IF(AU31=regle!$G$12,regle!$G$11,
IF(AU31=regle!$H$12,regle!$H$11,
IF(AU31=regle!$I$12,regle!$I$11,""))))))))))</f>
        <v/>
      </c>
      <c r="AB31" t="str">
        <f>IF(NOT($A31),"",
IF(AV31=-2,regle!$J$11,
IF(AV31=regle!$B$12,regle!$B$11,
IF(AV31=regle!$C$12,regle!$C$11,
IF(AV31=regle!$D$12,regle!$D$11,
IF(AV31=regle!$E$12,regle!$E$11,
IF(AV31=regle!$F$12,regle!$F$11,
IF(AV31=regle!$G$12,regle!$G$11,
IF(AV31=regle!$H$12,regle!$H$11,
IF(AV31=regle!$I$12,regle!$I$11,""))))))))))</f>
        <v/>
      </c>
      <c r="AC31" t="str">
        <f>IF(NOT($A31),"",
IF(AW31=-2,regle!$J$11,
IF(AW31=regle!$B$12,regle!$B$11,
IF(AW31=regle!$C$12,regle!$C$11,
IF(AW31=regle!$D$12,regle!$D$11,
IF(AW31=regle!$E$12,regle!$E$11,
IF(AW31=regle!$F$12,regle!$F$11,
IF(AW31=regle!$G$12,regle!$G$11,
IF(AW31=regle!$H$12,regle!$H$11,
IF(AW31=regle!$I$12,regle!$I$11,""))))))))))</f>
        <v/>
      </c>
      <c r="AD31" t="str">
        <f>IF(NOT($A31),"",
IF(AX31=-2,regle!$J$11,
IF(AX31=regle!$B$12,regle!$B$11,
IF(AX31=regle!$C$12,regle!$C$11,
IF(AX31=regle!$D$12,regle!$D$11,
IF(AX31=regle!$E$12,regle!$E$11,
IF(AX31=regle!$F$12,regle!$F$11,
IF(AX31=regle!$G$12,regle!$G$11,
IF(AX31=regle!$H$12,regle!$H$11,
IF(AX31=regle!$I$12,regle!$I$11,""))))))))))</f>
        <v>EC4</v>
      </c>
      <c r="AE31" s="14">
        <f>IF($A31,$M31*(IF(U31=regle!$B$11,regle!$B$23,IF(U31=regle!$C$11,regle!$C$23,IF(U31=regle!$D$11,regle!$D$23,IF(U31=regle!$E$11,regle!$E$23,IF(U31=regle!$F$11,regle!$F$23,IF(U31=regle!$G$11,regle!$G$23,IF(U31=regle!$H$11,regle!$H$23,IF(U31=regle!$I$11,regle!$I$23,IF(U31=regle!$J$11,regle!$J$23,0)))))))))))</f>
        <v>0</v>
      </c>
      <c r="AF31" s="14">
        <f>IF($A31,$M31*(IF(V31=regle!$B$11,regle!$B$23,IF(V31=regle!$C$11,regle!$C$23,IF(V31=regle!$D$11,regle!$D$23,IF(V31=regle!$E$11,regle!$E$23,IF(V31=regle!$F$11,regle!$F$23,IF(V31=regle!$G$11,regle!$G$23,IF(V31=regle!$H$11,regle!$H$23,IF(V31=regle!$I$11,regle!$I$23,IF(V31=regle!$J$11,regle!$J$23,0)))))))))))</f>
        <v>0</v>
      </c>
      <c r="AG31" s="14">
        <f>IF($A31,$M31*(IF(W31=regle!$B$11,regle!$B$23,IF(W31=regle!$C$11,regle!$C$23,IF(W31=regle!$D$11,regle!$D$23,IF(W31=regle!$E$11,regle!$E$23,IF(W31=regle!$F$11,regle!$F$23,IF(W31=regle!$G$11,regle!$G$23,IF(W31=regle!$H$11,regle!$H$23,IF(W31=regle!$I$11,regle!$I$23,IF(W31=regle!$J$11,regle!$J$23,0)))))))))))</f>
        <v>0</v>
      </c>
      <c r="AH31" s="14">
        <f>IF($A31,$M31*(IF(X31=regle!$B$11,regle!$B$23,IF(X31=regle!$C$11,regle!$C$23,IF(X31=regle!$D$11,regle!$D$23,IF(X31=regle!$E$11,regle!$E$23,IF(X31=regle!$F$11,regle!$F$23,IF(X31=regle!$G$11,regle!$G$23,IF(X31=regle!$H$11,regle!$H$23,IF(X31=regle!$I$11,regle!$I$23,IF(X31=regle!$J$11,regle!$J$23,0)))))))))))</f>
        <v>0</v>
      </c>
      <c r="AI31" s="14">
        <f>IF($A31,$M31*(IF(Y31=regle!$B$11,regle!$B$23,IF(Y31=regle!$C$11,regle!$C$23,IF(Y31=regle!$D$11,regle!$D$23,IF(Y31=regle!$E$11,regle!$E$23,IF(Y31=regle!$F$11,regle!$F$23,IF(Y31=regle!$G$11,regle!$G$23,IF(Y31=regle!$H$11,regle!$H$23,IF(Y31=regle!$I$11,regle!$I$23,IF(Y31=regle!$J$11,regle!$J$23,0)))))))))))</f>
        <v>173.60640000000001</v>
      </c>
      <c r="AJ31" s="14">
        <f>IF($A31,$M31*(IF(Z31=regle!$B$11,regle!$B$23,IF(Z31=regle!$C$11,regle!$C$23,IF(Z31=regle!$D$11,regle!$D$23,IF(Z31=regle!$E$11,regle!$E$23,IF(Z31=regle!$F$11,regle!$F$23,IF(Z31=regle!$G$11,regle!$G$23,IF(Z31=regle!$H$11,regle!$H$23,IF(Z31=regle!$I$11,regle!$I$23,IF(Z31=regle!$J$11,regle!$J$23,0)))))))))))</f>
        <v>0</v>
      </c>
      <c r="AK31" s="14">
        <f>IF($A31,$M31*(IF(AA31=regle!$B$11,regle!$B$23,IF(AA31=regle!$C$11,regle!$C$23,IF(AA31=regle!$D$11,regle!$D$23,IF(AA31=regle!$E$11,regle!$E$23,IF(AA31=regle!$F$11,regle!$F$23,IF(AA31=regle!$G$11,regle!$G$23,IF(AA31=regle!$H$11,regle!$H$23,IF(AA31=regle!$I$11,regle!$I$23,IF(AA31=regle!$J$11,regle!$J$23,0)))))))))))</f>
        <v>0</v>
      </c>
      <c r="AL31" s="14">
        <f>IF($A31,$M31*(IF(AB31=regle!$B$11,regle!$B$23,IF(AB31=regle!$C$11,regle!$C$23,IF(AB31=regle!$D$11,regle!$D$23,IF(AB31=regle!$E$11,regle!$E$23,IF(AB31=regle!$F$11,regle!$F$23,IF(AB31=regle!$G$11,regle!$G$23,IF(AB31=regle!$H$11,regle!$H$23,IF(AB31=regle!$I$11,regle!$I$23,IF(AB31=regle!$J$11,regle!$J$23,0)))))))))))</f>
        <v>0</v>
      </c>
      <c r="AM31" s="14">
        <f>IF($A31,$M31*(IF(AC31=regle!$B$11,regle!$B$23,IF(AC31=regle!$C$11,regle!$C$23,IF(AC31=regle!$D$11,regle!$D$23,IF(AC31=regle!$E$11,regle!$E$23,IF(AC31=regle!$F$11,regle!$F$23,IF(AC31=regle!$G$11,regle!$G$23,IF(AC31=regle!$H$11,regle!$H$23,IF(AC31=regle!$I$11,regle!$I$23,IF(AC31=regle!$J$11,regle!$J$23,0)))))))))))</f>
        <v>0</v>
      </c>
      <c r="AN31" s="14">
        <f>IF($A31,$M31*(IF(AD31=regle!$B$11,regle!$B$23,IF(AD31=regle!$C$11,regle!$C$23,IF(AD31=regle!$D$11,regle!$D$23,IF(AD31=regle!$E$11,regle!$E$23,IF(AD31=regle!$F$11,regle!$F$23,IF(AD31=regle!$G$11,regle!$G$23,IF(AD31=regle!$H$11,regle!$H$23,IF(AD31=regle!$I$11,regle!$I$23,IF(AD31=regle!$J$11,regle!$J$23,0)))))))))))</f>
        <v>157.82400000000001</v>
      </c>
      <c r="AO31">
        <f>IF(AO$1=$AO$1,IF(regle!B$2-$Q31&gt;=regle!$J$12,-2,IF($S31,IF(regle!$B$2-$Q31&gt;=2,0,-1),regle!B$2-$Q31)),IF(AN31+1&gt;=regle!$J$12,-2,AN31+1))</f>
        <v>19</v>
      </c>
      <c r="AP31">
        <f>IF(AP$1=$AO$1,IF(regle!C$2-$Q31&gt;=regle!$J$12,-2,IF($S31,IF(regle!$B$2-$Q31&gt;=2,0,-1),regle!C$2-$Q31)),IF(AO31+1&gt;=regle!$J$12,-2,AO31+1))</f>
        <v>20</v>
      </c>
      <c r="AQ31">
        <f>IF(AQ$1=$AO$1,IF(regle!D$2-$Q31&gt;=regle!$J$12,-2,IF($S31,IF(regle!$B$2-$Q31&gt;=2,0,-1),regle!D$2-$Q31)),IF(AP31+1&gt;=regle!$J$12,-2,AP31+1))</f>
        <v>21</v>
      </c>
      <c r="AR31">
        <f>IF(AR$1=$AO$1,IF(regle!E$2-$Q31&gt;=regle!$J$12,-2,IF($S31,IF(regle!$B$2-$Q31&gt;=2,0,-1),regle!E$2-$Q31)),IF(AQ31+1&gt;=regle!$J$12,-2,AQ31+1))</f>
        <v>22</v>
      </c>
      <c r="AS31">
        <f>IF(AS$1=$AO$1,IF(regle!F$2-$Q31&gt;=regle!$J$12,-2,IF($S31,IF(regle!$B$2-$Q31&gt;=2,0,-1),regle!F$2-$Q31)),IF(AR31+1&gt;=regle!$J$12,-2,AR31+1))</f>
        <v>23</v>
      </c>
      <c r="AT31">
        <f>IF(AT$1=$AO$1,IF(regle!G$2-$Q31&gt;=regle!$J$12,-2,IF($S31,IF(regle!$B$2-$Q31&gt;=2,0,-1),regle!G$2-$Q31)),IF(AS31+1&gt;=regle!$J$12,-2,AS31+1))</f>
        <v>24</v>
      </c>
      <c r="AU31">
        <f>IF(AU$1=$AO$1,IF(regle!H$2-$Q31&gt;=regle!$J$12,-2,IF($S31,IF(regle!$B$2-$Q31&gt;=2,0,-1),regle!H$2-$Q31)),IF(AT31+1&gt;=regle!$J$12,-2,AT31+1))</f>
        <v>25</v>
      </c>
      <c r="AV31">
        <f>IF(AV$1=$AO$1,IF(regle!I$2-$Q31&gt;=regle!$J$12,-2,IF($S31,IF(regle!$B$2-$Q31&gt;=2,0,-1),regle!I$2-$Q31)),IF(AU31+1&gt;=regle!$J$12,-2,AU31+1))</f>
        <v>26</v>
      </c>
      <c r="AW31">
        <f>IF(AW$1=$AO$1,IF(regle!J$2-$Q31&gt;=regle!$J$12,-2,IF($S31,IF(regle!$B$2-$Q31&gt;=2,0,-1),regle!J$2-$Q31)),IF(AV31+1&gt;=regle!$J$12,-2,AV31+1))</f>
        <v>27</v>
      </c>
      <c r="AX31">
        <f>IF(AX$1=$AO$1,IF(regle!K$2-$Q31&gt;=regle!$J$12,-2,IF($S31,IF(regle!$B$2-$Q31&gt;=2,0,-1),regle!K$2-$Q31)),IF(AW31+1&gt;=regle!$J$12,-2,AW31+1))</f>
        <v>28</v>
      </c>
    </row>
    <row r="32" spans="1:50" x14ac:dyDescent="0.25">
      <c r="A32" t="b">
        <f>AND(modif0[[#This Row],[cdstr]]&lt;&gt;0,OR(regle!$H$27=FALSE,modif0[[#This Row],[essnc]]="PM"))</f>
        <v>1</v>
      </c>
      <c r="B32">
        <f>ROW(objet!A43)</f>
        <v>43</v>
      </c>
      <c r="C32" s="10" t="str">
        <f>objet!D43</f>
        <v>5360000A0415</v>
      </c>
      <c r="D32" t="str">
        <f>LEFT(modif0[[#This Row],[cdstr]],3)</f>
        <v>536</v>
      </c>
      <c r="E32" s="10" t="str">
        <f>objet!G43</f>
        <v>LE TUZAN</v>
      </c>
      <c r="F32">
        <f>LEN(modif0[[#This Row],[l_dt]])</f>
        <v>21</v>
      </c>
      <c r="G32" s="10" t="str">
        <f>objet!H43</f>
        <v>METAIRIES DE TABARTON</v>
      </c>
      <c r="H32" s="10" t="str">
        <f>objet!C43</f>
        <v>A415k</v>
      </c>
      <c r="I32" t="str">
        <f>IF(ISNUMBER(VALUE(RIGHT(LEFT(modif0[[#This Row],[idntfn]],2),1))),_xlfn.CONCAT(0,LEFT(modif0[[#This Row],[idntfn]],1)),LEFT(modif0[[#This Row],[idntfn]],2))</f>
        <v>0A</v>
      </c>
      <c r="J32">
        <f>VALUE(LEFT(RIGHT(modif0[[#This Row],[idntfn]],LEN(modif0[[#This Row],[idntfn]])-IF(LEFT(modif0[[#This Row],[sctn]],1)="0",1,2)),LEN(modif0[[#This Row],[idntfn]])-IF(LEFT(modif0[[#This Row],[sctn]],1)="0",1,2)-LEN(modif0[[#This Row],[lttr]])))</f>
        <v>415</v>
      </c>
      <c r="K32" t="str">
        <f>IF(ISNUMBER(VALUE(RIGHT(modif0[[#This Row],[idntfn]],1))),"",IF(ISNUMBER(VALUE(LEFT(RIGHT(modif0[[#This Row],[idntfn]],2),1))),RIGHT(modif0[[#This Row],[idntfn]],1),RIGHT(modif0[[#This Row],[idntfn]],2)))</f>
        <v>k</v>
      </c>
      <c r="L32" s="10">
        <f>objet!I43</f>
        <v>2626</v>
      </c>
      <c r="M32" s="11">
        <f>modif0[[#This Row],[srfc]]/10000</f>
        <v>0.2626</v>
      </c>
      <c r="N32" s="10" t="str">
        <f>objet!Z43</f>
        <v>PM</v>
      </c>
      <c r="O32" s="10" t="str">
        <f>objet!AA43</f>
        <v>SL2003</v>
      </c>
      <c r="P32" t="str">
        <f>IF(ISNUMBER(modif0[[#This Row],[trvx]]),"",LEFT(modif0[[#This Row],[trvx]],LEN(modif0[[#This Row],[trvx]])-4))</f>
        <v>SL</v>
      </c>
      <c r="Q32">
        <f>VALUE(RIGHT(modif0[[#This Row],[trvx]],4))</f>
        <v>2003</v>
      </c>
      <c r="R32" t="str">
        <f>_xlfn.CONCAT(modif0[[#This Row],[tp]],"-",modif0[[#This Row],[essnc]],"_",modif0[[#This Row],[anns]])</f>
        <v>SL-PM_2003</v>
      </c>
      <c r="S32" t="b">
        <f>modif0[[#This Row],[tp]]="CR"</f>
        <v>0</v>
      </c>
      <c r="T32">
        <v>40</v>
      </c>
      <c r="U32" t="str">
        <f>IF(NOT($A32),"",
IF(AO32=-2,regle!$J$11,
IF(AO32=regle!$B$12,regle!$B$11,
IF(AO32=regle!$C$12,regle!$C$11,
IF(AO32=regle!$D$12,regle!$D$11,
IF(AO32=regle!$E$12,regle!$E$11,
IF(AO32=regle!$F$12,regle!$F$11,
IF(AO32=regle!$G$12,regle!$G$11,
IF(AO32=regle!$H$12,regle!$H$11,
IF(AO32=regle!$I$12,regle!$I$11,""))))))))))</f>
        <v/>
      </c>
      <c r="V32" t="str">
        <f>IF(NOT($A32),"",
IF(AP32=-2,regle!$J$11,
IF(AP32=regle!$B$12,regle!$B$11,
IF(AP32=regle!$C$12,regle!$C$11,
IF(AP32=regle!$D$12,regle!$D$11,
IF(AP32=regle!$E$12,regle!$E$11,
IF(AP32=regle!$F$12,regle!$F$11,
IF(AP32=regle!$G$12,regle!$G$11,
IF(AP32=regle!$H$12,regle!$H$11,
IF(AP32=regle!$I$12,regle!$I$11,""))))))))))</f>
        <v/>
      </c>
      <c r="W32" t="str">
        <f>IF(NOT($A32),"",
IF(AQ32=-2,regle!$J$11,
IF(AQ32=regle!$B$12,regle!$B$11,
IF(AQ32=regle!$C$12,regle!$C$11,
IF(AQ32=regle!$D$12,regle!$D$11,
IF(AQ32=regle!$E$12,regle!$E$11,
IF(AQ32=regle!$F$12,regle!$F$11,
IF(AQ32=regle!$G$12,regle!$G$11,
IF(AQ32=regle!$H$12,regle!$H$11,
IF(AQ32=regle!$I$12,regle!$I$11,""))))))))))</f>
        <v>EC3</v>
      </c>
      <c r="X32" t="str">
        <f>IF(NOT($A32),"",
IF(AR32=-2,regle!$J$11,
IF(AR32=regle!$B$12,regle!$B$11,
IF(AR32=regle!$C$12,regle!$C$11,
IF(AR32=regle!$D$12,regle!$D$11,
IF(AR32=regle!$E$12,regle!$E$11,
IF(AR32=regle!$F$12,regle!$F$11,
IF(AR32=regle!$G$12,regle!$G$11,
IF(AR32=regle!$H$12,regle!$H$11,
IF(AR32=regle!$I$12,regle!$I$11,""))))))))))</f>
        <v/>
      </c>
      <c r="Y32" t="str">
        <f>IF(NOT($A32),"",
IF(AS32=-2,regle!$J$11,
IF(AS32=regle!$B$12,regle!$B$11,
IF(AS32=regle!$C$12,regle!$C$11,
IF(AS32=regle!$D$12,regle!$D$11,
IF(AS32=regle!$E$12,regle!$E$11,
IF(AS32=regle!$F$12,regle!$F$11,
IF(AS32=regle!$G$12,regle!$G$11,
IF(AS32=regle!$H$12,regle!$H$11,
IF(AS32=regle!$I$12,regle!$I$11,""))))))))))</f>
        <v/>
      </c>
      <c r="Z32" t="str">
        <f>IF(NOT($A32),"",
IF(AT32=-2,regle!$J$11,
IF(AT32=regle!$B$12,regle!$B$11,
IF(AT32=regle!$C$12,regle!$C$11,
IF(AT32=regle!$D$12,regle!$D$11,
IF(AT32=regle!$E$12,regle!$E$11,
IF(AT32=regle!$F$12,regle!$F$11,
IF(AT32=regle!$G$12,regle!$G$11,
IF(AT32=regle!$H$12,regle!$H$11,
IF(AT32=regle!$I$12,regle!$I$11,""))))))))))</f>
        <v/>
      </c>
      <c r="AA32" t="str">
        <f>IF(NOT($A32),"",
IF(AU32=-2,regle!$J$11,
IF(AU32=regle!$B$12,regle!$B$11,
IF(AU32=regle!$C$12,regle!$C$11,
IF(AU32=regle!$D$12,regle!$D$11,
IF(AU32=regle!$E$12,regle!$E$11,
IF(AU32=regle!$F$12,regle!$F$11,
IF(AU32=regle!$G$12,regle!$G$11,
IF(AU32=regle!$H$12,regle!$H$11,
IF(AU32=regle!$I$12,regle!$I$11,""))))))))))</f>
        <v/>
      </c>
      <c r="AB32" t="str">
        <f>IF(NOT($A32),"",
IF(AV32=-2,regle!$J$11,
IF(AV32=regle!$B$12,regle!$B$11,
IF(AV32=regle!$C$12,regle!$C$11,
IF(AV32=regle!$D$12,regle!$D$11,
IF(AV32=regle!$E$12,regle!$E$11,
IF(AV32=regle!$F$12,regle!$F$11,
IF(AV32=regle!$G$12,regle!$G$11,
IF(AV32=regle!$H$12,regle!$H$11,
IF(AV32=regle!$I$12,regle!$I$11,""))))))))))</f>
        <v>EC4</v>
      </c>
      <c r="AC32" t="str">
        <f>IF(NOT($A32),"",
IF(AW32=-2,regle!$J$11,
IF(AW32=regle!$B$12,regle!$B$11,
IF(AW32=regle!$C$12,regle!$C$11,
IF(AW32=regle!$D$12,regle!$D$11,
IF(AW32=regle!$E$12,regle!$E$11,
IF(AW32=regle!$F$12,regle!$F$11,
IF(AW32=regle!$G$12,regle!$G$11,
IF(AW32=regle!$H$12,regle!$H$11,
IF(AW32=regle!$I$12,regle!$I$11,""))))))))))</f>
        <v/>
      </c>
      <c r="AD32" t="str">
        <f>IF(NOT($A32),"",
IF(AX32=-2,regle!$J$11,
IF(AX32=regle!$B$12,regle!$B$11,
IF(AX32=regle!$C$12,regle!$C$11,
IF(AX32=regle!$D$12,regle!$D$11,
IF(AX32=regle!$E$12,regle!$E$11,
IF(AX32=regle!$F$12,regle!$F$11,
IF(AX32=regle!$G$12,regle!$G$11,
IF(AX32=regle!$H$12,regle!$H$11,
IF(AX32=regle!$I$12,regle!$I$11,""))))))))))</f>
        <v/>
      </c>
      <c r="AE32" s="14">
        <f>IF($A32,$M32*(IF(U32=regle!$B$11,regle!$B$23,IF(U32=regle!$C$11,regle!$C$23,IF(U32=regle!$D$11,regle!$D$23,IF(U32=regle!$E$11,regle!$E$23,IF(U32=regle!$F$11,regle!$F$23,IF(U32=regle!$G$11,regle!$G$23,IF(U32=regle!$H$11,regle!$H$23,IF(U32=regle!$I$11,regle!$I$23,IF(U32=regle!$J$11,regle!$J$23,0)))))))))))</f>
        <v>0</v>
      </c>
      <c r="AF32" s="14">
        <f>IF($A32,$M32*(IF(V32=regle!$B$11,regle!$B$23,IF(V32=regle!$C$11,regle!$C$23,IF(V32=regle!$D$11,regle!$D$23,IF(V32=regle!$E$11,regle!$E$23,IF(V32=regle!$F$11,regle!$F$23,IF(V32=regle!$G$11,regle!$G$23,IF(V32=regle!$H$11,regle!$H$23,IF(V32=regle!$I$11,regle!$I$23,IF(V32=regle!$J$11,regle!$J$23,0)))))))))))</f>
        <v>0</v>
      </c>
      <c r="AG32" s="14">
        <f>IF($A32,$M32*(IF(W32=regle!$B$11,regle!$B$23,IF(W32=regle!$C$11,regle!$C$23,IF(W32=regle!$D$11,regle!$D$23,IF(W32=regle!$E$11,regle!$E$23,IF(W32=regle!$F$11,regle!$F$23,IF(W32=regle!$G$11,regle!$G$23,IF(W32=regle!$H$11,regle!$H$23,IF(W32=regle!$I$11,regle!$I$23,IF(W32=regle!$J$11,regle!$J$23,0)))))))))))</f>
        <v>369.74079999999998</v>
      </c>
      <c r="AH32" s="14">
        <f>IF($A32,$M32*(IF(X32=regle!$B$11,regle!$B$23,IF(X32=regle!$C$11,regle!$C$23,IF(X32=regle!$D$11,regle!$D$23,IF(X32=regle!$E$11,regle!$E$23,IF(X32=regle!$F$11,regle!$F$23,IF(X32=regle!$G$11,regle!$G$23,IF(X32=regle!$H$11,regle!$H$23,IF(X32=regle!$I$11,regle!$I$23,IF(X32=regle!$J$11,regle!$J$23,0)))))))))))</f>
        <v>0</v>
      </c>
      <c r="AI32" s="14">
        <f>IF($A32,$M32*(IF(Y32=regle!$B$11,regle!$B$23,IF(Y32=regle!$C$11,regle!$C$23,IF(Y32=regle!$D$11,regle!$D$23,IF(Y32=regle!$E$11,regle!$E$23,IF(Y32=regle!$F$11,regle!$F$23,IF(Y32=regle!$G$11,regle!$G$23,IF(Y32=regle!$H$11,regle!$H$23,IF(Y32=regle!$I$11,regle!$I$23,IF(Y32=regle!$J$11,regle!$J$23,0)))))))))))</f>
        <v>0</v>
      </c>
      <c r="AJ32" s="14">
        <f>IF($A32,$M32*(IF(Z32=regle!$B$11,regle!$B$23,IF(Z32=regle!$C$11,regle!$C$23,IF(Z32=regle!$D$11,regle!$D$23,IF(Z32=regle!$E$11,regle!$E$23,IF(Z32=regle!$F$11,regle!$F$23,IF(Z32=regle!$G$11,regle!$G$23,IF(Z32=regle!$H$11,regle!$H$23,IF(Z32=regle!$I$11,regle!$I$23,IF(Z32=regle!$J$11,regle!$J$23,0)))))))))))</f>
        <v>0</v>
      </c>
      <c r="AK32" s="14">
        <f>IF($A32,$M32*(IF(AA32=regle!$B$11,regle!$B$23,IF(AA32=regle!$C$11,regle!$C$23,IF(AA32=regle!$D$11,regle!$D$23,IF(AA32=regle!$E$11,regle!$E$23,IF(AA32=regle!$F$11,regle!$F$23,IF(AA32=regle!$G$11,regle!$G$23,IF(AA32=regle!$H$11,regle!$H$23,IF(AA32=regle!$I$11,regle!$I$23,IF(AA32=regle!$J$11,regle!$J$23,0)))))))))))</f>
        <v>0</v>
      </c>
      <c r="AL32" s="14">
        <f>IF($A32,$M32*(IF(AB32=regle!$B$11,regle!$B$23,IF(AB32=regle!$C$11,regle!$C$23,IF(AB32=regle!$D$11,regle!$D$23,IF(AB32=regle!$E$11,regle!$E$23,IF(AB32=regle!$F$11,regle!$F$23,IF(AB32=regle!$G$11,regle!$G$23,IF(AB32=regle!$H$11,regle!$H$23,IF(AB32=regle!$I$11,regle!$I$23,IF(AB32=regle!$J$11,regle!$J$23,0)))))))))))</f>
        <v>336.12799999999999</v>
      </c>
      <c r="AM32" s="14">
        <f>IF($A32,$M32*(IF(AC32=regle!$B$11,regle!$B$23,IF(AC32=regle!$C$11,regle!$C$23,IF(AC32=regle!$D$11,regle!$D$23,IF(AC32=regle!$E$11,regle!$E$23,IF(AC32=regle!$F$11,regle!$F$23,IF(AC32=regle!$G$11,regle!$G$23,IF(AC32=regle!$H$11,regle!$H$23,IF(AC32=regle!$I$11,regle!$I$23,IF(AC32=regle!$J$11,regle!$J$23,0)))))))))))</f>
        <v>0</v>
      </c>
      <c r="AN32" s="14">
        <f>IF($A32,$M32*(IF(AD32=regle!$B$11,regle!$B$23,IF(AD32=regle!$C$11,regle!$C$23,IF(AD32=regle!$D$11,regle!$D$23,IF(AD32=regle!$E$11,regle!$E$23,IF(AD32=regle!$F$11,regle!$F$23,IF(AD32=regle!$G$11,regle!$G$23,IF(AD32=regle!$H$11,regle!$H$23,IF(AD32=regle!$I$11,regle!$I$23,IF(AD32=regle!$J$11,regle!$J$23,0)))))))))))</f>
        <v>0</v>
      </c>
      <c r="AO32">
        <f>IF(AO$1=$AO$1,IF(regle!B$2-$Q32&gt;=regle!$J$12,-2,IF($S32,IF(regle!$B$2-$Q32&gt;=2,0,-1),regle!B$2-$Q32)),IF(AN32+1&gt;=regle!$J$12,-2,AN32+1))</f>
        <v>21</v>
      </c>
      <c r="AP32">
        <f>IF(AP$1=$AO$1,IF(regle!C$2-$Q32&gt;=regle!$J$12,-2,IF($S32,IF(regle!$B$2-$Q32&gt;=2,0,-1),regle!C$2-$Q32)),IF(AO32+1&gt;=regle!$J$12,-2,AO32+1))</f>
        <v>22</v>
      </c>
      <c r="AQ32">
        <f>IF(AQ$1=$AO$1,IF(regle!D$2-$Q32&gt;=regle!$J$12,-2,IF($S32,IF(regle!$B$2-$Q32&gt;=2,0,-1),regle!D$2-$Q32)),IF(AP32+1&gt;=regle!$J$12,-2,AP32+1))</f>
        <v>23</v>
      </c>
      <c r="AR32">
        <f>IF(AR$1=$AO$1,IF(regle!E$2-$Q32&gt;=regle!$J$12,-2,IF($S32,IF(regle!$B$2-$Q32&gt;=2,0,-1),regle!E$2-$Q32)),IF(AQ32+1&gt;=regle!$J$12,-2,AQ32+1))</f>
        <v>24</v>
      </c>
      <c r="AS32">
        <f>IF(AS$1=$AO$1,IF(regle!F$2-$Q32&gt;=regle!$J$12,-2,IF($S32,IF(regle!$B$2-$Q32&gt;=2,0,-1),regle!F$2-$Q32)),IF(AR32+1&gt;=regle!$J$12,-2,AR32+1))</f>
        <v>25</v>
      </c>
      <c r="AT32">
        <f>IF(AT$1=$AO$1,IF(regle!G$2-$Q32&gt;=regle!$J$12,-2,IF($S32,IF(regle!$B$2-$Q32&gt;=2,0,-1),regle!G$2-$Q32)),IF(AS32+1&gt;=regle!$J$12,-2,AS32+1))</f>
        <v>26</v>
      </c>
      <c r="AU32">
        <f>IF(AU$1=$AO$1,IF(regle!H$2-$Q32&gt;=regle!$J$12,-2,IF($S32,IF(regle!$B$2-$Q32&gt;=2,0,-1),regle!H$2-$Q32)),IF(AT32+1&gt;=regle!$J$12,-2,AT32+1))</f>
        <v>27</v>
      </c>
      <c r="AV32">
        <f>IF(AV$1=$AO$1,IF(regle!I$2-$Q32&gt;=regle!$J$12,-2,IF($S32,IF(regle!$B$2-$Q32&gt;=2,0,-1),regle!I$2-$Q32)),IF(AU32+1&gt;=regle!$J$12,-2,AU32+1))</f>
        <v>28</v>
      </c>
      <c r="AW32">
        <f>IF(AW$1=$AO$1,IF(regle!J$2-$Q32&gt;=regle!$J$12,-2,IF($S32,IF(regle!$B$2-$Q32&gt;=2,0,-1),regle!J$2-$Q32)),IF(AV32+1&gt;=regle!$J$12,-2,AV32+1))</f>
        <v>29</v>
      </c>
      <c r="AX32">
        <f>IF(AX$1=$AO$1,IF(regle!K$2-$Q32&gt;=regle!$J$12,-2,IF($S32,IF(regle!$B$2-$Q32&gt;=2,0,-1),regle!K$2-$Q32)),IF(AW32+1&gt;=regle!$J$12,-2,AW32+1))</f>
        <v>30</v>
      </c>
    </row>
    <row r="33" spans="1:50" x14ac:dyDescent="0.25">
      <c r="A33" t="b">
        <f>AND(modif0[[#This Row],[cdstr]]&lt;&gt;0,OR(regle!$H$27=FALSE,modif0[[#This Row],[essnc]]="PM"))</f>
        <v>1</v>
      </c>
      <c r="B33">
        <f>ROW(objet!A44)</f>
        <v>44</v>
      </c>
      <c r="C33" s="10" t="str">
        <f>objet!D44</f>
        <v>5360000A0416</v>
      </c>
      <c r="D33" t="str">
        <f>LEFT(modif0[[#This Row],[cdstr]],3)</f>
        <v>536</v>
      </c>
      <c r="E33" s="10" t="str">
        <f>objet!G44</f>
        <v>LE TUZAN</v>
      </c>
      <c r="F33">
        <f>LEN(modif0[[#This Row],[l_dt]])</f>
        <v>21</v>
      </c>
      <c r="G33" s="10" t="str">
        <f>objet!H44</f>
        <v>METAIRIES DE TABARTON</v>
      </c>
      <c r="H33" s="10" t="str">
        <f>objet!C44</f>
        <v>A416a</v>
      </c>
      <c r="I33" t="str">
        <f>IF(ISNUMBER(VALUE(RIGHT(LEFT(modif0[[#This Row],[idntfn]],2),1))),_xlfn.CONCAT(0,LEFT(modif0[[#This Row],[idntfn]],1)),LEFT(modif0[[#This Row],[idntfn]],2))</f>
        <v>0A</v>
      </c>
      <c r="J33">
        <f>VALUE(LEFT(RIGHT(modif0[[#This Row],[idntfn]],LEN(modif0[[#This Row],[idntfn]])-IF(LEFT(modif0[[#This Row],[sctn]],1)="0",1,2)),LEN(modif0[[#This Row],[idntfn]])-IF(LEFT(modif0[[#This Row],[sctn]],1)="0",1,2)-LEN(modif0[[#This Row],[lttr]])))</f>
        <v>416</v>
      </c>
      <c r="K33" t="str">
        <f>IF(ISNUMBER(VALUE(RIGHT(modif0[[#This Row],[idntfn]],1))),"",IF(ISNUMBER(VALUE(LEFT(RIGHT(modif0[[#This Row],[idntfn]],2),1))),RIGHT(modif0[[#This Row],[idntfn]],1),RIGHT(modif0[[#This Row],[idntfn]],2)))</f>
        <v>a</v>
      </c>
      <c r="L33" s="10">
        <f>objet!I44</f>
        <v>55125</v>
      </c>
      <c r="M33" s="11">
        <f>modif0[[#This Row],[srfc]]/10000</f>
        <v>5.5125000000000002</v>
      </c>
      <c r="N33" s="10" t="str">
        <f>objet!Z44</f>
        <v>PM</v>
      </c>
      <c r="O33" s="10" t="str">
        <f>objet!AA44</f>
        <v>PLA2017</v>
      </c>
      <c r="P33" t="str">
        <f>IF(ISNUMBER(modif0[[#This Row],[trvx]]),"",LEFT(modif0[[#This Row],[trvx]],LEN(modif0[[#This Row],[trvx]])-4))</f>
        <v>PLA</v>
      </c>
      <c r="Q33">
        <f>VALUE(RIGHT(modif0[[#This Row],[trvx]],4))</f>
        <v>2017</v>
      </c>
      <c r="R33" t="str">
        <f>_xlfn.CONCAT(modif0[[#This Row],[tp]],"-",modif0[[#This Row],[essnc]],"_",modif0[[#This Row],[anns]])</f>
        <v>PLA-PM_2017</v>
      </c>
      <c r="S33" t="b">
        <f>modif0[[#This Row],[tp]]="CR"</f>
        <v>0</v>
      </c>
      <c r="T33">
        <v>40</v>
      </c>
      <c r="U33" t="str">
        <f>IF(NOT($A33),"",
IF(AO33=-2,regle!$J$11,
IF(AO33=regle!$B$12,regle!$B$11,
IF(AO33=regle!$C$12,regle!$C$11,
IF(AO33=regle!$D$12,regle!$D$11,
IF(AO33=regle!$E$12,regle!$E$11,
IF(AO33=regle!$F$12,regle!$F$11,
IF(AO33=regle!$G$12,regle!$G$11,
IF(AO33=regle!$H$12,regle!$H$11,
IF(AO33=regle!$I$12,regle!$I$11,""))))))))))</f>
        <v/>
      </c>
      <c r="V33" t="str">
        <f>IF(NOT($A33),"",
IF(AP33=-2,regle!$J$11,
IF(AP33=regle!$B$12,regle!$B$11,
IF(AP33=regle!$C$12,regle!$C$11,
IF(AP33=regle!$D$12,regle!$D$11,
IF(AP33=regle!$E$12,regle!$E$11,
IF(AP33=regle!$F$12,regle!$F$11,
IF(AP33=regle!$G$12,regle!$G$11,
IF(AP33=regle!$H$12,regle!$H$11,
IF(AP33=regle!$I$12,regle!$I$11,""))))))))))</f>
        <v>ENT2</v>
      </c>
      <c r="W33" t="str">
        <f>IF(NOT($A33),"",
IF(AQ33=-2,regle!$J$11,
IF(AQ33=regle!$B$12,regle!$B$11,
IF(AQ33=regle!$C$12,regle!$C$11,
IF(AQ33=regle!$D$12,regle!$D$11,
IF(AQ33=regle!$E$12,regle!$E$11,
IF(AQ33=regle!$F$12,regle!$F$11,
IF(AQ33=regle!$G$12,regle!$G$11,
IF(AQ33=regle!$H$12,regle!$H$11,
IF(AQ33=regle!$I$12,regle!$I$11,""))))))))))</f>
        <v/>
      </c>
      <c r="X33" t="str">
        <f>IF(NOT($A33),"",
IF(AR33=-2,regle!$J$11,
IF(AR33=regle!$B$12,regle!$B$11,
IF(AR33=regle!$C$12,regle!$C$11,
IF(AR33=regle!$D$12,regle!$D$11,
IF(AR33=regle!$E$12,regle!$E$11,
IF(AR33=regle!$F$12,regle!$F$11,
IF(AR33=regle!$G$12,regle!$G$11,
IF(AR33=regle!$H$12,regle!$H$11,
IF(AR33=regle!$I$12,regle!$I$11,""))))))))))</f>
        <v/>
      </c>
      <c r="Y33" t="str">
        <f>IF(NOT($A33),"",
IF(AS33=-2,regle!$J$11,
IF(AS33=regle!$B$12,regle!$B$11,
IF(AS33=regle!$C$12,regle!$C$11,
IF(AS33=regle!$D$12,regle!$D$11,
IF(AS33=regle!$E$12,regle!$E$11,
IF(AS33=regle!$F$12,regle!$F$11,
IF(AS33=regle!$G$12,regle!$G$11,
IF(AS33=regle!$H$12,regle!$H$11,
IF(AS33=regle!$I$12,regle!$I$11,""))))))))))</f>
        <v/>
      </c>
      <c r="Z33" t="str">
        <f>IF(NOT($A33),"",
IF(AT33=-2,regle!$J$11,
IF(AT33=regle!$B$12,regle!$B$11,
IF(AT33=regle!$C$12,regle!$C$11,
IF(AT33=regle!$D$12,regle!$D$11,
IF(AT33=regle!$E$12,regle!$E$11,
IF(AT33=regle!$F$12,regle!$F$11,
IF(AT33=regle!$G$12,regle!$G$11,
IF(AT33=regle!$H$12,regle!$H$11,
IF(AT33=regle!$I$12,regle!$I$11,""))))))))))</f>
        <v/>
      </c>
      <c r="AA33" t="str">
        <f>IF(NOT($A33),"",
IF(AU33=-2,regle!$J$11,
IF(AU33=regle!$B$12,regle!$B$11,
IF(AU33=regle!$C$12,regle!$C$11,
IF(AU33=regle!$D$12,regle!$D$11,
IF(AU33=regle!$E$12,regle!$E$11,
IF(AU33=regle!$F$12,regle!$F$11,
IF(AU33=regle!$G$12,regle!$G$11,
IF(AU33=regle!$H$12,regle!$H$11,
IF(AU33=regle!$I$12,regle!$I$11,""))))))))))</f>
        <v>EC1</v>
      </c>
      <c r="AB33" t="str">
        <f>IF(NOT($A33),"",
IF(AV33=-2,regle!$J$11,
IF(AV33=regle!$B$12,regle!$B$11,
IF(AV33=regle!$C$12,regle!$C$11,
IF(AV33=regle!$D$12,regle!$D$11,
IF(AV33=regle!$E$12,regle!$E$11,
IF(AV33=regle!$F$12,regle!$F$11,
IF(AV33=regle!$G$12,regle!$G$11,
IF(AV33=regle!$H$12,regle!$H$11,
IF(AV33=regle!$I$12,regle!$I$11,""))))))))))</f>
        <v/>
      </c>
      <c r="AC33" t="str">
        <f>IF(NOT($A33),"",
IF(AW33=-2,regle!$J$11,
IF(AW33=regle!$B$12,regle!$B$11,
IF(AW33=regle!$C$12,regle!$C$11,
IF(AW33=regle!$D$12,regle!$D$11,
IF(AW33=regle!$E$12,regle!$E$11,
IF(AW33=regle!$F$12,regle!$F$11,
IF(AW33=regle!$G$12,regle!$G$11,
IF(AW33=regle!$H$12,regle!$H$11,
IF(AW33=regle!$I$12,regle!$I$11,""))))))))))</f>
        <v/>
      </c>
      <c r="AD33" t="str">
        <f>IF(NOT($A33),"",
IF(AX33=-2,regle!$J$11,
IF(AX33=regle!$B$12,regle!$B$11,
IF(AX33=regle!$C$12,regle!$C$11,
IF(AX33=regle!$D$12,regle!$D$11,
IF(AX33=regle!$E$12,regle!$E$11,
IF(AX33=regle!$F$12,regle!$F$11,
IF(AX33=regle!$G$12,regle!$G$11,
IF(AX33=regle!$H$12,regle!$H$11,
IF(AX33=regle!$I$12,regle!$I$11,""))))))))))</f>
        <v/>
      </c>
      <c r="AE33" s="14">
        <f>IF($A33,$M33*(IF(U33=regle!$B$11,regle!$B$23,IF(U33=regle!$C$11,regle!$C$23,IF(U33=regle!$D$11,regle!$D$23,IF(U33=regle!$E$11,regle!$E$23,IF(U33=regle!$F$11,regle!$F$23,IF(U33=regle!$G$11,regle!$G$23,IF(U33=regle!$H$11,regle!$H$23,IF(U33=regle!$I$11,regle!$I$23,IF(U33=regle!$J$11,regle!$J$23,0)))))))))))</f>
        <v>0</v>
      </c>
      <c r="AF33" s="14">
        <f>IF($A33,$M33*(IF(V33=regle!$B$11,regle!$B$23,IF(V33=regle!$C$11,regle!$C$23,IF(V33=regle!$D$11,regle!$D$23,IF(V33=regle!$E$11,regle!$E$23,IF(V33=regle!$F$11,regle!$F$23,IF(V33=regle!$G$11,regle!$G$23,IF(V33=regle!$H$11,regle!$H$23,IF(V33=regle!$I$11,regle!$I$23,IF(V33=regle!$J$11,regle!$J$23,0)))))))))))</f>
        <v>-496.125</v>
      </c>
      <c r="AG33" s="14">
        <f>IF($A33,$M33*(IF(W33=regle!$B$11,regle!$B$23,IF(W33=regle!$C$11,regle!$C$23,IF(W33=regle!$D$11,regle!$D$23,IF(W33=regle!$E$11,regle!$E$23,IF(W33=regle!$F$11,regle!$F$23,IF(W33=regle!$G$11,regle!$G$23,IF(W33=regle!$H$11,regle!$H$23,IF(W33=regle!$I$11,regle!$I$23,IF(W33=regle!$J$11,regle!$J$23,0)))))))))))</f>
        <v>0</v>
      </c>
      <c r="AH33" s="14">
        <f>IF($A33,$M33*(IF(X33=regle!$B$11,regle!$B$23,IF(X33=regle!$C$11,regle!$C$23,IF(X33=regle!$D$11,regle!$D$23,IF(X33=regle!$E$11,regle!$E$23,IF(X33=regle!$F$11,regle!$F$23,IF(X33=regle!$G$11,regle!$G$23,IF(X33=regle!$H$11,regle!$H$23,IF(X33=regle!$I$11,regle!$I$23,IF(X33=regle!$J$11,regle!$J$23,0)))))))))))</f>
        <v>0</v>
      </c>
      <c r="AI33" s="14">
        <f>IF($A33,$M33*(IF(Y33=regle!$B$11,regle!$B$23,IF(Y33=regle!$C$11,regle!$C$23,IF(Y33=regle!$D$11,regle!$D$23,IF(Y33=regle!$E$11,regle!$E$23,IF(Y33=regle!$F$11,regle!$F$23,IF(Y33=regle!$G$11,regle!$G$23,IF(Y33=regle!$H$11,regle!$H$23,IF(Y33=regle!$I$11,regle!$I$23,IF(Y33=regle!$J$11,regle!$J$23,0)))))))))))</f>
        <v>0</v>
      </c>
      <c r="AJ33" s="14">
        <f>IF($A33,$M33*(IF(Z33=regle!$B$11,regle!$B$23,IF(Z33=regle!$C$11,regle!$C$23,IF(Z33=regle!$D$11,regle!$D$23,IF(Z33=regle!$E$11,regle!$E$23,IF(Z33=regle!$F$11,regle!$F$23,IF(Z33=regle!$G$11,regle!$G$23,IF(Z33=regle!$H$11,regle!$H$23,IF(Z33=regle!$I$11,regle!$I$23,IF(Z33=regle!$J$11,regle!$J$23,0)))))))))))</f>
        <v>0</v>
      </c>
      <c r="AK33" s="14">
        <f>IF($A33,$M33*(IF(AA33=regle!$B$11,regle!$B$23,IF(AA33=regle!$C$11,regle!$C$23,IF(AA33=regle!$D$11,regle!$D$23,IF(AA33=regle!$E$11,regle!$E$23,IF(AA33=regle!$F$11,regle!$F$23,IF(AA33=regle!$G$11,regle!$G$23,IF(AA33=regle!$H$11,regle!$H$23,IF(AA33=regle!$I$11,regle!$I$23,IF(AA33=regle!$J$11,regle!$J$23,0)))))))))))</f>
        <v>3175.2000000000003</v>
      </c>
      <c r="AL33" s="14">
        <f>IF($A33,$M33*(IF(AB33=regle!$B$11,regle!$B$23,IF(AB33=regle!$C$11,regle!$C$23,IF(AB33=regle!$D$11,regle!$D$23,IF(AB33=regle!$E$11,regle!$E$23,IF(AB33=regle!$F$11,regle!$F$23,IF(AB33=regle!$G$11,regle!$G$23,IF(AB33=regle!$H$11,regle!$H$23,IF(AB33=regle!$I$11,regle!$I$23,IF(AB33=regle!$J$11,regle!$J$23,0)))))))))))</f>
        <v>0</v>
      </c>
      <c r="AM33" s="14">
        <f>IF($A33,$M33*(IF(AC33=regle!$B$11,regle!$B$23,IF(AC33=regle!$C$11,regle!$C$23,IF(AC33=regle!$D$11,regle!$D$23,IF(AC33=regle!$E$11,regle!$E$23,IF(AC33=regle!$F$11,regle!$F$23,IF(AC33=regle!$G$11,regle!$G$23,IF(AC33=regle!$H$11,regle!$H$23,IF(AC33=regle!$I$11,regle!$I$23,IF(AC33=regle!$J$11,regle!$J$23,0)))))))))))</f>
        <v>0</v>
      </c>
      <c r="AN33" s="14">
        <f>IF($A33,$M33*(IF(AD33=regle!$B$11,regle!$B$23,IF(AD33=regle!$C$11,regle!$C$23,IF(AD33=regle!$D$11,regle!$D$23,IF(AD33=regle!$E$11,regle!$E$23,IF(AD33=regle!$F$11,regle!$F$23,IF(AD33=regle!$G$11,regle!$G$23,IF(AD33=regle!$H$11,regle!$H$23,IF(AD33=regle!$I$11,regle!$I$23,IF(AD33=regle!$J$11,regle!$J$23,0)))))))))))</f>
        <v>0</v>
      </c>
      <c r="AO33">
        <f>IF(AO$1=$AO$1,IF(regle!B$2-$Q33&gt;=regle!$J$12,-2,IF($S33,IF(regle!$B$2-$Q33&gt;=2,0,-1),regle!B$2-$Q33)),IF(AN33+1&gt;=regle!$J$12,-2,AN33+1))</f>
        <v>7</v>
      </c>
      <c r="AP33">
        <f>IF(AP$1=$AO$1,IF(regle!C$2-$Q33&gt;=regle!$J$12,-2,IF($S33,IF(regle!$B$2-$Q33&gt;=2,0,-1),regle!C$2-$Q33)),IF(AO33+1&gt;=regle!$J$12,-2,AO33+1))</f>
        <v>8</v>
      </c>
      <c r="AQ33">
        <f>IF(AQ$1=$AO$1,IF(regle!D$2-$Q33&gt;=regle!$J$12,-2,IF($S33,IF(regle!$B$2-$Q33&gt;=2,0,-1),regle!D$2-$Q33)),IF(AP33+1&gt;=regle!$J$12,-2,AP33+1))</f>
        <v>9</v>
      </c>
      <c r="AR33">
        <f>IF(AR$1=$AO$1,IF(regle!E$2-$Q33&gt;=regle!$J$12,-2,IF($S33,IF(regle!$B$2-$Q33&gt;=2,0,-1),regle!E$2-$Q33)),IF(AQ33+1&gt;=regle!$J$12,-2,AQ33+1))</f>
        <v>10</v>
      </c>
      <c r="AS33">
        <f>IF(AS$1=$AO$1,IF(regle!F$2-$Q33&gt;=regle!$J$12,-2,IF($S33,IF(regle!$B$2-$Q33&gt;=2,0,-1),regle!F$2-$Q33)),IF(AR33+1&gt;=regle!$J$12,-2,AR33+1))</f>
        <v>11</v>
      </c>
      <c r="AT33">
        <f>IF(AT$1=$AO$1,IF(regle!G$2-$Q33&gt;=regle!$J$12,-2,IF($S33,IF(regle!$B$2-$Q33&gt;=2,0,-1),regle!G$2-$Q33)),IF(AS33+1&gt;=regle!$J$12,-2,AS33+1))</f>
        <v>12</v>
      </c>
      <c r="AU33">
        <f>IF(AU$1=$AO$1,IF(regle!H$2-$Q33&gt;=regle!$J$12,-2,IF($S33,IF(regle!$B$2-$Q33&gt;=2,0,-1),regle!H$2-$Q33)),IF(AT33+1&gt;=regle!$J$12,-2,AT33+1))</f>
        <v>13</v>
      </c>
      <c r="AV33">
        <f>IF(AV$1=$AO$1,IF(regle!I$2-$Q33&gt;=regle!$J$12,-2,IF($S33,IF(regle!$B$2-$Q33&gt;=2,0,-1),regle!I$2-$Q33)),IF(AU33+1&gt;=regle!$J$12,-2,AU33+1))</f>
        <v>14</v>
      </c>
      <c r="AW33">
        <f>IF(AW$1=$AO$1,IF(regle!J$2-$Q33&gt;=regle!$J$12,-2,IF($S33,IF(regle!$B$2-$Q33&gt;=2,0,-1),regle!J$2-$Q33)),IF(AV33+1&gt;=regle!$J$12,-2,AV33+1))</f>
        <v>15</v>
      </c>
      <c r="AX33">
        <f>IF(AX$1=$AO$1,IF(regle!K$2-$Q33&gt;=regle!$J$12,-2,IF($S33,IF(regle!$B$2-$Q33&gt;=2,0,-1),regle!K$2-$Q33)),IF(AW33+1&gt;=regle!$J$12,-2,AW33+1))</f>
        <v>16</v>
      </c>
    </row>
    <row r="34" spans="1:50" x14ac:dyDescent="0.25">
      <c r="A34" t="b">
        <f>AND(modif0[[#This Row],[cdstr]]&lt;&gt;0,OR(regle!$H$27=FALSE,modif0[[#This Row],[essnc]]="PM"))</f>
        <v>1</v>
      </c>
      <c r="B34">
        <f>ROW(objet!A45)</f>
        <v>45</v>
      </c>
      <c r="C34" s="10" t="str">
        <f>objet!D45</f>
        <v>5360000A0416</v>
      </c>
      <c r="D34" t="str">
        <f>LEFT(modif0[[#This Row],[cdstr]],3)</f>
        <v>536</v>
      </c>
      <c r="E34" s="10" t="str">
        <f>objet!G45</f>
        <v>LE TUZAN</v>
      </c>
      <c r="F34">
        <f>LEN(modif0[[#This Row],[l_dt]])</f>
        <v>21</v>
      </c>
      <c r="G34" s="10" t="str">
        <f>objet!H45</f>
        <v>METAIRIES DE TABARTON</v>
      </c>
      <c r="H34" s="10" t="str">
        <f>objet!C45</f>
        <v>A416d</v>
      </c>
      <c r="I34" t="str">
        <f>IF(ISNUMBER(VALUE(RIGHT(LEFT(modif0[[#This Row],[idntfn]],2),1))),_xlfn.CONCAT(0,LEFT(modif0[[#This Row],[idntfn]],1)),LEFT(modif0[[#This Row],[idntfn]],2))</f>
        <v>0A</v>
      </c>
      <c r="J34">
        <f>VALUE(LEFT(RIGHT(modif0[[#This Row],[idntfn]],LEN(modif0[[#This Row],[idntfn]])-IF(LEFT(modif0[[#This Row],[sctn]],1)="0",1,2)),LEN(modif0[[#This Row],[idntfn]])-IF(LEFT(modif0[[#This Row],[sctn]],1)="0",1,2)-LEN(modif0[[#This Row],[lttr]])))</f>
        <v>416</v>
      </c>
      <c r="K34" t="str">
        <f>IF(ISNUMBER(VALUE(RIGHT(modif0[[#This Row],[idntfn]],1))),"",IF(ISNUMBER(VALUE(LEFT(RIGHT(modif0[[#This Row],[idntfn]],2),1))),RIGHT(modif0[[#This Row],[idntfn]],1),RIGHT(modif0[[#This Row],[idntfn]],2)))</f>
        <v>d</v>
      </c>
      <c r="L34" s="10">
        <f>objet!I45</f>
        <v>837</v>
      </c>
      <c r="M34" s="11">
        <f>modif0[[#This Row],[srfc]]/10000</f>
        <v>8.3699999999999997E-2</v>
      </c>
      <c r="N34" s="10" t="str">
        <f>objet!Z45</f>
        <v>PM</v>
      </c>
      <c r="O34" s="10" t="str">
        <f>objet!AA45</f>
        <v>PLA2005</v>
      </c>
      <c r="P34" t="str">
        <f>IF(ISNUMBER(modif0[[#This Row],[trvx]]),"",LEFT(modif0[[#This Row],[trvx]],LEN(modif0[[#This Row],[trvx]])-4))</f>
        <v>PLA</v>
      </c>
      <c r="Q34">
        <f>VALUE(RIGHT(modif0[[#This Row],[trvx]],4))</f>
        <v>2005</v>
      </c>
      <c r="R34" t="str">
        <f>_xlfn.CONCAT(modif0[[#This Row],[tp]],"-",modif0[[#This Row],[essnc]],"_",modif0[[#This Row],[anns]])</f>
        <v>PLA-PM_2005</v>
      </c>
      <c r="S34" t="b">
        <f>modif0[[#This Row],[tp]]="CR"</f>
        <v>0</v>
      </c>
      <c r="T34">
        <v>40</v>
      </c>
      <c r="U34" t="str">
        <f>IF(NOT($A34),"",
IF(AO34=-2,regle!$J$11,
IF(AO34=regle!$B$12,regle!$B$11,
IF(AO34=regle!$C$12,regle!$C$11,
IF(AO34=regle!$D$12,regle!$D$11,
IF(AO34=regle!$E$12,regle!$E$11,
IF(AO34=regle!$F$12,regle!$F$11,
IF(AO34=regle!$G$12,regle!$G$11,
IF(AO34=regle!$H$12,regle!$H$11,
IF(AO34=regle!$I$12,regle!$I$11,""))))))))))</f>
        <v/>
      </c>
      <c r="V34" t="str">
        <f>IF(NOT($A34),"",
IF(AP34=-2,regle!$J$11,
IF(AP34=regle!$B$12,regle!$B$11,
IF(AP34=regle!$C$12,regle!$C$11,
IF(AP34=regle!$D$12,regle!$D$11,
IF(AP34=regle!$E$12,regle!$E$11,
IF(AP34=regle!$F$12,regle!$F$11,
IF(AP34=regle!$G$12,regle!$G$11,
IF(AP34=regle!$H$12,regle!$H$11,
IF(AP34=regle!$I$12,regle!$I$11,""))))))))))</f>
        <v/>
      </c>
      <c r="W34" t="str">
        <f>IF(NOT($A34),"",
IF(AQ34=-2,regle!$J$11,
IF(AQ34=regle!$B$12,regle!$B$11,
IF(AQ34=regle!$C$12,regle!$C$11,
IF(AQ34=regle!$D$12,regle!$D$11,
IF(AQ34=regle!$E$12,regle!$E$11,
IF(AQ34=regle!$F$12,regle!$F$11,
IF(AQ34=regle!$G$12,regle!$G$11,
IF(AQ34=regle!$H$12,regle!$H$11,
IF(AQ34=regle!$I$12,regle!$I$11,""))))))))))</f>
        <v/>
      </c>
      <c r="X34" t="str">
        <f>IF(NOT($A34),"",
IF(AR34=-2,regle!$J$11,
IF(AR34=regle!$B$12,regle!$B$11,
IF(AR34=regle!$C$12,regle!$C$11,
IF(AR34=regle!$D$12,regle!$D$11,
IF(AR34=regle!$E$12,regle!$E$11,
IF(AR34=regle!$F$12,regle!$F$11,
IF(AR34=regle!$G$12,regle!$G$11,
IF(AR34=regle!$H$12,regle!$H$11,
IF(AR34=regle!$I$12,regle!$I$11,""))))))))))</f>
        <v/>
      </c>
      <c r="Y34" t="str">
        <f>IF(NOT($A34),"",
IF(AS34=-2,regle!$J$11,
IF(AS34=regle!$B$12,regle!$B$11,
IF(AS34=regle!$C$12,regle!$C$11,
IF(AS34=regle!$D$12,regle!$D$11,
IF(AS34=regle!$E$12,regle!$E$11,
IF(AS34=regle!$F$12,regle!$F$11,
IF(AS34=regle!$G$12,regle!$G$11,
IF(AS34=regle!$H$12,regle!$H$11,
IF(AS34=regle!$I$12,regle!$I$11,""))))))))))</f>
        <v>EC3</v>
      </c>
      <c r="Z34" t="str">
        <f>IF(NOT($A34),"",
IF(AT34=-2,regle!$J$11,
IF(AT34=regle!$B$12,regle!$B$11,
IF(AT34=regle!$C$12,regle!$C$11,
IF(AT34=regle!$D$12,regle!$D$11,
IF(AT34=regle!$E$12,regle!$E$11,
IF(AT34=regle!$F$12,regle!$F$11,
IF(AT34=regle!$G$12,regle!$G$11,
IF(AT34=regle!$H$12,regle!$H$11,
IF(AT34=regle!$I$12,regle!$I$11,""))))))))))</f>
        <v/>
      </c>
      <c r="AA34" t="str">
        <f>IF(NOT($A34),"",
IF(AU34=-2,regle!$J$11,
IF(AU34=regle!$B$12,regle!$B$11,
IF(AU34=regle!$C$12,regle!$C$11,
IF(AU34=regle!$D$12,regle!$D$11,
IF(AU34=regle!$E$12,regle!$E$11,
IF(AU34=regle!$F$12,regle!$F$11,
IF(AU34=regle!$G$12,regle!$G$11,
IF(AU34=regle!$H$12,regle!$H$11,
IF(AU34=regle!$I$12,regle!$I$11,""))))))))))</f>
        <v/>
      </c>
      <c r="AB34" t="str">
        <f>IF(NOT($A34),"",
IF(AV34=-2,regle!$J$11,
IF(AV34=regle!$B$12,regle!$B$11,
IF(AV34=regle!$C$12,regle!$C$11,
IF(AV34=regle!$D$12,regle!$D$11,
IF(AV34=regle!$E$12,regle!$E$11,
IF(AV34=regle!$F$12,regle!$F$11,
IF(AV34=regle!$G$12,regle!$G$11,
IF(AV34=regle!$H$12,regle!$H$11,
IF(AV34=regle!$I$12,regle!$I$11,""))))))))))</f>
        <v/>
      </c>
      <c r="AC34" t="str">
        <f>IF(NOT($A34),"",
IF(AW34=-2,regle!$J$11,
IF(AW34=regle!$B$12,regle!$B$11,
IF(AW34=regle!$C$12,regle!$C$11,
IF(AW34=regle!$D$12,regle!$D$11,
IF(AW34=regle!$E$12,regle!$E$11,
IF(AW34=regle!$F$12,regle!$F$11,
IF(AW34=regle!$G$12,regle!$G$11,
IF(AW34=regle!$H$12,regle!$H$11,
IF(AW34=regle!$I$12,regle!$I$11,""))))))))))</f>
        <v/>
      </c>
      <c r="AD34" t="str">
        <f>IF(NOT($A34),"",
IF(AX34=-2,regle!$J$11,
IF(AX34=regle!$B$12,regle!$B$11,
IF(AX34=regle!$C$12,regle!$C$11,
IF(AX34=regle!$D$12,regle!$D$11,
IF(AX34=regle!$E$12,regle!$E$11,
IF(AX34=regle!$F$12,regle!$F$11,
IF(AX34=regle!$G$12,regle!$G$11,
IF(AX34=regle!$H$12,regle!$H$11,
IF(AX34=regle!$I$12,regle!$I$11,""))))))))))</f>
        <v>EC4</v>
      </c>
      <c r="AE34" s="14">
        <f>IF($A34,$M34*(IF(U34=regle!$B$11,regle!$B$23,IF(U34=regle!$C$11,regle!$C$23,IF(U34=regle!$D$11,regle!$D$23,IF(U34=regle!$E$11,regle!$E$23,IF(U34=regle!$F$11,regle!$F$23,IF(U34=regle!$G$11,regle!$G$23,IF(U34=regle!$H$11,regle!$H$23,IF(U34=regle!$I$11,regle!$I$23,IF(U34=regle!$J$11,regle!$J$23,0)))))))))))</f>
        <v>0</v>
      </c>
      <c r="AF34" s="14">
        <f>IF($A34,$M34*(IF(V34=regle!$B$11,regle!$B$23,IF(V34=regle!$C$11,regle!$C$23,IF(V34=regle!$D$11,regle!$D$23,IF(V34=regle!$E$11,regle!$E$23,IF(V34=regle!$F$11,regle!$F$23,IF(V34=regle!$G$11,regle!$G$23,IF(V34=regle!$H$11,regle!$H$23,IF(V34=regle!$I$11,regle!$I$23,IF(V34=regle!$J$11,regle!$J$23,0)))))))))))</f>
        <v>0</v>
      </c>
      <c r="AG34" s="14">
        <f>IF($A34,$M34*(IF(W34=regle!$B$11,regle!$B$23,IF(W34=regle!$C$11,regle!$C$23,IF(W34=regle!$D$11,regle!$D$23,IF(W34=regle!$E$11,regle!$E$23,IF(W34=regle!$F$11,regle!$F$23,IF(W34=regle!$G$11,regle!$G$23,IF(W34=regle!$H$11,regle!$H$23,IF(W34=regle!$I$11,regle!$I$23,IF(W34=regle!$J$11,regle!$J$23,0)))))))))))</f>
        <v>0</v>
      </c>
      <c r="AH34" s="14">
        <f>IF($A34,$M34*(IF(X34=regle!$B$11,regle!$B$23,IF(X34=regle!$C$11,regle!$C$23,IF(X34=regle!$D$11,regle!$D$23,IF(X34=regle!$E$11,regle!$E$23,IF(X34=regle!$F$11,regle!$F$23,IF(X34=regle!$G$11,regle!$G$23,IF(X34=regle!$H$11,regle!$H$23,IF(X34=regle!$I$11,regle!$I$23,IF(X34=regle!$J$11,regle!$J$23,0)))))))))))</f>
        <v>0</v>
      </c>
      <c r="AI34" s="14">
        <f>IF($A34,$M34*(IF(Y34=regle!$B$11,regle!$B$23,IF(Y34=regle!$C$11,regle!$C$23,IF(Y34=regle!$D$11,regle!$D$23,IF(Y34=regle!$E$11,regle!$E$23,IF(Y34=regle!$F$11,regle!$F$23,IF(Y34=regle!$G$11,regle!$G$23,IF(Y34=regle!$H$11,regle!$H$23,IF(Y34=regle!$I$11,regle!$I$23,IF(Y34=regle!$J$11,regle!$J$23,0)))))))))))</f>
        <v>117.8496</v>
      </c>
      <c r="AJ34" s="14">
        <f>IF($A34,$M34*(IF(Z34=regle!$B$11,regle!$B$23,IF(Z34=regle!$C$11,regle!$C$23,IF(Z34=regle!$D$11,regle!$D$23,IF(Z34=regle!$E$11,regle!$E$23,IF(Z34=regle!$F$11,regle!$F$23,IF(Z34=regle!$G$11,regle!$G$23,IF(Z34=regle!$H$11,regle!$H$23,IF(Z34=regle!$I$11,regle!$I$23,IF(Z34=regle!$J$11,regle!$J$23,0)))))))))))</f>
        <v>0</v>
      </c>
      <c r="AK34" s="14">
        <f>IF($A34,$M34*(IF(AA34=regle!$B$11,regle!$B$23,IF(AA34=regle!$C$11,regle!$C$23,IF(AA34=regle!$D$11,regle!$D$23,IF(AA34=regle!$E$11,regle!$E$23,IF(AA34=regle!$F$11,regle!$F$23,IF(AA34=regle!$G$11,regle!$G$23,IF(AA34=regle!$H$11,regle!$H$23,IF(AA34=regle!$I$11,regle!$I$23,IF(AA34=regle!$J$11,regle!$J$23,0)))))))))))</f>
        <v>0</v>
      </c>
      <c r="AL34" s="14">
        <f>IF($A34,$M34*(IF(AB34=regle!$B$11,regle!$B$23,IF(AB34=regle!$C$11,regle!$C$23,IF(AB34=regle!$D$11,regle!$D$23,IF(AB34=regle!$E$11,regle!$E$23,IF(AB34=regle!$F$11,regle!$F$23,IF(AB34=regle!$G$11,regle!$G$23,IF(AB34=regle!$H$11,regle!$H$23,IF(AB34=regle!$I$11,regle!$I$23,IF(AB34=regle!$J$11,regle!$J$23,0)))))))))))</f>
        <v>0</v>
      </c>
      <c r="AM34" s="14">
        <f>IF($A34,$M34*(IF(AC34=regle!$B$11,regle!$B$23,IF(AC34=regle!$C$11,regle!$C$23,IF(AC34=regle!$D$11,regle!$D$23,IF(AC34=regle!$E$11,regle!$E$23,IF(AC34=regle!$F$11,regle!$F$23,IF(AC34=regle!$G$11,regle!$G$23,IF(AC34=regle!$H$11,regle!$H$23,IF(AC34=regle!$I$11,regle!$I$23,IF(AC34=regle!$J$11,regle!$J$23,0)))))))))))</f>
        <v>0</v>
      </c>
      <c r="AN34" s="14">
        <f>IF($A34,$M34*(IF(AD34=regle!$B$11,regle!$B$23,IF(AD34=regle!$C$11,regle!$C$23,IF(AD34=regle!$D$11,regle!$D$23,IF(AD34=regle!$E$11,regle!$E$23,IF(AD34=regle!$F$11,regle!$F$23,IF(AD34=regle!$G$11,regle!$G$23,IF(AD34=regle!$H$11,regle!$H$23,IF(AD34=regle!$I$11,regle!$I$23,IF(AD34=regle!$J$11,regle!$J$23,0)))))))))))</f>
        <v>107.136</v>
      </c>
      <c r="AO34">
        <f>IF(AO$1=$AO$1,IF(regle!B$2-$Q34&gt;=regle!$J$12,-2,IF($S34,IF(regle!$B$2-$Q34&gt;=2,0,-1),regle!B$2-$Q34)),IF(AN34+1&gt;=regle!$J$12,-2,AN34+1))</f>
        <v>19</v>
      </c>
      <c r="AP34">
        <f>IF(AP$1=$AO$1,IF(regle!C$2-$Q34&gt;=regle!$J$12,-2,IF($S34,IF(regle!$B$2-$Q34&gt;=2,0,-1),regle!C$2-$Q34)),IF(AO34+1&gt;=regle!$J$12,-2,AO34+1))</f>
        <v>20</v>
      </c>
      <c r="AQ34">
        <f>IF(AQ$1=$AO$1,IF(regle!D$2-$Q34&gt;=regle!$J$12,-2,IF($S34,IF(regle!$B$2-$Q34&gt;=2,0,-1),regle!D$2-$Q34)),IF(AP34+1&gt;=regle!$J$12,-2,AP34+1))</f>
        <v>21</v>
      </c>
      <c r="AR34">
        <f>IF(AR$1=$AO$1,IF(regle!E$2-$Q34&gt;=regle!$J$12,-2,IF($S34,IF(regle!$B$2-$Q34&gt;=2,0,-1),regle!E$2-$Q34)),IF(AQ34+1&gt;=regle!$J$12,-2,AQ34+1))</f>
        <v>22</v>
      </c>
      <c r="AS34">
        <f>IF(AS$1=$AO$1,IF(regle!F$2-$Q34&gt;=regle!$J$12,-2,IF($S34,IF(regle!$B$2-$Q34&gt;=2,0,-1),regle!F$2-$Q34)),IF(AR34+1&gt;=regle!$J$12,-2,AR34+1))</f>
        <v>23</v>
      </c>
      <c r="AT34">
        <f>IF(AT$1=$AO$1,IF(regle!G$2-$Q34&gt;=regle!$J$12,-2,IF($S34,IF(regle!$B$2-$Q34&gt;=2,0,-1),regle!G$2-$Q34)),IF(AS34+1&gt;=regle!$J$12,-2,AS34+1))</f>
        <v>24</v>
      </c>
      <c r="AU34">
        <f>IF(AU$1=$AO$1,IF(regle!H$2-$Q34&gt;=regle!$J$12,-2,IF($S34,IF(regle!$B$2-$Q34&gt;=2,0,-1),regle!H$2-$Q34)),IF(AT34+1&gt;=regle!$J$12,-2,AT34+1))</f>
        <v>25</v>
      </c>
      <c r="AV34">
        <f>IF(AV$1=$AO$1,IF(regle!I$2-$Q34&gt;=regle!$J$12,-2,IF($S34,IF(regle!$B$2-$Q34&gt;=2,0,-1),regle!I$2-$Q34)),IF(AU34+1&gt;=regle!$J$12,-2,AU34+1))</f>
        <v>26</v>
      </c>
      <c r="AW34">
        <f>IF(AW$1=$AO$1,IF(regle!J$2-$Q34&gt;=regle!$J$12,-2,IF($S34,IF(regle!$B$2-$Q34&gt;=2,0,-1),regle!J$2-$Q34)),IF(AV34+1&gt;=regle!$J$12,-2,AV34+1))</f>
        <v>27</v>
      </c>
      <c r="AX34">
        <f>IF(AX$1=$AO$1,IF(regle!K$2-$Q34&gt;=regle!$J$12,-2,IF($S34,IF(regle!$B$2-$Q34&gt;=2,0,-1),regle!K$2-$Q34)),IF(AW34+1&gt;=regle!$J$12,-2,AW34+1))</f>
        <v>28</v>
      </c>
    </row>
    <row r="35" spans="1:50" x14ac:dyDescent="0.25">
      <c r="A35" t="b">
        <f>AND(modif0[[#This Row],[cdstr]]&lt;&gt;0,OR(regle!$H$27=FALSE,modif0[[#This Row],[essnc]]="PM"))</f>
        <v>1</v>
      </c>
      <c r="B35">
        <f>ROW(objet!A46)</f>
        <v>46</v>
      </c>
      <c r="C35" s="10" t="str">
        <f>objet!D46</f>
        <v>5360000A0416</v>
      </c>
      <c r="D35" t="str">
        <f>LEFT(modif0[[#This Row],[cdstr]],3)</f>
        <v>536</v>
      </c>
      <c r="E35" s="10" t="str">
        <f>objet!G46</f>
        <v>LE TUZAN</v>
      </c>
      <c r="F35">
        <f>LEN(modif0[[#This Row],[l_dt]])</f>
        <v>21</v>
      </c>
      <c r="G35" s="10" t="str">
        <f>objet!H46</f>
        <v>METAIRIES DE TABARTON</v>
      </c>
      <c r="H35" s="10" t="str">
        <f>objet!C46</f>
        <v>A416e</v>
      </c>
      <c r="I35" t="str">
        <f>IF(ISNUMBER(VALUE(RIGHT(LEFT(modif0[[#This Row],[idntfn]],2),1))),_xlfn.CONCAT(0,LEFT(modif0[[#This Row],[idntfn]],1)),LEFT(modif0[[#This Row],[idntfn]],2))</f>
        <v>0A</v>
      </c>
      <c r="J35">
        <f>VALUE(LEFT(RIGHT(modif0[[#This Row],[idntfn]],LEN(modif0[[#This Row],[idntfn]])-IF(LEFT(modif0[[#This Row],[sctn]],1)="0",1,2)),LEN(modif0[[#This Row],[idntfn]])-IF(LEFT(modif0[[#This Row],[sctn]],1)="0",1,2)-LEN(modif0[[#This Row],[lttr]])))</f>
        <v>416</v>
      </c>
      <c r="K35" t="str">
        <f>IF(ISNUMBER(VALUE(RIGHT(modif0[[#This Row],[idntfn]],1))),"",IF(ISNUMBER(VALUE(LEFT(RIGHT(modif0[[#This Row],[idntfn]],2),1))),RIGHT(modif0[[#This Row],[idntfn]],1),RIGHT(modif0[[#This Row],[idntfn]],2)))</f>
        <v>e</v>
      </c>
      <c r="L35" s="10">
        <f>objet!I46</f>
        <v>6200</v>
      </c>
      <c r="M35" s="11">
        <f>modif0[[#This Row],[srfc]]/10000</f>
        <v>0.62</v>
      </c>
      <c r="N35" s="10" t="str">
        <f>objet!Z46</f>
        <v>PM</v>
      </c>
      <c r="O35" s="10" t="str">
        <f>objet!AA46</f>
        <v>PLA2017</v>
      </c>
      <c r="P35" t="str">
        <f>IF(ISNUMBER(modif0[[#This Row],[trvx]]),"",LEFT(modif0[[#This Row],[trvx]],LEN(modif0[[#This Row],[trvx]])-4))</f>
        <v>PLA</v>
      </c>
      <c r="Q35">
        <f>VALUE(RIGHT(modif0[[#This Row],[trvx]],4))</f>
        <v>2017</v>
      </c>
      <c r="R35" t="str">
        <f>_xlfn.CONCAT(modif0[[#This Row],[tp]],"-",modif0[[#This Row],[essnc]],"_",modif0[[#This Row],[anns]])</f>
        <v>PLA-PM_2017</v>
      </c>
      <c r="S35" t="b">
        <f>modif0[[#This Row],[tp]]="CR"</f>
        <v>0</v>
      </c>
      <c r="T35">
        <v>40</v>
      </c>
      <c r="U35" t="str">
        <f>IF(NOT($A35),"",
IF(AO35=-2,regle!$J$11,
IF(AO35=regle!$B$12,regle!$B$11,
IF(AO35=regle!$C$12,regle!$C$11,
IF(AO35=regle!$D$12,regle!$D$11,
IF(AO35=regle!$E$12,regle!$E$11,
IF(AO35=regle!$F$12,regle!$F$11,
IF(AO35=regle!$G$12,regle!$G$11,
IF(AO35=regle!$H$12,regle!$H$11,
IF(AO35=regle!$I$12,regle!$I$11,""))))))))))</f>
        <v/>
      </c>
      <c r="V35" t="str">
        <f>IF(NOT($A35),"",
IF(AP35=-2,regle!$J$11,
IF(AP35=regle!$B$12,regle!$B$11,
IF(AP35=regle!$C$12,regle!$C$11,
IF(AP35=regle!$D$12,regle!$D$11,
IF(AP35=regle!$E$12,regle!$E$11,
IF(AP35=regle!$F$12,regle!$F$11,
IF(AP35=regle!$G$12,regle!$G$11,
IF(AP35=regle!$H$12,regle!$H$11,
IF(AP35=regle!$I$12,regle!$I$11,""))))))))))</f>
        <v>ENT2</v>
      </c>
      <c r="W35" t="str">
        <f>IF(NOT($A35),"",
IF(AQ35=-2,regle!$J$11,
IF(AQ35=regle!$B$12,regle!$B$11,
IF(AQ35=regle!$C$12,regle!$C$11,
IF(AQ35=regle!$D$12,regle!$D$11,
IF(AQ35=regle!$E$12,regle!$E$11,
IF(AQ35=regle!$F$12,regle!$F$11,
IF(AQ35=regle!$G$12,regle!$G$11,
IF(AQ35=regle!$H$12,regle!$H$11,
IF(AQ35=regle!$I$12,regle!$I$11,""))))))))))</f>
        <v/>
      </c>
      <c r="X35" t="str">
        <f>IF(NOT($A35),"",
IF(AR35=-2,regle!$J$11,
IF(AR35=regle!$B$12,regle!$B$11,
IF(AR35=regle!$C$12,regle!$C$11,
IF(AR35=regle!$D$12,regle!$D$11,
IF(AR35=regle!$E$12,regle!$E$11,
IF(AR35=regle!$F$12,regle!$F$11,
IF(AR35=regle!$G$12,regle!$G$11,
IF(AR35=regle!$H$12,regle!$H$11,
IF(AR35=regle!$I$12,regle!$I$11,""))))))))))</f>
        <v/>
      </c>
      <c r="Y35" t="str">
        <f>IF(NOT($A35),"",
IF(AS35=-2,regle!$J$11,
IF(AS35=regle!$B$12,regle!$B$11,
IF(AS35=regle!$C$12,regle!$C$11,
IF(AS35=regle!$D$12,regle!$D$11,
IF(AS35=regle!$E$12,regle!$E$11,
IF(AS35=regle!$F$12,regle!$F$11,
IF(AS35=regle!$G$12,regle!$G$11,
IF(AS35=regle!$H$12,regle!$H$11,
IF(AS35=regle!$I$12,regle!$I$11,""))))))))))</f>
        <v/>
      </c>
      <c r="Z35" t="str">
        <f>IF(NOT($A35),"",
IF(AT35=-2,regle!$J$11,
IF(AT35=regle!$B$12,regle!$B$11,
IF(AT35=regle!$C$12,regle!$C$11,
IF(AT35=regle!$D$12,regle!$D$11,
IF(AT35=regle!$E$12,regle!$E$11,
IF(AT35=regle!$F$12,regle!$F$11,
IF(AT35=regle!$G$12,regle!$G$11,
IF(AT35=regle!$H$12,regle!$H$11,
IF(AT35=regle!$I$12,regle!$I$11,""))))))))))</f>
        <v/>
      </c>
      <c r="AA35" t="str">
        <f>IF(NOT($A35),"",
IF(AU35=-2,regle!$J$11,
IF(AU35=regle!$B$12,regle!$B$11,
IF(AU35=regle!$C$12,regle!$C$11,
IF(AU35=regle!$D$12,regle!$D$11,
IF(AU35=regle!$E$12,regle!$E$11,
IF(AU35=regle!$F$12,regle!$F$11,
IF(AU35=regle!$G$12,regle!$G$11,
IF(AU35=regle!$H$12,regle!$H$11,
IF(AU35=regle!$I$12,regle!$I$11,""))))))))))</f>
        <v>EC1</v>
      </c>
      <c r="AB35" t="str">
        <f>IF(NOT($A35),"",
IF(AV35=-2,regle!$J$11,
IF(AV35=regle!$B$12,regle!$B$11,
IF(AV35=regle!$C$12,regle!$C$11,
IF(AV35=regle!$D$12,regle!$D$11,
IF(AV35=regle!$E$12,regle!$E$11,
IF(AV35=regle!$F$12,regle!$F$11,
IF(AV35=regle!$G$12,regle!$G$11,
IF(AV35=regle!$H$12,regle!$H$11,
IF(AV35=regle!$I$12,regle!$I$11,""))))))))))</f>
        <v/>
      </c>
      <c r="AC35" t="str">
        <f>IF(NOT($A35),"",
IF(AW35=-2,regle!$J$11,
IF(AW35=regle!$B$12,regle!$B$11,
IF(AW35=regle!$C$12,regle!$C$11,
IF(AW35=regle!$D$12,regle!$D$11,
IF(AW35=regle!$E$12,regle!$E$11,
IF(AW35=regle!$F$12,regle!$F$11,
IF(AW35=regle!$G$12,regle!$G$11,
IF(AW35=regle!$H$12,regle!$H$11,
IF(AW35=regle!$I$12,regle!$I$11,""))))))))))</f>
        <v/>
      </c>
      <c r="AD35" t="str">
        <f>IF(NOT($A35),"",
IF(AX35=-2,regle!$J$11,
IF(AX35=regle!$B$12,regle!$B$11,
IF(AX35=regle!$C$12,regle!$C$11,
IF(AX35=regle!$D$12,regle!$D$11,
IF(AX35=regle!$E$12,regle!$E$11,
IF(AX35=regle!$F$12,regle!$F$11,
IF(AX35=regle!$G$12,regle!$G$11,
IF(AX35=regle!$H$12,regle!$H$11,
IF(AX35=regle!$I$12,regle!$I$11,""))))))))))</f>
        <v/>
      </c>
      <c r="AE35" s="14">
        <f>IF($A35,$M35*(IF(U35=regle!$B$11,regle!$B$23,IF(U35=regle!$C$11,regle!$C$23,IF(U35=regle!$D$11,regle!$D$23,IF(U35=regle!$E$11,regle!$E$23,IF(U35=regle!$F$11,regle!$F$23,IF(U35=regle!$G$11,regle!$G$23,IF(U35=regle!$H$11,regle!$H$23,IF(U35=regle!$I$11,regle!$I$23,IF(U35=regle!$J$11,regle!$J$23,0)))))))))))</f>
        <v>0</v>
      </c>
      <c r="AF35" s="14">
        <f>IF($A35,$M35*(IF(V35=regle!$B$11,regle!$B$23,IF(V35=regle!$C$11,regle!$C$23,IF(V35=regle!$D$11,regle!$D$23,IF(V35=regle!$E$11,regle!$E$23,IF(V35=regle!$F$11,regle!$F$23,IF(V35=regle!$G$11,regle!$G$23,IF(V35=regle!$H$11,regle!$H$23,IF(V35=regle!$I$11,regle!$I$23,IF(V35=regle!$J$11,regle!$J$23,0)))))))))))</f>
        <v>-55.8</v>
      </c>
      <c r="AG35" s="14">
        <f>IF($A35,$M35*(IF(W35=regle!$B$11,regle!$B$23,IF(W35=regle!$C$11,regle!$C$23,IF(W35=regle!$D$11,regle!$D$23,IF(W35=regle!$E$11,regle!$E$23,IF(W35=regle!$F$11,regle!$F$23,IF(W35=regle!$G$11,regle!$G$23,IF(W35=regle!$H$11,regle!$H$23,IF(W35=regle!$I$11,regle!$I$23,IF(W35=regle!$J$11,regle!$J$23,0)))))))))))</f>
        <v>0</v>
      </c>
      <c r="AH35" s="14">
        <f>IF($A35,$M35*(IF(X35=regle!$B$11,regle!$B$23,IF(X35=regle!$C$11,regle!$C$23,IF(X35=regle!$D$11,regle!$D$23,IF(X35=regle!$E$11,regle!$E$23,IF(X35=regle!$F$11,regle!$F$23,IF(X35=regle!$G$11,regle!$G$23,IF(X35=regle!$H$11,regle!$H$23,IF(X35=regle!$I$11,regle!$I$23,IF(X35=regle!$J$11,regle!$J$23,0)))))))))))</f>
        <v>0</v>
      </c>
      <c r="AI35" s="14">
        <f>IF($A35,$M35*(IF(Y35=regle!$B$11,regle!$B$23,IF(Y35=regle!$C$11,regle!$C$23,IF(Y35=regle!$D$11,regle!$D$23,IF(Y35=regle!$E$11,regle!$E$23,IF(Y35=regle!$F$11,regle!$F$23,IF(Y35=regle!$G$11,regle!$G$23,IF(Y35=regle!$H$11,regle!$H$23,IF(Y35=regle!$I$11,regle!$I$23,IF(Y35=regle!$J$11,regle!$J$23,0)))))))))))</f>
        <v>0</v>
      </c>
      <c r="AJ35" s="14">
        <f>IF($A35,$M35*(IF(Z35=regle!$B$11,regle!$B$23,IF(Z35=regle!$C$11,regle!$C$23,IF(Z35=regle!$D$11,regle!$D$23,IF(Z35=regle!$E$11,regle!$E$23,IF(Z35=regle!$F$11,regle!$F$23,IF(Z35=regle!$G$11,regle!$G$23,IF(Z35=regle!$H$11,regle!$H$23,IF(Z35=regle!$I$11,regle!$I$23,IF(Z35=regle!$J$11,regle!$J$23,0)))))))))))</f>
        <v>0</v>
      </c>
      <c r="AK35" s="14">
        <f>IF($A35,$M35*(IF(AA35=regle!$B$11,regle!$B$23,IF(AA35=regle!$C$11,regle!$C$23,IF(AA35=regle!$D$11,regle!$D$23,IF(AA35=regle!$E$11,regle!$E$23,IF(AA35=regle!$F$11,regle!$F$23,IF(AA35=regle!$G$11,regle!$G$23,IF(AA35=regle!$H$11,regle!$H$23,IF(AA35=regle!$I$11,regle!$I$23,IF(AA35=regle!$J$11,regle!$J$23,0)))))))))))</f>
        <v>357.12</v>
      </c>
      <c r="AL35" s="14">
        <f>IF($A35,$M35*(IF(AB35=regle!$B$11,regle!$B$23,IF(AB35=regle!$C$11,regle!$C$23,IF(AB35=regle!$D$11,regle!$D$23,IF(AB35=regle!$E$11,regle!$E$23,IF(AB35=regle!$F$11,regle!$F$23,IF(AB35=regle!$G$11,regle!$G$23,IF(AB35=regle!$H$11,regle!$H$23,IF(AB35=regle!$I$11,regle!$I$23,IF(AB35=regle!$J$11,regle!$J$23,0)))))))))))</f>
        <v>0</v>
      </c>
      <c r="AM35" s="14">
        <f>IF($A35,$M35*(IF(AC35=regle!$B$11,regle!$B$23,IF(AC35=regle!$C$11,regle!$C$23,IF(AC35=regle!$D$11,regle!$D$23,IF(AC35=regle!$E$11,regle!$E$23,IF(AC35=regle!$F$11,regle!$F$23,IF(AC35=regle!$G$11,regle!$G$23,IF(AC35=regle!$H$11,regle!$H$23,IF(AC35=regle!$I$11,regle!$I$23,IF(AC35=regle!$J$11,regle!$J$23,0)))))))))))</f>
        <v>0</v>
      </c>
      <c r="AN35" s="14">
        <f>IF($A35,$M35*(IF(AD35=regle!$B$11,regle!$B$23,IF(AD35=regle!$C$11,regle!$C$23,IF(AD35=regle!$D$11,regle!$D$23,IF(AD35=regle!$E$11,regle!$E$23,IF(AD35=regle!$F$11,regle!$F$23,IF(AD35=regle!$G$11,regle!$G$23,IF(AD35=regle!$H$11,regle!$H$23,IF(AD35=regle!$I$11,regle!$I$23,IF(AD35=regle!$J$11,regle!$J$23,0)))))))))))</f>
        <v>0</v>
      </c>
      <c r="AO35">
        <f>IF(AO$1=$AO$1,IF(regle!B$2-$Q35&gt;=regle!$J$12,-2,IF($S35,IF(regle!$B$2-$Q35&gt;=2,0,-1),regle!B$2-$Q35)),IF(AN35+1&gt;=regle!$J$12,-2,AN35+1))</f>
        <v>7</v>
      </c>
      <c r="AP35">
        <f>IF(AP$1=$AO$1,IF(regle!C$2-$Q35&gt;=regle!$J$12,-2,IF($S35,IF(regle!$B$2-$Q35&gt;=2,0,-1),regle!C$2-$Q35)),IF(AO35+1&gt;=regle!$J$12,-2,AO35+1))</f>
        <v>8</v>
      </c>
      <c r="AQ35">
        <f>IF(AQ$1=$AO$1,IF(regle!D$2-$Q35&gt;=regle!$J$12,-2,IF($S35,IF(regle!$B$2-$Q35&gt;=2,0,-1),regle!D$2-$Q35)),IF(AP35+1&gt;=regle!$J$12,-2,AP35+1))</f>
        <v>9</v>
      </c>
      <c r="AR35">
        <f>IF(AR$1=$AO$1,IF(regle!E$2-$Q35&gt;=regle!$J$12,-2,IF($S35,IF(regle!$B$2-$Q35&gt;=2,0,-1),regle!E$2-$Q35)),IF(AQ35+1&gt;=regle!$J$12,-2,AQ35+1))</f>
        <v>10</v>
      </c>
      <c r="AS35">
        <f>IF(AS$1=$AO$1,IF(regle!F$2-$Q35&gt;=regle!$J$12,-2,IF($S35,IF(regle!$B$2-$Q35&gt;=2,0,-1),regle!F$2-$Q35)),IF(AR35+1&gt;=regle!$J$12,-2,AR35+1))</f>
        <v>11</v>
      </c>
      <c r="AT35">
        <f>IF(AT$1=$AO$1,IF(regle!G$2-$Q35&gt;=regle!$J$12,-2,IF($S35,IF(regle!$B$2-$Q35&gt;=2,0,-1),regle!G$2-$Q35)),IF(AS35+1&gt;=regle!$J$12,-2,AS35+1))</f>
        <v>12</v>
      </c>
      <c r="AU35">
        <f>IF(AU$1=$AO$1,IF(regle!H$2-$Q35&gt;=regle!$J$12,-2,IF($S35,IF(regle!$B$2-$Q35&gt;=2,0,-1),regle!H$2-$Q35)),IF(AT35+1&gt;=regle!$J$12,-2,AT35+1))</f>
        <v>13</v>
      </c>
      <c r="AV35">
        <f>IF(AV$1=$AO$1,IF(regle!I$2-$Q35&gt;=regle!$J$12,-2,IF($S35,IF(regle!$B$2-$Q35&gt;=2,0,-1),regle!I$2-$Q35)),IF(AU35+1&gt;=regle!$J$12,-2,AU35+1))</f>
        <v>14</v>
      </c>
      <c r="AW35">
        <f>IF(AW$1=$AO$1,IF(regle!J$2-$Q35&gt;=regle!$J$12,-2,IF($S35,IF(regle!$B$2-$Q35&gt;=2,0,-1),regle!J$2-$Q35)),IF(AV35+1&gt;=regle!$J$12,-2,AV35+1))</f>
        <v>15</v>
      </c>
      <c r="AX35">
        <f>IF(AX$1=$AO$1,IF(regle!K$2-$Q35&gt;=regle!$J$12,-2,IF($S35,IF(regle!$B$2-$Q35&gt;=2,0,-1),regle!K$2-$Q35)),IF(AW35+1&gt;=regle!$J$12,-2,AW35+1))</f>
        <v>16</v>
      </c>
    </row>
    <row r="36" spans="1:50" x14ac:dyDescent="0.25">
      <c r="A36" t="b">
        <f>AND(modif0[[#This Row],[cdstr]]&lt;&gt;0,OR(regle!$H$27=FALSE,modif0[[#This Row],[essnc]]="PM"))</f>
        <v>1</v>
      </c>
      <c r="B36">
        <f>ROW(objet!A47)</f>
        <v>47</v>
      </c>
      <c r="C36" s="10" t="str">
        <f>objet!D47</f>
        <v>5360000A0416</v>
      </c>
      <c r="D36" t="str">
        <f>LEFT(modif0[[#This Row],[cdstr]],3)</f>
        <v>536</v>
      </c>
      <c r="E36" s="10" t="str">
        <f>objet!G47</f>
        <v>LE TUZAN</v>
      </c>
      <c r="F36">
        <f>LEN(modif0[[#This Row],[l_dt]])</f>
        <v>21</v>
      </c>
      <c r="G36" s="10" t="str">
        <f>objet!H47</f>
        <v>METAIRIES DE TABARTON</v>
      </c>
      <c r="H36" s="10" t="str">
        <f>objet!C47</f>
        <v>A416j</v>
      </c>
      <c r="I36" t="str">
        <f>IF(ISNUMBER(VALUE(RIGHT(LEFT(modif0[[#This Row],[idntfn]],2),1))),_xlfn.CONCAT(0,LEFT(modif0[[#This Row],[idntfn]],1)),LEFT(modif0[[#This Row],[idntfn]],2))</f>
        <v>0A</v>
      </c>
      <c r="J36">
        <f>VALUE(LEFT(RIGHT(modif0[[#This Row],[idntfn]],LEN(modif0[[#This Row],[idntfn]])-IF(LEFT(modif0[[#This Row],[sctn]],1)="0",1,2)),LEN(modif0[[#This Row],[idntfn]])-IF(LEFT(modif0[[#This Row],[sctn]],1)="0",1,2)-LEN(modif0[[#This Row],[lttr]])))</f>
        <v>416</v>
      </c>
      <c r="K36" t="str">
        <f>IF(ISNUMBER(VALUE(RIGHT(modif0[[#This Row],[idntfn]],1))),"",IF(ISNUMBER(VALUE(LEFT(RIGHT(modif0[[#This Row],[idntfn]],2),1))),RIGHT(modif0[[#This Row],[idntfn]],1),RIGHT(modif0[[#This Row],[idntfn]],2)))</f>
        <v>j</v>
      </c>
      <c r="L36" s="10">
        <f>objet!I47</f>
        <v>2574</v>
      </c>
      <c r="M36" s="11">
        <f>modif0[[#This Row],[srfc]]/10000</f>
        <v>0.25740000000000002</v>
      </c>
      <c r="N36" s="10" t="str">
        <f>objet!Z47</f>
        <v>PM</v>
      </c>
      <c r="O36" s="10" t="str">
        <f>objet!AA47</f>
        <v>PLA2005</v>
      </c>
      <c r="P36" t="str">
        <f>IF(ISNUMBER(modif0[[#This Row],[trvx]]),"",LEFT(modif0[[#This Row],[trvx]],LEN(modif0[[#This Row],[trvx]])-4))</f>
        <v>PLA</v>
      </c>
      <c r="Q36">
        <f>VALUE(RIGHT(modif0[[#This Row],[trvx]],4))</f>
        <v>2005</v>
      </c>
      <c r="R36" t="str">
        <f>_xlfn.CONCAT(modif0[[#This Row],[tp]],"-",modif0[[#This Row],[essnc]],"_",modif0[[#This Row],[anns]])</f>
        <v>PLA-PM_2005</v>
      </c>
      <c r="S36" t="b">
        <f>modif0[[#This Row],[tp]]="CR"</f>
        <v>0</v>
      </c>
      <c r="T36">
        <v>40</v>
      </c>
      <c r="U36" t="str">
        <f>IF(NOT($A36),"",
IF(AO36=-2,regle!$J$11,
IF(AO36=regle!$B$12,regle!$B$11,
IF(AO36=regle!$C$12,regle!$C$11,
IF(AO36=regle!$D$12,regle!$D$11,
IF(AO36=regle!$E$12,regle!$E$11,
IF(AO36=regle!$F$12,regle!$F$11,
IF(AO36=regle!$G$12,regle!$G$11,
IF(AO36=regle!$H$12,regle!$H$11,
IF(AO36=regle!$I$12,regle!$I$11,""))))))))))</f>
        <v/>
      </c>
      <c r="V36" t="str">
        <f>IF(NOT($A36),"",
IF(AP36=-2,regle!$J$11,
IF(AP36=regle!$B$12,regle!$B$11,
IF(AP36=regle!$C$12,regle!$C$11,
IF(AP36=regle!$D$12,regle!$D$11,
IF(AP36=regle!$E$12,regle!$E$11,
IF(AP36=regle!$F$12,regle!$F$11,
IF(AP36=regle!$G$12,regle!$G$11,
IF(AP36=regle!$H$12,regle!$H$11,
IF(AP36=regle!$I$12,regle!$I$11,""))))))))))</f>
        <v/>
      </c>
      <c r="W36" t="str">
        <f>IF(NOT($A36),"",
IF(AQ36=-2,regle!$J$11,
IF(AQ36=regle!$B$12,regle!$B$11,
IF(AQ36=regle!$C$12,regle!$C$11,
IF(AQ36=regle!$D$12,regle!$D$11,
IF(AQ36=regle!$E$12,regle!$E$11,
IF(AQ36=regle!$F$12,regle!$F$11,
IF(AQ36=regle!$G$12,regle!$G$11,
IF(AQ36=regle!$H$12,regle!$H$11,
IF(AQ36=regle!$I$12,regle!$I$11,""))))))))))</f>
        <v/>
      </c>
      <c r="X36" t="str">
        <f>IF(NOT($A36),"",
IF(AR36=-2,regle!$J$11,
IF(AR36=regle!$B$12,regle!$B$11,
IF(AR36=regle!$C$12,regle!$C$11,
IF(AR36=regle!$D$12,regle!$D$11,
IF(AR36=regle!$E$12,regle!$E$11,
IF(AR36=regle!$F$12,regle!$F$11,
IF(AR36=regle!$G$12,regle!$G$11,
IF(AR36=regle!$H$12,regle!$H$11,
IF(AR36=regle!$I$12,regle!$I$11,""))))))))))</f>
        <v/>
      </c>
      <c r="Y36" t="str">
        <f>IF(NOT($A36),"",
IF(AS36=-2,regle!$J$11,
IF(AS36=regle!$B$12,regle!$B$11,
IF(AS36=regle!$C$12,regle!$C$11,
IF(AS36=regle!$D$12,regle!$D$11,
IF(AS36=regle!$E$12,regle!$E$11,
IF(AS36=regle!$F$12,regle!$F$11,
IF(AS36=regle!$G$12,regle!$G$11,
IF(AS36=regle!$H$12,regle!$H$11,
IF(AS36=regle!$I$12,regle!$I$11,""))))))))))</f>
        <v>EC3</v>
      </c>
      <c r="Z36" t="str">
        <f>IF(NOT($A36),"",
IF(AT36=-2,regle!$J$11,
IF(AT36=regle!$B$12,regle!$B$11,
IF(AT36=regle!$C$12,regle!$C$11,
IF(AT36=regle!$D$12,regle!$D$11,
IF(AT36=regle!$E$12,regle!$E$11,
IF(AT36=regle!$F$12,regle!$F$11,
IF(AT36=regle!$G$12,regle!$G$11,
IF(AT36=regle!$H$12,regle!$H$11,
IF(AT36=regle!$I$12,regle!$I$11,""))))))))))</f>
        <v/>
      </c>
      <c r="AA36" t="str">
        <f>IF(NOT($A36),"",
IF(AU36=-2,regle!$J$11,
IF(AU36=regle!$B$12,regle!$B$11,
IF(AU36=regle!$C$12,regle!$C$11,
IF(AU36=regle!$D$12,regle!$D$11,
IF(AU36=regle!$E$12,regle!$E$11,
IF(AU36=regle!$F$12,regle!$F$11,
IF(AU36=regle!$G$12,regle!$G$11,
IF(AU36=regle!$H$12,regle!$H$11,
IF(AU36=regle!$I$12,regle!$I$11,""))))))))))</f>
        <v/>
      </c>
      <c r="AB36" t="str">
        <f>IF(NOT($A36),"",
IF(AV36=-2,regle!$J$11,
IF(AV36=regle!$B$12,regle!$B$11,
IF(AV36=regle!$C$12,regle!$C$11,
IF(AV36=regle!$D$12,regle!$D$11,
IF(AV36=regle!$E$12,regle!$E$11,
IF(AV36=regle!$F$12,regle!$F$11,
IF(AV36=regle!$G$12,regle!$G$11,
IF(AV36=regle!$H$12,regle!$H$11,
IF(AV36=regle!$I$12,regle!$I$11,""))))))))))</f>
        <v/>
      </c>
      <c r="AC36" t="str">
        <f>IF(NOT($A36),"",
IF(AW36=-2,regle!$J$11,
IF(AW36=regle!$B$12,regle!$B$11,
IF(AW36=regle!$C$12,regle!$C$11,
IF(AW36=regle!$D$12,regle!$D$11,
IF(AW36=regle!$E$12,regle!$E$11,
IF(AW36=regle!$F$12,regle!$F$11,
IF(AW36=regle!$G$12,regle!$G$11,
IF(AW36=regle!$H$12,regle!$H$11,
IF(AW36=regle!$I$12,regle!$I$11,""))))))))))</f>
        <v/>
      </c>
      <c r="AD36" t="str">
        <f>IF(NOT($A36),"",
IF(AX36=-2,regle!$J$11,
IF(AX36=regle!$B$12,regle!$B$11,
IF(AX36=regle!$C$12,regle!$C$11,
IF(AX36=regle!$D$12,regle!$D$11,
IF(AX36=regle!$E$12,regle!$E$11,
IF(AX36=regle!$F$12,regle!$F$11,
IF(AX36=regle!$G$12,regle!$G$11,
IF(AX36=regle!$H$12,regle!$H$11,
IF(AX36=regle!$I$12,regle!$I$11,""))))))))))</f>
        <v>EC4</v>
      </c>
      <c r="AE36" s="14">
        <f>IF($A36,$M36*(IF(U36=regle!$B$11,regle!$B$23,IF(U36=regle!$C$11,regle!$C$23,IF(U36=regle!$D$11,regle!$D$23,IF(U36=regle!$E$11,regle!$E$23,IF(U36=regle!$F$11,regle!$F$23,IF(U36=regle!$G$11,regle!$G$23,IF(U36=regle!$H$11,regle!$H$23,IF(U36=regle!$I$11,regle!$I$23,IF(U36=regle!$J$11,regle!$J$23,0)))))))))))</f>
        <v>0</v>
      </c>
      <c r="AF36" s="14">
        <f>IF($A36,$M36*(IF(V36=regle!$B$11,regle!$B$23,IF(V36=regle!$C$11,regle!$C$23,IF(V36=regle!$D$11,regle!$D$23,IF(V36=regle!$E$11,regle!$E$23,IF(V36=regle!$F$11,regle!$F$23,IF(V36=regle!$G$11,regle!$G$23,IF(V36=regle!$H$11,regle!$H$23,IF(V36=regle!$I$11,regle!$I$23,IF(V36=regle!$J$11,regle!$J$23,0)))))))))))</f>
        <v>0</v>
      </c>
      <c r="AG36" s="14">
        <f>IF($A36,$M36*(IF(W36=regle!$B$11,regle!$B$23,IF(W36=regle!$C$11,regle!$C$23,IF(W36=regle!$D$11,regle!$D$23,IF(W36=regle!$E$11,regle!$E$23,IF(W36=regle!$F$11,regle!$F$23,IF(W36=regle!$G$11,regle!$G$23,IF(W36=regle!$H$11,regle!$H$23,IF(W36=regle!$I$11,regle!$I$23,IF(W36=regle!$J$11,regle!$J$23,0)))))))))))</f>
        <v>0</v>
      </c>
      <c r="AH36" s="14">
        <f>IF($A36,$M36*(IF(X36=regle!$B$11,regle!$B$23,IF(X36=regle!$C$11,regle!$C$23,IF(X36=regle!$D$11,regle!$D$23,IF(X36=regle!$E$11,regle!$E$23,IF(X36=regle!$F$11,regle!$F$23,IF(X36=regle!$G$11,regle!$G$23,IF(X36=regle!$H$11,regle!$H$23,IF(X36=regle!$I$11,regle!$I$23,IF(X36=regle!$J$11,regle!$J$23,0)))))))))))</f>
        <v>0</v>
      </c>
      <c r="AI36" s="14">
        <f>IF($A36,$M36*(IF(Y36=regle!$B$11,regle!$B$23,IF(Y36=regle!$C$11,regle!$C$23,IF(Y36=regle!$D$11,regle!$D$23,IF(Y36=regle!$E$11,regle!$E$23,IF(Y36=regle!$F$11,regle!$F$23,IF(Y36=regle!$G$11,regle!$G$23,IF(Y36=regle!$H$11,regle!$H$23,IF(Y36=regle!$I$11,regle!$I$23,IF(Y36=regle!$J$11,regle!$J$23,0)))))))))))</f>
        <v>362.41920000000005</v>
      </c>
      <c r="AJ36" s="14">
        <f>IF($A36,$M36*(IF(Z36=regle!$B$11,regle!$B$23,IF(Z36=regle!$C$11,regle!$C$23,IF(Z36=regle!$D$11,regle!$D$23,IF(Z36=regle!$E$11,regle!$E$23,IF(Z36=regle!$F$11,regle!$F$23,IF(Z36=regle!$G$11,regle!$G$23,IF(Z36=regle!$H$11,regle!$H$23,IF(Z36=regle!$I$11,regle!$I$23,IF(Z36=regle!$J$11,regle!$J$23,0)))))))))))</f>
        <v>0</v>
      </c>
      <c r="AK36" s="14">
        <f>IF($A36,$M36*(IF(AA36=regle!$B$11,regle!$B$23,IF(AA36=regle!$C$11,regle!$C$23,IF(AA36=regle!$D$11,regle!$D$23,IF(AA36=regle!$E$11,regle!$E$23,IF(AA36=regle!$F$11,regle!$F$23,IF(AA36=regle!$G$11,regle!$G$23,IF(AA36=regle!$H$11,regle!$H$23,IF(AA36=regle!$I$11,regle!$I$23,IF(AA36=regle!$J$11,regle!$J$23,0)))))))))))</f>
        <v>0</v>
      </c>
      <c r="AL36" s="14">
        <f>IF($A36,$M36*(IF(AB36=regle!$B$11,regle!$B$23,IF(AB36=regle!$C$11,regle!$C$23,IF(AB36=regle!$D$11,regle!$D$23,IF(AB36=regle!$E$11,regle!$E$23,IF(AB36=regle!$F$11,regle!$F$23,IF(AB36=regle!$G$11,regle!$G$23,IF(AB36=regle!$H$11,regle!$H$23,IF(AB36=regle!$I$11,regle!$I$23,IF(AB36=regle!$J$11,regle!$J$23,0)))))))))))</f>
        <v>0</v>
      </c>
      <c r="AM36" s="14">
        <f>IF($A36,$M36*(IF(AC36=regle!$B$11,regle!$B$23,IF(AC36=regle!$C$11,regle!$C$23,IF(AC36=regle!$D$11,regle!$D$23,IF(AC36=regle!$E$11,regle!$E$23,IF(AC36=regle!$F$11,regle!$F$23,IF(AC36=regle!$G$11,regle!$G$23,IF(AC36=regle!$H$11,regle!$H$23,IF(AC36=regle!$I$11,regle!$I$23,IF(AC36=regle!$J$11,regle!$J$23,0)))))))))))</f>
        <v>0</v>
      </c>
      <c r="AN36" s="14">
        <f>IF($A36,$M36*(IF(AD36=regle!$B$11,regle!$B$23,IF(AD36=regle!$C$11,regle!$C$23,IF(AD36=regle!$D$11,regle!$D$23,IF(AD36=regle!$E$11,regle!$E$23,IF(AD36=regle!$F$11,regle!$F$23,IF(AD36=regle!$G$11,regle!$G$23,IF(AD36=regle!$H$11,regle!$H$23,IF(AD36=regle!$I$11,regle!$I$23,IF(AD36=regle!$J$11,regle!$J$23,0)))))))))))</f>
        <v>329.47200000000004</v>
      </c>
      <c r="AO36">
        <f>IF(AO$1=$AO$1,IF(regle!B$2-$Q36&gt;=regle!$J$12,-2,IF($S36,IF(regle!$B$2-$Q36&gt;=2,0,-1),regle!B$2-$Q36)),IF(AN36+1&gt;=regle!$J$12,-2,AN36+1))</f>
        <v>19</v>
      </c>
      <c r="AP36">
        <f>IF(AP$1=$AO$1,IF(regle!C$2-$Q36&gt;=regle!$J$12,-2,IF($S36,IF(regle!$B$2-$Q36&gt;=2,0,-1),regle!C$2-$Q36)),IF(AO36+1&gt;=regle!$J$12,-2,AO36+1))</f>
        <v>20</v>
      </c>
      <c r="AQ36">
        <f>IF(AQ$1=$AO$1,IF(regle!D$2-$Q36&gt;=regle!$J$12,-2,IF($S36,IF(regle!$B$2-$Q36&gt;=2,0,-1),regle!D$2-$Q36)),IF(AP36+1&gt;=regle!$J$12,-2,AP36+1))</f>
        <v>21</v>
      </c>
      <c r="AR36">
        <f>IF(AR$1=$AO$1,IF(regle!E$2-$Q36&gt;=regle!$J$12,-2,IF($S36,IF(regle!$B$2-$Q36&gt;=2,0,-1),regle!E$2-$Q36)),IF(AQ36+1&gt;=regle!$J$12,-2,AQ36+1))</f>
        <v>22</v>
      </c>
      <c r="AS36">
        <f>IF(AS$1=$AO$1,IF(regle!F$2-$Q36&gt;=regle!$J$12,-2,IF($S36,IF(regle!$B$2-$Q36&gt;=2,0,-1),regle!F$2-$Q36)),IF(AR36+1&gt;=regle!$J$12,-2,AR36+1))</f>
        <v>23</v>
      </c>
      <c r="AT36">
        <f>IF(AT$1=$AO$1,IF(regle!G$2-$Q36&gt;=regle!$J$12,-2,IF($S36,IF(regle!$B$2-$Q36&gt;=2,0,-1),regle!G$2-$Q36)),IF(AS36+1&gt;=regle!$J$12,-2,AS36+1))</f>
        <v>24</v>
      </c>
      <c r="AU36">
        <f>IF(AU$1=$AO$1,IF(regle!H$2-$Q36&gt;=regle!$J$12,-2,IF($S36,IF(regle!$B$2-$Q36&gt;=2,0,-1),regle!H$2-$Q36)),IF(AT36+1&gt;=regle!$J$12,-2,AT36+1))</f>
        <v>25</v>
      </c>
      <c r="AV36">
        <f>IF(AV$1=$AO$1,IF(regle!I$2-$Q36&gt;=regle!$J$12,-2,IF($S36,IF(regle!$B$2-$Q36&gt;=2,0,-1),regle!I$2-$Q36)),IF(AU36+1&gt;=regle!$J$12,-2,AU36+1))</f>
        <v>26</v>
      </c>
      <c r="AW36">
        <f>IF(AW$1=$AO$1,IF(regle!J$2-$Q36&gt;=regle!$J$12,-2,IF($S36,IF(regle!$B$2-$Q36&gt;=2,0,-1),regle!J$2-$Q36)),IF(AV36+1&gt;=regle!$J$12,-2,AV36+1))</f>
        <v>27</v>
      </c>
      <c r="AX36">
        <f>IF(AX$1=$AO$1,IF(regle!K$2-$Q36&gt;=regle!$J$12,-2,IF($S36,IF(regle!$B$2-$Q36&gt;=2,0,-1),regle!K$2-$Q36)),IF(AW36+1&gt;=regle!$J$12,-2,AW36+1))</f>
        <v>28</v>
      </c>
    </row>
    <row r="37" spans="1:50" x14ac:dyDescent="0.25">
      <c r="A37" t="b">
        <f>AND(modif0[[#This Row],[cdstr]]&lt;&gt;0,OR(regle!$H$27=FALSE,modif0[[#This Row],[essnc]]="PM"))</f>
        <v>1</v>
      </c>
      <c r="B37">
        <f>ROW(objet!A48)</f>
        <v>48</v>
      </c>
      <c r="C37" s="10" t="str">
        <f>objet!D48</f>
        <v>5360000A0416</v>
      </c>
      <c r="D37" t="str">
        <f>LEFT(modif0[[#This Row],[cdstr]],3)</f>
        <v>536</v>
      </c>
      <c r="E37" s="10" t="str">
        <f>objet!G48</f>
        <v>LE TUZAN</v>
      </c>
      <c r="F37">
        <f>LEN(modif0[[#This Row],[l_dt]])</f>
        <v>21</v>
      </c>
      <c r="G37" s="10" t="str">
        <f>objet!H48</f>
        <v>METAIRIES DE TABARTON</v>
      </c>
      <c r="H37" s="10" t="str">
        <f>objet!C48</f>
        <v>A416kj</v>
      </c>
      <c r="I37" t="str">
        <f>IF(ISNUMBER(VALUE(RIGHT(LEFT(modif0[[#This Row],[idntfn]],2),1))),_xlfn.CONCAT(0,LEFT(modif0[[#This Row],[idntfn]],1)),LEFT(modif0[[#This Row],[idntfn]],2))</f>
        <v>0A</v>
      </c>
      <c r="J37">
        <f>VALUE(LEFT(RIGHT(modif0[[#This Row],[idntfn]],LEN(modif0[[#This Row],[idntfn]])-IF(LEFT(modif0[[#This Row],[sctn]],1)="0",1,2)),LEN(modif0[[#This Row],[idntfn]])-IF(LEFT(modif0[[#This Row],[sctn]],1)="0",1,2)-LEN(modif0[[#This Row],[lttr]])))</f>
        <v>416</v>
      </c>
      <c r="K37" t="str">
        <f>IF(ISNUMBER(VALUE(RIGHT(modif0[[#This Row],[idntfn]],1))),"",IF(ISNUMBER(VALUE(LEFT(RIGHT(modif0[[#This Row],[idntfn]],2),1))),RIGHT(modif0[[#This Row],[idntfn]],1),RIGHT(modif0[[#This Row],[idntfn]],2)))</f>
        <v>kj</v>
      </c>
      <c r="L37" s="10">
        <f>objet!I48</f>
        <v>75683</v>
      </c>
      <c r="M37" s="11">
        <f>modif0[[#This Row],[srfc]]/10000</f>
        <v>7.5682999999999998</v>
      </c>
      <c r="N37" s="10" t="str">
        <f>objet!Z48</f>
        <v>PM</v>
      </c>
      <c r="O37" s="10" t="str">
        <f>objet!AA48</f>
        <v>PLA2009</v>
      </c>
      <c r="P37" t="str">
        <f>IF(ISNUMBER(modif0[[#This Row],[trvx]]),"",LEFT(modif0[[#This Row],[trvx]],LEN(modif0[[#This Row],[trvx]])-4))</f>
        <v>PLA</v>
      </c>
      <c r="Q37">
        <f>VALUE(RIGHT(modif0[[#This Row],[trvx]],4))</f>
        <v>2009</v>
      </c>
      <c r="R37" t="str">
        <f>_xlfn.CONCAT(modif0[[#This Row],[tp]],"-",modif0[[#This Row],[essnc]],"_",modif0[[#This Row],[anns]])</f>
        <v>PLA-PM_2009</v>
      </c>
      <c r="S37" t="b">
        <f>modif0[[#This Row],[tp]]="CR"</f>
        <v>0</v>
      </c>
      <c r="T37">
        <v>40</v>
      </c>
      <c r="U37" t="str">
        <f>IF(NOT($A37),"",
IF(AO37=-2,regle!$J$11,
IF(AO37=regle!$B$12,regle!$B$11,
IF(AO37=regle!$C$12,regle!$C$11,
IF(AO37=regle!$D$12,regle!$D$11,
IF(AO37=regle!$E$12,regle!$E$11,
IF(AO37=regle!$F$12,regle!$F$11,
IF(AO37=regle!$G$12,regle!$G$11,
IF(AO37=regle!$H$12,regle!$H$11,
IF(AO37=regle!$I$12,regle!$I$11,""))))))))))</f>
        <v/>
      </c>
      <c r="V37" t="str">
        <f>IF(NOT($A37),"",
IF(AP37=-2,regle!$J$11,
IF(AP37=regle!$B$12,regle!$B$11,
IF(AP37=regle!$C$12,regle!$C$11,
IF(AP37=regle!$D$12,regle!$D$11,
IF(AP37=regle!$E$12,regle!$E$11,
IF(AP37=regle!$F$12,regle!$F$11,
IF(AP37=regle!$G$12,regle!$G$11,
IF(AP37=regle!$H$12,regle!$H$11,
IF(AP37=regle!$I$12,regle!$I$11,""))))))))))</f>
        <v/>
      </c>
      <c r="W37" t="str">
        <f>IF(NOT($A37),"",
IF(AQ37=-2,regle!$J$11,
IF(AQ37=regle!$B$12,regle!$B$11,
IF(AQ37=regle!$C$12,regle!$C$11,
IF(AQ37=regle!$D$12,regle!$D$11,
IF(AQ37=regle!$E$12,regle!$E$11,
IF(AQ37=regle!$F$12,regle!$F$11,
IF(AQ37=regle!$G$12,regle!$G$11,
IF(AQ37=regle!$H$12,regle!$H$11,
IF(AQ37=regle!$I$12,regle!$I$11,""))))))))))</f>
        <v/>
      </c>
      <c r="X37" t="str">
        <f>IF(NOT($A37),"",
IF(AR37=-2,regle!$J$11,
IF(AR37=regle!$B$12,regle!$B$11,
IF(AR37=regle!$C$12,regle!$C$11,
IF(AR37=regle!$D$12,regle!$D$11,
IF(AR37=regle!$E$12,regle!$E$11,
IF(AR37=regle!$F$12,regle!$F$11,
IF(AR37=regle!$G$12,regle!$G$11,
IF(AR37=regle!$H$12,regle!$H$11,
IF(AR37=regle!$I$12,regle!$I$11,""))))))))))</f>
        <v>EC2</v>
      </c>
      <c r="Y37" t="str">
        <f>IF(NOT($A37),"",
IF(AS37=-2,regle!$J$11,
IF(AS37=regle!$B$12,regle!$B$11,
IF(AS37=regle!$C$12,regle!$C$11,
IF(AS37=regle!$D$12,regle!$D$11,
IF(AS37=regle!$E$12,regle!$E$11,
IF(AS37=regle!$F$12,regle!$F$11,
IF(AS37=regle!$G$12,regle!$G$11,
IF(AS37=regle!$H$12,regle!$H$11,
IF(AS37=regle!$I$12,regle!$I$11,""))))))))))</f>
        <v/>
      </c>
      <c r="Z37" t="str">
        <f>IF(NOT($A37),"",
IF(AT37=-2,regle!$J$11,
IF(AT37=regle!$B$12,regle!$B$11,
IF(AT37=regle!$C$12,regle!$C$11,
IF(AT37=regle!$D$12,regle!$D$11,
IF(AT37=regle!$E$12,regle!$E$11,
IF(AT37=regle!$F$12,regle!$F$11,
IF(AT37=regle!$G$12,regle!$G$11,
IF(AT37=regle!$H$12,regle!$H$11,
IF(AT37=regle!$I$12,regle!$I$11,""))))))))))</f>
        <v/>
      </c>
      <c r="AA37" t="str">
        <f>IF(NOT($A37),"",
IF(AU37=-2,regle!$J$11,
IF(AU37=regle!$B$12,regle!$B$11,
IF(AU37=regle!$C$12,regle!$C$11,
IF(AU37=regle!$D$12,regle!$D$11,
IF(AU37=regle!$E$12,regle!$E$11,
IF(AU37=regle!$F$12,regle!$F$11,
IF(AU37=regle!$G$12,regle!$G$11,
IF(AU37=regle!$H$12,regle!$H$11,
IF(AU37=regle!$I$12,regle!$I$11,""))))))))))</f>
        <v/>
      </c>
      <c r="AB37" t="str">
        <f>IF(NOT($A37),"",
IF(AV37=-2,regle!$J$11,
IF(AV37=regle!$B$12,regle!$B$11,
IF(AV37=regle!$C$12,regle!$C$11,
IF(AV37=regle!$D$12,regle!$D$11,
IF(AV37=regle!$E$12,regle!$E$11,
IF(AV37=regle!$F$12,regle!$F$11,
IF(AV37=regle!$G$12,regle!$G$11,
IF(AV37=regle!$H$12,regle!$H$11,
IF(AV37=regle!$I$12,regle!$I$11,""))))))))))</f>
        <v/>
      </c>
      <c r="AC37" t="str">
        <f>IF(NOT($A37),"",
IF(AW37=-2,regle!$J$11,
IF(AW37=regle!$B$12,regle!$B$11,
IF(AW37=regle!$C$12,regle!$C$11,
IF(AW37=regle!$D$12,regle!$D$11,
IF(AW37=regle!$E$12,regle!$E$11,
IF(AW37=regle!$F$12,regle!$F$11,
IF(AW37=regle!$G$12,regle!$G$11,
IF(AW37=regle!$H$12,regle!$H$11,
IF(AW37=regle!$I$12,regle!$I$11,""))))))))))</f>
        <v>EC3</v>
      </c>
      <c r="AD37" t="str">
        <f>IF(NOT($A37),"",
IF(AX37=-2,regle!$J$11,
IF(AX37=regle!$B$12,regle!$B$11,
IF(AX37=regle!$C$12,regle!$C$11,
IF(AX37=regle!$D$12,regle!$D$11,
IF(AX37=regle!$E$12,regle!$E$11,
IF(AX37=regle!$F$12,regle!$F$11,
IF(AX37=regle!$G$12,regle!$G$11,
IF(AX37=regle!$H$12,regle!$H$11,
IF(AX37=regle!$I$12,regle!$I$11,""))))))))))</f>
        <v/>
      </c>
      <c r="AE37" s="14">
        <f>IF($A37,$M37*(IF(U37=regle!$B$11,regle!$B$23,IF(U37=regle!$C$11,regle!$C$23,IF(U37=regle!$D$11,regle!$D$23,IF(U37=regle!$E$11,regle!$E$23,IF(U37=regle!$F$11,regle!$F$23,IF(U37=regle!$G$11,regle!$G$23,IF(U37=regle!$H$11,regle!$H$23,IF(U37=regle!$I$11,regle!$I$23,IF(U37=regle!$J$11,regle!$J$23,0)))))))))))</f>
        <v>0</v>
      </c>
      <c r="AF37" s="14">
        <f>IF($A37,$M37*(IF(V37=regle!$B$11,regle!$B$23,IF(V37=regle!$C$11,regle!$C$23,IF(V37=regle!$D$11,regle!$D$23,IF(V37=regle!$E$11,regle!$E$23,IF(V37=regle!$F$11,regle!$F$23,IF(V37=regle!$G$11,regle!$G$23,IF(V37=regle!$H$11,regle!$H$23,IF(V37=regle!$I$11,regle!$I$23,IF(V37=regle!$J$11,regle!$J$23,0)))))))))))</f>
        <v>0</v>
      </c>
      <c r="AG37" s="14">
        <f>IF($A37,$M37*(IF(W37=regle!$B$11,regle!$B$23,IF(W37=regle!$C$11,regle!$C$23,IF(W37=regle!$D$11,regle!$D$23,IF(W37=regle!$E$11,regle!$E$23,IF(W37=regle!$F$11,regle!$F$23,IF(W37=regle!$G$11,regle!$G$23,IF(W37=regle!$H$11,regle!$H$23,IF(W37=regle!$I$11,regle!$I$23,IF(W37=regle!$J$11,regle!$J$23,0)))))))))))</f>
        <v>0</v>
      </c>
      <c r="AH37" s="14">
        <f>IF($A37,$M37*(IF(X37=regle!$B$11,regle!$B$23,IF(X37=regle!$C$11,regle!$C$23,IF(X37=regle!$D$11,regle!$D$23,IF(X37=regle!$E$11,regle!$E$23,IF(X37=regle!$F$11,regle!$F$23,IF(X37=regle!$G$11,regle!$G$23,IF(X37=regle!$H$11,regle!$H$23,IF(X37=regle!$I$11,regle!$I$23,IF(X37=regle!$J$11,regle!$J$23,0)))))))))))</f>
        <v>6357.3719999999994</v>
      </c>
      <c r="AI37" s="14">
        <f>IF($A37,$M37*(IF(Y37=regle!$B$11,regle!$B$23,IF(Y37=regle!$C$11,regle!$C$23,IF(Y37=regle!$D$11,regle!$D$23,IF(Y37=regle!$E$11,regle!$E$23,IF(Y37=regle!$F$11,regle!$F$23,IF(Y37=regle!$G$11,regle!$G$23,IF(Y37=regle!$H$11,regle!$H$23,IF(Y37=regle!$I$11,regle!$I$23,IF(Y37=regle!$J$11,regle!$J$23,0)))))))))))</f>
        <v>0</v>
      </c>
      <c r="AJ37" s="14">
        <f>IF($A37,$M37*(IF(Z37=regle!$B$11,regle!$B$23,IF(Z37=regle!$C$11,regle!$C$23,IF(Z37=regle!$D$11,regle!$D$23,IF(Z37=regle!$E$11,regle!$E$23,IF(Z37=regle!$F$11,regle!$F$23,IF(Z37=regle!$G$11,regle!$G$23,IF(Z37=regle!$H$11,regle!$H$23,IF(Z37=regle!$I$11,regle!$I$23,IF(Z37=regle!$J$11,regle!$J$23,0)))))))))))</f>
        <v>0</v>
      </c>
      <c r="AK37" s="14">
        <f>IF($A37,$M37*(IF(AA37=regle!$B$11,regle!$B$23,IF(AA37=regle!$C$11,regle!$C$23,IF(AA37=regle!$D$11,regle!$D$23,IF(AA37=regle!$E$11,regle!$E$23,IF(AA37=regle!$F$11,regle!$F$23,IF(AA37=regle!$G$11,regle!$G$23,IF(AA37=regle!$H$11,regle!$H$23,IF(AA37=regle!$I$11,regle!$I$23,IF(AA37=regle!$J$11,regle!$J$23,0)))))))))))</f>
        <v>0</v>
      </c>
      <c r="AL37" s="14">
        <f>IF($A37,$M37*(IF(AB37=regle!$B$11,regle!$B$23,IF(AB37=regle!$C$11,regle!$C$23,IF(AB37=regle!$D$11,regle!$D$23,IF(AB37=regle!$E$11,regle!$E$23,IF(AB37=regle!$F$11,regle!$F$23,IF(AB37=regle!$G$11,regle!$G$23,IF(AB37=regle!$H$11,regle!$H$23,IF(AB37=regle!$I$11,regle!$I$23,IF(AB37=regle!$J$11,regle!$J$23,0)))))))))))</f>
        <v>0</v>
      </c>
      <c r="AM37" s="14">
        <f>IF($A37,$M37*(IF(AC37=regle!$B$11,regle!$B$23,IF(AC37=regle!$C$11,regle!$C$23,IF(AC37=regle!$D$11,regle!$D$23,IF(AC37=regle!$E$11,regle!$E$23,IF(AC37=regle!$F$11,regle!$F$23,IF(AC37=regle!$G$11,regle!$G$23,IF(AC37=regle!$H$11,regle!$H$23,IF(AC37=regle!$I$11,regle!$I$23,IF(AC37=regle!$J$11,regle!$J$23,0)))))))))))</f>
        <v>10656.1664</v>
      </c>
      <c r="AN37" s="14">
        <f>IF($A37,$M37*(IF(AD37=regle!$B$11,regle!$B$23,IF(AD37=regle!$C$11,regle!$C$23,IF(AD37=regle!$D$11,regle!$D$23,IF(AD37=regle!$E$11,regle!$E$23,IF(AD37=regle!$F$11,regle!$F$23,IF(AD37=regle!$G$11,regle!$G$23,IF(AD37=regle!$H$11,regle!$H$23,IF(AD37=regle!$I$11,regle!$I$23,IF(AD37=regle!$J$11,regle!$J$23,0)))))))))))</f>
        <v>0</v>
      </c>
      <c r="AO37">
        <f>IF(AO$1=$AO$1,IF(regle!B$2-$Q37&gt;=regle!$J$12,-2,IF($S37,IF(regle!$B$2-$Q37&gt;=2,0,-1),regle!B$2-$Q37)),IF(AN37+1&gt;=regle!$J$12,-2,AN37+1))</f>
        <v>15</v>
      </c>
      <c r="AP37">
        <f>IF(AP$1=$AO$1,IF(regle!C$2-$Q37&gt;=regle!$J$12,-2,IF($S37,IF(regle!$B$2-$Q37&gt;=2,0,-1),regle!C$2-$Q37)),IF(AO37+1&gt;=regle!$J$12,-2,AO37+1))</f>
        <v>16</v>
      </c>
      <c r="AQ37">
        <f>IF(AQ$1=$AO$1,IF(regle!D$2-$Q37&gt;=regle!$J$12,-2,IF($S37,IF(regle!$B$2-$Q37&gt;=2,0,-1),regle!D$2-$Q37)),IF(AP37+1&gt;=regle!$J$12,-2,AP37+1))</f>
        <v>17</v>
      </c>
      <c r="AR37">
        <f>IF(AR$1=$AO$1,IF(regle!E$2-$Q37&gt;=regle!$J$12,-2,IF($S37,IF(regle!$B$2-$Q37&gt;=2,0,-1),regle!E$2-$Q37)),IF(AQ37+1&gt;=regle!$J$12,-2,AQ37+1))</f>
        <v>18</v>
      </c>
      <c r="AS37">
        <f>IF(AS$1=$AO$1,IF(regle!F$2-$Q37&gt;=regle!$J$12,-2,IF($S37,IF(regle!$B$2-$Q37&gt;=2,0,-1),regle!F$2-$Q37)),IF(AR37+1&gt;=regle!$J$12,-2,AR37+1))</f>
        <v>19</v>
      </c>
      <c r="AT37">
        <f>IF(AT$1=$AO$1,IF(regle!G$2-$Q37&gt;=regle!$J$12,-2,IF($S37,IF(regle!$B$2-$Q37&gt;=2,0,-1),regle!G$2-$Q37)),IF(AS37+1&gt;=regle!$J$12,-2,AS37+1))</f>
        <v>20</v>
      </c>
      <c r="AU37">
        <f>IF(AU$1=$AO$1,IF(regle!H$2-$Q37&gt;=regle!$J$12,-2,IF($S37,IF(regle!$B$2-$Q37&gt;=2,0,-1),regle!H$2-$Q37)),IF(AT37+1&gt;=regle!$J$12,-2,AT37+1))</f>
        <v>21</v>
      </c>
      <c r="AV37">
        <f>IF(AV$1=$AO$1,IF(regle!I$2-$Q37&gt;=regle!$J$12,-2,IF($S37,IF(regle!$B$2-$Q37&gt;=2,0,-1),regle!I$2-$Q37)),IF(AU37+1&gt;=regle!$J$12,-2,AU37+1))</f>
        <v>22</v>
      </c>
      <c r="AW37">
        <f>IF(AW$1=$AO$1,IF(regle!J$2-$Q37&gt;=regle!$J$12,-2,IF($S37,IF(regle!$B$2-$Q37&gt;=2,0,-1),regle!J$2-$Q37)),IF(AV37+1&gt;=regle!$J$12,-2,AV37+1))</f>
        <v>23</v>
      </c>
      <c r="AX37">
        <f>IF(AX$1=$AO$1,IF(regle!K$2-$Q37&gt;=regle!$J$12,-2,IF($S37,IF(regle!$B$2-$Q37&gt;=2,0,-1),regle!K$2-$Q37)),IF(AW37+1&gt;=regle!$J$12,-2,AW37+1))</f>
        <v>24</v>
      </c>
    </row>
    <row r="38" spans="1:50" x14ac:dyDescent="0.25">
      <c r="A38" t="b">
        <f>AND(modif0[[#This Row],[cdstr]]&lt;&gt;0,OR(regle!$H$27=FALSE,modif0[[#This Row],[essnc]]="PM"))</f>
        <v>1</v>
      </c>
      <c r="B38">
        <f>ROW(objet!A52)</f>
        <v>52</v>
      </c>
      <c r="C38" s="10" t="str">
        <f>objet!D52</f>
        <v>5360000A0418</v>
      </c>
      <c r="D38" t="str">
        <f>LEFT(modif0[[#This Row],[cdstr]],3)</f>
        <v>536</v>
      </c>
      <c r="E38" s="10" t="str">
        <f>objet!G52</f>
        <v>LE TUZAN</v>
      </c>
      <c r="F38">
        <f>LEN(modif0[[#This Row],[l_dt]])</f>
        <v>21</v>
      </c>
      <c r="G38" s="10" t="str">
        <f>objet!H52</f>
        <v>METAIRIES DE TABARTON</v>
      </c>
      <c r="H38" s="10" t="str">
        <f>objet!C52</f>
        <v>A418</v>
      </c>
      <c r="I38" t="str">
        <f>IF(ISNUMBER(VALUE(RIGHT(LEFT(modif0[[#This Row],[idntfn]],2),1))),_xlfn.CONCAT(0,LEFT(modif0[[#This Row],[idntfn]],1)),LEFT(modif0[[#This Row],[idntfn]],2))</f>
        <v>0A</v>
      </c>
      <c r="J38">
        <f>VALUE(LEFT(RIGHT(modif0[[#This Row],[idntfn]],LEN(modif0[[#This Row],[idntfn]])-IF(LEFT(modif0[[#This Row],[sctn]],1)="0",1,2)),LEN(modif0[[#This Row],[idntfn]])-IF(LEFT(modif0[[#This Row],[sctn]],1)="0",1,2)-LEN(modif0[[#This Row],[lttr]])))</f>
        <v>418</v>
      </c>
      <c r="K38" t="str">
        <f>IF(ISNUMBER(VALUE(RIGHT(modif0[[#This Row],[idntfn]],1))),"",IF(ISNUMBER(VALUE(LEFT(RIGHT(modif0[[#This Row],[idntfn]],2),1))),RIGHT(modif0[[#This Row],[idntfn]],1),RIGHT(modif0[[#This Row],[idntfn]],2)))</f>
        <v/>
      </c>
      <c r="L38" s="10">
        <f>objet!I52</f>
        <v>10900</v>
      </c>
      <c r="M38" s="11">
        <f>modif0[[#This Row],[srfc]]/10000</f>
        <v>1.0900000000000001</v>
      </c>
      <c r="N38" s="10" t="str">
        <f>objet!Z52</f>
        <v>PM</v>
      </c>
      <c r="O38" s="10" t="str">
        <f>objet!AA52</f>
        <v>PLA2009</v>
      </c>
      <c r="P38" t="str">
        <f>IF(ISNUMBER(modif0[[#This Row],[trvx]]),"",LEFT(modif0[[#This Row],[trvx]],LEN(modif0[[#This Row],[trvx]])-4))</f>
        <v>PLA</v>
      </c>
      <c r="Q38">
        <f>VALUE(RIGHT(modif0[[#This Row],[trvx]],4))</f>
        <v>2009</v>
      </c>
      <c r="R38" t="str">
        <f>_xlfn.CONCAT(modif0[[#This Row],[tp]],"-",modif0[[#This Row],[essnc]],"_",modif0[[#This Row],[anns]])</f>
        <v>PLA-PM_2009</v>
      </c>
      <c r="S38" t="b">
        <f>modif0[[#This Row],[tp]]="CR"</f>
        <v>0</v>
      </c>
      <c r="T38">
        <v>40</v>
      </c>
      <c r="U38" t="str">
        <f>IF(NOT($A38),"",
IF(AO38=-2,regle!$J$11,
IF(AO38=regle!$B$12,regle!$B$11,
IF(AO38=regle!$C$12,regle!$C$11,
IF(AO38=regle!$D$12,regle!$D$11,
IF(AO38=regle!$E$12,regle!$E$11,
IF(AO38=regle!$F$12,regle!$F$11,
IF(AO38=regle!$G$12,regle!$G$11,
IF(AO38=regle!$H$12,regle!$H$11,
IF(AO38=regle!$I$12,regle!$I$11,""))))))))))</f>
        <v/>
      </c>
      <c r="V38" t="str">
        <f>IF(NOT($A38),"",
IF(AP38=-2,regle!$J$11,
IF(AP38=regle!$B$12,regle!$B$11,
IF(AP38=regle!$C$12,regle!$C$11,
IF(AP38=regle!$D$12,regle!$D$11,
IF(AP38=regle!$E$12,regle!$E$11,
IF(AP38=regle!$F$12,regle!$F$11,
IF(AP38=regle!$G$12,regle!$G$11,
IF(AP38=regle!$H$12,regle!$H$11,
IF(AP38=regle!$I$12,regle!$I$11,""))))))))))</f>
        <v/>
      </c>
      <c r="W38" t="str">
        <f>IF(NOT($A38),"",
IF(AQ38=-2,regle!$J$11,
IF(AQ38=regle!$B$12,regle!$B$11,
IF(AQ38=regle!$C$12,regle!$C$11,
IF(AQ38=regle!$D$12,regle!$D$11,
IF(AQ38=regle!$E$12,regle!$E$11,
IF(AQ38=regle!$F$12,regle!$F$11,
IF(AQ38=regle!$G$12,regle!$G$11,
IF(AQ38=regle!$H$12,regle!$H$11,
IF(AQ38=regle!$I$12,regle!$I$11,""))))))))))</f>
        <v/>
      </c>
      <c r="X38" t="str">
        <f>IF(NOT($A38),"",
IF(AR38=-2,regle!$J$11,
IF(AR38=regle!$B$12,regle!$B$11,
IF(AR38=regle!$C$12,regle!$C$11,
IF(AR38=regle!$D$12,regle!$D$11,
IF(AR38=regle!$E$12,regle!$E$11,
IF(AR38=regle!$F$12,regle!$F$11,
IF(AR38=regle!$G$12,regle!$G$11,
IF(AR38=regle!$H$12,regle!$H$11,
IF(AR38=regle!$I$12,regle!$I$11,""))))))))))</f>
        <v>EC2</v>
      </c>
      <c r="Y38" t="str">
        <f>IF(NOT($A38),"",
IF(AS38=-2,regle!$J$11,
IF(AS38=regle!$B$12,regle!$B$11,
IF(AS38=regle!$C$12,regle!$C$11,
IF(AS38=regle!$D$12,regle!$D$11,
IF(AS38=regle!$E$12,regle!$E$11,
IF(AS38=regle!$F$12,regle!$F$11,
IF(AS38=regle!$G$12,regle!$G$11,
IF(AS38=regle!$H$12,regle!$H$11,
IF(AS38=regle!$I$12,regle!$I$11,""))))))))))</f>
        <v/>
      </c>
      <c r="Z38" t="str">
        <f>IF(NOT($A38),"",
IF(AT38=-2,regle!$J$11,
IF(AT38=regle!$B$12,regle!$B$11,
IF(AT38=regle!$C$12,regle!$C$11,
IF(AT38=regle!$D$12,regle!$D$11,
IF(AT38=regle!$E$12,regle!$E$11,
IF(AT38=regle!$F$12,regle!$F$11,
IF(AT38=regle!$G$12,regle!$G$11,
IF(AT38=regle!$H$12,regle!$H$11,
IF(AT38=regle!$I$12,regle!$I$11,""))))))))))</f>
        <v/>
      </c>
      <c r="AA38" t="str">
        <f>IF(NOT($A38),"",
IF(AU38=-2,regle!$J$11,
IF(AU38=regle!$B$12,regle!$B$11,
IF(AU38=regle!$C$12,regle!$C$11,
IF(AU38=regle!$D$12,regle!$D$11,
IF(AU38=regle!$E$12,regle!$E$11,
IF(AU38=regle!$F$12,regle!$F$11,
IF(AU38=regle!$G$12,regle!$G$11,
IF(AU38=regle!$H$12,regle!$H$11,
IF(AU38=regle!$I$12,regle!$I$11,""))))))))))</f>
        <v/>
      </c>
      <c r="AB38" t="str">
        <f>IF(NOT($A38),"",
IF(AV38=-2,regle!$J$11,
IF(AV38=regle!$B$12,regle!$B$11,
IF(AV38=regle!$C$12,regle!$C$11,
IF(AV38=regle!$D$12,regle!$D$11,
IF(AV38=regle!$E$12,regle!$E$11,
IF(AV38=regle!$F$12,regle!$F$11,
IF(AV38=regle!$G$12,regle!$G$11,
IF(AV38=regle!$H$12,regle!$H$11,
IF(AV38=regle!$I$12,regle!$I$11,""))))))))))</f>
        <v/>
      </c>
      <c r="AC38" t="str">
        <f>IF(NOT($A38),"",
IF(AW38=-2,regle!$J$11,
IF(AW38=regle!$B$12,regle!$B$11,
IF(AW38=regle!$C$12,regle!$C$11,
IF(AW38=regle!$D$12,regle!$D$11,
IF(AW38=regle!$E$12,regle!$E$11,
IF(AW38=regle!$F$12,regle!$F$11,
IF(AW38=regle!$G$12,regle!$G$11,
IF(AW38=regle!$H$12,regle!$H$11,
IF(AW38=regle!$I$12,regle!$I$11,""))))))))))</f>
        <v>EC3</v>
      </c>
      <c r="AD38" t="str">
        <f>IF(NOT($A38),"",
IF(AX38=-2,regle!$J$11,
IF(AX38=regle!$B$12,regle!$B$11,
IF(AX38=regle!$C$12,regle!$C$11,
IF(AX38=regle!$D$12,regle!$D$11,
IF(AX38=regle!$E$12,regle!$E$11,
IF(AX38=regle!$F$12,regle!$F$11,
IF(AX38=regle!$G$12,regle!$G$11,
IF(AX38=regle!$H$12,regle!$H$11,
IF(AX38=regle!$I$12,regle!$I$11,""))))))))))</f>
        <v/>
      </c>
      <c r="AE38" s="14">
        <f>IF($A38,$M38*(IF(U38=regle!$B$11,regle!$B$23,IF(U38=regle!$C$11,regle!$C$23,IF(U38=regle!$D$11,regle!$D$23,IF(U38=regle!$E$11,regle!$E$23,IF(U38=regle!$F$11,regle!$F$23,IF(U38=regle!$G$11,regle!$G$23,IF(U38=regle!$H$11,regle!$H$23,IF(U38=regle!$I$11,regle!$I$23,IF(U38=regle!$J$11,regle!$J$23,0)))))))))))</f>
        <v>0</v>
      </c>
      <c r="AF38" s="14">
        <f>IF($A38,$M38*(IF(V38=regle!$B$11,regle!$B$23,IF(V38=regle!$C$11,regle!$C$23,IF(V38=regle!$D$11,regle!$D$23,IF(V38=regle!$E$11,regle!$E$23,IF(V38=regle!$F$11,regle!$F$23,IF(V38=regle!$G$11,regle!$G$23,IF(V38=regle!$H$11,regle!$H$23,IF(V38=regle!$I$11,regle!$I$23,IF(V38=regle!$J$11,regle!$J$23,0)))))))))))</f>
        <v>0</v>
      </c>
      <c r="AG38" s="14">
        <f>IF($A38,$M38*(IF(W38=regle!$B$11,regle!$B$23,IF(W38=regle!$C$11,regle!$C$23,IF(W38=regle!$D$11,regle!$D$23,IF(W38=regle!$E$11,regle!$E$23,IF(W38=regle!$F$11,regle!$F$23,IF(W38=regle!$G$11,regle!$G$23,IF(W38=regle!$H$11,regle!$H$23,IF(W38=regle!$I$11,regle!$I$23,IF(W38=regle!$J$11,regle!$J$23,0)))))))))))</f>
        <v>0</v>
      </c>
      <c r="AH38" s="14">
        <f>IF($A38,$M38*(IF(X38=regle!$B$11,regle!$B$23,IF(X38=regle!$C$11,regle!$C$23,IF(X38=regle!$D$11,regle!$D$23,IF(X38=regle!$E$11,regle!$E$23,IF(X38=regle!$F$11,regle!$F$23,IF(X38=regle!$G$11,regle!$G$23,IF(X38=regle!$H$11,regle!$H$23,IF(X38=regle!$I$11,regle!$I$23,IF(X38=regle!$J$11,regle!$J$23,0)))))))))))</f>
        <v>915.6</v>
      </c>
      <c r="AI38" s="14">
        <f>IF($A38,$M38*(IF(Y38=regle!$B$11,regle!$B$23,IF(Y38=regle!$C$11,regle!$C$23,IF(Y38=regle!$D$11,regle!$D$23,IF(Y38=regle!$E$11,regle!$E$23,IF(Y38=regle!$F$11,regle!$F$23,IF(Y38=regle!$G$11,regle!$G$23,IF(Y38=regle!$H$11,regle!$H$23,IF(Y38=regle!$I$11,regle!$I$23,IF(Y38=regle!$J$11,regle!$J$23,0)))))))))))</f>
        <v>0</v>
      </c>
      <c r="AJ38" s="14">
        <f>IF($A38,$M38*(IF(Z38=regle!$B$11,regle!$B$23,IF(Z38=regle!$C$11,regle!$C$23,IF(Z38=regle!$D$11,regle!$D$23,IF(Z38=regle!$E$11,regle!$E$23,IF(Z38=regle!$F$11,regle!$F$23,IF(Z38=regle!$G$11,regle!$G$23,IF(Z38=regle!$H$11,regle!$H$23,IF(Z38=regle!$I$11,regle!$I$23,IF(Z38=regle!$J$11,regle!$J$23,0)))))))))))</f>
        <v>0</v>
      </c>
      <c r="AK38" s="14">
        <f>IF($A38,$M38*(IF(AA38=regle!$B$11,regle!$B$23,IF(AA38=regle!$C$11,regle!$C$23,IF(AA38=regle!$D$11,regle!$D$23,IF(AA38=regle!$E$11,regle!$E$23,IF(AA38=regle!$F$11,regle!$F$23,IF(AA38=regle!$G$11,regle!$G$23,IF(AA38=regle!$H$11,regle!$H$23,IF(AA38=regle!$I$11,regle!$I$23,IF(AA38=regle!$J$11,regle!$J$23,0)))))))))))</f>
        <v>0</v>
      </c>
      <c r="AL38" s="14">
        <f>IF($A38,$M38*(IF(AB38=regle!$B$11,regle!$B$23,IF(AB38=regle!$C$11,regle!$C$23,IF(AB38=regle!$D$11,regle!$D$23,IF(AB38=regle!$E$11,regle!$E$23,IF(AB38=regle!$F$11,regle!$F$23,IF(AB38=regle!$G$11,regle!$G$23,IF(AB38=regle!$H$11,regle!$H$23,IF(AB38=regle!$I$11,regle!$I$23,IF(AB38=regle!$J$11,regle!$J$23,0)))))))))))</f>
        <v>0</v>
      </c>
      <c r="AM38" s="14">
        <f>IF($A38,$M38*(IF(AC38=regle!$B$11,regle!$B$23,IF(AC38=regle!$C$11,regle!$C$23,IF(AC38=regle!$D$11,regle!$D$23,IF(AC38=regle!$E$11,regle!$E$23,IF(AC38=regle!$F$11,regle!$F$23,IF(AC38=regle!$G$11,regle!$G$23,IF(AC38=regle!$H$11,regle!$H$23,IF(AC38=regle!$I$11,regle!$I$23,IF(AC38=regle!$J$11,regle!$J$23,0)))))))))))</f>
        <v>1534.72</v>
      </c>
      <c r="AN38" s="14">
        <f>IF($A38,$M38*(IF(AD38=regle!$B$11,regle!$B$23,IF(AD38=regle!$C$11,regle!$C$23,IF(AD38=regle!$D$11,regle!$D$23,IF(AD38=regle!$E$11,regle!$E$23,IF(AD38=regle!$F$11,regle!$F$23,IF(AD38=regle!$G$11,regle!$G$23,IF(AD38=regle!$H$11,regle!$H$23,IF(AD38=regle!$I$11,regle!$I$23,IF(AD38=regle!$J$11,regle!$J$23,0)))))))))))</f>
        <v>0</v>
      </c>
      <c r="AO38">
        <f>IF(AO$1=$AO$1,IF(regle!B$2-$Q38&gt;=regle!$J$12,-2,IF($S38,IF(regle!$B$2-$Q38&gt;=2,0,-1),regle!B$2-$Q38)),IF(AN38+1&gt;=regle!$J$12,-2,AN38+1))</f>
        <v>15</v>
      </c>
      <c r="AP38">
        <f>IF(AP$1=$AO$1,IF(regle!C$2-$Q38&gt;=regle!$J$12,-2,IF($S38,IF(regle!$B$2-$Q38&gt;=2,0,-1),regle!C$2-$Q38)),IF(AO38+1&gt;=regle!$J$12,-2,AO38+1))</f>
        <v>16</v>
      </c>
      <c r="AQ38">
        <f>IF(AQ$1=$AO$1,IF(regle!D$2-$Q38&gt;=regle!$J$12,-2,IF($S38,IF(regle!$B$2-$Q38&gt;=2,0,-1),regle!D$2-$Q38)),IF(AP38+1&gt;=regle!$J$12,-2,AP38+1))</f>
        <v>17</v>
      </c>
      <c r="AR38">
        <f>IF(AR$1=$AO$1,IF(regle!E$2-$Q38&gt;=regle!$J$12,-2,IF($S38,IF(regle!$B$2-$Q38&gt;=2,0,-1),regle!E$2-$Q38)),IF(AQ38+1&gt;=regle!$J$12,-2,AQ38+1))</f>
        <v>18</v>
      </c>
      <c r="AS38">
        <f>IF(AS$1=$AO$1,IF(regle!F$2-$Q38&gt;=regle!$J$12,-2,IF($S38,IF(regle!$B$2-$Q38&gt;=2,0,-1),regle!F$2-$Q38)),IF(AR38+1&gt;=regle!$J$12,-2,AR38+1))</f>
        <v>19</v>
      </c>
      <c r="AT38">
        <f>IF(AT$1=$AO$1,IF(regle!G$2-$Q38&gt;=regle!$J$12,-2,IF($S38,IF(regle!$B$2-$Q38&gt;=2,0,-1),regle!G$2-$Q38)),IF(AS38+1&gt;=regle!$J$12,-2,AS38+1))</f>
        <v>20</v>
      </c>
      <c r="AU38">
        <f>IF(AU$1=$AO$1,IF(regle!H$2-$Q38&gt;=regle!$J$12,-2,IF($S38,IF(regle!$B$2-$Q38&gt;=2,0,-1),regle!H$2-$Q38)),IF(AT38+1&gt;=regle!$J$12,-2,AT38+1))</f>
        <v>21</v>
      </c>
      <c r="AV38">
        <f>IF(AV$1=$AO$1,IF(regle!I$2-$Q38&gt;=regle!$J$12,-2,IF($S38,IF(regle!$B$2-$Q38&gt;=2,0,-1),regle!I$2-$Q38)),IF(AU38+1&gt;=regle!$J$12,-2,AU38+1))</f>
        <v>22</v>
      </c>
      <c r="AW38">
        <f>IF(AW$1=$AO$1,IF(regle!J$2-$Q38&gt;=regle!$J$12,-2,IF($S38,IF(regle!$B$2-$Q38&gt;=2,0,-1),regle!J$2-$Q38)),IF(AV38+1&gt;=regle!$J$12,-2,AV38+1))</f>
        <v>23</v>
      </c>
      <c r="AX38">
        <f>IF(AX$1=$AO$1,IF(regle!K$2-$Q38&gt;=regle!$J$12,-2,IF($S38,IF(regle!$B$2-$Q38&gt;=2,0,-1),regle!K$2-$Q38)),IF(AW38+1&gt;=regle!$J$12,-2,AW38+1))</f>
        <v>24</v>
      </c>
    </row>
    <row r="39" spans="1:50" x14ac:dyDescent="0.25">
      <c r="A39" t="b">
        <f>AND(modif0[[#This Row],[cdstr]]&lt;&gt;0,OR(regle!$H$27=FALSE,modif0[[#This Row],[essnc]]="PM"))</f>
        <v>1</v>
      </c>
      <c r="B39">
        <f>ROW(objet!A54)</f>
        <v>54</v>
      </c>
      <c r="C39" s="10" t="str">
        <f>objet!D54</f>
        <v>5360000A0419</v>
      </c>
      <c r="D39" t="str">
        <f>LEFT(modif0[[#This Row],[cdstr]],3)</f>
        <v>536</v>
      </c>
      <c r="E39" s="10" t="str">
        <f>objet!G54</f>
        <v>LE TUZAN</v>
      </c>
      <c r="F39">
        <f>LEN(modif0[[#This Row],[l_dt]])</f>
        <v>21</v>
      </c>
      <c r="G39" s="10" t="str">
        <f>objet!H54</f>
        <v>METAIRIES DE TABARTON</v>
      </c>
      <c r="H39" s="10" t="str">
        <f>objet!C54</f>
        <v>A419d</v>
      </c>
      <c r="I39" t="str">
        <f>IF(ISNUMBER(VALUE(RIGHT(LEFT(modif0[[#This Row],[idntfn]],2),1))),_xlfn.CONCAT(0,LEFT(modif0[[#This Row],[idntfn]],1)),LEFT(modif0[[#This Row],[idntfn]],2))</f>
        <v>0A</v>
      </c>
      <c r="J39">
        <f>VALUE(LEFT(RIGHT(modif0[[#This Row],[idntfn]],LEN(modif0[[#This Row],[idntfn]])-IF(LEFT(modif0[[#This Row],[sctn]],1)="0",1,2)),LEN(modif0[[#This Row],[idntfn]])-IF(LEFT(modif0[[#This Row],[sctn]],1)="0",1,2)-LEN(modif0[[#This Row],[lttr]])))</f>
        <v>419</v>
      </c>
      <c r="K39" t="str">
        <f>IF(ISNUMBER(VALUE(RIGHT(modif0[[#This Row],[idntfn]],1))),"",IF(ISNUMBER(VALUE(LEFT(RIGHT(modif0[[#This Row],[idntfn]],2),1))),RIGHT(modif0[[#This Row],[idntfn]],1),RIGHT(modif0[[#This Row],[idntfn]],2)))</f>
        <v>d</v>
      </c>
      <c r="L39" s="10">
        <f>objet!I54</f>
        <v>4083</v>
      </c>
      <c r="M39" s="11">
        <f>modif0[[#This Row],[srfc]]/10000</f>
        <v>0.4083</v>
      </c>
      <c r="N39" s="10" t="str">
        <f>objet!Z54</f>
        <v>PM</v>
      </c>
      <c r="O39" s="10" t="str">
        <f>objet!AA54</f>
        <v>SL2003</v>
      </c>
      <c r="P39" t="str">
        <f>IF(ISNUMBER(modif0[[#This Row],[trvx]]),"",LEFT(modif0[[#This Row],[trvx]],LEN(modif0[[#This Row],[trvx]])-4))</f>
        <v>SL</v>
      </c>
      <c r="Q39">
        <f>VALUE(RIGHT(modif0[[#This Row],[trvx]],4))</f>
        <v>2003</v>
      </c>
      <c r="R39" t="str">
        <f>_xlfn.CONCAT(modif0[[#This Row],[tp]],"-",modif0[[#This Row],[essnc]],"_",modif0[[#This Row],[anns]])</f>
        <v>SL-PM_2003</v>
      </c>
      <c r="S39" t="b">
        <f>modif0[[#This Row],[tp]]="CR"</f>
        <v>0</v>
      </c>
      <c r="T39">
        <v>40</v>
      </c>
      <c r="U39" t="str">
        <f>IF(NOT($A39),"",
IF(AO39=-2,regle!$J$11,
IF(AO39=regle!$B$12,regle!$B$11,
IF(AO39=regle!$C$12,regle!$C$11,
IF(AO39=regle!$D$12,regle!$D$11,
IF(AO39=regle!$E$12,regle!$E$11,
IF(AO39=regle!$F$12,regle!$F$11,
IF(AO39=regle!$G$12,regle!$G$11,
IF(AO39=regle!$H$12,regle!$H$11,
IF(AO39=regle!$I$12,regle!$I$11,""))))))))))</f>
        <v/>
      </c>
      <c r="V39" t="str">
        <f>IF(NOT($A39),"",
IF(AP39=-2,regle!$J$11,
IF(AP39=regle!$B$12,regle!$B$11,
IF(AP39=regle!$C$12,regle!$C$11,
IF(AP39=regle!$D$12,regle!$D$11,
IF(AP39=regle!$E$12,regle!$E$11,
IF(AP39=regle!$F$12,regle!$F$11,
IF(AP39=regle!$G$12,regle!$G$11,
IF(AP39=regle!$H$12,regle!$H$11,
IF(AP39=regle!$I$12,regle!$I$11,""))))))))))</f>
        <v/>
      </c>
      <c r="W39" t="str">
        <f>IF(NOT($A39),"",
IF(AQ39=-2,regle!$J$11,
IF(AQ39=regle!$B$12,regle!$B$11,
IF(AQ39=regle!$C$12,regle!$C$11,
IF(AQ39=regle!$D$12,regle!$D$11,
IF(AQ39=regle!$E$12,regle!$E$11,
IF(AQ39=regle!$F$12,regle!$F$11,
IF(AQ39=regle!$G$12,regle!$G$11,
IF(AQ39=regle!$H$12,regle!$H$11,
IF(AQ39=regle!$I$12,regle!$I$11,""))))))))))</f>
        <v>EC3</v>
      </c>
      <c r="X39" t="str">
        <f>IF(NOT($A39),"",
IF(AR39=-2,regle!$J$11,
IF(AR39=regle!$B$12,regle!$B$11,
IF(AR39=regle!$C$12,regle!$C$11,
IF(AR39=regle!$D$12,regle!$D$11,
IF(AR39=regle!$E$12,regle!$E$11,
IF(AR39=regle!$F$12,regle!$F$11,
IF(AR39=regle!$G$12,regle!$G$11,
IF(AR39=regle!$H$12,regle!$H$11,
IF(AR39=regle!$I$12,regle!$I$11,""))))))))))</f>
        <v/>
      </c>
      <c r="Y39" t="str">
        <f>IF(NOT($A39),"",
IF(AS39=-2,regle!$J$11,
IF(AS39=regle!$B$12,regle!$B$11,
IF(AS39=regle!$C$12,regle!$C$11,
IF(AS39=regle!$D$12,regle!$D$11,
IF(AS39=regle!$E$12,regle!$E$11,
IF(AS39=regle!$F$12,regle!$F$11,
IF(AS39=regle!$G$12,regle!$G$11,
IF(AS39=regle!$H$12,regle!$H$11,
IF(AS39=regle!$I$12,regle!$I$11,""))))))))))</f>
        <v/>
      </c>
      <c r="Z39" t="str">
        <f>IF(NOT($A39),"",
IF(AT39=-2,regle!$J$11,
IF(AT39=regle!$B$12,regle!$B$11,
IF(AT39=regle!$C$12,regle!$C$11,
IF(AT39=regle!$D$12,regle!$D$11,
IF(AT39=regle!$E$12,regle!$E$11,
IF(AT39=regle!$F$12,regle!$F$11,
IF(AT39=regle!$G$12,regle!$G$11,
IF(AT39=regle!$H$12,regle!$H$11,
IF(AT39=regle!$I$12,regle!$I$11,""))))))))))</f>
        <v/>
      </c>
      <c r="AA39" t="str">
        <f>IF(NOT($A39),"",
IF(AU39=-2,regle!$J$11,
IF(AU39=regle!$B$12,regle!$B$11,
IF(AU39=regle!$C$12,regle!$C$11,
IF(AU39=regle!$D$12,regle!$D$11,
IF(AU39=regle!$E$12,regle!$E$11,
IF(AU39=regle!$F$12,regle!$F$11,
IF(AU39=regle!$G$12,regle!$G$11,
IF(AU39=regle!$H$12,regle!$H$11,
IF(AU39=regle!$I$12,regle!$I$11,""))))))))))</f>
        <v/>
      </c>
      <c r="AB39" t="str">
        <f>IF(NOT($A39),"",
IF(AV39=-2,regle!$J$11,
IF(AV39=regle!$B$12,regle!$B$11,
IF(AV39=regle!$C$12,regle!$C$11,
IF(AV39=regle!$D$12,regle!$D$11,
IF(AV39=regle!$E$12,regle!$E$11,
IF(AV39=regle!$F$12,regle!$F$11,
IF(AV39=regle!$G$12,regle!$G$11,
IF(AV39=regle!$H$12,regle!$H$11,
IF(AV39=regle!$I$12,regle!$I$11,""))))))))))</f>
        <v>EC4</v>
      </c>
      <c r="AC39" t="str">
        <f>IF(NOT($A39),"",
IF(AW39=-2,regle!$J$11,
IF(AW39=regle!$B$12,regle!$B$11,
IF(AW39=regle!$C$12,regle!$C$11,
IF(AW39=regle!$D$12,regle!$D$11,
IF(AW39=regle!$E$12,regle!$E$11,
IF(AW39=regle!$F$12,regle!$F$11,
IF(AW39=regle!$G$12,regle!$G$11,
IF(AW39=regle!$H$12,regle!$H$11,
IF(AW39=regle!$I$12,regle!$I$11,""))))))))))</f>
        <v/>
      </c>
      <c r="AD39" t="str">
        <f>IF(NOT($A39),"",
IF(AX39=-2,regle!$J$11,
IF(AX39=regle!$B$12,regle!$B$11,
IF(AX39=regle!$C$12,regle!$C$11,
IF(AX39=regle!$D$12,regle!$D$11,
IF(AX39=regle!$E$12,regle!$E$11,
IF(AX39=regle!$F$12,regle!$F$11,
IF(AX39=regle!$G$12,regle!$G$11,
IF(AX39=regle!$H$12,regle!$H$11,
IF(AX39=regle!$I$12,regle!$I$11,""))))))))))</f>
        <v/>
      </c>
      <c r="AE39" s="14">
        <f>IF($A39,$M39*(IF(U39=regle!$B$11,regle!$B$23,IF(U39=regle!$C$11,regle!$C$23,IF(U39=regle!$D$11,regle!$D$23,IF(U39=regle!$E$11,regle!$E$23,IF(U39=regle!$F$11,regle!$F$23,IF(U39=regle!$G$11,regle!$G$23,IF(U39=regle!$H$11,regle!$H$23,IF(U39=regle!$I$11,regle!$I$23,IF(U39=regle!$J$11,regle!$J$23,0)))))))))))</f>
        <v>0</v>
      </c>
      <c r="AF39" s="14">
        <f>IF($A39,$M39*(IF(V39=regle!$B$11,regle!$B$23,IF(V39=regle!$C$11,regle!$C$23,IF(V39=regle!$D$11,regle!$D$23,IF(V39=regle!$E$11,regle!$E$23,IF(V39=regle!$F$11,regle!$F$23,IF(V39=regle!$G$11,regle!$G$23,IF(V39=regle!$H$11,regle!$H$23,IF(V39=regle!$I$11,regle!$I$23,IF(V39=regle!$J$11,regle!$J$23,0)))))))))))</f>
        <v>0</v>
      </c>
      <c r="AG39" s="14">
        <f>IF($A39,$M39*(IF(W39=regle!$B$11,regle!$B$23,IF(W39=regle!$C$11,regle!$C$23,IF(W39=regle!$D$11,regle!$D$23,IF(W39=regle!$E$11,regle!$E$23,IF(W39=regle!$F$11,regle!$F$23,IF(W39=regle!$G$11,regle!$G$23,IF(W39=regle!$H$11,regle!$H$23,IF(W39=regle!$I$11,regle!$I$23,IF(W39=regle!$J$11,regle!$J$23,0)))))))))))</f>
        <v>574.88639999999998</v>
      </c>
      <c r="AH39" s="14">
        <f>IF($A39,$M39*(IF(X39=regle!$B$11,regle!$B$23,IF(X39=regle!$C$11,regle!$C$23,IF(X39=regle!$D$11,regle!$D$23,IF(X39=regle!$E$11,regle!$E$23,IF(X39=regle!$F$11,regle!$F$23,IF(X39=regle!$G$11,regle!$G$23,IF(X39=regle!$H$11,regle!$H$23,IF(X39=regle!$I$11,regle!$I$23,IF(X39=regle!$J$11,regle!$J$23,0)))))))))))</f>
        <v>0</v>
      </c>
      <c r="AI39" s="14">
        <f>IF($A39,$M39*(IF(Y39=regle!$B$11,regle!$B$23,IF(Y39=regle!$C$11,regle!$C$23,IF(Y39=regle!$D$11,regle!$D$23,IF(Y39=regle!$E$11,regle!$E$23,IF(Y39=regle!$F$11,regle!$F$23,IF(Y39=regle!$G$11,regle!$G$23,IF(Y39=regle!$H$11,regle!$H$23,IF(Y39=regle!$I$11,regle!$I$23,IF(Y39=regle!$J$11,regle!$J$23,0)))))))))))</f>
        <v>0</v>
      </c>
      <c r="AJ39" s="14">
        <f>IF($A39,$M39*(IF(Z39=regle!$B$11,regle!$B$23,IF(Z39=regle!$C$11,regle!$C$23,IF(Z39=regle!$D$11,regle!$D$23,IF(Z39=regle!$E$11,regle!$E$23,IF(Z39=regle!$F$11,regle!$F$23,IF(Z39=regle!$G$11,regle!$G$23,IF(Z39=regle!$H$11,regle!$H$23,IF(Z39=regle!$I$11,regle!$I$23,IF(Z39=regle!$J$11,regle!$J$23,0)))))))))))</f>
        <v>0</v>
      </c>
      <c r="AK39" s="14">
        <f>IF($A39,$M39*(IF(AA39=regle!$B$11,regle!$B$23,IF(AA39=regle!$C$11,regle!$C$23,IF(AA39=regle!$D$11,regle!$D$23,IF(AA39=regle!$E$11,regle!$E$23,IF(AA39=regle!$F$11,regle!$F$23,IF(AA39=regle!$G$11,regle!$G$23,IF(AA39=regle!$H$11,regle!$H$23,IF(AA39=regle!$I$11,regle!$I$23,IF(AA39=regle!$J$11,regle!$J$23,0)))))))))))</f>
        <v>0</v>
      </c>
      <c r="AL39" s="14">
        <f>IF($A39,$M39*(IF(AB39=regle!$B$11,regle!$B$23,IF(AB39=regle!$C$11,regle!$C$23,IF(AB39=regle!$D$11,regle!$D$23,IF(AB39=regle!$E$11,regle!$E$23,IF(AB39=regle!$F$11,regle!$F$23,IF(AB39=regle!$G$11,regle!$G$23,IF(AB39=regle!$H$11,regle!$H$23,IF(AB39=regle!$I$11,regle!$I$23,IF(AB39=regle!$J$11,regle!$J$23,0)))))))))))</f>
        <v>522.62400000000002</v>
      </c>
      <c r="AM39" s="14">
        <f>IF($A39,$M39*(IF(AC39=regle!$B$11,regle!$B$23,IF(AC39=regle!$C$11,regle!$C$23,IF(AC39=regle!$D$11,regle!$D$23,IF(AC39=regle!$E$11,regle!$E$23,IF(AC39=regle!$F$11,regle!$F$23,IF(AC39=regle!$G$11,regle!$G$23,IF(AC39=regle!$H$11,regle!$H$23,IF(AC39=regle!$I$11,regle!$I$23,IF(AC39=regle!$J$11,regle!$J$23,0)))))))))))</f>
        <v>0</v>
      </c>
      <c r="AN39" s="14">
        <f>IF($A39,$M39*(IF(AD39=regle!$B$11,regle!$B$23,IF(AD39=regle!$C$11,regle!$C$23,IF(AD39=regle!$D$11,regle!$D$23,IF(AD39=regle!$E$11,regle!$E$23,IF(AD39=regle!$F$11,regle!$F$23,IF(AD39=regle!$G$11,regle!$G$23,IF(AD39=regle!$H$11,regle!$H$23,IF(AD39=regle!$I$11,regle!$I$23,IF(AD39=regle!$J$11,regle!$J$23,0)))))))))))</f>
        <v>0</v>
      </c>
      <c r="AO39">
        <f>IF(AO$1=$AO$1,IF(regle!B$2-$Q39&gt;=regle!$J$12,-2,IF($S39,IF(regle!$B$2-$Q39&gt;=2,0,-1),regle!B$2-$Q39)),IF(AN39+1&gt;=regle!$J$12,-2,AN39+1))</f>
        <v>21</v>
      </c>
      <c r="AP39">
        <f>IF(AP$1=$AO$1,IF(regle!C$2-$Q39&gt;=regle!$J$12,-2,IF($S39,IF(regle!$B$2-$Q39&gt;=2,0,-1),regle!C$2-$Q39)),IF(AO39+1&gt;=regle!$J$12,-2,AO39+1))</f>
        <v>22</v>
      </c>
      <c r="AQ39">
        <f>IF(AQ$1=$AO$1,IF(regle!D$2-$Q39&gt;=regle!$J$12,-2,IF($S39,IF(regle!$B$2-$Q39&gt;=2,0,-1),regle!D$2-$Q39)),IF(AP39+1&gt;=regle!$J$12,-2,AP39+1))</f>
        <v>23</v>
      </c>
      <c r="AR39">
        <f>IF(AR$1=$AO$1,IF(regle!E$2-$Q39&gt;=regle!$J$12,-2,IF($S39,IF(regle!$B$2-$Q39&gt;=2,0,-1),regle!E$2-$Q39)),IF(AQ39+1&gt;=regle!$J$12,-2,AQ39+1))</f>
        <v>24</v>
      </c>
      <c r="AS39">
        <f>IF(AS$1=$AO$1,IF(regle!F$2-$Q39&gt;=regle!$J$12,-2,IF($S39,IF(regle!$B$2-$Q39&gt;=2,0,-1),regle!F$2-$Q39)),IF(AR39+1&gt;=regle!$J$12,-2,AR39+1))</f>
        <v>25</v>
      </c>
      <c r="AT39">
        <f>IF(AT$1=$AO$1,IF(regle!G$2-$Q39&gt;=regle!$J$12,-2,IF($S39,IF(regle!$B$2-$Q39&gt;=2,0,-1),regle!G$2-$Q39)),IF(AS39+1&gt;=regle!$J$12,-2,AS39+1))</f>
        <v>26</v>
      </c>
      <c r="AU39">
        <f>IF(AU$1=$AO$1,IF(regle!H$2-$Q39&gt;=regle!$J$12,-2,IF($S39,IF(regle!$B$2-$Q39&gt;=2,0,-1),regle!H$2-$Q39)),IF(AT39+1&gt;=regle!$J$12,-2,AT39+1))</f>
        <v>27</v>
      </c>
      <c r="AV39">
        <f>IF(AV$1=$AO$1,IF(regle!I$2-$Q39&gt;=regle!$J$12,-2,IF($S39,IF(regle!$B$2-$Q39&gt;=2,0,-1),regle!I$2-$Q39)),IF(AU39+1&gt;=regle!$J$12,-2,AU39+1))</f>
        <v>28</v>
      </c>
      <c r="AW39">
        <f>IF(AW$1=$AO$1,IF(regle!J$2-$Q39&gt;=regle!$J$12,-2,IF($S39,IF(regle!$B$2-$Q39&gt;=2,0,-1),regle!J$2-$Q39)),IF(AV39+1&gt;=regle!$J$12,-2,AV39+1))</f>
        <v>29</v>
      </c>
      <c r="AX39">
        <f>IF(AX$1=$AO$1,IF(regle!K$2-$Q39&gt;=regle!$J$12,-2,IF($S39,IF(regle!$B$2-$Q39&gt;=2,0,-1),regle!K$2-$Q39)),IF(AW39+1&gt;=regle!$J$12,-2,AW39+1))</f>
        <v>30</v>
      </c>
    </row>
    <row r="40" spans="1:50" x14ac:dyDescent="0.25">
      <c r="A40" t="b">
        <f>AND(modif0[[#This Row],[cdstr]]&lt;&gt;0,OR(regle!$H$27=FALSE,modif0[[#This Row],[essnc]]="PM"))</f>
        <v>1</v>
      </c>
      <c r="B40">
        <f>ROW(objet!A55)</f>
        <v>55</v>
      </c>
      <c r="C40" s="10" t="str">
        <f>objet!D55</f>
        <v>5360000A0419</v>
      </c>
      <c r="D40" t="str">
        <f>LEFT(modif0[[#This Row],[cdstr]],3)</f>
        <v>536</v>
      </c>
      <c r="E40" s="10" t="str">
        <f>objet!G55</f>
        <v>LE TUZAN</v>
      </c>
      <c r="F40">
        <f>LEN(modif0[[#This Row],[l_dt]])</f>
        <v>21</v>
      </c>
      <c r="G40" s="10" t="str">
        <f>objet!H55</f>
        <v>METAIRIES DE TABARTON</v>
      </c>
      <c r="H40" s="10" t="str">
        <f>objet!C55</f>
        <v>A419e</v>
      </c>
      <c r="I40" t="str">
        <f>IF(ISNUMBER(VALUE(RIGHT(LEFT(modif0[[#This Row],[idntfn]],2),1))),_xlfn.CONCAT(0,LEFT(modif0[[#This Row],[idntfn]],1)),LEFT(modif0[[#This Row],[idntfn]],2))</f>
        <v>0A</v>
      </c>
      <c r="J40">
        <f>VALUE(LEFT(RIGHT(modif0[[#This Row],[idntfn]],LEN(modif0[[#This Row],[idntfn]])-IF(LEFT(modif0[[#This Row],[sctn]],1)="0",1,2)),LEN(modif0[[#This Row],[idntfn]])-IF(LEFT(modif0[[#This Row],[sctn]],1)="0",1,2)-LEN(modif0[[#This Row],[lttr]])))</f>
        <v>419</v>
      </c>
      <c r="K40" t="str">
        <f>IF(ISNUMBER(VALUE(RIGHT(modif0[[#This Row],[idntfn]],1))),"",IF(ISNUMBER(VALUE(LEFT(RIGHT(modif0[[#This Row],[idntfn]],2),1))),RIGHT(modif0[[#This Row],[idntfn]],1),RIGHT(modif0[[#This Row],[idntfn]],2)))</f>
        <v>e</v>
      </c>
      <c r="L40" s="10">
        <f>objet!I55</f>
        <v>4962</v>
      </c>
      <c r="M40" s="11">
        <f>modif0[[#This Row],[srfc]]/10000</f>
        <v>0.49619999999999997</v>
      </c>
      <c r="N40" s="10" t="str">
        <f>objet!Z55</f>
        <v>PM</v>
      </c>
      <c r="O40" s="10" t="str">
        <f>objet!AA55</f>
        <v>PLA2012</v>
      </c>
      <c r="P40" t="str">
        <f>IF(ISNUMBER(modif0[[#This Row],[trvx]]),"",LEFT(modif0[[#This Row],[trvx]],LEN(modif0[[#This Row],[trvx]])-4))</f>
        <v>PLA</v>
      </c>
      <c r="Q40">
        <f>VALUE(RIGHT(modif0[[#This Row],[trvx]],4))</f>
        <v>2012</v>
      </c>
      <c r="R40" t="str">
        <f>_xlfn.CONCAT(modif0[[#This Row],[tp]],"-",modif0[[#This Row],[essnc]],"_",modif0[[#This Row],[anns]])</f>
        <v>PLA-PM_2012</v>
      </c>
      <c r="S40" t="b">
        <f>modif0[[#This Row],[tp]]="CR"</f>
        <v>0</v>
      </c>
      <c r="T40">
        <v>40</v>
      </c>
      <c r="U40" t="str">
        <f>IF(NOT($A40),"",
IF(AO40=-2,regle!$J$11,
IF(AO40=regle!$B$12,regle!$B$11,
IF(AO40=regle!$C$12,regle!$C$11,
IF(AO40=regle!$D$12,regle!$D$11,
IF(AO40=regle!$E$12,regle!$E$11,
IF(AO40=regle!$F$12,regle!$F$11,
IF(AO40=regle!$G$12,regle!$G$11,
IF(AO40=regle!$H$12,regle!$H$11,
IF(AO40=regle!$I$12,regle!$I$11,""))))))))))</f>
        <v/>
      </c>
      <c r="V40" t="str">
        <f>IF(NOT($A40),"",
IF(AP40=-2,regle!$J$11,
IF(AP40=regle!$B$12,regle!$B$11,
IF(AP40=regle!$C$12,regle!$C$11,
IF(AP40=regle!$D$12,regle!$D$11,
IF(AP40=regle!$E$12,regle!$E$11,
IF(AP40=regle!$F$12,regle!$F$11,
IF(AP40=regle!$G$12,regle!$G$11,
IF(AP40=regle!$H$12,regle!$H$11,
IF(AP40=regle!$I$12,regle!$I$11,""))))))))))</f>
        <v>EC1</v>
      </c>
      <c r="W40" t="str">
        <f>IF(NOT($A40),"",
IF(AQ40=-2,regle!$J$11,
IF(AQ40=regle!$B$12,regle!$B$11,
IF(AQ40=regle!$C$12,regle!$C$11,
IF(AQ40=regle!$D$12,regle!$D$11,
IF(AQ40=regle!$E$12,regle!$E$11,
IF(AQ40=regle!$F$12,regle!$F$11,
IF(AQ40=regle!$G$12,regle!$G$11,
IF(AQ40=regle!$H$12,regle!$H$11,
IF(AQ40=regle!$I$12,regle!$I$11,""))))))))))</f>
        <v/>
      </c>
      <c r="X40" t="str">
        <f>IF(NOT($A40),"",
IF(AR40=-2,regle!$J$11,
IF(AR40=regle!$B$12,regle!$B$11,
IF(AR40=regle!$C$12,regle!$C$11,
IF(AR40=regle!$D$12,regle!$D$11,
IF(AR40=regle!$E$12,regle!$E$11,
IF(AR40=regle!$F$12,regle!$F$11,
IF(AR40=regle!$G$12,regle!$G$11,
IF(AR40=regle!$H$12,regle!$H$11,
IF(AR40=regle!$I$12,regle!$I$11,""))))))))))</f>
        <v/>
      </c>
      <c r="Y40" t="str">
        <f>IF(NOT($A40),"",
IF(AS40=-2,regle!$J$11,
IF(AS40=regle!$B$12,regle!$B$11,
IF(AS40=regle!$C$12,regle!$C$11,
IF(AS40=regle!$D$12,regle!$D$11,
IF(AS40=regle!$E$12,regle!$E$11,
IF(AS40=regle!$F$12,regle!$F$11,
IF(AS40=regle!$G$12,regle!$G$11,
IF(AS40=regle!$H$12,regle!$H$11,
IF(AS40=regle!$I$12,regle!$I$11,""))))))))))</f>
        <v/>
      </c>
      <c r="Z40" t="str">
        <f>IF(NOT($A40),"",
IF(AT40=-2,regle!$J$11,
IF(AT40=regle!$B$12,regle!$B$11,
IF(AT40=regle!$C$12,regle!$C$11,
IF(AT40=regle!$D$12,regle!$D$11,
IF(AT40=regle!$E$12,regle!$E$11,
IF(AT40=regle!$F$12,regle!$F$11,
IF(AT40=regle!$G$12,regle!$G$11,
IF(AT40=regle!$H$12,regle!$H$11,
IF(AT40=regle!$I$12,regle!$I$11,""))))))))))</f>
        <v/>
      </c>
      <c r="AA40" t="str">
        <f>IF(NOT($A40),"",
IF(AU40=-2,regle!$J$11,
IF(AU40=regle!$B$12,regle!$B$11,
IF(AU40=regle!$C$12,regle!$C$11,
IF(AU40=regle!$D$12,regle!$D$11,
IF(AU40=regle!$E$12,regle!$E$11,
IF(AU40=regle!$F$12,regle!$F$11,
IF(AU40=regle!$G$12,regle!$G$11,
IF(AU40=regle!$H$12,regle!$H$11,
IF(AU40=regle!$I$12,regle!$I$11,""))))))))))</f>
        <v>EC2</v>
      </c>
      <c r="AB40" t="str">
        <f>IF(NOT($A40),"",
IF(AV40=-2,regle!$J$11,
IF(AV40=regle!$B$12,regle!$B$11,
IF(AV40=regle!$C$12,regle!$C$11,
IF(AV40=regle!$D$12,regle!$D$11,
IF(AV40=regle!$E$12,regle!$E$11,
IF(AV40=regle!$F$12,regle!$F$11,
IF(AV40=regle!$G$12,regle!$G$11,
IF(AV40=regle!$H$12,regle!$H$11,
IF(AV40=regle!$I$12,regle!$I$11,""))))))))))</f>
        <v/>
      </c>
      <c r="AC40" t="str">
        <f>IF(NOT($A40),"",
IF(AW40=-2,regle!$J$11,
IF(AW40=regle!$B$12,regle!$B$11,
IF(AW40=regle!$C$12,regle!$C$11,
IF(AW40=regle!$D$12,regle!$D$11,
IF(AW40=regle!$E$12,regle!$E$11,
IF(AW40=regle!$F$12,regle!$F$11,
IF(AW40=regle!$G$12,regle!$G$11,
IF(AW40=regle!$H$12,regle!$H$11,
IF(AW40=regle!$I$12,regle!$I$11,""))))))))))</f>
        <v/>
      </c>
      <c r="AD40" t="str">
        <f>IF(NOT($A40),"",
IF(AX40=-2,regle!$J$11,
IF(AX40=regle!$B$12,regle!$B$11,
IF(AX40=regle!$C$12,regle!$C$11,
IF(AX40=regle!$D$12,regle!$D$11,
IF(AX40=regle!$E$12,regle!$E$11,
IF(AX40=regle!$F$12,regle!$F$11,
IF(AX40=regle!$G$12,regle!$G$11,
IF(AX40=regle!$H$12,regle!$H$11,
IF(AX40=regle!$I$12,regle!$I$11,""))))))))))</f>
        <v/>
      </c>
      <c r="AE40" s="14">
        <f>IF($A40,$M40*(IF(U40=regle!$B$11,regle!$B$23,IF(U40=regle!$C$11,regle!$C$23,IF(U40=regle!$D$11,regle!$D$23,IF(U40=regle!$E$11,regle!$E$23,IF(U40=regle!$F$11,regle!$F$23,IF(U40=regle!$G$11,regle!$G$23,IF(U40=regle!$H$11,regle!$H$23,IF(U40=regle!$I$11,regle!$I$23,IF(U40=regle!$J$11,regle!$J$23,0)))))))))))</f>
        <v>0</v>
      </c>
      <c r="AF40" s="14">
        <f>IF($A40,$M40*(IF(V40=regle!$B$11,regle!$B$23,IF(V40=regle!$C$11,regle!$C$23,IF(V40=regle!$D$11,regle!$D$23,IF(V40=regle!$E$11,regle!$E$23,IF(V40=regle!$F$11,regle!$F$23,IF(V40=regle!$G$11,regle!$G$23,IF(V40=regle!$H$11,regle!$H$23,IF(V40=regle!$I$11,regle!$I$23,IF(V40=regle!$J$11,regle!$J$23,0)))))))))))</f>
        <v>285.81119999999999</v>
      </c>
      <c r="AG40" s="14">
        <f>IF($A40,$M40*(IF(W40=regle!$B$11,regle!$B$23,IF(W40=regle!$C$11,regle!$C$23,IF(W40=regle!$D$11,regle!$D$23,IF(W40=regle!$E$11,regle!$E$23,IF(W40=regle!$F$11,regle!$F$23,IF(W40=regle!$G$11,regle!$G$23,IF(W40=regle!$H$11,regle!$H$23,IF(W40=regle!$I$11,regle!$I$23,IF(W40=regle!$J$11,regle!$J$23,0)))))))))))</f>
        <v>0</v>
      </c>
      <c r="AH40" s="14">
        <f>IF($A40,$M40*(IF(X40=regle!$B$11,regle!$B$23,IF(X40=regle!$C$11,regle!$C$23,IF(X40=regle!$D$11,regle!$D$23,IF(X40=regle!$E$11,regle!$E$23,IF(X40=regle!$F$11,regle!$F$23,IF(X40=regle!$G$11,regle!$G$23,IF(X40=regle!$H$11,regle!$H$23,IF(X40=regle!$I$11,regle!$I$23,IF(X40=regle!$J$11,regle!$J$23,0)))))))))))</f>
        <v>0</v>
      </c>
      <c r="AI40" s="14">
        <f>IF($A40,$M40*(IF(Y40=regle!$B$11,regle!$B$23,IF(Y40=regle!$C$11,regle!$C$23,IF(Y40=regle!$D$11,regle!$D$23,IF(Y40=regle!$E$11,regle!$E$23,IF(Y40=regle!$F$11,regle!$F$23,IF(Y40=regle!$G$11,regle!$G$23,IF(Y40=regle!$H$11,regle!$H$23,IF(Y40=regle!$I$11,regle!$I$23,IF(Y40=regle!$J$11,regle!$J$23,0)))))))))))</f>
        <v>0</v>
      </c>
      <c r="AJ40" s="14">
        <f>IF($A40,$M40*(IF(Z40=regle!$B$11,regle!$B$23,IF(Z40=regle!$C$11,regle!$C$23,IF(Z40=regle!$D$11,regle!$D$23,IF(Z40=regle!$E$11,regle!$E$23,IF(Z40=regle!$F$11,regle!$F$23,IF(Z40=regle!$G$11,regle!$G$23,IF(Z40=regle!$H$11,regle!$H$23,IF(Z40=regle!$I$11,regle!$I$23,IF(Z40=regle!$J$11,regle!$J$23,0)))))))))))</f>
        <v>0</v>
      </c>
      <c r="AK40" s="14">
        <f>IF($A40,$M40*(IF(AA40=regle!$B$11,regle!$B$23,IF(AA40=regle!$C$11,regle!$C$23,IF(AA40=regle!$D$11,regle!$D$23,IF(AA40=regle!$E$11,regle!$E$23,IF(AA40=regle!$F$11,regle!$F$23,IF(AA40=regle!$G$11,regle!$G$23,IF(AA40=regle!$H$11,regle!$H$23,IF(AA40=regle!$I$11,regle!$I$23,IF(AA40=regle!$J$11,regle!$J$23,0)))))))))))</f>
        <v>416.80799999999999</v>
      </c>
      <c r="AL40" s="14">
        <f>IF($A40,$M40*(IF(AB40=regle!$B$11,regle!$B$23,IF(AB40=regle!$C$11,regle!$C$23,IF(AB40=regle!$D$11,regle!$D$23,IF(AB40=regle!$E$11,regle!$E$23,IF(AB40=regle!$F$11,regle!$F$23,IF(AB40=regle!$G$11,regle!$G$23,IF(AB40=regle!$H$11,regle!$H$23,IF(AB40=regle!$I$11,regle!$I$23,IF(AB40=regle!$J$11,regle!$J$23,0)))))))))))</f>
        <v>0</v>
      </c>
      <c r="AM40" s="14">
        <f>IF($A40,$M40*(IF(AC40=regle!$B$11,regle!$B$23,IF(AC40=regle!$C$11,regle!$C$23,IF(AC40=regle!$D$11,regle!$D$23,IF(AC40=regle!$E$11,regle!$E$23,IF(AC40=regle!$F$11,regle!$F$23,IF(AC40=regle!$G$11,regle!$G$23,IF(AC40=regle!$H$11,regle!$H$23,IF(AC40=regle!$I$11,regle!$I$23,IF(AC40=regle!$J$11,regle!$J$23,0)))))))))))</f>
        <v>0</v>
      </c>
      <c r="AN40" s="14">
        <f>IF($A40,$M40*(IF(AD40=regle!$B$11,regle!$B$23,IF(AD40=regle!$C$11,regle!$C$23,IF(AD40=regle!$D$11,regle!$D$23,IF(AD40=regle!$E$11,regle!$E$23,IF(AD40=regle!$F$11,regle!$F$23,IF(AD40=regle!$G$11,regle!$G$23,IF(AD40=regle!$H$11,regle!$H$23,IF(AD40=regle!$I$11,regle!$I$23,IF(AD40=regle!$J$11,regle!$J$23,0)))))))))))</f>
        <v>0</v>
      </c>
      <c r="AO40">
        <f>IF(AO$1=$AO$1,IF(regle!B$2-$Q40&gt;=regle!$J$12,-2,IF($S40,IF(regle!$B$2-$Q40&gt;=2,0,-1),regle!B$2-$Q40)),IF(AN40+1&gt;=regle!$J$12,-2,AN40+1))</f>
        <v>12</v>
      </c>
      <c r="AP40">
        <f>IF(AP$1=$AO$1,IF(regle!C$2-$Q40&gt;=regle!$J$12,-2,IF($S40,IF(regle!$B$2-$Q40&gt;=2,0,-1),regle!C$2-$Q40)),IF(AO40+1&gt;=regle!$J$12,-2,AO40+1))</f>
        <v>13</v>
      </c>
      <c r="AQ40">
        <f>IF(AQ$1=$AO$1,IF(regle!D$2-$Q40&gt;=regle!$J$12,-2,IF($S40,IF(regle!$B$2-$Q40&gt;=2,0,-1),regle!D$2-$Q40)),IF(AP40+1&gt;=regle!$J$12,-2,AP40+1))</f>
        <v>14</v>
      </c>
      <c r="AR40">
        <f>IF(AR$1=$AO$1,IF(regle!E$2-$Q40&gt;=regle!$J$12,-2,IF($S40,IF(regle!$B$2-$Q40&gt;=2,0,-1),regle!E$2-$Q40)),IF(AQ40+1&gt;=regle!$J$12,-2,AQ40+1))</f>
        <v>15</v>
      </c>
      <c r="AS40">
        <f>IF(AS$1=$AO$1,IF(regle!F$2-$Q40&gt;=regle!$J$12,-2,IF($S40,IF(regle!$B$2-$Q40&gt;=2,0,-1),regle!F$2-$Q40)),IF(AR40+1&gt;=regle!$J$12,-2,AR40+1))</f>
        <v>16</v>
      </c>
      <c r="AT40">
        <f>IF(AT$1=$AO$1,IF(regle!G$2-$Q40&gt;=regle!$J$12,-2,IF($S40,IF(regle!$B$2-$Q40&gt;=2,0,-1),regle!G$2-$Q40)),IF(AS40+1&gt;=regle!$J$12,-2,AS40+1))</f>
        <v>17</v>
      </c>
      <c r="AU40">
        <f>IF(AU$1=$AO$1,IF(regle!H$2-$Q40&gt;=regle!$J$12,-2,IF($S40,IF(regle!$B$2-$Q40&gt;=2,0,-1),regle!H$2-$Q40)),IF(AT40+1&gt;=regle!$J$12,-2,AT40+1))</f>
        <v>18</v>
      </c>
      <c r="AV40">
        <f>IF(AV$1=$AO$1,IF(regle!I$2-$Q40&gt;=regle!$J$12,-2,IF($S40,IF(regle!$B$2-$Q40&gt;=2,0,-1),regle!I$2-$Q40)),IF(AU40+1&gt;=regle!$J$12,-2,AU40+1))</f>
        <v>19</v>
      </c>
      <c r="AW40">
        <f>IF(AW$1=$AO$1,IF(regle!J$2-$Q40&gt;=regle!$J$12,-2,IF($S40,IF(regle!$B$2-$Q40&gt;=2,0,-1),regle!J$2-$Q40)),IF(AV40+1&gt;=regle!$J$12,-2,AV40+1))</f>
        <v>20</v>
      </c>
      <c r="AX40">
        <f>IF(AX$1=$AO$1,IF(regle!K$2-$Q40&gt;=regle!$J$12,-2,IF($S40,IF(regle!$B$2-$Q40&gt;=2,0,-1),regle!K$2-$Q40)),IF(AW40+1&gt;=regle!$J$12,-2,AW40+1))</f>
        <v>21</v>
      </c>
    </row>
    <row r="41" spans="1:50" x14ac:dyDescent="0.25">
      <c r="A41" t="b">
        <f>AND(modif0[[#This Row],[cdstr]]&lt;&gt;0,OR(regle!$H$27=FALSE,modif0[[#This Row],[essnc]]="PM"))</f>
        <v>1</v>
      </c>
      <c r="B41">
        <f>ROW(objet!A57)</f>
        <v>57</v>
      </c>
      <c r="C41" s="10" t="str">
        <f>objet!D57</f>
        <v>5360000A0420</v>
      </c>
      <c r="D41" t="str">
        <f>LEFT(modif0[[#This Row],[cdstr]],3)</f>
        <v>536</v>
      </c>
      <c r="E41" s="10" t="str">
        <f>objet!G57</f>
        <v>LE TUZAN</v>
      </c>
      <c r="F41">
        <f>LEN(modif0[[#This Row],[l_dt]])</f>
        <v>21</v>
      </c>
      <c r="G41" s="10" t="str">
        <f>objet!H57</f>
        <v>METAIRIES DE TABARTON</v>
      </c>
      <c r="H41" s="10" t="str">
        <f>objet!C57</f>
        <v>A420c</v>
      </c>
      <c r="I41" t="str">
        <f>IF(ISNUMBER(VALUE(RIGHT(LEFT(modif0[[#This Row],[idntfn]],2),1))),_xlfn.CONCAT(0,LEFT(modif0[[#This Row],[idntfn]],1)),LEFT(modif0[[#This Row],[idntfn]],2))</f>
        <v>0A</v>
      </c>
      <c r="J41">
        <f>VALUE(LEFT(RIGHT(modif0[[#This Row],[idntfn]],LEN(modif0[[#This Row],[idntfn]])-IF(LEFT(modif0[[#This Row],[sctn]],1)="0",1,2)),LEN(modif0[[#This Row],[idntfn]])-IF(LEFT(modif0[[#This Row],[sctn]],1)="0",1,2)-LEN(modif0[[#This Row],[lttr]])))</f>
        <v>420</v>
      </c>
      <c r="K41" t="str">
        <f>IF(ISNUMBER(VALUE(RIGHT(modif0[[#This Row],[idntfn]],1))),"",IF(ISNUMBER(VALUE(LEFT(RIGHT(modif0[[#This Row],[idntfn]],2),1))),RIGHT(modif0[[#This Row],[idntfn]],1),RIGHT(modif0[[#This Row],[idntfn]],2)))</f>
        <v>c</v>
      </c>
      <c r="L41" s="10">
        <f>objet!I57</f>
        <v>1912</v>
      </c>
      <c r="M41" s="11">
        <f>modif0[[#This Row],[srfc]]/10000</f>
        <v>0.19120000000000001</v>
      </c>
      <c r="N41" s="10" t="str">
        <f>objet!Z57</f>
        <v>PM</v>
      </c>
      <c r="O41" s="10" t="str">
        <f>objet!AA57</f>
        <v>PLA2012</v>
      </c>
      <c r="P41" t="str">
        <f>IF(ISNUMBER(modif0[[#This Row],[trvx]]),"",LEFT(modif0[[#This Row],[trvx]],LEN(modif0[[#This Row],[trvx]])-4))</f>
        <v>PLA</v>
      </c>
      <c r="Q41">
        <f>VALUE(RIGHT(modif0[[#This Row],[trvx]],4))</f>
        <v>2012</v>
      </c>
      <c r="R41" t="str">
        <f>_xlfn.CONCAT(modif0[[#This Row],[tp]],"-",modif0[[#This Row],[essnc]],"_",modif0[[#This Row],[anns]])</f>
        <v>PLA-PM_2012</v>
      </c>
      <c r="S41" t="b">
        <f>modif0[[#This Row],[tp]]="CR"</f>
        <v>0</v>
      </c>
      <c r="T41">
        <v>40</v>
      </c>
      <c r="U41" t="str">
        <f>IF(NOT($A41),"",
IF(AO41=-2,regle!$J$11,
IF(AO41=regle!$B$12,regle!$B$11,
IF(AO41=regle!$C$12,regle!$C$11,
IF(AO41=regle!$D$12,regle!$D$11,
IF(AO41=regle!$E$12,regle!$E$11,
IF(AO41=regle!$F$12,regle!$F$11,
IF(AO41=regle!$G$12,regle!$G$11,
IF(AO41=regle!$H$12,regle!$H$11,
IF(AO41=regle!$I$12,regle!$I$11,""))))))))))</f>
        <v/>
      </c>
      <c r="V41" t="str">
        <f>IF(NOT($A41),"",
IF(AP41=-2,regle!$J$11,
IF(AP41=regle!$B$12,regle!$B$11,
IF(AP41=regle!$C$12,regle!$C$11,
IF(AP41=regle!$D$12,regle!$D$11,
IF(AP41=regle!$E$12,regle!$E$11,
IF(AP41=regle!$F$12,regle!$F$11,
IF(AP41=regle!$G$12,regle!$G$11,
IF(AP41=regle!$H$12,regle!$H$11,
IF(AP41=regle!$I$12,regle!$I$11,""))))))))))</f>
        <v>EC1</v>
      </c>
      <c r="W41" t="str">
        <f>IF(NOT($A41),"",
IF(AQ41=-2,regle!$J$11,
IF(AQ41=regle!$B$12,regle!$B$11,
IF(AQ41=regle!$C$12,regle!$C$11,
IF(AQ41=regle!$D$12,regle!$D$11,
IF(AQ41=regle!$E$12,regle!$E$11,
IF(AQ41=regle!$F$12,regle!$F$11,
IF(AQ41=regle!$G$12,regle!$G$11,
IF(AQ41=regle!$H$12,regle!$H$11,
IF(AQ41=regle!$I$12,regle!$I$11,""))))))))))</f>
        <v/>
      </c>
      <c r="X41" t="str">
        <f>IF(NOT($A41),"",
IF(AR41=-2,regle!$J$11,
IF(AR41=regle!$B$12,regle!$B$11,
IF(AR41=regle!$C$12,regle!$C$11,
IF(AR41=regle!$D$12,regle!$D$11,
IF(AR41=regle!$E$12,regle!$E$11,
IF(AR41=regle!$F$12,regle!$F$11,
IF(AR41=regle!$G$12,regle!$G$11,
IF(AR41=regle!$H$12,regle!$H$11,
IF(AR41=regle!$I$12,regle!$I$11,""))))))))))</f>
        <v/>
      </c>
      <c r="Y41" t="str">
        <f>IF(NOT($A41),"",
IF(AS41=-2,regle!$J$11,
IF(AS41=regle!$B$12,regle!$B$11,
IF(AS41=regle!$C$12,regle!$C$11,
IF(AS41=regle!$D$12,regle!$D$11,
IF(AS41=regle!$E$12,regle!$E$11,
IF(AS41=regle!$F$12,regle!$F$11,
IF(AS41=regle!$G$12,regle!$G$11,
IF(AS41=regle!$H$12,regle!$H$11,
IF(AS41=regle!$I$12,regle!$I$11,""))))))))))</f>
        <v/>
      </c>
      <c r="Z41" t="str">
        <f>IF(NOT($A41),"",
IF(AT41=-2,regle!$J$11,
IF(AT41=regle!$B$12,regle!$B$11,
IF(AT41=regle!$C$12,regle!$C$11,
IF(AT41=regle!$D$12,regle!$D$11,
IF(AT41=regle!$E$12,regle!$E$11,
IF(AT41=regle!$F$12,regle!$F$11,
IF(AT41=regle!$G$12,regle!$G$11,
IF(AT41=regle!$H$12,regle!$H$11,
IF(AT41=regle!$I$12,regle!$I$11,""))))))))))</f>
        <v/>
      </c>
      <c r="AA41" t="str">
        <f>IF(NOT($A41),"",
IF(AU41=-2,regle!$J$11,
IF(AU41=regle!$B$12,regle!$B$11,
IF(AU41=regle!$C$12,regle!$C$11,
IF(AU41=regle!$D$12,regle!$D$11,
IF(AU41=regle!$E$12,regle!$E$11,
IF(AU41=regle!$F$12,regle!$F$11,
IF(AU41=regle!$G$12,regle!$G$11,
IF(AU41=regle!$H$12,regle!$H$11,
IF(AU41=regle!$I$12,regle!$I$11,""))))))))))</f>
        <v>EC2</v>
      </c>
      <c r="AB41" t="str">
        <f>IF(NOT($A41),"",
IF(AV41=-2,regle!$J$11,
IF(AV41=regle!$B$12,regle!$B$11,
IF(AV41=regle!$C$12,regle!$C$11,
IF(AV41=regle!$D$12,regle!$D$11,
IF(AV41=regle!$E$12,regle!$E$11,
IF(AV41=regle!$F$12,regle!$F$11,
IF(AV41=regle!$G$12,regle!$G$11,
IF(AV41=regle!$H$12,regle!$H$11,
IF(AV41=regle!$I$12,regle!$I$11,""))))))))))</f>
        <v/>
      </c>
      <c r="AC41" t="str">
        <f>IF(NOT($A41),"",
IF(AW41=-2,regle!$J$11,
IF(AW41=regle!$B$12,regle!$B$11,
IF(AW41=regle!$C$12,regle!$C$11,
IF(AW41=regle!$D$12,regle!$D$11,
IF(AW41=regle!$E$12,regle!$E$11,
IF(AW41=regle!$F$12,regle!$F$11,
IF(AW41=regle!$G$12,regle!$G$11,
IF(AW41=regle!$H$12,regle!$H$11,
IF(AW41=regle!$I$12,regle!$I$11,""))))))))))</f>
        <v/>
      </c>
      <c r="AD41" t="str">
        <f>IF(NOT($A41),"",
IF(AX41=-2,regle!$J$11,
IF(AX41=regle!$B$12,regle!$B$11,
IF(AX41=regle!$C$12,regle!$C$11,
IF(AX41=regle!$D$12,regle!$D$11,
IF(AX41=regle!$E$12,regle!$E$11,
IF(AX41=regle!$F$12,regle!$F$11,
IF(AX41=regle!$G$12,regle!$G$11,
IF(AX41=regle!$H$12,regle!$H$11,
IF(AX41=regle!$I$12,regle!$I$11,""))))))))))</f>
        <v/>
      </c>
      <c r="AE41" s="14">
        <f>IF($A41,$M41*(IF(U41=regle!$B$11,regle!$B$23,IF(U41=regle!$C$11,regle!$C$23,IF(U41=regle!$D$11,regle!$D$23,IF(U41=regle!$E$11,regle!$E$23,IF(U41=regle!$F$11,regle!$F$23,IF(U41=regle!$G$11,regle!$G$23,IF(U41=regle!$H$11,regle!$H$23,IF(U41=regle!$I$11,regle!$I$23,IF(U41=regle!$J$11,regle!$J$23,0)))))))))))</f>
        <v>0</v>
      </c>
      <c r="AF41" s="14">
        <f>IF($A41,$M41*(IF(V41=regle!$B$11,regle!$B$23,IF(V41=regle!$C$11,regle!$C$23,IF(V41=regle!$D$11,regle!$D$23,IF(V41=regle!$E$11,regle!$E$23,IF(V41=regle!$F$11,regle!$F$23,IF(V41=regle!$G$11,regle!$G$23,IF(V41=regle!$H$11,regle!$H$23,IF(V41=regle!$I$11,regle!$I$23,IF(V41=regle!$J$11,regle!$J$23,0)))))))))))</f>
        <v>110.13120000000001</v>
      </c>
      <c r="AG41" s="14">
        <f>IF($A41,$M41*(IF(W41=regle!$B$11,regle!$B$23,IF(W41=regle!$C$11,regle!$C$23,IF(W41=regle!$D$11,regle!$D$23,IF(W41=regle!$E$11,regle!$E$23,IF(W41=regle!$F$11,regle!$F$23,IF(W41=regle!$G$11,regle!$G$23,IF(W41=regle!$H$11,regle!$H$23,IF(W41=regle!$I$11,regle!$I$23,IF(W41=regle!$J$11,regle!$J$23,0)))))))))))</f>
        <v>0</v>
      </c>
      <c r="AH41" s="14">
        <f>IF($A41,$M41*(IF(X41=regle!$B$11,regle!$B$23,IF(X41=regle!$C$11,regle!$C$23,IF(X41=regle!$D$11,regle!$D$23,IF(X41=regle!$E$11,regle!$E$23,IF(X41=regle!$F$11,regle!$F$23,IF(X41=regle!$G$11,regle!$G$23,IF(X41=regle!$H$11,regle!$H$23,IF(X41=regle!$I$11,regle!$I$23,IF(X41=regle!$J$11,regle!$J$23,0)))))))))))</f>
        <v>0</v>
      </c>
      <c r="AI41" s="14">
        <f>IF($A41,$M41*(IF(Y41=regle!$B$11,regle!$B$23,IF(Y41=regle!$C$11,regle!$C$23,IF(Y41=regle!$D$11,regle!$D$23,IF(Y41=regle!$E$11,regle!$E$23,IF(Y41=regle!$F$11,regle!$F$23,IF(Y41=regle!$G$11,regle!$G$23,IF(Y41=regle!$H$11,regle!$H$23,IF(Y41=regle!$I$11,regle!$I$23,IF(Y41=regle!$J$11,regle!$J$23,0)))))))))))</f>
        <v>0</v>
      </c>
      <c r="AJ41" s="14">
        <f>IF($A41,$M41*(IF(Z41=regle!$B$11,regle!$B$23,IF(Z41=regle!$C$11,regle!$C$23,IF(Z41=regle!$D$11,regle!$D$23,IF(Z41=regle!$E$11,regle!$E$23,IF(Z41=regle!$F$11,regle!$F$23,IF(Z41=regle!$G$11,regle!$G$23,IF(Z41=regle!$H$11,regle!$H$23,IF(Z41=regle!$I$11,regle!$I$23,IF(Z41=regle!$J$11,regle!$J$23,0)))))))))))</f>
        <v>0</v>
      </c>
      <c r="AK41" s="14">
        <f>IF($A41,$M41*(IF(AA41=regle!$B$11,regle!$B$23,IF(AA41=regle!$C$11,regle!$C$23,IF(AA41=regle!$D$11,regle!$D$23,IF(AA41=regle!$E$11,regle!$E$23,IF(AA41=regle!$F$11,regle!$F$23,IF(AA41=regle!$G$11,regle!$G$23,IF(AA41=regle!$H$11,regle!$H$23,IF(AA41=regle!$I$11,regle!$I$23,IF(AA41=regle!$J$11,regle!$J$23,0)))))))))))</f>
        <v>160.608</v>
      </c>
      <c r="AL41" s="14">
        <f>IF($A41,$M41*(IF(AB41=regle!$B$11,regle!$B$23,IF(AB41=regle!$C$11,regle!$C$23,IF(AB41=regle!$D$11,regle!$D$23,IF(AB41=regle!$E$11,regle!$E$23,IF(AB41=regle!$F$11,regle!$F$23,IF(AB41=regle!$G$11,regle!$G$23,IF(AB41=regle!$H$11,regle!$H$23,IF(AB41=regle!$I$11,regle!$I$23,IF(AB41=regle!$J$11,regle!$J$23,0)))))))))))</f>
        <v>0</v>
      </c>
      <c r="AM41" s="14">
        <f>IF($A41,$M41*(IF(AC41=regle!$B$11,regle!$B$23,IF(AC41=regle!$C$11,regle!$C$23,IF(AC41=regle!$D$11,regle!$D$23,IF(AC41=regle!$E$11,regle!$E$23,IF(AC41=regle!$F$11,regle!$F$23,IF(AC41=regle!$G$11,regle!$G$23,IF(AC41=regle!$H$11,regle!$H$23,IF(AC41=regle!$I$11,regle!$I$23,IF(AC41=regle!$J$11,regle!$J$23,0)))))))))))</f>
        <v>0</v>
      </c>
      <c r="AN41" s="14">
        <f>IF($A41,$M41*(IF(AD41=regle!$B$11,regle!$B$23,IF(AD41=regle!$C$11,regle!$C$23,IF(AD41=regle!$D$11,regle!$D$23,IF(AD41=regle!$E$11,regle!$E$23,IF(AD41=regle!$F$11,regle!$F$23,IF(AD41=regle!$G$11,regle!$G$23,IF(AD41=regle!$H$11,regle!$H$23,IF(AD41=regle!$I$11,regle!$I$23,IF(AD41=regle!$J$11,regle!$J$23,0)))))))))))</f>
        <v>0</v>
      </c>
      <c r="AO41">
        <f>IF(AO$1=$AO$1,IF(regle!B$2-$Q41&gt;=regle!$J$12,-2,IF($S41,IF(regle!$B$2-$Q41&gt;=2,0,-1),regle!B$2-$Q41)),IF(AN41+1&gt;=regle!$J$12,-2,AN41+1))</f>
        <v>12</v>
      </c>
      <c r="AP41">
        <f>IF(AP$1=$AO$1,IF(regle!C$2-$Q41&gt;=regle!$J$12,-2,IF($S41,IF(regle!$B$2-$Q41&gt;=2,0,-1),regle!C$2-$Q41)),IF(AO41+1&gt;=regle!$J$12,-2,AO41+1))</f>
        <v>13</v>
      </c>
      <c r="AQ41">
        <f>IF(AQ$1=$AO$1,IF(regle!D$2-$Q41&gt;=regle!$J$12,-2,IF($S41,IF(regle!$B$2-$Q41&gt;=2,0,-1),regle!D$2-$Q41)),IF(AP41+1&gt;=regle!$J$12,-2,AP41+1))</f>
        <v>14</v>
      </c>
      <c r="AR41">
        <f>IF(AR$1=$AO$1,IF(regle!E$2-$Q41&gt;=regle!$J$12,-2,IF($S41,IF(regle!$B$2-$Q41&gt;=2,0,-1),regle!E$2-$Q41)),IF(AQ41+1&gt;=regle!$J$12,-2,AQ41+1))</f>
        <v>15</v>
      </c>
      <c r="AS41">
        <f>IF(AS$1=$AO$1,IF(regle!F$2-$Q41&gt;=regle!$J$12,-2,IF($S41,IF(regle!$B$2-$Q41&gt;=2,0,-1),regle!F$2-$Q41)),IF(AR41+1&gt;=regle!$J$12,-2,AR41+1))</f>
        <v>16</v>
      </c>
      <c r="AT41">
        <f>IF(AT$1=$AO$1,IF(regle!G$2-$Q41&gt;=regle!$J$12,-2,IF($S41,IF(regle!$B$2-$Q41&gt;=2,0,-1),regle!G$2-$Q41)),IF(AS41+1&gt;=regle!$J$12,-2,AS41+1))</f>
        <v>17</v>
      </c>
      <c r="AU41">
        <f>IF(AU$1=$AO$1,IF(regle!H$2-$Q41&gt;=regle!$J$12,-2,IF($S41,IF(regle!$B$2-$Q41&gt;=2,0,-1),regle!H$2-$Q41)),IF(AT41+1&gt;=regle!$J$12,-2,AT41+1))</f>
        <v>18</v>
      </c>
      <c r="AV41">
        <f>IF(AV$1=$AO$1,IF(regle!I$2-$Q41&gt;=regle!$J$12,-2,IF($S41,IF(regle!$B$2-$Q41&gt;=2,0,-1),regle!I$2-$Q41)),IF(AU41+1&gt;=regle!$J$12,-2,AU41+1))</f>
        <v>19</v>
      </c>
      <c r="AW41">
        <f>IF(AW$1=$AO$1,IF(regle!J$2-$Q41&gt;=regle!$J$12,-2,IF($S41,IF(regle!$B$2-$Q41&gt;=2,0,-1),regle!J$2-$Q41)),IF(AV41+1&gt;=regle!$J$12,-2,AV41+1))</f>
        <v>20</v>
      </c>
      <c r="AX41">
        <f>IF(AX$1=$AO$1,IF(regle!K$2-$Q41&gt;=regle!$J$12,-2,IF($S41,IF(regle!$B$2-$Q41&gt;=2,0,-1),regle!K$2-$Q41)),IF(AW41+1&gt;=regle!$J$12,-2,AW41+1))</f>
        <v>21</v>
      </c>
    </row>
    <row r="42" spans="1:50" x14ac:dyDescent="0.25">
      <c r="A42" t="b">
        <f>AND(modif0[[#This Row],[cdstr]]&lt;&gt;0,OR(regle!$H$27=FALSE,modif0[[#This Row],[essnc]]="PM"))</f>
        <v>1</v>
      </c>
      <c r="B42">
        <f>ROW(objet!A59)</f>
        <v>59</v>
      </c>
      <c r="C42" s="10" t="str">
        <f>objet!D59</f>
        <v>5360000A0421</v>
      </c>
      <c r="D42" t="str">
        <f>LEFT(modif0[[#This Row],[cdstr]],3)</f>
        <v>536</v>
      </c>
      <c r="E42" s="10" t="str">
        <f>objet!G59</f>
        <v>LE TUZAN</v>
      </c>
      <c r="F42">
        <f>LEN(modif0[[#This Row],[l_dt]])</f>
        <v>21</v>
      </c>
      <c r="G42" s="10" t="str">
        <f>objet!H59</f>
        <v>METAIRIES DE TABARTON</v>
      </c>
      <c r="H42" s="10" t="str">
        <f>objet!C59</f>
        <v>A421a</v>
      </c>
      <c r="I42" t="str">
        <f>IF(ISNUMBER(VALUE(RIGHT(LEFT(modif0[[#This Row],[idntfn]],2),1))),_xlfn.CONCAT(0,LEFT(modif0[[#This Row],[idntfn]],1)),LEFT(modif0[[#This Row],[idntfn]],2))</f>
        <v>0A</v>
      </c>
      <c r="J42">
        <f>VALUE(LEFT(RIGHT(modif0[[#This Row],[idntfn]],LEN(modif0[[#This Row],[idntfn]])-IF(LEFT(modif0[[#This Row],[sctn]],1)="0",1,2)),LEN(modif0[[#This Row],[idntfn]])-IF(LEFT(modif0[[#This Row],[sctn]],1)="0",1,2)-LEN(modif0[[#This Row],[lttr]])))</f>
        <v>421</v>
      </c>
      <c r="K42" t="str">
        <f>IF(ISNUMBER(VALUE(RIGHT(modif0[[#This Row],[idntfn]],1))),"",IF(ISNUMBER(VALUE(LEFT(RIGHT(modif0[[#This Row],[idntfn]],2),1))),RIGHT(modif0[[#This Row],[idntfn]],1),RIGHT(modif0[[#This Row],[idntfn]],2)))</f>
        <v>a</v>
      </c>
      <c r="L42" s="10">
        <f>objet!I59</f>
        <v>3811</v>
      </c>
      <c r="M42" s="11">
        <f>modif0[[#This Row],[srfc]]/10000</f>
        <v>0.38109999999999999</v>
      </c>
      <c r="N42" s="10" t="str">
        <f>objet!Z59</f>
        <v>PM</v>
      </c>
      <c r="O42" s="10" t="str">
        <f>objet!AA59</f>
        <v>PLA2017</v>
      </c>
      <c r="P42" t="str">
        <f>IF(ISNUMBER(modif0[[#This Row],[trvx]]),"",LEFT(modif0[[#This Row],[trvx]],LEN(modif0[[#This Row],[trvx]])-4))</f>
        <v>PLA</v>
      </c>
      <c r="Q42">
        <f>VALUE(RIGHT(modif0[[#This Row],[trvx]],4))</f>
        <v>2017</v>
      </c>
      <c r="R42" t="str">
        <f>_xlfn.CONCAT(modif0[[#This Row],[tp]],"-",modif0[[#This Row],[essnc]],"_",modif0[[#This Row],[anns]])</f>
        <v>PLA-PM_2017</v>
      </c>
      <c r="S42" t="b">
        <f>modif0[[#This Row],[tp]]="CR"</f>
        <v>0</v>
      </c>
      <c r="T42">
        <v>40</v>
      </c>
      <c r="U42" t="str">
        <f>IF(NOT($A42),"",
IF(AO42=-2,regle!$J$11,
IF(AO42=regle!$B$12,regle!$B$11,
IF(AO42=regle!$C$12,regle!$C$11,
IF(AO42=regle!$D$12,regle!$D$11,
IF(AO42=regle!$E$12,regle!$E$11,
IF(AO42=regle!$F$12,regle!$F$11,
IF(AO42=regle!$G$12,regle!$G$11,
IF(AO42=regle!$H$12,regle!$H$11,
IF(AO42=regle!$I$12,regle!$I$11,""))))))))))</f>
        <v/>
      </c>
      <c r="V42" t="str">
        <f>IF(NOT($A42),"",
IF(AP42=-2,regle!$J$11,
IF(AP42=regle!$B$12,regle!$B$11,
IF(AP42=regle!$C$12,regle!$C$11,
IF(AP42=regle!$D$12,regle!$D$11,
IF(AP42=regle!$E$12,regle!$E$11,
IF(AP42=regle!$F$12,regle!$F$11,
IF(AP42=regle!$G$12,regle!$G$11,
IF(AP42=regle!$H$12,regle!$H$11,
IF(AP42=regle!$I$12,regle!$I$11,""))))))))))</f>
        <v>ENT2</v>
      </c>
      <c r="W42" t="str">
        <f>IF(NOT($A42),"",
IF(AQ42=-2,regle!$J$11,
IF(AQ42=regle!$B$12,regle!$B$11,
IF(AQ42=regle!$C$12,regle!$C$11,
IF(AQ42=regle!$D$12,regle!$D$11,
IF(AQ42=regle!$E$12,regle!$E$11,
IF(AQ42=regle!$F$12,regle!$F$11,
IF(AQ42=regle!$G$12,regle!$G$11,
IF(AQ42=regle!$H$12,regle!$H$11,
IF(AQ42=regle!$I$12,regle!$I$11,""))))))))))</f>
        <v/>
      </c>
      <c r="X42" t="str">
        <f>IF(NOT($A42),"",
IF(AR42=-2,regle!$J$11,
IF(AR42=regle!$B$12,regle!$B$11,
IF(AR42=regle!$C$12,regle!$C$11,
IF(AR42=regle!$D$12,regle!$D$11,
IF(AR42=regle!$E$12,regle!$E$11,
IF(AR42=regle!$F$12,regle!$F$11,
IF(AR42=regle!$G$12,regle!$G$11,
IF(AR42=regle!$H$12,regle!$H$11,
IF(AR42=regle!$I$12,regle!$I$11,""))))))))))</f>
        <v/>
      </c>
      <c r="Y42" t="str">
        <f>IF(NOT($A42),"",
IF(AS42=-2,regle!$J$11,
IF(AS42=regle!$B$12,regle!$B$11,
IF(AS42=regle!$C$12,regle!$C$11,
IF(AS42=regle!$D$12,regle!$D$11,
IF(AS42=regle!$E$12,regle!$E$11,
IF(AS42=regle!$F$12,regle!$F$11,
IF(AS42=regle!$G$12,regle!$G$11,
IF(AS42=regle!$H$12,regle!$H$11,
IF(AS42=regle!$I$12,regle!$I$11,""))))))))))</f>
        <v/>
      </c>
      <c r="Z42" t="str">
        <f>IF(NOT($A42),"",
IF(AT42=-2,regle!$J$11,
IF(AT42=regle!$B$12,regle!$B$11,
IF(AT42=regle!$C$12,regle!$C$11,
IF(AT42=regle!$D$12,regle!$D$11,
IF(AT42=regle!$E$12,regle!$E$11,
IF(AT42=regle!$F$12,regle!$F$11,
IF(AT42=regle!$G$12,regle!$G$11,
IF(AT42=regle!$H$12,regle!$H$11,
IF(AT42=regle!$I$12,regle!$I$11,""))))))))))</f>
        <v/>
      </c>
      <c r="AA42" t="str">
        <f>IF(NOT($A42),"",
IF(AU42=-2,regle!$J$11,
IF(AU42=regle!$B$12,regle!$B$11,
IF(AU42=regle!$C$12,regle!$C$11,
IF(AU42=regle!$D$12,regle!$D$11,
IF(AU42=regle!$E$12,regle!$E$11,
IF(AU42=regle!$F$12,regle!$F$11,
IF(AU42=regle!$G$12,regle!$G$11,
IF(AU42=regle!$H$12,regle!$H$11,
IF(AU42=regle!$I$12,regle!$I$11,""))))))))))</f>
        <v>EC1</v>
      </c>
      <c r="AB42" t="str">
        <f>IF(NOT($A42),"",
IF(AV42=-2,regle!$J$11,
IF(AV42=regle!$B$12,regle!$B$11,
IF(AV42=regle!$C$12,regle!$C$11,
IF(AV42=regle!$D$12,regle!$D$11,
IF(AV42=regle!$E$12,regle!$E$11,
IF(AV42=regle!$F$12,regle!$F$11,
IF(AV42=regle!$G$12,regle!$G$11,
IF(AV42=regle!$H$12,regle!$H$11,
IF(AV42=regle!$I$12,regle!$I$11,""))))))))))</f>
        <v/>
      </c>
      <c r="AC42" t="str">
        <f>IF(NOT($A42),"",
IF(AW42=-2,regle!$J$11,
IF(AW42=regle!$B$12,regle!$B$11,
IF(AW42=regle!$C$12,regle!$C$11,
IF(AW42=regle!$D$12,regle!$D$11,
IF(AW42=regle!$E$12,regle!$E$11,
IF(AW42=regle!$F$12,regle!$F$11,
IF(AW42=regle!$G$12,regle!$G$11,
IF(AW42=regle!$H$12,regle!$H$11,
IF(AW42=regle!$I$12,regle!$I$11,""))))))))))</f>
        <v/>
      </c>
      <c r="AD42" t="str">
        <f>IF(NOT($A42),"",
IF(AX42=-2,regle!$J$11,
IF(AX42=regle!$B$12,regle!$B$11,
IF(AX42=regle!$C$12,regle!$C$11,
IF(AX42=regle!$D$12,regle!$D$11,
IF(AX42=regle!$E$12,regle!$E$11,
IF(AX42=regle!$F$12,regle!$F$11,
IF(AX42=regle!$G$12,regle!$G$11,
IF(AX42=regle!$H$12,regle!$H$11,
IF(AX42=regle!$I$12,regle!$I$11,""))))))))))</f>
        <v/>
      </c>
      <c r="AE42" s="14">
        <f>IF($A42,$M42*(IF(U42=regle!$B$11,regle!$B$23,IF(U42=regle!$C$11,regle!$C$23,IF(U42=regle!$D$11,regle!$D$23,IF(U42=regle!$E$11,regle!$E$23,IF(U42=regle!$F$11,regle!$F$23,IF(U42=regle!$G$11,regle!$G$23,IF(U42=regle!$H$11,regle!$H$23,IF(U42=regle!$I$11,regle!$I$23,IF(U42=regle!$J$11,regle!$J$23,0)))))))))))</f>
        <v>0</v>
      </c>
      <c r="AF42" s="14">
        <f>IF($A42,$M42*(IF(V42=regle!$B$11,regle!$B$23,IF(V42=regle!$C$11,regle!$C$23,IF(V42=regle!$D$11,regle!$D$23,IF(V42=regle!$E$11,regle!$E$23,IF(V42=regle!$F$11,regle!$F$23,IF(V42=regle!$G$11,regle!$G$23,IF(V42=regle!$H$11,regle!$H$23,IF(V42=regle!$I$11,regle!$I$23,IF(V42=regle!$J$11,regle!$J$23,0)))))))))))</f>
        <v>-34.298999999999999</v>
      </c>
      <c r="AG42" s="14">
        <f>IF($A42,$M42*(IF(W42=regle!$B$11,regle!$B$23,IF(W42=regle!$C$11,regle!$C$23,IF(W42=regle!$D$11,regle!$D$23,IF(W42=regle!$E$11,regle!$E$23,IF(W42=regle!$F$11,regle!$F$23,IF(W42=regle!$G$11,regle!$G$23,IF(W42=regle!$H$11,regle!$H$23,IF(W42=regle!$I$11,regle!$I$23,IF(W42=regle!$J$11,regle!$J$23,0)))))))))))</f>
        <v>0</v>
      </c>
      <c r="AH42" s="14">
        <f>IF($A42,$M42*(IF(X42=regle!$B$11,regle!$B$23,IF(X42=regle!$C$11,regle!$C$23,IF(X42=regle!$D$11,regle!$D$23,IF(X42=regle!$E$11,regle!$E$23,IF(X42=regle!$F$11,regle!$F$23,IF(X42=regle!$G$11,regle!$G$23,IF(X42=regle!$H$11,regle!$H$23,IF(X42=regle!$I$11,regle!$I$23,IF(X42=regle!$J$11,regle!$J$23,0)))))))))))</f>
        <v>0</v>
      </c>
      <c r="AI42" s="14">
        <f>IF($A42,$M42*(IF(Y42=regle!$B$11,regle!$B$23,IF(Y42=regle!$C$11,regle!$C$23,IF(Y42=regle!$D$11,regle!$D$23,IF(Y42=regle!$E$11,regle!$E$23,IF(Y42=regle!$F$11,regle!$F$23,IF(Y42=regle!$G$11,regle!$G$23,IF(Y42=regle!$H$11,regle!$H$23,IF(Y42=regle!$I$11,regle!$I$23,IF(Y42=regle!$J$11,regle!$J$23,0)))))))))))</f>
        <v>0</v>
      </c>
      <c r="AJ42" s="14">
        <f>IF($A42,$M42*(IF(Z42=regle!$B$11,regle!$B$23,IF(Z42=regle!$C$11,regle!$C$23,IF(Z42=regle!$D$11,regle!$D$23,IF(Z42=regle!$E$11,regle!$E$23,IF(Z42=regle!$F$11,regle!$F$23,IF(Z42=regle!$G$11,regle!$G$23,IF(Z42=regle!$H$11,regle!$H$23,IF(Z42=regle!$I$11,regle!$I$23,IF(Z42=regle!$J$11,regle!$J$23,0)))))))))))</f>
        <v>0</v>
      </c>
      <c r="AK42" s="14">
        <f>IF($A42,$M42*(IF(AA42=regle!$B$11,regle!$B$23,IF(AA42=regle!$C$11,regle!$C$23,IF(AA42=regle!$D$11,regle!$D$23,IF(AA42=regle!$E$11,regle!$E$23,IF(AA42=regle!$F$11,regle!$F$23,IF(AA42=regle!$G$11,regle!$G$23,IF(AA42=regle!$H$11,regle!$H$23,IF(AA42=regle!$I$11,regle!$I$23,IF(AA42=regle!$J$11,regle!$J$23,0)))))))))))</f>
        <v>219.5136</v>
      </c>
      <c r="AL42" s="14">
        <f>IF($A42,$M42*(IF(AB42=regle!$B$11,regle!$B$23,IF(AB42=regle!$C$11,regle!$C$23,IF(AB42=regle!$D$11,regle!$D$23,IF(AB42=regle!$E$11,regle!$E$23,IF(AB42=regle!$F$11,regle!$F$23,IF(AB42=regle!$G$11,regle!$G$23,IF(AB42=regle!$H$11,regle!$H$23,IF(AB42=regle!$I$11,regle!$I$23,IF(AB42=regle!$J$11,regle!$J$23,0)))))))))))</f>
        <v>0</v>
      </c>
      <c r="AM42" s="14">
        <f>IF($A42,$M42*(IF(AC42=regle!$B$11,regle!$B$23,IF(AC42=regle!$C$11,regle!$C$23,IF(AC42=regle!$D$11,regle!$D$23,IF(AC42=regle!$E$11,regle!$E$23,IF(AC42=regle!$F$11,regle!$F$23,IF(AC42=regle!$G$11,regle!$G$23,IF(AC42=regle!$H$11,regle!$H$23,IF(AC42=regle!$I$11,regle!$I$23,IF(AC42=regle!$J$11,regle!$J$23,0)))))))))))</f>
        <v>0</v>
      </c>
      <c r="AN42" s="14">
        <f>IF($A42,$M42*(IF(AD42=regle!$B$11,regle!$B$23,IF(AD42=regle!$C$11,regle!$C$23,IF(AD42=regle!$D$11,regle!$D$23,IF(AD42=regle!$E$11,regle!$E$23,IF(AD42=regle!$F$11,regle!$F$23,IF(AD42=regle!$G$11,regle!$G$23,IF(AD42=regle!$H$11,regle!$H$23,IF(AD42=regle!$I$11,regle!$I$23,IF(AD42=regle!$J$11,regle!$J$23,0)))))))))))</f>
        <v>0</v>
      </c>
      <c r="AO42">
        <f>IF(AO$1=$AO$1,IF(regle!B$2-$Q42&gt;=regle!$J$12,-2,IF($S42,IF(regle!$B$2-$Q42&gt;=2,0,-1),regle!B$2-$Q42)),IF(AN42+1&gt;=regle!$J$12,-2,AN42+1))</f>
        <v>7</v>
      </c>
      <c r="AP42">
        <f>IF(AP$1=$AO$1,IF(regle!C$2-$Q42&gt;=regle!$J$12,-2,IF($S42,IF(regle!$B$2-$Q42&gt;=2,0,-1),regle!C$2-$Q42)),IF(AO42+1&gt;=regle!$J$12,-2,AO42+1))</f>
        <v>8</v>
      </c>
      <c r="AQ42">
        <f>IF(AQ$1=$AO$1,IF(regle!D$2-$Q42&gt;=regle!$J$12,-2,IF($S42,IF(regle!$B$2-$Q42&gt;=2,0,-1),regle!D$2-$Q42)),IF(AP42+1&gt;=regle!$J$12,-2,AP42+1))</f>
        <v>9</v>
      </c>
      <c r="AR42">
        <f>IF(AR$1=$AO$1,IF(regle!E$2-$Q42&gt;=regle!$J$12,-2,IF($S42,IF(regle!$B$2-$Q42&gt;=2,0,-1),regle!E$2-$Q42)),IF(AQ42+1&gt;=regle!$J$12,-2,AQ42+1))</f>
        <v>10</v>
      </c>
      <c r="AS42">
        <f>IF(AS$1=$AO$1,IF(regle!F$2-$Q42&gt;=regle!$J$12,-2,IF($S42,IF(regle!$B$2-$Q42&gt;=2,0,-1),regle!F$2-$Q42)),IF(AR42+1&gt;=regle!$J$12,-2,AR42+1))</f>
        <v>11</v>
      </c>
      <c r="AT42">
        <f>IF(AT$1=$AO$1,IF(regle!G$2-$Q42&gt;=regle!$J$12,-2,IF($S42,IF(regle!$B$2-$Q42&gt;=2,0,-1),regle!G$2-$Q42)),IF(AS42+1&gt;=regle!$J$12,-2,AS42+1))</f>
        <v>12</v>
      </c>
      <c r="AU42">
        <f>IF(AU$1=$AO$1,IF(regle!H$2-$Q42&gt;=regle!$J$12,-2,IF($S42,IF(regle!$B$2-$Q42&gt;=2,0,-1),regle!H$2-$Q42)),IF(AT42+1&gt;=regle!$J$12,-2,AT42+1))</f>
        <v>13</v>
      </c>
      <c r="AV42">
        <f>IF(AV$1=$AO$1,IF(regle!I$2-$Q42&gt;=regle!$J$12,-2,IF($S42,IF(regle!$B$2-$Q42&gt;=2,0,-1),regle!I$2-$Q42)),IF(AU42+1&gt;=regle!$J$12,-2,AU42+1))</f>
        <v>14</v>
      </c>
      <c r="AW42">
        <f>IF(AW$1=$AO$1,IF(regle!J$2-$Q42&gt;=regle!$J$12,-2,IF($S42,IF(regle!$B$2-$Q42&gt;=2,0,-1),regle!J$2-$Q42)),IF(AV42+1&gt;=regle!$J$12,-2,AV42+1))</f>
        <v>15</v>
      </c>
      <c r="AX42">
        <f>IF(AX$1=$AO$1,IF(regle!K$2-$Q42&gt;=regle!$J$12,-2,IF($S42,IF(regle!$B$2-$Q42&gt;=2,0,-1),regle!K$2-$Q42)),IF(AW42+1&gt;=regle!$J$12,-2,AW42+1))</f>
        <v>16</v>
      </c>
    </row>
    <row r="43" spans="1:50" x14ac:dyDescent="0.25">
      <c r="A43" t="b">
        <f>AND(modif0[[#This Row],[cdstr]]&lt;&gt;0,OR(regle!$H$27=FALSE,modif0[[#This Row],[essnc]]="PM"))</f>
        <v>1</v>
      </c>
      <c r="B43">
        <f>ROW(objet!A60)</f>
        <v>60</v>
      </c>
      <c r="C43" s="10" t="str">
        <f>objet!D60</f>
        <v>5360000A0421</v>
      </c>
      <c r="D43" t="str">
        <f>LEFT(modif0[[#This Row],[cdstr]],3)</f>
        <v>536</v>
      </c>
      <c r="E43" s="10" t="str">
        <f>objet!G60</f>
        <v>LE TUZAN</v>
      </c>
      <c r="F43">
        <f>LEN(modif0[[#This Row],[l_dt]])</f>
        <v>21</v>
      </c>
      <c r="G43" s="10" t="str">
        <f>objet!H60</f>
        <v>METAIRIES DE TABARTON</v>
      </c>
      <c r="H43" s="10" t="str">
        <f>objet!C60</f>
        <v>A421c</v>
      </c>
      <c r="I43" t="str">
        <f>IF(ISNUMBER(VALUE(RIGHT(LEFT(modif0[[#This Row],[idntfn]],2),1))),_xlfn.CONCAT(0,LEFT(modif0[[#This Row],[idntfn]],1)),LEFT(modif0[[#This Row],[idntfn]],2))</f>
        <v>0A</v>
      </c>
      <c r="J43">
        <f>VALUE(LEFT(RIGHT(modif0[[#This Row],[idntfn]],LEN(modif0[[#This Row],[idntfn]])-IF(LEFT(modif0[[#This Row],[sctn]],1)="0",1,2)),LEN(modif0[[#This Row],[idntfn]])-IF(LEFT(modif0[[#This Row],[sctn]],1)="0",1,2)-LEN(modif0[[#This Row],[lttr]])))</f>
        <v>421</v>
      </c>
      <c r="K43" t="str">
        <f>IF(ISNUMBER(VALUE(RIGHT(modif0[[#This Row],[idntfn]],1))),"",IF(ISNUMBER(VALUE(LEFT(RIGHT(modif0[[#This Row],[idntfn]],2),1))),RIGHT(modif0[[#This Row],[idntfn]],1),RIGHT(modif0[[#This Row],[idntfn]],2)))</f>
        <v>c</v>
      </c>
      <c r="L43" s="10">
        <f>objet!I60</f>
        <v>2412</v>
      </c>
      <c r="M43" s="11">
        <f>modif0[[#This Row],[srfc]]/10000</f>
        <v>0.2412</v>
      </c>
      <c r="N43" s="10" t="str">
        <f>objet!Z60</f>
        <v>PM</v>
      </c>
      <c r="O43" s="10" t="str">
        <f>objet!AA60</f>
        <v>PLA2012</v>
      </c>
      <c r="P43" t="str">
        <f>IF(ISNUMBER(modif0[[#This Row],[trvx]]),"",LEFT(modif0[[#This Row],[trvx]],LEN(modif0[[#This Row],[trvx]])-4))</f>
        <v>PLA</v>
      </c>
      <c r="Q43">
        <f>VALUE(RIGHT(modif0[[#This Row],[trvx]],4))</f>
        <v>2012</v>
      </c>
      <c r="R43" t="str">
        <f>_xlfn.CONCAT(modif0[[#This Row],[tp]],"-",modif0[[#This Row],[essnc]],"_",modif0[[#This Row],[anns]])</f>
        <v>PLA-PM_2012</v>
      </c>
      <c r="S43" t="b">
        <f>modif0[[#This Row],[tp]]="CR"</f>
        <v>0</v>
      </c>
      <c r="T43">
        <v>40</v>
      </c>
      <c r="U43" t="str">
        <f>IF(NOT($A43),"",
IF(AO43=-2,regle!$J$11,
IF(AO43=regle!$B$12,regle!$B$11,
IF(AO43=regle!$C$12,regle!$C$11,
IF(AO43=regle!$D$12,regle!$D$11,
IF(AO43=regle!$E$12,regle!$E$11,
IF(AO43=regle!$F$12,regle!$F$11,
IF(AO43=regle!$G$12,regle!$G$11,
IF(AO43=regle!$H$12,regle!$H$11,
IF(AO43=regle!$I$12,regle!$I$11,""))))))))))</f>
        <v/>
      </c>
      <c r="V43" t="str">
        <f>IF(NOT($A43),"",
IF(AP43=-2,regle!$J$11,
IF(AP43=regle!$B$12,regle!$B$11,
IF(AP43=regle!$C$12,regle!$C$11,
IF(AP43=regle!$D$12,regle!$D$11,
IF(AP43=regle!$E$12,regle!$E$11,
IF(AP43=regle!$F$12,regle!$F$11,
IF(AP43=regle!$G$12,regle!$G$11,
IF(AP43=regle!$H$12,regle!$H$11,
IF(AP43=regle!$I$12,regle!$I$11,""))))))))))</f>
        <v>EC1</v>
      </c>
      <c r="W43" t="str">
        <f>IF(NOT($A43),"",
IF(AQ43=-2,regle!$J$11,
IF(AQ43=regle!$B$12,regle!$B$11,
IF(AQ43=regle!$C$12,regle!$C$11,
IF(AQ43=regle!$D$12,regle!$D$11,
IF(AQ43=regle!$E$12,regle!$E$11,
IF(AQ43=regle!$F$12,regle!$F$11,
IF(AQ43=regle!$G$12,regle!$G$11,
IF(AQ43=regle!$H$12,regle!$H$11,
IF(AQ43=regle!$I$12,regle!$I$11,""))))))))))</f>
        <v/>
      </c>
      <c r="X43" t="str">
        <f>IF(NOT($A43),"",
IF(AR43=-2,regle!$J$11,
IF(AR43=regle!$B$12,regle!$B$11,
IF(AR43=regle!$C$12,regle!$C$11,
IF(AR43=regle!$D$12,regle!$D$11,
IF(AR43=regle!$E$12,regle!$E$11,
IF(AR43=regle!$F$12,regle!$F$11,
IF(AR43=regle!$G$12,regle!$G$11,
IF(AR43=regle!$H$12,regle!$H$11,
IF(AR43=regle!$I$12,regle!$I$11,""))))))))))</f>
        <v/>
      </c>
      <c r="Y43" t="str">
        <f>IF(NOT($A43),"",
IF(AS43=-2,regle!$J$11,
IF(AS43=regle!$B$12,regle!$B$11,
IF(AS43=regle!$C$12,regle!$C$11,
IF(AS43=regle!$D$12,regle!$D$11,
IF(AS43=regle!$E$12,regle!$E$11,
IF(AS43=regle!$F$12,regle!$F$11,
IF(AS43=regle!$G$12,regle!$G$11,
IF(AS43=regle!$H$12,regle!$H$11,
IF(AS43=regle!$I$12,regle!$I$11,""))))))))))</f>
        <v/>
      </c>
      <c r="Z43" t="str">
        <f>IF(NOT($A43),"",
IF(AT43=-2,regle!$J$11,
IF(AT43=regle!$B$12,regle!$B$11,
IF(AT43=regle!$C$12,regle!$C$11,
IF(AT43=regle!$D$12,regle!$D$11,
IF(AT43=regle!$E$12,regle!$E$11,
IF(AT43=regle!$F$12,regle!$F$11,
IF(AT43=regle!$G$12,regle!$G$11,
IF(AT43=regle!$H$12,regle!$H$11,
IF(AT43=regle!$I$12,regle!$I$11,""))))))))))</f>
        <v/>
      </c>
      <c r="AA43" t="str">
        <f>IF(NOT($A43),"",
IF(AU43=-2,regle!$J$11,
IF(AU43=regle!$B$12,regle!$B$11,
IF(AU43=regle!$C$12,regle!$C$11,
IF(AU43=regle!$D$12,regle!$D$11,
IF(AU43=regle!$E$12,regle!$E$11,
IF(AU43=regle!$F$12,regle!$F$11,
IF(AU43=regle!$G$12,regle!$G$11,
IF(AU43=regle!$H$12,regle!$H$11,
IF(AU43=regle!$I$12,regle!$I$11,""))))))))))</f>
        <v>EC2</v>
      </c>
      <c r="AB43" t="str">
        <f>IF(NOT($A43),"",
IF(AV43=-2,regle!$J$11,
IF(AV43=regle!$B$12,regle!$B$11,
IF(AV43=regle!$C$12,regle!$C$11,
IF(AV43=regle!$D$12,regle!$D$11,
IF(AV43=regle!$E$12,regle!$E$11,
IF(AV43=regle!$F$12,regle!$F$11,
IF(AV43=regle!$G$12,regle!$G$11,
IF(AV43=regle!$H$12,regle!$H$11,
IF(AV43=regle!$I$12,regle!$I$11,""))))))))))</f>
        <v/>
      </c>
      <c r="AC43" t="str">
        <f>IF(NOT($A43),"",
IF(AW43=-2,regle!$J$11,
IF(AW43=regle!$B$12,regle!$B$11,
IF(AW43=regle!$C$12,regle!$C$11,
IF(AW43=regle!$D$12,regle!$D$11,
IF(AW43=regle!$E$12,regle!$E$11,
IF(AW43=regle!$F$12,regle!$F$11,
IF(AW43=regle!$G$12,regle!$G$11,
IF(AW43=regle!$H$12,regle!$H$11,
IF(AW43=regle!$I$12,regle!$I$11,""))))))))))</f>
        <v/>
      </c>
      <c r="AD43" t="str">
        <f>IF(NOT($A43),"",
IF(AX43=-2,regle!$J$11,
IF(AX43=regle!$B$12,regle!$B$11,
IF(AX43=regle!$C$12,regle!$C$11,
IF(AX43=regle!$D$12,regle!$D$11,
IF(AX43=regle!$E$12,regle!$E$11,
IF(AX43=regle!$F$12,regle!$F$11,
IF(AX43=regle!$G$12,regle!$G$11,
IF(AX43=regle!$H$12,regle!$H$11,
IF(AX43=regle!$I$12,regle!$I$11,""))))))))))</f>
        <v/>
      </c>
      <c r="AE43" s="14">
        <f>IF($A43,$M43*(IF(U43=regle!$B$11,regle!$B$23,IF(U43=regle!$C$11,regle!$C$23,IF(U43=regle!$D$11,regle!$D$23,IF(U43=regle!$E$11,regle!$E$23,IF(U43=regle!$F$11,regle!$F$23,IF(U43=regle!$G$11,regle!$G$23,IF(U43=regle!$H$11,regle!$H$23,IF(U43=regle!$I$11,regle!$I$23,IF(U43=regle!$J$11,regle!$J$23,0)))))))))))</f>
        <v>0</v>
      </c>
      <c r="AF43" s="14">
        <f>IF($A43,$M43*(IF(V43=regle!$B$11,regle!$B$23,IF(V43=regle!$C$11,regle!$C$23,IF(V43=regle!$D$11,regle!$D$23,IF(V43=regle!$E$11,regle!$E$23,IF(V43=regle!$F$11,regle!$F$23,IF(V43=regle!$G$11,regle!$G$23,IF(V43=regle!$H$11,regle!$H$23,IF(V43=regle!$I$11,regle!$I$23,IF(V43=regle!$J$11,regle!$J$23,0)))))))))))</f>
        <v>138.93119999999999</v>
      </c>
      <c r="AG43" s="14">
        <f>IF($A43,$M43*(IF(W43=regle!$B$11,regle!$B$23,IF(W43=regle!$C$11,regle!$C$23,IF(W43=regle!$D$11,regle!$D$23,IF(W43=regle!$E$11,regle!$E$23,IF(W43=regle!$F$11,regle!$F$23,IF(W43=regle!$G$11,regle!$G$23,IF(W43=regle!$H$11,regle!$H$23,IF(W43=regle!$I$11,regle!$I$23,IF(W43=regle!$J$11,regle!$J$23,0)))))))))))</f>
        <v>0</v>
      </c>
      <c r="AH43" s="14">
        <f>IF($A43,$M43*(IF(X43=regle!$B$11,regle!$B$23,IF(X43=regle!$C$11,regle!$C$23,IF(X43=regle!$D$11,regle!$D$23,IF(X43=regle!$E$11,regle!$E$23,IF(X43=regle!$F$11,regle!$F$23,IF(X43=regle!$G$11,regle!$G$23,IF(X43=regle!$H$11,regle!$H$23,IF(X43=regle!$I$11,regle!$I$23,IF(X43=regle!$J$11,regle!$J$23,0)))))))))))</f>
        <v>0</v>
      </c>
      <c r="AI43" s="14">
        <f>IF($A43,$M43*(IF(Y43=regle!$B$11,regle!$B$23,IF(Y43=regle!$C$11,regle!$C$23,IF(Y43=regle!$D$11,regle!$D$23,IF(Y43=regle!$E$11,regle!$E$23,IF(Y43=regle!$F$11,regle!$F$23,IF(Y43=regle!$G$11,regle!$G$23,IF(Y43=regle!$H$11,regle!$H$23,IF(Y43=regle!$I$11,regle!$I$23,IF(Y43=regle!$J$11,regle!$J$23,0)))))))))))</f>
        <v>0</v>
      </c>
      <c r="AJ43" s="14">
        <f>IF($A43,$M43*(IF(Z43=regle!$B$11,regle!$B$23,IF(Z43=regle!$C$11,regle!$C$23,IF(Z43=regle!$D$11,regle!$D$23,IF(Z43=regle!$E$11,regle!$E$23,IF(Z43=regle!$F$11,regle!$F$23,IF(Z43=regle!$G$11,regle!$G$23,IF(Z43=regle!$H$11,regle!$H$23,IF(Z43=regle!$I$11,regle!$I$23,IF(Z43=regle!$J$11,regle!$J$23,0)))))))))))</f>
        <v>0</v>
      </c>
      <c r="AK43" s="14">
        <f>IF($A43,$M43*(IF(AA43=regle!$B$11,regle!$B$23,IF(AA43=regle!$C$11,regle!$C$23,IF(AA43=regle!$D$11,regle!$D$23,IF(AA43=regle!$E$11,regle!$E$23,IF(AA43=regle!$F$11,regle!$F$23,IF(AA43=regle!$G$11,regle!$G$23,IF(AA43=regle!$H$11,regle!$H$23,IF(AA43=regle!$I$11,regle!$I$23,IF(AA43=regle!$J$11,regle!$J$23,0)))))))))))</f>
        <v>202.608</v>
      </c>
      <c r="AL43" s="14">
        <f>IF($A43,$M43*(IF(AB43=regle!$B$11,regle!$B$23,IF(AB43=regle!$C$11,regle!$C$23,IF(AB43=regle!$D$11,regle!$D$23,IF(AB43=regle!$E$11,regle!$E$23,IF(AB43=regle!$F$11,regle!$F$23,IF(AB43=regle!$G$11,regle!$G$23,IF(AB43=regle!$H$11,regle!$H$23,IF(AB43=regle!$I$11,regle!$I$23,IF(AB43=regle!$J$11,regle!$J$23,0)))))))))))</f>
        <v>0</v>
      </c>
      <c r="AM43" s="14">
        <f>IF($A43,$M43*(IF(AC43=regle!$B$11,regle!$B$23,IF(AC43=regle!$C$11,regle!$C$23,IF(AC43=regle!$D$11,regle!$D$23,IF(AC43=regle!$E$11,regle!$E$23,IF(AC43=regle!$F$11,regle!$F$23,IF(AC43=regle!$G$11,regle!$G$23,IF(AC43=regle!$H$11,regle!$H$23,IF(AC43=regle!$I$11,regle!$I$23,IF(AC43=regle!$J$11,regle!$J$23,0)))))))))))</f>
        <v>0</v>
      </c>
      <c r="AN43" s="14">
        <f>IF($A43,$M43*(IF(AD43=regle!$B$11,regle!$B$23,IF(AD43=regle!$C$11,regle!$C$23,IF(AD43=regle!$D$11,regle!$D$23,IF(AD43=regle!$E$11,regle!$E$23,IF(AD43=regle!$F$11,regle!$F$23,IF(AD43=regle!$G$11,regle!$G$23,IF(AD43=regle!$H$11,regle!$H$23,IF(AD43=regle!$I$11,regle!$I$23,IF(AD43=regle!$J$11,regle!$J$23,0)))))))))))</f>
        <v>0</v>
      </c>
      <c r="AO43">
        <f>IF(AO$1=$AO$1,IF(regle!B$2-$Q43&gt;=regle!$J$12,-2,IF($S43,IF(regle!$B$2-$Q43&gt;=2,0,-1),regle!B$2-$Q43)),IF(AN43+1&gt;=regle!$J$12,-2,AN43+1))</f>
        <v>12</v>
      </c>
      <c r="AP43">
        <f>IF(AP$1=$AO$1,IF(regle!C$2-$Q43&gt;=regle!$J$12,-2,IF($S43,IF(regle!$B$2-$Q43&gt;=2,0,-1),regle!C$2-$Q43)),IF(AO43+1&gt;=regle!$J$12,-2,AO43+1))</f>
        <v>13</v>
      </c>
      <c r="AQ43">
        <f>IF(AQ$1=$AO$1,IF(regle!D$2-$Q43&gt;=regle!$J$12,-2,IF($S43,IF(regle!$B$2-$Q43&gt;=2,0,-1),regle!D$2-$Q43)),IF(AP43+1&gt;=regle!$J$12,-2,AP43+1))</f>
        <v>14</v>
      </c>
      <c r="AR43">
        <f>IF(AR$1=$AO$1,IF(regle!E$2-$Q43&gt;=regle!$J$12,-2,IF($S43,IF(regle!$B$2-$Q43&gt;=2,0,-1),regle!E$2-$Q43)),IF(AQ43+1&gt;=regle!$J$12,-2,AQ43+1))</f>
        <v>15</v>
      </c>
      <c r="AS43">
        <f>IF(AS$1=$AO$1,IF(regle!F$2-$Q43&gt;=regle!$J$12,-2,IF($S43,IF(regle!$B$2-$Q43&gt;=2,0,-1),regle!F$2-$Q43)),IF(AR43+1&gt;=regle!$J$12,-2,AR43+1))</f>
        <v>16</v>
      </c>
      <c r="AT43">
        <f>IF(AT$1=$AO$1,IF(regle!G$2-$Q43&gt;=regle!$J$12,-2,IF($S43,IF(regle!$B$2-$Q43&gt;=2,0,-1),regle!G$2-$Q43)),IF(AS43+1&gt;=regle!$J$12,-2,AS43+1))</f>
        <v>17</v>
      </c>
      <c r="AU43">
        <f>IF(AU$1=$AO$1,IF(regle!H$2-$Q43&gt;=regle!$J$12,-2,IF($S43,IF(regle!$B$2-$Q43&gt;=2,0,-1),regle!H$2-$Q43)),IF(AT43+1&gt;=regle!$J$12,-2,AT43+1))</f>
        <v>18</v>
      </c>
      <c r="AV43">
        <f>IF(AV$1=$AO$1,IF(regle!I$2-$Q43&gt;=regle!$J$12,-2,IF($S43,IF(regle!$B$2-$Q43&gt;=2,0,-1),regle!I$2-$Q43)),IF(AU43+1&gt;=regle!$J$12,-2,AU43+1))</f>
        <v>19</v>
      </c>
      <c r="AW43">
        <f>IF(AW$1=$AO$1,IF(regle!J$2-$Q43&gt;=regle!$J$12,-2,IF($S43,IF(regle!$B$2-$Q43&gt;=2,0,-1),regle!J$2-$Q43)),IF(AV43+1&gt;=regle!$J$12,-2,AV43+1))</f>
        <v>20</v>
      </c>
      <c r="AX43">
        <f>IF(AX$1=$AO$1,IF(regle!K$2-$Q43&gt;=regle!$J$12,-2,IF($S43,IF(regle!$B$2-$Q43&gt;=2,0,-1),regle!K$2-$Q43)),IF(AW43+1&gt;=regle!$J$12,-2,AW43+1))</f>
        <v>21</v>
      </c>
    </row>
    <row r="44" spans="1:50" x14ac:dyDescent="0.25">
      <c r="A44" t="b">
        <f>AND(modif0[[#This Row],[cdstr]]&lt;&gt;0,OR(regle!$H$27=FALSE,modif0[[#This Row],[essnc]]="PM"))</f>
        <v>1</v>
      </c>
      <c r="B44">
        <f>ROW(objet!A61)</f>
        <v>61</v>
      </c>
      <c r="C44" s="10" t="str">
        <f>objet!D61</f>
        <v>5360000A0422</v>
      </c>
      <c r="D44" t="str">
        <f>LEFT(modif0[[#This Row],[cdstr]],3)</f>
        <v>536</v>
      </c>
      <c r="E44" s="10" t="str">
        <f>objet!G61</f>
        <v>LE TUZAN</v>
      </c>
      <c r="F44">
        <f>LEN(modif0[[#This Row],[l_dt]])</f>
        <v>21</v>
      </c>
      <c r="G44" s="10" t="str">
        <f>objet!H61</f>
        <v>METAIRIES DE TABARTON</v>
      </c>
      <c r="H44" s="10" t="str">
        <f>objet!C61</f>
        <v>A422a</v>
      </c>
      <c r="I44" t="str">
        <f>IF(ISNUMBER(VALUE(RIGHT(LEFT(modif0[[#This Row],[idntfn]],2),1))),_xlfn.CONCAT(0,LEFT(modif0[[#This Row],[idntfn]],1)),LEFT(modif0[[#This Row],[idntfn]],2))</f>
        <v>0A</v>
      </c>
      <c r="J44">
        <f>VALUE(LEFT(RIGHT(modif0[[#This Row],[idntfn]],LEN(modif0[[#This Row],[idntfn]])-IF(LEFT(modif0[[#This Row],[sctn]],1)="0",1,2)),LEN(modif0[[#This Row],[idntfn]])-IF(LEFT(modif0[[#This Row],[sctn]],1)="0",1,2)-LEN(modif0[[#This Row],[lttr]])))</f>
        <v>422</v>
      </c>
      <c r="K44" t="str">
        <f>IF(ISNUMBER(VALUE(RIGHT(modif0[[#This Row],[idntfn]],1))),"",IF(ISNUMBER(VALUE(LEFT(RIGHT(modif0[[#This Row],[idntfn]],2),1))),RIGHT(modif0[[#This Row],[idntfn]],1),RIGHT(modif0[[#This Row],[idntfn]],2)))</f>
        <v>a</v>
      </c>
      <c r="L44" s="10">
        <f>objet!I61</f>
        <v>12996</v>
      </c>
      <c r="M44" s="11">
        <f>modif0[[#This Row],[srfc]]/10000</f>
        <v>1.2996000000000001</v>
      </c>
      <c r="N44" s="10" t="str">
        <f>objet!Z61</f>
        <v>PM</v>
      </c>
      <c r="O44" s="10" t="str">
        <f>objet!AA61</f>
        <v>PLA2012</v>
      </c>
      <c r="P44" t="str">
        <f>IF(ISNUMBER(modif0[[#This Row],[trvx]]),"",LEFT(modif0[[#This Row],[trvx]],LEN(modif0[[#This Row],[trvx]])-4))</f>
        <v>PLA</v>
      </c>
      <c r="Q44">
        <f>VALUE(RIGHT(modif0[[#This Row],[trvx]],4))</f>
        <v>2012</v>
      </c>
      <c r="R44" t="str">
        <f>_xlfn.CONCAT(modif0[[#This Row],[tp]],"-",modif0[[#This Row],[essnc]],"_",modif0[[#This Row],[anns]])</f>
        <v>PLA-PM_2012</v>
      </c>
      <c r="S44" t="b">
        <f>modif0[[#This Row],[tp]]="CR"</f>
        <v>0</v>
      </c>
      <c r="T44">
        <v>40</v>
      </c>
      <c r="U44" t="str">
        <f>IF(NOT($A44),"",
IF(AO44=-2,regle!$J$11,
IF(AO44=regle!$B$12,regle!$B$11,
IF(AO44=regle!$C$12,regle!$C$11,
IF(AO44=regle!$D$12,regle!$D$11,
IF(AO44=regle!$E$12,regle!$E$11,
IF(AO44=regle!$F$12,regle!$F$11,
IF(AO44=regle!$G$12,regle!$G$11,
IF(AO44=regle!$H$12,regle!$H$11,
IF(AO44=regle!$I$12,regle!$I$11,""))))))))))</f>
        <v/>
      </c>
      <c r="V44" t="str">
        <f>IF(NOT($A44),"",
IF(AP44=-2,regle!$J$11,
IF(AP44=regle!$B$12,regle!$B$11,
IF(AP44=regle!$C$12,regle!$C$11,
IF(AP44=regle!$D$12,regle!$D$11,
IF(AP44=regle!$E$12,regle!$E$11,
IF(AP44=regle!$F$12,regle!$F$11,
IF(AP44=regle!$G$12,regle!$G$11,
IF(AP44=regle!$H$12,regle!$H$11,
IF(AP44=regle!$I$12,regle!$I$11,""))))))))))</f>
        <v>EC1</v>
      </c>
      <c r="W44" t="str">
        <f>IF(NOT($A44),"",
IF(AQ44=-2,regle!$J$11,
IF(AQ44=regle!$B$12,regle!$B$11,
IF(AQ44=regle!$C$12,regle!$C$11,
IF(AQ44=regle!$D$12,regle!$D$11,
IF(AQ44=regle!$E$12,regle!$E$11,
IF(AQ44=regle!$F$12,regle!$F$11,
IF(AQ44=regle!$G$12,regle!$G$11,
IF(AQ44=regle!$H$12,regle!$H$11,
IF(AQ44=regle!$I$12,regle!$I$11,""))))))))))</f>
        <v/>
      </c>
      <c r="X44" t="str">
        <f>IF(NOT($A44),"",
IF(AR44=-2,regle!$J$11,
IF(AR44=regle!$B$12,regle!$B$11,
IF(AR44=regle!$C$12,regle!$C$11,
IF(AR44=regle!$D$12,regle!$D$11,
IF(AR44=regle!$E$12,regle!$E$11,
IF(AR44=regle!$F$12,regle!$F$11,
IF(AR44=regle!$G$12,regle!$G$11,
IF(AR44=regle!$H$12,regle!$H$11,
IF(AR44=regle!$I$12,regle!$I$11,""))))))))))</f>
        <v/>
      </c>
      <c r="Y44" t="str">
        <f>IF(NOT($A44),"",
IF(AS44=-2,regle!$J$11,
IF(AS44=regle!$B$12,regle!$B$11,
IF(AS44=regle!$C$12,regle!$C$11,
IF(AS44=regle!$D$12,regle!$D$11,
IF(AS44=regle!$E$12,regle!$E$11,
IF(AS44=regle!$F$12,regle!$F$11,
IF(AS44=regle!$G$12,regle!$G$11,
IF(AS44=regle!$H$12,regle!$H$11,
IF(AS44=regle!$I$12,regle!$I$11,""))))))))))</f>
        <v/>
      </c>
      <c r="Z44" t="str">
        <f>IF(NOT($A44),"",
IF(AT44=-2,regle!$J$11,
IF(AT44=regle!$B$12,regle!$B$11,
IF(AT44=regle!$C$12,regle!$C$11,
IF(AT44=regle!$D$12,regle!$D$11,
IF(AT44=regle!$E$12,regle!$E$11,
IF(AT44=regle!$F$12,regle!$F$11,
IF(AT44=regle!$G$12,regle!$G$11,
IF(AT44=regle!$H$12,regle!$H$11,
IF(AT44=regle!$I$12,regle!$I$11,""))))))))))</f>
        <v/>
      </c>
      <c r="AA44" t="str">
        <f>IF(NOT($A44),"",
IF(AU44=-2,regle!$J$11,
IF(AU44=regle!$B$12,regle!$B$11,
IF(AU44=regle!$C$12,regle!$C$11,
IF(AU44=regle!$D$12,regle!$D$11,
IF(AU44=regle!$E$12,regle!$E$11,
IF(AU44=regle!$F$12,regle!$F$11,
IF(AU44=regle!$G$12,regle!$G$11,
IF(AU44=regle!$H$12,regle!$H$11,
IF(AU44=regle!$I$12,regle!$I$11,""))))))))))</f>
        <v>EC2</v>
      </c>
      <c r="AB44" t="str">
        <f>IF(NOT($A44),"",
IF(AV44=-2,regle!$J$11,
IF(AV44=regle!$B$12,regle!$B$11,
IF(AV44=regle!$C$12,regle!$C$11,
IF(AV44=regle!$D$12,regle!$D$11,
IF(AV44=regle!$E$12,regle!$E$11,
IF(AV44=regle!$F$12,regle!$F$11,
IF(AV44=regle!$G$12,regle!$G$11,
IF(AV44=regle!$H$12,regle!$H$11,
IF(AV44=regle!$I$12,regle!$I$11,""))))))))))</f>
        <v/>
      </c>
      <c r="AC44" t="str">
        <f>IF(NOT($A44),"",
IF(AW44=-2,regle!$J$11,
IF(AW44=regle!$B$12,regle!$B$11,
IF(AW44=regle!$C$12,regle!$C$11,
IF(AW44=regle!$D$12,regle!$D$11,
IF(AW44=regle!$E$12,regle!$E$11,
IF(AW44=regle!$F$12,regle!$F$11,
IF(AW44=regle!$G$12,regle!$G$11,
IF(AW44=regle!$H$12,regle!$H$11,
IF(AW44=regle!$I$12,regle!$I$11,""))))))))))</f>
        <v/>
      </c>
      <c r="AD44" t="str">
        <f>IF(NOT($A44),"",
IF(AX44=-2,regle!$J$11,
IF(AX44=regle!$B$12,regle!$B$11,
IF(AX44=regle!$C$12,regle!$C$11,
IF(AX44=regle!$D$12,regle!$D$11,
IF(AX44=regle!$E$12,regle!$E$11,
IF(AX44=regle!$F$12,regle!$F$11,
IF(AX44=regle!$G$12,regle!$G$11,
IF(AX44=regle!$H$12,regle!$H$11,
IF(AX44=regle!$I$12,regle!$I$11,""))))))))))</f>
        <v/>
      </c>
      <c r="AE44" s="14">
        <f>IF($A44,$M44*(IF(U44=regle!$B$11,regle!$B$23,IF(U44=regle!$C$11,regle!$C$23,IF(U44=regle!$D$11,regle!$D$23,IF(U44=regle!$E$11,regle!$E$23,IF(U44=regle!$F$11,regle!$F$23,IF(U44=regle!$G$11,regle!$G$23,IF(U44=regle!$H$11,regle!$H$23,IF(U44=regle!$I$11,regle!$I$23,IF(U44=regle!$J$11,regle!$J$23,0)))))))))))</f>
        <v>0</v>
      </c>
      <c r="AF44" s="14">
        <f>IF($A44,$M44*(IF(V44=regle!$B$11,regle!$B$23,IF(V44=regle!$C$11,regle!$C$23,IF(V44=regle!$D$11,regle!$D$23,IF(V44=regle!$E$11,regle!$E$23,IF(V44=regle!$F$11,regle!$F$23,IF(V44=regle!$G$11,regle!$G$23,IF(V44=regle!$H$11,regle!$H$23,IF(V44=regle!$I$11,regle!$I$23,IF(V44=regle!$J$11,regle!$J$23,0)))))))))))</f>
        <v>748.56960000000004</v>
      </c>
      <c r="AG44" s="14">
        <f>IF($A44,$M44*(IF(W44=regle!$B$11,regle!$B$23,IF(W44=regle!$C$11,regle!$C$23,IF(W44=regle!$D$11,regle!$D$23,IF(W44=regle!$E$11,regle!$E$23,IF(W44=regle!$F$11,regle!$F$23,IF(W44=regle!$G$11,regle!$G$23,IF(W44=regle!$H$11,regle!$H$23,IF(W44=regle!$I$11,regle!$I$23,IF(W44=regle!$J$11,regle!$J$23,0)))))))))))</f>
        <v>0</v>
      </c>
      <c r="AH44" s="14">
        <f>IF($A44,$M44*(IF(X44=regle!$B$11,regle!$B$23,IF(X44=regle!$C$11,regle!$C$23,IF(X44=regle!$D$11,regle!$D$23,IF(X44=regle!$E$11,regle!$E$23,IF(X44=regle!$F$11,regle!$F$23,IF(X44=regle!$G$11,regle!$G$23,IF(X44=regle!$H$11,regle!$H$23,IF(X44=regle!$I$11,regle!$I$23,IF(X44=regle!$J$11,regle!$J$23,0)))))))))))</f>
        <v>0</v>
      </c>
      <c r="AI44" s="14">
        <f>IF($A44,$M44*(IF(Y44=regle!$B$11,regle!$B$23,IF(Y44=regle!$C$11,regle!$C$23,IF(Y44=regle!$D$11,regle!$D$23,IF(Y44=regle!$E$11,regle!$E$23,IF(Y44=regle!$F$11,regle!$F$23,IF(Y44=regle!$G$11,regle!$G$23,IF(Y44=regle!$H$11,regle!$H$23,IF(Y44=regle!$I$11,regle!$I$23,IF(Y44=regle!$J$11,regle!$J$23,0)))))))))))</f>
        <v>0</v>
      </c>
      <c r="AJ44" s="14">
        <f>IF($A44,$M44*(IF(Z44=regle!$B$11,regle!$B$23,IF(Z44=regle!$C$11,regle!$C$23,IF(Z44=regle!$D$11,regle!$D$23,IF(Z44=regle!$E$11,regle!$E$23,IF(Z44=regle!$F$11,regle!$F$23,IF(Z44=regle!$G$11,regle!$G$23,IF(Z44=regle!$H$11,regle!$H$23,IF(Z44=regle!$I$11,regle!$I$23,IF(Z44=regle!$J$11,regle!$J$23,0)))))))))))</f>
        <v>0</v>
      </c>
      <c r="AK44" s="14">
        <f>IF($A44,$M44*(IF(AA44=regle!$B$11,regle!$B$23,IF(AA44=regle!$C$11,regle!$C$23,IF(AA44=regle!$D$11,regle!$D$23,IF(AA44=regle!$E$11,regle!$E$23,IF(AA44=regle!$F$11,regle!$F$23,IF(AA44=regle!$G$11,regle!$G$23,IF(AA44=regle!$H$11,regle!$H$23,IF(AA44=regle!$I$11,regle!$I$23,IF(AA44=regle!$J$11,regle!$J$23,0)))))))))))</f>
        <v>1091.664</v>
      </c>
      <c r="AL44" s="14">
        <f>IF($A44,$M44*(IF(AB44=regle!$B$11,regle!$B$23,IF(AB44=regle!$C$11,regle!$C$23,IF(AB44=regle!$D$11,regle!$D$23,IF(AB44=regle!$E$11,regle!$E$23,IF(AB44=regle!$F$11,regle!$F$23,IF(AB44=regle!$G$11,regle!$G$23,IF(AB44=regle!$H$11,regle!$H$23,IF(AB44=regle!$I$11,regle!$I$23,IF(AB44=regle!$J$11,regle!$J$23,0)))))))))))</f>
        <v>0</v>
      </c>
      <c r="AM44" s="14">
        <f>IF($A44,$M44*(IF(AC44=regle!$B$11,regle!$B$23,IF(AC44=regle!$C$11,regle!$C$23,IF(AC44=regle!$D$11,regle!$D$23,IF(AC44=regle!$E$11,regle!$E$23,IF(AC44=regle!$F$11,regle!$F$23,IF(AC44=regle!$G$11,regle!$G$23,IF(AC44=regle!$H$11,regle!$H$23,IF(AC44=regle!$I$11,regle!$I$23,IF(AC44=regle!$J$11,regle!$J$23,0)))))))))))</f>
        <v>0</v>
      </c>
      <c r="AN44" s="14">
        <f>IF($A44,$M44*(IF(AD44=regle!$B$11,regle!$B$23,IF(AD44=regle!$C$11,regle!$C$23,IF(AD44=regle!$D$11,regle!$D$23,IF(AD44=regle!$E$11,regle!$E$23,IF(AD44=regle!$F$11,regle!$F$23,IF(AD44=regle!$G$11,regle!$G$23,IF(AD44=regle!$H$11,regle!$H$23,IF(AD44=regle!$I$11,regle!$I$23,IF(AD44=regle!$J$11,regle!$J$23,0)))))))))))</f>
        <v>0</v>
      </c>
      <c r="AO44">
        <f>IF(AO$1=$AO$1,IF(regle!B$2-$Q44&gt;=regle!$J$12,-2,IF($S44,IF(regle!$B$2-$Q44&gt;=2,0,-1),regle!B$2-$Q44)),IF(AN44+1&gt;=regle!$J$12,-2,AN44+1))</f>
        <v>12</v>
      </c>
      <c r="AP44">
        <f>IF(AP$1=$AO$1,IF(regle!C$2-$Q44&gt;=regle!$J$12,-2,IF($S44,IF(regle!$B$2-$Q44&gt;=2,0,-1),regle!C$2-$Q44)),IF(AO44+1&gt;=regle!$J$12,-2,AO44+1))</f>
        <v>13</v>
      </c>
      <c r="AQ44">
        <f>IF(AQ$1=$AO$1,IF(regle!D$2-$Q44&gt;=regle!$J$12,-2,IF($S44,IF(regle!$B$2-$Q44&gt;=2,0,-1),regle!D$2-$Q44)),IF(AP44+1&gt;=regle!$J$12,-2,AP44+1))</f>
        <v>14</v>
      </c>
      <c r="AR44">
        <f>IF(AR$1=$AO$1,IF(regle!E$2-$Q44&gt;=regle!$J$12,-2,IF($S44,IF(regle!$B$2-$Q44&gt;=2,0,-1),regle!E$2-$Q44)),IF(AQ44+1&gt;=regle!$J$12,-2,AQ44+1))</f>
        <v>15</v>
      </c>
      <c r="AS44">
        <f>IF(AS$1=$AO$1,IF(regle!F$2-$Q44&gt;=regle!$J$12,-2,IF($S44,IF(regle!$B$2-$Q44&gt;=2,0,-1),regle!F$2-$Q44)),IF(AR44+1&gt;=regle!$J$12,-2,AR44+1))</f>
        <v>16</v>
      </c>
      <c r="AT44">
        <f>IF(AT$1=$AO$1,IF(regle!G$2-$Q44&gt;=regle!$J$12,-2,IF($S44,IF(regle!$B$2-$Q44&gt;=2,0,-1),regle!G$2-$Q44)),IF(AS44+1&gt;=regle!$J$12,-2,AS44+1))</f>
        <v>17</v>
      </c>
      <c r="AU44">
        <f>IF(AU$1=$AO$1,IF(regle!H$2-$Q44&gt;=regle!$J$12,-2,IF($S44,IF(regle!$B$2-$Q44&gt;=2,0,-1),regle!H$2-$Q44)),IF(AT44+1&gt;=regle!$J$12,-2,AT44+1))</f>
        <v>18</v>
      </c>
      <c r="AV44">
        <f>IF(AV$1=$AO$1,IF(regle!I$2-$Q44&gt;=regle!$J$12,-2,IF($S44,IF(regle!$B$2-$Q44&gt;=2,0,-1),regle!I$2-$Q44)),IF(AU44+1&gt;=regle!$J$12,-2,AU44+1))</f>
        <v>19</v>
      </c>
      <c r="AW44">
        <f>IF(AW$1=$AO$1,IF(regle!J$2-$Q44&gt;=regle!$J$12,-2,IF($S44,IF(regle!$B$2-$Q44&gt;=2,0,-1),regle!J$2-$Q44)),IF(AV44+1&gt;=regle!$J$12,-2,AV44+1))</f>
        <v>20</v>
      </c>
      <c r="AX44">
        <f>IF(AX$1=$AO$1,IF(regle!K$2-$Q44&gt;=regle!$J$12,-2,IF($S44,IF(regle!$B$2-$Q44&gt;=2,0,-1),regle!K$2-$Q44)),IF(AW44+1&gt;=regle!$J$12,-2,AW44+1))</f>
        <v>21</v>
      </c>
    </row>
    <row r="45" spans="1:50" x14ac:dyDescent="0.25">
      <c r="A45" t="b">
        <f>AND(modif0[[#This Row],[cdstr]]&lt;&gt;0,OR(regle!$H$27=FALSE,modif0[[#This Row],[essnc]]="PM"))</f>
        <v>1</v>
      </c>
      <c r="B45">
        <f>ROW(objet!A62)</f>
        <v>62</v>
      </c>
      <c r="C45" s="10" t="str">
        <f>objet!D62</f>
        <v>5360000A0422</v>
      </c>
      <c r="D45" t="str">
        <f>LEFT(modif0[[#This Row],[cdstr]],3)</f>
        <v>536</v>
      </c>
      <c r="E45" s="10" t="str">
        <f>objet!G62</f>
        <v>LE TUZAN</v>
      </c>
      <c r="F45">
        <f>LEN(modif0[[#This Row],[l_dt]])</f>
        <v>21</v>
      </c>
      <c r="G45" s="10" t="str">
        <f>objet!H62</f>
        <v>METAIRIES DE TABARTON</v>
      </c>
      <c r="H45" s="10" t="str">
        <f>objet!C62</f>
        <v>A422c</v>
      </c>
      <c r="I45" t="str">
        <f>IF(ISNUMBER(VALUE(RIGHT(LEFT(modif0[[#This Row],[idntfn]],2),1))),_xlfn.CONCAT(0,LEFT(modif0[[#This Row],[idntfn]],1)),LEFT(modif0[[#This Row],[idntfn]],2))</f>
        <v>0A</v>
      </c>
      <c r="J45">
        <f>VALUE(LEFT(RIGHT(modif0[[#This Row],[idntfn]],LEN(modif0[[#This Row],[idntfn]])-IF(LEFT(modif0[[#This Row],[sctn]],1)="0",1,2)),LEN(modif0[[#This Row],[idntfn]])-IF(LEFT(modif0[[#This Row],[sctn]],1)="0",1,2)-LEN(modif0[[#This Row],[lttr]])))</f>
        <v>422</v>
      </c>
      <c r="K45" t="str">
        <f>IF(ISNUMBER(VALUE(RIGHT(modif0[[#This Row],[idntfn]],1))),"",IF(ISNUMBER(VALUE(LEFT(RIGHT(modif0[[#This Row],[idntfn]],2),1))),RIGHT(modif0[[#This Row],[idntfn]],1),RIGHT(modif0[[#This Row],[idntfn]],2)))</f>
        <v>c</v>
      </c>
      <c r="L45" s="10">
        <f>objet!I62</f>
        <v>6510</v>
      </c>
      <c r="M45" s="11">
        <f>modif0[[#This Row],[srfc]]/10000</f>
        <v>0.65100000000000002</v>
      </c>
      <c r="N45" s="10" t="str">
        <f>objet!Z62</f>
        <v>PM</v>
      </c>
      <c r="O45" s="10" t="str">
        <f>objet!AA62</f>
        <v>PLA2017</v>
      </c>
      <c r="P45" t="str">
        <f>IF(ISNUMBER(modif0[[#This Row],[trvx]]),"",LEFT(modif0[[#This Row],[trvx]],LEN(modif0[[#This Row],[trvx]])-4))</f>
        <v>PLA</v>
      </c>
      <c r="Q45">
        <f>VALUE(RIGHT(modif0[[#This Row],[trvx]],4))</f>
        <v>2017</v>
      </c>
      <c r="R45" t="str">
        <f>_xlfn.CONCAT(modif0[[#This Row],[tp]],"-",modif0[[#This Row],[essnc]],"_",modif0[[#This Row],[anns]])</f>
        <v>PLA-PM_2017</v>
      </c>
      <c r="S45" t="b">
        <f>modif0[[#This Row],[tp]]="CR"</f>
        <v>0</v>
      </c>
      <c r="T45">
        <v>40</v>
      </c>
      <c r="U45" t="str">
        <f>IF(NOT($A45),"",
IF(AO45=-2,regle!$J$11,
IF(AO45=regle!$B$12,regle!$B$11,
IF(AO45=regle!$C$12,regle!$C$11,
IF(AO45=regle!$D$12,regle!$D$11,
IF(AO45=regle!$E$12,regle!$E$11,
IF(AO45=regle!$F$12,regle!$F$11,
IF(AO45=regle!$G$12,regle!$G$11,
IF(AO45=regle!$H$12,regle!$H$11,
IF(AO45=regle!$I$12,regle!$I$11,""))))))))))</f>
        <v/>
      </c>
      <c r="V45" t="str">
        <f>IF(NOT($A45),"",
IF(AP45=-2,regle!$J$11,
IF(AP45=regle!$B$12,regle!$B$11,
IF(AP45=regle!$C$12,regle!$C$11,
IF(AP45=regle!$D$12,regle!$D$11,
IF(AP45=regle!$E$12,regle!$E$11,
IF(AP45=regle!$F$12,regle!$F$11,
IF(AP45=regle!$G$12,regle!$G$11,
IF(AP45=regle!$H$12,regle!$H$11,
IF(AP45=regle!$I$12,regle!$I$11,""))))))))))</f>
        <v>ENT2</v>
      </c>
      <c r="W45" t="str">
        <f>IF(NOT($A45),"",
IF(AQ45=-2,regle!$J$11,
IF(AQ45=regle!$B$12,regle!$B$11,
IF(AQ45=regle!$C$12,regle!$C$11,
IF(AQ45=regle!$D$12,regle!$D$11,
IF(AQ45=regle!$E$12,regle!$E$11,
IF(AQ45=regle!$F$12,regle!$F$11,
IF(AQ45=regle!$G$12,regle!$G$11,
IF(AQ45=regle!$H$12,regle!$H$11,
IF(AQ45=regle!$I$12,regle!$I$11,""))))))))))</f>
        <v/>
      </c>
      <c r="X45" t="str">
        <f>IF(NOT($A45),"",
IF(AR45=-2,regle!$J$11,
IF(AR45=regle!$B$12,regle!$B$11,
IF(AR45=regle!$C$12,regle!$C$11,
IF(AR45=regle!$D$12,regle!$D$11,
IF(AR45=regle!$E$12,regle!$E$11,
IF(AR45=regle!$F$12,regle!$F$11,
IF(AR45=regle!$G$12,regle!$G$11,
IF(AR45=regle!$H$12,regle!$H$11,
IF(AR45=regle!$I$12,regle!$I$11,""))))))))))</f>
        <v/>
      </c>
      <c r="Y45" t="str">
        <f>IF(NOT($A45),"",
IF(AS45=-2,regle!$J$11,
IF(AS45=regle!$B$12,regle!$B$11,
IF(AS45=regle!$C$12,regle!$C$11,
IF(AS45=regle!$D$12,regle!$D$11,
IF(AS45=regle!$E$12,regle!$E$11,
IF(AS45=regle!$F$12,regle!$F$11,
IF(AS45=regle!$G$12,regle!$G$11,
IF(AS45=regle!$H$12,regle!$H$11,
IF(AS45=regle!$I$12,regle!$I$11,""))))))))))</f>
        <v/>
      </c>
      <c r="Z45" t="str">
        <f>IF(NOT($A45),"",
IF(AT45=-2,regle!$J$11,
IF(AT45=regle!$B$12,regle!$B$11,
IF(AT45=regle!$C$12,regle!$C$11,
IF(AT45=regle!$D$12,regle!$D$11,
IF(AT45=regle!$E$12,regle!$E$11,
IF(AT45=regle!$F$12,regle!$F$11,
IF(AT45=regle!$G$12,regle!$G$11,
IF(AT45=regle!$H$12,regle!$H$11,
IF(AT45=regle!$I$12,regle!$I$11,""))))))))))</f>
        <v/>
      </c>
      <c r="AA45" t="str">
        <f>IF(NOT($A45),"",
IF(AU45=-2,regle!$J$11,
IF(AU45=regle!$B$12,regle!$B$11,
IF(AU45=regle!$C$12,regle!$C$11,
IF(AU45=regle!$D$12,regle!$D$11,
IF(AU45=regle!$E$12,regle!$E$11,
IF(AU45=regle!$F$12,regle!$F$11,
IF(AU45=regle!$G$12,regle!$G$11,
IF(AU45=regle!$H$12,regle!$H$11,
IF(AU45=regle!$I$12,regle!$I$11,""))))))))))</f>
        <v>EC1</v>
      </c>
      <c r="AB45" t="str">
        <f>IF(NOT($A45),"",
IF(AV45=-2,regle!$J$11,
IF(AV45=regle!$B$12,regle!$B$11,
IF(AV45=regle!$C$12,regle!$C$11,
IF(AV45=regle!$D$12,regle!$D$11,
IF(AV45=regle!$E$12,regle!$E$11,
IF(AV45=regle!$F$12,regle!$F$11,
IF(AV45=regle!$G$12,regle!$G$11,
IF(AV45=regle!$H$12,regle!$H$11,
IF(AV45=regle!$I$12,regle!$I$11,""))))))))))</f>
        <v/>
      </c>
      <c r="AC45" t="str">
        <f>IF(NOT($A45),"",
IF(AW45=-2,regle!$J$11,
IF(AW45=regle!$B$12,regle!$B$11,
IF(AW45=regle!$C$12,regle!$C$11,
IF(AW45=regle!$D$12,regle!$D$11,
IF(AW45=regle!$E$12,regle!$E$11,
IF(AW45=regle!$F$12,regle!$F$11,
IF(AW45=regle!$G$12,regle!$G$11,
IF(AW45=regle!$H$12,regle!$H$11,
IF(AW45=regle!$I$12,regle!$I$11,""))))))))))</f>
        <v/>
      </c>
      <c r="AD45" t="str">
        <f>IF(NOT($A45),"",
IF(AX45=-2,regle!$J$11,
IF(AX45=regle!$B$12,regle!$B$11,
IF(AX45=regle!$C$12,regle!$C$11,
IF(AX45=regle!$D$12,regle!$D$11,
IF(AX45=regle!$E$12,regle!$E$11,
IF(AX45=regle!$F$12,regle!$F$11,
IF(AX45=regle!$G$12,regle!$G$11,
IF(AX45=regle!$H$12,regle!$H$11,
IF(AX45=regle!$I$12,regle!$I$11,""))))))))))</f>
        <v/>
      </c>
      <c r="AE45" s="14">
        <f>IF($A45,$M45*(IF(U45=regle!$B$11,regle!$B$23,IF(U45=regle!$C$11,regle!$C$23,IF(U45=regle!$D$11,regle!$D$23,IF(U45=regle!$E$11,regle!$E$23,IF(U45=regle!$F$11,regle!$F$23,IF(U45=regle!$G$11,regle!$G$23,IF(U45=regle!$H$11,regle!$H$23,IF(U45=regle!$I$11,regle!$I$23,IF(U45=regle!$J$11,regle!$J$23,0)))))))))))</f>
        <v>0</v>
      </c>
      <c r="AF45" s="14">
        <f>IF($A45,$M45*(IF(V45=regle!$B$11,regle!$B$23,IF(V45=regle!$C$11,regle!$C$23,IF(V45=regle!$D$11,regle!$D$23,IF(V45=regle!$E$11,regle!$E$23,IF(V45=regle!$F$11,regle!$F$23,IF(V45=regle!$G$11,regle!$G$23,IF(V45=regle!$H$11,regle!$H$23,IF(V45=regle!$I$11,regle!$I$23,IF(V45=regle!$J$11,regle!$J$23,0)))))))))))</f>
        <v>-58.59</v>
      </c>
      <c r="AG45" s="14">
        <f>IF($A45,$M45*(IF(W45=regle!$B$11,regle!$B$23,IF(W45=regle!$C$11,regle!$C$23,IF(W45=regle!$D$11,regle!$D$23,IF(W45=regle!$E$11,regle!$E$23,IF(W45=regle!$F$11,regle!$F$23,IF(W45=regle!$G$11,regle!$G$23,IF(W45=regle!$H$11,regle!$H$23,IF(W45=regle!$I$11,regle!$I$23,IF(W45=regle!$J$11,regle!$J$23,0)))))))))))</f>
        <v>0</v>
      </c>
      <c r="AH45" s="14">
        <f>IF($A45,$M45*(IF(X45=regle!$B$11,regle!$B$23,IF(X45=regle!$C$11,regle!$C$23,IF(X45=regle!$D$11,regle!$D$23,IF(X45=regle!$E$11,regle!$E$23,IF(X45=regle!$F$11,regle!$F$23,IF(X45=regle!$G$11,regle!$G$23,IF(X45=regle!$H$11,regle!$H$23,IF(X45=regle!$I$11,regle!$I$23,IF(X45=regle!$J$11,regle!$J$23,0)))))))))))</f>
        <v>0</v>
      </c>
      <c r="AI45" s="14">
        <f>IF($A45,$M45*(IF(Y45=regle!$B$11,regle!$B$23,IF(Y45=regle!$C$11,regle!$C$23,IF(Y45=regle!$D$11,regle!$D$23,IF(Y45=regle!$E$11,regle!$E$23,IF(Y45=regle!$F$11,regle!$F$23,IF(Y45=regle!$G$11,regle!$G$23,IF(Y45=regle!$H$11,regle!$H$23,IF(Y45=regle!$I$11,regle!$I$23,IF(Y45=regle!$J$11,regle!$J$23,0)))))))))))</f>
        <v>0</v>
      </c>
      <c r="AJ45" s="14">
        <f>IF($A45,$M45*(IF(Z45=regle!$B$11,regle!$B$23,IF(Z45=regle!$C$11,regle!$C$23,IF(Z45=regle!$D$11,regle!$D$23,IF(Z45=regle!$E$11,regle!$E$23,IF(Z45=regle!$F$11,regle!$F$23,IF(Z45=regle!$G$11,regle!$G$23,IF(Z45=regle!$H$11,regle!$H$23,IF(Z45=regle!$I$11,regle!$I$23,IF(Z45=regle!$J$11,regle!$J$23,0)))))))))))</f>
        <v>0</v>
      </c>
      <c r="AK45" s="14">
        <f>IF($A45,$M45*(IF(AA45=regle!$B$11,regle!$B$23,IF(AA45=regle!$C$11,regle!$C$23,IF(AA45=regle!$D$11,regle!$D$23,IF(AA45=regle!$E$11,regle!$E$23,IF(AA45=regle!$F$11,regle!$F$23,IF(AA45=regle!$G$11,regle!$G$23,IF(AA45=regle!$H$11,regle!$H$23,IF(AA45=regle!$I$11,regle!$I$23,IF(AA45=regle!$J$11,regle!$J$23,0)))))))))))</f>
        <v>374.976</v>
      </c>
      <c r="AL45" s="14">
        <f>IF($A45,$M45*(IF(AB45=regle!$B$11,regle!$B$23,IF(AB45=regle!$C$11,regle!$C$23,IF(AB45=regle!$D$11,regle!$D$23,IF(AB45=regle!$E$11,regle!$E$23,IF(AB45=regle!$F$11,regle!$F$23,IF(AB45=regle!$G$11,regle!$G$23,IF(AB45=regle!$H$11,regle!$H$23,IF(AB45=regle!$I$11,regle!$I$23,IF(AB45=regle!$J$11,regle!$J$23,0)))))))))))</f>
        <v>0</v>
      </c>
      <c r="AM45" s="14">
        <f>IF($A45,$M45*(IF(AC45=regle!$B$11,regle!$B$23,IF(AC45=regle!$C$11,regle!$C$23,IF(AC45=regle!$D$11,regle!$D$23,IF(AC45=regle!$E$11,regle!$E$23,IF(AC45=regle!$F$11,regle!$F$23,IF(AC45=regle!$G$11,regle!$G$23,IF(AC45=regle!$H$11,regle!$H$23,IF(AC45=regle!$I$11,regle!$I$23,IF(AC45=regle!$J$11,regle!$J$23,0)))))))))))</f>
        <v>0</v>
      </c>
      <c r="AN45" s="14">
        <f>IF($A45,$M45*(IF(AD45=regle!$B$11,regle!$B$23,IF(AD45=regle!$C$11,regle!$C$23,IF(AD45=regle!$D$11,regle!$D$23,IF(AD45=regle!$E$11,regle!$E$23,IF(AD45=regle!$F$11,regle!$F$23,IF(AD45=regle!$G$11,regle!$G$23,IF(AD45=regle!$H$11,regle!$H$23,IF(AD45=regle!$I$11,regle!$I$23,IF(AD45=regle!$J$11,regle!$J$23,0)))))))))))</f>
        <v>0</v>
      </c>
      <c r="AO45">
        <f>IF(AO$1=$AO$1,IF(regle!B$2-$Q45&gt;=regle!$J$12,-2,IF($S45,IF(regle!$B$2-$Q45&gt;=2,0,-1),regle!B$2-$Q45)),IF(AN45+1&gt;=regle!$J$12,-2,AN45+1))</f>
        <v>7</v>
      </c>
      <c r="AP45">
        <f>IF(AP$1=$AO$1,IF(regle!C$2-$Q45&gt;=regle!$J$12,-2,IF($S45,IF(regle!$B$2-$Q45&gt;=2,0,-1),regle!C$2-$Q45)),IF(AO45+1&gt;=regle!$J$12,-2,AO45+1))</f>
        <v>8</v>
      </c>
      <c r="AQ45">
        <f>IF(AQ$1=$AO$1,IF(regle!D$2-$Q45&gt;=regle!$J$12,-2,IF($S45,IF(regle!$B$2-$Q45&gt;=2,0,-1),regle!D$2-$Q45)),IF(AP45+1&gt;=regle!$J$12,-2,AP45+1))</f>
        <v>9</v>
      </c>
      <c r="AR45">
        <f>IF(AR$1=$AO$1,IF(regle!E$2-$Q45&gt;=regle!$J$12,-2,IF($S45,IF(regle!$B$2-$Q45&gt;=2,0,-1),regle!E$2-$Q45)),IF(AQ45+1&gt;=regle!$J$12,-2,AQ45+1))</f>
        <v>10</v>
      </c>
      <c r="AS45">
        <f>IF(AS$1=$AO$1,IF(regle!F$2-$Q45&gt;=regle!$J$12,-2,IF($S45,IF(regle!$B$2-$Q45&gt;=2,0,-1),regle!F$2-$Q45)),IF(AR45+1&gt;=regle!$J$12,-2,AR45+1))</f>
        <v>11</v>
      </c>
      <c r="AT45">
        <f>IF(AT$1=$AO$1,IF(regle!G$2-$Q45&gt;=regle!$J$12,-2,IF($S45,IF(regle!$B$2-$Q45&gt;=2,0,-1),regle!G$2-$Q45)),IF(AS45+1&gt;=regle!$J$12,-2,AS45+1))</f>
        <v>12</v>
      </c>
      <c r="AU45">
        <f>IF(AU$1=$AO$1,IF(regle!H$2-$Q45&gt;=regle!$J$12,-2,IF($S45,IF(regle!$B$2-$Q45&gt;=2,0,-1),regle!H$2-$Q45)),IF(AT45+1&gt;=regle!$J$12,-2,AT45+1))</f>
        <v>13</v>
      </c>
      <c r="AV45">
        <f>IF(AV$1=$AO$1,IF(regle!I$2-$Q45&gt;=regle!$J$12,-2,IF($S45,IF(regle!$B$2-$Q45&gt;=2,0,-1),regle!I$2-$Q45)),IF(AU45+1&gt;=regle!$J$12,-2,AU45+1))</f>
        <v>14</v>
      </c>
      <c r="AW45">
        <f>IF(AW$1=$AO$1,IF(regle!J$2-$Q45&gt;=regle!$J$12,-2,IF($S45,IF(regle!$B$2-$Q45&gt;=2,0,-1),regle!J$2-$Q45)),IF(AV45+1&gt;=regle!$J$12,-2,AV45+1))</f>
        <v>15</v>
      </c>
      <c r="AX45">
        <f>IF(AX$1=$AO$1,IF(regle!K$2-$Q45&gt;=regle!$J$12,-2,IF($S45,IF(regle!$B$2-$Q45&gt;=2,0,-1),regle!K$2-$Q45)),IF(AW45+1&gt;=regle!$J$12,-2,AW45+1))</f>
        <v>16</v>
      </c>
    </row>
    <row r="46" spans="1:50" x14ac:dyDescent="0.25">
      <c r="A46" t="b">
        <f>AND(modif0[[#This Row],[cdstr]]&lt;&gt;0,OR(regle!$H$27=FALSE,modif0[[#This Row],[essnc]]="PM"))</f>
        <v>1</v>
      </c>
      <c r="B46">
        <f>ROW(objet!A63)</f>
        <v>63</v>
      </c>
      <c r="C46" s="10" t="str">
        <f>objet!D63</f>
        <v>5360000A0424</v>
      </c>
      <c r="D46" t="str">
        <f>LEFT(modif0[[#This Row],[cdstr]],3)</f>
        <v>536</v>
      </c>
      <c r="E46" s="10" t="str">
        <f>objet!G63</f>
        <v>LE TUZAN</v>
      </c>
      <c r="F46">
        <f>LEN(modif0[[#This Row],[l_dt]])</f>
        <v>21</v>
      </c>
      <c r="G46" s="10" t="str">
        <f>objet!H63</f>
        <v>METAIRIES DE TABARTON</v>
      </c>
      <c r="H46" s="10" t="str">
        <f>objet!C63</f>
        <v>A424a</v>
      </c>
      <c r="I46" t="str">
        <f>IF(ISNUMBER(VALUE(RIGHT(LEFT(modif0[[#This Row],[idntfn]],2),1))),_xlfn.CONCAT(0,LEFT(modif0[[#This Row],[idntfn]],1)),LEFT(modif0[[#This Row],[idntfn]],2))</f>
        <v>0A</v>
      </c>
      <c r="J46">
        <f>VALUE(LEFT(RIGHT(modif0[[#This Row],[idntfn]],LEN(modif0[[#This Row],[idntfn]])-IF(LEFT(modif0[[#This Row],[sctn]],1)="0",1,2)),LEN(modif0[[#This Row],[idntfn]])-IF(LEFT(modif0[[#This Row],[sctn]],1)="0",1,2)-LEN(modif0[[#This Row],[lttr]])))</f>
        <v>424</v>
      </c>
      <c r="K46" t="str">
        <f>IF(ISNUMBER(VALUE(RIGHT(modif0[[#This Row],[idntfn]],1))),"",IF(ISNUMBER(VALUE(LEFT(RIGHT(modif0[[#This Row],[idntfn]],2),1))),RIGHT(modif0[[#This Row],[idntfn]],1),RIGHT(modif0[[#This Row],[idntfn]],2)))</f>
        <v>a</v>
      </c>
      <c r="L46" s="10">
        <f>objet!I63</f>
        <v>6904</v>
      </c>
      <c r="M46" s="11">
        <f>modif0[[#This Row],[srfc]]/10000</f>
        <v>0.69040000000000001</v>
      </c>
      <c r="N46" s="10" t="str">
        <f>objet!Z63</f>
        <v>PM</v>
      </c>
      <c r="O46" s="10" t="str">
        <f>objet!AA63</f>
        <v>SL2003</v>
      </c>
      <c r="P46" t="str">
        <f>IF(ISNUMBER(modif0[[#This Row],[trvx]]),"",LEFT(modif0[[#This Row],[trvx]],LEN(modif0[[#This Row],[trvx]])-4))</f>
        <v>SL</v>
      </c>
      <c r="Q46">
        <f>VALUE(RIGHT(modif0[[#This Row],[trvx]],4))</f>
        <v>2003</v>
      </c>
      <c r="R46" t="str">
        <f>_xlfn.CONCAT(modif0[[#This Row],[tp]],"-",modif0[[#This Row],[essnc]],"_",modif0[[#This Row],[anns]])</f>
        <v>SL-PM_2003</v>
      </c>
      <c r="S46" t="b">
        <f>modif0[[#This Row],[tp]]="CR"</f>
        <v>0</v>
      </c>
      <c r="T46">
        <v>40</v>
      </c>
      <c r="U46" t="str">
        <f>IF(NOT($A46),"",
IF(AO46=-2,regle!$J$11,
IF(AO46=regle!$B$12,regle!$B$11,
IF(AO46=regle!$C$12,regle!$C$11,
IF(AO46=regle!$D$12,regle!$D$11,
IF(AO46=regle!$E$12,regle!$E$11,
IF(AO46=regle!$F$12,regle!$F$11,
IF(AO46=regle!$G$12,regle!$G$11,
IF(AO46=regle!$H$12,regle!$H$11,
IF(AO46=regle!$I$12,regle!$I$11,""))))))))))</f>
        <v/>
      </c>
      <c r="V46" t="str">
        <f>IF(NOT($A46),"",
IF(AP46=-2,regle!$J$11,
IF(AP46=regle!$B$12,regle!$B$11,
IF(AP46=regle!$C$12,regle!$C$11,
IF(AP46=regle!$D$12,regle!$D$11,
IF(AP46=regle!$E$12,regle!$E$11,
IF(AP46=regle!$F$12,regle!$F$11,
IF(AP46=regle!$G$12,regle!$G$11,
IF(AP46=regle!$H$12,regle!$H$11,
IF(AP46=regle!$I$12,regle!$I$11,""))))))))))</f>
        <v/>
      </c>
      <c r="W46" t="str">
        <f>IF(NOT($A46),"",
IF(AQ46=-2,regle!$J$11,
IF(AQ46=regle!$B$12,regle!$B$11,
IF(AQ46=regle!$C$12,regle!$C$11,
IF(AQ46=regle!$D$12,regle!$D$11,
IF(AQ46=regle!$E$12,regle!$E$11,
IF(AQ46=regle!$F$12,regle!$F$11,
IF(AQ46=regle!$G$12,regle!$G$11,
IF(AQ46=regle!$H$12,regle!$H$11,
IF(AQ46=regle!$I$12,regle!$I$11,""))))))))))</f>
        <v>EC3</v>
      </c>
      <c r="X46" t="str">
        <f>IF(NOT($A46),"",
IF(AR46=-2,regle!$J$11,
IF(AR46=regle!$B$12,regle!$B$11,
IF(AR46=regle!$C$12,regle!$C$11,
IF(AR46=regle!$D$12,regle!$D$11,
IF(AR46=regle!$E$12,regle!$E$11,
IF(AR46=regle!$F$12,regle!$F$11,
IF(AR46=regle!$G$12,regle!$G$11,
IF(AR46=regle!$H$12,regle!$H$11,
IF(AR46=regle!$I$12,regle!$I$11,""))))))))))</f>
        <v/>
      </c>
      <c r="Y46" t="str">
        <f>IF(NOT($A46),"",
IF(AS46=-2,regle!$J$11,
IF(AS46=regle!$B$12,regle!$B$11,
IF(AS46=regle!$C$12,regle!$C$11,
IF(AS46=regle!$D$12,regle!$D$11,
IF(AS46=regle!$E$12,regle!$E$11,
IF(AS46=regle!$F$12,regle!$F$11,
IF(AS46=regle!$G$12,regle!$G$11,
IF(AS46=regle!$H$12,regle!$H$11,
IF(AS46=regle!$I$12,regle!$I$11,""))))))))))</f>
        <v/>
      </c>
      <c r="Z46" t="str">
        <f>IF(NOT($A46),"",
IF(AT46=-2,regle!$J$11,
IF(AT46=regle!$B$12,regle!$B$11,
IF(AT46=regle!$C$12,regle!$C$11,
IF(AT46=regle!$D$12,regle!$D$11,
IF(AT46=regle!$E$12,regle!$E$11,
IF(AT46=regle!$F$12,regle!$F$11,
IF(AT46=regle!$G$12,regle!$G$11,
IF(AT46=regle!$H$12,regle!$H$11,
IF(AT46=regle!$I$12,regle!$I$11,""))))))))))</f>
        <v/>
      </c>
      <c r="AA46" t="str">
        <f>IF(NOT($A46),"",
IF(AU46=-2,regle!$J$11,
IF(AU46=regle!$B$12,regle!$B$11,
IF(AU46=regle!$C$12,regle!$C$11,
IF(AU46=regle!$D$12,regle!$D$11,
IF(AU46=regle!$E$12,regle!$E$11,
IF(AU46=regle!$F$12,regle!$F$11,
IF(AU46=regle!$G$12,regle!$G$11,
IF(AU46=regle!$H$12,regle!$H$11,
IF(AU46=regle!$I$12,regle!$I$11,""))))))))))</f>
        <v/>
      </c>
      <c r="AB46" t="str">
        <f>IF(NOT($A46),"",
IF(AV46=-2,regle!$J$11,
IF(AV46=regle!$B$12,regle!$B$11,
IF(AV46=regle!$C$12,regle!$C$11,
IF(AV46=regle!$D$12,regle!$D$11,
IF(AV46=regle!$E$12,regle!$E$11,
IF(AV46=regle!$F$12,regle!$F$11,
IF(AV46=regle!$G$12,regle!$G$11,
IF(AV46=regle!$H$12,regle!$H$11,
IF(AV46=regle!$I$12,regle!$I$11,""))))))))))</f>
        <v>EC4</v>
      </c>
      <c r="AC46" t="str">
        <f>IF(NOT($A46),"",
IF(AW46=-2,regle!$J$11,
IF(AW46=regle!$B$12,regle!$B$11,
IF(AW46=regle!$C$12,regle!$C$11,
IF(AW46=regle!$D$12,regle!$D$11,
IF(AW46=regle!$E$12,regle!$E$11,
IF(AW46=regle!$F$12,regle!$F$11,
IF(AW46=regle!$G$12,regle!$G$11,
IF(AW46=regle!$H$12,regle!$H$11,
IF(AW46=regle!$I$12,regle!$I$11,""))))))))))</f>
        <v/>
      </c>
      <c r="AD46" t="str">
        <f>IF(NOT($A46),"",
IF(AX46=-2,regle!$J$11,
IF(AX46=regle!$B$12,regle!$B$11,
IF(AX46=regle!$C$12,regle!$C$11,
IF(AX46=regle!$D$12,regle!$D$11,
IF(AX46=regle!$E$12,regle!$E$11,
IF(AX46=regle!$F$12,regle!$F$11,
IF(AX46=regle!$G$12,regle!$G$11,
IF(AX46=regle!$H$12,regle!$H$11,
IF(AX46=regle!$I$12,regle!$I$11,""))))))))))</f>
        <v/>
      </c>
      <c r="AE46" s="14">
        <f>IF($A46,$M46*(IF(U46=regle!$B$11,regle!$B$23,IF(U46=regle!$C$11,regle!$C$23,IF(U46=regle!$D$11,regle!$D$23,IF(U46=regle!$E$11,regle!$E$23,IF(U46=regle!$F$11,regle!$F$23,IF(U46=regle!$G$11,regle!$G$23,IF(U46=regle!$H$11,regle!$H$23,IF(U46=regle!$I$11,regle!$I$23,IF(U46=regle!$J$11,regle!$J$23,0)))))))))))</f>
        <v>0</v>
      </c>
      <c r="AF46" s="14">
        <f>IF($A46,$M46*(IF(V46=regle!$B$11,regle!$B$23,IF(V46=regle!$C$11,regle!$C$23,IF(V46=regle!$D$11,regle!$D$23,IF(V46=regle!$E$11,regle!$E$23,IF(V46=regle!$F$11,regle!$F$23,IF(V46=regle!$G$11,regle!$G$23,IF(V46=regle!$H$11,regle!$H$23,IF(V46=regle!$I$11,regle!$I$23,IF(V46=regle!$J$11,regle!$J$23,0)))))))))))</f>
        <v>0</v>
      </c>
      <c r="AG46" s="14">
        <f>IF($A46,$M46*(IF(W46=regle!$B$11,regle!$B$23,IF(W46=regle!$C$11,regle!$C$23,IF(W46=regle!$D$11,regle!$D$23,IF(W46=regle!$E$11,regle!$E$23,IF(W46=regle!$F$11,regle!$F$23,IF(W46=regle!$G$11,regle!$G$23,IF(W46=regle!$H$11,regle!$H$23,IF(W46=regle!$I$11,regle!$I$23,IF(W46=regle!$J$11,regle!$J$23,0)))))))))))</f>
        <v>972.08320000000003</v>
      </c>
      <c r="AH46" s="14">
        <f>IF($A46,$M46*(IF(X46=regle!$B$11,regle!$B$23,IF(X46=regle!$C$11,regle!$C$23,IF(X46=regle!$D$11,regle!$D$23,IF(X46=regle!$E$11,regle!$E$23,IF(X46=regle!$F$11,regle!$F$23,IF(X46=regle!$G$11,regle!$G$23,IF(X46=regle!$H$11,regle!$H$23,IF(X46=regle!$I$11,regle!$I$23,IF(X46=regle!$J$11,regle!$J$23,0)))))))))))</f>
        <v>0</v>
      </c>
      <c r="AI46" s="14">
        <f>IF($A46,$M46*(IF(Y46=regle!$B$11,regle!$B$23,IF(Y46=regle!$C$11,regle!$C$23,IF(Y46=regle!$D$11,regle!$D$23,IF(Y46=regle!$E$11,regle!$E$23,IF(Y46=regle!$F$11,regle!$F$23,IF(Y46=regle!$G$11,regle!$G$23,IF(Y46=regle!$H$11,regle!$H$23,IF(Y46=regle!$I$11,regle!$I$23,IF(Y46=regle!$J$11,regle!$J$23,0)))))))))))</f>
        <v>0</v>
      </c>
      <c r="AJ46" s="14">
        <f>IF($A46,$M46*(IF(Z46=regle!$B$11,regle!$B$23,IF(Z46=regle!$C$11,regle!$C$23,IF(Z46=regle!$D$11,regle!$D$23,IF(Z46=regle!$E$11,regle!$E$23,IF(Z46=regle!$F$11,regle!$F$23,IF(Z46=regle!$G$11,regle!$G$23,IF(Z46=regle!$H$11,regle!$H$23,IF(Z46=regle!$I$11,regle!$I$23,IF(Z46=regle!$J$11,regle!$J$23,0)))))))))))</f>
        <v>0</v>
      </c>
      <c r="AK46" s="14">
        <f>IF($A46,$M46*(IF(AA46=regle!$B$11,regle!$B$23,IF(AA46=regle!$C$11,regle!$C$23,IF(AA46=regle!$D$11,regle!$D$23,IF(AA46=regle!$E$11,regle!$E$23,IF(AA46=regle!$F$11,regle!$F$23,IF(AA46=regle!$G$11,regle!$G$23,IF(AA46=regle!$H$11,regle!$H$23,IF(AA46=regle!$I$11,regle!$I$23,IF(AA46=regle!$J$11,regle!$J$23,0)))))))))))</f>
        <v>0</v>
      </c>
      <c r="AL46" s="14">
        <f>IF($A46,$M46*(IF(AB46=regle!$B$11,regle!$B$23,IF(AB46=regle!$C$11,regle!$C$23,IF(AB46=regle!$D$11,regle!$D$23,IF(AB46=regle!$E$11,regle!$E$23,IF(AB46=regle!$F$11,regle!$F$23,IF(AB46=regle!$G$11,regle!$G$23,IF(AB46=regle!$H$11,regle!$H$23,IF(AB46=regle!$I$11,regle!$I$23,IF(AB46=regle!$J$11,regle!$J$23,0)))))))))))</f>
        <v>883.71199999999999</v>
      </c>
      <c r="AM46" s="14">
        <f>IF($A46,$M46*(IF(AC46=regle!$B$11,regle!$B$23,IF(AC46=regle!$C$11,regle!$C$23,IF(AC46=regle!$D$11,regle!$D$23,IF(AC46=regle!$E$11,regle!$E$23,IF(AC46=regle!$F$11,regle!$F$23,IF(AC46=regle!$G$11,regle!$G$23,IF(AC46=regle!$H$11,regle!$H$23,IF(AC46=regle!$I$11,regle!$I$23,IF(AC46=regle!$J$11,regle!$J$23,0)))))))))))</f>
        <v>0</v>
      </c>
      <c r="AN46" s="14">
        <f>IF($A46,$M46*(IF(AD46=regle!$B$11,regle!$B$23,IF(AD46=regle!$C$11,regle!$C$23,IF(AD46=regle!$D$11,regle!$D$23,IF(AD46=regle!$E$11,regle!$E$23,IF(AD46=regle!$F$11,regle!$F$23,IF(AD46=regle!$G$11,regle!$G$23,IF(AD46=regle!$H$11,regle!$H$23,IF(AD46=regle!$I$11,regle!$I$23,IF(AD46=regle!$J$11,regle!$J$23,0)))))))))))</f>
        <v>0</v>
      </c>
      <c r="AO46">
        <f>IF(AO$1=$AO$1,IF(regle!B$2-$Q46&gt;=regle!$J$12,-2,IF($S46,IF(regle!$B$2-$Q46&gt;=2,0,-1),regle!B$2-$Q46)),IF(AN46+1&gt;=regle!$J$12,-2,AN46+1))</f>
        <v>21</v>
      </c>
      <c r="AP46">
        <f>IF(AP$1=$AO$1,IF(regle!C$2-$Q46&gt;=regle!$J$12,-2,IF($S46,IF(regle!$B$2-$Q46&gt;=2,0,-1),regle!C$2-$Q46)),IF(AO46+1&gt;=regle!$J$12,-2,AO46+1))</f>
        <v>22</v>
      </c>
      <c r="AQ46">
        <f>IF(AQ$1=$AO$1,IF(regle!D$2-$Q46&gt;=regle!$J$12,-2,IF($S46,IF(regle!$B$2-$Q46&gt;=2,0,-1),regle!D$2-$Q46)),IF(AP46+1&gt;=regle!$J$12,-2,AP46+1))</f>
        <v>23</v>
      </c>
      <c r="AR46">
        <f>IF(AR$1=$AO$1,IF(regle!E$2-$Q46&gt;=regle!$J$12,-2,IF($S46,IF(regle!$B$2-$Q46&gt;=2,0,-1),regle!E$2-$Q46)),IF(AQ46+1&gt;=regle!$J$12,-2,AQ46+1))</f>
        <v>24</v>
      </c>
      <c r="AS46">
        <f>IF(AS$1=$AO$1,IF(regle!F$2-$Q46&gt;=regle!$J$12,-2,IF($S46,IF(regle!$B$2-$Q46&gt;=2,0,-1),regle!F$2-$Q46)),IF(AR46+1&gt;=regle!$J$12,-2,AR46+1))</f>
        <v>25</v>
      </c>
      <c r="AT46">
        <f>IF(AT$1=$AO$1,IF(regle!G$2-$Q46&gt;=regle!$J$12,-2,IF($S46,IF(regle!$B$2-$Q46&gt;=2,0,-1),regle!G$2-$Q46)),IF(AS46+1&gt;=regle!$J$12,-2,AS46+1))</f>
        <v>26</v>
      </c>
      <c r="AU46">
        <f>IF(AU$1=$AO$1,IF(regle!H$2-$Q46&gt;=regle!$J$12,-2,IF($S46,IF(regle!$B$2-$Q46&gt;=2,0,-1),regle!H$2-$Q46)),IF(AT46+1&gt;=regle!$J$12,-2,AT46+1))</f>
        <v>27</v>
      </c>
      <c r="AV46">
        <f>IF(AV$1=$AO$1,IF(regle!I$2-$Q46&gt;=regle!$J$12,-2,IF($S46,IF(regle!$B$2-$Q46&gt;=2,0,-1),regle!I$2-$Q46)),IF(AU46+1&gt;=regle!$J$12,-2,AU46+1))</f>
        <v>28</v>
      </c>
      <c r="AW46">
        <f>IF(AW$1=$AO$1,IF(regle!J$2-$Q46&gt;=regle!$J$12,-2,IF($S46,IF(regle!$B$2-$Q46&gt;=2,0,-1),regle!J$2-$Q46)),IF(AV46+1&gt;=regle!$J$12,-2,AV46+1))</f>
        <v>29</v>
      </c>
      <c r="AX46">
        <f>IF(AX$1=$AO$1,IF(regle!K$2-$Q46&gt;=regle!$J$12,-2,IF($S46,IF(regle!$B$2-$Q46&gt;=2,0,-1),regle!K$2-$Q46)),IF(AW46+1&gt;=regle!$J$12,-2,AW46+1))</f>
        <v>30</v>
      </c>
    </row>
    <row r="47" spans="1:50" x14ac:dyDescent="0.25">
      <c r="A47" t="b">
        <f>AND(modif0[[#This Row],[cdstr]]&lt;&gt;0,OR(regle!$H$27=FALSE,modif0[[#This Row],[essnc]]="PM"))</f>
        <v>1</v>
      </c>
      <c r="B47">
        <f>ROW(objet!A64)</f>
        <v>64</v>
      </c>
      <c r="C47" s="10" t="str">
        <f>objet!D64</f>
        <v>5360000A0424</v>
      </c>
      <c r="D47" t="str">
        <f>LEFT(modif0[[#This Row],[cdstr]],3)</f>
        <v>536</v>
      </c>
      <c r="E47" s="10" t="str">
        <f>objet!G64</f>
        <v>LE TUZAN</v>
      </c>
      <c r="F47">
        <f>LEN(modif0[[#This Row],[l_dt]])</f>
        <v>21</v>
      </c>
      <c r="G47" s="10" t="str">
        <f>objet!H64</f>
        <v>METAIRIES DE TABARTON</v>
      </c>
      <c r="H47" s="10" t="str">
        <f>objet!C64</f>
        <v>A424b</v>
      </c>
      <c r="I47" t="str">
        <f>IF(ISNUMBER(VALUE(RIGHT(LEFT(modif0[[#This Row],[idntfn]],2),1))),_xlfn.CONCAT(0,LEFT(modif0[[#This Row],[idntfn]],1)),LEFT(modif0[[#This Row],[idntfn]],2))</f>
        <v>0A</v>
      </c>
      <c r="J47">
        <f>VALUE(LEFT(RIGHT(modif0[[#This Row],[idntfn]],LEN(modif0[[#This Row],[idntfn]])-IF(LEFT(modif0[[#This Row],[sctn]],1)="0",1,2)),LEN(modif0[[#This Row],[idntfn]])-IF(LEFT(modif0[[#This Row],[sctn]],1)="0",1,2)-LEN(modif0[[#This Row],[lttr]])))</f>
        <v>424</v>
      </c>
      <c r="K47" t="str">
        <f>IF(ISNUMBER(VALUE(RIGHT(modif0[[#This Row],[idntfn]],1))),"",IF(ISNUMBER(VALUE(LEFT(RIGHT(modif0[[#This Row],[idntfn]],2),1))),RIGHT(modif0[[#This Row],[idntfn]],1),RIGHT(modif0[[#This Row],[idntfn]],2)))</f>
        <v>b</v>
      </c>
      <c r="L47" s="10">
        <f>objet!I64</f>
        <v>16608</v>
      </c>
      <c r="M47" s="11">
        <f>modif0[[#This Row],[srfc]]/10000</f>
        <v>1.6608000000000001</v>
      </c>
      <c r="N47" s="10" t="str">
        <f>objet!Z64</f>
        <v>PM</v>
      </c>
      <c r="O47" s="10" t="str">
        <f>objet!AA64</f>
        <v>PLA2012</v>
      </c>
      <c r="P47" t="str">
        <f>IF(ISNUMBER(modif0[[#This Row],[trvx]]),"",LEFT(modif0[[#This Row],[trvx]],LEN(modif0[[#This Row],[trvx]])-4))</f>
        <v>PLA</v>
      </c>
      <c r="Q47">
        <f>VALUE(RIGHT(modif0[[#This Row],[trvx]],4))</f>
        <v>2012</v>
      </c>
      <c r="R47" t="str">
        <f>_xlfn.CONCAT(modif0[[#This Row],[tp]],"-",modif0[[#This Row],[essnc]],"_",modif0[[#This Row],[anns]])</f>
        <v>PLA-PM_2012</v>
      </c>
      <c r="S47" t="b">
        <f>modif0[[#This Row],[tp]]="CR"</f>
        <v>0</v>
      </c>
      <c r="T47">
        <v>40</v>
      </c>
      <c r="U47" t="str">
        <f>IF(NOT($A47),"",
IF(AO47=-2,regle!$J$11,
IF(AO47=regle!$B$12,regle!$B$11,
IF(AO47=regle!$C$12,regle!$C$11,
IF(AO47=regle!$D$12,regle!$D$11,
IF(AO47=regle!$E$12,regle!$E$11,
IF(AO47=regle!$F$12,regle!$F$11,
IF(AO47=regle!$G$12,regle!$G$11,
IF(AO47=regle!$H$12,regle!$H$11,
IF(AO47=regle!$I$12,regle!$I$11,""))))))))))</f>
        <v/>
      </c>
      <c r="V47" t="str">
        <f>IF(NOT($A47),"",
IF(AP47=-2,regle!$J$11,
IF(AP47=regle!$B$12,regle!$B$11,
IF(AP47=regle!$C$12,regle!$C$11,
IF(AP47=regle!$D$12,regle!$D$11,
IF(AP47=regle!$E$12,regle!$E$11,
IF(AP47=regle!$F$12,regle!$F$11,
IF(AP47=regle!$G$12,regle!$G$11,
IF(AP47=regle!$H$12,regle!$H$11,
IF(AP47=regle!$I$12,regle!$I$11,""))))))))))</f>
        <v>EC1</v>
      </c>
      <c r="W47" t="str">
        <f>IF(NOT($A47),"",
IF(AQ47=-2,regle!$J$11,
IF(AQ47=regle!$B$12,regle!$B$11,
IF(AQ47=regle!$C$12,regle!$C$11,
IF(AQ47=regle!$D$12,regle!$D$11,
IF(AQ47=regle!$E$12,regle!$E$11,
IF(AQ47=regle!$F$12,regle!$F$11,
IF(AQ47=regle!$G$12,regle!$G$11,
IF(AQ47=regle!$H$12,regle!$H$11,
IF(AQ47=regle!$I$12,regle!$I$11,""))))))))))</f>
        <v/>
      </c>
      <c r="X47" t="str">
        <f>IF(NOT($A47),"",
IF(AR47=-2,regle!$J$11,
IF(AR47=regle!$B$12,regle!$B$11,
IF(AR47=regle!$C$12,regle!$C$11,
IF(AR47=regle!$D$12,regle!$D$11,
IF(AR47=regle!$E$12,regle!$E$11,
IF(AR47=regle!$F$12,regle!$F$11,
IF(AR47=regle!$G$12,regle!$G$11,
IF(AR47=regle!$H$12,regle!$H$11,
IF(AR47=regle!$I$12,regle!$I$11,""))))))))))</f>
        <v/>
      </c>
      <c r="Y47" t="str">
        <f>IF(NOT($A47),"",
IF(AS47=-2,regle!$J$11,
IF(AS47=regle!$B$12,regle!$B$11,
IF(AS47=regle!$C$12,regle!$C$11,
IF(AS47=regle!$D$12,regle!$D$11,
IF(AS47=regle!$E$12,regle!$E$11,
IF(AS47=regle!$F$12,regle!$F$11,
IF(AS47=regle!$G$12,regle!$G$11,
IF(AS47=regle!$H$12,regle!$H$11,
IF(AS47=regle!$I$12,regle!$I$11,""))))))))))</f>
        <v/>
      </c>
      <c r="Z47" t="str">
        <f>IF(NOT($A47),"",
IF(AT47=-2,regle!$J$11,
IF(AT47=regle!$B$12,regle!$B$11,
IF(AT47=regle!$C$12,regle!$C$11,
IF(AT47=regle!$D$12,regle!$D$11,
IF(AT47=regle!$E$12,regle!$E$11,
IF(AT47=regle!$F$12,regle!$F$11,
IF(AT47=regle!$G$12,regle!$G$11,
IF(AT47=regle!$H$12,regle!$H$11,
IF(AT47=regle!$I$12,regle!$I$11,""))))))))))</f>
        <v/>
      </c>
      <c r="AA47" t="str">
        <f>IF(NOT($A47),"",
IF(AU47=-2,regle!$J$11,
IF(AU47=regle!$B$12,regle!$B$11,
IF(AU47=regle!$C$12,regle!$C$11,
IF(AU47=regle!$D$12,regle!$D$11,
IF(AU47=regle!$E$12,regle!$E$11,
IF(AU47=regle!$F$12,regle!$F$11,
IF(AU47=regle!$G$12,regle!$G$11,
IF(AU47=regle!$H$12,regle!$H$11,
IF(AU47=regle!$I$12,regle!$I$11,""))))))))))</f>
        <v>EC2</v>
      </c>
      <c r="AB47" t="str">
        <f>IF(NOT($A47),"",
IF(AV47=-2,regle!$J$11,
IF(AV47=regle!$B$12,regle!$B$11,
IF(AV47=regle!$C$12,regle!$C$11,
IF(AV47=regle!$D$12,regle!$D$11,
IF(AV47=regle!$E$12,regle!$E$11,
IF(AV47=regle!$F$12,regle!$F$11,
IF(AV47=regle!$G$12,regle!$G$11,
IF(AV47=regle!$H$12,regle!$H$11,
IF(AV47=regle!$I$12,regle!$I$11,""))))))))))</f>
        <v/>
      </c>
      <c r="AC47" t="str">
        <f>IF(NOT($A47),"",
IF(AW47=-2,regle!$J$11,
IF(AW47=regle!$B$12,regle!$B$11,
IF(AW47=regle!$C$12,regle!$C$11,
IF(AW47=regle!$D$12,regle!$D$11,
IF(AW47=regle!$E$12,regle!$E$11,
IF(AW47=regle!$F$12,regle!$F$11,
IF(AW47=regle!$G$12,regle!$G$11,
IF(AW47=regle!$H$12,regle!$H$11,
IF(AW47=regle!$I$12,regle!$I$11,""))))))))))</f>
        <v/>
      </c>
      <c r="AD47" t="str">
        <f>IF(NOT($A47),"",
IF(AX47=-2,regle!$J$11,
IF(AX47=regle!$B$12,regle!$B$11,
IF(AX47=regle!$C$12,regle!$C$11,
IF(AX47=regle!$D$12,regle!$D$11,
IF(AX47=regle!$E$12,regle!$E$11,
IF(AX47=regle!$F$12,regle!$F$11,
IF(AX47=regle!$G$12,regle!$G$11,
IF(AX47=regle!$H$12,regle!$H$11,
IF(AX47=regle!$I$12,regle!$I$11,""))))))))))</f>
        <v/>
      </c>
      <c r="AE47" s="14">
        <f>IF($A47,$M47*(IF(U47=regle!$B$11,regle!$B$23,IF(U47=regle!$C$11,regle!$C$23,IF(U47=regle!$D$11,regle!$D$23,IF(U47=regle!$E$11,regle!$E$23,IF(U47=regle!$F$11,regle!$F$23,IF(U47=regle!$G$11,regle!$G$23,IF(U47=regle!$H$11,regle!$H$23,IF(U47=regle!$I$11,regle!$I$23,IF(U47=regle!$J$11,regle!$J$23,0)))))))))))</f>
        <v>0</v>
      </c>
      <c r="AF47" s="14">
        <f>IF($A47,$M47*(IF(V47=regle!$B$11,regle!$B$23,IF(V47=regle!$C$11,regle!$C$23,IF(V47=regle!$D$11,regle!$D$23,IF(V47=regle!$E$11,regle!$E$23,IF(V47=regle!$F$11,regle!$F$23,IF(V47=regle!$G$11,regle!$G$23,IF(V47=regle!$H$11,regle!$H$23,IF(V47=regle!$I$11,regle!$I$23,IF(V47=regle!$J$11,regle!$J$23,0)))))))))))</f>
        <v>956.62080000000003</v>
      </c>
      <c r="AG47" s="14">
        <f>IF($A47,$M47*(IF(W47=regle!$B$11,regle!$B$23,IF(W47=regle!$C$11,regle!$C$23,IF(W47=regle!$D$11,regle!$D$23,IF(W47=regle!$E$11,regle!$E$23,IF(W47=regle!$F$11,regle!$F$23,IF(W47=regle!$G$11,regle!$G$23,IF(W47=regle!$H$11,regle!$H$23,IF(W47=regle!$I$11,regle!$I$23,IF(W47=regle!$J$11,regle!$J$23,0)))))))))))</f>
        <v>0</v>
      </c>
      <c r="AH47" s="14">
        <f>IF($A47,$M47*(IF(X47=regle!$B$11,regle!$B$23,IF(X47=regle!$C$11,regle!$C$23,IF(X47=regle!$D$11,regle!$D$23,IF(X47=regle!$E$11,regle!$E$23,IF(X47=regle!$F$11,regle!$F$23,IF(X47=regle!$G$11,regle!$G$23,IF(X47=regle!$H$11,regle!$H$23,IF(X47=regle!$I$11,regle!$I$23,IF(X47=regle!$J$11,regle!$J$23,0)))))))))))</f>
        <v>0</v>
      </c>
      <c r="AI47" s="14">
        <f>IF($A47,$M47*(IF(Y47=regle!$B$11,regle!$B$23,IF(Y47=regle!$C$11,regle!$C$23,IF(Y47=regle!$D$11,regle!$D$23,IF(Y47=regle!$E$11,regle!$E$23,IF(Y47=regle!$F$11,regle!$F$23,IF(Y47=regle!$G$11,regle!$G$23,IF(Y47=regle!$H$11,regle!$H$23,IF(Y47=regle!$I$11,regle!$I$23,IF(Y47=regle!$J$11,regle!$J$23,0)))))))))))</f>
        <v>0</v>
      </c>
      <c r="AJ47" s="14">
        <f>IF($A47,$M47*(IF(Z47=regle!$B$11,regle!$B$23,IF(Z47=regle!$C$11,regle!$C$23,IF(Z47=regle!$D$11,regle!$D$23,IF(Z47=regle!$E$11,regle!$E$23,IF(Z47=regle!$F$11,regle!$F$23,IF(Z47=regle!$G$11,regle!$G$23,IF(Z47=regle!$H$11,regle!$H$23,IF(Z47=regle!$I$11,regle!$I$23,IF(Z47=regle!$J$11,regle!$J$23,0)))))))))))</f>
        <v>0</v>
      </c>
      <c r="AK47" s="14">
        <f>IF($A47,$M47*(IF(AA47=regle!$B$11,regle!$B$23,IF(AA47=regle!$C$11,regle!$C$23,IF(AA47=regle!$D$11,regle!$D$23,IF(AA47=regle!$E$11,regle!$E$23,IF(AA47=regle!$F$11,regle!$F$23,IF(AA47=regle!$G$11,regle!$G$23,IF(AA47=regle!$H$11,regle!$H$23,IF(AA47=regle!$I$11,regle!$I$23,IF(AA47=regle!$J$11,regle!$J$23,0)))))))))))</f>
        <v>1395.0720000000001</v>
      </c>
      <c r="AL47" s="14">
        <f>IF($A47,$M47*(IF(AB47=regle!$B$11,regle!$B$23,IF(AB47=regle!$C$11,regle!$C$23,IF(AB47=regle!$D$11,regle!$D$23,IF(AB47=regle!$E$11,regle!$E$23,IF(AB47=regle!$F$11,regle!$F$23,IF(AB47=regle!$G$11,regle!$G$23,IF(AB47=regle!$H$11,regle!$H$23,IF(AB47=regle!$I$11,regle!$I$23,IF(AB47=regle!$J$11,regle!$J$23,0)))))))))))</f>
        <v>0</v>
      </c>
      <c r="AM47" s="14">
        <f>IF($A47,$M47*(IF(AC47=regle!$B$11,regle!$B$23,IF(AC47=regle!$C$11,regle!$C$23,IF(AC47=regle!$D$11,regle!$D$23,IF(AC47=regle!$E$11,regle!$E$23,IF(AC47=regle!$F$11,regle!$F$23,IF(AC47=regle!$G$11,regle!$G$23,IF(AC47=regle!$H$11,regle!$H$23,IF(AC47=regle!$I$11,regle!$I$23,IF(AC47=regle!$J$11,regle!$J$23,0)))))))))))</f>
        <v>0</v>
      </c>
      <c r="AN47" s="14">
        <f>IF($A47,$M47*(IF(AD47=regle!$B$11,regle!$B$23,IF(AD47=regle!$C$11,regle!$C$23,IF(AD47=regle!$D$11,regle!$D$23,IF(AD47=regle!$E$11,regle!$E$23,IF(AD47=regle!$F$11,regle!$F$23,IF(AD47=regle!$G$11,regle!$G$23,IF(AD47=regle!$H$11,regle!$H$23,IF(AD47=regle!$I$11,regle!$I$23,IF(AD47=regle!$J$11,regle!$J$23,0)))))))))))</f>
        <v>0</v>
      </c>
      <c r="AO47">
        <f>IF(AO$1=$AO$1,IF(regle!B$2-$Q47&gt;=regle!$J$12,-2,IF($S47,IF(regle!$B$2-$Q47&gt;=2,0,-1),regle!B$2-$Q47)),IF(AN47+1&gt;=regle!$J$12,-2,AN47+1))</f>
        <v>12</v>
      </c>
      <c r="AP47">
        <f>IF(AP$1=$AO$1,IF(regle!C$2-$Q47&gt;=regle!$J$12,-2,IF($S47,IF(regle!$B$2-$Q47&gt;=2,0,-1),regle!C$2-$Q47)),IF(AO47+1&gt;=regle!$J$12,-2,AO47+1))</f>
        <v>13</v>
      </c>
      <c r="AQ47">
        <f>IF(AQ$1=$AO$1,IF(regle!D$2-$Q47&gt;=regle!$J$12,-2,IF($S47,IF(regle!$B$2-$Q47&gt;=2,0,-1),regle!D$2-$Q47)),IF(AP47+1&gt;=regle!$J$12,-2,AP47+1))</f>
        <v>14</v>
      </c>
      <c r="AR47">
        <f>IF(AR$1=$AO$1,IF(regle!E$2-$Q47&gt;=regle!$J$12,-2,IF($S47,IF(regle!$B$2-$Q47&gt;=2,0,-1),regle!E$2-$Q47)),IF(AQ47+1&gt;=regle!$J$12,-2,AQ47+1))</f>
        <v>15</v>
      </c>
      <c r="AS47">
        <f>IF(AS$1=$AO$1,IF(regle!F$2-$Q47&gt;=regle!$J$12,-2,IF($S47,IF(regle!$B$2-$Q47&gt;=2,0,-1),regle!F$2-$Q47)),IF(AR47+1&gt;=regle!$J$12,-2,AR47+1))</f>
        <v>16</v>
      </c>
      <c r="AT47">
        <f>IF(AT$1=$AO$1,IF(regle!G$2-$Q47&gt;=regle!$J$12,-2,IF($S47,IF(regle!$B$2-$Q47&gt;=2,0,-1),regle!G$2-$Q47)),IF(AS47+1&gt;=regle!$J$12,-2,AS47+1))</f>
        <v>17</v>
      </c>
      <c r="AU47">
        <f>IF(AU$1=$AO$1,IF(regle!H$2-$Q47&gt;=regle!$J$12,-2,IF($S47,IF(regle!$B$2-$Q47&gt;=2,0,-1),regle!H$2-$Q47)),IF(AT47+1&gt;=regle!$J$12,-2,AT47+1))</f>
        <v>18</v>
      </c>
      <c r="AV47">
        <f>IF(AV$1=$AO$1,IF(regle!I$2-$Q47&gt;=regle!$J$12,-2,IF($S47,IF(regle!$B$2-$Q47&gt;=2,0,-1),regle!I$2-$Q47)),IF(AU47+1&gt;=regle!$J$12,-2,AU47+1))</f>
        <v>19</v>
      </c>
      <c r="AW47">
        <f>IF(AW$1=$AO$1,IF(regle!J$2-$Q47&gt;=regle!$J$12,-2,IF($S47,IF(regle!$B$2-$Q47&gt;=2,0,-1),regle!J$2-$Q47)),IF(AV47+1&gt;=regle!$J$12,-2,AV47+1))</f>
        <v>20</v>
      </c>
      <c r="AX47">
        <f>IF(AX$1=$AO$1,IF(regle!K$2-$Q47&gt;=regle!$J$12,-2,IF($S47,IF(regle!$B$2-$Q47&gt;=2,0,-1),regle!K$2-$Q47)),IF(AW47+1&gt;=regle!$J$12,-2,AW47+1))</f>
        <v>21</v>
      </c>
    </row>
    <row r="48" spans="1:50" x14ac:dyDescent="0.25">
      <c r="A48" t="b">
        <f>AND(modif0[[#This Row],[cdstr]]&lt;&gt;0,OR(regle!$H$27=FALSE,modif0[[#This Row],[essnc]]="PM"))</f>
        <v>1</v>
      </c>
      <c r="B48">
        <f>ROW(objet!A65)</f>
        <v>65</v>
      </c>
      <c r="C48" s="10" t="str">
        <f>objet!D65</f>
        <v>5360000A0424</v>
      </c>
      <c r="D48" t="str">
        <f>LEFT(modif0[[#This Row],[cdstr]],3)</f>
        <v>536</v>
      </c>
      <c r="E48" s="10" t="str">
        <f>objet!G65</f>
        <v>LE TUZAN</v>
      </c>
      <c r="F48">
        <f>LEN(modif0[[#This Row],[l_dt]])</f>
        <v>21</v>
      </c>
      <c r="G48" s="10" t="str">
        <f>objet!H65</f>
        <v>METAIRIES DE TABARTON</v>
      </c>
      <c r="H48" s="10" t="str">
        <f>objet!C65</f>
        <v>A424c</v>
      </c>
      <c r="I48" t="str">
        <f>IF(ISNUMBER(VALUE(RIGHT(LEFT(modif0[[#This Row],[idntfn]],2),1))),_xlfn.CONCAT(0,LEFT(modif0[[#This Row],[idntfn]],1)),LEFT(modif0[[#This Row],[idntfn]],2))</f>
        <v>0A</v>
      </c>
      <c r="J48">
        <f>VALUE(LEFT(RIGHT(modif0[[#This Row],[idntfn]],LEN(modif0[[#This Row],[idntfn]])-IF(LEFT(modif0[[#This Row],[sctn]],1)="0",1,2)),LEN(modif0[[#This Row],[idntfn]])-IF(LEFT(modif0[[#This Row],[sctn]],1)="0",1,2)-LEN(modif0[[#This Row],[lttr]])))</f>
        <v>424</v>
      </c>
      <c r="K48" t="str">
        <f>IF(ISNUMBER(VALUE(RIGHT(modif0[[#This Row],[idntfn]],1))),"",IF(ISNUMBER(VALUE(LEFT(RIGHT(modif0[[#This Row],[idntfn]],2),1))),RIGHT(modif0[[#This Row],[idntfn]],1),RIGHT(modif0[[#This Row],[idntfn]],2)))</f>
        <v>c</v>
      </c>
      <c r="L48" s="10">
        <f>objet!I65</f>
        <v>14708</v>
      </c>
      <c r="M48" s="11">
        <f>modif0[[#This Row],[srfc]]/10000</f>
        <v>1.4708000000000001</v>
      </c>
      <c r="N48" s="10" t="str">
        <f>objet!Z65</f>
        <v>PM</v>
      </c>
      <c r="O48" s="10" t="str">
        <f>objet!AA65</f>
        <v>SL2003</v>
      </c>
      <c r="P48" t="str">
        <f>IF(ISNUMBER(modif0[[#This Row],[trvx]]),"",LEFT(modif0[[#This Row],[trvx]],LEN(modif0[[#This Row],[trvx]])-4))</f>
        <v>SL</v>
      </c>
      <c r="Q48">
        <f>VALUE(RIGHT(modif0[[#This Row],[trvx]],4))</f>
        <v>2003</v>
      </c>
      <c r="R48" t="str">
        <f>_xlfn.CONCAT(modif0[[#This Row],[tp]],"-",modif0[[#This Row],[essnc]],"_",modif0[[#This Row],[anns]])</f>
        <v>SL-PM_2003</v>
      </c>
      <c r="S48" t="b">
        <f>modif0[[#This Row],[tp]]="CR"</f>
        <v>0</v>
      </c>
      <c r="T48">
        <v>40</v>
      </c>
      <c r="U48" t="str">
        <f>IF(NOT($A48),"",
IF(AO48=-2,regle!$J$11,
IF(AO48=regle!$B$12,regle!$B$11,
IF(AO48=regle!$C$12,regle!$C$11,
IF(AO48=regle!$D$12,regle!$D$11,
IF(AO48=regle!$E$12,regle!$E$11,
IF(AO48=regle!$F$12,regle!$F$11,
IF(AO48=regle!$G$12,regle!$G$11,
IF(AO48=regle!$H$12,regle!$H$11,
IF(AO48=regle!$I$12,regle!$I$11,""))))))))))</f>
        <v/>
      </c>
      <c r="V48" t="str">
        <f>IF(NOT($A48),"",
IF(AP48=-2,regle!$J$11,
IF(AP48=regle!$B$12,regle!$B$11,
IF(AP48=regle!$C$12,regle!$C$11,
IF(AP48=regle!$D$12,regle!$D$11,
IF(AP48=regle!$E$12,regle!$E$11,
IF(AP48=regle!$F$12,regle!$F$11,
IF(AP48=regle!$G$12,regle!$G$11,
IF(AP48=regle!$H$12,regle!$H$11,
IF(AP48=regle!$I$12,regle!$I$11,""))))))))))</f>
        <v/>
      </c>
      <c r="W48" t="str">
        <f>IF(NOT($A48),"",
IF(AQ48=-2,regle!$J$11,
IF(AQ48=regle!$B$12,regle!$B$11,
IF(AQ48=regle!$C$12,regle!$C$11,
IF(AQ48=regle!$D$12,regle!$D$11,
IF(AQ48=regle!$E$12,regle!$E$11,
IF(AQ48=regle!$F$12,regle!$F$11,
IF(AQ48=regle!$G$12,regle!$G$11,
IF(AQ48=regle!$H$12,regle!$H$11,
IF(AQ48=regle!$I$12,regle!$I$11,""))))))))))</f>
        <v>EC3</v>
      </c>
      <c r="X48" t="str">
        <f>IF(NOT($A48),"",
IF(AR48=-2,regle!$J$11,
IF(AR48=regle!$B$12,regle!$B$11,
IF(AR48=regle!$C$12,regle!$C$11,
IF(AR48=regle!$D$12,regle!$D$11,
IF(AR48=regle!$E$12,regle!$E$11,
IF(AR48=regle!$F$12,regle!$F$11,
IF(AR48=regle!$G$12,regle!$G$11,
IF(AR48=regle!$H$12,regle!$H$11,
IF(AR48=regle!$I$12,regle!$I$11,""))))))))))</f>
        <v/>
      </c>
      <c r="Y48" t="str">
        <f>IF(NOT($A48),"",
IF(AS48=-2,regle!$J$11,
IF(AS48=regle!$B$12,regle!$B$11,
IF(AS48=regle!$C$12,regle!$C$11,
IF(AS48=regle!$D$12,regle!$D$11,
IF(AS48=regle!$E$12,regle!$E$11,
IF(AS48=regle!$F$12,regle!$F$11,
IF(AS48=regle!$G$12,regle!$G$11,
IF(AS48=regle!$H$12,regle!$H$11,
IF(AS48=regle!$I$12,regle!$I$11,""))))))))))</f>
        <v/>
      </c>
      <c r="Z48" t="str">
        <f>IF(NOT($A48),"",
IF(AT48=-2,regle!$J$11,
IF(AT48=regle!$B$12,regle!$B$11,
IF(AT48=regle!$C$12,regle!$C$11,
IF(AT48=regle!$D$12,regle!$D$11,
IF(AT48=regle!$E$12,regle!$E$11,
IF(AT48=regle!$F$12,regle!$F$11,
IF(AT48=regle!$G$12,regle!$G$11,
IF(AT48=regle!$H$12,regle!$H$11,
IF(AT48=regle!$I$12,regle!$I$11,""))))))))))</f>
        <v/>
      </c>
      <c r="AA48" t="str">
        <f>IF(NOT($A48),"",
IF(AU48=-2,regle!$J$11,
IF(AU48=regle!$B$12,regle!$B$11,
IF(AU48=regle!$C$12,regle!$C$11,
IF(AU48=regle!$D$12,regle!$D$11,
IF(AU48=regle!$E$12,regle!$E$11,
IF(AU48=regle!$F$12,regle!$F$11,
IF(AU48=regle!$G$12,regle!$G$11,
IF(AU48=regle!$H$12,regle!$H$11,
IF(AU48=regle!$I$12,regle!$I$11,""))))))))))</f>
        <v/>
      </c>
      <c r="AB48" t="str">
        <f>IF(NOT($A48),"",
IF(AV48=-2,regle!$J$11,
IF(AV48=regle!$B$12,regle!$B$11,
IF(AV48=regle!$C$12,regle!$C$11,
IF(AV48=regle!$D$12,regle!$D$11,
IF(AV48=regle!$E$12,regle!$E$11,
IF(AV48=regle!$F$12,regle!$F$11,
IF(AV48=regle!$G$12,regle!$G$11,
IF(AV48=regle!$H$12,regle!$H$11,
IF(AV48=regle!$I$12,regle!$I$11,""))))))))))</f>
        <v>EC4</v>
      </c>
      <c r="AC48" t="str">
        <f>IF(NOT($A48),"",
IF(AW48=-2,regle!$J$11,
IF(AW48=regle!$B$12,regle!$B$11,
IF(AW48=regle!$C$12,regle!$C$11,
IF(AW48=regle!$D$12,regle!$D$11,
IF(AW48=regle!$E$12,regle!$E$11,
IF(AW48=regle!$F$12,regle!$F$11,
IF(AW48=regle!$G$12,regle!$G$11,
IF(AW48=regle!$H$12,regle!$H$11,
IF(AW48=regle!$I$12,regle!$I$11,""))))))))))</f>
        <v/>
      </c>
      <c r="AD48" t="str">
        <f>IF(NOT($A48),"",
IF(AX48=-2,regle!$J$11,
IF(AX48=regle!$B$12,regle!$B$11,
IF(AX48=regle!$C$12,regle!$C$11,
IF(AX48=regle!$D$12,regle!$D$11,
IF(AX48=regle!$E$12,regle!$E$11,
IF(AX48=regle!$F$12,regle!$F$11,
IF(AX48=regle!$G$12,regle!$G$11,
IF(AX48=regle!$H$12,regle!$H$11,
IF(AX48=regle!$I$12,regle!$I$11,""))))))))))</f>
        <v/>
      </c>
      <c r="AE48" s="14">
        <f>IF($A48,$M48*(IF(U48=regle!$B$11,regle!$B$23,IF(U48=regle!$C$11,regle!$C$23,IF(U48=regle!$D$11,regle!$D$23,IF(U48=regle!$E$11,regle!$E$23,IF(U48=regle!$F$11,regle!$F$23,IF(U48=regle!$G$11,regle!$G$23,IF(U48=regle!$H$11,regle!$H$23,IF(U48=regle!$I$11,regle!$I$23,IF(U48=regle!$J$11,regle!$J$23,0)))))))))))</f>
        <v>0</v>
      </c>
      <c r="AF48" s="14">
        <f>IF($A48,$M48*(IF(V48=regle!$B$11,regle!$B$23,IF(V48=regle!$C$11,regle!$C$23,IF(V48=regle!$D$11,regle!$D$23,IF(V48=regle!$E$11,regle!$E$23,IF(V48=regle!$F$11,regle!$F$23,IF(V48=regle!$G$11,regle!$G$23,IF(V48=regle!$H$11,regle!$H$23,IF(V48=regle!$I$11,regle!$I$23,IF(V48=regle!$J$11,regle!$J$23,0)))))))))))</f>
        <v>0</v>
      </c>
      <c r="AG48" s="14">
        <f>IF($A48,$M48*(IF(W48=regle!$B$11,regle!$B$23,IF(W48=regle!$C$11,regle!$C$23,IF(W48=regle!$D$11,regle!$D$23,IF(W48=regle!$E$11,regle!$E$23,IF(W48=regle!$F$11,regle!$F$23,IF(W48=regle!$G$11,regle!$G$23,IF(W48=regle!$H$11,regle!$H$23,IF(W48=regle!$I$11,regle!$I$23,IF(W48=regle!$J$11,regle!$J$23,0)))))))))))</f>
        <v>2070.8864000000003</v>
      </c>
      <c r="AH48" s="14">
        <f>IF($A48,$M48*(IF(X48=regle!$B$11,regle!$B$23,IF(X48=regle!$C$11,regle!$C$23,IF(X48=regle!$D$11,regle!$D$23,IF(X48=regle!$E$11,regle!$E$23,IF(X48=regle!$F$11,regle!$F$23,IF(X48=regle!$G$11,regle!$G$23,IF(X48=regle!$H$11,regle!$H$23,IF(X48=regle!$I$11,regle!$I$23,IF(X48=regle!$J$11,regle!$J$23,0)))))))))))</f>
        <v>0</v>
      </c>
      <c r="AI48" s="14">
        <f>IF($A48,$M48*(IF(Y48=regle!$B$11,regle!$B$23,IF(Y48=regle!$C$11,regle!$C$23,IF(Y48=regle!$D$11,regle!$D$23,IF(Y48=regle!$E$11,regle!$E$23,IF(Y48=regle!$F$11,regle!$F$23,IF(Y48=regle!$G$11,regle!$G$23,IF(Y48=regle!$H$11,regle!$H$23,IF(Y48=regle!$I$11,regle!$I$23,IF(Y48=regle!$J$11,regle!$J$23,0)))))))))))</f>
        <v>0</v>
      </c>
      <c r="AJ48" s="14">
        <f>IF($A48,$M48*(IF(Z48=regle!$B$11,regle!$B$23,IF(Z48=regle!$C$11,regle!$C$23,IF(Z48=regle!$D$11,regle!$D$23,IF(Z48=regle!$E$11,regle!$E$23,IF(Z48=regle!$F$11,regle!$F$23,IF(Z48=regle!$G$11,regle!$G$23,IF(Z48=regle!$H$11,regle!$H$23,IF(Z48=regle!$I$11,regle!$I$23,IF(Z48=regle!$J$11,regle!$J$23,0)))))))))))</f>
        <v>0</v>
      </c>
      <c r="AK48" s="14">
        <f>IF($A48,$M48*(IF(AA48=regle!$B$11,regle!$B$23,IF(AA48=regle!$C$11,regle!$C$23,IF(AA48=regle!$D$11,regle!$D$23,IF(AA48=regle!$E$11,regle!$E$23,IF(AA48=regle!$F$11,regle!$F$23,IF(AA48=regle!$G$11,regle!$G$23,IF(AA48=regle!$H$11,regle!$H$23,IF(AA48=regle!$I$11,regle!$I$23,IF(AA48=regle!$J$11,regle!$J$23,0)))))))))))</f>
        <v>0</v>
      </c>
      <c r="AL48" s="14">
        <f>IF($A48,$M48*(IF(AB48=regle!$B$11,regle!$B$23,IF(AB48=regle!$C$11,regle!$C$23,IF(AB48=regle!$D$11,regle!$D$23,IF(AB48=regle!$E$11,regle!$E$23,IF(AB48=regle!$F$11,regle!$F$23,IF(AB48=regle!$G$11,regle!$G$23,IF(AB48=regle!$H$11,regle!$H$23,IF(AB48=regle!$I$11,regle!$I$23,IF(AB48=regle!$J$11,regle!$J$23,0)))))))))))</f>
        <v>1882.6240000000003</v>
      </c>
      <c r="AM48" s="14">
        <f>IF($A48,$M48*(IF(AC48=regle!$B$11,regle!$B$23,IF(AC48=regle!$C$11,regle!$C$23,IF(AC48=regle!$D$11,regle!$D$23,IF(AC48=regle!$E$11,regle!$E$23,IF(AC48=regle!$F$11,regle!$F$23,IF(AC48=regle!$G$11,regle!$G$23,IF(AC48=regle!$H$11,regle!$H$23,IF(AC48=regle!$I$11,regle!$I$23,IF(AC48=regle!$J$11,regle!$J$23,0)))))))))))</f>
        <v>0</v>
      </c>
      <c r="AN48" s="14">
        <f>IF($A48,$M48*(IF(AD48=regle!$B$11,regle!$B$23,IF(AD48=regle!$C$11,regle!$C$23,IF(AD48=regle!$D$11,regle!$D$23,IF(AD48=regle!$E$11,regle!$E$23,IF(AD48=regle!$F$11,regle!$F$23,IF(AD48=regle!$G$11,regle!$G$23,IF(AD48=regle!$H$11,regle!$H$23,IF(AD48=regle!$I$11,regle!$I$23,IF(AD48=regle!$J$11,regle!$J$23,0)))))))))))</f>
        <v>0</v>
      </c>
      <c r="AO48">
        <f>IF(AO$1=$AO$1,IF(regle!B$2-$Q48&gt;=regle!$J$12,-2,IF($S48,IF(regle!$B$2-$Q48&gt;=2,0,-1),regle!B$2-$Q48)),IF(AN48+1&gt;=regle!$J$12,-2,AN48+1))</f>
        <v>21</v>
      </c>
      <c r="AP48">
        <f>IF(AP$1=$AO$1,IF(regle!C$2-$Q48&gt;=regle!$J$12,-2,IF($S48,IF(regle!$B$2-$Q48&gt;=2,0,-1),regle!C$2-$Q48)),IF(AO48+1&gt;=regle!$J$12,-2,AO48+1))</f>
        <v>22</v>
      </c>
      <c r="AQ48">
        <f>IF(AQ$1=$AO$1,IF(regle!D$2-$Q48&gt;=regle!$J$12,-2,IF($S48,IF(regle!$B$2-$Q48&gt;=2,0,-1),regle!D$2-$Q48)),IF(AP48+1&gt;=regle!$J$12,-2,AP48+1))</f>
        <v>23</v>
      </c>
      <c r="AR48">
        <f>IF(AR$1=$AO$1,IF(regle!E$2-$Q48&gt;=regle!$J$12,-2,IF($S48,IF(regle!$B$2-$Q48&gt;=2,0,-1),regle!E$2-$Q48)),IF(AQ48+1&gt;=regle!$J$12,-2,AQ48+1))</f>
        <v>24</v>
      </c>
      <c r="AS48">
        <f>IF(AS$1=$AO$1,IF(regle!F$2-$Q48&gt;=regle!$J$12,-2,IF($S48,IF(regle!$B$2-$Q48&gt;=2,0,-1),regle!F$2-$Q48)),IF(AR48+1&gt;=regle!$J$12,-2,AR48+1))</f>
        <v>25</v>
      </c>
      <c r="AT48">
        <f>IF(AT$1=$AO$1,IF(regle!G$2-$Q48&gt;=regle!$J$12,-2,IF($S48,IF(regle!$B$2-$Q48&gt;=2,0,-1),regle!G$2-$Q48)),IF(AS48+1&gt;=regle!$J$12,-2,AS48+1))</f>
        <v>26</v>
      </c>
      <c r="AU48">
        <f>IF(AU$1=$AO$1,IF(regle!H$2-$Q48&gt;=regle!$J$12,-2,IF($S48,IF(regle!$B$2-$Q48&gt;=2,0,-1),regle!H$2-$Q48)),IF(AT48+1&gt;=regle!$J$12,-2,AT48+1))</f>
        <v>27</v>
      </c>
      <c r="AV48">
        <f>IF(AV$1=$AO$1,IF(regle!I$2-$Q48&gt;=regle!$J$12,-2,IF($S48,IF(regle!$B$2-$Q48&gt;=2,0,-1),regle!I$2-$Q48)),IF(AU48+1&gt;=regle!$J$12,-2,AU48+1))</f>
        <v>28</v>
      </c>
      <c r="AW48">
        <f>IF(AW$1=$AO$1,IF(regle!J$2-$Q48&gt;=regle!$J$12,-2,IF($S48,IF(regle!$B$2-$Q48&gt;=2,0,-1),regle!J$2-$Q48)),IF(AV48+1&gt;=regle!$J$12,-2,AV48+1))</f>
        <v>29</v>
      </c>
      <c r="AX48">
        <f>IF(AX$1=$AO$1,IF(regle!K$2-$Q48&gt;=regle!$J$12,-2,IF($S48,IF(regle!$B$2-$Q48&gt;=2,0,-1),regle!K$2-$Q48)),IF(AW48+1&gt;=regle!$J$12,-2,AW48+1))</f>
        <v>30</v>
      </c>
    </row>
    <row r="49" spans="1:50" x14ac:dyDescent="0.25">
      <c r="A49" t="b">
        <f>AND(modif0[[#This Row],[cdstr]]&lt;&gt;0,OR(regle!$H$27=FALSE,modif0[[#This Row],[essnc]]="PM"))</f>
        <v>1</v>
      </c>
      <c r="B49">
        <f>ROW(objet!A66)</f>
        <v>66</v>
      </c>
      <c r="C49" s="10" t="str">
        <f>objet!D66</f>
        <v>5360000A0460</v>
      </c>
      <c r="D49" t="str">
        <f>LEFT(modif0[[#This Row],[cdstr]],3)</f>
        <v>536</v>
      </c>
      <c r="E49" s="10" t="str">
        <f>objet!G66</f>
        <v>LE TUZAN</v>
      </c>
      <c r="F49">
        <f>LEN(modif0[[#This Row],[l_dt]])</f>
        <v>21</v>
      </c>
      <c r="G49" s="10" t="str">
        <f>objet!H66</f>
        <v>METAIRIES DE TABARTON</v>
      </c>
      <c r="H49" s="10" t="str">
        <f>objet!C66</f>
        <v>A460j</v>
      </c>
      <c r="I49" t="str">
        <f>IF(ISNUMBER(VALUE(RIGHT(LEFT(modif0[[#This Row],[idntfn]],2),1))),_xlfn.CONCAT(0,LEFT(modif0[[#This Row],[idntfn]],1)),LEFT(modif0[[#This Row],[idntfn]],2))</f>
        <v>0A</v>
      </c>
      <c r="J49">
        <f>VALUE(LEFT(RIGHT(modif0[[#This Row],[idntfn]],LEN(modif0[[#This Row],[idntfn]])-IF(LEFT(modif0[[#This Row],[sctn]],1)="0",1,2)),LEN(modif0[[#This Row],[idntfn]])-IF(LEFT(modif0[[#This Row],[sctn]],1)="0",1,2)-LEN(modif0[[#This Row],[lttr]])))</f>
        <v>460</v>
      </c>
      <c r="K49" t="str">
        <f>IF(ISNUMBER(VALUE(RIGHT(modif0[[#This Row],[idntfn]],1))),"",IF(ISNUMBER(VALUE(LEFT(RIGHT(modif0[[#This Row],[idntfn]],2),1))),RIGHT(modif0[[#This Row],[idntfn]],1),RIGHT(modif0[[#This Row],[idntfn]],2)))</f>
        <v>j</v>
      </c>
      <c r="L49" s="10">
        <f>objet!I66</f>
        <v>20224</v>
      </c>
      <c r="M49" s="11">
        <f>modif0[[#This Row],[srfc]]/10000</f>
        <v>2.0224000000000002</v>
      </c>
      <c r="N49" s="10" t="str">
        <f>objet!Z66</f>
        <v>PM</v>
      </c>
      <c r="O49" s="10" t="str">
        <f>objet!AA66</f>
        <v>PLA2005</v>
      </c>
      <c r="P49" t="str">
        <f>IF(ISNUMBER(modif0[[#This Row],[trvx]]),"",LEFT(modif0[[#This Row],[trvx]],LEN(modif0[[#This Row],[trvx]])-4))</f>
        <v>PLA</v>
      </c>
      <c r="Q49">
        <f>VALUE(RIGHT(modif0[[#This Row],[trvx]],4))</f>
        <v>2005</v>
      </c>
      <c r="R49" t="str">
        <f>_xlfn.CONCAT(modif0[[#This Row],[tp]],"-",modif0[[#This Row],[essnc]],"_",modif0[[#This Row],[anns]])</f>
        <v>PLA-PM_2005</v>
      </c>
      <c r="S49" t="b">
        <f>modif0[[#This Row],[tp]]="CR"</f>
        <v>0</v>
      </c>
      <c r="T49">
        <v>40</v>
      </c>
      <c r="U49" t="str">
        <f>IF(NOT($A49),"",
IF(AO49=-2,regle!$J$11,
IF(AO49=regle!$B$12,regle!$B$11,
IF(AO49=regle!$C$12,regle!$C$11,
IF(AO49=regle!$D$12,regle!$D$11,
IF(AO49=regle!$E$12,regle!$E$11,
IF(AO49=regle!$F$12,regle!$F$11,
IF(AO49=regle!$G$12,regle!$G$11,
IF(AO49=regle!$H$12,regle!$H$11,
IF(AO49=regle!$I$12,regle!$I$11,""))))))))))</f>
        <v/>
      </c>
      <c r="V49" t="str">
        <f>IF(NOT($A49),"",
IF(AP49=-2,regle!$J$11,
IF(AP49=regle!$B$12,regle!$B$11,
IF(AP49=regle!$C$12,regle!$C$11,
IF(AP49=regle!$D$12,regle!$D$11,
IF(AP49=regle!$E$12,regle!$E$11,
IF(AP49=regle!$F$12,regle!$F$11,
IF(AP49=regle!$G$12,regle!$G$11,
IF(AP49=regle!$H$12,regle!$H$11,
IF(AP49=regle!$I$12,regle!$I$11,""))))))))))</f>
        <v/>
      </c>
      <c r="W49" t="str">
        <f>IF(NOT($A49),"",
IF(AQ49=-2,regle!$J$11,
IF(AQ49=regle!$B$12,regle!$B$11,
IF(AQ49=regle!$C$12,regle!$C$11,
IF(AQ49=regle!$D$12,regle!$D$11,
IF(AQ49=regle!$E$12,regle!$E$11,
IF(AQ49=regle!$F$12,regle!$F$11,
IF(AQ49=regle!$G$12,regle!$G$11,
IF(AQ49=regle!$H$12,regle!$H$11,
IF(AQ49=regle!$I$12,regle!$I$11,""))))))))))</f>
        <v/>
      </c>
      <c r="X49" t="str">
        <f>IF(NOT($A49),"",
IF(AR49=-2,regle!$J$11,
IF(AR49=regle!$B$12,regle!$B$11,
IF(AR49=regle!$C$12,regle!$C$11,
IF(AR49=regle!$D$12,regle!$D$11,
IF(AR49=regle!$E$12,regle!$E$11,
IF(AR49=regle!$F$12,regle!$F$11,
IF(AR49=regle!$G$12,regle!$G$11,
IF(AR49=regle!$H$12,regle!$H$11,
IF(AR49=regle!$I$12,regle!$I$11,""))))))))))</f>
        <v/>
      </c>
      <c r="Y49" t="str">
        <f>IF(NOT($A49),"",
IF(AS49=-2,regle!$J$11,
IF(AS49=regle!$B$12,regle!$B$11,
IF(AS49=regle!$C$12,regle!$C$11,
IF(AS49=regle!$D$12,regle!$D$11,
IF(AS49=regle!$E$12,regle!$E$11,
IF(AS49=regle!$F$12,regle!$F$11,
IF(AS49=regle!$G$12,regle!$G$11,
IF(AS49=regle!$H$12,regle!$H$11,
IF(AS49=regle!$I$12,regle!$I$11,""))))))))))</f>
        <v>EC3</v>
      </c>
      <c r="Z49" t="str">
        <f>IF(NOT($A49),"",
IF(AT49=-2,regle!$J$11,
IF(AT49=regle!$B$12,regle!$B$11,
IF(AT49=regle!$C$12,regle!$C$11,
IF(AT49=regle!$D$12,regle!$D$11,
IF(AT49=regle!$E$12,regle!$E$11,
IF(AT49=regle!$F$12,regle!$F$11,
IF(AT49=regle!$G$12,regle!$G$11,
IF(AT49=regle!$H$12,regle!$H$11,
IF(AT49=regle!$I$12,regle!$I$11,""))))))))))</f>
        <v/>
      </c>
      <c r="AA49" t="str">
        <f>IF(NOT($A49),"",
IF(AU49=-2,regle!$J$11,
IF(AU49=regle!$B$12,regle!$B$11,
IF(AU49=regle!$C$12,regle!$C$11,
IF(AU49=regle!$D$12,regle!$D$11,
IF(AU49=regle!$E$12,regle!$E$11,
IF(AU49=regle!$F$12,regle!$F$11,
IF(AU49=regle!$G$12,regle!$G$11,
IF(AU49=regle!$H$12,regle!$H$11,
IF(AU49=regle!$I$12,regle!$I$11,""))))))))))</f>
        <v/>
      </c>
      <c r="AB49" t="str">
        <f>IF(NOT($A49),"",
IF(AV49=-2,regle!$J$11,
IF(AV49=regle!$B$12,regle!$B$11,
IF(AV49=regle!$C$12,regle!$C$11,
IF(AV49=regle!$D$12,regle!$D$11,
IF(AV49=regle!$E$12,regle!$E$11,
IF(AV49=regle!$F$12,regle!$F$11,
IF(AV49=regle!$G$12,regle!$G$11,
IF(AV49=regle!$H$12,regle!$H$11,
IF(AV49=regle!$I$12,regle!$I$11,""))))))))))</f>
        <v/>
      </c>
      <c r="AC49" t="str">
        <f>IF(NOT($A49),"",
IF(AW49=-2,regle!$J$11,
IF(AW49=regle!$B$12,regle!$B$11,
IF(AW49=regle!$C$12,regle!$C$11,
IF(AW49=regle!$D$12,regle!$D$11,
IF(AW49=regle!$E$12,regle!$E$11,
IF(AW49=regle!$F$12,regle!$F$11,
IF(AW49=regle!$G$12,regle!$G$11,
IF(AW49=regle!$H$12,regle!$H$11,
IF(AW49=regle!$I$12,regle!$I$11,""))))))))))</f>
        <v/>
      </c>
      <c r="AD49" t="str">
        <f>IF(NOT($A49),"",
IF(AX49=-2,regle!$J$11,
IF(AX49=regle!$B$12,regle!$B$11,
IF(AX49=regle!$C$12,regle!$C$11,
IF(AX49=regle!$D$12,regle!$D$11,
IF(AX49=regle!$E$12,regle!$E$11,
IF(AX49=regle!$F$12,regle!$F$11,
IF(AX49=regle!$G$12,regle!$G$11,
IF(AX49=regle!$H$12,regle!$H$11,
IF(AX49=regle!$I$12,regle!$I$11,""))))))))))</f>
        <v>EC4</v>
      </c>
      <c r="AE49" s="14">
        <f>IF($A49,$M49*(IF(U49=regle!$B$11,regle!$B$23,IF(U49=regle!$C$11,regle!$C$23,IF(U49=regle!$D$11,regle!$D$23,IF(U49=regle!$E$11,regle!$E$23,IF(U49=regle!$F$11,regle!$F$23,IF(U49=regle!$G$11,regle!$G$23,IF(U49=regle!$H$11,regle!$H$23,IF(U49=regle!$I$11,regle!$I$23,IF(U49=regle!$J$11,regle!$J$23,0)))))))))))</f>
        <v>0</v>
      </c>
      <c r="AF49" s="14">
        <f>IF($A49,$M49*(IF(V49=regle!$B$11,regle!$B$23,IF(V49=regle!$C$11,regle!$C$23,IF(V49=regle!$D$11,regle!$D$23,IF(V49=regle!$E$11,regle!$E$23,IF(V49=regle!$F$11,regle!$F$23,IF(V49=regle!$G$11,regle!$G$23,IF(V49=regle!$H$11,regle!$H$23,IF(V49=regle!$I$11,regle!$I$23,IF(V49=regle!$J$11,regle!$J$23,0)))))))))))</f>
        <v>0</v>
      </c>
      <c r="AG49" s="14">
        <f>IF($A49,$M49*(IF(W49=regle!$B$11,regle!$B$23,IF(W49=regle!$C$11,regle!$C$23,IF(W49=regle!$D$11,regle!$D$23,IF(W49=regle!$E$11,regle!$E$23,IF(W49=regle!$F$11,regle!$F$23,IF(W49=regle!$G$11,regle!$G$23,IF(W49=regle!$H$11,regle!$H$23,IF(W49=regle!$I$11,regle!$I$23,IF(W49=regle!$J$11,regle!$J$23,0)))))))))))</f>
        <v>0</v>
      </c>
      <c r="AH49" s="14">
        <f>IF($A49,$M49*(IF(X49=regle!$B$11,regle!$B$23,IF(X49=regle!$C$11,regle!$C$23,IF(X49=regle!$D$11,regle!$D$23,IF(X49=regle!$E$11,regle!$E$23,IF(X49=regle!$F$11,regle!$F$23,IF(X49=regle!$G$11,regle!$G$23,IF(X49=regle!$H$11,regle!$H$23,IF(X49=regle!$I$11,regle!$I$23,IF(X49=regle!$J$11,regle!$J$23,0)))))))))))</f>
        <v>0</v>
      </c>
      <c r="AI49" s="14">
        <f>IF($A49,$M49*(IF(Y49=regle!$B$11,regle!$B$23,IF(Y49=regle!$C$11,regle!$C$23,IF(Y49=regle!$D$11,regle!$D$23,IF(Y49=regle!$E$11,regle!$E$23,IF(Y49=regle!$F$11,regle!$F$23,IF(Y49=regle!$G$11,regle!$G$23,IF(Y49=regle!$H$11,regle!$H$23,IF(Y49=regle!$I$11,regle!$I$23,IF(Y49=regle!$J$11,regle!$J$23,0)))))))))))</f>
        <v>2847.5392000000002</v>
      </c>
      <c r="AJ49" s="14">
        <f>IF($A49,$M49*(IF(Z49=regle!$B$11,regle!$B$23,IF(Z49=regle!$C$11,regle!$C$23,IF(Z49=regle!$D$11,regle!$D$23,IF(Z49=regle!$E$11,regle!$E$23,IF(Z49=regle!$F$11,regle!$F$23,IF(Z49=regle!$G$11,regle!$G$23,IF(Z49=regle!$H$11,regle!$H$23,IF(Z49=regle!$I$11,regle!$I$23,IF(Z49=regle!$J$11,regle!$J$23,0)))))))))))</f>
        <v>0</v>
      </c>
      <c r="AK49" s="14">
        <f>IF($A49,$M49*(IF(AA49=regle!$B$11,regle!$B$23,IF(AA49=regle!$C$11,regle!$C$23,IF(AA49=regle!$D$11,regle!$D$23,IF(AA49=regle!$E$11,regle!$E$23,IF(AA49=regle!$F$11,regle!$F$23,IF(AA49=regle!$G$11,regle!$G$23,IF(AA49=regle!$H$11,regle!$H$23,IF(AA49=regle!$I$11,regle!$I$23,IF(AA49=regle!$J$11,regle!$J$23,0)))))))))))</f>
        <v>0</v>
      </c>
      <c r="AL49" s="14">
        <f>IF($A49,$M49*(IF(AB49=regle!$B$11,regle!$B$23,IF(AB49=regle!$C$11,regle!$C$23,IF(AB49=regle!$D$11,regle!$D$23,IF(AB49=regle!$E$11,regle!$E$23,IF(AB49=regle!$F$11,regle!$F$23,IF(AB49=regle!$G$11,regle!$G$23,IF(AB49=regle!$H$11,regle!$H$23,IF(AB49=regle!$I$11,regle!$I$23,IF(AB49=regle!$J$11,regle!$J$23,0)))))))))))</f>
        <v>0</v>
      </c>
      <c r="AM49" s="14">
        <f>IF($A49,$M49*(IF(AC49=regle!$B$11,regle!$B$23,IF(AC49=regle!$C$11,regle!$C$23,IF(AC49=regle!$D$11,regle!$D$23,IF(AC49=regle!$E$11,regle!$E$23,IF(AC49=regle!$F$11,regle!$F$23,IF(AC49=regle!$G$11,regle!$G$23,IF(AC49=regle!$H$11,regle!$H$23,IF(AC49=regle!$I$11,regle!$I$23,IF(AC49=regle!$J$11,regle!$J$23,0)))))))))))</f>
        <v>0</v>
      </c>
      <c r="AN49" s="14">
        <f>IF($A49,$M49*(IF(AD49=regle!$B$11,regle!$B$23,IF(AD49=regle!$C$11,regle!$C$23,IF(AD49=regle!$D$11,regle!$D$23,IF(AD49=regle!$E$11,regle!$E$23,IF(AD49=regle!$F$11,regle!$F$23,IF(AD49=regle!$G$11,regle!$G$23,IF(AD49=regle!$H$11,regle!$H$23,IF(AD49=regle!$I$11,regle!$I$23,IF(AD49=regle!$J$11,regle!$J$23,0)))))))))))</f>
        <v>2588.6720000000005</v>
      </c>
      <c r="AO49">
        <f>IF(AO$1=$AO$1,IF(regle!B$2-$Q49&gt;=regle!$J$12,-2,IF($S49,IF(regle!$B$2-$Q49&gt;=2,0,-1),regle!B$2-$Q49)),IF(AN49+1&gt;=regle!$J$12,-2,AN49+1))</f>
        <v>19</v>
      </c>
      <c r="AP49">
        <f>IF(AP$1=$AO$1,IF(regle!C$2-$Q49&gt;=regle!$J$12,-2,IF($S49,IF(regle!$B$2-$Q49&gt;=2,0,-1),regle!C$2-$Q49)),IF(AO49+1&gt;=regle!$J$12,-2,AO49+1))</f>
        <v>20</v>
      </c>
      <c r="AQ49">
        <f>IF(AQ$1=$AO$1,IF(regle!D$2-$Q49&gt;=regle!$J$12,-2,IF($S49,IF(regle!$B$2-$Q49&gt;=2,0,-1),regle!D$2-$Q49)),IF(AP49+1&gt;=regle!$J$12,-2,AP49+1))</f>
        <v>21</v>
      </c>
      <c r="AR49">
        <f>IF(AR$1=$AO$1,IF(regle!E$2-$Q49&gt;=regle!$J$12,-2,IF($S49,IF(regle!$B$2-$Q49&gt;=2,0,-1),regle!E$2-$Q49)),IF(AQ49+1&gt;=regle!$J$12,-2,AQ49+1))</f>
        <v>22</v>
      </c>
      <c r="AS49">
        <f>IF(AS$1=$AO$1,IF(regle!F$2-$Q49&gt;=regle!$J$12,-2,IF($S49,IF(regle!$B$2-$Q49&gt;=2,0,-1),regle!F$2-$Q49)),IF(AR49+1&gt;=regle!$J$12,-2,AR49+1))</f>
        <v>23</v>
      </c>
      <c r="AT49">
        <f>IF(AT$1=$AO$1,IF(regle!G$2-$Q49&gt;=regle!$J$12,-2,IF($S49,IF(regle!$B$2-$Q49&gt;=2,0,-1),regle!G$2-$Q49)),IF(AS49+1&gt;=regle!$J$12,-2,AS49+1))</f>
        <v>24</v>
      </c>
      <c r="AU49">
        <f>IF(AU$1=$AO$1,IF(regle!H$2-$Q49&gt;=regle!$J$12,-2,IF($S49,IF(regle!$B$2-$Q49&gt;=2,0,-1),regle!H$2-$Q49)),IF(AT49+1&gt;=regle!$J$12,-2,AT49+1))</f>
        <v>25</v>
      </c>
      <c r="AV49">
        <f>IF(AV$1=$AO$1,IF(regle!I$2-$Q49&gt;=regle!$J$12,-2,IF($S49,IF(regle!$B$2-$Q49&gt;=2,0,-1),regle!I$2-$Q49)),IF(AU49+1&gt;=regle!$J$12,-2,AU49+1))</f>
        <v>26</v>
      </c>
      <c r="AW49">
        <f>IF(AW$1=$AO$1,IF(regle!J$2-$Q49&gt;=regle!$J$12,-2,IF($S49,IF(regle!$B$2-$Q49&gt;=2,0,-1),regle!J$2-$Q49)),IF(AV49+1&gt;=regle!$J$12,-2,AV49+1))</f>
        <v>27</v>
      </c>
      <c r="AX49">
        <f>IF(AX$1=$AO$1,IF(regle!K$2-$Q49&gt;=regle!$J$12,-2,IF($S49,IF(regle!$B$2-$Q49&gt;=2,0,-1),regle!K$2-$Q49)),IF(AW49+1&gt;=regle!$J$12,-2,AW49+1))</f>
        <v>28</v>
      </c>
    </row>
    <row r="50" spans="1:50" x14ac:dyDescent="0.25">
      <c r="A50" t="b">
        <f>AND(modif0[[#This Row],[cdstr]]&lt;&gt;0,OR(regle!$H$27=FALSE,modif0[[#This Row],[essnc]]="PM"))</f>
        <v>1</v>
      </c>
      <c r="B50">
        <f>ROW(objet!A67)</f>
        <v>67</v>
      </c>
      <c r="C50" s="10" t="str">
        <f>objet!D67</f>
        <v>5360000A0460</v>
      </c>
      <c r="D50" t="str">
        <f>LEFT(modif0[[#This Row],[cdstr]],3)</f>
        <v>536</v>
      </c>
      <c r="E50" s="10" t="str">
        <f>objet!G67</f>
        <v>LE TUZAN</v>
      </c>
      <c r="F50">
        <f>LEN(modif0[[#This Row],[l_dt]])</f>
        <v>21</v>
      </c>
      <c r="G50" s="10" t="str">
        <f>objet!H67</f>
        <v>METAIRIES DE TABARTON</v>
      </c>
      <c r="H50" s="10" t="str">
        <f>objet!C67</f>
        <v>A460k</v>
      </c>
      <c r="I50" t="str">
        <f>IF(ISNUMBER(VALUE(RIGHT(LEFT(modif0[[#This Row],[idntfn]],2),1))),_xlfn.CONCAT(0,LEFT(modif0[[#This Row],[idntfn]],1)),LEFT(modif0[[#This Row],[idntfn]],2))</f>
        <v>0A</v>
      </c>
      <c r="J50">
        <f>VALUE(LEFT(RIGHT(modif0[[#This Row],[idntfn]],LEN(modif0[[#This Row],[idntfn]])-IF(LEFT(modif0[[#This Row],[sctn]],1)="0",1,2)),LEN(modif0[[#This Row],[idntfn]])-IF(LEFT(modif0[[#This Row],[sctn]],1)="0",1,2)-LEN(modif0[[#This Row],[lttr]])))</f>
        <v>460</v>
      </c>
      <c r="K50" t="str">
        <f>IF(ISNUMBER(VALUE(RIGHT(modif0[[#This Row],[idntfn]],1))),"",IF(ISNUMBER(VALUE(LEFT(RIGHT(modif0[[#This Row],[idntfn]],2),1))),RIGHT(modif0[[#This Row],[idntfn]],1),RIGHT(modif0[[#This Row],[idntfn]],2)))</f>
        <v>k</v>
      </c>
      <c r="L50" s="10">
        <f>objet!I67</f>
        <v>1806</v>
      </c>
      <c r="M50" s="11">
        <f>modif0[[#This Row],[srfc]]/10000</f>
        <v>0.18060000000000001</v>
      </c>
      <c r="N50" s="10" t="str">
        <f>objet!Z67</f>
        <v>PM</v>
      </c>
      <c r="O50" s="10" t="str">
        <f>objet!AA67</f>
        <v>PLA2010</v>
      </c>
      <c r="P50" t="str">
        <f>IF(ISNUMBER(modif0[[#This Row],[trvx]]),"",LEFT(modif0[[#This Row],[trvx]],LEN(modif0[[#This Row],[trvx]])-4))</f>
        <v>PLA</v>
      </c>
      <c r="Q50">
        <f>VALUE(RIGHT(modif0[[#This Row],[trvx]],4))</f>
        <v>2010</v>
      </c>
      <c r="R50" t="str">
        <f>_xlfn.CONCAT(modif0[[#This Row],[tp]],"-",modif0[[#This Row],[essnc]],"_",modif0[[#This Row],[anns]])</f>
        <v>PLA-PM_2010</v>
      </c>
      <c r="S50" t="b">
        <f>modif0[[#This Row],[tp]]="CR"</f>
        <v>0</v>
      </c>
      <c r="T50">
        <v>40</v>
      </c>
      <c r="U50" t="str">
        <f>IF(NOT($A50),"",
IF(AO50=-2,regle!$J$11,
IF(AO50=regle!$B$12,regle!$B$11,
IF(AO50=regle!$C$12,regle!$C$11,
IF(AO50=regle!$D$12,regle!$D$11,
IF(AO50=regle!$E$12,regle!$E$11,
IF(AO50=regle!$F$12,regle!$F$11,
IF(AO50=regle!$G$12,regle!$G$11,
IF(AO50=regle!$H$12,regle!$H$11,
IF(AO50=regle!$I$12,regle!$I$11,""))))))))))</f>
        <v/>
      </c>
      <c r="V50" t="str">
        <f>IF(NOT($A50),"",
IF(AP50=-2,regle!$J$11,
IF(AP50=regle!$B$12,regle!$B$11,
IF(AP50=regle!$C$12,regle!$C$11,
IF(AP50=regle!$D$12,regle!$D$11,
IF(AP50=regle!$E$12,regle!$E$11,
IF(AP50=regle!$F$12,regle!$F$11,
IF(AP50=regle!$G$12,regle!$G$11,
IF(AP50=regle!$H$12,regle!$H$11,
IF(AP50=regle!$I$12,regle!$I$11,""))))))))))</f>
        <v/>
      </c>
      <c r="W50" t="str">
        <f>IF(NOT($A50),"",
IF(AQ50=-2,regle!$J$11,
IF(AQ50=regle!$B$12,regle!$B$11,
IF(AQ50=regle!$C$12,regle!$C$11,
IF(AQ50=regle!$D$12,regle!$D$11,
IF(AQ50=regle!$E$12,regle!$E$11,
IF(AQ50=regle!$F$12,regle!$F$11,
IF(AQ50=regle!$G$12,regle!$G$11,
IF(AQ50=regle!$H$12,regle!$H$11,
IF(AQ50=regle!$I$12,regle!$I$11,""))))))))))</f>
        <v/>
      </c>
      <c r="X50" t="str">
        <f>IF(NOT($A50),"",
IF(AR50=-2,regle!$J$11,
IF(AR50=regle!$B$12,regle!$B$11,
IF(AR50=regle!$C$12,regle!$C$11,
IF(AR50=regle!$D$12,regle!$D$11,
IF(AR50=regle!$E$12,regle!$E$11,
IF(AR50=regle!$F$12,regle!$F$11,
IF(AR50=regle!$G$12,regle!$G$11,
IF(AR50=regle!$H$12,regle!$H$11,
IF(AR50=regle!$I$12,regle!$I$11,""))))))))))</f>
        <v/>
      </c>
      <c r="Y50" t="str">
        <f>IF(NOT($A50),"",
IF(AS50=-2,regle!$J$11,
IF(AS50=regle!$B$12,regle!$B$11,
IF(AS50=regle!$C$12,regle!$C$11,
IF(AS50=regle!$D$12,regle!$D$11,
IF(AS50=regle!$E$12,regle!$E$11,
IF(AS50=regle!$F$12,regle!$F$11,
IF(AS50=regle!$G$12,regle!$G$11,
IF(AS50=regle!$H$12,regle!$H$11,
IF(AS50=regle!$I$12,regle!$I$11,""))))))))))</f>
        <v>EC2</v>
      </c>
      <c r="Z50" t="str">
        <f>IF(NOT($A50),"",
IF(AT50=-2,regle!$J$11,
IF(AT50=regle!$B$12,regle!$B$11,
IF(AT50=regle!$C$12,regle!$C$11,
IF(AT50=regle!$D$12,regle!$D$11,
IF(AT50=regle!$E$12,regle!$E$11,
IF(AT50=regle!$F$12,regle!$F$11,
IF(AT50=regle!$G$12,regle!$G$11,
IF(AT50=regle!$H$12,regle!$H$11,
IF(AT50=regle!$I$12,regle!$I$11,""))))))))))</f>
        <v/>
      </c>
      <c r="AA50" t="str">
        <f>IF(NOT($A50),"",
IF(AU50=-2,regle!$J$11,
IF(AU50=regle!$B$12,regle!$B$11,
IF(AU50=regle!$C$12,regle!$C$11,
IF(AU50=regle!$D$12,regle!$D$11,
IF(AU50=regle!$E$12,regle!$E$11,
IF(AU50=regle!$F$12,regle!$F$11,
IF(AU50=regle!$G$12,regle!$G$11,
IF(AU50=regle!$H$12,regle!$H$11,
IF(AU50=regle!$I$12,regle!$I$11,""))))))))))</f>
        <v/>
      </c>
      <c r="AB50" t="str">
        <f>IF(NOT($A50),"",
IF(AV50=-2,regle!$J$11,
IF(AV50=regle!$B$12,regle!$B$11,
IF(AV50=regle!$C$12,regle!$C$11,
IF(AV50=regle!$D$12,regle!$D$11,
IF(AV50=regle!$E$12,regle!$E$11,
IF(AV50=regle!$F$12,regle!$F$11,
IF(AV50=regle!$G$12,regle!$G$11,
IF(AV50=regle!$H$12,regle!$H$11,
IF(AV50=regle!$I$12,regle!$I$11,""))))))))))</f>
        <v/>
      </c>
      <c r="AC50" t="str">
        <f>IF(NOT($A50),"",
IF(AW50=-2,regle!$J$11,
IF(AW50=regle!$B$12,regle!$B$11,
IF(AW50=regle!$C$12,regle!$C$11,
IF(AW50=regle!$D$12,regle!$D$11,
IF(AW50=regle!$E$12,regle!$E$11,
IF(AW50=regle!$F$12,regle!$F$11,
IF(AW50=regle!$G$12,regle!$G$11,
IF(AW50=regle!$H$12,regle!$H$11,
IF(AW50=regle!$I$12,regle!$I$11,""))))))))))</f>
        <v/>
      </c>
      <c r="AD50" t="str">
        <f>IF(NOT($A50),"",
IF(AX50=-2,regle!$J$11,
IF(AX50=regle!$B$12,regle!$B$11,
IF(AX50=regle!$C$12,regle!$C$11,
IF(AX50=regle!$D$12,regle!$D$11,
IF(AX50=regle!$E$12,regle!$E$11,
IF(AX50=regle!$F$12,regle!$F$11,
IF(AX50=regle!$G$12,regle!$G$11,
IF(AX50=regle!$H$12,regle!$H$11,
IF(AX50=regle!$I$12,regle!$I$11,""))))))))))</f>
        <v>EC3</v>
      </c>
      <c r="AE50" s="14">
        <f>IF($A50,$M50*(IF(U50=regle!$B$11,regle!$B$23,IF(U50=regle!$C$11,regle!$C$23,IF(U50=regle!$D$11,regle!$D$23,IF(U50=regle!$E$11,regle!$E$23,IF(U50=regle!$F$11,regle!$F$23,IF(U50=regle!$G$11,regle!$G$23,IF(U50=regle!$H$11,regle!$H$23,IF(U50=regle!$I$11,regle!$I$23,IF(U50=regle!$J$11,regle!$J$23,0)))))))))))</f>
        <v>0</v>
      </c>
      <c r="AF50" s="14">
        <f>IF($A50,$M50*(IF(V50=regle!$B$11,regle!$B$23,IF(V50=regle!$C$11,regle!$C$23,IF(V50=regle!$D$11,regle!$D$23,IF(V50=regle!$E$11,regle!$E$23,IF(V50=regle!$F$11,regle!$F$23,IF(V50=regle!$G$11,regle!$G$23,IF(V50=regle!$H$11,regle!$H$23,IF(V50=regle!$I$11,regle!$I$23,IF(V50=regle!$J$11,regle!$J$23,0)))))))))))</f>
        <v>0</v>
      </c>
      <c r="AG50" s="14">
        <f>IF($A50,$M50*(IF(W50=regle!$B$11,regle!$B$23,IF(W50=regle!$C$11,regle!$C$23,IF(W50=regle!$D$11,regle!$D$23,IF(W50=regle!$E$11,regle!$E$23,IF(W50=regle!$F$11,regle!$F$23,IF(W50=regle!$G$11,regle!$G$23,IF(W50=regle!$H$11,regle!$H$23,IF(W50=regle!$I$11,regle!$I$23,IF(W50=regle!$J$11,regle!$J$23,0)))))))))))</f>
        <v>0</v>
      </c>
      <c r="AH50" s="14">
        <f>IF($A50,$M50*(IF(X50=regle!$B$11,regle!$B$23,IF(X50=regle!$C$11,regle!$C$23,IF(X50=regle!$D$11,regle!$D$23,IF(X50=regle!$E$11,regle!$E$23,IF(X50=regle!$F$11,regle!$F$23,IF(X50=regle!$G$11,regle!$G$23,IF(X50=regle!$H$11,regle!$H$23,IF(X50=regle!$I$11,regle!$I$23,IF(X50=regle!$J$11,regle!$J$23,0)))))))))))</f>
        <v>0</v>
      </c>
      <c r="AI50" s="14">
        <f>IF($A50,$M50*(IF(Y50=regle!$B$11,regle!$B$23,IF(Y50=regle!$C$11,regle!$C$23,IF(Y50=regle!$D$11,regle!$D$23,IF(Y50=regle!$E$11,regle!$E$23,IF(Y50=regle!$F$11,regle!$F$23,IF(Y50=regle!$G$11,regle!$G$23,IF(Y50=regle!$H$11,regle!$H$23,IF(Y50=regle!$I$11,regle!$I$23,IF(Y50=regle!$J$11,regle!$J$23,0)))))))))))</f>
        <v>151.70400000000001</v>
      </c>
      <c r="AJ50" s="14">
        <f>IF($A50,$M50*(IF(Z50=regle!$B$11,regle!$B$23,IF(Z50=regle!$C$11,regle!$C$23,IF(Z50=regle!$D$11,regle!$D$23,IF(Z50=regle!$E$11,regle!$E$23,IF(Z50=regle!$F$11,regle!$F$23,IF(Z50=regle!$G$11,regle!$G$23,IF(Z50=regle!$H$11,regle!$H$23,IF(Z50=regle!$I$11,regle!$I$23,IF(Z50=regle!$J$11,regle!$J$23,0)))))))))))</f>
        <v>0</v>
      </c>
      <c r="AK50" s="14">
        <f>IF($A50,$M50*(IF(AA50=regle!$B$11,regle!$B$23,IF(AA50=regle!$C$11,regle!$C$23,IF(AA50=regle!$D$11,regle!$D$23,IF(AA50=regle!$E$11,regle!$E$23,IF(AA50=regle!$F$11,regle!$F$23,IF(AA50=regle!$G$11,regle!$G$23,IF(AA50=regle!$H$11,regle!$H$23,IF(AA50=regle!$I$11,regle!$I$23,IF(AA50=regle!$J$11,regle!$J$23,0)))))))))))</f>
        <v>0</v>
      </c>
      <c r="AL50" s="14">
        <f>IF($A50,$M50*(IF(AB50=regle!$B$11,regle!$B$23,IF(AB50=regle!$C$11,regle!$C$23,IF(AB50=regle!$D$11,regle!$D$23,IF(AB50=regle!$E$11,regle!$E$23,IF(AB50=regle!$F$11,regle!$F$23,IF(AB50=regle!$G$11,regle!$G$23,IF(AB50=regle!$H$11,regle!$H$23,IF(AB50=regle!$I$11,regle!$I$23,IF(AB50=regle!$J$11,regle!$J$23,0)))))))))))</f>
        <v>0</v>
      </c>
      <c r="AM50" s="14">
        <f>IF($A50,$M50*(IF(AC50=regle!$B$11,regle!$B$23,IF(AC50=regle!$C$11,regle!$C$23,IF(AC50=regle!$D$11,regle!$D$23,IF(AC50=regle!$E$11,regle!$E$23,IF(AC50=regle!$F$11,regle!$F$23,IF(AC50=regle!$G$11,regle!$G$23,IF(AC50=regle!$H$11,regle!$H$23,IF(AC50=regle!$I$11,regle!$I$23,IF(AC50=regle!$J$11,regle!$J$23,0)))))))))))</f>
        <v>0</v>
      </c>
      <c r="AN50" s="14">
        <f>IF($A50,$M50*(IF(AD50=regle!$B$11,regle!$B$23,IF(AD50=regle!$C$11,regle!$C$23,IF(AD50=regle!$D$11,regle!$D$23,IF(AD50=regle!$E$11,regle!$E$23,IF(AD50=regle!$F$11,regle!$F$23,IF(AD50=regle!$G$11,regle!$G$23,IF(AD50=regle!$H$11,regle!$H$23,IF(AD50=regle!$I$11,regle!$I$23,IF(AD50=regle!$J$11,regle!$J$23,0)))))))))))</f>
        <v>254.28480000000002</v>
      </c>
      <c r="AO50">
        <f>IF(AO$1=$AO$1,IF(regle!B$2-$Q50&gt;=regle!$J$12,-2,IF($S50,IF(regle!$B$2-$Q50&gt;=2,0,-1),regle!B$2-$Q50)),IF(AN50+1&gt;=regle!$J$12,-2,AN50+1))</f>
        <v>14</v>
      </c>
      <c r="AP50">
        <f>IF(AP$1=$AO$1,IF(regle!C$2-$Q50&gt;=regle!$J$12,-2,IF($S50,IF(regle!$B$2-$Q50&gt;=2,0,-1),regle!C$2-$Q50)),IF(AO50+1&gt;=regle!$J$12,-2,AO50+1))</f>
        <v>15</v>
      </c>
      <c r="AQ50">
        <f>IF(AQ$1=$AO$1,IF(regle!D$2-$Q50&gt;=regle!$J$12,-2,IF($S50,IF(regle!$B$2-$Q50&gt;=2,0,-1),regle!D$2-$Q50)),IF(AP50+1&gt;=regle!$J$12,-2,AP50+1))</f>
        <v>16</v>
      </c>
      <c r="AR50">
        <f>IF(AR$1=$AO$1,IF(regle!E$2-$Q50&gt;=regle!$J$12,-2,IF($S50,IF(regle!$B$2-$Q50&gt;=2,0,-1),regle!E$2-$Q50)),IF(AQ50+1&gt;=regle!$J$12,-2,AQ50+1))</f>
        <v>17</v>
      </c>
      <c r="AS50">
        <f>IF(AS$1=$AO$1,IF(regle!F$2-$Q50&gt;=regle!$J$12,-2,IF($S50,IF(regle!$B$2-$Q50&gt;=2,0,-1),regle!F$2-$Q50)),IF(AR50+1&gt;=regle!$J$12,-2,AR50+1))</f>
        <v>18</v>
      </c>
      <c r="AT50">
        <f>IF(AT$1=$AO$1,IF(regle!G$2-$Q50&gt;=regle!$J$12,-2,IF($S50,IF(regle!$B$2-$Q50&gt;=2,0,-1),regle!G$2-$Q50)),IF(AS50+1&gt;=regle!$J$12,-2,AS50+1))</f>
        <v>19</v>
      </c>
      <c r="AU50">
        <f>IF(AU$1=$AO$1,IF(regle!H$2-$Q50&gt;=regle!$J$12,-2,IF($S50,IF(regle!$B$2-$Q50&gt;=2,0,-1),regle!H$2-$Q50)),IF(AT50+1&gt;=regle!$J$12,-2,AT50+1))</f>
        <v>20</v>
      </c>
      <c r="AV50">
        <f>IF(AV$1=$AO$1,IF(regle!I$2-$Q50&gt;=regle!$J$12,-2,IF($S50,IF(regle!$B$2-$Q50&gt;=2,0,-1),regle!I$2-$Q50)),IF(AU50+1&gt;=regle!$J$12,-2,AU50+1))</f>
        <v>21</v>
      </c>
      <c r="AW50">
        <f>IF(AW$1=$AO$1,IF(regle!J$2-$Q50&gt;=regle!$J$12,-2,IF($S50,IF(regle!$B$2-$Q50&gt;=2,0,-1),regle!J$2-$Q50)),IF(AV50+1&gt;=regle!$J$12,-2,AV50+1))</f>
        <v>22</v>
      </c>
      <c r="AX50">
        <f>IF(AX$1=$AO$1,IF(regle!K$2-$Q50&gt;=regle!$J$12,-2,IF($S50,IF(regle!$B$2-$Q50&gt;=2,0,-1),regle!K$2-$Q50)),IF(AW50+1&gt;=regle!$J$12,-2,AW50+1))</f>
        <v>23</v>
      </c>
    </row>
    <row r="51" spans="1:50" x14ac:dyDescent="0.25">
      <c r="A51" t="b">
        <f>AND(modif0[[#This Row],[cdstr]]&lt;&gt;0,OR(regle!$H$27=FALSE,modif0[[#This Row],[essnc]]="PM"))</f>
        <v>1</v>
      </c>
      <c r="B51">
        <f>ROW(objet!A68)</f>
        <v>68</v>
      </c>
      <c r="C51" s="10" t="str">
        <f>objet!D68</f>
        <v>5360000A0461</v>
      </c>
      <c r="D51" t="str">
        <f>LEFT(modif0[[#This Row],[cdstr]],3)</f>
        <v>536</v>
      </c>
      <c r="E51" s="10" t="str">
        <f>objet!G68</f>
        <v>LE TUZAN</v>
      </c>
      <c r="F51">
        <f>LEN(modif0[[#This Row],[l_dt]])</f>
        <v>21</v>
      </c>
      <c r="G51" s="10" t="str">
        <f>objet!H68</f>
        <v>METAIRIES DE TABARTON</v>
      </c>
      <c r="H51" s="10" t="str">
        <f>objet!C68</f>
        <v>A461</v>
      </c>
      <c r="I51" t="str">
        <f>IF(ISNUMBER(VALUE(RIGHT(LEFT(modif0[[#This Row],[idntfn]],2),1))),_xlfn.CONCAT(0,LEFT(modif0[[#This Row],[idntfn]],1)),LEFT(modif0[[#This Row],[idntfn]],2))</f>
        <v>0A</v>
      </c>
      <c r="J51">
        <f>VALUE(LEFT(RIGHT(modif0[[#This Row],[idntfn]],LEN(modif0[[#This Row],[idntfn]])-IF(LEFT(modif0[[#This Row],[sctn]],1)="0",1,2)),LEN(modif0[[#This Row],[idntfn]])-IF(LEFT(modif0[[#This Row],[sctn]],1)="0",1,2)-LEN(modif0[[#This Row],[lttr]])))</f>
        <v>461</v>
      </c>
      <c r="K51" t="str">
        <f>IF(ISNUMBER(VALUE(RIGHT(modif0[[#This Row],[idntfn]],1))),"",IF(ISNUMBER(VALUE(LEFT(RIGHT(modif0[[#This Row],[idntfn]],2),1))),RIGHT(modif0[[#This Row],[idntfn]],1),RIGHT(modif0[[#This Row],[idntfn]],2)))</f>
        <v/>
      </c>
      <c r="L51" s="10">
        <f>objet!I68</f>
        <v>2040</v>
      </c>
      <c r="M51" s="11">
        <f>modif0[[#This Row],[srfc]]/10000</f>
        <v>0.20399999999999999</v>
      </c>
      <c r="N51" s="10" t="str">
        <f>objet!Z68</f>
        <v>PM</v>
      </c>
      <c r="O51" s="10" t="str">
        <f>objet!AA68</f>
        <v>PLA2005</v>
      </c>
      <c r="P51" t="str">
        <f>IF(ISNUMBER(modif0[[#This Row],[trvx]]),"",LEFT(modif0[[#This Row],[trvx]],LEN(modif0[[#This Row],[trvx]])-4))</f>
        <v>PLA</v>
      </c>
      <c r="Q51">
        <f>VALUE(RIGHT(modif0[[#This Row],[trvx]],4))</f>
        <v>2005</v>
      </c>
      <c r="R51" t="str">
        <f>_xlfn.CONCAT(modif0[[#This Row],[tp]],"-",modif0[[#This Row],[essnc]],"_",modif0[[#This Row],[anns]])</f>
        <v>PLA-PM_2005</v>
      </c>
      <c r="S51" t="b">
        <f>modif0[[#This Row],[tp]]="CR"</f>
        <v>0</v>
      </c>
      <c r="T51">
        <v>40</v>
      </c>
      <c r="U51" t="str">
        <f>IF(NOT($A51),"",
IF(AO51=-2,regle!$J$11,
IF(AO51=regle!$B$12,regle!$B$11,
IF(AO51=regle!$C$12,regle!$C$11,
IF(AO51=regle!$D$12,regle!$D$11,
IF(AO51=regle!$E$12,regle!$E$11,
IF(AO51=regle!$F$12,regle!$F$11,
IF(AO51=regle!$G$12,regle!$G$11,
IF(AO51=regle!$H$12,regle!$H$11,
IF(AO51=regle!$I$12,regle!$I$11,""))))))))))</f>
        <v/>
      </c>
      <c r="V51" t="str">
        <f>IF(NOT($A51),"",
IF(AP51=-2,regle!$J$11,
IF(AP51=regle!$B$12,regle!$B$11,
IF(AP51=regle!$C$12,regle!$C$11,
IF(AP51=regle!$D$12,regle!$D$11,
IF(AP51=regle!$E$12,regle!$E$11,
IF(AP51=regle!$F$12,regle!$F$11,
IF(AP51=regle!$G$12,regle!$G$11,
IF(AP51=regle!$H$12,regle!$H$11,
IF(AP51=regle!$I$12,regle!$I$11,""))))))))))</f>
        <v/>
      </c>
      <c r="W51" t="str">
        <f>IF(NOT($A51),"",
IF(AQ51=-2,regle!$J$11,
IF(AQ51=regle!$B$12,regle!$B$11,
IF(AQ51=regle!$C$12,regle!$C$11,
IF(AQ51=regle!$D$12,regle!$D$11,
IF(AQ51=regle!$E$12,regle!$E$11,
IF(AQ51=regle!$F$12,regle!$F$11,
IF(AQ51=regle!$G$12,regle!$G$11,
IF(AQ51=regle!$H$12,regle!$H$11,
IF(AQ51=regle!$I$12,regle!$I$11,""))))))))))</f>
        <v/>
      </c>
      <c r="X51" t="str">
        <f>IF(NOT($A51),"",
IF(AR51=-2,regle!$J$11,
IF(AR51=regle!$B$12,regle!$B$11,
IF(AR51=regle!$C$12,regle!$C$11,
IF(AR51=regle!$D$12,regle!$D$11,
IF(AR51=regle!$E$12,regle!$E$11,
IF(AR51=regle!$F$12,regle!$F$11,
IF(AR51=regle!$G$12,regle!$G$11,
IF(AR51=regle!$H$12,regle!$H$11,
IF(AR51=regle!$I$12,regle!$I$11,""))))))))))</f>
        <v/>
      </c>
      <c r="Y51" t="str">
        <f>IF(NOT($A51),"",
IF(AS51=-2,regle!$J$11,
IF(AS51=regle!$B$12,regle!$B$11,
IF(AS51=regle!$C$12,regle!$C$11,
IF(AS51=regle!$D$12,regle!$D$11,
IF(AS51=regle!$E$12,regle!$E$11,
IF(AS51=regle!$F$12,regle!$F$11,
IF(AS51=regle!$G$12,regle!$G$11,
IF(AS51=regle!$H$12,regle!$H$11,
IF(AS51=regle!$I$12,regle!$I$11,""))))))))))</f>
        <v>EC3</v>
      </c>
      <c r="Z51" t="str">
        <f>IF(NOT($A51),"",
IF(AT51=-2,regle!$J$11,
IF(AT51=regle!$B$12,regle!$B$11,
IF(AT51=regle!$C$12,regle!$C$11,
IF(AT51=regle!$D$12,regle!$D$11,
IF(AT51=regle!$E$12,regle!$E$11,
IF(AT51=regle!$F$12,regle!$F$11,
IF(AT51=regle!$G$12,regle!$G$11,
IF(AT51=regle!$H$12,regle!$H$11,
IF(AT51=regle!$I$12,regle!$I$11,""))))))))))</f>
        <v/>
      </c>
      <c r="AA51" t="str">
        <f>IF(NOT($A51),"",
IF(AU51=-2,regle!$J$11,
IF(AU51=regle!$B$12,regle!$B$11,
IF(AU51=regle!$C$12,regle!$C$11,
IF(AU51=regle!$D$12,regle!$D$11,
IF(AU51=regle!$E$12,regle!$E$11,
IF(AU51=regle!$F$12,regle!$F$11,
IF(AU51=regle!$G$12,regle!$G$11,
IF(AU51=regle!$H$12,regle!$H$11,
IF(AU51=regle!$I$12,regle!$I$11,""))))))))))</f>
        <v/>
      </c>
      <c r="AB51" t="str">
        <f>IF(NOT($A51),"",
IF(AV51=-2,regle!$J$11,
IF(AV51=regle!$B$12,regle!$B$11,
IF(AV51=regle!$C$12,regle!$C$11,
IF(AV51=regle!$D$12,regle!$D$11,
IF(AV51=regle!$E$12,regle!$E$11,
IF(AV51=regle!$F$12,regle!$F$11,
IF(AV51=regle!$G$12,regle!$G$11,
IF(AV51=regle!$H$12,regle!$H$11,
IF(AV51=regle!$I$12,regle!$I$11,""))))))))))</f>
        <v/>
      </c>
      <c r="AC51" t="str">
        <f>IF(NOT($A51),"",
IF(AW51=-2,regle!$J$11,
IF(AW51=regle!$B$12,regle!$B$11,
IF(AW51=regle!$C$12,regle!$C$11,
IF(AW51=regle!$D$12,regle!$D$11,
IF(AW51=regle!$E$12,regle!$E$11,
IF(AW51=regle!$F$12,regle!$F$11,
IF(AW51=regle!$G$12,regle!$G$11,
IF(AW51=regle!$H$12,regle!$H$11,
IF(AW51=regle!$I$12,regle!$I$11,""))))))))))</f>
        <v/>
      </c>
      <c r="AD51" t="str">
        <f>IF(NOT($A51),"",
IF(AX51=-2,regle!$J$11,
IF(AX51=regle!$B$12,regle!$B$11,
IF(AX51=regle!$C$12,regle!$C$11,
IF(AX51=regle!$D$12,regle!$D$11,
IF(AX51=regle!$E$12,regle!$E$11,
IF(AX51=regle!$F$12,regle!$F$11,
IF(AX51=regle!$G$12,regle!$G$11,
IF(AX51=regle!$H$12,regle!$H$11,
IF(AX51=regle!$I$12,regle!$I$11,""))))))))))</f>
        <v>EC4</v>
      </c>
      <c r="AE51" s="14">
        <f>IF($A51,$M51*(IF(U51=regle!$B$11,regle!$B$23,IF(U51=regle!$C$11,regle!$C$23,IF(U51=regle!$D$11,regle!$D$23,IF(U51=regle!$E$11,regle!$E$23,IF(U51=regle!$F$11,regle!$F$23,IF(U51=regle!$G$11,regle!$G$23,IF(U51=regle!$H$11,regle!$H$23,IF(U51=regle!$I$11,regle!$I$23,IF(U51=regle!$J$11,regle!$J$23,0)))))))))))</f>
        <v>0</v>
      </c>
      <c r="AF51" s="14">
        <f>IF($A51,$M51*(IF(V51=regle!$B$11,regle!$B$23,IF(V51=regle!$C$11,regle!$C$23,IF(V51=regle!$D$11,regle!$D$23,IF(V51=regle!$E$11,regle!$E$23,IF(V51=regle!$F$11,regle!$F$23,IF(V51=regle!$G$11,regle!$G$23,IF(V51=regle!$H$11,regle!$H$23,IF(V51=regle!$I$11,regle!$I$23,IF(V51=regle!$J$11,regle!$J$23,0)))))))))))</f>
        <v>0</v>
      </c>
      <c r="AG51" s="14">
        <f>IF($A51,$M51*(IF(W51=regle!$B$11,regle!$B$23,IF(W51=regle!$C$11,regle!$C$23,IF(W51=regle!$D$11,regle!$D$23,IF(W51=regle!$E$11,regle!$E$23,IF(W51=regle!$F$11,regle!$F$23,IF(W51=regle!$G$11,regle!$G$23,IF(W51=regle!$H$11,regle!$H$23,IF(W51=regle!$I$11,regle!$I$23,IF(W51=regle!$J$11,regle!$J$23,0)))))))))))</f>
        <v>0</v>
      </c>
      <c r="AH51" s="14">
        <f>IF($A51,$M51*(IF(X51=regle!$B$11,regle!$B$23,IF(X51=regle!$C$11,regle!$C$23,IF(X51=regle!$D$11,regle!$D$23,IF(X51=regle!$E$11,regle!$E$23,IF(X51=regle!$F$11,regle!$F$23,IF(X51=regle!$G$11,regle!$G$23,IF(X51=regle!$H$11,regle!$H$23,IF(X51=regle!$I$11,regle!$I$23,IF(X51=regle!$J$11,regle!$J$23,0)))))))))))</f>
        <v>0</v>
      </c>
      <c r="AI51" s="14">
        <f>IF($A51,$M51*(IF(Y51=regle!$B$11,regle!$B$23,IF(Y51=regle!$C$11,regle!$C$23,IF(Y51=regle!$D$11,regle!$D$23,IF(Y51=regle!$E$11,regle!$E$23,IF(Y51=regle!$F$11,regle!$F$23,IF(Y51=regle!$G$11,regle!$G$23,IF(Y51=regle!$H$11,regle!$H$23,IF(Y51=regle!$I$11,regle!$I$23,IF(Y51=regle!$J$11,regle!$J$23,0)))))))))))</f>
        <v>287.23199999999997</v>
      </c>
      <c r="AJ51" s="14">
        <f>IF($A51,$M51*(IF(Z51=regle!$B$11,regle!$B$23,IF(Z51=regle!$C$11,regle!$C$23,IF(Z51=regle!$D$11,regle!$D$23,IF(Z51=regle!$E$11,regle!$E$23,IF(Z51=regle!$F$11,regle!$F$23,IF(Z51=regle!$G$11,regle!$G$23,IF(Z51=regle!$H$11,regle!$H$23,IF(Z51=regle!$I$11,regle!$I$23,IF(Z51=regle!$J$11,regle!$J$23,0)))))))))))</f>
        <v>0</v>
      </c>
      <c r="AK51" s="14">
        <f>IF($A51,$M51*(IF(AA51=regle!$B$11,regle!$B$23,IF(AA51=regle!$C$11,regle!$C$23,IF(AA51=regle!$D$11,regle!$D$23,IF(AA51=regle!$E$11,regle!$E$23,IF(AA51=regle!$F$11,regle!$F$23,IF(AA51=regle!$G$11,regle!$G$23,IF(AA51=regle!$H$11,regle!$H$23,IF(AA51=regle!$I$11,regle!$I$23,IF(AA51=regle!$J$11,regle!$J$23,0)))))))))))</f>
        <v>0</v>
      </c>
      <c r="AL51" s="14">
        <f>IF($A51,$M51*(IF(AB51=regle!$B$11,regle!$B$23,IF(AB51=regle!$C$11,regle!$C$23,IF(AB51=regle!$D$11,regle!$D$23,IF(AB51=regle!$E$11,regle!$E$23,IF(AB51=regle!$F$11,regle!$F$23,IF(AB51=regle!$G$11,regle!$G$23,IF(AB51=regle!$H$11,regle!$H$23,IF(AB51=regle!$I$11,regle!$I$23,IF(AB51=regle!$J$11,regle!$J$23,0)))))))))))</f>
        <v>0</v>
      </c>
      <c r="AM51" s="14">
        <f>IF($A51,$M51*(IF(AC51=regle!$B$11,regle!$B$23,IF(AC51=regle!$C$11,regle!$C$23,IF(AC51=regle!$D$11,regle!$D$23,IF(AC51=regle!$E$11,regle!$E$23,IF(AC51=regle!$F$11,regle!$F$23,IF(AC51=regle!$G$11,regle!$G$23,IF(AC51=regle!$H$11,regle!$H$23,IF(AC51=regle!$I$11,regle!$I$23,IF(AC51=regle!$J$11,regle!$J$23,0)))))))))))</f>
        <v>0</v>
      </c>
      <c r="AN51" s="14">
        <f>IF($A51,$M51*(IF(AD51=regle!$B$11,regle!$B$23,IF(AD51=regle!$C$11,regle!$C$23,IF(AD51=regle!$D$11,regle!$D$23,IF(AD51=regle!$E$11,regle!$E$23,IF(AD51=regle!$F$11,regle!$F$23,IF(AD51=regle!$G$11,regle!$G$23,IF(AD51=regle!$H$11,regle!$H$23,IF(AD51=regle!$I$11,regle!$I$23,IF(AD51=regle!$J$11,regle!$J$23,0)))))))))))</f>
        <v>261.12</v>
      </c>
      <c r="AO51">
        <f>IF(AO$1=$AO$1,IF(regle!B$2-$Q51&gt;=regle!$J$12,-2,IF($S51,IF(regle!$B$2-$Q51&gt;=2,0,-1),regle!B$2-$Q51)),IF(AN51+1&gt;=regle!$J$12,-2,AN51+1))</f>
        <v>19</v>
      </c>
      <c r="AP51">
        <f>IF(AP$1=$AO$1,IF(regle!C$2-$Q51&gt;=regle!$J$12,-2,IF($S51,IF(regle!$B$2-$Q51&gt;=2,0,-1),regle!C$2-$Q51)),IF(AO51+1&gt;=regle!$J$12,-2,AO51+1))</f>
        <v>20</v>
      </c>
      <c r="AQ51">
        <f>IF(AQ$1=$AO$1,IF(regle!D$2-$Q51&gt;=regle!$J$12,-2,IF($S51,IF(regle!$B$2-$Q51&gt;=2,0,-1),regle!D$2-$Q51)),IF(AP51+1&gt;=regle!$J$12,-2,AP51+1))</f>
        <v>21</v>
      </c>
      <c r="AR51">
        <f>IF(AR$1=$AO$1,IF(regle!E$2-$Q51&gt;=regle!$J$12,-2,IF($S51,IF(regle!$B$2-$Q51&gt;=2,0,-1),regle!E$2-$Q51)),IF(AQ51+1&gt;=regle!$J$12,-2,AQ51+1))</f>
        <v>22</v>
      </c>
      <c r="AS51">
        <f>IF(AS$1=$AO$1,IF(regle!F$2-$Q51&gt;=regle!$J$12,-2,IF($S51,IF(regle!$B$2-$Q51&gt;=2,0,-1),regle!F$2-$Q51)),IF(AR51+1&gt;=regle!$J$12,-2,AR51+1))</f>
        <v>23</v>
      </c>
      <c r="AT51">
        <f>IF(AT$1=$AO$1,IF(regle!G$2-$Q51&gt;=regle!$J$12,-2,IF($S51,IF(regle!$B$2-$Q51&gt;=2,0,-1),regle!G$2-$Q51)),IF(AS51+1&gt;=regle!$J$12,-2,AS51+1))</f>
        <v>24</v>
      </c>
      <c r="AU51">
        <f>IF(AU$1=$AO$1,IF(regle!H$2-$Q51&gt;=regle!$J$12,-2,IF($S51,IF(regle!$B$2-$Q51&gt;=2,0,-1),regle!H$2-$Q51)),IF(AT51+1&gt;=regle!$J$12,-2,AT51+1))</f>
        <v>25</v>
      </c>
      <c r="AV51">
        <f>IF(AV$1=$AO$1,IF(regle!I$2-$Q51&gt;=regle!$J$12,-2,IF($S51,IF(regle!$B$2-$Q51&gt;=2,0,-1),regle!I$2-$Q51)),IF(AU51+1&gt;=regle!$J$12,-2,AU51+1))</f>
        <v>26</v>
      </c>
      <c r="AW51">
        <f>IF(AW$1=$AO$1,IF(regle!J$2-$Q51&gt;=regle!$J$12,-2,IF($S51,IF(regle!$B$2-$Q51&gt;=2,0,-1),regle!J$2-$Q51)),IF(AV51+1&gt;=regle!$J$12,-2,AV51+1))</f>
        <v>27</v>
      </c>
      <c r="AX51">
        <f>IF(AX$1=$AO$1,IF(regle!K$2-$Q51&gt;=regle!$J$12,-2,IF($S51,IF(regle!$B$2-$Q51&gt;=2,0,-1),regle!K$2-$Q51)),IF(AW51+1&gt;=regle!$J$12,-2,AW51+1))</f>
        <v>28</v>
      </c>
    </row>
    <row r="52" spans="1:50" x14ac:dyDescent="0.25">
      <c r="A52" t="b">
        <f>AND(modif0[[#This Row],[cdstr]]&lt;&gt;0,OR(regle!$H$27=FALSE,modif0[[#This Row],[essnc]]="PM"))</f>
        <v>1</v>
      </c>
      <c r="B52">
        <f>ROW(objet!A69)</f>
        <v>69</v>
      </c>
      <c r="C52" s="10" t="str">
        <f>objet!D69</f>
        <v>5360000A0462</v>
      </c>
      <c r="D52" t="str">
        <f>LEFT(modif0[[#This Row],[cdstr]],3)</f>
        <v>536</v>
      </c>
      <c r="E52" s="10" t="str">
        <f>objet!G69</f>
        <v>LE TUZAN</v>
      </c>
      <c r="F52">
        <f>LEN(modif0[[#This Row],[l_dt]])</f>
        <v>21</v>
      </c>
      <c r="G52" s="10" t="str">
        <f>objet!H69</f>
        <v>METAIRIES DE TABARTON</v>
      </c>
      <c r="H52" s="10" t="str">
        <f>objet!C69</f>
        <v>A462aj</v>
      </c>
      <c r="I52" t="str">
        <f>IF(ISNUMBER(VALUE(RIGHT(LEFT(modif0[[#This Row],[idntfn]],2),1))),_xlfn.CONCAT(0,LEFT(modif0[[#This Row],[idntfn]],1)),LEFT(modif0[[#This Row],[idntfn]],2))</f>
        <v>0A</v>
      </c>
      <c r="J52">
        <f>VALUE(LEFT(RIGHT(modif0[[#This Row],[idntfn]],LEN(modif0[[#This Row],[idntfn]])-IF(LEFT(modif0[[#This Row],[sctn]],1)="0",1,2)),LEN(modif0[[#This Row],[idntfn]])-IF(LEFT(modif0[[#This Row],[sctn]],1)="0",1,2)-LEN(modif0[[#This Row],[lttr]])))</f>
        <v>462</v>
      </c>
      <c r="K52" t="str">
        <f>IF(ISNUMBER(VALUE(RIGHT(modif0[[#This Row],[idntfn]],1))),"",IF(ISNUMBER(VALUE(LEFT(RIGHT(modif0[[#This Row],[idntfn]],2),1))),RIGHT(modif0[[#This Row],[idntfn]],1),RIGHT(modif0[[#This Row],[idntfn]],2)))</f>
        <v>aj</v>
      </c>
      <c r="L52" s="10">
        <f>objet!I69</f>
        <v>1409</v>
      </c>
      <c r="M52" s="11">
        <f>modif0[[#This Row],[srfc]]/10000</f>
        <v>0.1409</v>
      </c>
      <c r="N52" s="10" t="str">
        <f>objet!Z69</f>
        <v>PM</v>
      </c>
      <c r="O52" s="10" t="str">
        <f>objet!AA69</f>
        <v>PLA2017</v>
      </c>
      <c r="P52" t="str">
        <f>IF(ISNUMBER(modif0[[#This Row],[trvx]]),"",LEFT(modif0[[#This Row],[trvx]],LEN(modif0[[#This Row],[trvx]])-4))</f>
        <v>PLA</v>
      </c>
      <c r="Q52">
        <f>VALUE(RIGHT(modif0[[#This Row],[trvx]],4))</f>
        <v>2017</v>
      </c>
      <c r="R52" t="str">
        <f>_xlfn.CONCAT(modif0[[#This Row],[tp]],"-",modif0[[#This Row],[essnc]],"_",modif0[[#This Row],[anns]])</f>
        <v>PLA-PM_2017</v>
      </c>
      <c r="S52" t="b">
        <f>modif0[[#This Row],[tp]]="CR"</f>
        <v>0</v>
      </c>
      <c r="T52">
        <v>40</v>
      </c>
      <c r="U52" t="str">
        <f>IF(NOT($A52),"",
IF(AO52=-2,regle!$J$11,
IF(AO52=regle!$B$12,regle!$B$11,
IF(AO52=regle!$C$12,regle!$C$11,
IF(AO52=regle!$D$12,regle!$D$11,
IF(AO52=regle!$E$12,regle!$E$11,
IF(AO52=regle!$F$12,regle!$F$11,
IF(AO52=regle!$G$12,regle!$G$11,
IF(AO52=regle!$H$12,regle!$H$11,
IF(AO52=regle!$I$12,regle!$I$11,""))))))))))</f>
        <v/>
      </c>
      <c r="V52" t="str">
        <f>IF(NOT($A52),"",
IF(AP52=-2,regle!$J$11,
IF(AP52=regle!$B$12,regle!$B$11,
IF(AP52=regle!$C$12,regle!$C$11,
IF(AP52=regle!$D$12,regle!$D$11,
IF(AP52=regle!$E$12,regle!$E$11,
IF(AP52=regle!$F$12,regle!$F$11,
IF(AP52=regle!$G$12,regle!$G$11,
IF(AP52=regle!$H$12,regle!$H$11,
IF(AP52=regle!$I$12,regle!$I$11,""))))))))))</f>
        <v>ENT2</v>
      </c>
      <c r="W52" t="str">
        <f>IF(NOT($A52),"",
IF(AQ52=-2,regle!$J$11,
IF(AQ52=regle!$B$12,regle!$B$11,
IF(AQ52=regle!$C$12,regle!$C$11,
IF(AQ52=regle!$D$12,regle!$D$11,
IF(AQ52=regle!$E$12,regle!$E$11,
IF(AQ52=regle!$F$12,regle!$F$11,
IF(AQ52=regle!$G$12,regle!$G$11,
IF(AQ52=regle!$H$12,regle!$H$11,
IF(AQ52=regle!$I$12,regle!$I$11,""))))))))))</f>
        <v/>
      </c>
      <c r="X52" t="str">
        <f>IF(NOT($A52),"",
IF(AR52=-2,regle!$J$11,
IF(AR52=regle!$B$12,regle!$B$11,
IF(AR52=regle!$C$12,regle!$C$11,
IF(AR52=regle!$D$12,regle!$D$11,
IF(AR52=regle!$E$12,regle!$E$11,
IF(AR52=regle!$F$12,regle!$F$11,
IF(AR52=regle!$G$12,regle!$G$11,
IF(AR52=regle!$H$12,regle!$H$11,
IF(AR52=regle!$I$12,regle!$I$11,""))))))))))</f>
        <v/>
      </c>
      <c r="Y52" t="str">
        <f>IF(NOT($A52),"",
IF(AS52=-2,regle!$J$11,
IF(AS52=regle!$B$12,regle!$B$11,
IF(AS52=regle!$C$12,regle!$C$11,
IF(AS52=regle!$D$12,regle!$D$11,
IF(AS52=regle!$E$12,regle!$E$11,
IF(AS52=regle!$F$12,regle!$F$11,
IF(AS52=regle!$G$12,regle!$G$11,
IF(AS52=regle!$H$12,regle!$H$11,
IF(AS52=regle!$I$12,regle!$I$11,""))))))))))</f>
        <v/>
      </c>
      <c r="Z52" t="str">
        <f>IF(NOT($A52),"",
IF(AT52=-2,regle!$J$11,
IF(AT52=regle!$B$12,regle!$B$11,
IF(AT52=regle!$C$12,regle!$C$11,
IF(AT52=regle!$D$12,regle!$D$11,
IF(AT52=regle!$E$12,regle!$E$11,
IF(AT52=regle!$F$12,regle!$F$11,
IF(AT52=regle!$G$12,regle!$G$11,
IF(AT52=regle!$H$12,regle!$H$11,
IF(AT52=regle!$I$12,regle!$I$11,""))))))))))</f>
        <v/>
      </c>
      <c r="AA52" t="str">
        <f>IF(NOT($A52),"",
IF(AU52=-2,regle!$J$11,
IF(AU52=regle!$B$12,regle!$B$11,
IF(AU52=regle!$C$12,regle!$C$11,
IF(AU52=regle!$D$12,regle!$D$11,
IF(AU52=regle!$E$12,regle!$E$11,
IF(AU52=regle!$F$12,regle!$F$11,
IF(AU52=regle!$G$12,regle!$G$11,
IF(AU52=regle!$H$12,regle!$H$11,
IF(AU52=regle!$I$12,regle!$I$11,""))))))))))</f>
        <v>EC1</v>
      </c>
      <c r="AB52" t="str">
        <f>IF(NOT($A52),"",
IF(AV52=-2,regle!$J$11,
IF(AV52=regle!$B$12,regle!$B$11,
IF(AV52=regle!$C$12,regle!$C$11,
IF(AV52=regle!$D$12,regle!$D$11,
IF(AV52=regle!$E$12,regle!$E$11,
IF(AV52=regle!$F$12,regle!$F$11,
IF(AV52=regle!$G$12,regle!$G$11,
IF(AV52=regle!$H$12,regle!$H$11,
IF(AV52=regle!$I$12,regle!$I$11,""))))))))))</f>
        <v/>
      </c>
      <c r="AC52" t="str">
        <f>IF(NOT($A52),"",
IF(AW52=-2,regle!$J$11,
IF(AW52=regle!$B$12,regle!$B$11,
IF(AW52=regle!$C$12,regle!$C$11,
IF(AW52=regle!$D$12,regle!$D$11,
IF(AW52=regle!$E$12,regle!$E$11,
IF(AW52=regle!$F$12,regle!$F$11,
IF(AW52=regle!$G$12,regle!$G$11,
IF(AW52=regle!$H$12,regle!$H$11,
IF(AW52=regle!$I$12,regle!$I$11,""))))))))))</f>
        <v/>
      </c>
      <c r="AD52" t="str">
        <f>IF(NOT($A52),"",
IF(AX52=-2,regle!$J$11,
IF(AX52=regle!$B$12,regle!$B$11,
IF(AX52=regle!$C$12,regle!$C$11,
IF(AX52=regle!$D$12,regle!$D$11,
IF(AX52=regle!$E$12,regle!$E$11,
IF(AX52=regle!$F$12,regle!$F$11,
IF(AX52=regle!$G$12,regle!$G$11,
IF(AX52=regle!$H$12,regle!$H$11,
IF(AX52=regle!$I$12,regle!$I$11,""))))))))))</f>
        <v/>
      </c>
      <c r="AE52" s="14">
        <f>IF($A52,$M52*(IF(U52=regle!$B$11,regle!$B$23,IF(U52=regle!$C$11,regle!$C$23,IF(U52=regle!$D$11,regle!$D$23,IF(U52=regle!$E$11,regle!$E$23,IF(U52=regle!$F$11,regle!$F$23,IF(U52=regle!$G$11,regle!$G$23,IF(U52=regle!$H$11,regle!$H$23,IF(U52=regle!$I$11,regle!$I$23,IF(U52=regle!$J$11,regle!$J$23,0)))))))))))</f>
        <v>0</v>
      </c>
      <c r="AF52" s="14">
        <f>IF($A52,$M52*(IF(V52=regle!$B$11,regle!$B$23,IF(V52=regle!$C$11,regle!$C$23,IF(V52=regle!$D$11,regle!$D$23,IF(V52=regle!$E$11,regle!$E$23,IF(V52=regle!$F$11,regle!$F$23,IF(V52=regle!$G$11,regle!$G$23,IF(V52=regle!$H$11,regle!$H$23,IF(V52=regle!$I$11,regle!$I$23,IF(V52=regle!$J$11,regle!$J$23,0)))))))))))</f>
        <v>-12.680999999999999</v>
      </c>
      <c r="AG52" s="14">
        <f>IF($A52,$M52*(IF(W52=regle!$B$11,regle!$B$23,IF(W52=regle!$C$11,regle!$C$23,IF(W52=regle!$D$11,regle!$D$23,IF(W52=regle!$E$11,regle!$E$23,IF(W52=regle!$F$11,regle!$F$23,IF(W52=regle!$G$11,regle!$G$23,IF(W52=regle!$H$11,regle!$H$23,IF(W52=regle!$I$11,regle!$I$23,IF(W52=regle!$J$11,regle!$J$23,0)))))))))))</f>
        <v>0</v>
      </c>
      <c r="AH52" s="14">
        <f>IF($A52,$M52*(IF(X52=regle!$B$11,regle!$B$23,IF(X52=regle!$C$11,regle!$C$23,IF(X52=regle!$D$11,regle!$D$23,IF(X52=regle!$E$11,regle!$E$23,IF(X52=regle!$F$11,regle!$F$23,IF(X52=regle!$G$11,regle!$G$23,IF(X52=regle!$H$11,regle!$H$23,IF(X52=regle!$I$11,regle!$I$23,IF(X52=regle!$J$11,regle!$J$23,0)))))))))))</f>
        <v>0</v>
      </c>
      <c r="AI52" s="14">
        <f>IF($A52,$M52*(IF(Y52=regle!$B$11,regle!$B$23,IF(Y52=regle!$C$11,regle!$C$23,IF(Y52=regle!$D$11,regle!$D$23,IF(Y52=regle!$E$11,regle!$E$23,IF(Y52=regle!$F$11,regle!$F$23,IF(Y52=regle!$G$11,regle!$G$23,IF(Y52=regle!$H$11,regle!$H$23,IF(Y52=regle!$I$11,regle!$I$23,IF(Y52=regle!$J$11,regle!$J$23,0)))))))))))</f>
        <v>0</v>
      </c>
      <c r="AJ52" s="14">
        <f>IF($A52,$M52*(IF(Z52=regle!$B$11,regle!$B$23,IF(Z52=regle!$C$11,regle!$C$23,IF(Z52=regle!$D$11,regle!$D$23,IF(Z52=regle!$E$11,regle!$E$23,IF(Z52=regle!$F$11,regle!$F$23,IF(Z52=regle!$G$11,regle!$G$23,IF(Z52=regle!$H$11,regle!$H$23,IF(Z52=regle!$I$11,regle!$I$23,IF(Z52=regle!$J$11,regle!$J$23,0)))))))))))</f>
        <v>0</v>
      </c>
      <c r="AK52" s="14">
        <f>IF($A52,$M52*(IF(AA52=regle!$B$11,regle!$B$23,IF(AA52=regle!$C$11,regle!$C$23,IF(AA52=regle!$D$11,regle!$D$23,IF(AA52=regle!$E$11,regle!$E$23,IF(AA52=regle!$F$11,regle!$F$23,IF(AA52=regle!$G$11,regle!$G$23,IF(AA52=regle!$H$11,regle!$H$23,IF(AA52=regle!$I$11,regle!$I$23,IF(AA52=regle!$J$11,regle!$J$23,0)))))))))))</f>
        <v>81.1584</v>
      </c>
      <c r="AL52" s="14">
        <f>IF($A52,$M52*(IF(AB52=regle!$B$11,regle!$B$23,IF(AB52=regle!$C$11,regle!$C$23,IF(AB52=regle!$D$11,regle!$D$23,IF(AB52=regle!$E$11,regle!$E$23,IF(AB52=regle!$F$11,regle!$F$23,IF(AB52=regle!$G$11,regle!$G$23,IF(AB52=regle!$H$11,regle!$H$23,IF(AB52=regle!$I$11,regle!$I$23,IF(AB52=regle!$J$11,regle!$J$23,0)))))))))))</f>
        <v>0</v>
      </c>
      <c r="AM52" s="14">
        <f>IF($A52,$M52*(IF(AC52=regle!$B$11,regle!$B$23,IF(AC52=regle!$C$11,regle!$C$23,IF(AC52=regle!$D$11,regle!$D$23,IF(AC52=regle!$E$11,regle!$E$23,IF(AC52=regle!$F$11,regle!$F$23,IF(AC52=regle!$G$11,regle!$G$23,IF(AC52=regle!$H$11,regle!$H$23,IF(AC52=regle!$I$11,regle!$I$23,IF(AC52=regle!$J$11,regle!$J$23,0)))))))))))</f>
        <v>0</v>
      </c>
      <c r="AN52" s="14">
        <f>IF($A52,$M52*(IF(AD52=regle!$B$11,regle!$B$23,IF(AD52=regle!$C$11,regle!$C$23,IF(AD52=regle!$D$11,regle!$D$23,IF(AD52=regle!$E$11,regle!$E$23,IF(AD52=regle!$F$11,regle!$F$23,IF(AD52=regle!$G$11,regle!$G$23,IF(AD52=regle!$H$11,regle!$H$23,IF(AD52=regle!$I$11,regle!$I$23,IF(AD52=regle!$J$11,regle!$J$23,0)))))))))))</f>
        <v>0</v>
      </c>
      <c r="AO52">
        <f>IF(AO$1=$AO$1,IF(regle!B$2-$Q52&gt;=regle!$J$12,-2,IF($S52,IF(regle!$B$2-$Q52&gt;=2,0,-1),regle!B$2-$Q52)),IF(AN52+1&gt;=regle!$J$12,-2,AN52+1))</f>
        <v>7</v>
      </c>
      <c r="AP52">
        <f>IF(AP$1=$AO$1,IF(regle!C$2-$Q52&gt;=regle!$J$12,-2,IF($S52,IF(regle!$B$2-$Q52&gt;=2,0,-1),regle!C$2-$Q52)),IF(AO52+1&gt;=regle!$J$12,-2,AO52+1))</f>
        <v>8</v>
      </c>
      <c r="AQ52">
        <f>IF(AQ$1=$AO$1,IF(regle!D$2-$Q52&gt;=regle!$J$12,-2,IF($S52,IF(regle!$B$2-$Q52&gt;=2,0,-1),regle!D$2-$Q52)),IF(AP52+1&gt;=regle!$J$12,-2,AP52+1))</f>
        <v>9</v>
      </c>
      <c r="AR52">
        <f>IF(AR$1=$AO$1,IF(regle!E$2-$Q52&gt;=regle!$J$12,-2,IF($S52,IF(regle!$B$2-$Q52&gt;=2,0,-1),regle!E$2-$Q52)),IF(AQ52+1&gt;=regle!$J$12,-2,AQ52+1))</f>
        <v>10</v>
      </c>
      <c r="AS52">
        <f>IF(AS$1=$AO$1,IF(regle!F$2-$Q52&gt;=regle!$J$12,-2,IF($S52,IF(regle!$B$2-$Q52&gt;=2,0,-1),regle!F$2-$Q52)),IF(AR52+1&gt;=regle!$J$12,-2,AR52+1))</f>
        <v>11</v>
      </c>
      <c r="AT52">
        <f>IF(AT$1=$AO$1,IF(regle!G$2-$Q52&gt;=regle!$J$12,-2,IF($S52,IF(regle!$B$2-$Q52&gt;=2,0,-1),regle!G$2-$Q52)),IF(AS52+1&gt;=regle!$J$12,-2,AS52+1))</f>
        <v>12</v>
      </c>
      <c r="AU52">
        <f>IF(AU$1=$AO$1,IF(regle!H$2-$Q52&gt;=regle!$J$12,-2,IF($S52,IF(regle!$B$2-$Q52&gt;=2,0,-1),regle!H$2-$Q52)),IF(AT52+1&gt;=regle!$J$12,-2,AT52+1))</f>
        <v>13</v>
      </c>
      <c r="AV52">
        <f>IF(AV$1=$AO$1,IF(regle!I$2-$Q52&gt;=regle!$J$12,-2,IF($S52,IF(regle!$B$2-$Q52&gt;=2,0,-1),regle!I$2-$Q52)),IF(AU52+1&gt;=regle!$J$12,-2,AU52+1))</f>
        <v>14</v>
      </c>
      <c r="AW52">
        <f>IF(AW$1=$AO$1,IF(regle!J$2-$Q52&gt;=regle!$J$12,-2,IF($S52,IF(regle!$B$2-$Q52&gt;=2,0,-1),regle!J$2-$Q52)),IF(AV52+1&gt;=regle!$J$12,-2,AV52+1))</f>
        <v>15</v>
      </c>
      <c r="AX52">
        <f>IF(AX$1=$AO$1,IF(regle!K$2-$Q52&gt;=regle!$J$12,-2,IF($S52,IF(regle!$B$2-$Q52&gt;=2,0,-1),regle!K$2-$Q52)),IF(AW52+1&gt;=regle!$J$12,-2,AW52+1))</f>
        <v>16</v>
      </c>
    </row>
    <row r="53" spans="1:50" x14ac:dyDescent="0.25">
      <c r="A53" t="b">
        <f>AND(modif0[[#This Row],[cdstr]]&lt;&gt;0,OR(regle!$H$27=FALSE,modif0[[#This Row],[essnc]]="PM"))</f>
        <v>1</v>
      </c>
      <c r="B53">
        <f>ROW(objet!A70)</f>
        <v>70</v>
      </c>
      <c r="C53" s="10" t="str">
        <f>objet!D70</f>
        <v>5360000A0462</v>
      </c>
      <c r="D53" t="str">
        <f>LEFT(modif0[[#This Row],[cdstr]],3)</f>
        <v>536</v>
      </c>
      <c r="E53" s="10" t="str">
        <f>objet!G70</f>
        <v>LE TUZAN</v>
      </c>
      <c r="F53">
        <f>LEN(modif0[[#This Row],[l_dt]])</f>
        <v>21</v>
      </c>
      <c r="G53" s="10" t="str">
        <f>objet!H70</f>
        <v>METAIRIES DE TABARTON</v>
      </c>
      <c r="H53" s="10" t="str">
        <f>objet!C70</f>
        <v>A462ak</v>
      </c>
      <c r="I53" t="str">
        <f>IF(ISNUMBER(VALUE(RIGHT(LEFT(modif0[[#This Row],[idntfn]],2),1))),_xlfn.CONCAT(0,LEFT(modif0[[#This Row],[idntfn]],1)),LEFT(modif0[[#This Row],[idntfn]],2))</f>
        <v>0A</v>
      </c>
      <c r="J53">
        <f>VALUE(LEFT(RIGHT(modif0[[#This Row],[idntfn]],LEN(modif0[[#This Row],[idntfn]])-IF(LEFT(modif0[[#This Row],[sctn]],1)="0",1,2)),LEN(modif0[[#This Row],[idntfn]])-IF(LEFT(modif0[[#This Row],[sctn]],1)="0",1,2)-LEN(modif0[[#This Row],[lttr]])))</f>
        <v>462</v>
      </c>
      <c r="K53" t="str">
        <f>IF(ISNUMBER(VALUE(RIGHT(modif0[[#This Row],[idntfn]],1))),"",IF(ISNUMBER(VALUE(LEFT(RIGHT(modif0[[#This Row],[idntfn]],2),1))),RIGHT(modif0[[#This Row],[idntfn]],1),RIGHT(modif0[[#This Row],[idntfn]],2)))</f>
        <v>ak</v>
      </c>
      <c r="L53" s="10">
        <f>objet!I70</f>
        <v>1542</v>
      </c>
      <c r="M53" s="11">
        <f>modif0[[#This Row],[srfc]]/10000</f>
        <v>0.1542</v>
      </c>
      <c r="N53" s="10" t="str">
        <f>objet!Z70</f>
        <v>PM</v>
      </c>
      <c r="O53" s="10" t="str">
        <f>objet!AA70</f>
        <v>CR2022</v>
      </c>
      <c r="P53" t="str">
        <f>IF(ISNUMBER(modif0[[#This Row],[trvx]]),"",LEFT(modif0[[#This Row],[trvx]],LEN(modif0[[#This Row],[trvx]])-4))</f>
        <v>CR</v>
      </c>
      <c r="Q53">
        <f>VALUE(RIGHT(modif0[[#This Row],[trvx]],4))</f>
        <v>2022</v>
      </c>
      <c r="R53" t="str">
        <f>_xlfn.CONCAT(modif0[[#This Row],[tp]],"-",modif0[[#This Row],[essnc]],"_",modif0[[#This Row],[anns]])</f>
        <v>CR-PM_2022</v>
      </c>
      <c r="S53" t="b">
        <f>modif0[[#This Row],[tp]]="CR"</f>
        <v>1</v>
      </c>
      <c r="T53">
        <v>40</v>
      </c>
      <c r="U53" t="str">
        <f>IF(NOT($A53),"",
IF(AO53=-2,regle!$J$11,
IF(AO53=regle!$B$12,regle!$B$11,
IF(AO53=regle!$C$12,regle!$C$11,
IF(AO53=regle!$D$12,regle!$D$11,
IF(AO53=regle!$E$12,regle!$E$11,
IF(AO53=regle!$F$12,regle!$F$11,
IF(AO53=regle!$G$12,regle!$G$11,
IF(AO53=regle!$H$12,regle!$H$11,
IF(AO53=regle!$I$12,regle!$I$11,""))))))))))</f>
        <v>RBST</v>
      </c>
      <c r="V53" t="str">
        <f>IF(NOT($A53),"",
IF(AP53=-2,regle!$J$11,
IF(AP53=regle!$B$12,regle!$B$11,
IF(AP53=regle!$C$12,regle!$C$11,
IF(AP53=regle!$D$12,regle!$D$11,
IF(AP53=regle!$E$12,regle!$E$11,
IF(AP53=regle!$F$12,regle!$F$11,
IF(AP53=regle!$G$12,regle!$G$11,
IF(AP53=regle!$H$12,regle!$H$11,
IF(AP53=regle!$I$12,regle!$I$11,""))))))))))</f>
        <v/>
      </c>
      <c r="W53" t="str">
        <f>IF(NOT($A53),"",
IF(AQ53=-2,regle!$J$11,
IF(AQ53=regle!$B$12,regle!$B$11,
IF(AQ53=regle!$C$12,regle!$C$11,
IF(AQ53=regle!$D$12,regle!$D$11,
IF(AQ53=regle!$E$12,regle!$E$11,
IF(AQ53=regle!$F$12,regle!$F$11,
IF(AQ53=regle!$G$12,regle!$G$11,
IF(AQ53=regle!$H$12,regle!$H$11,
IF(AQ53=regle!$I$12,regle!$I$11,""))))))))))</f>
        <v>DGT</v>
      </c>
      <c r="X53" t="str">
        <f>IF(NOT($A53),"",
IF(AR53=-2,regle!$J$11,
IF(AR53=regle!$B$12,regle!$B$11,
IF(AR53=regle!$C$12,regle!$C$11,
IF(AR53=regle!$D$12,regle!$D$11,
IF(AR53=regle!$E$12,regle!$E$11,
IF(AR53=regle!$F$12,regle!$F$11,
IF(AR53=regle!$G$12,regle!$G$11,
IF(AR53=regle!$H$12,regle!$H$11,
IF(AR53=regle!$I$12,regle!$I$11,""))))))))))</f>
        <v/>
      </c>
      <c r="Y53" t="str">
        <f>IF(NOT($A53),"",
IF(AS53=-2,regle!$J$11,
IF(AS53=regle!$B$12,regle!$B$11,
IF(AS53=regle!$C$12,regle!$C$11,
IF(AS53=regle!$D$12,regle!$D$11,
IF(AS53=regle!$E$12,regle!$E$11,
IF(AS53=regle!$F$12,regle!$F$11,
IF(AS53=regle!$G$12,regle!$G$11,
IF(AS53=regle!$H$12,regle!$H$11,
IF(AS53=regle!$I$12,regle!$I$11,""))))))))))</f>
        <v/>
      </c>
      <c r="Z53" t="str">
        <f>IF(NOT($A53),"",
IF(AT53=-2,regle!$J$11,
IF(AT53=regle!$B$12,regle!$B$11,
IF(AT53=regle!$C$12,regle!$C$11,
IF(AT53=regle!$D$12,regle!$D$11,
IF(AT53=regle!$E$12,regle!$E$11,
IF(AT53=regle!$F$12,regle!$F$11,
IF(AT53=regle!$G$12,regle!$G$11,
IF(AT53=regle!$H$12,regle!$H$11,
IF(AT53=regle!$I$12,regle!$I$11,""))))))))))</f>
        <v>ENT1</v>
      </c>
      <c r="AA53" t="str">
        <f>IF(NOT($A53),"",
IF(AU53=-2,regle!$J$11,
IF(AU53=regle!$B$12,regle!$B$11,
IF(AU53=regle!$C$12,regle!$C$11,
IF(AU53=regle!$D$12,regle!$D$11,
IF(AU53=regle!$E$12,regle!$E$11,
IF(AU53=regle!$F$12,regle!$F$11,
IF(AU53=regle!$G$12,regle!$G$11,
IF(AU53=regle!$H$12,regle!$H$11,
IF(AU53=regle!$I$12,regle!$I$11,""))))))))))</f>
        <v/>
      </c>
      <c r="AB53" t="str">
        <f>IF(NOT($A53),"",
IF(AV53=-2,regle!$J$11,
IF(AV53=regle!$B$12,regle!$B$11,
IF(AV53=regle!$C$12,regle!$C$11,
IF(AV53=regle!$D$12,regle!$D$11,
IF(AV53=regle!$E$12,regle!$E$11,
IF(AV53=regle!$F$12,regle!$F$11,
IF(AV53=regle!$G$12,regle!$G$11,
IF(AV53=regle!$H$12,regle!$H$11,
IF(AV53=regle!$I$12,regle!$I$11,""))))))))))</f>
        <v/>
      </c>
      <c r="AC53" t="str">
        <f>IF(NOT($A53),"",
IF(AW53=-2,regle!$J$11,
IF(AW53=regle!$B$12,regle!$B$11,
IF(AW53=regle!$C$12,regle!$C$11,
IF(AW53=regle!$D$12,regle!$D$11,
IF(AW53=regle!$E$12,regle!$E$11,
IF(AW53=regle!$F$12,regle!$F$11,
IF(AW53=regle!$G$12,regle!$G$11,
IF(AW53=regle!$H$12,regle!$H$11,
IF(AW53=regle!$I$12,regle!$I$11,""))))))))))</f>
        <v>ENT2</v>
      </c>
      <c r="AD53" t="str">
        <f>IF(NOT($A53),"",
IF(AX53=-2,regle!$J$11,
IF(AX53=regle!$B$12,regle!$B$11,
IF(AX53=regle!$C$12,regle!$C$11,
IF(AX53=regle!$D$12,regle!$D$11,
IF(AX53=regle!$E$12,regle!$E$11,
IF(AX53=regle!$F$12,regle!$F$11,
IF(AX53=regle!$G$12,regle!$G$11,
IF(AX53=regle!$H$12,regle!$H$11,
IF(AX53=regle!$I$12,regle!$I$11,""))))))))))</f>
        <v/>
      </c>
      <c r="AE53" s="14">
        <f>IF($A53,$M53*(IF(U53=regle!$B$11,regle!$B$23,IF(U53=regle!$C$11,regle!$C$23,IF(U53=regle!$D$11,regle!$D$23,IF(U53=regle!$E$11,regle!$E$23,IF(U53=regle!$F$11,regle!$F$23,IF(U53=regle!$G$11,regle!$G$23,IF(U53=regle!$H$11,regle!$H$23,IF(U53=regle!$I$11,regle!$I$23,IF(U53=regle!$J$11,regle!$J$23,0)))))))))))</f>
        <v>-262.14</v>
      </c>
      <c r="AF53" s="14">
        <f>IF($A53,$M53*(IF(V53=regle!$B$11,regle!$B$23,IF(V53=regle!$C$11,regle!$C$23,IF(V53=regle!$D$11,regle!$D$23,IF(V53=regle!$E$11,regle!$E$23,IF(V53=regle!$F$11,regle!$F$23,IF(V53=regle!$G$11,regle!$G$23,IF(V53=regle!$H$11,regle!$H$23,IF(V53=regle!$I$11,regle!$I$23,IF(V53=regle!$J$11,regle!$J$23,0)))))))))))</f>
        <v>0</v>
      </c>
      <c r="AG53" s="14">
        <f>IF($A53,$M53*(IF(W53=regle!$B$11,regle!$B$23,IF(W53=regle!$C$11,regle!$C$23,IF(W53=regle!$D$11,regle!$D$23,IF(W53=regle!$E$11,regle!$E$23,IF(W53=regle!$F$11,regle!$F$23,IF(W53=regle!$G$11,regle!$G$23,IF(W53=regle!$H$11,regle!$H$23,IF(W53=regle!$I$11,regle!$I$23,IF(W53=regle!$J$11,regle!$J$23,0)))))))))))</f>
        <v>-11.565</v>
      </c>
      <c r="AH53" s="14">
        <f>IF($A53,$M53*(IF(X53=regle!$B$11,regle!$B$23,IF(X53=regle!$C$11,regle!$C$23,IF(X53=regle!$D$11,regle!$D$23,IF(X53=regle!$E$11,regle!$E$23,IF(X53=regle!$F$11,regle!$F$23,IF(X53=regle!$G$11,regle!$G$23,IF(X53=regle!$H$11,regle!$H$23,IF(X53=regle!$I$11,regle!$I$23,IF(X53=regle!$J$11,regle!$J$23,0)))))))))))</f>
        <v>0</v>
      </c>
      <c r="AI53" s="14">
        <f>IF($A53,$M53*(IF(Y53=regle!$B$11,regle!$B$23,IF(Y53=regle!$C$11,regle!$C$23,IF(Y53=regle!$D$11,regle!$D$23,IF(Y53=regle!$E$11,regle!$E$23,IF(Y53=regle!$F$11,regle!$F$23,IF(Y53=regle!$G$11,regle!$G$23,IF(Y53=regle!$H$11,regle!$H$23,IF(Y53=regle!$I$11,regle!$I$23,IF(Y53=regle!$J$11,regle!$J$23,0)))))))))))</f>
        <v>0</v>
      </c>
      <c r="AJ53" s="14">
        <f>IF($A53,$M53*(IF(Z53=regle!$B$11,regle!$B$23,IF(Z53=regle!$C$11,regle!$C$23,IF(Z53=regle!$D$11,regle!$D$23,IF(Z53=regle!$E$11,regle!$E$23,IF(Z53=regle!$F$11,regle!$F$23,IF(Z53=regle!$G$11,regle!$G$23,IF(Z53=regle!$H$11,regle!$H$23,IF(Z53=regle!$I$11,regle!$I$23,IF(Z53=regle!$J$11,regle!$J$23,0)))))))))))</f>
        <v>-13.878</v>
      </c>
      <c r="AK53" s="14">
        <f>IF($A53,$M53*(IF(AA53=regle!$B$11,regle!$B$23,IF(AA53=regle!$C$11,regle!$C$23,IF(AA53=regle!$D$11,regle!$D$23,IF(AA53=regle!$E$11,regle!$E$23,IF(AA53=regle!$F$11,regle!$F$23,IF(AA53=regle!$G$11,regle!$G$23,IF(AA53=regle!$H$11,regle!$H$23,IF(AA53=regle!$I$11,regle!$I$23,IF(AA53=regle!$J$11,regle!$J$23,0)))))))))))</f>
        <v>0</v>
      </c>
      <c r="AL53" s="14">
        <f>IF($A53,$M53*(IF(AB53=regle!$B$11,regle!$B$23,IF(AB53=regle!$C$11,regle!$C$23,IF(AB53=regle!$D$11,regle!$D$23,IF(AB53=regle!$E$11,regle!$E$23,IF(AB53=regle!$F$11,regle!$F$23,IF(AB53=regle!$G$11,regle!$G$23,IF(AB53=regle!$H$11,regle!$H$23,IF(AB53=regle!$I$11,regle!$I$23,IF(AB53=regle!$J$11,regle!$J$23,0)))))))))))</f>
        <v>0</v>
      </c>
      <c r="AM53" s="14">
        <f>IF($A53,$M53*(IF(AC53=regle!$B$11,regle!$B$23,IF(AC53=regle!$C$11,regle!$C$23,IF(AC53=regle!$D$11,regle!$D$23,IF(AC53=regle!$E$11,regle!$E$23,IF(AC53=regle!$F$11,regle!$F$23,IF(AC53=regle!$G$11,regle!$G$23,IF(AC53=regle!$H$11,regle!$H$23,IF(AC53=regle!$I$11,regle!$I$23,IF(AC53=regle!$J$11,regle!$J$23,0)))))))))))</f>
        <v>-13.878</v>
      </c>
      <c r="AN53" s="14">
        <f>IF($A53,$M53*(IF(AD53=regle!$B$11,regle!$B$23,IF(AD53=regle!$C$11,regle!$C$23,IF(AD53=regle!$D$11,regle!$D$23,IF(AD53=regle!$E$11,regle!$E$23,IF(AD53=regle!$F$11,regle!$F$23,IF(AD53=regle!$G$11,regle!$G$23,IF(AD53=regle!$H$11,regle!$H$23,IF(AD53=regle!$I$11,regle!$I$23,IF(AD53=regle!$J$11,regle!$J$23,0)))))))))))</f>
        <v>0</v>
      </c>
      <c r="AO53">
        <f>IF(AO$1=$AO$1,IF(regle!B$2-$Q53&gt;=regle!$J$12,-2,IF($S53,IF(regle!$B$2-$Q53&gt;=2,0,-1),regle!B$2-$Q53)),IF(AN53+1&gt;=regle!$J$12,-2,AN53+1))</f>
        <v>0</v>
      </c>
      <c r="AP53">
        <f>IF(AP$1=$AO$1,IF(regle!C$2-$Q53&gt;=regle!$J$12,-2,IF($S53,IF(regle!$B$2-$Q53&gt;=2,0,-1),regle!C$2-$Q53)),IF(AO53+1&gt;=regle!$J$12,-2,AO53+1))</f>
        <v>1</v>
      </c>
      <c r="AQ53">
        <f>IF(AQ$1=$AO$1,IF(regle!D$2-$Q53&gt;=regle!$J$12,-2,IF($S53,IF(regle!$B$2-$Q53&gt;=2,0,-1),regle!D$2-$Q53)),IF(AP53+1&gt;=regle!$J$12,-2,AP53+1))</f>
        <v>2</v>
      </c>
      <c r="AR53">
        <f>IF(AR$1=$AO$1,IF(regle!E$2-$Q53&gt;=regle!$J$12,-2,IF($S53,IF(regle!$B$2-$Q53&gt;=2,0,-1),regle!E$2-$Q53)),IF(AQ53+1&gt;=regle!$J$12,-2,AQ53+1))</f>
        <v>3</v>
      </c>
      <c r="AS53">
        <f>IF(AS$1=$AO$1,IF(regle!F$2-$Q53&gt;=regle!$J$12,-2,IF($S53,IF(regle!$B$2-$Q53&gt;=2,0,-1),regle!F$2-$Q53)),IF(AR53+1&gt;=regle!$J$12,-2,AR53+1))</f>
        <v>4</v>
      </c>
      <c r="AT53">
        <f>IF(AT$1=$AO$1,IF(regle!G$2-$Q53&gt;=regle!$J$12,-2,IF($S53,IF(regle!$B$2-$Q53&gt;=2,0,-1),regle!G$2-$Q53)),IF(AS53+1&gt;=regle!$J$12,-2,AS53+1))</f>
        <v>5</v>
      </c>
      <c r="AU53">
        <f>IF(AU$1=$AO$1,IF(regle!H$2-$Q53&gt;=regle!$J$12,-2,IF($S53,IF(regle!$B$2-$Q53&gt;=2,0,-1),regle!H$2-$Q53)),IF(AT53+1&gt;=regle!$J$12,-2,AT53+1))</f>
        <v>6</v>
      </c>
      <c r="AV53">
        <f>IF(AV$1=$AO$1,IF(regle!I$2-$Q53&gt;=regle!$J$12,-2,IF($S53,IF(regle!$B$2-$Q53&gt;=2,0,-1),regle!I$2-$Q53)),IF(AU53+1&gt;=regle!$J$12,-2,AU53+1))</f>
        <v>7</v>
      </c>
      <c r="AW53">
        <f>IF(AW$1=$AO$1,IF(regle!J$2-$Q53&gt;=regle!$J$12,-2,IF($S53,IF(regle!$B$2-$Q53&gt;=2,0,-1),regle!J$2-$Q53)),IF(AV53+1&gt;=regle!$J$12,-2,AV53+1))</f>
        <v>8</v>
      </c>
      <c r="AX53">
        <f>IF(AX$1=$AO$1,IF(regle!K$2-$Q53&gt;=regle!$J$12,-2,IF($S53,IF(regle!$B$2-$Q53&gt;=2,0,-1),regle!K$2-$Q53)),IF(AW53+1&gt;=regle!$J$12,-2,AW53+1))</f>
        <v>9</v>
      </c>
    </row>
    <row r="54" spans="1:50" x14ac:dyDescent="0.25">
      <c r="A54" t="b">
        <f>AND(modif0[[#This Row],[cdstr]]&lt;&gt;0,OR(regle!$H$27=FALSE,modif0[[#This Row],[essnc]]="PM"))</f>
        <v>1</v>
      </c>
      <c r="B54">
        <f>ROW(objet!A72)</f>
        <v>72</v>
      </c>
      <c r="C54" s="10" t="str">
        <f>objet!D72</f>
        <v>5360000A0463</v>
      </c>
      <c r="D54" t="str">
        <f>LEFT(modif0[[#This Row],[cdstr]],3)</f>
        <v>536</v>
      </c>
      <c r="E54" s="10" t="str">
        <f>objet!G72</f>
        <v>LE TUZAN</v>
      </c>
      <c r="F54">
        <f>LEN(modif0[[#This Row],[l_dt]])</f>
        <v>21</v>
      </c>
      <c r="G54" s="10" t="str">
        <f>objet!H72</f>
        <v>METAIRIES DE TABARTON</v>
      </c>
      <c r="H54" s="10" t="str">
        <f>objet!C72</f>
        <v>A463</v>
      </c>
      <c r="I54" t="str">
        <f>IF(ISNUMBER(VALUE(RIGHT(LEFT(modif0[[#This Row],[idntfn]],2),1))),_xlfn.CONCAT(0,LEFT(modif0[[#This Row],[idntfn]],1)),LEFT(modif0[[#This Row],[idntfn]],2))</f>
        <v>0A</v>
      </c>
      <c r="J54">
        <f>VALUE(LEFT(RIGHT(modif0[[#This Row],[idntfn]],LEN(modif0[[#This Row],[idntfn]])-IF(LEFT(modif0[[#This Row],[sctn]],1)="0",1,2)),LEN(modif0[[#This Row],[idntfn]])-IF(LEFT(modif0[[#This Row],[sctn]],1)="0",1,2)-LEN(modif0[[#This Row],[lttr]])))</f>
        <v>463</v>
      </c>
      <c r="K54" t="str">
        <f>IF(ISNUMBER(VALUE(RIGHT(modif0[[#This Row],[idntfn]],1))),"",IF(ISNUMBER(VALUE(LEFT(RIGHT(modif0[[#This Row],[idntfn]],2),1))),RIGHT(modif0[[#This Row],[idntfn]],1),RIGHT(modif0[[#This Row],[idntfn]],2)))</f>
        <v/>
      </c>
      <c r="L54" s="10">
        <f>objet!I72</f>
        <v>1520</v>
      </c>
      <c r="M54" s="11">
        <f>modif0[[#This Row],[srfc]]/10000</f>
        <v>0.152</v>
      </c>
      <c r="N54" s="10" t="str">
        <f>objet!Z72</f>
        <v>PM</v>
      </c>
      <c r="O54" s="10" t="str">
        <f>objet!AA72</f>
        <v>PLA2005</v>
      </c>
      <c r="P54" t="str">
        <f>IF(ISNUMBER(modif0[[#This Row],[trvx]]),"",LEFT(modif0[[#This Row],[trvx]],LEN(modif0[[#This Row],[trvx]])-4))</f>
        <v>PLA</v>
      </c>
      <c r="Q54">
        <f>VALUE(RIGHT(modif0[[#This Row],[trvx]],4))</f>
        <v>2005</v>
      </c>
      <c r="R54" t="str">
        <f>_xlfn.CONCAT(modif0[[#This Row],[tp]],"-",modif0[[#This Row],[essnc]],"_",modif0[[#This Row],[anns]])</f>
        <v>PLA-PM_2005</v>
      </c>
      <c r="S54" t="b">
        <f>modif0[[#This Row],[tp]]="CR"</f>
        <v>0</v>
      </c>
      <c r="T54">
        <v>40</v>
      </c>
      <c r="U54" t="str">
        <f>IF(NOT($A54),"",
IF(AO54=-2,regle!$J$11,
IF(AO54=regle!$B$12,regle!$B$11,
IF(AO54=regle!$C$12,regle!$C$11,
IF(AO54=regle!$D$12,regle!$D$11,
IF(AO54=regle!$E$12,regle!$E$11,
IF(AO54=regle!$F$12,regle!$F$11,
IF(AO54=regle!$G$12,regle!$G$11,
IF(AO54=regle!$H$12,regle!$H$11,
IF(AO54=regle!$I$12,regle!$I$11,""))))))))))</f>
        <v/>
      </c>
      <c r="V54" t="str">
        <f>IF(NOT($A54),"",
IF(AP54=-2,regle!$J$11,
IF(AP54=regle!$B$12,regle!$B$11,
IF(AP54=regle!$C$12,regle!$C$11,
IF(AP54=regle!$D$12,regle!$D$11,
IF(AP54=regle!$E$12,regle!$E$11,
IF(AP54=regle!$F$12,regle!$F$11,
IF(AP54=regle!$G$12,regle!$G$11,
IF(AP54=regle!$H$12,regle!$H$11,
IF(AP54=regle!$I$12,regle!$I$11,""))))))))))</f>
        <v/>
      </c>
      <c r="W54" t="str">
        <f>IF(NOT($A54),"",
IF(AQ54=-2,regle!$J$11,
IF(AQ54=regle!$B$12,regle!$B$11,
IF(AQ54=regle!$C$12,regle!$C$11,
IF(AQ54=regle!$D$12,regle!$D$11,
IF(AQ54=regle!$E$12,regle!$E$11,
IF(AQ54=regle!$F$12,regle!$F$11,
IF(AQ54=regle!$G$12,regle!$G$11,
IF(AQ54=regle!$H$12,regle!$H$11,
IF(AQ54=regle!$I$12,regle!$I$11,""))))))))))</f>
        <v/>
      </c>
      <c r="X54" t="str">
        <f>IF(NOT($A54),"",
IF(AR54=-2,regle!$J$11,
IF(AR54=regle!$B$12,regle!$B$11,
IF(AR54=regle!$C$12,regle!$C$11,
IF(AR54=regle!$D$12,regle!$D$11,
IF(AR54=regle!$E$12,regle!$E$11,
IF(AR54=regle!$F$12,regle!$F$11,
IF(AR54=regle!$G$12,regle!$G$11,
IF(AR54=regle!$H$12,regle!$H$11,
IF(AR54=regle!$I$12,regle!$I$11,""))))))))))</f>
        <v/>
      </c>
      <c r="Y54" t="str">
        <f>IF(NOT($A54),"",
IF(AS54=-2,regle!$J$11,
IF(AS54=regle!$B$12,regle!$B$11,
IF(AS54=regle!$C$12,regle!$C$11,
IF(AS54=regle!$D$12,regle!$D$11,
IF(AS54=regle!$E$12,regle!$E$11,
IF(AS54=regle!$F$12,regle!$F$11,
IF(AS54=regle!$G$12,regle!$G$11,
IF(AS54=regle!$H$12,regle!$H$11,
IF(AS54=regle!$I$12,regle!$I$11,""))))))))))</f>
        <v>EC3</v>
      </c>
      <c r="Z54" t="str">
        <f>IF(NOT($A54),"",
IF(AT54=-2,regle!$J$11,
IF(AT54=regle!$B$12,regle!$B$11,
IF(AT54=regle!$C$12,regle!$C$11,
IF(AT54=regle!$D$12,regle!$D$11,
IF(AT54=regle!$E$12,regle!$E$11,
IF(AT54=regle!$F$12,regle!$F$11,
IF(AT54=regle!$G$12,regle!$G$11,
IF(AT54=regle!$H$12,regle!$H$11,
IF(AT54=regle!$I$12,regle!$I$11,""))))))))))</f>
        <v/>
      </c>
      <c r="AA54" t="str">
        <f>IF(NOT($A54),"",
IF(AU54=-2,regle!$J$11,
IF(AU54=regle!$B$12,regle!$B$11,
IF(AU54=regle!$C$12,regle!$C$11,
IF(AU54=regle!$D$12,regle!$D$11,
IF(AU54=regle!$E$12,regle!$E$11,
IF(AU54=regle!$F$12,regle!$F$11,
IF(AU54=regle!$G$12,regle!$G$11,
IF(AU54=regle!$H$12,regle!$H$11,
IF(AU54=regle!$I$12,regle!$I$11,""))))))))))</f>
        <v/>
      </c>
      <c r="AB54" t="str">
        <f>IF(NOT($A54),"",
IF(AV54=-2,regle!$J$11,
IF(AV54=regle!$B$12,regle!$B$11,
IF(AV54=regle!$C$12,regle!$C$11,
IF(AV54=regle!$D$12,regle!$D$11,
IF(AV54=regle!$E$12,regle!$E$11,
IF(AV54=regle!$F$12,regle!$F$11,
IF(AV54=regle!$G$12,regle!$G$11,
IF(AV54=regle!$H$12,regle!$H$11,
IF(AV54=regle!$I$12,regle!$I$11,""))))))))))</f>
        <v/>
      </c>
      <c r="AC54" t="str">
        <f>IF(NOT($A54),"",
IF(AW54=-2,regle!$J$11,
IF(AW54=regle!$B$12,regle!$B$11,
IF(AW54=regle!$C$12,regle!$C$11,
IF(AW54=regle!$D$12,regle!$D$11,
IF(AW54=regle!$E$12,regle!$E$11,
IF(AW54=regle!$F$12,regle!$F$11,
IF(AW54=regle!$G$12,regle!$G$11,
IF(AW54=regle!$H$12,regle!$H$11,
IF(AW54=regle!$I$12,regle!$I$11,""))))))))))</f>
        <v/>
      </c>
      <c r="AD54" t="str">
        <f>IF(NOT($A54),"",
IF(AX54=-2,regle!$J$11,
IF(AX54=regle!$B$12,regle!$B$11,
IF(AX54=regle!$C$12,regle!$C$11,
IF(AX54=regle!$D$12,regle!$D$11,
IF(AX54=regle!$E$12,regle!$E$11,
IF(AX54=regle!$F$12,regle!$F$11,
IF(AX54=regle!$G$12,regle!$G$11,
IF(AX54=regle!$H$12,regle!$H$11,
IF(AX54=regle!$I$12,regle!$I$11,""))))))))))</f>
        <v>EC4</v>
      </c>
      <c r="AE54" s="14">
        <f>IF($A54,$M54*(IF(U54=regle!$B$11,regle!$B$23,IF(U54=regle!$C$11,regle!$C$23,IF(U54=regle!$D$11,regle!$D$23,IF(U54=regle!$E$11,regle!$E$23,IF(U54=regle!$F$11,regle!$F$23,IF(U54=regle!$G$11,regle!$G$23,IF(U54=regle!$H$11,regle!$H$23,IF(U54=regle!$I$11,regle!$I$23,IF(U54=regle!$J$11,regle!$J$23,0)))))))))))</f>
        <v>0</v>
      </c>
      <c r="AF54" s="14">
        <f>IF($A54,$M54*(IF(V54=regle!$B$11,regle!$B$23,IF(V54=regle!$C$11,regle!$C$23,IF(V54=regle!$D$11,regle!$D$23,IF(V54=regle!$E$11,regle!$E$23,IF(V54=regle!$F$11,regle!$F$23,IF(V54=regle!$G$11,regle!$G$23,IF(V54=regle!$H$11,regle!$H$23,IF(V54=regle!$I$11,regle!$I$23,IF(V54=regle!$J$11,regle!$J$23,0)))))))))))</f>
        <v>0</v>
      </c>
      <c r="AG54" s="14">
        <f>IF($A54,$M54*(IF(W54=regle!$B$11,regle!$B$23,IF(W54=regle!$C$11,regle!$C$23,IF(W54=regle!$D$11,regle!$D$23,IF(W54=regle!$E$11,regle!$E$23,IF(W54=regle!$F$11,regle!$F$23,IF(W54=regle!$G$11,regle!$G$23,IF(W54=regle!$H$11,regle!$H$23,IF(W54=regle!$I$11,regle!$I$23,IF(W54=regle!$J$11,regle!$J$23,0)))))))))))</f>
        <v>0</v>
      </c>
      <c r="AH54" s="14">
        <f>IF($A54,$M54*(IF(X54=regle!$B$11,regle!$B$23,IF(X54=regle!$C$11,regle!$C$23,IF(X54=regle!$D$11,regle!$D$23,IF(X54=regle!$E$11,regle!$E$23,IF(X54=regle!$F$11,regle!$F$23,IF(X54=regle!$G$11,regle!$G$23,IF(X54=regle!$H$11,regle!$H$23,IF(X54=regle!$I$11,regle!$I$23,IF(X54=regle!$J$11,regle!$J$23,0)))))))))))</f>
        <v>0</v>
      </c>
      <c r="AI54" s="14">
        <f>IF($A54,$M54*(IF(Y54=regle!$B$11,regle!$B$23,IF(Y54=regle!$C$11,regle!$C$23,IF(Y54=regle!$D$11,regle!$D$23,IF(Y54=regle!$E$11,regle!$E$23,IF(Y54=regle!$F$11,regle!$F$23,IF(Y54=regle!$G$11,regle!$G$23,IF(Y54=regle!$H$11,regle!$H$23,IF(Y54=regle!$I$11,regle!$I$23,IF(Y54=regle!$J$11,regle!$J$23,0)))))))))))</f>
        <v>214.01599999999999</v>
      </c>
      <c r="AJ54" s="14">
        <f>IF($A54,$M54*(IF(Z54=regle!$B$11,regle!$B$23,IF(Z54=regle!$C$11,regle!$C$23,IF(Z54=regle!$D$11,regle!$D$23,IF(Z54=regle!$E$11,regle!$E$23,IF(Z54=regle!$F$11,regle!$F$23,IF(Z54=regle!$G$11,regle!$G$23,IF(Z54=regle!$H$11,regle!$H$23,IF(Z54=regle!$I$11,regle!$I$23,IF(Z54=regle!$J$11,regle!$J$23,0)))))))))))</f>
        <v>0</v>
      </c>
      <c r="AK54" s="14">
        <f>IF($A54,$M54*(IF(AA54=regle!$B$11,regle!$B$23,IF(AA54=regle!$C$11,regle!$C$23,IF(AA54=regle!$D$11,regle!$D$23,IF(AA54=regle!$E$11,regle!$E$23,IF(AA54=regle!$F$11,regle!$F$23,IF(AA54=regle!$G$11,regle!$G$23,IF(AA54=regle!$H$11,regle!$H$23,IF(AA54=regle!$I$11,regle!$I$23,IF(AA54=regle!$J$11,regle!$J$23,0)))))))))))</f>
        <v>0</v>
      </c>
      <c r="AL54" s="14">
        <f>IF($A54,$M54*(IF(AB54=regle!$B$11,regle!$B$23,IF(AB54=regle!$C$11,regle!$C$23,IF(AB54=regle!$D$11,regle!$D$23,IF(AB54=regle!$E$11,regle!$E$23,IF(AB54=regle!$F$11,regle!$F$23,IF(AB54=regle!$G$11,regle!$G$23,IF(AB54=regle!$H$11,regle!$H$23,IF(AB54=regle!$I$11,regle!$I$23,IF(AB54=regle!$J$11,regle!$J$23,0)))))))))))</f>
        <v>0</v>
      </c>
      <c r="AM54" s="14">
        <f>IF($A54,$M54*(IF(AC54=regle!$B$11,regle!$B$23,IF(AC54=regle!$C$11,regle!$C$23,IF(AC54=regle!$D$11,regle!$D$23,IF(AC54=regle!$E$11,regle!$E$23,IF(AC54=regle!$F$11,regle!$F$23,IF(AC54=regle!$G$11,regle!$G$23,IF(AC54=regle!$H$11,regle!$H$23,IF(AC54=regle!$I$11,regle!$I$23,IF(AC54=regle!$J$11,regle!$J$23,0)))))))))))</f>
        <v>0</v>
      </c>
      <c r="AN54" s="14">
        <f>IF($A54,$M54*(IF(AD54=regle!$B$11,regle!$B$23,IF(AD54=regle!$C$11,regle!$C$23,IF(AD54=regle!$D$11,regle!$D$23,IF(AD54=regle!$E$11,regle!$E$23,IF(AD54=regle!$F$11,regle!$F$23,IF(AD54=regle!$G$11,regle!$G$23,IF(AD54=regle!$H$11,regle!$H$23,IF(AD54=regle!$I$11,regle!$I$23,IF(AD54=regle!$J$11,regle!$J$23,0)))))))))))</f>
        <v>194.56</v>
      </c>
      <c r="AO54">
        <f>IF(AO$1=$AO$1,IF(regle!B$2-$Q54&gt;=regle!$J$12,-2,IF($S54,IF(regle!$B$2-$Q54&gt;=2,0,-1),regle!B$2-$Q54)),IF(AN54+1&gt;=regle!$J$12,-2,AN54+1))</f>
        <v>19</v>
      </c>
      <c r="AP54">
        <f>IF(AP$1=$AO$1,IF(regle!C$2-$Q54&gt;=regle!$J$12,-2,IF($S54,IF(regle!$B$2-$Q54&gt;=2,0,-1),regle!C$2-$Q54)),IF(AO54+1&gt;=regle!$J$12,-2,AO54+1))</f>
        <v>20</v>
      </c>
      <c r="AQ54">
        <f>IF(AQ$1=$AO$1,IF(regle!D$2-$Q54&gt;=regle!$J$12,-2,IF($S54,IF(regle!$B$2-$Q54&gt;=2,0,-1),regle!D$2-$Q54)),IF(AP54+1&gt;=regle!$J$12,-2,AP54+1))</f>
        <v>21</v>
      </c>
      <c r="AR54">
        <f>IF(AR$1=$AO$1,IF(regle!E$2-$Q54&gt;=regle!$J$12,-2,IF($S54,IF(regle!$B$2-$Q54&gt;=2,0,-1),regle!E$2-$Q54)),IF(AQ54+1&gt;=regle!$J$12,-2,AQ54+1))</f>
        <v>22</v>
      </c>
      <c r="AS54">
        <f>IF(AS$1=$AO$1,IF(regle!F$2-$Q54&gt;=regle!$J$12,-2,IF($S54,IF(regle!$B$2-$Q54&gt;=2,0,-1),regle!F$2-$Q54)),IF(AR54+1&gt;=regle!$J$12,-2,AR54+1))</f>
        <v>23</v>
      </c>
      <c r="AT54">
        <f>IF(AT$1=$AO$1,IF(regle!G$2-$Q54&gt;=regle!$J$12,-2,IF($S54,IF(regle!$B$2-$Q54&gt;=2,0,-1),regle!G$2-$Q54)),IF(AS54+1&gt;=regle!$J$12,-2,AS54+1))</f>
        <v>24</v>
      </c>
      <c r="AU54">
        <f>IF(AU$1=$AO$1,IF(regle!H$2-$Q54&gt;=regle!$J$12,-2,IF($S54,IF(regle!$B$2-$Q54&gt;=2,0,-1),regle!H$2-$Q54)),IF(AT54+1&gt;=regle!$J$12,-2,AT54+1))</f>
        <v>25</v>
      </c>
      <c r="AV54">
        <f>IF(AV$1=$AO$1,IF(regle!I$2-$Q54&gt;=regle!$J$12,-2,IF($S54,IF(regle!$B$2-$Q54&gt;=2,0,-1),regle!I$2-$Q54)),IF(AU54+1&gt;=regle!$J$12,-2,AU54+1))</f>
        <v>26</v>
      </c>
      <c r="AW54">
        <f>IF(AW$1=$AO$1,IF(regle!J$2-$Q54&gt;=regle!$J$12,-2,IF($S54,IF(regle!$B$2-$Q54&gt;=2,0,-1),regle!J$2-$Q54)),IF(AV54+1&gt;=regle!$J$12,-2,AV54+1))</f>
        <v>27</v>
      </c>
      <c r="AX54">
        <f>IF(AX$1=$AO$1,IF(regle!K$2-$Q54&gt;=regle!$J$12,-2,IF($S54,IF(regle!$B$2-$Q54&gt;=2,0,-1),regle!K$2-$Q54)),IF(AW54+1&gt;=regle!$J$12,-2,AW54+1))</f>
        <v>28</v>
      </c>
    </row>
    <row r="55" spans="1:50" x14ac:dyDescent="0.25">
      <c r="A55" t="b">
        <f>AND(modif0[[#This Row],[cdstr]]&lt;&gt;0,OR(regle!$H$27=FALSE,modif0[[#This Row],[essnc]]="PM"))</f>
        <v>1</v>
      </c>
      <c r="B55">
        <f>ROW(objet!A73)</f>
        <v>73</v>
      </c>
      <c r="C55" s="10" t="str">
        <f>objet!D73</f>
        <v>5360000A0523</v>
      </c>
      <c r="D55" t="str">
        <f>LEFT(modif0[[#This Row],[cdstr]],3)</f>
        <v>536</v>
      </c>
      <c r="E55" s="10" t="str">
        <f>objet!G73</f>
        <v>LE TUZAN</v>
      </c>
      <c r="F55">
        <f>LEN(modif0[[#This Row],[l_dt]])</f>
        <v>21</v>
      </c>
      <c r="G55" s="10" t="str">
        <f>objet!H73</f>
        <v>METAIRIES DE TABARTON</v>
      </c>
      <c r="H55" s="10" t="str">
        <f>objet!C73</f>
        <v>A523aj</v>
      </c>
      <c r="I55" t="str">
        <f>IF(ISNUMBER(VALUE(RIGHT(LEFT(modif0[[#This Row],[idntfn]],2),1))),_xlfn.CONCAT(0,LEFT(modif0[[#This Row],[idntfn]],1)),LEFT(modif0[[#This Row],[idntfn]],2))</f>
        <v>0A</v>
      </c>
      <c r="J55">
        <f>VALUE(LEFT(RIGHT(modif0[[#This Row],[idntfn]],LEN(modif0[[#This Row],[idntfn]])-IF(LEFT(modif0[[#This Row],[sctn]],1)="0",1,2)),LEN(modif0[[#This Row],[idntfn]])-IF(LEFT(modif0[[#This Row],[sctn]],1)="0",1,2)-LEN(modif0[[#This Row],[lttr]])))</f>
        <v>523</v>
      </c>
      <c r="K55" t="str">
        <f>IF(ISNUMBER(VALUE(RIGHT(modif0[[#This Row],[idntfn]],1))),"",IF(ISNUMBER(VALUE(LEFT(RIGHT(modif0[[#This Row],[idntfn]],2),1))),RIGHT(modif0[[#This Row],[idntfn]],1),RIGHT(modif0[[#This Row],[idntfn]],2)))</f>
        <v>aj</v>
      </c>
      <c r="L55" s="10">
        <f>objet!I73</f>
        <v>73195</v>
      </c>
      <c r="M55" s="11">
        <f>modif0[[#This Row],[srfc]]/10000</f>
        <v>7.3194999999999997</v>
      </c>
      <c r="N55" s="10" t="str">
        <f>objet!Z73</f>
        <v>PM</v>
      </c>
      <c r="O55" s="10" t="str">
        <f>objet!AA73</f>
        <v>SL2003</v>
      </c>
      <c r="P55" t="str">
        <f>IF(ISNUMBER(modif0[[#This Row],[trvx]]),"",LEFT(modif0[[#This Row],[trvx]],LEN(modif0[[#This Row],[trvx]])-4))</f>
        <v>SL</v>
      </c>
      <c r="Q55">
        <f>VALUE(RIGHT(modif0[[#This Row],[trvx]],4))</f>
        <v>2003</v>
      </c>
      <c r="R55" t="str">
        <f>_xlfn.CONCAT(modif0[[#This Row],[tp]],"-",modif0[[#This Row],[essnc]],"_",modif0[[#This Row],[anns]])</f>
        <v>SL-PM_2003</v>
      </c>
      <c r="S55" t="b">
        <f>modif0[[#This Row],[tp]]="CR"</f>
        <v>0</v>
      </c>
      <c r="T55">
        <v>40</v>
      </c>
      <c r="U55" t="str">
        <f>IF(NOT($A55),"",
IF(AO55=-2,regle!$J$11,
IF(AO55=regle!$B$12,regle!$B$11,
IF(AO55=regle!$C$12,regle!$C$11,
IF(AO55=regle!$D$12,regle!$D$11,
IF(AO55=regle!$E$12,regle!$E$11,
IF(AO55=regle!$F$12,regle!$F$11,
IF(AO55=regle!$G$12,regle!$G$11,
IF(AO55=regle!$H$12,regle!$H$11,
IF(AO55=regle!$I$12,regle!$I$11,""))))))))))</f>
        <v/>
      </c>
      <c r="V55" t="str">
        <f>IF(NOT($A55),"",
IF(AP55=-2,regle!$J$11,
IF(AP55=regle!$B$12,regle!$B$11,
IF(AP55=regle!$C$12,regle!$C$11,
IF(AP55=regle!$D$12,regle!$D$11,
IF(AP55=regle!$E$12,regle!$E$11,
IF(AP55=regle!$F$12,regle!$F$11,
IF(AP55=regle!$G$12,regle!$G$11,
IF(AP55=regle!$H$12,regle!$H$11,
IF(AP55=regle!$I$12,regle!$I$11,""))))))))))</f>
        <v/>
      </c>
      <c r="W55" t="str">
        <f>IF(NOT($A55),"",
IF(AQ55=-2,regle!$J$11,
IF(AQ55=regle!$B$12,regle!$B$11,
IF(AQ55=regle!$C$12,regle!$C$11,
IF(AQ55=regle!$D$12,regle!$D$11,
IF(AQ55=regle!$E$12,regle!$E$11,
IF(AQ55=regle!$F$12,regle!$F$11,
IF(AQ55=regle!$G$12,regle!$G$11,
IF(AQ55=regle!$H$12,regle!$H$11,
IF(AQ55=regle!$I$12,regle!$I$11,""))))))))))</f>
        <v>EC3</v>
      </c>
      <c r="X55" t="str">
        <f>IF(NOT($A55),"",
IF(AR55=-2,regle!$J$11,
IF(AR55=regle!$B$12,regle!$B$11,
IF(AR55=regle!$C$12,regle!$C$11,
IF(AR55=regle!$D$12,regle!$D$11,
IF(AR55=regle!$E$12,regle!$E$11,
IF(AR55=regle!$F$12,regle!$F$11,
IF(AR55=regle!$G$12,regle!$G$11,
IF(AR55=regle!$H$12,regle!$H$11,
IF(AR55=regle!$I$12,regle!$I$11,""))))))))))</f>
        <v/>
      </c>
      <c r="Y55" t="str">
        <f>IF(NOT($A55),"",
IF(AS55=-2,regle!$J$11,
IF(AS55=regle!$B$12,regle!$B$11,
IF(AS55=regle!$C$12,regle!$C$11,
IF(AS55=regle!$D$12,regle!$D$11,
IF(AS55=regle!$E$12,regle!$E$11,
IF(AS55=regle!$F$12,regle!$F$11,
IF(AS55=regle!$G$12,regle!$G$11,
IF(AS55=regle!$H$12,regle!$H$11,
IF(AS55=regle!$I$12,regle!$I$11,""))))))))))</f>
        <v/>
      </c>
      <c r="Z55" t="str">
        <f>IF(NOT($A55),"",
IF(AT55=-2,regle!$J$11,
IF(AT55=regle!$B$12,regle!$B$11,
IF(AT55=regle!$C$12,regle!$C$11,
IF(AT55=regle!$D$12,regle!$D$11,
IF(AT55=regle!$E$12,regle!$E$11,
IF(AT55=regle!$F$12,regle!$F$11,
IF(AT55=regle!$G$12,regle!$G$11,
IF(AT55=regle!$H$12,regle!$H$11,
IF(AT55=regle!$I$12,regle!$I$11,""))))))))))</f>
        <v/>
      </c>
      <c r="AA55" t="str">
        <f>IF(NOT($A55),"",
IF(AU55=-2,regle!$J$11,
IF(AU55=regle!$B$12,regle!$B$11,
IF(AU55=regle!$C$12,regle!$C$11,
IF(AU55=regle!$D$12,regle!$D$11,
IF(AU55=regle!$E$12,regle!$E$11,
IF(AU55=regle!$F$12,regle!$F$11,
IF(AU55=regle!$G$12,regle!$G$11,
IF(AU55=regle!$H$12,regle!$H$11,
IF(AU55=regle!$I$12,regle!$I$11,""))))))))))</f>
        <v/>
      </c>
      <c r="AB55" t="str">
        <f>IF(NOT($A55),"",
IF(AV55=-2,regle!$J$11,
IF(AV55=regle!$B$12,regle!$B$11,
IF(AV55=regle!$C$12,regle!$C$11,
IF(AV55=regle!$D$12,regle!$D$11,
IF(AV55=regle!$E$12,regle!$E$11,
IF(AV55=regle!$F$12,regle!$F$11,
IF(AV55=regle!$G$12,regle!$G$11,
IF(AV55=regle!$H$12,regle!$H$11,
IF(AV55=regle!$I$12,regle!$I$11,""))))))))))</f>
        <v>EC4</v>
      </c>
      <c r="AC55" t="str">
        <f>IF(NOT($A55),"",
IF(AW55=-2,regle!$J$11,
IF(AW55=regle!$B$12,regle!$B$11,
IF(AW55=regle!$C$12,regle!$C$11,
IF(AW55=regle!$D$12,regle!$D$11,
IF(AW55=regle!$E$12,regle!$E$11,
IF(AW55=regle!$F$12,regle!$F$11,
IF(AW55=regle!$G$12,regle!$G$11,
IF(AW55=regle!$H$12,regle!$H$11,
IF(AW55=regle!$I$12,regle!$I$11,""))))))))))</f>
        <v/>
      </c>
      <c r="AD55" t="str">
        <f>IF(NOT($A55),"",
IF(AX55=-2,regle!$J$11,
IF(AX55=regle!$B$12,regle!$B$11,
IF(AX55=regle!$C$12,regle!$C$11,
IF(AX55=regle!$D$12,regle!$D$11,
IF(AX55=regle!$E$12,regle!$E$11,
IF(AX55=regle!$F$12,regle!$F$11,
IF(AX55=regle!$G$12,regle!$G$11,
IF(AX55=regle!$H$12,regle!$H$11,
IF(AX55=regle!$I$12,regle!$I$11,""))))))))))</f>
        <v/>
      </c>
      <c r="AE55" s="14">
        <f>IF($A55,$M55*(IF(U55=regle!$B$11,regle!$B$23,IF(U55=regle!$C$11,regle!$C$23,IF(U55=regle!$D$11,regle!$D$23,IF(U55=regle!$E$11,regle!$E$23,IF(U55=regle!$F$11,regle!$F$23,IF(U55=regle!$G$11,regle!$G$23,IF(U55=regle!$H$11,regle!$H$23,IF(U55=regle!$I$11,regle!$I$23,IF(U55=regle!$J$11,regle!$J$23,0)))))))))))</f>
        <v>0</v>
      </c>
      <c r="AF55" s="14">
        <f>IF($A55,$M55*(IF(V55=regle!$B$11,regle!$B$23,IF(V55=regle!$C$11,regle!$C$23,IF(V55=regle!$D$11,regle!$D$23,IF(V55=regle!$E$11,regle!$E$23,IF(V55=regle!$F$11,regle!$F$23,IF(V55=regle!$G$11,regle!$G$23,IF(V55=regle!$H$11,regle!$H$23,IF(V55=regle!$I$11,regle!$I$23,IF(V55=regle!$J$11,regle!$J$23,0)))))))))))</f>
        <v>0</v>
      </c>
      <c r="AG55" s="14">
        <f>IF($A55,$M55*(IF(W55=regle!$B$11,regle!$B$23,IF(W55=regle!$C$11,regle!$C$23,IF(W55=regle!$D$11,regle!$D$23,IF(W55=regle!$E$11,regle!$E$23,IF(W55=regle!$F$11,regle!$F$23,IF(W55=regle!$G$11,regle!$G$23,IF(W55=regle!$H$11,regle!$H$23,IF(W55=regle!$I$11,regle!$I$23,IF(W55=regle!$J$11,regle!$J$23,0)))))))))))</f>
        <v>10305.856</v>
      </c>
      <c r="AH55" s="14">
        <f>IF($A55,$M55*(IF(X55=regle!$B$11,regle!$B$23,IF(X55=regle!$C$11,regle!$C$23,IF(X55=regle!$D$11,regle!$D$23,IF(X55=regle!$E$11,regle!$E$23,IF(X55=regle!$F$11,regle!$F$23,IF(X55=regle!$G$11,regle!$G$23,IF(X55=regle!$H$11,regle!$H$23,IF(X55=regle!$I$11,regle!$I$23,IF(X55=regle!$J$11,regle!$J$23,0)))))))))))</f>
        <v>0</v>
      </c>
      <c r="AI55" s="14">
        <f>IF($A55,$M55*(IF(Y55=regle!$B$11,regle!$B$23,IF(Y55=regle!$C$11,regle!$C$23,IF(Y55=regle!$D$11,regle!$D$23,IF(Y55=regle!$E$11,regle!$E$23,IF(Y55=regle!$F$11,regle!$F$23,IF(Y55=regle!$G$11,regle!$G$23,IF(Y55=regle!$H$11,regle!$H$23,IF(Y55=regle!$I$11,regle!$I$23,IF(Y55=regle!$J$11,regle!$J$23,0)))))))))))</f>
        <v>0</v>
      </c>
      <c r="AJ55" s="14">
        <f>IF($A55,$M55*(IF(Z55=regle!$B$11,regle!$B$23,IF(Z55=regle!$C$11,regle!$C$23,IF(Z55=regle!$D$11,regle!$D$23,IF(Z55=regle!$E$11,regle!$E$23,IF(Z55=regle!$F$11,regle!$F$23,IF(Z55=regle!$G$11,regle!$G$23,IF(Z55=regle!$H$11,regle!$H$23,IF(Z55=regle!$I$11,regle!$I$23,IF(Z55=regle!$J$11,regle!$J$23,0)))))))))))</f>
        <v>0</v>
      </c>
      <c r="AK55" s="14">
        <f>IF($A55,$M55*(IF(AA55=regle!$B$11,regle!$B$23,IF(AA55=regle!$C$11,regle!$C$23,IF(AA55=regle!$D$11,regle!$D$23,IF(AA55=regle!$E$11,regle!$E$23,IF(AA55=regle!$F$11,regle!$F$23,IF(AA55=regle!$G$11,regle!$G$23,IF(AA55=regle!$H$11,regle!$H$23,IF(AA55=regle!$I$11,regle!$I$23,IF(AA55=regle!$J$11,regle!$J$23,0)))))))))))</f>
        <v>0</v>
      </c>
      <c r="AL55" s="14">
        <f>IF($A55,$M55*(IF(AB55=regle!$B$11,regle!$B$23,IF(AB55=regle!$C$11,regle!$C$23,IF(AB55=regle!$D$11,regle!$D$23,IF(AB55=regle!$E$11,regle!$E$23,IF(AB55=regle!$F$11,regle!$F$23,IF(AB55=regle!$G$11,regle!$G$23,IF(AB55=regle!$H$11,regle!$H$23,IF(AB55=regle!$I$11,regle!$I$23,IF(AB55=regle!$J$11,regle!$J$23,0)))))))))))</f>
        <v>9368.9599999999991</v>
      </c>
      <c r="AM55" s="14">
        <f>IF($A55,$M55*(IF(AC55=regle!$B$11,regle!$B$23,IF(AC55=regle!$C$11,regle!$C$23,IF(AC55=regle!$D$11,regle!$D$23,IF(AC55=regle!$E$11,regle!$E$23,IF(AC55=regle!$F$11,regle!$F$23,IF(AC55=regle!$G$11,regle!$G$23,IF(AC55=regle!$H$11,regle!$H$23,IF(AC55=regle!$I$11,regle!$I$23,IF(AC55=regle!$J$11,regle!$J$23,0)))))))))))</f>
        <v>0</v>
      </c>
      <c r="AN55" s="14">
        <f>IF($A55,$M55*(IF(AD55=regle!$B$11,regle!$B$23,IF(AD55=regle!$C$11,regle!$C$23,IF(AD55=regle!$D$11,regle!$D$23,IF(AD55=regle!$E$11,regle!$E$23,IF(AD55=regle!$F$11,regle!$F$23,IF(AD55=regle!$G$11,regle!$G$23,IF(AD55=regle!$H$11,regle!$H$23,IF(AD55=regle!$I$11,regle!$I$23,IF(AD55=regle!$J$11,regle!$J$23,0)))))))))))</f>
        <v>0</v>
      </c>
      <c r="AO55">
        <f>IF(AO$1=$AO$1,IF(regle!B$2-$Q55&gt;=regle!$J$12,-2,IF($S55,IF(regle!$B$2-$Q55&gt;=2,0,-1),regle!B$2-$Q55)),IF(AN55+1&gt;=regle!$J$12,-2,AN55+1))</f>
        <v>21</v>
      </c>
      <c r="AP55">
        <f>IF(AP$1=$AO$1,IF(regle!C$2-$Q55&gt;=regle!$J$12,-2,IF($S55,IF(regle!$B$2-$Q55&gt;=2,0,-1),regle!C$2-$Q55)),IF(AO55+1&gt;=regle!$J$12,-2,AO55+1))</f>
        <v>22</v>
      </c>
      <c r="AQ55">
        <f>IF(AQ$1=$AO$1,IF(regle!D$2-$Q55&gt;=regle!$J$12,-2,IF($S55,IF(regle!$B$2-$Q55&gt;=2,0,-1),regle!D$2-$Q55)),IF(AP55+1&gt;=regle!$J$12,-2,AP55+1))</f>
        <v>23</v>
      </c>
      <c r="AR55">
        <f>IF(AR$1=$AO$1,IF(regle!E$2-$Q55&gt;=regle!$J$12,-2,IF($S55,IF(regle!$B$2-$Q55&gt;=2,0,-1),regle!E$2-$Q55)),IF(AQ55+1&gt;=regle!$J$12,-2,AQ55+1))</f>
        <v>24</v>
      </c>
      <c r="AS55">
        <f>IF(AS$1=$AO$1,IF(regle!F$2-$Q55&gt;=regle!$J$12,-2,IF($S55,IF(regle!$B$2-$Q55&gt;=2,0,-1),regle!F$2-$Q55)),IF(AR55+1&gt;=regle!$J$12,-2,AR55+1))</f>
        <v>25</v>
      </c>
      <c r="AT55">
        <f>IF(AT$1=$AO$1,IF(regle!G$2-$Q55&gt;=regle!$J$12,-2,IF($S55,IF(regle!$B$2-$Q55&gt;=2,0,-1),regle!G$2-$Q55)),IF(AS55+1&gt;=regle!$J$12,-2,AS55+1))</f>
        <v>26</v>
      </c>
      <c r="AU55">
        <f>IF(AU$1=$AO$1,IF(regle!H$2-$Q55&gt;=regle!$J$12,-2,IF($S55,IF(regle!$B$2-$Q55&gt;=2,0,-1),regle!H$2-$Q55)),IF(AT55+1&gt;=regle!$J$12,-2,AT55+1))</f>
        <v>27</v>
      </c>
      <c r="AV55">
        <f>IF(AV$1=$AO$1,IF(regle!I$2-$Q55&gt;=regle!$J$12,-2,IF($S55,IF(regle!$B$2-$Q55&gt;=2,0,-1),regle!I$2-$Q55)),IF(AU55+1&gt;=regle!$J$12,-2,AU55+1))</f>
        <v>28</v>
      </c>
      <c r="AW55">
        <f>IF(AW$1=$AO$1,IF(regle!J$2-$Q55&gt;=regle!$J$12,-2,IF($S55,IF(regle!$B$2-$Q55&gt;=2,0,-1),regle!J$2-$Q55)),IF(AV55+1&gt;=regle!$J$12,-2,AV55+1))</f>
        <v>29</v>
      </c>
      <c r="AX55">
        <f>IF(AX$1=$AO$1,IF(regle!K$2-$Q55&gt;=regle!$J$12,-2,IF($S55,IF(regle!$B$2-$Q55&gt;=2,0,-1),regle!K$2-$Q55)),IF(AW55+1&gt;=regle!$J$12,-2,AW55+1))</f>
        <v>30</v>
      </c>
    </row>
    <row r="56" spans="1:50" x14ac:dyDescent="0.25">
      <c r="A56" t="b">
        <f>AND(modif0[[#This Row],[cdstr]]&lt;&gt;0,OR(regle!$H$27=FALSE,modif0[[#This Row],[essnc]]="PM"))</f>
        <v>1</v>
      </c>
      <c r="B56">
        <f>ROW(objet!A74)</f>
        <v>74</v>
      </c>
      <c r="C56" s="10" t="str">
        <f>objet!D74</f>
        <v>5360000A0523</v>
      </c>
      <c r="D56" t="str">
        <f>LEFT(modif0[[#This Row],[cdstr]],3)</f>
        <v>536</v>
      </c>
      <c r="E56" s="10" t="str">
        <f>objet!G74</f>
        <v>LE TUZAN</v>
      </c>
      <c r="F56">
        <f>LEN(modif0[[#This Row],[l_dt]])</f>
        <v>21</v>
      </c>
      <c r="G56" s="10" t="str">
        <f>objet!H74</f>
        <v>METAIRIES DE TABARTON</v>
      </c>
      <c r="H56" s="10" t="str">
        <f>objet!C74</f>
        <v>A523ak</v>
      </c>
      <c r="I56" t="str">
        <f>IF(ISNUMBER(VALUE(RIGHT(LEFT(modif0[[#This Row],[idntfn]],2),1))),_xlfn.CONCAT(0,LEFT(modif0[[#This Row],[idntfn]],1)),LEFT(modif0[[#This Row],[idntfn]],2))</f>
        <v>0A</v>
      </c>
      <c r="J56">
        <f>VALUE(LEFT(RIGHT(modif0[[#This Row],[idntfn]],LEN(modif0[[#This Row],[idntfn]])-IF(LEFT(modif0[[#This Row],[sctn]],1)="0",1,2)),LEN(modif0[[#This Row],[idntfn]])-IF(LEFT(modif0[[#This Row],[sctn]],1)="0",1,2)-LEN(modif0[[#This Row],[lttr]])))</f>
        <v>523</v>
      </c>
      <c r="K56" t="str">
        <f>IF(ISNUMBER(VALUE(RIGHT(modif0[[#This Row],[idntfn]],1))),"",IF(ISNUMBER(VALUE(LEFT(RIGHT(modif0[[#This Row],[idntfn]],2),1))),RIGHT(modif0[[#This Row],[idntfn]],1),RIGHT(modif0[[#This Row],[idntfn]],2)))</f>
        <v>ak</v>
      </c>
      <c r="L56" s="10">
        <f>objet!I74</f>
        <v>41345</v>
      </c>
      <c r="M56" s="11">
        <f>modif0[[#This Row],[srfc]]/10000</f>
        <v>4.1345000000000001</v>
      </c>
      <c r="N56" s="10" t="str">
        <f>objet!Z74</f>
        <v>PM</v>
      </c>
      <c r="O56" s="10" t="str">
        <f>objet!AA74</f>
        <v>SL2003</v>
      </c>
      <c r="P56" t="str">
        <f>IF(ISNUMBER(modif0[[#This Row],[trvx]]),"",LEFT(modif0[[#This Row],[trvx]],LEN(modif0[[#This Row],[trvx]])-4))</f>
        <v>SL</v>
      </c>
      <c r="Q56">
        <f>VALUE(RIGHT(modif0[[#This Row],[trvx]],4))</f>
        <v>2003</v>
      </c>
      <c r="R56" t="str">
        <f>_xlfn.CONCAT(modif0[[#This Row],[tp]],"-",modif0[[#This Row],[essnc]],"_",modif0[[#This Row],[anns]])</f>
        <v>SL-PM_2003</v>
      </c>
      <c r="S56" t="b">
        <f>modif0[[#This Row],[tp]]="CR"</f>
        <v>0</v>
      </c>
      <c r="T56">
        <v>40</v>
      </c>
      <c r="U56" t="str">
        <f>IF(NOT($A56),"",
IF(AO56=-2,regle!$J$11,
IF(AO56=regle!$B$12,regle!$B$11,
IF(AO56=regle!$C$12,regle!$C$11,
IF(AO56=regle!$D$12,regle!$D$11,
IF(AO56=regle!$E$12,regle!$E$11,
IF(AO56=regle!$F$12,regle!$F$11,
IF(AO56=regle!$G$12,regle!$G$11,
IF(AO56=regle!$H$12,regle!$H$11,
IF(AO56=regle!$I$12,regle!$I$11,""))))))))))</f>
        <v/>
      </c>
      <c r="V56" t="str">
        <f>IF(NOT($A56),"",
IF(AP56=-2,regle!$J$11,
IF(AP56=regle!$B$12,regle!$B$11,
IF(AP56=regle!$C$12,regle!$C$11,
IF(AP56=regle!$D$12,regle!$D$11,
IF(AP56=regle!$E$12,regle!$E$11,
IF(AP56=regle!$F$12,regle!$F$11,
IF(AP56=regle!$G$12,regle!$G$11,
IF(AP56=regle!$H$12,regle!$H$11,
IF(AP56=regle!$I$12,regle!$I$11,""))))))))))</f>
        <v/>
      </c>
      <c r="W56" t="str">
        <f>IF(NOT($A56),"",
IF(AQ56=-2,regle!$J$11,
IF(AQ56=regle!$B$12,regle!$B$11,
IF(AQ56=regle!$C$12,regle!$C$11,
IF(AQ56=regle!$D$12,regle!$D$11,
IF(AQ56=regle!$E$12,regle!$E$11,
IF(AQ56=regle!$F$12,regle!$F$11,
IF(AQ56=regle!$G$12,regle!$G$11,
IF(AQ56=regle!$H$12,regle!$H$11,
IF(AQ56=regle!$I$12,regle!$I$11,""))))))))))</f>
        <v>EC3</v>
      </c>
      <c r="X56" t="str">
        <f>IF(NOT($A56),"",
IF(AR56=-2,regle!$J$11,
IF(AR56=regle!$B$12,regle!$B$11,
IF(AR56=regle!$C$12,regle!$C$11,
IF(AR56=regle!$D$12,regle!$D$11,
IF(AR56=regle!$E$12,regle!$E$11,
IF(AR56=regle!$F$12,regle!$F$11,
IF(AR56=regle!$G$12,regle!$G$11,
IF(AR56=regle!$H$12,regle!$H$11,
IF(AR56=regle!$I$12,regle!$I$11,""))))))))))</f>
        <v/>
      </c>
      <c r="Y56" t="str">
        <f>IF(NOT($A56),"",
IF(AS56=-2,regle!$J$11,
IF(AS56=regle!$B$12,regle!$B$11,
IF(AS56=regle!$C$12,regle!$C$11,
IF(AS56=regle!$D$12,regle!$D$11,
IF(AS56=regle!$E$12,regle!$E$11,
IF(AS56=regle!$F$12,regle!$F$11,
IF(AS56=regle!$G$12,regle!$G$11,
IF(AS56=regle!$H$12,regle!$H$11,
IF(AS56=regle!$I$12,regle!$I$11,""))))))))))</f>
        <v/>
      </c>
      <c r="Z56" t="str">
        <f>IF(NOT($A56),"",
IF(AT56=-2,regle!$J$11,
IF(AT56=regle!$B$12,regle!$B$11,
IF(AT56=regle!$C$12,regle!$C$11,
IF(AT56=regle!$D$12,regle!$D$11,
IF(AT56=regle!$E$12,regle!$E$11,
IF(AT56=regle!$F$12,regle!$F$11,
IF(AT56=regle!$G$12,regle!$G$11,
IF(AT56=regle!$H$12,regle!$H$11,
IF(AT56=regle!$I$12,regle!$I$11,""))))))))))</f>
        <v/>
      </c>
      <c r="AA56" t="str">
        <f>IF(NOT($A56),"",
IF(AU56=-2,regle!$J$11,
IF(AU56=regle!$B$12,regle!$B$11,
IF(AU56=regle!$C$12,regle!$C$11,
IF(AU56=regle!$D$12,regle!$D$11,
IF(AU56=regle!$E$12,regle!$E$11,
IF(AU56=regle!$F$12,regle!$F$11,
IF(AU56=regle!$G$12,regle!$G$11,
IF(AU56=regle!$H$12,regle!$H$11,
IF(AU56=regle!$I$12,regle!$I$11,""))))))))))</f>
        <v/>
      </c>
      <c r="AB56" t="str">
        <f>IF(NOT($A56),"",
IF(AV56=-2,regle!$J$11,
IF(AV56=regle!$B$12,regle!$B$11,
IF(AV56=regle!$C$12,regle!$C$11,
IF(AV56=regle!$D$12,regle!$D$11,
IF(AV56=regle!$E$12,regle!$E$11,
IF(AV56=regle!$F$12,regle!$F$11,
IF(AV56=regle!$G$12,regle!$G$11,
IF(AV56=regle!$H$12,regle!$H$11,
IF(AV56=regle!$I$12,regle!$I$11,""))))))))))</f>
        <v>EC4</v>
      </c>
      <c r="AC56" t="str">
        <f>IF(NOT($A56),"",
IF(AW56=-2,regle!$J$11,
IF(AW56=regle!$B$12,regle!$B$11,
IF(AW56=regle!$C$12,regle!$C$11,
IF(AW56=regle!$D$12,regle!$D$11,
IF(AW56=regle!$E$12,regle!$E$11,
IF(AW56=regle!$F$12,regle!$F$11,
IF(AW56=regle!$G$12,regle!$G$11,
IF(AW56=regle!$H$12,regle!$H$11,
IF(AW56=regle!$I$12,regle!$I$11,""))))))))))</f>
        <v/>
      </c>
      <c r="AD56" t="str">
        <f>IF(NOT($A56),"",
IF(AX56=-2,regle!$J$11,
IF(AX56=regle!$B$12,regle!$B$11,
IF(AX56=regle!$C$12,regle!$C$11,
IF(AX56=regle!$D$12,regle!$D$11,
IF(AX56=regle!$E$12,regle!$E$11,
IF(AX56=regle!$F$12,regle!$F$11,
IF(AX56=regle!$G$12,regle!$G$11,
IF(AX56=regle!$H$12,regle!$H$11,
IF(AX56=regle!$I$12,regle!$I$11,""))))))))))</f>
        <v/>
      </c>
      <c r="AE56" s="14">
        <f>IF($A56,$M56*(IF(U56=regle!$B$11,regle!$B$23,IF(U56=regle!$C$11,regle!$C$23,IF(U56=regle!$D$11,regle!$D$23,IF(U56=regle!$E$11,regle!$E$23,IF(U56=regle!$F$11,regle!$F$23,IF(U56=regle!$G$11,regle!$G$23,IF(U56=regle!$H$11,regle!$H$23,IF(U56=regle!$I$11,regle!$I$23,IF(U56=regle!$J$11,regle!$J$23,0)))))))))))</f>
        <v>0</v>
      </c>
      <c r="AF56" s="14">
        <f>IF($A56,$M56*(IF(V56=regle!$B$11,regle!$B$23,IF(V56=regle!$C$11,regle!$C$23,IF(V56=regle!$D$11,regle!$D$23,IF(V56=regle!$E$11,regle!$E$23,IF(V56=regle!$F$11,regle!$F$23,IF(V56=regle!$G$11,regle!$G$23,IF(V56=regle!$H$11,regle!$H$23,IF(V56=regle!$I$11,regle!$I$23,IF(V56=regle!$J$11,regle!$J$23,0)))))))))))</f>
        <v>0</v>
      </c>
      <c r="AG56" s="14">
        <f>IF($A56,$M56*(IF(W56=regle!$B$11,regle!$B$23,IF(W56=regle!$C$11,regle!$C$23,IF(W56=regle!$D$11,regle!$D$23,IF(W56=regle!$E$11,regle!$E$23,IF(W56=regle!$F$11,regle!$F$23,IF(W56=regle!$G$11,regle!$G$23,IF(W56=regle!$H$11,regle!$H$23,IF(W56=regle!$I$11,regle!$I$23,IF(W56=regle!$J$11,regle!$J$23,0)))))))))))</f>
        <v>5821.3760000000002</v>
      </c>
      <c r="AH56" s="14">
        <f>IF($A56,$M56*(IF(X56=regle!$B$11,regle!$B$23,IF(X56=regle!$C$11,regle!$C$23,IF(X56=regle!$D$11,regle!$D$23,IF(X56=regle!$E$11,regle!$E$23,IF(X56=regle!$F$11,regle!$F$23,IF(X56=regle!$G$11,regle!$G$23,IF(X56=regle!$H$11,regle!$H$23,IF(X56=regle!$I$11,regle!$I$23,IF(X56=regle!$J$11,regle!$J$23,0)))))))))))</f>
        <v>0</v>
      </c>
      <c r="AI56" s="14">
        <f>IF($A56,$M56*(IF(Y56=regle!$B$11,regle!$B$23,IF(Y56=regle!$C$11,regle!$C$23,IF(Y56=regle!$D$11,regle!$D$23,IF(Y56=regle!$E$11,regle!$E$23,IF(Y56=regle!$F$11,regle!$F$23,IF(Y56=regle!$G$11,regle!$G$23,IF(Y56=regle!$H$11,regle!$H$23,IF(Y56=regle!$I$11,regle!$I$23,IF(Y56=regle!$J$11,regle!$J$23,0)))))))))))</f>
        <v>0</v>
      </c>
      <c r="AJ56" s="14">
        <f>IF($A56,$M56*(IF(Z56=regle!$B$11,regle!$B$23,IF(Z56=regle!$C$11,regle!$C$23,IF(Z56=regle!$D$11,regle!$D$23,IF(Z56=regle!$E$11,regle!$E$23,IF(Z56=regle!$F$11,regle!$F$23,IF(Z56=regle!$G$11,regle!$G$23,IF(Z56=regle!$H$11,regle!$H$23,IF(Z56=regle!$I$11,regle!$I$23,IF(Z56=regle!$J$11,regle!$J$23,0)))))))))))</f>
        <v>0</v>
      </c>
      <c r="AK56" s="14">
        <f>IF($A56,$M56*(IF(AA56=regle!$B$11,regle!$B$23,IF(AA56=regle!$C$11,regle!$C$23,IF(AA56=regle!$D$11,regle!$D$23,IF(AA56=regle!$E$11,regle!$E$23,IF(AA56=regle!$F$11,regle!$F$23,IF(AA56=regle!$G$11,regle!$G$23,IF(AA56=regle!$H$11,regle!$H$23,IF(AA56=regle!$I$11,regle!$I$23,IF(AA56=regle!$J$11,regle!$J$23,0)))))))))))</f>
        <v>0</v>
      </c>
      <c r="AL56" s="14">
        <f>IF($A56,$M56*(IF(AB56=regle!$B$11,regle!$B$23,IF(AB56=regle!$C$11,regle!$C$23,IF(AB56=regle!$D$11,regle!$D$23,IF(AB56=regle!$E$11,regle!$E$23,IF(AB56=regle!$F$11,regle!$F$23,IF(AB56=regle!$G$11,regle!$G$23,IF(AB56=regle!$H$11,regle!$H$23,IF(AB56=regle!$I$11,regle!$I$23,IF(AB56=regle!$J$11,regle!$J$23,0)))))))))))</f>
        <v>5292.16</v>
      </c>
      <c r="AM56" s="14">
        <f>IF($A56,$M56*(IF(AC56=regle!$B$11,regle!$B$23,IF(AC56=regle!$C$11,regle!$C$23,IF(AC56=regle!$D$11,regle!$D$23,IF(AC56=regle!$E$11,regle!$E$23,IF(AC56=regle!$F$11,regle!$F$23,IF(AC56=regle!$G$11,regle!$G$23,IF(AC56=regle!$H$11,regle!$H$23,IF(AC56=regle!$I$11,regle!$I$23,IF(AC56=regle!$J$11,regle!$J$23,0)))))))))))</f>
        <v>0</v>
      </c>
      <c r="AN56" s="14">
        <f>IF($A56,$M56*(IF(AD56=regle!$B$11,regle!$B$23,IF(AD56=regle!$C$11,regle!$C$23,IF(AD56=regle!$D$11,regle!$D$23,IF(AD56=regle!$E$11,regle!$E$23,IF(AD56=regle!$F$11,regle!$F$23,IF(AD56=regle!$G$11,regle!$G$23,IF(AD56=regle!$H$11,regle!$H$23,IF(AD56=regle!$I$11,regle!$I$23,IF(AD56=regle!$J$11,regle!$J$23,0)))))))))))</f>
        <v>0</v>
      </c>
      <c r="AO56">
        <f>IF(AO$1=$AO$1,IF(regle!B$2-$Q56&gt;=regle!$J$12,-2,IF($S56,IF(regle!$B$2-$Q56&gt;=2,0,-1),regle!B$2-$Q56)),IF(AN56+1&gt;=regle!$J$12,-2,AN56+1))</f>
        <v>21</v>
      </c>
      <c r="AP56">
        <f>IF(AP$1=$AO$1,IF(regle!C$2-$Q56&gt;=regle!$J$12,-2,IF($S56,IF(regle!$B$2-$Q56&gt;=2,0,-1),regle!C$2-$Q56)),IF(AO56+1&gt;=regle!$J$12,-2,AO56+1))</f>
        <v>22</v>
      </c>
      <c r="AQ56">
        <f>IF(AQ$1=$AO$1,IF(regle!D$2-$Q56&gt;=regle!$J$12,-2,IF($S56,IF(regle!$B$2-$Q56&gt;=2,0,-1),regle!D$2-$Q56)),IF(AP56+1&gt;=regle!$J$12,-2,AP56+1))</f>
        <v>23</v>
      </c>
      <c r="AR56">
        <f>IF(AR$1=$AO$1,IF(regle!E$2-$Q56&gt;=regle!$J$12,-2,IF($S56,IF(regle!$B$2-$Q56&gt;=2,0,-1),regle!E$2-$Q56)),IF(AQ56+1&gt;=regle!$J$12,-2,AQ56+1))</f>
        <v>24</v>
      </c>
      <c r="AS56">
        <f>IF(AS$1=$AO$1,IF(regle!F$2-$Q56&gt;=regle!$J$12,-2,IF($S56,IF(regle!$B$2-$Q56&gt;=2,0,-1),regle!F$2-$Q56)),IF(AR56+1&gt;=regle!$J$12,-2,AR56+1))</f>
        <v>25</v>
      </c>
      <c r="AT56">
        <f>IF(AT$1=$AO$1,IF(regle!G$2-$Q56&gt;=regle!$J$12,-2,IF($S56,IF(regle!$B$2-$Q56&gt;=2,0,-1),regle!G$2-$Q56)),IF(AS56+1&gt;=regle!$J$12,-2,AS56+1))</f>
        <v>26</v>
      </c>
      <c r="AU56">
        <f>IF(AU$1=$AO$1,IF(regle!H$2-$Q56&gt;=regle!$J$12,-2,IF($S56,IF(regle!$B$2-$Q56&gt;=2,0,-1),regle!H$2-$Q56)),IF(AT56+1&gt;=regle!$J$12,-2,AT56+1))</f>
        <v>27</v>
      </c>
      <c r="AV56">
        <f>IF(AV$1=$AO$1,IF(regle!I$2-$Q56&gt;=regle!$J$12,-2,IF($S56,IF(regle!$B$2-$Q56&gt;=2,0,-1),regle!I$2-$Q56)),IF(AU56+1&gt;=regle!$J$12,-2,AU56+1))</f>
        <v>28</v>
      </c>
      <c r="AW56">
        <f>IF(AW$1=$AO$1,IF(regle!J$2-$Q56&gt;=regle!$J$12,-2,IF($S56,IF(regle!$B$2-$Q56&gt;=2,0,-1),regle!J$2-$Q56)),IF(AV56+1&gt;=regle!$J$12,-2,AV56+1))</f>
        <v>29</v>
      </c>
      <c r="AX56">
        <f>IF(AX$1=$AO$1,IF(regle!K$2-$Q56&gt;=regle!$J$12,-2,IF($S56,IF(regle!$B$2-$Q56&gt;=2,0,-1),regle!K$2-$Q56)),IF(AW56+1&gt;=regle!$J$12,-2,AW56+1))</f>
        <v>30</v>
      </c>
    </row>
    <row r="57" spans="1:50" x14ac:dyDescent="0.25">
      <c r="A57" t="b">
        <f>AND(modif0[[#This Row],[cdstr]]&lt;&gt;0,OR(regle!$H$27=FALSE,modif0[[#This Row],[essnc]]="PM"))</f>
        <v>1</v>
      </c>
      <c r="B57">
        <f>ROW(objet!A75)</f>
        <v>75</v>
      </c>
      <c r="C57" s="10" t="str">
        <f>objet!D75</f>
        <v>5360000A0523</v>
      </c>
      <c r="D57" t="str">
        <f>LEFT(modif0[[#This Row],[cdstr]],3)</f>
        <v>536</v>
      </c>
      <c r="E57" s="10" t="str">
        <f>objet!G75</f>
        <v>LE TUZAN</v>
      </c>
      <c r="F57">
        <f>LEN(modif0[[#This Row],[l_dt]])</f>
        <v>21</v>
      </c>
      <c r="G57" s="10" t="str">
        <f>objet!H75</f>
        <v>METAIRIES DE TABARTON</v>
      </c>
      <c r="H57" s="10" t="str">
        <f>objet!C75</f>
        <v>A523al</v>
      </c>
      <c r="I57" t="str">
        <f>IF(ISNUMBER(VALUE(RIGHT(LEFT(modif0[[#This Row],[idntfn]],2),1))),_xlfn.CONCAT(0,LEFT(modif0[[#This Row],[idntfn]],1)),LEFT(modif0[[#This Row],[idntfn]],2))</f>
        <v>0A</v>
      </c>
      <c r="J57">
        <f>VALUE(LEFT(RIGHT(modif0[[#This Row],[idntfn]],LEN(modif0[[#This Row],[idntfn]])-IF(LEFT(modif0[[#This Row],[sctn]],1)="0",1,2)),LEN(modif0[[#This Row],[idntfn]])-IF(LEFT(modif0[[#This Row],[sctn]],1)="0",1,2)-LEN(modif0[[#This Row],[lttr]])))</f>
        <v>523</v>
      </c>
      <c r="K57" t="str">
        <f>IF(ISNUMBER(VALUE(RIGHT(modif0[[#This Row],[idntfn]],1))),"",IF(ISNUMBER(VALUE(LEFT(RIGHT(modif0[[#This Row],[idntfn]],2),1))),RIGHT(modif0[[#This Row],[idntfn]],1),RIGHT(modif0[[#This Row],[idntfn]],2)))</f>
        <v>al</v>
      </c>
      <c r="L57" s="10">
        <f>objet!I75</f>
        <v>9951</v>
      </c>
      <c r="M57" s="11">
        <f>modif0[[#This Row],[srfc]]/10000</f>
        <v>0.99509999999999998</v>
      </c>
      <c r="N57" s="10" t="str">
        <f>objet!Z75</f>
        <v>PM</v>
      </c>
      <c r="O57" s="10" t="str">
        <f>objet!AA75</f>
        <v>SL2003</v>
      </c>
      <c r="P57" t="str">
        <f>IF(ISNUMBER(modif0[[#This Row],[trvx]]),"",LEFT(modif0[[#This Row],[trvx]],LEN(modif0[[#This Row],[trvx]])-4))</f>
        <v>SL</v>
      </c>
      <c r="Q57">
        <f>VALUE(RIGHT(modif0[[#This Row],[trvx]],4))</f>
        <v>2003</v>
      </c>
      <c r="R57" t="str">
        <f>_xlfn.CONCAT(modif0[[#This Row],[tp]],"-",modif0[[#This Row],[essnc]],"_",modif0[[#This Row],[anns]])</f>
        <v>SL-PM_2003</v>
      </c>
      <c r="S57" t="b">
        <f>modif0[[#This Row],[tp]]="CR"</f>
        <v>0</v>
      </c>
      <c r="T57">
        <v>40</v>
      </c>
      <c r="U57" t="str">
        <f>IF(NOT($A57),"",
IF(AO57=-2,regle!$J$11,
IF(AO57=regle!$B$12,regle!$B$11,
IF(AO57=regle!$C$12,regle!$C$11,
IF(AO57=regle!$D$12,regle!$D$11,
IF(AO57=regle!$E$12,regle!$E$11,
IF(AO57=regle!$F$12,regle!$F$11,
IF(AO57=regle!$G$12,regle!$G$11,
IF(AO57=regle!$H$12,regle!$H$11,
IF(AO57=regle!$I$12,regle!$I$11,""))))))))))</f>
        <v/>
      </c>
      <c r="V57" t="str">
        <f>IF(NOT($A57),"",
IF(AP57=-2,regle!$J$11,
IF(AP57=regle!$B$12,regle!$B$11,
IF(AP57=regle!$C$12,regle!$C$11,
IF(AP57=regle!$D$12,regle!$D$11,
IF(AP57=regle!$E$12,regle!$E$11,
IF(AP57=regle!$F$12,regle!$F$11,
IF(AP57=regle!$G$12,regle!$G$11,
IF(AP57=regle!$H$12,regle!$H$11,
IF(AP57=regle!$I$12,regle!$I$11,""))))))))))</f>
        <v/>
      </c>
      <c r="W57" t="str">
        <f>IF(NOT($A57),"",
IF(AQ57=-2,regle!$J$11,
IF(AQ57=regle!$B$12,regle!$B$11,
IF(AQ57=regle!$C$12,regle!$C$11,
IF(AQ57=regle!$D$12,regle!$D$11,
IF(AQ57=regle!$E$12,regle!$E$11,
IF(AQ57=regle!$F$12,regle!$F$11,
IF(AQ57=regle!$G$12,regle!$G$11,
IF(AQ57=regle!$H$12,regle!$H$11,
IF(AQ57=regle!$I$12,regle!$I$11,""))))))))))</f>
        <v>EC3</v>
      </c>
      <c r="X57" t="str">
        <f>IF(NOT($A57),"",
IF(AR57=-2,regle!$J$11,
IF(AR57=regle!$B$12,regle!$B$11,
IF(AR57=regle!$C$12,regle!$C$11,
IF(AR57=regle!$D$12,regle!$D$11,
IF(AR57=regle!$E$12,regle!$E$11,
IF(AR57=regle!$F$12,regle!$F$11,
IF(AR57=regle!$G$12,regle!$G$11,
IF(AR57=regle!$H$12,regle!$H$11,
IF(AR57=regle!$I$12,regle!$I$11,""))))))))))</f>
        <v/>
      </c>
      <c r="Y57" t="str">
        <f>IF(NOT($A57),"",
IF(AS57=-2,regle!$J$11,
IF(AS57=regle!$B$12,regle!$B$11,
IF(AS57=regle!$C$12,regle!$C$11,
IF(AS57=regle!$D$12,regle!$D$11,
IF(AS57=regle!$E$12,regle!$E$11,
IF(AS57=regle!$F$12,regle!$F$11,
IF(AS57=regle!$G$12,regle!$G$11,
IF(AS57=regle!$H$12,regle!$H$11,
IF(AS57=regle!$I$12,regle!$I$11,""))))))))))</f>
        <v/>
      </c>
      <c r="Z57" t="str">
        <f>IF(NOT($A57),"",
IF(AT57=-2,regle!$J$11,
IF(AT57=regle!$B$12,regle!$B$11,
IF(AT57=regle!$C$12,regle!$C$11,
IF(AT57=regle!$D$12,regle!$D$11,
IF(AT57=regle!$E$12,regle!$E$11,
IF(AT57=regle!$F$12,regle!$F$11,
IF(AT57=regle!$G$12,regle!$G$11,
IF(AT57=regle!$H$12,regle!$H$11,
IF(AT57=regle!$I$12,regle!$I$11,""))))))))))</f>
        <v/>
      </c>
      <c r="AA57" t="str">
        <f>IF(NOT($A57),"",
IF(AU57=-2,regle!$J$11,
IF(AU57=regle!$B$12,regle!$B$11,
IF(AU57=regle!$C$12,regle!$C$11,
IF(AU57=regle!$D$12,regle!$D$11,
IF(AU57=regle!$E$12,regle!$E$11,
IF(AU57=regle!$F$12,regle!$F$11,
IF(AU57=regle!$G$12,regle!$G$11,
IF(AU57=regle!$H$12,regle!$H$11,
IF(AU57=regle!$I$12,regle!$I$11,""))))))))))</f>
        <v/>
      </c>
      <c r="AB57" t="str">
        <f>IF(NOT($A57),"",
IF(AV57=-2,regle!$J$11,
IF(AV57=regle!$B$12,regle!$B$11,
IF(AV57=regle!$C$12,regle!$C$11,
IF(AV57=regle!$D$12,regle!$D$11,
IF(AV57=regle!$E$12,regle!$E$11,
IF(AV57=regle!$F$12,regle!$F$11,
IF(AV57=regle!$G$12,regle!$G$11,
IF(AV57=regle!$H$12,regle!$H$11,
IF(AV57=regle!$I$12,regle!$I$11,""))))))))))</f>
        <v>EC4</v>
      </c>
      <c r="AC57" t="str">
        <f>IF(NOT($A57),"",
IF(AW57=-2,regle!$J$11,
IF(AW57=regle!$B$12,regle!$B$11,
IF(AW57=regle!$C$12,regle!$C$11,
IF(AW57=regle!$D$12,regle!$D$11,
IF(AW57=regle!$E$12,regle!$E$11,
IF(AW57=regle!$F$12,regle!$F$11,
IF(AW57=regle!$G$12,regle!$G$11,
IF(AW57=regle!$H$12,regle!$H$11,
IF(AW57=regle!$I$12,regle!$I$11,""))))))))))</f>
        <v/>
      </c>
      <c r="AD57" t="str">
        <f>IF(NOT($A57),"",
IF(AX57=-2,regle!$J$11,
IF(AX57=regle!$B$12,regle!$B$11,
IF(AX57=regle!$C$12,regle!$C$11,
IF(AX57=regle!$D$12,regle!$D$11,
IF(AX57=regle!$E$12,regle!$E$11,
IF(AX57=regle!$F$12,regle!$F$11,
IF(AX57=regle!$G$12,regle!$G$11,
IF(AX57=regle!$H$12,regle!$H$11,
IF(AX57=regle!$I$12,regle!$I$11,""))))))))))</f>
        <v/>
      </c>
      <c r="AE57" s="14">
        <f>IF($A57,$M57*(IF(U57=regle!$B$11,regle!$B$23,IF(U57=regle!$C$11,regle!$C$23,IF(U57=regle!$D$11,regle!$D$23,IF(U57=regle!$E$11,regle!$E$23,IF(U57=regle!$F$11,regle!$F$23,IF(U57=regle!$G$11,regle!$G$23,IF(U57=regle!$H$11,regle!$H$23,IF(U57=regle!$I$11,regle!$I$23,IF(U57=regle!$J$11,regle!$J$23,0)))))))))))</f>
        <v>0</v>
      </c>
      <c r="AF57" s="14">
        <f>IF($A57,$M57*(IF(V57=regle!$B$11,regle!$B$23,IF(V57=regle!$C$11,regle!$C$23,IF(V57=regle!$D$11,regle!$D$23,IF(V57=regle!$E$11,regle!$E$23,IF(V57=regle!$F$11,regle!$F$23,IF(V57=regle!$G$11,regle!$G$23,IF(V57=regle!$H$11,regle!$H$23,IF(V57=regle!$I$11,regle!$I$23,IF(V57=regle!$J$11,regle!$J$23,0)))))))))))</f>
        <v>0</v>
      </c>
      <c r="AG57" s="14">
        <f>IF($A57,$M57*(IF(W57=regle!$B$11,regle!$B$23,IF(W57=regle!$C$11,regle!$C$23,IF(W57=regle!$D$11,regle!$D$23,IF(W57=regle!$E$11,regle!$E$23,IF(W57=regle!$F$11,regle!$F$23,IF(W57=regle!$G$11,regle!$G$23,IF(W57=regle!$H$11,regle!$H$23,IF(W57=regle!$I$11,regle!$I$23,IF(W57=regle!$J$11,regle!$J$23,0)))))))))))</f>
        <v>1401.1007999999999</v>
      </c>
      <c r="AH57" s="14">
        <f>IF($A57,$M57*(IF(X57=regle!$B$11,regle!$B$23,IF(X57=regle!$C$11,regle!$C$23,IF(X57=regle!$D$11,regle!$D$23,IF(X57=regle!$E$11,regle!$E$23,IF(X57=regle!$F$11,regle!$F$23,IF(X57=regle!$G$11,regle!$G$23,IF(X57=regle!$H$11,regle!$H$23,IF(X57=regle!$I$11,regle!$I$23,IF(X57=regle!$J$11,regle!$J$23,0)))))))))))</f>
        <v>0</v>
      </c>
      <c r="AI57" s="14">
        <f>IF($A57,$M57*(IF(Y57=regle!$B$11,regle!$B$23,IF(Y57=regle!$C$11,regle!$C$23,IF(Y57=regle!$D$11,regle!$D$23,IF(Y57=regle!$E$11,regle!$E$23,IF(Y57=regle!$F$11,regle!$F$23,IF(Y57=regle!$G$11,regle!$G$23,IF(Y57=regle!$H$11,regle!$H$23,IF(Y57=regle!$I$11,regle!$I$23,IF(Y57=regle!$J$11,regle!$J$23,0)))))))))))</f>
        <v>0</v>
      </c>
      <c r="AJ57" s="14">
        <f>IF($A57,$M57*(IF(Z57=regle!$B$11,regle!$B$23,IF(Z57=regle!$C$11,regle!$C$23,IF(Z57=regle!$D$11,regle!$D$23,IF(Z57=regle!$E$11,regle!$E$23,IF(Z57=regle!$F$11,regle!$F$23,IF(Z57=regle!$G$11,regle!$G$23,IF(Z57=regle!$H$11,regle!$H$23,IF(Z57=regle!$I$11,regle!$I$23,IF(Z57=regle!$J$11,regle!$J$23,0)))))))))))</f>
        <v>0</v>
      </c>
      <c r="AK57" s="14">
        <f>IF($A57,$M57*(IF(AA57=regle!$B$11,regle!$B$23,IF(AA57=regle!$C$11,regle!$C$23,IF(AA57=regle!$D$11,regle!$D$23,IF(AA57=regle!$E$11,regle!$E$23,IF(AA57=regle!$F$11,regle!$F$23,IF(AA57=regle!$G$11,regle!$G$23,IF(AA57=regle!$H$11,regle!$H$23,IF(AA57=regle!$I$11,regle!$I$23,IF(AA57=regle!$J$11,regle!$J$23,0)))))))))))</f>
        <v>0</v>
      </c>
      <c r="AL57" s="14">
        <f>IF($A57,$M57*(IF(AB57=regle!$B$11,regle!$B$23,IF(AB57=regle!$C$11,regle!$C$23,IF(AB57=regle!$D$11,regle!$D$23,IF(AB57=regle!$E$11,regle!$E$23,IF(AB57=regle!$F$11,regle!$F$23,IF(AB57=regle!$G$11,regle!$G$23,IF(AB57=regle!$H$11,regle!$H$23,IF(AB57=regle!$I$11,regle!$I$23,IF(AB57=regle!$J$11,regle!$J$23,0)))))))))))</f>
        <v>1273.7280000000001</v>
      </c>
      <c r="AM57" s="14">
        <f>IF($A57,$M57*(IF(AC57=regle!$B$11,regle!$B$23,IF(AC57=regle!$C$11,regle!$C$23,IF(AC57=regle!$D$11,regle!$D$23,IF(AC57=regle!$E$11,regle!$E$23,IF(AC57=regle!$F$11,regle!$F$23,IF(AC57=regle!$G$11,regle!$G$23,IF(AC57=regle!$H$11,regle!$H$23,IF(AC57=regle!$I$11,regle!$I$23,IF(AC57=regle!$J$11,regle!$J$23,0)))))))))))</f>
        <v>0</v>
      </c>
      <c r="AN57" s="14">
        <f>IF($A57,$M57*(IF(AD57=regle!$B$11,regle!$B$23,IF(AD57=regle!$C$11,regle!$C$23,IF(AD57=regle!$D$11,regle!$D$23,IF(AD57=regle!$E$11,regle!$E$23,IF(AD57=regle!$F$11,regle!$F$23,IF(AD57=regle!$G$11,regle!$G$23,IF(AD57=regle!$H$11,regle!$H$23,IF(AD57=regle!$I$11,regle!$I$23,IF(AD57=regle!$J$11,regle!$J$23,0)))))))))))</f>
        <v>0</v>
      </c>
      <c r="AO57">
        <f>IF(AO$1=$AO$1,IF(regle!B$2-$Q57&gt;=regle!$J$12,-2,IF($S57,IF(regle!$B$2-$Q57&gt;=2,0,-1),regle!B$2-$Q57)),IF(AN57+1&gt;=regle!$J$12,-2,AN57+1))</f>
        <v>21</v>
      </c>
      <c r="AP57">
        <f>IF(AP$1=$AO$1,IF(regle!C$2-$Q57&gt;=regle!$J$12,-2,IF($S57,IF(regle!$B$2-$Q57&gt;=2,0,-1),regle!C$2-$Q57)),IF(AO57+1&gt;=regle!$J$12,-2,AO57+1))</f>
        <v>22</v>
      </c>
      <c r="AQ57">
        <f>IF(AQ$1=$AO$1,IF(regle!D$2-$Q57&gt;=regle!$J$12,-2,IF($S57,IF(regle!$B$2-$Q57&gt;=2,0,-1),regle!D$2-$Q57)),IF(AP57+1&gt;=regle!$J$12,-2,AP57+1))</f>
        <v>23</v>
      </c>
      <c r="AR57">
        <f>IF(AR$1=$AO$1,IF(regle!E$2-$Q57&gt;=regle!$J$12,-2,IF($S57,IF(regle!$B$2-$Q57&gt;=2,0,-1),regle!E$2-$Q57)),IF(AQ57+1&gt;=regle!$J$12,-2,AQ57+1))</f>
        <v>24</v>
      </c>
      <c r="AS57">
        <f>IF(AS$1=$AO$1,IF(regle!F$2-$Q57&gt;=regle!$J$12,-2,IF($S57,IF(regle!$B$2-$Q57&gt;=2,0,-1),regle!F$2-$Q57)),IF(AR57+1&gt;=regle!$J$12,-2,AR57+1))</f>
        <v>25</v>
      </c>
      <c r="AT57">
        <f>IF(AT$1=$AO$1,IF(regle!G$2-$Q57&gt;=regle!$J$12,-2,IF($S57,IF(regle!$B$2-$Q57&gt;=2,0,-1),regle!G$2-$Q57)),IF(AS57+1&gt;=regle!$J$12,-2,AS57+1))</f>
        <v>26</v>
      </c>
      <c r="AU57">
        <f>IF(AU$1=$AO$1,IF(regle!H$2-$Q57&gt;=regle!$J$12,-2,IF($S57,IF(regle!$B$2-$Q57&gt;=2,0,-1),regle!H$2-$Q57)),IF(AT57+1&gt;=regle!$J$12,-2,AT57+1))</f>
        <v>27</v>
      </c>
      <c r="AV57">
        <f>IF(AV$1=$AO$1,IF(regle!I$2-$Q57&gt;=regle!$J$12,-2,IF($S57,IF(regle!$B$2-$Q57&gt;=2,0,-1),regle!I$2-$Q57)),IF(AU57+1&gt;=regle!$J$12,-2,AU57+1))</f>
        <v>28</v>
      </c>
      <c r="AW57">
        <f>IF(AW$1=$AO$1,IF(regle!J$2-$Q57&gt;=regle!$J$12,-2,IF($S57,IF(regle!$B$2-$Q57&gt;=2,0,-1),regle!J$2-$Q57)),IF(AV57+1&gt;=regle!$J$12,-2,AV57+1))</f>
        <v>29</v>
      </c>
      <c r="AX57">
        <f>IF(AX$1=$AO$1,IF(regle!K$2-$Q57&gt;=regle!$J$12,-2,IF($S57,IF(regle!$B$2-$Q57&gt;=2,0,-1),regle!K$2-$Q57)),IF(AW57+1&gt;=regle!$J$12,-2,AW57+1))</f>
        <v>30</v>
      </c>
    </row>
    <row r="58" spans="1:50" x14ac:dyDescent="0.25">
      <c r="A58" t="b">
        <f>AND(modif0[[#This Row],[cdstr]]&lt;&gt;0,OR(regle!$H$27=FALSE,modif0[[#This Row],[essnc]]="PM"))</f>
        <v>1</v>
      </c>
      <c r="B58">
        <f>ROW(objet!A76)</f>
        <v>76</v>
      </c>
      <c r="C58" s="10" t="str">
        <f>objet!D76</f>
        <v>5360000A0523</v>
      </c>
      <c r="D58" t="str">
        <f>LEFT(modif0[[#This Row],[cdstr]],3)</f>
        <v>536</v>
      </c>
      <c r="E58" s="10" t="str">
        <f>objet!G76</f>
        <v>LE TUZAN</v>
      </c>
      <c r="F58">
        <f>LEN(modif0[[#This Row],[l_dt]])</f>
        <v>21</v>
      </c>
      <c r="G58" s="10" t="str">
        <f>objet!H76</f>
        <v>METAIRIES DE TABARTON</v>
      </c>
      <c r="H58" s="10" t="str">
        <f>objet!C76</f>
        <v>A523b</v>
      </c>
      <c r="I58" t="str">
        <f>IF(ISNUMBER(VALUE(RIGHT(LEFT(modif0[[#This Row],[idntfn]],2),1))),_xlfn.CONCAT(0,LEFT(modif0[[#This Row],[idntfn]],1)),LEFT(modif0[[#This Row],[idntfn]],2))</f>
        <v>0A</v>
      </c>
      <c r="J58">
        <f>VALUE(LEFT(RIGHT(modif0[[#This Row],[idntfn]],LEN(modif0[[#This Row],[idntfn]])-IF(LEFT(modif0[[#This Row],[sctn]],1)="0",1,2)),LEN(modif0[[#This Row],[idntfn]])-IF(LEFT(modif0[[#This Row],[sctn]],1)="0",1,2)-LEN(modif0[[#This Row],[lttr]])))</f>
        <v>523</v>
      </c>
      <c r="K58" t="str">
        <f>IF(ISNUMBER(VALUE(RIGHT(modif0[[#This Row],[idntfn]],1))),"",IF(ISNUMBER(VALUE(LEFT(RIGHT(modif0[[#This Row],[idntfn]],2),1))),RIGHT(modif0[[#This Row],[idntfn]],1),RIGHT(modif0[[#This Row],[idntfn]],2)))</f>
        <v>b</v>
      </c>
      <c r="L58" s="10">
        <f>objet!I76</f>
        <v>16521</v>
      </c>
      <c r="M58" s="11">
        <f>modif0[[#This Row],[srfc]]/10000</f>
        <v>1.6520999999999999</v>
      </c>
      <c r="N58" s="10" t="str">
        <f>objet!Z76</f>
        <v>PM</v>
      </c>
      <c r="O58" s="10" t="str">
        <f>objet!AA76</f>
        <v>PLA2015</v>
      </c>
      <c r="P58" t="str">
        <f>IF(ISNUMBER(modif0[[#This Row],[trvx]]),"",LEFT(modif0[[#This Row],[trvx]],LEN(modif0[[#This Row],[trvx]])-4))</f>
        <v>PLA</v>
      </c>
      <c r="Q58">
        <f>VALUE(RIGHT(modif0[[#This Row],[trvx]],4))</f>
        <v>2015</v>
      </c>
      <c r="R58" t="str">
        <f>_xlfn.CONCAT(modif0[[#This Row],[tp]],"-",modif0[[#This Row],[essnc]],"_",modif0[[#This Row],[anns]])</f>
        <v>PLA-PM_2015</v>
      </c>
      <c r="S58" t="b">
        <f>modif0[[#This Row],[tp]]="CR"</f>
        <v>0</v>
      </c>
      <c r="T58">
        <v>40</v>
      </c>
      <c r="U58" t="str">
        <f>IF(NOT($A58),"",
IF(AO58=-2,regle!$J$11,
IF(AO58=regle!$B$12,regle!$B$11,
IF(AO58=regle!$C$12,regle!$C$11,
IF(AO58=regle!$D$12,regle!$D$11,
IF(AO58=regle!$E$12,regle!$E$11,
IF(AO58=regle!$F$12,regle!$F$11,
IF(AO58=regle!$G$12,regle!$G$11,
IF(AO58=regle!$H$12,regle!$H$11,
IF(AO58=regle!$I$12,regle!$I$11,""))))))))))</f>
        <v/>
      </c>
      <c r="V58" t="str">
        <f>IF(NOT($A58),"",
IF(AP58=-2,regle!$J$11,
IF(AP58=regle!$B$12,regle!$B$11,
IF(AP58=regle!$C$12,regle!$C$11,
IF(AP58=regle!$D$12,regle!$D$11,
IF(AP58=regle!$E$12,regle!$E$11,
IF(AP58=regle!$F$12,regle!$F$11,
IF(AP58=regle!$G$12,regle!$G$11,
IF(AP58=regle!$H$12,regle!$H$11,
IF(AP58=regle!$I$12,regle!$I$11,""))))))))))</f>
        <v/>
      </c>
      <c r="W58" t="str">
        <f>IF(NOT($A58),"",
IF(AQ58=-2,regle!$J$11,
IF(AQ58=regle!$B$12,regle!$B$11,
IF(AQ58=regle!$C$12,regle!$C$11,
IF(AQ58=regle!$D$12,regle!$D$11,
IF(AQ58=regle!$E$12,regle!$E$11,
IF(AQ58=regle!$F$12,regle!$F$11,
IF(AQ58=regle!$G$12,regle!$G$11,
IF(AQ58=regle!$H$12,regle!$H$11,
IF(AQ58=regle!$I$12,regle!$I$11,""))))))))))</f>
        <v/>
      </c>
      <c r="X58" t="str">
        <f>IF(NOT($A58),"",
IF(AR58=-2,regle!$J$11,
IF(AR58=regle!$B$12,regle!$B$11,
IF(AR58=regle!$C$12,regle!$C$11,
IF(AR58=regle!$D$12,regle!$D$11,
IF(AR58=regle!$E$12,regle!$E$11,
IF(AR58=regle!$F$12,regle!$F$11,
IF(AR58=regle!$G$12,regle!$G$11,
IF(AR58=regle!$H$12,regle!$H$11,
IF(AR58=regle!$I$12,regle!$I$11,""))))))))))</f>
        <v/>
      </c>
      <c r="Y58" t="str">
        <f>IF(NOT($A58),"",
IF(AS58=-2,regle!$J$11,
IF(AS58=regle!$B$12,regle!$B$11,
IF(AS58=regle!$C$12,regle!$C$11,
IF(AS58=regle!$D$12,regle!$D$11,
IF(AS58=regle!$E$12,regle!$E$11,
IF(AS58=regle!$F$12,regle!$F$11,
IF(AS58=regle!$G$12,regle!$G$11,
IF(AS58=regle!$H$12,regle!$H$11,
IF(AS58=regle!$I$12,regle!$I$11,""))))))))))</f>
        <v>EC1</v>
      </c>
      <c r="Z58" t="str">
        <f>IF(NOT($A58),"",
IF(AT58=-2,regle!$J$11,
IF(AT58=regle!$B$12,regle!$B$11,
IF(AT58=regle!$C$12,regle!$C$11,
IF(AT58=regle!$D$12,regle!$D$11,
IF(AT58=regle!$E$12,regle!$E$11,
IF(AT58=regle!$F$12,regle!$F$11,
IF(AT58=regle!$G$12,regle!$G$11,
IF(AT58=regle!$H$12,regle!$H$11,
IF(AT58=regle!$I$12,regle!$I$11,""))))))))))</f>
        <v/>
      </c>
      <c r="AA58" t="str">
        <f>IF(NOT($A58),"",
IF(AU58=-2,regle!$J$11,
IF(AU58=regle!$B$12,regle!$B$11,
IF(AU58=regle!$C$12,regle!$C$11,
IF(AU58=regle!$D$12,regle!$D$11,
IF(AU58=regle!$E$12,regle!$E$11,
IF(AU58=regle!$F$12,regle!$F$11,
IF(AU58=regle!$G$12,regle!$G$11,
IF(AU58=regle!$H$12,regle!$H$11,
IF(AU58=regle!$I$12,regle!$I$11,""))))))))))</f>
        <v/>
      </c>
      <c r="AB58" t="str">
        <f>IF(NOT($A58),"",
IF(AV58=-2,regle!$J$11,
IF(AV58=regle!$B$12,regle!$B$11,
IF(AV58=regle!$C$12,regle!$C$11,
IF(AV58=regle!$D$12,regle!$D$11,
IF(AV58=regle!$E$12,regle!$E$11,
IF(AV58=regle!$F$12,regle!$F$11,
IF(AV58=regle!$G$12,regle!$G$11,
IF(AV58=regle!$H$12,regle!$H$11,
IF(AV58=regle!$I$12,regle!$I$11,""))))))))))</f>
        <v/>
      </c>
      <c r="AC58" t="str">
        <f>IF(NOT($A58),"",
IF(AW58=-2,regle!$J$11,
IF(AW58=regle!$B$12,regle!$B$11,
IF(AW58=regle!$C$12,regle!$C$11,
IF(AW58=regle!$D$12,regle!$D$11,
IF(AW58=regle!$E$12,regle!$E$11,
IF(AW58=regle!$F$12,regle!$F$11,
IF(AW58=regle!$G$12,regle!$G$11,
IF(AW58=regle!$H$12,regle!$H$11,
IF(AW58=regle!$I$12,regle!$I$11,""))))))))))</f>
        <v/>
      </c>
      <c r="AD58" t="str">
        <f>IF(NOT($A58),"",
IF(AX58=-2,regle!$J$11,
IF(AX58=regle!$B$12,regle!$B$11,
IF(AX58=regle!$C$12,regle!$C$11,
IF(AX58=regle!$D$12,regle!$D$11,
IF(AX58=regle!$E$12,regle!$E$11,
IF(AX58=regle!$F$12,regle!$F$11,
IF(AX58=regle!$G$12,regle!$G$11,
IF(AX58=regle!$H$12,regle!$H$11,
IF(AX58=regle!$I$12,regle!$I$11,""))))))))))</f>
        <v>EC2</v>
      </c>
      <c r="AE58" s="14">
        <f>IF($A58,$M58*(IF(U58=regle!$B$11,regle!$B$23,IF(U58=regle!$C$11,regle!$C$23,IF(U58=regle!$D$11,regle!$D$23,IF(U58=regle!$E$11,regle!$E$23,IF(U58=regle!$F$11,regle!$F$23,IF(U58=regle!$G$11,regle!$G$23,IF(U58=regle!$H$11,regle!$H$23,IF(U58=regle!$I$11,regle!$I$23,IF(U58=regle!$J$11,regle!$J$23,0)))))))))))</f>
        <v>0</v>
      </c>
      <c r="AF58" s="14">
        <f>IF($A58,$M58*(IF(V58=regle!$B$11,regle!$B$23,IF(V58=regle!$C$11,regle!$C$23,IF(V58=regle!$D$11,regle!$D$23,IF(V58=regle!$E$11,regle!$E$23,IF(V58=regle!$F$11,regle!$F$23,IF(V58=regle!$G$11,regle!$G$23,IF(V58=regle!$H$11,regle!$H$23,IF(V58=regle!$I$11,regle!$I$23,IF(V58=regle!$J$11,regle!$J$23,0)))))))))))</f>
        <v>0</v>
      </c>
      <c r="AG58" s="14">
        <f>IF($A58,$M58*(IF(W58=regle!$B$11,regle!$B$23,IF(W58=regle!$C$11,regle!$C$23,IF(W58=regle!$D$11,regle!$D$23,IF(W58=regle!$E$11,regle!$E$23,IF(W58=regle!$F$11,regle!$F$23,IF(W58=regle!$G$11,regle!$G$23,IF(W58=regle!$H$11,regle!$H$23,IF(W58=regle!$I$11,regle!$I$23,IF(W58=regle!$J$11,regle!$J$23,0)))))))))))</f>
        <v>0</v>
      </c>
      <c r="AH58" s="14">
        <f>IF($A58,$M58*(IF(X58=regle!$B$11,regle!$B$23,IF(X58=regle!$C$11,regle!$C$23,IF(X58=regle!$D$11,regle!$D$23,IF(X58=regle!$E$11,regle!$E$23,IF(X58=regle!$F$11,regle!$F$23,IF(X58=regle!$G$11,regle!$G$23,IF(X58=regle!$H$11,regle!$H$23,IF(X58=regle!$I$11,regle!$I$23,IF(X58=regle!$J$11,regle!$J$23,0)))))))))))</f>
        <v>0</v>
      </c>
      <c r="AI58" s="14">
        <f>IF($A58,$M58*(IF(Y58=regle!$B$11,regle!$B$23,IF(Y58=regle!$C$11,regle!$C$23,IF(Y58=regle!$D$11,regle!$D$23,IF(Y58=regle!$E$11,regle!$E$23,IF(Y58=regle!$F$11,regle!$F$23,IF(Y58=regle!$G$11,regle!$G$23,IF(Y58=regle!$H$11,regle!$H$23,IF(Y58=regle!$I$11,regle!$I$23,IF(Y58=regle!$J$11,regle!$J$23,0)))))))))))</f>
        <v>951.6096</v>
      </c>
      <c r="AJ58" s="14">
        <f>IF($A58,$M58*(IF(Z58=regle!$B$11,regle!$B$23,IF(Z58=regle!$C$11,regle!$C$23,IF(Z58=regle!$D$11,regle!$D$23,IF(Z58=regle!$E$11,regle!$E$23,IF(Z58=regle!$F$11,regle!$F$23,IF(Z58=regle!$G$11,regle!$G$23,IF(Z58=regle!$H$11,regle!$H$23,IF(Z58=regle!$I$11,regle!$I$23,IF(Z58=regle!$J$11,regle!$J$23,0)))))))))))</f>
        <v>0</v>
      </c>
      <c r="AK58" s="14">
        <f>IF($A58,$M58*(IF(AA58=regle!$B$11,regle!$B$23,IF(AA58=regle!$C$11,regle!$C$23,IF(AA58=regle!$D$11,regle!$D$23,IF(AA58=regle!$E$11,regle!$E$23,IF(AA58=regle!$F$11,regle!$F$23,IF(AA58=regle!$G$11,regle!$G$23,IF(AA58=regle!$H$11,regle!$H$23,IF(AA58=regle!$I$11,regle!$I$23,IF(AA58=regle!$J$11,regle!$J$23,0)))))))))))</f>
        <v>0</v>
      </c>
      <c r="AL58" s="14">
        <f>IF($A58,$M58*(IF(AB58=regle!$B$11,regle!$B$23,IF(AB58=regle!$C$11,regle!$C$23,IF(AB58=regle!$D$11,regle!$D$23,IF(AB58=regle!$E$11,regle!$E$23,IF(AB58=regle!$F$11,regle!$F$23,IF(AB58=regle!$G$11,regle!$G$23,IF(AB58=regle!$H$11,regle!$H$23,IF(AB58=regle!$I$11,regle!$I$23,IF(AB58=regle!$J$11,regle!$J$23,0)))))))))))</f>
        <v>0</v>
      </c>
      <c r="AM58" s="14">
        <f>IF($A58,$M58*(IF(AC58=regle!$B$11,regle!$B$23,IF(AC58=regle!$C$11,regle!$C$23,IF(AC58=regle!$D$11,regle!$D$23,IF(AC58=regle!$E$11,regle!$E$23,IF(AC58=regle!$F$11,regle!$F$23,IF(AC58=regle!$G$11,regle!$G$23,IF(AC58=regle!$H$11,regle!$H$23,IF(AC58=regle!$I$11,regle!$I$23,IF(AC58=regle!$J$11,regle!$J$23,0)))))))))))</f>
        <v>0</v>
      </c>
      <c r="AN58" s="14">
        <f>IF($A58,$M58*(IF(AD58=regle!$B$11,regle!$B$23,IF(AD58=regle!$C$11,regle!$C$23,IF(AD58=regle!$D$11,regle!$D$23,IF(AD58=regle!$E$11,regle!$E$23,IF(AD58=regle!$F$11,regle!$F$23,IF(AD58=regle!$G$11,regle!$G$23,IF(AD58=regle!$H$11,regle!$H$23,IF(AD58=regle!$I$11,regle!$I$23,IF(AD58=regle!$J$11,regle!$J$23,0)))))))))))</f>
        <v>1387.7639999999999</v>
      </c>
      <c r="AO58">
        <f>IF(AO$1=$AO$1,IF(regle!B$2-$Q58&gt;=regle!$J$12,-2,IF($S58,IF(regle!$B$2-$Q58&gt;=2,0,-1),regle!B$2-$Q58)),IF(AN58+1&gt;=regle!$J$12,-2,AN58+1))</f>
        <v>9</v>
      </c>
      <c r="AP58">
        <f>IF(AP$1=$AO$1,IF(regle!C$2-$Q58&gt;=regle!$J$12,-2,IF($S58,IF(regle!$B$2-$Q58&gt;=2,0,-1),regle!C$2-$Q58)),IF(AO58+1&gt;=regle!$J$12,-2,AO58+1))</f>
        <v>10</v>
      </c>
      <c r="AQ58">
        <f>IF(AQ$1=$AO$1,IF(regle!D$2-$Q58&gt;=regle!$J$12,-2,IF($S58,IF(regle!$B$2-$Q58&gt;=2,0,-1),regle!D$2-$Q58)),IF(AP58+1&gt;=regle!$J$12,-2,AP58+1))</f>
        <v>11</v>
      </c>
      <c r="AR58">
        <f>IF(AR$1=$AO$1,IF(regle!E$2-$Q58&gt;=regle!$J$12,-2,IF($S58,IF(regle!$B$2-$Q58&gt;=2,0,-1),regle!E$2-$Q58)),IF(AQ58+1&gt;=regle!$J$12,-2,AQ58+1))</f>
        <v>12</v>
      </c>
      <c r="AS58">
        <f>IF(AS$1=$AO$1,IF(regle!F$2-$Q58&gt;=regle!$J$12,-2,IF($S58,IF(regle!$B$2-$Q58&gt;=2,0,-1),regle!F$2-$Q58)),IF(AR58+1&gt;=regle!$J$12,-2,AR58+1))</f>
        <v>13</v>
      </c>
      <c r="AT58">
        <f>IF(AT$1=$AO$1,IF(regle!G$2-$Q58&gt;=regle!$J$12,-2,IF($S58,IF(regle!$B$2-$Q58&gt;=2,0,-1),regle!G$2-$Q58)),IF(AS58+1&gt;=regle!$J$12,-2,AS58+1))</f>
        <v>14</v>
      </c>
      <c r="AU58">
        <f>IF(AU$1=$AO$1,IF(regle!H$2-$Q58&gt;=regle!$J$12,-2,IF($S58,IF(regle!$B$2-$Q58&gt;=2,0,-1),regle!H$2-$Q58)),IF(AT58+1&gt;=regle!$J$12,-2,AT58+1))</f>
        <v>15</v>
      </c>
      <c r="AV58">
        <f>IF(AV$1=$AO$1,IF(regle!I$2-$Q58&gt;=regle!$J$12,-2,IF($S58,IF(regle!$B$2-$Q58&gt;=2,0,-1),regle!I$2-$Q58)),IF(AU58+1&gt;=regle!$J$12,-2,AU58+1))</f>
        <v>16</v>
      </c>
      <c r="AW58">
        <f>IF(AW$1=$AO$1,IF(regle!J$2-$Q58&gt;=regle!$J$12,-2,IF($S58,IF(regle!$B$2-$Q58&gt;=2,0,-1),regle!J$2-$Q58)),IF(AV58+1&gt;=regle!$J$12,-2,AV58+1))</f>
        <v>17</v>
      </c>
      <c r="AX58">
        <f>IF(AX$1=$AO$1,IF(regle!K$2-$Q58&gt;=regle!$J$12,-2,IF($S58,IF(regle!$B$2-$Q58&gt;=2,0,-1),regle!K$2-$Q58)),IF(AW58+1&gt;=regle!$J$12,-2,AW58+1))</f>
        <v>18</v>
      </c>
    </row>
    <row r="59" spans="1:50" x14ac:dyDescent="0.25">
      <c r="A59" t="b">
        <f>AND(modif0[[#This Row],[cdstr]]&lt;&gt;0,OR(regle!$H$27=FALSE,modif0[[#This Row],[essnc]]="PM"))</f>
        <v>1</v>
      </c>
      <c r="B59">
        <f>ROW(objet!A77)</f>
        <v>77</v>
      </c>
      <c r="C59" s="10" t="str">
        <f>objet!D77</f>
        <v>5360000A0523</v>
      </c>
      <c r="D59" t="str">
        <f>LEFT(modif0[[#This Row],[cdstr]],3)</f>
        <v>536</v>
      </c>
      <c r="E59" s="10" t="str">
        <f>objet!G77</f>
        <v>LE TUZAN</v>
      </c>
      <c r="F59">
        <f>LEN(modif0[[#This Row],[l_dt]])</f>
        <v>21</v>
      </c>
      <c r="G59" s="10" t="str">
        <f>objet!H77</f>
        <v>METAIRIES DE TABARTON</v>
      </c>
      <c r="H59" s="10" t="str">
        <f>objet!C77</f>
        <v>A523c</v>
      </c>
      <c r="I59" t="str">
        <f>IF(ISNUMBER(VALUE(RIGHT(LEFT(modif0[[#This Row],[idntfn]],2),1))),_xlfn.CONCAT(0,LEFT(modif0[[#This Row],[idntfn]],1)),LEFT(modif0[[#This Row],[idntfn]],2))</f>
        <v>0A</v>
      </c>
      <c r="J59">
        <f>VALUE(LEFT(RIGHT(modif0[[#This Row],[idntfn]],LEN(modif0[[#This Row],[idntfn]])-IF(LEFT(modif0[[#This Row],[sctn]],1)="0",1,2)),LEN(modif0[[#This Row],[idntfn]])-IF(LEFT(modif0[[#This Row],[sctn]],1)="0",1,2)-LEN(modif0[[#This Row],[lttr]])))</f>
        <v>523</v>
      </c>
      <c r="K59" t="str">
        <f>IF(ISNUMBER(VALUE(RIGHT(modif0[[#This Row],[idntfn]],1))),"",IF(ISNUMBER(VALUE(LEFT(RIGHT(modif0[[#This Row],[idntfn]],2),1))),RIGHT(modif0[[#This Row],[idntfn]],1),RIGHT(modif0[[#This Row],[idntfn]],2)))</f>
        <v>c</v>
      </c>
      <c r="L59" s="10">
        <f>objet!I77</f>
        <v>32961</v>
      </c>
      <c r="M59" s="11">
        <f>modif0[[#This Row],[srfc]]/10000</f>
        <v>3.2961</v>
      </c>
      <c r="N59" s="10" t="str">
        <f>objet!Z77</f>
        <v>PM</v>
      </c>
      <c r="O59" s="10" t="str">
        <f>objet!AA77</f>
        <v>SL1988</v>
      </c>
      <c r="P59" t="str">
        <f>IF(ISNUMBER(modif0[[#This Row],[trvx]]),"",LEFT(modif0[[#This Row],[trvx]],LEN(modif0[[#This Row],[trvx]])-4))</f>
        <v>SL</v>
      </c>
      <c r="Q59">
        <f>VALUE(RIGHT(modif0[[#This Row],[trvx]],4))</f>
        <v>1988</v>
      </c>
      <c r="R59" t="str">
        <f>_xlfn.CONCAT(modif0[[#This Row],[tp]],"-",modif0[[#This Row],[essnc]],"_",modif0[[#This Row],[anns]])</f>
        <v>SL-PM_1988</v>
      </c>
      <c r="S59" t="b">
        <f>modif0[[#This Row],[tp]]="CR"</f>
        <v>0</v>
      </c>
      <c r="T59">
        <v>40</v>
      </c>
      <c r="U59" t="str">
        <f>IF(NOT($A59),"",
IF(AO59=-2,regle!$J$11,
IF(AO59=regle!$B$12,regle!$B$11,
IF(AO59=regle!$C$12,regle!$C$11,
IF(AO59=regle!$D$12,regle!$D$11,
IF(AO59=regle!$E$12,regle!$E$11,
IF(AO59=regle!$F$12,regle!$F$11,
IF(AO59=regle!$G$12,regle!$G$11,
IF(AO59=regle!$H$12,regle!$H$11,
IF(AO59=regle!$I$12,regle!$I$11,""))))))))))</f>
        <v/>
      </c>
      <c r="V59" t="str">
        <f>IF(NOT($A59),"",
IF(AP59=-2,regle!$J$11,
IF(AP59=regle!$B$12,regle!$B$11,
IF(AP59=regle!$C$12,regle!$C$11,
IF(AP59=regle!$D$12,regle!$D$11,
IF(AP59=regle!$E$12,regle!$E$11,
IF(AP59=regle!$F$12,regle!$F$11,
IF(AP59=regle!$G$12,regle!$G$11,
IF(AP59=regle!$H$12,regle!$H$11,
IF(AP59=regle!$I$12,regle!$I$11,""))))))))))</f>
        <v/>
      </c>
      <c r="W59" t="str">
        <f>IF(NOT($A59),"",
IF(AQ59=-2,regle!$J$11,
IF(AQ59=regle!$B$12,regle!$B$11,
IF(AQ59=regle!$C$12,regle!$C$11,
IF(AQ59=regle!$D$12,regle!$D$11,
IF(AQ59=regle!$E$12,regle!$E$11,
IF(AQ59=regle!$F$12,regle!$F$11,
IF(AQ59=regle!$G$12,regle!$G$11,
IF(AQ59=regle!$H$12,regle!$H$11,
IF(AQ59=regle!$I$12,regle!$I$11,""))))))))))</f>
        <v/>
      </c>
      <c r="X59" t="str">
        <f>IF(NOT($A59),"",
IF(AR59=-2,regle!$J$11,
IF(AR59=regle!$B$12,regle!$B$11,
IF(AR59=regle!$C$12,regle!$C$11,
IF(AR59=regle!$D$12,regle!$D$11,
IF(AR59=regle!$E$12,regle!$E$11,
IF(AR59=regle!$F$12,regle!$F$11,
IF(AR59=regle!$G$12,regle!$G$11,
IF(AR59=regle!$H$12,regle!$H$11,
IF(AR59=regle!$I$12,regle!$I$11,""))))))))))</f>
        <v/>
      </c>
      <c r="Y59" t="str">
        <f>IF(NOT($A59),"",
IF(AS59=-2,regle!$J$11,
IF(AS59=regle!$B$12,regle!$B$11,
IF(AS59=regle!$C$12,regle!$C$11,
IF(AS59=regle!$D$12,regle!$D$11,
IF(AS59=regle!$E$12,regle!$E$11,
IF(AS59=regle!$F$12,regle!$F$11,
IF(AS59=regle!$G$12,regle!$G$11,
IF(AS59=regle!$H$12,regle!$H$11,
IF(AS59=regle!$I$12,regle!$I$11,""))))))))))</f>
        <v>CR</v>
      </c>
      <c r="Z59" t="str">
        <f>IF(NOT($A59),"",
IF(AT59=-2,regle!$J$11,
IF(AT59=regle!$B$12,regle!$B$11,
IF(AT59=regle!$C$12,regle!$C$11,
IF(AT59=regle!$D$12,regle!$D$11,
IF(AT59=regle!$E$12,regle!$E$11,
IF(AT59=regle!$F$12,regle!$F$11,
IF(AT59=regle!$G$12,regle!$G$11,
IF(AT59=regle!$H$12,regle!$H$11,
IF(AT59=regle!$I$12,regle!$I$11,""))))))))))</f>
        <v/>
      </c>
      <c r="AA59" t="str">
        <f>IF(NOT($A59),"",
IF(AU59=-2,regle!$J$11,
IF(AU59=regle!$B$12,regle!$B$11,
IF(AU59=regle!$C$12,regle!$C$11,
IF(AU59=regle!$D$12,regle!$D$11,
IF(AU59=regle!$E$12,regle!$E$11,
IF(AU59=regle!$F$12,regle!$F$11,
IF(AU59=regle!$G$12,regle!$G$11,
IF(AU59=regle!$H$12,regle!$H$11,
IF(AU59=regle!$I$12,regle!$I$11,""))))))))))</f>
        <v>RBST</v>
      </c>
      <c r="AB59" t="str">
        <f>IF(NOT($A59),"",
IF(AV59=-2,regle!$J$11,
IF(AV59=regle!$B$12,regle!$B$11,
IF(AV59=regle!$C$12,regle!$C$11,
IF(AV59=regle!$D$12,regle!$D$11,
IF(AV59=regle!$E$12,regle!$E$11,
IF(AV59=regle!$F$12,regle!$F$11,
IF(AV59=regle!$G$12,regle!$G$11,
IF(AV59=regle!$H$12,regle!$H$11,
IF(AV59=regle!$I$12,regle!$I$11,""))))))))))</f>
        <v/>
      </c>
      <c r="AC59" t="str">
        <f>IF(NOT($A59),"",
IF(AW59=-2,regle!$J$11,
IF(AW59=regle!$B$12,regle!$B$11,
IF(AW59=regle!$C$12,regle!$C$11,
IF(AW59=regle!$D$12,regle!$D$11,
IF(AW59=regle!$E$12,regle!$E$11,
IF(AW59=regle!$F$12,regle!$F$11,
IF(AW59=regle!$G$12,regle!$G$11,
IF(AW59=regle!$H$12,regle!$H$11,
IF(AW59=regle!$I$12,regle!$I$11,""))))))))))</f>
        <v>DGT</v>
      </c>
      <c r="AD59" t="str">
        <f>IF(NOT($A59),"",
IF(AX59=-2,regle!$J$11,
IF(AX59=regle!$B$12,regle!$B$11,
IF(AX59=regle!$C$12,regle!$C$11,
IF(AX59=regle!$D$12,regle!$D$11,
IF(AX59=regle!$E$12,regle!$E$11,
IF(AX59=regle!$F$12,regle!$F$11,
IF(AX59=regle!$G$12,regle!$G$11,
IF(AX59=regle!$H$12,regle!$H$11,
IF(AX59=regle!$I$12,regle!$I$11,""))))))))))</f>
        <v/>
      </c>
      <c r="AE59" s="14">
        <f>IF($A59,$M59*(IF(U59=regle!$B$11,regle!$B$23,IF(U59=regle!$C$11,regle!$C$23,IF(U59=regle!$D$11,regle!$D$23,IF(U59=regle!$E$11,regle!$E$23,IF(U59=regle!$F$11,regle!$F$23,IF(U59=regle!$G$11,regle!$G$23,IF(U59=regle!$H$11,regle!$H$23,IF(U59=regle!$I$11,regle!$I$23,IF(U59=regle!$J$11,regle!$J$23,0)))))))))))</f>
        <v>0</v>
      </c>
      <c r="AF59" s="14">
        <f>IF($A59,$M59*(IF(V59=regle!$B$11,regle!$B$23,IF(V59=regle!$C$11,regle!$C$23,IF(V59=regle!$D$11,regle!$D$23,IF(V59=regle!$E$11,regle!$E$23,IF(V59=regle!$F$11,regle!$F$23,IF(V59=regle!$G$11,regle!$G$23,IF(V59=regle!$H$11,regle!$H$23,IF(V59=regle!$I$11,regle!$I$23,IF(V59=regle!$J$11,regle!$J$23,0)))))))))))</f>
        <v>0</v>
      </c>
      <c r="AG59" s="14">
        <f>IF($A59,$M59*(IF(W59=regle!$B$11,regle!$B$23,IF(W59=regle!$C$11,regle!$C$23,IF(W59=regle!$D$11,regle!$D$23,IF(W59=regle!$E$11,regle!$E$23,IF(W59=regle!$F$11,regle!$F$23,IF(W59=regle!$G$11,regle!$G$23,IF(W59=regle!$H$11,regle!$H$23,IF(W59=regle!$I$11,regle!$I$23,IF(W59=regle!$J$11,regle!$J$23,0)))))))))))</f>
        <v>0</v>
      </c>
      <c r="AH59" s="14">
        <f>IF($A59,$M59*(IF(X59=regle!$B$11,regle!$B$23,IF(X59=regle!$C$11,regle!$C$23,IF(X59=regle!$D$11,regle!$D$23,IF(X59=regle!$E$11,regle!$E$23,IF(X59=regle!$F$11,regle!$F$23,IF(X59=regle!$G$11,regle!$G$23,IF(X59=regle!$H$11,regle!$H$23,IF(X59=regle!$I$11,regle!$I$23,IF(X59=regle!$J$11,regle!$J$23,0)))))))))))</f>
        <v>0</v>
      </c>
      <c r="AI59" s="14">
        <f>IF($A59,$M59*(IF(Y59=regle!$B$11,regle!$B$23,IF(Y59=regle!$C$11,regle!$C$23,IF(Y59=regle!$D$11,regle!$D$23,IF(Y59=regle!$E$11,regle!$E$23,IF(Y59=regle!$F$11,regle!$F$23,IF(Y59=regle!$G$11,regle!$G$23,IF(Y59=regle!$H$11,regle!$H$23,IF(Y59=regle!$I$11,regle!$I$23,IF(Y59=regle!$J$11,regle!$J$23,0)))))))))))</f>
        <v>29005.68</v>
      </c>
      <c r="AJ59" s="14">
        <f>IF($A59,$M59*(IF(Z59=regle!$B$11,regle!$B$23,IF(Z59=regle!$C$11,regle!$C$23,IF(Z59=regle!$D$11,regle!$D$23,IF(Z59=regle!$E$11,regle!$E$23,IF(Z59=regle!$F$11,regle!$F$23,IF(Z59=regle!$G$11,regle!$G$23,IF(Z59=regle!$H$11,regle!$H$23,IF(Z59=regle!$I$11,regle!$I$23,IF(Z59=regle!$J$11,regle!$J$23,0)))))))))))</f>
        <v>0</v>
      </c>
      <c r="AK59" s="14">
        <f>IF($A59,$M59*(IF(AA59=regle!$B$11,regle!$B$23,IF(AA59=regle!$C$11,regle!$C$23,IF(AA59=regle!$D$11,regle!$D$23,IF(AA59=regle!$E$11,regle!$E$23,IF(AA59=regle!$F$11,regle!$F$23,IF(AA59=regle!$G$11,regle!$G$23,IF(AA59=regle!$H$11,regle!$H$23,IF(AA59=regle!$I$11,regle!$I$23,IF(AA59=regle!$J$11,regle!$J$23,0)))))))))))</f>
        <v>-5603.37</v>
      </c>
      <c r="AL59" s="14">
        <f>IF($A59,$M59*(IF(AB59=regle!$B$11,regle!$B$23,IF(AB59=regle!$C$11,regle!$C$23,IF(AB59=regle!$D$11,regle!$D$23,IF(AB59=regle!$E$11,regle!$E$23,IF(AB59=regle!$F$11,regle!$F$23,IF(AB59=regle!$G$11,regle!$G$23,IF(AB59=regle!$H$11,regle!$H$23,IF(AB59=regle!$I$11,regle!$I$23,IF(AB59=regle!$J$11,regle!$J$23,0)))))))))))</f>
        <v>0</v>
      </c>
      <c r="AM59" s="14">
        <f>IF($A59,$M59*(IF(AC59=regle!$B$11,regle!$B$23,IF(AC59=regle!$C$11,regle!$C$23,IF(AC59=regle!$D$11,regle!$D$23,IF(AC59=regle!$E$11,regle!$E$23,IF(AC59=regle!$F$11,regle!$F$23,IF(AC59=regle!$G$11,regle!$G$23,IF(AC59=regle!$H$11,regle!$H$23,IF(AC59=regle!$I$11,regle!$I$23,IF(AC59=regle!$J$11,regle!$J$23,0)))))))))))</f>
        <v>-247.20750000000001</v>
      </c>
      <c r="AN59" s="14">
        <f>IF($A59,$M59*(IF(AD59=regle!$B$11,regle!$B$23,IF(AD59=regle!$C$11,regle!$C$23,IF(AD59=regle!$D$11,regle!$D$23,IF(AD59=regle!$E$11,regle!$E$23,IF(AD59=regle!$F$11,regle!$F$23,IF(AD59=regle!$G$11,regle!$G$23,IF(AD59=regle!$H$11,regle!$H$23,IF(AD59=regle!$I$11,regle!$I$23,IF(AD59=regle!$J$11,regle!$J$23,0)))))))))))</f>
        <v>0</v>
      </c>
      <c r="AO59">
        <f>IF(AO$1=$AO$1,IF(regle!B$2-$Q59&gt;=regle!$J$12,-2,IF($S59,IF(regle!$B$2-$Q59&gt;=2,0,-1),regle!B$2-$Q59)),IF(AN59+1&gt;=regle!$J$12,-2,AN59+1))</f>
        <v>36</v>
      </c>
      <c r="AP59">
        <f>IF(AP$1=$AO$1,IF(regle!C$2-$Q59&gt;=regle!$J$12,-2,IF($S59,IF(regle!$B$2-$Q59&gt;=2,0,-1),regle!C$2-$Q59)),IF(AO59+1&gt;=regle!$J$12,-2,AO59+1))</f>
        <v>37</v>
      </c>
      <c r="AQ59">
        <f>IF(AQ$1=$AO$1,IF(regle!D$2-$Q59&gt;=regle!$J$12,-2,IF($S59,IF(regle!$B$2-$Q59&gt;=2,0,-1),regle!D$2-$Q59)),IF(AP59+1&gt;=regle!$J$12,-2,AP59+1))</f>
        <v>38</v>
      </c>
      <c r="AR59">
        <f>IF(AR$1=$AO$1,IF(regle!E$2-$Q59&gt;=regle!$J$12,-2,IF($S59,IF(regle!$B$2-$Q59&gt;=2,0,-1),regle!E$2-$Q59)),IF(AQ59+1&gt;=regle!$J$12,-2,AQ59+1))</f>
        <v>39</v>
      </c>
      <c r="AS59">
        <f>IF(AS$1=$AO$1,IF(regle!F$2-$Q59&gt;=regle!$J$12,-2,IF($S59,IF(regle!$B$2-$Q59&gt;=2,0,-1),regle!F$2-$Q59)),IF(AR59+1&gt;=regle!$J$12,-2,AR59+1))</f>
        <v>-2</v>
      </c>
      <c r="AT59">
        <f>IF(AT$1=$AO$1,IF(regle!G$2-$Q59&gt;=regle!$J$12,-2,IF($S59,IF(regle!$B$2-$Q59&gt;=2,0,-1),regle!G$2-$Q59)),IF(AS59+1&gt;=regle!$J$12,-2,AS59+1))</f>
        <v>-1</v>
      </c>
      <c r="AU59">
        <f>IF(AU$1=$AO$1,IF(regle!H$2-$Q59&gt;=regle!$J$12,-2,IF($S59,IF(regle!$B$2-$Q59&gt;=2,0,-1),regle!H$2-$Q59)),IF(AT59+1&gt;=regle!$J$12,-2,AT59+1))</f>
        <v>0</v>
      </c>
      <c r="AV59">
        <f>IF(AV$1=$AO$1,IF(regle!I$2-$Q59&gt;=regle!$J$12,-2,IF($S59,IF(regle!$B$2-$Q59&gt;=2,0,-1),regle!I$2-$Q59)),IF(AU59+1&gt;=regle!$J$12,-2,AU59+1))</f>
        <v>1</v>
      </c>
      <c r="AW59">
        <f>IF(AW$1=$AO$1,IF(regle!J$2-$Q59&gt;=regle!$J$12,-2,IF($S59,IF(regle!$B$2-$Q59&gt;=2,0,-1),regle!J$2-$Q59)),IF(AV59+1&gt;=regle!$J$12,-2,AV59+1))</f>
        <v>2</v>
      </c>
      <c r="AX59">
        <f>IF(AX$1=$AO$1,IF(regle!K$2-$Q59&gt;=regle!$J$12,-2,IF($S59,IF(regle!$B$2-$Q59&gt;=2,0,-1),regle!K$2-$Q59)),IF(AW59+1&gt;=regle!$J$12,-2,AW59+1))</f>
        <v>3</v>
      </c>
    </row>
    <row r="60" spans="1:50" x14ac:dyDescent="0.25">
      <c r="A60" t="b">
        <f>AND(modif0[[#This Row],[cdstr]]&lt;&gt;0,OR(regle!$H$27=FALSE,modif0[[#This Row],[essnc]]="PM"))</f>
        <v>1</v>
      </c>
      <c r="B60">
        <f>ROW(objet!A78)</f>
        <v>78</v>
      </c>
      <c r="C60" s="10" t="str">
        <f>objet!D78</f>
        <v>5360000A0523</v>
      </c>
      <c r="D60" t="str">
        <f>LEFT(modif0[[#This Row],[cdstr]],3)</f>
        <v>536</v>
      </c>
      <c r="E60" s="10" t="str">
        <f>objet!G78</f>
        <v>LE TUZAN</v>
      </c>
      <c r="F60">
        <f>LEN(modif0[[#This Row],[l_dt]])</f>
        <v>21</v>
      </c>
      <c r="G60" s="10" t="str">
        <f>objet!H78</f>
        <v>METAIRIES DE TABARTON</v>
      </c>
      <c r="H60" s="10" t="str">
        <f>objet!C78</f>
        <v>A523d</v>
      </c>
      <c r="I60" t="str">
        <f>IF(ISNUMBER(VALUE(RIGHT(LEFT(modif0[[#This Row],[idntfn]],2),1))),_xlfn.CONCAT(0,LEFT(modif0[[#This Row],[idntfn]],1)),LEFT(modif0[[#This Row],[idntfn]],2))</f>
        <v>0A</v>
      </c>
      <c r="J60">
        <f>VALUE(LEFT(RIGHT(modif0[[#This Row],[idntfn]],LEN(modif0[[#This Row],[idntfn]])-IF(LEFT(modif0[[#This Row],[sctn]],1)="0",1,2)),LEN(modif0[[#This Row],[idntfn]])-IF(LEFT(modif0[[#This Row],[sctn]],1)="0",1,2)-LEN(modif0[[#This Row],[lttr]])))</f>
        <v>523</v>
      </c>
      <c r="K60" t="str">
        <f>IF(ISNUMBER(VALUE(RIGHT(modif0[[#This Row],[idntfn]],1))),"",IF(ISNUMBER(VALUE(LEFT(RIGHT(modif0[[#This Row],[idntfn]],2),1))),RIGHT(modif0[[#This Row],[idntfn]],1),RIGHT(modif0[[#This Row],[idntfn]],2)))</f>
        <v>d</v>
      </c>
      <c r="L60" s="10">
        <f>objet!I78</f>
        <v>106030</v>
      </c>
      <c r="M60" s="11">
        <f>modif0[[#This Row],[srfc]]/10000</f>
        <v>10.603</v>
      </c>
      <c r="N60" s="10" t="str">
        <f>objet!Z78</f>
        <v>PM</v>
      </c>
      <c r="O60" s="10" t="str">
        <f>objet!AA78</f>
        <v>PLA2015</v>
      </c>
      <c r="P60" t="str">
        <f>IF(ISNUMBER(modif0[[#This Row],[trvx]]),"",LEFT(modif0[[#This Row],[trvx]],LEN(modif0[[#This Row],[trvx]])-4))</f>
        <v>PLA</v>
      </c>
      <c r="Q60">
        <f>VALUE(RIGHT(modif0[[#This Row],[trvx]],4))</f>
        <v>2015</v>
      </c>
      <c r="R60" t="str">
        <f>_xlfn.CONCAT(modif0[[#This Row],[tp]],"-",modif0[[#This Row],[essnc]],"_",modif0[[#This Row],[anns]])</f>
        <v>PLA-PM_2015</v>
      </c>
      <c r="S60" t="b">
        <f>modif0[[#This Row],[tp]]="CR"</f>
        <v>0</v>
      </c>
      <c r="T60">
        <v>40</v>
      </c>
      <c r="U60" t="str">
        <f>IF(NOT($A60),"",
IF(AO60=-2,regle!$J$11,
IF(AO60=regle!$B$12,regle!$B$11,
IF(AO60=regle!$C$12,regle!$C$11,
IF(AO60=regle!$D$12,regle!$D$11,
IF(AO60=regle!$E$12,regle!$E$11,
IF(AO60=regle!$F$12,regle!$F$11,
IF(AO60=regle!$G$12,regle!$G$11,
IF(AO60=regle!$H$12,regle!$H$11,
IF(AO60=regle!$I$12,regle!$I$11,""))))))))))</f>
        <v/>
      </c>
      <c r="V60" t="str">
        <f>IF(NOT($A60),"",
IF(AP60=-2,regle!$J$11,
IF(AP60=regle!$B$12,regle!$B$11,
IF(AP60=regle!$C$12,regle!$C$11,
IF(AP60=regle!$D$12,regle!$D$11,
IF(AP60=regle!$E$12,regle!$E$11,
IF(AP60=regle!$F$12,regle!$F$11,
IF(AP60=regle!$G$12,regle!$G$11,
IF(AP60=regle!$H$12,regle!$H$11,
IF(AP60=regle!$I$12,regle!$I$11,""))))))))))</f>
        <v/>
      </c>
      <c r="W60" t="str">
        <f>IF(NOT($A60),"",
IF(AQ60=-2,regle!$J$11,
IF(AQ60=regle!$B$12,regle!$B$11,
IF(AQ60=regle!$C$12,regle!$C$11,
IF(AQ60=regle!$D$12,regle!$D$11,
IF(AQ60=regle!$E$12,regle!$E$11,
IF(AQ60=regle!$F$12,regle!$F$11,
IF(AQ60=regle!$G$12,regle!$G$11,
IF(AQ60=regle!$H$12,regle!$H$11,
IF(AQ60=regle!$I$12,regle!$I$11,""))))))))))</f>
        <v/>
      </c>
      <c r="X60" t="str">
        <f>IF(NOT($A60),"",
IF(AR60=-2,regle!$J$11,
IF(AR60=regle!$B$12,regle!$B$11,
IF(AR60=regle!$C$12,regle!$C$11,
IF(AR60=regle!$D$12,regle!$D$11,
IF(AR60=regle!$E$12,regle!$E$11,
IF(AR60=regle!$F$12,regle!$F$11,
IF(AR60=regle!$G$12,regle!$G$11,
IF(AR60=regle!$H$12,regle!$H$11,
IF(AR60=regle!$I$12,regle!$I$11,""))))))))))</f>
        <v/>
      </c>
      <c r="Y60" t="str">
        <f>IF(NOT($A60),"",
IF(AS60=-2,regle!$J$11,
IF(AS60=regle!$B$12,regle!$B$11,
IF(AS60=regle!$C$12,regle!$C$11,
IF(AS60=regle!$D$12,regle!$D$11,
IF(AS60=regle!$E$12,regle!$E$11,
IF(AS60=regle!$F$12,regle!$F$11,
IF(AS60=regle!$G$12,regle!$G$11,
IF(AS60=regle!$H$12,regle!$H$11,
IF(AS60=regle!$I$12,regle!$I$11,""))))))))))</f>
        <v>EC1</v>
      </c>
      <c r="Z60" t="str">
        <f>IF(NOT($A60),"",
IF(AT60=-2,regle!$J$11,
IF(AT60=regle!$B$12,regle!$B$11,
IF(AT60=regle!$C$12,regle!$C$11,
IF(AT60=regle!$D$12,regle!$D$11,
IF(AT60=regle!$E$12,regle!$E$11,
IF(AT60=regle!$F$12,regle!$F$11,
IF(AT60=regle!$G$12,regle!$G$11,
IF(AT60=regle!$H$12,regle!$H$11,
IF(AT60=regle!$I$12,regle!$I$11,""))))))))))</f>
        <v/>
      </c>
      <c r="AA60" t="str">
        <f>IF(NOT($A60),"",
IF(AU60=-2,regle!$J$11,
IF(AU60=regle!$B$12,regle!$B$11,
IF(AU60=regle!$C$12,regle!$C$11,
IF(AU60=regle!$D$12,regle!$D$11,
IF(AU60=regle!$E$12,regle!$E$11,
IF(AU60=regle!$F$12,regle!$F$11,
IF(AU60=regle!$G$12,regle!$G$11,
IF(AU60=regle!$H$12,regle!$H$11,
IF(AU60=regle!$I$12,regle!$I$11,""))))))))))</f>
        <v/>
      </c>
      <c r="AB60" t="str">
        <f>IF(NOT($A60),"",
IF(AV60=-2,regle!$J$11,
IF(AV60=regle!$B$12,regle!$B$11,
IF(AV60=regle!$C$12,regle!$C$11,
IF(AV60=regle!$D$12,regle!$D$11,
IF(AV60=regle!$E$12,regle!$E$11,
IF(AV60=regle!$F$12,regle!$F$11,
IF(AV60=regle!$G$12,regle!$G$11,
IF(AV60=regle!$H$12,regle!$H$11,
IF(AV60=regle!$I$12,regle!$I$11,""))))))))))</f>
        <v/>
      </c>
      <c r="AC60" t="str">
        <f>IF(NOT($A60),"",
IF(AW60=-2,regle!$J$11,
IF(AW60=regle!$B$12,regle!$B$11,
IF(AW60=regle!$C$12,regle!$C$11,
IF(AW60=regle!$D$12,regle!$D$11,
IF(AW60=regle!$E$12,regle!$E$11,
IF(AW60=regle!$F$12,regle!$F$11,
IF(AW60=regle!$G$12,regle!$G$11,
IF(AW60=regle!$H$12,regle!$H$11,
IF(AW60=regle!$I$12,regle!$I$11,""))))))))))</f>
        <v/>
      </c>
      <c r="AD60" t="str">
        <f>IF(NOT($A60),"",
IF(AX60=-2,regle!$J$11,
IF(AX60=regle!$B$12,regle!$B$11,
IF(AX60=regle!$C$12,regle!$C$11,
IF(AX60=regle!$D$12,regle!$D$11,
IF(AX60=regle!$E$12,regle!$E$11,
IF(AX60=regle!$F$12,regle!$F$11,
IF(AX60=regle!$G$12,regle!$G$11,
IF(AX60=regle!$H$12,regle!$H$11,
IF(AX60=regle!$I$12,regle!$I$11,""))))))))))</f>
        <v>EC2</v>
      </c>
      <c r="AE60" s="14">
        <f>IF($A60,$M60*(IF(U60=regle!$B$11,regle!$B$23,IF(U60=regle!$C$11,regle!$C$23,IF(U60=regle!$D$11,regle!$D$23,IF(U60=regle!$E$11,regle!$E$23,IF(U60=regle!$F$11,regle!$F$23,IF(U60=regle!$G$11,regle!$G$23,IF(U60=regle!$H$11,regle!$H$23,IF(U60=regle!$I$11,regle!$I$23,IF(U60=regle!$J$11,regle!$J$23,0)))))))))))</f>
        <v>0</v>
      </c>
      <c r="AF60" s="14">
        <f>IF($A60,$M60*(IF(V60=regle!$B$11,regle!$B$23,IF(V60=regle!$C$11,regle!$C$23,IF(V60=regle!$D$11,regle!$D$23,IF(V60=regle!$E$11,regle!$E$23,IF(V60=regle!$F$11,regle!$F$23,IF(V60=regle!$G$11,regle!$G$23,IF(V60=regle!$H$11,regle!$H$23,IF(V60=regle!$I$11,regle!$I$23,IF(V60=regle!$J$11,regle!$J$23,0)))))))))))</f>
        <v>0</v>
      </c>
      <c r="AG60" s="14">
        <f>IF($A60,$M60*(IF(W60=regle!$B$11,regle!$B$23,IF(W60=regle!$C$11,regle!$C$23,IF(W60=regle!$D$11,regle!$D$23,IF(W60=regle!$E$11,regle!$E$23,IF(W60=regle!$F$11,regle!$F$23,IF(W60=regle!$G$11,regle!$G$23,IF(W60=regle!$H$11,regle!$H$23,IF(W60=regle!$I$11,regle!$I$23,IF(W60=regle!$J$11,regle!$J$23,0)))))))))))</f>
        <v>0</v>
      </c>
      <c r="AH60" s="14">
        <f>IF($A60,$M60*(IF(X60=regle!$B$11,regle!$B$23,IF(X60=regle!$C$11,regle!$C$23,IF(X60=regle!$D$11,regle!$D$23,IF(X60=regle!$E$11,regle!$E$23,IF(X60=regle!$F$11,regle!$F$23,IF(X60=regle!$G$11,regle!$G$23,IF(X60=regle!$H$11,regle!$H$23,IF(X60=regle!$I$11,regle!$I$23,IF(X60=regle!$J$11,regle!$J$23,0)))))))))))</f>
        <v>0</v>
      </c>
      <c r="AI60" s="14">
        <f>IF($A60,$M60*(IF(Y60=regle!$B$11,regle!$B$23,IF(Y60=regle!$C$11,regle!$C$23,IF(Y60=regle!$D$11,regle!$D$23,IF(Y60=regle!$E$11,regle!$E$23,IF(Y60=regle!$F$11,regle!$F$23,IF(Y60=regle!$G$11,regle!$G$23,IF(Y60=regle!$H$11,regle!$H$23,IF(Y60=regle!$I$11,regle!$I$23,IF(Y60=regle!$J$11,regle!$J$23,0)))))))))))</f>
        <v>6107.3279999999995</v>
      </c>
      <c r="AJ60" s="14">
        <f>IF($A60,$M60*(IF(Z60=regle!$B$11,regle!$B$23,IF(Z60=regle!$C$11,regle!$C$23,IF(Z60=regle!$D$11,regle!$D$23,IF(Z60=regle!$E$11,regle!$E$23,IF(Z60=regle!$F$11,regle!$F$23,IF(Z60=regle!$G$11,regle!$G$23,IF(Z60=regle!$H$11,regle!$H$23,IF(Z60=regle!$I$11,regle!$I$23,IF(Z60=regle!$J$11,regle!$J$23,0)))))))))))</f>
        <v>0</v>
      </c>
      <c r="AK60" s="14">
        <f>IF($A60,$M60*(IF(AA60=regle!$B$11,regle!$B$23,IF(AA60=regle!$C$11,regle!$C$23,IF(AA60=regle!$D$11,regle!$D$23,IF(AA60=regle!$E$11,regle!$E$23,IF(AA60=regle!$F$11,regle!$F$23,IF(AA60=regle!$G$11,regle!$G$23,IF(AA60=regle!$H$11,regle!$H$23,IF(AA60=regle!$I$11,regle!$I$23,IF(AA60=regle!$J$11,regle!$J$23,0)))))))))))</f>
        <v>0</v>
      </c>
      <c r="AL60" s="14">
        <f>IF($A60,$M60*(IF(AB60=regle!$B$11,regle!$B$23,IF(AB60=regle!$C$11,regle!$C$23,IF(AB60=regle!$D$11,regle!$D$23,IF(AB60=regle!$E$11,regle!$E$23,IF(AB60=regle!$F$11,regle!$F$23,IF(AB60=regle!$G$11,regle!$G$23,IF(AB60=regle!$H$11,regle!$H$23,IF(AB60=regle!$I$11,regle!$I$23,IF(AB60=regle!$J$11,regle!$J$23,0)))))))))))</f>
        <v>0</v>
      </c>
      <c r="AM60" s="14">
        <f>IF($A60,$M60*(IF(AC60=regle!$B$11,regle!$B$23,IF(AC60=regle!$C$11,regle!$C$23,IF(AC60=regle!$D$11,regle!$D$23,IF(AC60=regle!$E$11,regle!$E$23,IF(AC60=regle!$F$11,regle!$F$23,IF(AC60=regle!$G$11,regle!$G$23,IF(AC60=regle!$H$11,regle!$H$23,IF(AC60=regle!$I$11,regle!$I$23,IF(AC60=regle!$J$11,regle!$J$23,0)))))))))))</f>
        <v>0</v>
      </c>
      <c r="AN60" s="14">
        <f>IF($A60,$M60*(IF(AD60=regle!$B$11,regle!$B$23,IF(AD60=regle!$C$11,regle!$C$23,IF(AD60=regle!$D$11,regle!$D$23,IF(AD60=regle!$E$11,regle!$E$23,IF(AD60=regle!$F$11,regle!$F$23,IF(AD60=regle!$G$11,regle!$G$23,IF(AD60=regle!$H$11,regle!$H$23,IF(AD60=regle!$I$11,regle!$I$23,IF(AD60=regle!$J$11,regle!$J$23,0)))))))))))</f>
        <v>8906.52</v>
      </c>
      <c r="AO60">
        <f>IF(AO$1=$AO$1,IF(regle!B$2-$Q60&gt;=regle!$J$12,-2,IF($S60,IF(regle!$B$2-$Q60&gt;=2,0,-1),regle!B$2-$Q60)),IF(AN60+1&gt;=regle!$J$12,-2,AN60+1))</f>
        <v>9</v>
      </c>
      <c r="AP60">
        <f>IF(AP$1=$AO$1,IF(regle!C$2-$Q60&gt;=regle!$J$12,-2,IF($S60,IF(regle!$B$2-$Q60&gt;=2,0,-1),regle!C$2-$Q60)),IF(AO60+1&gt;=regle!$J$12,-2,AO60+1))</f>
        <v>10</v>
      </c>
      <c r="AQ60">
        <f>IF(AQ$1=$AO$1,IF(regle!D$2-$Q60&gt;=regle!$J$12,-2,IF($S60,IF(regle!$B$2-$Q60&gt;=2,0,-1),regle!D$2-$Q60)),IF(AP60+1&gt;=regle!$J$12,-2,AP60+1))</f>
        <v>11</v>
      </c>
      <c r="AR60">
        <f>IF(AR$1=$AO$1,IF(regle!E$2-$Q60&gt;=regle!$J$12,-2,IF($S60,IF(regle!$B$2-$Q60&gt;=2,0,-1),regle!E$2-$Q60)),IF(AQ60+1&gt;=regle!$J$12,-2,AQ60+1))</f>
        <v>12</v>
      </c>
      <c r="AS60">
        <f>IF(AS$1=$AO$1,IF(regle!F$2-$Q60&gt;=regle!$J$12,-2,IF($S60,IF(regle!$B$2-$Q60&gt;=2,0,-1),regle!F$2-$Q60)),IF(AR60+1&gt;=regle!$J$12,-2,AR60+1))</f>
        <v>13</v>
      </c>
      <c r="AT60">
        <f>IF(AT$1=$AO$1,IF(regle!G$2-$Q60&gt;=regle!$J$12,-2,IF($S60,IF(regle!$B$2-$Q60&gt;=2,0,-1),regle!G$2-$Q60)),IF(AS60+1&gt;=regle!$J$12,-2,AS60+1))</f>
        <v>14</v>
      </c>
      <c r="AU60">
        <f>IF(AU$1=$AO$1,IF(regle!H$2-$Q60&gt;=regle!$J$12,-2,IF($S60,IF(regle!$B$2-$Q60&gt;=2,0,-1),regle!H$2-$Q60)),IF(AT60+1&gt;=regle!$J$12,-2,AT60+1))</f>
        <v>15</v>
      </c>
      <c r="AV60">
        <f>IF(AV$1=$AO$1,IF(regle!I$2-$Q60&gt;=regle!$J$12,-2,IF($S60,IF(regle!$B$2-$Q60&gt;=2,0,-1),regle!I$2-$Q60)),IF(AU60+1&gt;=regle!$J$12,-2,AU60+1))</f>
        <v>16</v>
      </c>
      <c r="AW60">
        <f>IF(AW$1=$AO$1,IF(regle!J$2-$Q60&gt;=regle!$J$12,-2,IF($S60,IF(regle!$B$2-$Q60&gt;=2,0,-1),regle!J$2-$Q60)),IF(AV60+1&gt;=regle!$J$12,-2,AV60+1))</f>
        <v>17</v>
      </c>
      <c r="AX60">
        <f>IF(AX$1=$AO$1,IF(regle!K$2-$Q60&gt;=regle!$J$12,-2,IF($S60,IF(regle!$B$2-$Q60&gt;=2,0,-1),regle!K$2-$Q60)),IF(AW60+1&gt;=regle!$J$12,-2,AW60+1))</f>
        <v>18</v>
      </c>
    </row>
    <row r="61" spans="1:50" x14ac:dyDescent="0.25">
      <c r="A61" t="b">
        <f>AND(modif0[[#This Row],[cdstr]]&lt;&gt;0,OR(regle!$H$27=FALSE,modif0[[#This Row],[essnc]]="PM"))</f>
        <v>1</v>
      </c>
      <c r="B61">
        <f>ROW(objet!A79)</f>
        <v>79</v>
      </c>
      <c r="C61" s="10" t="str">
        <f>objet!D79</f>
        <v>5360000A0523</v>
      </c>
      <c r="D61" t="str">
        <f>LEFT(modif0[[#This Row],[cdstr]],3)</f>
        <v>536</v>
      </c>
      <c r="E61" s="10" t="str">
        <f>objet!G79</f>
        <v>LE TUZAN</v>
      </c>
      <c r="F61">
        <f>LEN(modif0[[#This Row],[l_dt]])</f>
        <v>21</v>
      </c>
      <c r="G61" s="10" t="str">
        <f>objet!H79</f>
        <v>METAIRIES DE TABARTON</v>
      </c>
      <c r="H61" s="10" t="str">
        <f>objet!C79</f>
        <v>A523j</v>
      </c>
      <c r="I61" t="str">
        <f>IF(ISNUMBER(VALUE(RIGHT(LEFT(modif0[[#This Row],[idntfn]],2),1))),_xlfn.CONCAT(0,LEFT(modif0[[#This Row],[idntfn]],1)),LEFT(modif0[[#This Row],[idntfn]],2))</f>
        <v>0A</v>
      </c>
      <c r="J61">
        <f>VALUE(LEFT(RIGHT(modif0[[#This Row],[idntfn]],LEN(modif0[[#This Row],[idntfn]])-IF(LEFT(modif0[[#This Row],[sctn]],1)="0",1,2)),LEN(modif0[[#This Row],[idntfn]])-IF(LEFT(modif0[[#This Row],[sctn]],1)="0",1,2)-LEN(modif0[[#This Row],[lttr]])))</f>
        <v>523</v>
      </c>
      <c r="K61" t="str">
        <f>IF(ISNUMBER(VALUE(RIGHT(modif0[[#This Row],[idntfn]],1))),"",IF(ISNUMBER(VALUE(LEFT(RIGHT(modif0[[#This Row],[idntfn]],2),1))),RIGHT(modif0[[#This Row],[idntfn]],1),RIGHT(modif0[[#This Row],[idntfn]],2)))</f>
        <v>j</v>
      </c>
      <c r="L61" s="10">
        <f>objet!I79</f>
        <v>186390</v>
      </c>
      <c r="M61" s="11">
        <f>modif0[[#This Row],[srfc]]/10000</f>
        <v>18.638999999999999</v>
      </c>
      <c r="N61" s="10" t="str">
        <f>objet!Z79</f>
        <v>PM</v>
      </c>
      <c r="O61" s="10" t="str">
        <f>objet!AA79</f>
        <v>PLA2015</v>
      </c>
      <c r="P61" t="str">
        <f>IF(ISNUMBER(modif0[[#This Row],[trvx]]),"",LEFT(modif0[[#This Row],[trvx]],LEN(modif0[[#This Row],[trvx]])-4))</f>
        <v>PLA</v>
      </c>
      <c r="Q61">
        <f>VALUE(RIGHT(modif0[[#This Row],[trvx]],4))</f>
        <v>2015</v>
      </c>
      <c r="R61" t="str">
        <f>_xlfn.CONCAT(modif0[[#This Row],[tp]],"-",modif0[[#This Row],[essnc]],"_",modif0[[#This Row],[anns]])</f>
        <v>PLA-PM_2015</v>
      </c>
      <c r="S61" t="b">
        <f>modif0[[#This Row],[tp]]="CR"</f>
        <v>0</v>
      </c>
      <c r="T61">
        <v>40</v>
      </c>
      <c r="U61" t="str">
        <f>IF(NOT($A61),"",
IF(AO61=-2,regle!$J$11,
IF(AO61=regle!$B$12,regle!$B$11,
IF(AO61=regle!$C$12,regle!$C$11,
IF(AO61=regle!$D$12,regle!$D$11,
IF(AO61=regle!$E$12,regle!$E$11,
IF(AO61=regle!$F$12,regle!$F$11,
IF(AO61=regle!$G$12,regle!$G$11,
IF(AO61=regle!$H$12,regle!$H$11,
IF(AO61=regle!$I$12,regle!$I$11,""))))))))))</f>
        <v/>
      </c>
      <c r="V61" t="str">
        <f>IF(NOT($A61),"",
IF(AP61=-2,regle!$J$11,
IF(AP61=regle!$B$12,regle!$B$11,
IF(AP61=regle!$C$12,regle!$C$11,
IF(AP61=regle!$D$12,regle!$D$11,
IF(AP61=regle!$E$12,regle!$E$11,
IF(AP61=regle!$F$12,regle!$F$11,
IF(AP61=regle!$G$12,regle!$G$11,
IF(AP61=regle!$H$12,regle!$H$11,
IF(AP61=regle!$I$12,regle!$I$11,""))))))))))</f>
        <v/>
      </c>
      <c r="W61" t="str">
        <f>IF(NOT($A61),"",
IF(AQ61=-2,regle!$J$11,
IF(AQ61=regle!$B$12,regle!$B$11,
IF(AQ61=regle!$C$12,regle!$C$11,
IF(AQ61=regle!$D$12,regle!$D$11,
IF(AQ61=regle!$E$12,regle!$E$11,
IF(AQ61=regle!$F$12,regle!$F$11,
IF(AQ61=regle!$G$12,regle!$G$11,
IF(AQ61=regle!$H$12,regle!$H$11,
IF(AQ61=regle!$I$12,regle!$I$11,""))))))))))</f>
        <v/>
      </c>
      <c r="X61" t="str">
        <f>IF(NOT($A61),"",
IF(AR61=-2,regle!$J$11,
IF(AR61=regle!$B$12,regle!$B$11,
IF(AR61=regle!$C$12,regle!$C$11,
IF(AR61=regle!$D$12,regle!$D$11,
IF(AR61=regle!$E$12,regle!$E$11,
IF(AR61=regle!$F$12,regle!$F$11,
IF(AR61=regle!$G$12,regle!$G$11,
IF(AR61=regle!$H$12,regle!$H$11,
IF(AR61=regle!$I$12,regle!$I$11,""))))))))))</f>
        <v/>
      </c>
      <c r="Y61" t="str">
        <f>IF(NOT($A61),"",
IF(AS61=-2,regle!$J$11,
IF(AS61=regle!$B$12,regle!$B$11,
IF(AS61=regle!$C$12,regle!$C$11,
IF(AS61=regle!$D$12,regle!$D$11,
IF(AS61=regle!$E$12,regle!$E$11,
IF(AS61=regle!$F$12,regle!$F$11,
IF(AS61=regle!$G$12,regle!$G$11,
IF(AS61=regle!$H$12,regle!$H$11,
IF(AS61=regle!$I$12,regle!$I$11,""))))))))))</f>
        <v>EC1</v>
      </c>
      <c r="Z61" t="str">
        <f>IF(NOT($A61),"",
IF(AT61=-2,regle!$J$11,
IF(AT61=regle!$B$12,regle!$B$11,
IF(AT61=regle!$C$12,regle!$C$11,
IF(AT61=regle!$D$12,regle!$D$11,
IF(AT61=regle!$E$12,regle!$E$11,
IF(AT61=regle!$F$12,regle!$F$11,
IF(AT61=regle!$G$12,regle!$G$11,
IF(AT61=regle!$H$12,regle!$H$11,
IF(AT61=regle!$I$12,regle!$I$11,""))))))))))</f>
        <v/>
      </c>
      <c r="AA61" t="str">
        <f>IF(NOT($A61),"",
IF(AU61=-2,regle!$J$11,
IF(AU61=regle!$B$12,regle!$B$11,
IF(AU61=regle!$C$12,regle!$C$11,
IF(AU61=regle!$D$12,regle!$D$11,
IF(AU61=regle!$E$12,regle!$E$11,
IF(AU61=regle!$F$12,regle!$F$11,
IF(AU61=regle!$G$12,regle!$G$11,
IF(AU61=regle!$H$12,regle!$H$11,
IF(AU61=regle!$I$12,regle!$I$11,""))))))))))</f>
        <v/>
      </c>
      <c r="AB61" t="str">
        <f>IF(NOT($A61),"",
IF(AV61=-2,regle!$J$11,
IF(AV61=regle!$B$12,regle!$B$11,
IF(AV61=regle!$C$12,regle!$C$11,
IF(AV61=regle!$D$12,regle!$D$11,
IF(AV61=regle!$E$12,regle!$E$11,
IF(AV61=regle!$F$12,regle!$F$11,
IF(AV61=regle!$G$12,regle!$G$11,
IF(AV61=regle!$H$12,regle!$H$11,
IF(AV61=regle!$I$12,regle!$I$11,""))))))))))</f>
        <v/>
      </c>
      <c r="AC61" t="str">
        <f>IF(NOT($A61),"",
IF(AW61=-2,regle!$J$11,
IF(AW61=regle!$B$12,regle!$B$11,
IF(AW61=regle!$C$12,regle!$C$11,
IF(AW61=regle!$D$12,regle!$D$11,
IF(AW61=regle!$E$12,regle!$E$11,
IF(AW61=regle!$F$12,regle!$F$11,
IF(AW61=regle!$G$12,regle!$G$11,
IF(AW61=regle!$H$12,regle!$H$11,
IF(AW61=regle!$I$12,regle!$I$11,""))))))))))</f>
        <v/>
      </c>
      <c r="AD61" t="str">
        <f>IF(NOT($A61),"",
IF(AX61=-2,regle!$J$11,
IF(AX61=regle!$B$12,regle!$B$11,
IF(AX61=regle!$C$12,regle!$C$11,
IF(AX61=regle!$D$12,regle!$D$11,
IF(AX61=regle!$E$12,regle!$E$11,
IF(AX61=regle!$F$12,regle!$F$11,
IF(AX61=regle!$G$12,regle!$G$11,
IF(AX61=regle!$H$12,regle!$H$11,
IF(AX61=regle!$I$12,regle!$I$11,""))))))))))</f>
        <v>EC2</v>
      </c>
      <c r="AE61" s="14">
        <f>IF($A61,$M61*(IF(U61=regle!$B$11,regle!$B$23,IF(U61=regle!$C$11,regle!$C$23,IF(U61=regle!$D$11,regle!$D$23,IF(U61=regle!$E$11,regle!$E$23,IF(U61=regle!$F$11,regle!$F$23,IF(U61=regle!$G$11,regle!$G$23,IF(U61=regle!$H$11,regle!$H$23,IF(U61=regle!$I$11,regle!$I$23,IF(U61=regle!$J$11,regle!$J$23,0)))))))))))</f>
        <v>0</v>
      </c>
      <c r="AF61" s="14">
        <f>IF($A61,$M61*(IF(V61=regle!$B$11,regle!$B$23,IF(V61=regle!$C$11,regle!$C$23,IF(V61=regle!$D$11,regle!$D$23,IF(V61=regle!$E$11,regle!$E$23,IF(V61=regle!$F$11,regle!$F$23,IF(V61=regle!$G$11,regle!$G$23,IF(V61=regle!$H$11,regle!$H$23,IF(V61=regle!$I$11,regle!$I$23,IF(V61=regle!$J$11,regle!$J$23,0)))))))))))</f>
        <v>0</v>
      </c>
      <c r="AG61" s="14">
        <f>IF($A61,$M61*(IF(W61=regle!$B$11,regle!$B$23,IF(W61=regle!$C$11,regle!$C$23,IF(W61=regle!$D$11,regle!$D$23,IF(W61=regle!$E$11,regle!$E$23,IF(W61=regle!$F$11,regle!$F$23,IF(W61=regle!$G$11,regle!$G$23,IF(W61=regle!$H$11,regle!$H$23,IF(W61=regle!$I$11,regle!$I$23,IF(W61=regle!$J$11,regle!$J$23,0)))))))))))</f>
        <v>0</v>
      </c>
      <c r="AH61" s="14">
        <f>IF($A61,$M61*(IF(X61=regle!$B$11,regle!$B$23,IF(X61=regle!$C$11,regle!$C$23,IF(X61=regle!$D$11,regle!$D$23,IF(X61=regle!$E$11,regle!$E$23,IF(X61=regle!$F$11,regle!$F$23,IF(X61=regle!$G$11,regle!$G$23,IF(X61=regle!$H$11,regle!$H$23,IF(X61=regle!$I$11,regle!$I$23,IF(X61=regle!$J$11,regle!$J$23,0)))))))))))</f>
        <v>0</v>
      </c>
      <c r="AI61" s="14">
        <f>IF($A61,$M61*(IF(Y61=regle!$B$11,regle!$B$23,IF(Y61=regle!$C$11,regle!$C$23,IF(Y61=regle!$D$11,regle!$D$23,IF(Y61=regle!$E$11,regle!$E$23,IF(Y61=regle!$F$11,regle!$F$23,IF(Y61=regle!$G$11,regle!$G$23,IF(Y61=regle!$H$11,regle!$H$23,IF(Y61=regle!$I$11,regle!$I$23,IF(Y61=regle!$J$11,regle!$J$23,0)))))))))))</f>
        <v>10736.064</v>
      </c>
      <c r="AJ61" s="14">
        <f>IF($A61,$M61*(IF(Z61=regle!$B$11,regle!$B$23,IF(Z61=regle!$C$11,regle!$C$23,IF(Z61=regle!$D$11,regle!$D$23,IF(Z61=regle!$E$11,regle!$E$23,IF(Z61=regle!$F$11,regle!$F$23,IF(Z61=regle!$G$11,regle!$G$23,IF(Z61=regle!$H$11,regle!$H$23,IF(Z61=regle!$I$11,regle!$I$23,IF(Z61=regle!$J$11,regle!$J$23,0)))))))))))</f>
        <v>0</v>
      </c>
      <c r="AK61" s="14">
        <f>IF($A61,$M61*(IF(AA61=regle!$B$11,regle!$B$23,IF(AA61=regle!$C$11,regle!$C$23,IF(AA61=regle!$D$11,regle!$D$23,IF(AA61=regle!$E$11,regle!$E$23,IF(AA61=regle!$F$11,regle!$F$23,IF(AA61=regle!$G$11,regle!$G$23,IF(AA61=regle!$H$11,regle!$H$23,IF(AA61=regle!$I$11,regle!$I$23,IF(AA61=regle!$J$11,regle!$J$23,0)))))))))))</f>
        <v>0</v>
      </c>
      <c r="AL61" s="14">
        <f>IF($A61,$M61*(IF(AB61=regle!$B$11,regle!$B$23,IF(AB61=regle!$C$11,regle!$C$23,IF(AB61=regle!$D$11,regle!$D$23,IF(AB61=regle!$E$11,regle!$E$23,IF(AB61=regle!$F$11,regle!$F$23,IF(AB61=regle!$G$11,regle!$G$23,IF(AB61=regle!$H$11,regle!$H$23,IF(AB61=regle!$I$11,regle!$I$23,IF(AB61=regle!$J$11,regle!$J$23,0)))))))))))</f>
        <v>0</v>
      </c>
      <c r="AM61" s="14">
        <f>IF($A61,$M61*(IF(AC61=regle!$B$11,regle!$B$23,IF(AC61=regle!$C$11,regle!$C$23,IF(AC61=regle!$D$11,regle!$D$23,IF(AC61=regle!$E$11,regle!$E$23,IF(AC61=regle!$F$11,regle!$F$23,IF(AC61=regle!$G$11,regle!$G$23,IF(AC61=regle!$H$11,regle!$H$23,IF(AC61=regle!$I$11,regle!$I$23,IF(AC61=regle!$J$11,regle!$J$23,0)))))))))))</f>
        <v>0</v>
      </c>
      <c r="AN61" s="14">
        <f>IF($A61,$M61*(IF(AD61=regle!$B$11,regle!$B$23,IF(AD61=regle!$C$11,regle!$C$23,IF(AD61=regle!$D$11,regle!$D$23,IF(AD61=regle!$E$11,regle!$E$23,IF(AD61=regle!$F$11,regle!$F$23,IF(AD61=regle!$G$11,regle!$G$23,IF(AD61=regle!$H$11,regle!$H$23,IF(AD61=regle!$I$11,regle!$I$23,IF(AD61=regle!$J$11,regle!$J$23,0)))))))))))</f>
        <v>15656.76</v>
      </c>
      <c r="AO61">
        <f>IF(AO$1=$AO$1,IF(regle!B$2-$Q61&gt;=regle!$J$12,-2,IF($S61,IF(regle!$B$2-$Q61&gt;=2,0,-1),regle!B$2-$Q61)),IF(AN61+1&gt;=regle!$J$12,-2,AN61+1))</f>
        <v>9</v>
      </c>
      <c r="AP61">
        <f>IF(AP$1=$AO$1,IF(regle!C$2-$Q61&gt;=regle!$J$12,-2,IF($S61,IF(regle!$B$2-$Q61&gt;=2,0,-1),regle!C$2-$Q61)),IF(AO61+1&gt;=regle!$J$12,-2,AO61+1))</f>
        <v>10</v>
      </c>
      <c r="AQ61">
        <f>IF(AQ$1=$AO$1,IF(regle!D$2-$Q61&gt;=regle!$J$12,-2,IF($S61,IF(regle!$B$2-$Q61&gt;=2,0,-1),regle!D$2-$Q61)),IF(AP61+1&gt;=regle!$J$12,-2,AP61+1))</f>
        <v>11</v>
      </c>
      <c r="AR61">
        <f>IF(AR$1=$AO$1,IF(regle!E$2-$Q61&gt;=regle!$J$12,-2,IF($S61,IF(regle!$B$2-$Q61&gt;=2,0,-1),regle!E$2-$Q61)),IF(AQ61+1&gt;=regle!$J$12,-2,AQ61+1))</f>
        <v>12</v>
      </c>
      <c r="AS61">
        <f>IF(AS$1=$AO$1,IF(regle!F$2-$Q61&gt;=regle!$J$12,-2,IF($S61,IF(regle!$B$2-$Q61&gt;=2,0,-1),regle!F$2-$Q61)),IF(AR61+1&gt;=regle!$J$12,-2,AR61+1))</f>
        <v>13</v>
      </c>
      <c r="AT61">
        <f>IF(AT$1=$AO$1,IF(regle!G$2-$Q61&gt;=regle!$J$12,-2,IF($S61,IF(regle!$B$2-$Q61&gt;=2,0,-1),regle!G$2-$Q61)),IF(AS61+1&gt;=regle!$J$12,-2,AS61+1))</f>
        <v>14</v>
      </c>
      <c r="AU61">
        <f>IF(AU$1=$AO$1,IF(regle!H$2-$Q61&gt;=regle!$J$12,-2,IF($S61,IF(regle!$B$2-$Q61&gt;=2,0,-1),regle!H$2-$Q61)),IF(AT61+1&gt;=regle!$J$12,-2,AT61+1))</f>
        <v>15</v>
      </c>
      <c r="AV61">
        <f>IF(AV$1=$AO$1,IF(regle!I$2-$Q61&gt;=regle!$J$12,-2,IF($S61,IF(regle!$B$2-$Q61&gt;=2,0,-1),regle!I$2-$Q61)),IF(AU61+1&gt;=regle!$J$12,-2,AU61+1))</f>
        <v>16</v>
      </c>
      <c r="AW61">
        <f>IF(AW$1=$AO$1,IF(regle!J$2-$Q61&gt;=regle!$J$12,-2,IF($S61,IF(regle!$B$2-$Q61&gt;=2,0,-1),regle!J$2-$Q61)),IF(AV61+1&gt;=regle!$J$12,-2,AV61+1))</f>
        <v>17</v>
      </c>
      <c r="AX61">
        <f>IF(AX$1=$AO$1,IF(regle!K$2-$Q61&gt;=regle!$J$12,-2,IF($S61,IF(regle!$B$2-$Q61&gt;=2,0,-1),regle!K$2-$Q61)),IF(AW61+1&gt;=regle!$J$12,-2,AW61+1))</f>
        <v>18</v>
      </c>
    </row>
    <row r="62" spans="1:50" x14ac:dyDescent="0.25">
      <c r="A62" t="b">
        <f>AND(modif0[[#This Row],[cdstr]]&lt;&gt;0,OR(regle!$H$27=FALSE,modif0[[#This Row],[essnc]]="PM"))</f>
        <v>1</v>
      </c>
      <c r="B62">
        <f>ROW(objet!A80)</f>
        <v>80</v>
      </c>
      <c r="C62" s="10" t="str">
        <f>objet!D80</f>
        <v>5360000A0523</v>
      </c>
      <c r="D62" t="str">
        <f>LEFT(modif0[[#This Row],[cdstr]],3)</f>
        <v>536</v>
      </c>
      <c r="E62" s="10" t="str">
        <f>objet!G80</f>
        <v>LE TUZAN</v>
      </c>
      <c r="F62">
        <f>LEN(modif0[[#This Row],[l_dt]])</f>
        <v>21</v>
      </c>
      <c r="G62" s="10" t="str">
        <f>objet!H80</f>
        <v>METAIRIES DE TABARTON</v>
      </c>
      <c r="H62" s="10" t="str">
        <f>objet!C80</f>
        <v>A523k</v>
      </c>
      <c r="I62" t="str">
        <f>IF(ISNUMBER(VALUE(RIGHT(LEFT(modif0[[#This Row],[idntfn]],2),1))),_xlfn.CONCAT(0,LEFT(modif0[[#This Row],[idntfn]],1)),LEFT(modif0[[#This Row],[idntfn]],2))</f>
        <v>0A</v>
      </c>
      <c r="J62">
        <f>VALUE(LEFT(RIGHT(modif0[[#This Row],[idntfn]],LEN(modif0[[#This Row],[idntfn]])-IF(LEFT(modif0[[#This Row],[sctn]],1)="0",1,2)),LEN(modif0[[#This Row],[idntfn]])-IF(LEFT(modif0[[#This Row],[sctn]],1)="0",1,2)-LEN(modif0[[#This Row],[lttr]])))</f>
        <v>523</v>
      </c>
      <c r="K62" t="str">
        <f>IF(ISNUMBER(VALUE(RIGHT(modif0[[#This Row],[idntfn]],1))),"",IF(ISNUMBER(VALUE(LEFT(RIGHT(modif0[[#This Row],[idntfn]],2),1))),RIGHT(modif0[[#This Row],[idntfn]],1),RIGHT(modif0[[#This Row],[idntfn]],2)))</f>
        <v>k</v>
      </c>
      <c r="L62" s="10">
        <f>objet!I80</f>
        <v>4609</v>
      </c>
      <c r="M62" s="11">
        <f>modif0[[#This Row],[srfc]]/10000</f>
        <v>0.46089999999999998</v>
      </c>
      <c r="N62" s="10" t="str">
        <f>objet!Z80</f>
        <v>PM</v>
      </c>
      <c r="O62" s="10" t="str">
        <f>objet!AA80</f>
        <v>PLA2005</v>
      </c>
      <c r="P62" t="str">
        <f>IF(ISNUMBER(modif0[[#This Row],[trvx]]),"",LEFT(modif0[[#This Row],[trvx]],LEN(modif0[[#This Row],[trvx]])-4))</f>
        <v>PLA</v>
      </c>
      <c r="Q62">
        <f>VALUE(RIGHT(modif0[[#This Row],[trvx]],4))</f>
        <v>2005</v>
      </c>
      <c r="R62" t="str">
        <f>_xlfn.CONCAT(modif0[[#This Row],[tp]],"-",modif0[[#This Row],[essnc]],"_",modif0[[#This Row],[anns]])</f>
        <v>PLA-PM_2005</v>
      </c>
      <c r="S62" t="b">
        <f>modif0[[#This Row],[tp]]="CR"</f>
        <v>0</v>
      </c>
      <c r="T62">
        <v>40</v>
      </c>
      <c r="U62" t="str">
        <f>IF(NOT($A62),"",
IF(AO62=-2,regle!$J$11,
IF(AO62=regle!$B$12,regle!$B$11,
IF(AO62=regle!$C$12,regle!$C$11,
IF(AO62=regle!$D$12,regle!$D$11,
IF(AO62=regle!$E$12,regle!$E$11,
IF(AO62=regle!$F$12,regle!$F$11,
IF(AO62=regle!$G$12,regle!$G$11,
IF(AO62=regle!$H$12,regle!$H$11,
IF(AO62=regle!$I$12,regle!$I$11,""))))))))))</f>
        <v/>
      </c>
      <c r="V62" t="str">
        <f>IF(NOT($A62),"",
IF(AP62=-2,regle!$J$11,
IF(AP62=regle!$B$12,regle!$B$11,
IF(AP62=regle!$C$12,regle!$C$11,
IF(AP62=regle!$D$12,regle!$D$11,
IF(AP62=regle!$E$12,regle!$E$11,
IF(AP62=regle!$F$12,regle!$F$11,
IF(AP62=regle!$G$12,regle!$G$11,
IF(AP62=regle!$H$12,regle!$H$11,
IF(AP62=regle!$I$12,regle!$I$11,""))))))))))</f>
        <v/>
      </c>
      <c r="W62" t="str">
        <f>IF(NOT($A62),"",
IF(AQ62=-2,regle!$J$11,
IF(AQ62=regle!$B$12,regle!$B$11,
IF(AQ62=regle!$C$12,regle!$C$11,
IF(AQ62=regle!$D$12,regle!$D$11,
IF(AQ62=regle!$E$12,regle!$E$11,
IF(AQ62=regle!$F$12,regle!$F$11,
IF(AQ62=regle!$G$12,regle!$G$11,
IF(AQ62=regle!$H$12,regle!$H$11,
IF(AQ62=regle!$I$12,regle!$I$11,""))))))))))</f>
        <v/>
      </c>
      <c r="X62" t="str">
        <f>IF(NOT($A62),"",
IF(AR62=-2,regle!$J$11,
IF(AR62=regle!$B$12,regle!$B$11,
IF(AR62=regle!$C$12,regle!$C$11,
IF(AR62=regle!$D$12,regle!$D$11,
IF(AR62=regle!$E$12,regle!$E$11,
IF(AR62=regle!$F$12,regle!$F$11,
IF(AR62=regle!$G$12,regle!$G$11,
IF(AR62=regle!$H$12,regle!$H$11,
IF(AR62=regle!$I$12,regle!$I$11,""))))))))))</f>
        <v/>
      </c>
      <c r="Y62" t="str">
        <f>IF(NOT($A62),"",
IF(AS62=-2,regle!$J$11,
IF(AS62=regle!$B$12,regle!$B$11,
IF(AS62=regle!$C$12,regle!$C$11,
IF(AS62=regle!$D$12,regle!$D$11,
IF(AS62=regle!$E$12,regle!$E$11,
IF(AS62=regle!$F$12,regle!$F$11,
IF(AS62=regle!$G$12,regle!$G$11,
IF(AS62=regle!$H$12,regle!$H$11,
IF(AS62=regle!$I$12,regle!$I$11,""))))))))))</f>
        <v>EC3</v>
      </c>
      <c r="Z62" t="str">
        <f>IF(NOT($A62),"",
IF(AT62=-2,regle!$J$11,
IF(AT62=regle!$B$12,regle!$B$11,
IF(AT62=regle!$C$12,regle!$C$11,
IF(AT62=regle!$D$12,regle!$D$11,
IF(AT62=regle!$E$12,regle!$E$11,
IF(AT62=regle!$F$12,regle!$F$11,
IF(AT62=regle!$G$12,regle!$G$11,
IF(AT62=regle!$H$12,regle!$H$11,
IF(AT62=regle!$I$12,regle!$I$11,""))))))))))</f>
        <v/>
      </c>
      <c r="AA62" t="str">
        <f>IF(NOT($A62),"",
IF(AU62=-2,regle!$J$11,
IF(AU62=regle!$B$12,regle!$B$11,
IF(AU62=regle!$C$12,regle!$C$11,
IF(AU62=regle!$D$12,regle!$D$11,
IF(AU62=regle!$E$12,regle!$E$11,
IF(AU62=regle!$F$12,regle!$F$11,
IF(AU62=regle!$G$12,regle!$G$11,
IF(AU62=regle!$H$12,regle!$H$11,
IF(AU62=regle!$I$12,regle!$I$11,""))))))))))</f>
        <v/>
      </c>
      <c r="AB62" t="str">
        <f>IF(NOT($A62),"",
IF(AV62=-2,regle!$J$11,
IF(AV62=regle!$B$12,regle!$B$11,
IF(AV62=regle!$C$12,regle!$C$11,
IF(AV62=regle!$D$12,regle!$D$11,
IF(AV62=regle!$E$12,regle!$E$11,
IF(AV62=regle!$F$12,regle!$F$11,
IF(AV62=regle!$G$12,regle!$G$11,
IF(AV62=regle!$H$12,regle!$H$11,
IF(AV62=regle!$I$12,regle!$I$11,""))))))))))</f>
        <v/>
      </c>
      <c r="AC62" t="str">
        <f>IF(NOT($A62),"",
IF(AW62=-2,regle!$J$11,
IF(AW62=regle!$B$12,regle!$B$11,
IF(AW62=regle!$C$12,regle!$C$11,
IF(AW62=regle!$D$12,regle!$D$11,
IF(AW62=regle!$E$12,regle!$E$11,
IF(AW62=regle!$F$12,regle!$F$11,
IF(AW62=regle!$G$12,regle!$G$11,
IF(AW62=regle!$H$12,regle!$H$11,
IF(AW62=regle!$I$12,regle!$I$11,""))))))))))</f>
        <v/>
      </c>
      <c r="AD62" t="str">
        <f>IF(NOT($A62),"",
IF(AX62=-2,regle!$J$11,
IF(AX62=regle!$B$12,regle!$B$11,
IF(AX62=regle!$C$12,regle!$C$11,
IF(AX62=regle!$D$12,regle!$D$11,
IF(AX62=regle!$E$12,regle!$E$11,
IF(AX62=regle!$F$12,regle!$F$11,
IF(AX62=regle!$G$12,regle!$G$11,
IF(AX62=regle!$H$12,regle!$H$11,
IF(AX62=regle!$I$12,regle!$I$11,""))))))))))</f>
        <v>EC4</v>
      </c>
      <c r="AE62" s="14">
        <f>IF($A62,$M62*(IF(U62=regle!$B$11,regle!$B$23,IF(U62=regle!$C$11,regle!$C$23,IF(U62=regle!$D$11,regle!$D$23,IF(U62=regle!$E$11,regle!$E$23,IF(U62=regle!$F$11,regle!$F$23,IF(U62=regle!$G$11,regle!$G$23,IF(U62=regle!$H$11,regle!$H$23,IF(U62=regle!$I$11,regle!$I$23,IF(U62=regle!$J$11,regle!$J$23,0)))))))))))</f>
        <v>0</v>
      </c>
      <c r="AF62" s="14">
        <f>IF($A62,$M62*(IF(V62=regle!$B$11,regle!$B$23,IF(V62=regle!$C$11,regle!$C$23,IF(V62=regle!$D$11,regle!$D$23,IF(V62=regle!$E$11,regle!$E$23,IF(V62=regle!$F$11,regle!$F$23,IF(V62=regle!$G$11,regle!$G$23,IF(V62=regle!$H$11,regle!$H$23,IF(V62=regle!$I$11,regle!$I$23,IF(V62=regle!$J$11,regle!$J$23,0)))))))))))</f>
        <v>0</v>
      </c>
      <c r="AG62" s="14">
        <f>IF($A62,$M62*(IF(W62=regle!$B$11,regle!$B$23,IF(W62=regle!$C$11,regle!$C$23,IF(W62=regle!$D$11,regle!$D$23,IF(W62=regle!$E$11,regle!$E$23,IF(W62=regle!$F$11,regle!$F$23,IF(W62=regle!$G$11,regle!$G$23,IF(W62=regle!$H$11,regle!$H$23,IF(W62=regle!$I$11,regle!$I$23,IF(W62=regle!$J$11,regle!$J$23,0)))))))))))</f>
        <v>0</v>
      </c>
      <c r="AH62" s="14">
        <f>IF($A62,$M62*(IF(X62=regle!$B$11,regle!$B$23,IF(X62=regle!$C$11,regle!$C$23,IF(X62=regle!$D$11,regle!$D$23,IF(X62=regle!$E$11,regle!$E$23,IF(X62=regle!$F$11,regle!$F$23,IF(X62=regle!$G$11,regle!$G$23,IF(X62=regle!$H$11,regle!$H$23,IF(X62=regle!$I$11,regle!$I$23,IF(X62=regle!$J$11,regle!$J$23,0)))))))))))</f>
        <v>0</v>
      </c>
      <c r="AI62" s="14">
        <f>IF($A62,$M62*(IF(Y62=regle!$B$11,regle!$B$23,IF(Y62=regle!$C$11,regle!$C$23,IF(Y62=regle!$D$11,regle!$D$23,IF(Y62=regle!$E$11,regle!$E$23,IF(Y62=regle!$F$11,regle!$F$23,IF(Y62=regle!$G$11,regle!$G$23,IF(Y62=regle!$H$11,regle!$H$23,IF(Y62=regle!$I$11,regle!$I$23,IF(Y62=regle!$J$11,regle!$J$23,0)))))))))))</f>
        <v>648.94719999999995</v>
      </c>
      <c r="AJ62" s="14">
        <f>IF($A62,$M62*(IF(Z62=regle!$B$11,regle!$B$23,IF(Z62=regle!$C$11,regle!$C$23,IF(Z62=regle!$D$11,regle!$D$23,IF(Z62=regle!$E$11,regle!$E$23,IF(Z62=regle!$F$11,regle!$F$23,IF(Z62=regle!$G$11,regle!$G$23,IF(Z62=regle!$H$11,regle!$H$23,IF(Z62=regle!$I$11,regle!$I$23,IF(Z62=regle!$J$11,regle!$J$23,0)))))))))))</f>
        <v>0</v>
      </c>
      <c r="AK62" s="14">
        <f>IF($A62,$M62*(IF(AA62=regle!$B$11,regle!$B$23,IF(AA62=regle!$C$11,regle!$C$23,IF(AA62=regle!$D$11,regle!$D$23,IF(AA62=regle!$E$11,regle!$E$23,IF(AA62=regle!$F$11,regle!$F$23,IF(AA62=regle!$G$11,regle!$G$23,IF(AA62=regle!$H$11,regle!$H$23,IF(AA62=regle!$I$11,regle!$I$23,IF(AA62=regle!$J$11,regle!$J$23,0)))))))))))</f>
        <v>0</v>
      </c>
      <c r="AL62" s="14">
        <f>IF($A62,$M62*(IF(AB62=regle!$B$11,regle!$B$23,IF(AB62=regle!$C$11,regle!$C$23,IF(AB62=regle!$D$11,regle!$D$23,IF(AB62=regle!$E$11,regle!$E$23,IF(AB62=regle!$F$11,regle!$F$23,IF(AB62=regle!$G$11,regle!$G$23,IF(AB62=regle!$H$11,regle!$H$23,IF(AB62=regle!$I$11,regle!$I$23,IF(AB62=regle!$J$11,regle!$J$23,0)))))))))))</f>
        <v>0</v>
      </c>
      <c r="AM62" s="14">
        <f>IF($A62,$M62*(IF(AC62=regle!$B$11,regle!$B$23,IF(AC62=regle!$C$11,regle!$C$23,IF(AC62=regle!$D$11,regle!$D$23,IF(AC62=regle!$E$11,regle!$E$23,IF(AC62=regle!$F$11,regle!$F$23,IF(AC62=regle!$G$11,regle!$G$23,IF(AC62=regle!$H$11,regle!$H$23,IF(AC62=regle!$I$11,regle!$I$23,IF(AC62=regle!$J$11,regle!$J$23,0)))))))))))</f>
        <v>0</v>
      </c>
      <c r="AN62" s="14">
        <f>IF($A62,$M62*(IF(AD62=regle!$B$11,regle!$B$23,IF(AD62=regle!$C$11,regle!$C$23,IF(AD62=regle!$D$11,regle!$D$23,IF(AD62=regle!$E$11,regle!$E$23,IF(AD62=regle!$F$11,regle!$F$23,IF(AD62=regle!$G$11,regle!$G$23,IF(AD62=regle!$H$11,regle!$H$23,IF(AD62=regle!$I$11,regle!$I$23,IF(AD62=regle!$J$11,regle!$J$23,0)))))))))))</f>
        <v>589.952</v>
      </c>
      <c r="AO62">
        <f>IF(AO$1=$AO$1,IF(regle!B$2-$Q62&gt;=regle!$J$12,-2,IF($S62,IF(regle!$B$2-$Q62&gt;=2,0,-1),regle!B$2-$Q62)),IF(AN62+1&gt;=regle!$J$12,-2,AN62+1))</f>
        <v>19</v>
      </c>
      <c r="AP62">
        <f>IF(AP$1=$AO$1,IF(regle!C$2-$Q62&gt;=regle!$J$12,-2,IF($S62,IF(regle!$B$2-$Q62&gt;=2,0,-1),regle!C$2-$Q62)),IF(AO62+1&gt;=regle!$J$12,-2,AO62+1))</f>
        <v>20</v>
      </c>
      <c r="AQ62">
        <f>IF(AQ$1=$AO$1,IF(regle!D$2-$Q62&gt;=regle!$J$12,-2,IF($S62,IF(regle!$B$2-$Q62&gt;=2,0,-1),regle!D$2-$Q62)),IF(AP62+1&gt;=regle!$J$12,-2,AP62+1))</f>
        <v>21</v>
      </c>
      <c r="AR62">
        <f>IF(AR$1=$AO$1,IF(regle!E$2-$Q62&gt;=regle!$J$12,-2,IF($S62,IF(regle!$B$2-$Q62&gt;=2,0,-1),regle!E$2-$Q62)),IF(AQ62+1&gt;=regle!$J$12,-2,AQ62+1))</f>
        <v>22</v>
      </c>
      <c r="AS62">
        <f>IF(AS$1=$AO$1,IF(regle!F$2-$Q62&gt;=regle!$J$12,-2,IF($S62,IF(regle!$B$2-$Q62&gt;=2,0,-1),regle!F$2-$Q62)),IF(AR62+1&gt;=regle!$J$12,-2,AR62+1))</f>
        <v>23</v>
      </c>
      <c r="AT62">
        <f>IF(AT$1=$AO$1,IF(regle!G$2-$Q62&gt;=regle!$J$12,-2,IF($S62,IF(regle!$B$2-$Q62&gt;=2,0,-1),regle!G$2-$Q62)),IF(AS62+1&gt;=regle!$J$12,-2,AS62+1))</f>
        <v>24</v>
      </c>
      <c r="AU62">
        <f>IF(AU$1=$AO$1,IF(regle!H$2-$Q62&gt;=regle!$J$12,-2,IF($S62,IF(regle!$B$2-$Q62&gt;=2,0,-1),regle!H$2-$Q62)),IF(AT62+1&gt;=regle!$J$12,-2,AT62+1))</f>
        <v>25</v>
      </c>
      <c r="AV62">
        <f>IF(AV$1=$AO$1,IF(regle!I$2-$Q62&gt;=regle!$J$12,-2,IF($S62,IF(regle!$B$2-$Q62&gt;=2,0,-1),regle!I$2-$Q62)),IF(AU62+1&gt;=regle!$J$12,-2,AU62+1))</f>
        <v>26</v>
      </c>
      <c r="AW62">
        <f>IF(AW$1=$AO$1,IF(regle!J$2-$Q62&gt;=regle!$J$12,-2,IF($S62,IF(regle!$B$2-$Q62&gt;=2,0,-1),regle!J$2-$Q62)),IF(AV62+1&gt;=regle!$J$12,-2,AV62+1))</f>
        <v>27</v>
      </c>
      <c r="AX62">
        <f>IF(AX$1=$AO$1,IF(regle!K$2-$Q62&gt;=regle!$J$12,-2,IF($S62,IF(regle!$B$2-$Q62&gt;=2,0,-1),regle!K$2-$Q62)),IF(AW62+1&gt;=regle!$J$12,-2,AW62+1))</f>
        <v>28</v>
      </c>
    </row>
    <row r="63" spans="1:50" x14ac:dyDescent="0.25">
      <c r="A63" t="b">
        <f>AND(modif0[[#This Row],[cdstr]]&lt;&gt;0,OR(regle!$H$27=FALSE,modif0[[#This Row],[essnc]]="PM"))</f>
        <v>1</v>
      </c>
      <c r="B63">
        <f>ROW(objet!A81)</f>
        <v>81</v>
      </c>
      <c r="C63" s="10" t="str">
        <f>objet!D81</f>
        <v>5360000A0523</v>
      </c>
      <c r="D63" t="str">
        <f>LEFT(modif0[[#This Row],[cdstr]],3)</f>
        <v>536</v>
      </c>
      <c r="E63" s="10" t="str">
        <f>objet!G81</f>
        <v>LE TUZAN</v>
      </c>
      <c r="F63">
        <f>LEN(modif0[[#This Row],[l_dt]])</f>
        <v>21</v>
      </c>
      <c r="G63" s="10" t="str">
        <f>objet!H81</f>
        <v>METAIRIES DE TABARTON</v>
      </c>
      <c r="H63" s="10" t="str">
        <f>objet!C81</f>
        <v>A523l</v>
      </c>
      <c r="I63" t="str">
        <f>IF(ISNUMBER(VALUE(RIGHT(LEFT(modif0[[#This Row],[idntfn]],2),1))),_xlfn.CONCAT(0,LEFT(modif0[[#This Row],[idntfn]],1)),LEFT(modif0[[#This Row],[idntfn]],2))</f>
        <v>0A</v>
      </c>
      <c r="J63">
        <f>VALUE(LEFT(RIGHT(modif0[[#This Row],[idntfn]],LEN(modif0[[#This Row],[idntfn]])-IF(LEFT(modif0[[#This Row],[sctn]],1)="0",1,2)),LEN(modif0[[#This Row],[idntfn]])-IF(LEFT(modif0[[#This Row],[sctn]],1)="0",1,2)-LEN(modif0[[#This Row],[lttr]])))</f>
        <v>523</v>
      </c>
      <c r="K63" t="str">
        <f>IF(ISNUMBER(VALUE(RIGHT(modif0[[#This Row],[idntfn]],1))),"",IF(ISNUMBER(VALUE(LEFT(RIGHT(modif0[[#This Row],[idntfn]],2),1))),RIGHT(modif0[[#This Row],[idntfn]],1),RIGHT(modif0[[#This Row],[idntfn]],2)))</f>
        <v>l</v>
      </c>
      <c r="L63" s="10">
        <f>objet!I81</f>
        <v>1149</v>
      </c>
      <c r="M63" s="11">
        <f>modif0[[#This Row],[srfc]]/10000</f>
        <v>0.1149</v>
      </c>
      <c r="N63" s="10" t="str">
        <f>objet!Z81</f>
        <v>PM</v>
      </c>
      <c r="O63" s="10" t="str">
        <f>objet!AA81</f>
        <v>PLA2005</v>
      </c>
      <c r="P63" t="str">
        <f>IF(ISNUMBER(modif0[[#This Row],[trvx]]),"",LEFT(modif0[[#This Row],[trvx]],LEN(modif0[[#This Row],[trvx]])-4))</f>
        <v>PLA</v>
      </c>
      <c r="Q63">
        <f>VALUE(RIGHT(modif0[[#This Row],[trvx]],4))</f>
        <v>2005</v>
      </c>
      <c r="R63" t="str">
        <f>_xlfn.CONCAT(modif0[[#This Row],[tp]],"-",modif0[[#This Row],[essnc]],"_",modif0[[#This Row],[anns]])</f>
        <v>PLA-PM_2005</v>
      </c>
      <c r="S63" t="b">
        <f>modif0[[#This Row],[tp]]="CR"</f>
        <v>0</v>
      </c>
      <c r="T63">
        <v>40</v>
      </c>
      <c r="U63" t="str">
        <f>IF(NOT($A63),"",
IF(AO63=-2,regle!$J$11,
IF(AO63=regle!$B$12,regle!$B$11,
IF(AO63=regle!$C$12,regle!$C$11,
IF(AO63=regle!$D$12,regle!$D$11,
IF(AO63=regle!$E$12,regle!$E$11,
IF(AO63=regle!$F$12,regle!$F$11,
IF(AO63=regle!$G$12,regle!$G$11,
IF(AO63=regle!$H$12,regle!$H$11,
IF(AO63=regle!$I$12,regle!$I$11,""))))))))))</f>
        <v/>
      </c>
      <c r="V63" t="str">
        <f>IF(NOT($A63),"",
IF(AP63=-2,regle!$J$11,
IF(AP63=regle!$B$12,regle!$B$11,
IF(AP63=regle!$C$12,regle!$C$11,
IF(AP63=regle!$D$12,regle!$D$11,
IF(AP63=regle!$E$12,regle!$E$11,
IF(AP63=regle!$F$12,regle!$F$11,
IF(AP63=regle!$G$12,regle!$G$11,
IF(AP63=regle!$H$12,regle!$H$11,
IF(AP63=regle!$I$12,regle!$I$11,""))))))))))</f>
        <v/>
      </c>
      <c r="W63" t="str">
        <f>IF(NOT($A63),"",
IF(AQ63=-2,regle!$J$11,
IF(AQ63=regle!$B$12,regle!$B$11,
IF(AQ63=regle!$C$12,regle!$C$11,
IF(AQ63=regle!$D$12,regle!$D$11,
IF(AQ63=regle!$E$12,regle!$E$11,
IF(AQ63=regle!$F$12,regle!$F$11,
IF(AQ63=regle!$G$12,regle!$G$11,
IF(AQ63=regle!$H$12,regle!$H$11,
IF(AQ63=regle!$I$12,regle!$I$11,""))))))))))</f>
        <v/>
      </c>
      <c r="X63" t="str">
        <f>IF(NOT($A63),"",
IF(AR63=-2,regle!$J$11,
IF(AR63=regle!$B$12,regle!$B$11,
IF(AR63=regle!$C$12,regle!$C$11,
IF(AR63=regle!$D$12,regle!$D$11,
IF(AR63=regle!$E$12,regle!$E$11,
IF(AR63=regle!$F$12,regle!$F$11,
IF(AR63=regle!$G$12,regle!$G$11,
IF(AR63=regle!$H$12,regle!$H$11,
IF(AR63=regle!$I$12,regle!$I$11,""))))))))))</f>
        <v/>
      </c>
      <c r="Y63" t="str">
        <f>IF(NOT($A63),"",
IF(AS63=-2,regle!$J$11,
IF(AS63=regle!$B$12,regle!$B$11,
IF(AS63=regle!$C$12,regle!$C$11,
IF(AS63=regle!$D$12,regle!$D$11,
IF(AS63=regle!$E$12,regle!$E$11,
IF(AS63=regle!$F$12,regle!$F$11,
IF(AS63=regle!$G$12,regle!$G$11,
IF(AS63=regle!$H$12,regle!$H$11,
IF(AS63=regle!$I$12,regle!$I$11,""))))))))))</f>
        <v>EC3</v>
      </c>
      <c r="Z63" t="str">
        <f>IF(NOT($A63),"",
IF(AT63=-2,regle!$J$11,
IF(AT63=regle!$B$12,regle!$B$11,
IF(AT63=regle!$C$12,regle!$C$11,
IF(AT63=regle!$D$12,regle!$D$11,
IF(AT63=regle!$E$12,regle!$E$11,
IF(AT63=regle!$F$12,regle!$F$11,
IF(AT63=regle!$G$12,regle!$G$11,
IF(AT63=regle!$H$12,regle!$H$11,
IF(AT63=regle!$I$12,regle!$I$11,""))))))))))</f>
        <v/>
      </c>
      <c r="AA63" t="str">
        <f>IF(NOT($A63),"",
IF(AU63=-2,regle!$J$11,
IF(AU63=regle!$B$12,regle!$B$11,
IF(AU63=regle!$C$12,regle!$C$11,
IF(AU63=regle!$D$12,regle!$D$11,
IF(AU63=regle!$E$12,regle!$E$11,
IF(AU63=regle!$F$12,regle!$F$11,
IF(AU63=regle!$G$12,regle!$G$11,
IF(AU63=regle!$H$12,regle!$H$11,
IF(AU63=regle!$I$12,regle!$I$11,""))))))))))</f>
        <v/>
      </c>
      <c r="AB63" t="str">
        <f>IF(NOT($A63),"",
IF(AV63=-2,regle!$J$11,
IF(AV63=regle!$B$12,regle!$B$11,
IF(AV63=regle!$C$12,regle!$C$11,
IF(AV63=regle!$D$12,regle!$D$11,
IF(AV63=regle!$E$12,regle!$E$11,
IF(AV63=regle!$F$12,regle!$F$11,
IF(AV63=regle!$G$12,regle!$G$11,
IF(AV63=regle!$H$12,regle!$H$11,
IF(AV63=regle!$I$12,regle!$I$11,""))))))))))</f>
        <v/>
      </c>
      <c r="AC63" t="str">
        <f>IF(NOT($A63),"",
IF(AW63=-2,regle!$J$11,
IF(AW63=regle!$B$12,regle!$B$11,
IF(AW63=regle!$C$12,regle!$C$11,
IF(AW63=regle!$D$12,regle!$D$11,
IF(AW63=regle!$E$12,regle!$E$11,
IF(AW63=regle!$F$12,regle!$F$11,
IF(AW63=regle!$G$12,regle!$G$11,
IF(AW63=regle!$H$12,regle!$H$11,
IF(AW63=regle!$I$12,regle!$I$11,""))))))))))</f>
        <v/>
      </c>
      <c r="AD63" t="str">
        <f>IF(NOT($A63),"",
IF(AX63=-2,regle!$J$11,
IF(AX63=regle!$B$12,regle!$B$11,
IF(AX63=regle!$C$12,regle!$C$11,
IF(AX63=regle!$D$12,regle!$D$11,
IF(AX63=regle!$E$12,regle!$E$11,
IF(AX63=regle!$F$12,regle!$F$11,
IF(AX63=regle!$G$12,regle!$G$11,
IF(AX63=regle!$H$12,regle!$H$11,
IF(AX63=regle!$I$12,regle!$I$11,""))))))))))</f>
        <v>EC4</v>
      </c>
      <c r="AE63" s="14">
        <f>IF($A63,$M63*(IF(U63=regle!$B$11,regle!$B$23,IF(U63=regle!$C$11,regle!$C$23,IF(U63=regle!$D$11,regle!$D$23,IF(U63=regle!$E$11,regle!$E$23,IF(U63=regle!$F$11,regle!$F$23,IF(U63=regle!$G$11,regle!$G$23,IF(U63=regle!$H$11,regle!$H$23,IF(U63=regle!$I$11,regle!$I$23,IF(U63=regle!$J$11,regle!$J$23,0)))))))))))</f>
        <v>0</v>
      </c>
      <c r="AF63" s="14">
        <f>IF($A63,$M63*(IF(V63=regle!$B$11,regle!$B$23,IF(V63=regle!$C$11,regle!$C$23,IF(V63=regle!$D$11,regle!$D$23,IF(V63=regle!$E$11,regle!$E$23,IF(V63=regle!$F$11,regle!$F$23,IF(V63=regle!$G$11,regle!$G$23,IF(V63=regle!$H$11,regle!$H$23,IF(V63=regle!$I$11,regle!$I$23,IF(V63=regle!$J$11,regle!$J$23,0)))))))))))</f>
        <v>0</v>
      </c>
      <c r="AG63" s="14">
        <f>IF($A63,$M63*(IF(W63=regle!$B$11,regle!$B$23,IF(W63=regle!$C$11,regle!$C$23,IF(W63=regle!$D$11,regle!$D$23,IF(W63=regle!$E$11,regle!$E$23,IF(W63=regle!$F$11,regle!$F$23,IF(W63=regle!$G$11,regle!$G$23,IF(W63=regle!$H$11,regle!$H$23,IF(W63=regle!$I$11,regle!$I$23,IF(W63=regle!$J$11,regle!$J$23,0)))))))))))</f>
        <v>0</v>
      </c>
      <c r="AH63" s="14">
        <f>IF($A63,$M63*(IF(X63=regle!$B$11,regle!$B$23,IF(X63=regle!$C$11,regle!$C$23,IF(X63=regle!$D$11,regle!$D$23,IF(X63=regle!$E$11,regle!$E$23,IF(X63=regle!$F$11,regle!$F$23,IF(X63=regle!$G$11,regle!$G$23,IF(X63=regle!$H$11,regle!$H$23,IF(X63=regle!$I$11,regle!$I$23,IF(X63=regle!$J$11,regle!$J$23,0)))))))))))</f>
        <v>0</v>
      </c>
      <c r="AI63" s="14">
        <f>IF($A63,$M63*(IF(Y63=regle!$B$11,regle!$B$23,IF(Y63=regle!$C$11,regle!$C$23,IF(Y63=regle!$D$11,regle!$D$23,IF(Y63=regle!$E$11,regle!$E$23,IF(Y63=regle!$F$11,regle!$F$23,IF(Y63=regle!$G$11,regle!$G$23,IF(Y63=regle!$H$11,regle!$H$23,IF(Y63=regle!$I$11,regle!$I$23,IF(Y63=regle!$J$11,regle!$J$23,0)))))))))))</f>
        <v>161.7792</v>
      </c>
      <c r="AJ63" s="14">
        <f>IF($A63,$M63*(IF(Z63=regle!$B$11,regle!$B$23,IF(Z63=regle!$C$11,regle!$C$23,IF(Z63=regle!$D$11,regle!$D$23,IF(Z63=regle!$E$11,regle!$E$23,IF(Z63=regle!$F$11,regle!$F$23,IF(Z63=regle!$G$11,regle!$G$23,IF(Z63=regle!$H$11,regle!$H$23,IF(Z63=regle!$I$11,regle!$I$23,IF(Z63=regle!$J$11,regle!$J$23,0)))))))))))</f>
        <v>0</v>
      </c>
      <c r="AK63" s="14">
        <f>IF($A63,$M63*(IF(AA63=regle!$B$11,regle!$B$23,IF(AA63=regle!$C$11,regle!$C$23,IF(AA63=regle!$D$11,regle!$D$23,IF(AA63=regle!$E$11,regle!$E$23,IF(AA63=regle!$F$11,regle!$F$23,IF(AA63=regle!$G$11,regle!$G$23,IF(AA63=regle!$H$11,regle!$H$23,IF(AA63=regle!$I$11,regle!$I$23,IF(AA63=regle!$J$11,regle!$J$23,0)))))))))))</f>
        <v>0</v>
      </c>
      <c r="AL63" s="14">
        <f>IF($A63,$M63*(IF(AB63=regle!$B$11,regle!$B$23,IF(AB63=regle!$C$11,regle!$C$23,IF(AB63=regle!$D$11,regle!$D$23,IF(AB63=regle!$E$11,regle!$E$23,IF(AB63=regle!$F$11,regle!$F$23,IF(AB63=regle!$G$11,regle!$G$23,IF(AB63=regle!$H$11,regle!$H$23,IF(AB63=regle!$I$11,regle!$I$23,IF(AB63=regle!$J$11,regle!$J$23,0)))))))))))</f>
        <v>0</v>
      </c>
      <c r="AM63" s="14">
        <f>IF($A63,$M63*(IF(AC63=regle!$B$11,regle!$B$23,IF(AC63=regle!$C$11,regle!$C$23,IF(AC63=regle!$D$11,regle!$D$23,IF(AC63=regle!$E$11,regle!$E$23,IF(AC63=regle!$F$11,regle!$F$23,IF(AC63=regle!$G$11,regle!$G$23,IF(AC63=regle!$H$11,regle!$H$23,IF(AC63=regle!$I$11,regle!$I$23,IF(AC63=regle!$J$11,regle!$J$23,0)))))))))))</f>
        <v>0</v>
      </c>
      <c r="AN63" s="14">
        <f>IF($A63,$M63*(IF(AD63=regle!$B$11,regle!$B$23,IF(AD63=regle!$C$11,regle!$C$23,IF(AD63=regle!$D$11,regle!$D$23,IF(AD63=regle!$E$11,regle!$E$23,IF(AD63=regle!$F$11,regle!$F$23,IF(AD63=regle!$G$11,regle!$G$23,IF(AD63=regle!$H$11,regle!$H$23,IF(AD63=regle!$I$11,regle!$I$23,IF(AD63=regle!$J$11,regle!$J$23,0)))))))))))</f>
        <v>147.072</v>
      </c>
      <c r="AO63">
        <f>IF(AO$1=$AO$1,IF(regle!B$2-$Q63&gt;=regle!$J$12,-2,IF($S63,IF(regle!$B$2-$Q63&gt;=2,0,-1),regle!B$2-$Q63)),IF(AN63+1&gt;=regle!$J$12,-2,AN63+1))</f>
        <v>19</v>
      </c>
      <c r="AP63">
        <f>IF(AP$1=$AO$1,IF(regle!C$2-$Q63&gt;=regle!$J$12,-2,IF($S63,IF(regle!$B$2-$Q63&gt;=2,0,-1),regle!C$2-$Q63)),IF(AO63+1&gt;=regle!$J$12,-2,AO63+1))</f>
        <v>20</v>
      </c>
      <c r="AQ63">
        <f>IF(AQ$1=$AO$1,IF(regle!D$2-$Q63&gt;=regle!$J$12,-2,IF($S63,IF(regle!$B$2-$Q63&gt;=2,0,-1),regle!D$2-$Q63)),IF(AP63+1&gt;=regle!$J$12,-2,AP63+1))</f>
        <v>21</v>
      </c>
      <c r="AR63">
        <f>IF(AR$1=$AO$1,IF(regle!E$2-$Q63&gt;=regle!$J$12,-2,IF($S63,IF(regle!$B$2-$Q63&gt;=2,0,-1),regle!E$2-$Q63)),IF(AQ63+1&gt;=regle!$J$12,-2,AQ63+1))</f>
        <v>22</v>
      </c>
      <c r="AS63">
        <f>IF(AS$1=$AO$1,IF(regle!F$2-$Q63&gt;=regle!$J$12,-2,IF($S63,IF(regle!$B$2-$Q63&gt;=2,0,-1),regle!F$2-$Q63)),IF(AR63+1&gt;=regle!$J$12,-2,AR63+1))</f>
        <v>23</v>
      </c>
      <c r="AT63">
        <f>IF(AT$1=$AO$1,IF(regle!G$2-$Q63&gt;=regle!$J$12,-2,IF($S63,IF(regle!$B$2-$Q63&gt;=2,0,-1),regle!G$2-$Q63)),IF(AS63+1&gt;=regle!$J$12,-2,AS63+1))</f>
        <v>24</v>
      </c>
      <c r="AU63">
        <f>IF(AU$1=$AO$1,IF(regle!H$2-$Q63&gt;=regle!$J$12,-2,IF($S63,IF(regle!$B$2-$Q63&gt;=2,0,-1),regle!H$2-$Q63)),IF(AT63+1&gt;=regle!$J$12,-2,AT63+1))</f>
        <v>25</v>
      </c>
      <c r="AV63">
        <f>IF(AV$1=$AO$1,IF(regle!I$2-$Q63&gt;=regle!$J$12,-2,IF($S63,IF(regle!$B$2-$Q63&gt;=2,0,-1),regle!I$2-$Q63)),IF(AU63+1&gt;=regle!$J$12,-2,AU63+1))</f>
        <v>26</v>
      </c>
      <c r="AW63">
        <f>IF(AW$1=$AO$1,IF(regle!J$2-$Q63&gt;=regle!$J$12,-2,IF($S63,IF(regle!$B$2-$Q63&gt;=2,0,-1),regle!J$2-$Q63)),IF(AV63+1&gt;=regle!$J$12,-2,AV63+1))</f>
        <v>27</v>
      </c>
      <c r="AX63">
        <f>IF(AX$1=$AO$1,IF(regle!K$2-$Q63&gt;=regle!$J$12,-2,IF($S63,IF(regle!$B$2-$Q63&gt;=2,0,-1),regle!K$2-$Q63)),IF(AW63+1&gt;=regle!$J$12,-2,AW63+1))</f>
        <v>28</v>
      </c>
    </row>
    <row r="64" spans="1:50" x14ac:dyDescent="0.25">
      <c r="A64" t="b">
        <f>AND(modif0[[#This Row],[cdstr]]&lt;&gt;0,OR(regle!$H$27=FALSE,modif0[[#This Row],[essnc]]="PM"))</f>
        <v>1</v>
      </c>
      <c r="B64">
        <f>ROW(objet!A82)</f>
        <v>82</v>
      </c>
      <c r="C64" s="10" t="str">
        <f>objet!D82</f>
        <v>5360000A0523</v>
      </c>
      <c r="D64" t="str">
        <f>LEFT(modif0[[#This Row],[cdstr]],3)</f>
        <v>536</v>
      </c>
      <c r="E64" s="10" t="str">
        <f>objet!G82</f>
        <v>LE TUZAN</v>
      </c>
      <c r="F64">
        <f>LEN(modif0[[#This Row],[l_dt]])</f>
        <v>21</v>
      </c>
      <c r="G64" s="10" t="str">
        <f>objet!H82</f>
        <v>METAIRIES DE TABARTON</v>
      </c>
      <c r="H64" s="10" t="str">
        <f>objet!C82</f>
        <v>A523m</v>
      </c>
      <c r="I64" t="str">
        <f>IF(ISNUMBER(VALUE(RIGHT(LEFT(modif0[[#This Row],[idntfn]],2),1))),_xlfn.CONCAT(0,LEFT(modif0[[#This Row],[idntfn]],1)),LEFT(modif0[[#This Row],[idntfn]],2))</f>
        <v>0A</v>
      </c>
      <c r="J64">
        <f>VALUE(LEFT(RIGHT(modif0[[#This Row],[idntfn]],LEN(modif0[[#This Row],[idntfn]])-IF(LEFT(modif0[[#This Row],[sctn]],1)="0",1,2)),LEN(modif0[[#This Row],[idntfn]])-IF(LEFT(modif0[[#This Row],[sctn]],1)="0",1,2)-LEN(modif0[[#This Row],[lttr]])))</f>
        <v>523</v>
      </c>
      <c r="K64" t="str">
        <f>IF(ISNUMBER(VALUE(RIGHT(modif0[[#This Row],[idntfn]],1))),"",IF(ISNUMBER(VALUE(LEFT(RIGHT(modif0[[#This Row],[idntfn]],2),1))),RIGHT(modif0[[#This Row],[idntfn]],1),RIGHT(modif0[[#This Row],[idntfn]],2)))</f>
        <v>m</v>
      </c>
      <c r="L64" s="10">
        <f>objet!I82</f>
        <v>144706</v>
      </c>
      <c r="M64" s="11">
        <f>modif0[[#This Row],[srfc]]/10000</f>
        <v>14.470599999999999</v>
      </c>
      <c r="N64" s="10" t="str">
        <f>objet!Z82</f>
        <v>PM</v>
      </c>
      <c r="O64" s="10" t="str">
        <f>objet!AA82</f>
        <v>PLA2012</v>
      </c>
      <c r="P64" t="str">
        <f>IF(ISNUMBER(modif0[[#This Row],[trvx]]),"",LEFT(modif0[[#This Row],[trvx]],LEN(modif0[[#This Row],[trvx]])-4))</f>
        <v>PLA</v>
      </c>
      <c r="Q64">
        <f>VALUE(RIGHT(modif0[[#This Row],[trvx]],4))</f>
        <v>2012</v>
      </c>
      <c r="R64" t="str">
        <f>_xlfn.CONCAT(modif0[[#This Row],[tp]],"-",modif0[[#This Row],[essnc]],"_",modif0[[#This Row],[anns]])</f>
        <v>PLA-PM_2012</v>
      </c>
      <c r="S64" t="b">
        <f>modif0[[#This Row],[tp]]="CR"</f>
        <v>0</v>
      </c>
      <c r="T64">
        <v>40</v>
      </c>
      <c r="U64" t="str">
        <f>IF(NOT($A64),"",
IF(AO64=-2,regle!$J$11,
IF(AO64=regle!$B$12,regle!$B$11,
IF(AO64=regle!$C$12,regle!$C$11,
IF(AO64=regle!$D$12,regle!$D$11,
IF(AO64=regle!$E$12,regle!$E$11,
IF(AO64=regle!$F$12,regle!$F$11,
IF(AO64=regle!$G$12,regle!$G$11,
IF(AO64=regle!$H$12,regle!$H$11,
IF(AO64=regle!$I$12,regle!$I$11,""))))))))))</f>
        <v/>
      </c>
      <c r="V64" t="str">
        <f>IF(NOT($A64),"",
IF(AP64=-2,regle!$J$11,
IF(AP64=regle!$B$12,regle!$B$11,
IF(AP64=regle!$C$12,regle!$C$11,
IF(AP64=regle!$D$12,regle!$D$11,
IF(AP64=regle!$E$12,regle!$E$11,
IF(AP64=regle!$F$12,regle!$F$11,
IF(AP64=regle!$G$12,regle!$G$11,
IF(AP64=regle!$H$12,regle!$H$11,
IF(AP64=regle!$I$12,regle!$I$11,""))))))))))</f>
        <v>EC1</v>
      </c>
      <c r="W64" t="str">
        <f>IF(NOT($A64),"",
IF(AQ64=-2,regle!$J$11,
IF(AQ64=regle!$B$12,regle!$B$11,
IF(AQ64=regle!$C$12,regle!$C$11,
IF(AQ64=regle!$D$12,regle!$D$11,
IF(AQ64=regle!$E$12,regle!$E$11,
IF(AQ64=regle!$F$12,regle!$F$11,
IF(AQ64=regle!$G$12,regle!$G$11,
IF(AQ64=regle!$H$12,regle!$H$11,
IF(AQ64=regle!$I$12,regle!$I$11,""))))))))))</f>
        <v/>
      </c>
      <c r="X64" t="str">
        <f>IF(NOT($A64),"",
IF(AR64=-2,regle!$J$11,
IF(AR64=regle!$B$12,regle!$B$11,
IF(AR64=regle!$C$12,regle!$C$11,
IF(AR64=regle!$D$12,regle!$D$11,
IF(AR64=regle!$E$12,regle!$E$11,
IF(AR64=regle!$F$12,regle!$F$11,
IF(AR64=regle!$G$12,regle!$G$11,
IF(AR64=regle!$H$12,regle!$H$11,
IF(AR64=regle!$I$12,regle!$I$11,""))))))))))</f>
        <v/>
      </c>
      <c r="Y64" t="str">
        <f>IF(NOT($A64),"",
IF(AS64=-2,regle!$J$11,
IF(AS64=regle!$B$12,regle!$B$11,
IF(AS64=regle!$C$12,regle!$C$11,
IF(AS64=regle!$D$12,regle!$D$11,
IF(AS64=regle!$E$12,regle!$E$11,
IF(AS64=regle!$F$12,regle!$F$11,
IF(AS64=regle!$G$12,regle!$G$11,
IF(AS64=regle!$H$12,regle!$H$11,
IF(AS64=regle!$I$12,regle!$I$11,""))))))))))</f>
        <v/>
      </c>
      <c r="Z64" t="str">
        <f>IF(NOT($A64),"",
IF(AT64=-2,regle!$J$11,
IF(AT64=regle!$B$12,regle!$B$11,
IF(AT64=regle!$C$12,regle!$C$11,
IF(AT64=regle!$D$12,regle!$D$11,
IF(AT64=regle!$E$12,regle!$E$11,
IF(AT64=regle!$F$12,regle!$F$11,
IF(AT64=regle!$G$12,regle!$G$11,
IF(AT64=regle!$H$12,regle!$H$11,
IF(AT64=regle!$I$12,regle!$I$11,""))))))))))</f>
        <v/>
      </c>
      <c r="AA64" t="str">
        <f>IF(NOT($A64),"",
IF(AU64=-2,regle!$J$11,
IF(AU64=regle!$B$12,regle!$B$11,
IF(AU64=regle!$C$12,regle!$C$11,
IF(AU64=regle!$D$12,regle!$D$11,
IF(AU64=regle!$E$12,regle!$E$11,
IF(AU64=regle!$F$12,regle!$F$11,
IF(AU64=regle!$G$12,regle!$G$11,
IF(AU64=regle!$H$12,regle!$H$11,
IF(AU64=regle!$I$12,regle!$I$11,""))))))))))</f>
        <v>EC2</v>
      </c>
      <c r="AB64" t="str">
        <f>IF(NOT($A64),"",
IF(AV64=-2,regle!$J$11,
IF(AV64=regle!$B$12,regle!$B$11,
IF(AV64=regle!$C$12,regle!$C$11,
IF(AV64=regle!$D$12,regle!$D$11,
IF(AV64=regle!$E$12,regle!$E$11,
IF(AV64=regle!$F$12,regle!$F$11,
IF(AV64=regle!$G$12,regle!$G$11,
IF(AV64=regle!$H$12,regle!$H$11,
IF(AV64=regle!$I$12,regle!$I$11,""))))))))))</f>
        <v/>
      </c>
      <c r="AC64" t="str">
        <f>IF(NOT($A64),"",
IF(AW64=-2,regle!$J$11,
IF(AW64=regle!$B$12,regle!$B$11,
IF(AW64=regle!$C$12,regle!$C$11,
IF(AW64=regle!$D$12,regle!$D$11,
IF(AW64=regle!$E$12,regle!$E$11,
IF(AW64=regle!$F$12,regle!$F$11,
IF(AW64=regle!$G$12,regle!$G$11,
IF(AW64=regle!$H$12,regle!$H$11,
IF(AW64=regle!$I$12,regle!$I$11,""))))))))))</f>
        <v/>
      </c>
      <c r="AD64" t="str">
        <f>IF(NOT($A64),"",
IF(AX64=-2,regle!$J$11,
IF(AX64=regle!$B$12,regle!$B$11,
IF(AX64=regle!$C$12,regle!$C$11,
IF(AX64=regle!$D$12,regle!$D$11,
IF(AX64=regle!$E$12,regle!$E$11,
IF(AX64=regle!$F$12,regle!$F$11,
IF(AX64=regle!$G$12,regle!$G$11,
IF(AX64=regle!$H$12,regle!$H$11,
IF(AX64=regle!$I$12,regle!$I$11,""))))))))))</f>
        <v/>
      </c>
      <c r="AE64" s="14">
        <f>IF($A64,$M64*(IF(U64=regle!$B$11,regle!$B$23,IF(U64=regle!$C$11,regle!$C$23,IF(U64=regle!$D$11,regle!$D$23,IF(U64=regle!$E$11,regle!$E$23,IF(U64=regle!$F$11,regle!$F$23,IF(U64=regle!$G$11,regle!$G$23,IF(U64=regle!$H$11,regle!$H$23,IF(U64=regle!$I$11,regle!$I$23,IF(U64=regle!$J$11,regle!$J$23,0)))))))))))</f>
        <v>0</v>
      </c>
      <c r="AF64" s="14">
        <f>IF($A64,$M64*(IF(V64=regle!$B$11,regle!$B$23,IF(V64=regle!$C$11,regle!$C$23,IF(V64=regle!$D$11,regle!$D$23,IF(V64=regle!$E$11,regle!$E$23,IF(V64=regle!$F$11,regle!$F$23,IF(V64=regle!$G$11,regle!$G$23,IF(V64=regle!$H$11,regle!$H$23,IF(V64=regle!$I$11,regle!$I$23,IF(V64=regle!$J$11,regle!$J$23,0)))))))))))</f>
        <v>8335.0655999999999</v>
      </c>
      <c r="AG64" s="14">
        <f>IF($A64,$M64*(IF(W64=regle!$B$11,regle!$B$23,IF(W64=regle!$C$11,regle!$C$23,IF(W64=regle!$D$11,regle!$D$23,IF(W64=regle!$E$11,regle!$E$23,IF(W64=regle!$F$11,regle!$F$23,IF(W64=regle!$G$11,regle!$G$23,IF(W64=regle!$H$11,regle!$H$23,IF(W64=regle!$I$11,regle!$I$23,IF(W64=regle!$J$11,regle!$J$23,0)))))))))))</f>
        <v>0</v>
      </c>
      <c r="AH64" s="14">
        <f>IF($A64,$M64*(IF(X64=regle!$B$11,regle!$B$23,IF(X64=regle!$C$11,regle!$C$23,IF(X64=regle!$D$11,regle!$D$23,IF(X64=regle!$E$11,regle!$E$23,IF(X64=regle!$F$11,regle!$F$23,IF(X64=regle!$G$11,regle!$G$23,IF(X64=regle!$H$11,regle!$H$23,IF(X64=regle!$I$11,regle!$I$23,IF(X64=regle!$J$11,regle!$J$23,0)))))))))))</f>
        <v>0</v>
      </c>
      <c r="AI64" s="14">
        <f>IF($A64,$M64*(IF(Y64=regle!$B$11,regle!$B$23,IF(Y64=regle!$C$11,regle!$C$23,IF(Y64=regle!$D$11,regle!$D$23,IF(Y64=regle!$E$11,regle!$E$23,IF(Y64=regle!$F$11,regle!$F$23,IF(Y64=regle!$G$11,regle!$G$23,IF(Y64=regle!$H$11,regle!$H$23,IF(Y64=regle!$I$11,regle!$I$23,IF(Y64=regle!$J$11,regle!$J$23,0)))))))))))</f>
        <v>0</v>
      </c>
      <c r="AJ64" s="14">
        <f>IF($A64,$M64*(IF(Z64=regle!$B$11,regle!$B$23,IF(Z64=regle!$C$11,regle!$C$23,IF(Z64=regle!$D$11,regle!$D$23,IF(Z64=regle!$E$11,regle!$E$23,IF(Z64=regle!$F$11,regle!$F$23,IF(Z64=regle!$G$11,regle!$G$23,IF(Z64=regle!$H$11,regle!$H$23,IF(Z64=regle!$I$11,regle!$I$23,IF(Z64=regle!$J$11,regle!$J$23,0)))))))))))</f>
        <v>0</v>
      </c>
      <c r="AK64" s="14">
        <f>IF($A64,$M64*(IF(AA64=regle!$B$11,regle!$B$23,IF(AA64=regle!$C$11,regle!$C$23,IF(AA64=regle!$D$11,regle!$D$23,IF(AA64=regle!$E$11,regle!$E$23,IF(AA64=regle!$F$11,regle!$F$23,IF(AA64=regle!$G$11,regle!$G$23,IF(AA64=regle!$H$11,regle!$H$23,IF(AA64=regle!$I$11,regle!$I$23,IF(AA64=regle!$J$11,regle!$J$23,0)))))))))))</f>
        <v>12155.304</v>
      </c>
      <c r="AL64" s="14">
        <f>IF($A64,$M64*(IF(AB64=regle!$B$11,regle!$B$23,IF(AB64=regle!$C$11,regle!$C$23,IF(AB64=regle!$D$11,regle!$D$23,IF(AB64=regle!$E$11,regle!$E$23,IF(AB64=regle!$F$11,regle!$F$23,IF(AB64=regle!$G$11,regle!$G$23,IF(AB64=regle!$H$11,regle!$H$23,IF(AB64=regle!$I$11,regle!$I$23,IF(AB64=regle!$J$11,regle!$J$23,0)))))))))))</f>
        <v>0</v>
      </c>
      <c r="AM64" s="14">
        <f>IF($A64,$M64*(IF(AC64=regle!$B$11,regle!$B$23,IF(AC64=regle!$C$11,regle!$C$23,IF(AC64=regle!$D$11,regle!$D$23,IF(AC64=regle!$E$11,regle!$E$23,IF(AC64=regle!$F$11,regle!$F$23,IF(AC64=regle!$G$11,regle!$G$23,IF(AC64=regle!$H$11,regle!$H$23,IF(AC64=regle!$I$11,regle!$I$23,IF(AC64=regle!$J$11,regle!$J$23,0)))))))))))</f>
        <v>0</v>
      </c>
      <c r="AN64" s="14">
        <f>IF($A64,$M64*(IF(AD64=regle!$B$11,regle!$B$23,IF(AD64=regle!$C$11,regle!$C$23,IF(AD64=regle!$D$11,regle!$D$23,IF(AD64=regle!$E$11,regle!$E$23,IF(AD64=regle!$F$11,regle!$F$23,IF(AD64=regle!$G$11,regle!$G$23,IF(AD64=regle!$H$11,regle!$H$23,IF(AD64=regle!$I$11,regle!$I$23,IF(AD64=regle!$J$11,regle!$J$23,0)))))))))))</f>
        <v>0</v>
      </c>
      <c r="AO64">
        <f>IF(AO$1=$AO$1,IF(regle!B$2-$Q64&gt;=regle!$J$12,-2,IF($S64,IF(regle!$B$2-$Q64&gt;=2,0,-1),regle!B$2-$Q64)),IF(AN64+1&gt;=regle!$J$12,-2,AN64+1))</f>
        <v>12</v>
      </c>
      <c r="AP64">
        <f>IF(AP$1=$AO$1,IF(regle!C$2-$Q64&gt;=regle!$J$12,-2,IF($S64,IF(regle!$B$2-$Q64&gt;=2,0,-1),regle!C$2-$Q64)),IF(AO64+1&gt;=regle!$J$12,-2,AO64+1))</f>
        <v>13</v>
      </c>
      <c r="AQ64">
        <f>IF(AQ$1=$AO$1,IF(regle!D$2-$Q64&gt;=regle!$J$12,-2,IF($S64,IF(regle!$B$2-$Q64&gt;=2,0,-1),regle!D$2-$Q64)),IF(AP64+1&gt;=regle!$J$12,-2,AP64+1))</f>
        <v>14</v>
      </c>
      <c r="AR64">
        <f>IF(AR$1=$AO$1,IF(regle!E$2-$Q64&gt;=regle!$J$12,-2,IF($S64,IF(regle!$B$2-$Q64&gt;=2,0,-1),regle!E$2-$Q64)),IF(AQ64+1&gt;=regle!$J$12,-2,AQ64+1))</f>
        <v>15</v>
      </c>
      <c r="AS64">
        <f>IF(AS$1=$AO$1,IF(regle!F$2-$Q64&gt;=regle!$J$12,-2,IF($S64,IF(regle!$B$2-$Q64&gt;=2,0,-1),regle!F$2-$Q64)),IF(AR64+1&gt;=regle!$J$12,-2,AR64+1))</f>
        <v>16</v>
      </c>
      <c r="AT64">
        <f>IF(AT$1=$AO$1,IF(regle!G$2-$Q64&gt;=regle!$J$12,-2,IF($S64,IF(regle!$B$2-$Q64&gt;=2,0,-1),regle!G$2-$Q64)),IF(AS64+1&gt;=regle!$J$12,-2,AS64+1))</f>
        <v>17</v>
      </c>
      <c r="AU64">
        <f>IF(AU$1=$AO$1,IF(regle!H$2-$Q64&gt;=regle!$J$12,-2,IF($S64,IF(regle!$B$2-$Q64&gt;=2,0,-1),regle!H$2-$Q64)),IF(AT64+1&gt;=regle!$J$12,-2,AT64+1))</f>
        <v>18</v>
      </c>
      <c r="AV64">
        <f>IF(AV$1=$AO$1,IF(regle!I$2-$Q64&gt;=regle!$J$12,-2,IF($S64,IF(regle!$B$2-$Q64&gt;=2,0,-1),regle!I$2-$Q64)),IF(AU64+1&gt;=regle!$J$12,-2,AU64+1))</f>
        <v>19</v>
      </c>
      <c r="AW64">
        <f>IF(AW$1=$AO$1,IF(regle!J$2-$Q64&gt;=regle!$J$12,-2,IF($S64,IF(regle!$B$2-$Q64&gt;=2,0,-1),regle!J$2-$Q64)),IF(AV64+1&gt;=regle!$J$12,-2,AV64+1))</f>
        <v>20</v>
      </c>
      <c r="AX64">
        <f>IF(AX$1=$AO$1,IF(regle!K$2-$Q64&gt;=regle!$J$12,-2,IF($S64,IF(regle!$B$2-$Q64&gt;=2,0,-1),regle!K$2-$Q64)),IF(AW64+1&gt;=regle!$J$12,-2,AW64+1))</f>
        <v>21</v>
      </c>
    </row>
    <row r="65" spans="1:50" x14ac:dyDescent="0.25">
      <c r="A65" t="b">
        <f>AND(modif0[[#This Row],[cdstr]]&lt;&gt;0,OR(regle!$H$27=FALSE,modif0[[#This Row],[essnc]]="PM"))</f>
        <v>1</v>
      </c>
      <c r="B65">
        <f>ROW(objet!A83)</f>
        <v>83</v>
      </c>
      <c r="C65" s="10" t="str">
        <f>objet!D83</f>
        <v>5360000A0523</v>
      </c>
      <c r="D65" t="str">
        <f>LEFT(modif0[[#This Row],[cdstr]],3)</f>
        <v>536</v>
      </c>
      <c r="E65" s="10" t="str">
        <f>objet!G83</f>
        <v>LE TUZAN</v>
      </c>
      <c r="F65">
        <f>LEN(modif0[[#This Row],[l_dt]])</f>
        <v>21</v>
      </c>
      <c r="G65" s="10" t="str">
        <f>objet!H83</f>
        <v>METAIRIES DE TABARTON</v>
      </c>
      <c r="H65" s="10" t="str">
        <f>objet!C83</f>
        <v>A523n</v>
      </c>
      <c r="I65" t="str">
        <f>IF(ISNUMBER(VALUE(RIGHT(LEFT(modif0[[#This Row],[idntfn]],2),1))),_xlfn.CONCAT(0,LEFT(modif0[[#This Row],[idntfn]],1)),LEFT(modif0[[#This Row],[idntfn]],2))</f>
        <v>0A</v>
      </c>
      <c r="J65">
        <f>VALUE(LEFT(RIGHT(modif0[[#This Row],[idntfn]],LEN(modif0[[#This Row],[idntfn]])-IF(LEFT(modif0[[#This Row],[sctn]],1)="0",1,2)),LEN(modif0[[#This Row],[idntfn]])-IF(LEFT(modif0[[#This Row],[sctn]],1)="0",1,2)-LEN(modif0[[#This Row],[lttr]])))</f>
        <v>523</v>
      </c>
      <c r="K65" t="str">
        <f>IF(ISNUMBER(VALUE(RIGHT(modif0[[#This Row],[idntfn]],1))),"",IF(ISNUMBER(VALUE(LEFT(RIGHT(modif0[[#This Row],[idntfn]],2),1))),RIGHT(modif0[[#This Row],[idntfn]],1),RIGHT(modif0[[#This Row],[idntfn]],2)))</f>
        <v>n</v>
      </c>
      <c r="L65" s="10">
        <f>objet!I83</f>
        <v>62582</v>
      </c>
      <c r="M65" s="11">
        <f>modif0[[#This Row],[srfc]]/10000</f>
        <v>6.2582000000000004</v>
      </c>
      <c r="N65" s="10" t="str">
        <f>objet!Z83</f>
        <v>PM</v>
      </c>
      <c r="O65" s="10" t="str">
        <f>objet!AA83</f>
        <v>CR2022</v>
      </c>
      <c r="P65" t="str">
        <f>IF(ISNUMBER(modif0[[#This Row],[trvx]]),"",LEFT(modif0[[#This Row],[trvx]],LEN(modif0[[#This Row],[trvx]])-4))</f>
        <v>CR</v>
      </c>
      <c r="Q65">
        <f>VALUE(RIGHT(modif0[[#This Row],[trvx]],4))</f>
        <v>2022</v>
      </c>
      <c r="R65" t="str">
        <f>_xlfn.CONCAT(modif0[[#This Row],[tp]],"-",modif0[[#This Row],[essnc]],"_",modif0[[#This Row],[anns]])</f>
        <v>CR-PM_2022</v>
      </c>
      <c r="S65" t="b">
        <f>modif0[[#This Row],[tp]]="CR"</f>
        <v>1</v>
      </c>
      <c r="T65">
        <v>40</v>
      </c>
      <c r="U65" t="str">
        <f>IF(NOT($A65),"",
IF(AO65=-2,regle!$J$11,
IF(AO65=regle!$B$12,regle!$B$11,
IF(AO65=regle!$C$12,regle!$C$11,
IF(AO65=regle!$D$12,regle!$D$11,
IF(AO65=regle!$E$12,regle!$E$11,
IF(AO65=regle!$F$12,regle!$F$11,
IF(AO65=regle!$G$12,regle!$G$11,
IF(AO65=regle!$H$12,regle!$H$11,
IF(AO65=regle!$I$12,regle!$I$11,""))))))))))</f>
        <v>RBST</v>
      </c>
      <c r="V65" t="str">
        <f>IF(NOT($A65),"",
IF(AP65=-2,regle!$J$11,
IF(AP65=regle!$B$12,regle!$B$11,
IF(AP65=regle!$C$12,regle!$C$11,
IF(AP65=regle!$D$12,regle!$D$11,
IF(AP65=regle!$E$12,regle!$E$11,
IF(AP65=regle!$F$12,regle!$F$11,
IF(AP65=regle!$G$12,regle!$G$11,
IF(AP65=regle!$H$12,regle!$H$11,
IF(AP65=regle!$I$12,regle!$I$11,""))))))))))</f>
        <v/>
      </c>
      <c r="W65" t="str">
        <f>IF(NOT($A65),"",
IF(AQ65=-2,regle!$J$11,
IF(AQ65=regle!$B$12,regle!$B$11,
IF(AQ65=regle!$C$12,regle!$C$11,
IF(AQ65=regle!$D$12,regle!$D$11,
IF(AQ65=regle!$E$12,regle!$E$11,
IF(AQ65=regle!$F$12,regle!$F$11,
IF(AQ65=regle!$G$12,regle!$G$11,
IF(AQ65=regle!$H$12,regle!$H$11,
IF(AQ65=regle!$I$12,regle!$I$11,""))))))))))</f>
        <v>DGT</v>
      </c>
      <c r="X65" t="str">
        <f>IF(NOT($A65),"",
IF(AR65=-2,regle!$J$11,
IF(AR65=regle!$B$12,regle!$B$11,
IF(AR65=regle!$C$12,regle!$C$11,
IF(AR65=regle!$D$12,regle!$D$11,
IF(AR65=regle!$E$12,regle!$E$11,
IF(AR65=regle!$F$12,regle!$F$11,
IF(AR65=regle!$G$12,regle!$G$11,
IF(AR65=regle!$H$12,regle!$H$11,
IF(AR65=regle!$I$12,regle!$I$11,""))))))))))</f>
        <v/>
      </c>
      <c r="Y65" t="str">
        <f>IF(NOT($A65),"",
IF(AS65=-2,regle!$J$11,
IF(AS65=regle!$B$12,regle!$B$11,
IF(AS65=regle!$C$12,regle!$C$11,
IF(AS65=regle!$D$12,regle!$D$11,
IF(AS65=regle!$E$12,regle!$E$11,
IF(AS65=regle!$F$12,regle!$F$11,
IF(AS65=regle!$G$12,regle!$G$11,
IF(AS65=regle!$H$12,regle!$H$11,
IF(AS65=regle!$I$12,regle!$I$11,""))))))))))</f>
        <v/>
      </c>
      <c r="Z65" t="str">
        <f>IF(NOT($A65),"",
IF(AT65=-2,regle!$J$11,
IF(AT65=regle!$B$12,regle!$B$11,
IF(AT65=regle!$C$12,regle!$C$11,
IF(AT65=regle!$D$12,regle!$D$11,
IF(AT65=regle!$E$12,regle!$E$11,
IF(AT65=regle!$F$12,regle!$F$11,
IF(AT65=regle!$G$12,regle!$G$11,
IF(AT65=regle!$H$12,regle!$H$11,
IF(AT65=regle!$I$12,regle!$I$11,""))))))))))</f>
        <v>ENT1</v>
      </c>
      <c r="AA65" t="str">
        <f>IF(NOT($A65),"",
IF(AU65=-2,regle!$J$11,
IF(AU65=regle!$B$12,regle!$B$11,
IF(AU65=regle!$C$12,regle!$C$11,
IF(AU65=regle!$D$12,regle!$D$11,
IF(AU65=regle!$E$12,regle!$E$11,
IF(AU65=regle!$F$12,regle!$F$11,
IF(AU65=regle!$G$12,regle!$G$11,
IF(AU65=regle!$H$12,regle!$H$11,
IF(AU65=regle!$I$12,regle!$I$11,""))))))))))</f>
        <v/>
      </c>
      <c r="AB65" t="str">
        <f>IF(NOT($A65),"",
IF(AV65=-2,regle!$J$11,
IF(AV65=regle!$B$12,regle!$B$11,
IF(AV65=regle!$C$12,regle!$C$11,
IF(AV65=regle!$D$12,regle!$D$11,
IF(AV65=regle!$E$12,regle!$E$11,
IF(AV65=regle!$F$12,regle!$F$11,
IF(AV65=regle!$G$12,regle!$G$11,
IF(AV65=regle!$H$12,regle!$H$11,
IF(AV65=regle!$I$12,regle!$I$11,""))))))))))</f>
        <v/>
      </c>
      <c r="AC65" t="str">
        <f>IF(NOT($A65),"",
IF(AW65=-2,regle!$J$11,
IF(AW65=regle!$B$12,regle!$B$11,
IF(AW65=regle!$C$12,regle!$C$11,
IF(AW65=regle!$D$12,regle!$D$11,
IF(AW65=regle!$E$12,regle!$E$11,
IF(AW65=regle!$F$12,regle!$F$11,
IF(AW65=regle!$G$12,regle!$G$11,
IF(AW65=regle!$H$12,regle!$H$11,
IF(AW65=regle!$I$12,regle!$I$11,""))))))))))</f>
        <v>ENT2</v>
      </c>
      <c r="AD65" t="str">
        <f>IF(NOT($A65),"",
IF(AX65=-2,regle!$J$11,
IF(AX65=regle!$B$12,regle!$B$11,
IF(AX65=regle!$C$12,regle!$C$11,
IF(AX65=regle!$D$12,regle!$D$11,
IF(AX65=regle!$E$12,regle!$E$11,
IF(AX65=regle!$F$12,regle!$F$11,
IF(AX65=regle!$G$12,regle!$G$11,
IF(AX65=regle!$H$12,regle!$H$11,
IF(AX65=regle!$I$12,regle!$I$11,""))))))))))</f>
        <v/>
      </c>
      <c r="AE65" s="14">
        <f>IF($A65,$M65*(IF(U65=regle!$B$11,regle!$B$23,IF(U65=regle!$C$11,regle!$C$23,IF(U65=regle!$D$11,regle!$D$23,IF(U65=regle!$E$11,regle!$E$23,IF(U65=regle!$F$11,regle!$F$23,IF(U65=regle!$G$11,regle!$G$23,IF(U65=regle!$H$11,regle!$H$23,IF(U65=regle!$I$11,regle!$I$23,IF(U65=regle!$J$11,regle!$J$23,0)))))))))))</f>
        <v>-10638.94</v>
      </c>
      <c r="AF65" s="14">
        <f>IF($A65,$M65*(IF(V65=regle!$B$11,regle!$B$23,IF(V65=regle!$C$11,regle!$C$23,IF(V65=regle!$D$11,regle!$D$23,IF(V65=regle!$E$11,regle!$E$23,IF(V65=regle!$F$11,regle!$F$23,IF(V65=regle!$G$11,regle!$G$23,IF(V65=regle!$H$11,regle!$H$23,IF(V65=regle!$I$11,regle!$I$23,IF(V65=regle!$J$11,regle!$J$23,0)))))))))))</f>
        <v>0</v>
      </c>
      <c r="AG65" s="14">
        <f>IF($A65,$M65*(IF(W65=regle!$B$11,regle!$B$23,IF(W65=regle!$C$11,regle!$C$23,IF(W65=regle!$D$11,regle!$D$23,IF(W65=regle!$E$11,regle!$E$23,IF(W65=regle!$F$11,regle!$F$23,IF(W65=regle!$G$11,regle!$G$23,IF(W65=regle!$H$11,regle!$H$23,IF(W65=regle!$I$11,regle!$I$23,IF(W65=regle!$J$11,regle!$J$23,0)))))))))))</f>
        <v>-469.36500000000001</v>
      </c>
      <c r="AH65" s="14">
        <f>IF($A65,$M65*(IF(X65=regle!$B$11,regle!$B$23,IF(X65=regle!$C$11,regle!$C$23,IF(X65=regle!$D$11,regle!$D$23,IF(X65=regle!$E$11,regle!$E$23,IF(X65=regle!$F$11,regle!$F$23,IF(X65=regle!$G$11,regle!$G$23,IF(X65=regle!$H$11,regle!$H$23,IF(X65=regle!$I$11,regle!$I$23,IF(X65=regle!$J$11,regle!$J$23,0)))))))))))</f>
        <v>0</v>
      </c>
      <c r="AI65" s="14">
        <f>IF($A65,$M65*(IF(Y65=regle!$B$11,regle!$B$23,IF(Y65=regle!$C$11,regle!$C$23,IF(Y65=regle!$D$11,regle!$D$23,IF(Y65=regle!$E$11,regle!$E$23,IF(Y65=regle!$F$11,regle!$F$23,IF(Y65=regle!$G$11,regle!$G$23,IF(Y65=regle!$H$11,regle!$H$23,IF(Y65=regle!$I$11,regle!$I$23,IF(Y65=regle!$J$11,regle!$J$23,0)))))))))))</f>
        <v>0</v>
      </c>
      <c r="AJ65" s="14">
        <f>IF($A65,$M65*(IF(Z65=regle!$B$11,regle!$B$23,IF(Z65=regle!$C$11,regle!$C$23,IF(Z65=regle!$D$11,regle!$D$23,IF(Z65=regle!$E$11,regle!$E$23,IF(Z65=regle!$F$11,regle!$F$23,IF(Z65=regle!$G$11,regle!$G$23,IF(Z65=regle!$H$11,regle!$H$23,IF(Z65=regle!$I$11,regle!$I$23,IF(Z65=regle!$J$11,regle!$J$23,0)))))))))))</f>
        <v>-563.23800000000006</v>
      </c>
      <c r="AK65" s="14">
        <f>IF($A65,$M65*(IF(AA65=regle!$B$11,regle!$B$23,IF(AA65=regle!$C$11,regle!$C$23,IF(AA65=regle!$D$11,regle!$D$23,IF(AA65=regle!$E$11,regle!$E$23,IF(AA65=regle!$F$11,regle!$F$23,IF(AA65=regle!$G$11,regle!$G$23,IF(AA65=regle!$H$11,regle!$H$23,IF(AA65=regle!$I$11,regle!$I$23,IF(AA65=regle!$J$11,regle!$J$23,0)))))))))))</f>
        <v>0</v>
      </c>
      <c r="AL65" s="14">
        <f>IF($A65,$M65*(IF(AB65=regle!$B$11,regle!$B$23,IF(AB65=regle!$C$11,regle!$C$23,IF(AB65=regle!$D$11,regle!$D$23,IF(AB65=regle!$E$11,regle!$E$23,IF(AB65=regle!$F$11,regle!$F$23,IF(AB65=regle!$G$11,regle!$G$23,IF(AB65=regle!$H$11,regle!$H$23,IF(AB65=regle!$I$11,regle!$I$23,IF(AB65=regle!$J$11,regle!$J$23,0)))))))))))</f>
        <v>0</v>
      </c>
      <c r="AM65" s="14">
        <f>IF($A65,$M65*(IF(AC65=regle!$B$11,regle!$B$23,IF(AC65=regle!$C$11,regle!$C$23,IF(AC65=regle!$D$11,regle!$D$23,IF(AC65=regle!$E$11,regle!$E$23,IF(AC65=regle!$F$11,regle!$F$23,IF(AC65=regle!$G$11,regle!$G$23,IF(AC65=regle!$H$11,regle!$H$23,IF(AC65=regle!$I$11,regle!$I$23,IF(AC65=regle!$J$11,regle!$J$23,0)))))))))))</f>
        <v>-563.23800000000006</v>
      </c>
      <c r="AN65" s="14">
        <f>IF($A65,$M65*(IF(AD65=regle!$B$11,regle!$B$23,IF(AD65=regle!$C$11,regle!$C$23,IF(AD65=regle!$D$11,regle!$D$23,IF(AD65=regle!$E$11,regle!$E$23,IF(AD65=regle!$F$11,regle!$F$23,IF(AD65=regle!$G$11,regle!$G$23,IF(AD65=regle!$H$11,regle!$H$23,IF(AD65=regle!$I$11,regle!$I$23,IF(AD65=regle!$J$11,regle!$J$23,0)))))))))))</f>
        <v>0</v>
      </c>
      <c r="AO65">
        <f>IF(AO$1=$AO$1,IF(regle!B$2-$Q65&gt;=regle!$J$12,-2,IF($S65,IF(regle!$B$2-$Q65&gt;=2,0,-1),regle!B$2-$Q65)),IF(AN65+1&gt;=regle!$J$12,-2,AN65+1))</f>
        <v>0</v>
      </c>
      <c r="AP65">
        <f>IF(AP$1=$AO$1,IF(regle!C$2-$Q65&gt;=regle!$J$12,-2,IF($S65,IF(regle!$B$2-$Q65&gt;=2,0,-1),regle!C$2-$Q65)),IF(AO65+1&gt;=regle!$J$12,-2,AO65+1))</f>
        <v>1</v>
      </c>
      <c r="AQ65">
        <f>IF(AQ$1=$AO$1,IF(regle!D$2-$Q65&gt;=regle!$J$12,-2,IF($S65,IF(regle!$B$2-$Q65&gt;=2,0,-1),regle!D$2-$Q65)),IF(AP65+1&gt;=regle!$J$12,-2,AP65+1))</f>
        <v>2</v>
      </c>
      <c r="AR65">
        <f>IF(AR$1=$AO$1,IF(regle!E$2-$Q65&gt;=regle!$J$12,-2,IF($S65,IF(regle!$B$2-$Q65&gt;=2,0,-1),regle!E$2-$Q65)),IF(AQ65+1&gt;=regle!$J$12,-2,AQ65+1))</f>
        <v>3</v>
      </c>
      <c r="AS65">
        <f>IF(AS$1=$AO$1,IF(regle!F$2-$Q65&gt;=regle!$J$12,-2,IF($S65,IF(regle!$B$2-$Q65&gt;=2,0,-1),regle!F$2-$Q65)),IF(AR65+1&gt;=regle!$J$12,-2,AR65+1))</f>
        <v>4</v>
      </c>
      <c r="AT65">
        <f>IF(AT$1=$AO$1,IF(regle!G$2-$Q65&gt;=regle!$J$12,-2,IF($S65,IF(regle!$B$2-$Q65&gt;=2,0,-1),regle!G$2-$Q65)),IF(AS65+1&gt;=regle!$J$12,-2,AS65+1))</f>
        <v>5</v>
      </c>
      <c r="AU65">
        <f>IF(AU$1=$AO$1,IF(regle!H$2-$Q65&gt;=regle!$J$12,-2,IF($S65,IF(regle!$B$2-$Q65&gt;=2,0,-1),regle!H$2-$Q65)),IF(AT65+1&gt;=regle!$J$12,-2,AT65+1))</f>
        <v>6</v>
      </c>
      <c r="AV65">
        <f>IF(AV$1=$AO$1,IF(regle!I$2-$Q65&gt;=regle!$J$12,-2,IF($S65,IF(regle!$B$2-$Q65&gt;=2,0,-1),regle!I$2-$Q65)),IF(AU65+1&gt;=regle!$J$12,-2,AU65+1))</f>
        <v>7</v>
      </c>
      <c r="AW65">
        <f>IF(AW$1=$AO$1,IF(regle!J$2-$Q65&gt;=regle!$J$12,-2,IF($S65,IF(regle!$B$2-$Q65&gt;=2,0,-1),regle!J$2-$Q65)),IF(AV65+1&gt;=regle!$J$12,-2,AV65+1))</f>
        <v>8</v>
      </c>
      <c r="AX65">
        <f>IF(AX$1=$AO$1,IF(regle!K$2-$Q65&gt;=regle!$J$12,-2,IF($S65,IF(regle!$B$2-$Q65&gt;=2,0,-1),regle!K$2-$Q65)),IF(AW65+1&gt;=regle!$J$12,-2,AW65+1))</f>
        <v>9</v>
      </c>
    </row>
    <row r="66" spans="1:50" x14ac:dyDescent="0.25">
      <c r="A66" t="b">
        <f>AND(modif0[[#This Row],[cdstr]]&lt;&gt;0,OR(regle!$H$27=FALSE,modif0[[#This Row],[essnc]]="PM"))</f>
        <v>1</v>
      </c>
      <c r="B66">
        <f>ROW(objet!A84)</f>
        <v>84</v>
      </c>
      <c r="C66" s="10" t="str">
        <f>objet!D84</f>
        <v>5360000A0523</v>
      </c>
      <c r="D66" t="str">
        <f>LEFT(modif0[[#This Row],[cdstr]],3)</f>
        <v>536</v>
      </c>
      <c r="E66" s="10" t="str">
        <f>objet!G84</f>
        <v>LE TUZAN</v>
      </c>
      <c r="F66">
        <f>LEN(modif0[[#This Row],[l_dt]])</f>
        <v>21</v>
      </c>
      <c r="G66" s="10" t="str">
        <f>objet!H84</f>
        <v>METAIRIES DE TABARTON</v>
      </c>
      <c r="H66" s="10" t="str">
        <f>objet!C84</f>
        <v>A523o</v>
      </c>
      <c r="I66" t="str">
        <f>IF(ISNUMBER(VALUE(RIGHT(LEFT(modif0[[#This Row],[idntfn]],2),1))),_xlfn.CONCAT(0,LEFT(modif0[[#This Row],[idntfn]],1)),LEFT(modif0[[#This Row],[idntfn]],2))</f>
        <v>0A</v>
      </c>
      <c r="J66">
        <f>VALUE(LEFT(RIGHT(modif0[[#This Row],[idntfn]],LEN(modif0[[#This Row],[idntfn]])-IF(LEFT(modif0[[#This Row],[sctn]],1)="0",1,2)),LEN(modif0[[#This Row],[idntfn]])-IF(LEFT(modif0[[#This Row],[sctn]],1)="0",1,2)-LEN(modif0[[#This Row],[lttr]])))</f>
        <v>523</v>
      </c>
      <c r="K66" t="str">
        <f>IF(ISNUMBER(VALUE(RIGHT(modif0[[#This Row],[idntfn]],1))),"",IF(ISNUMBER(VALUE(LEFT(RIGHT(modif0[[#This Row],[idntfn]],2),1))),RIGHT(modif0[[#This Row],[idntfn]],1),RIGHT(modif0[[#This Row],[idntfn]],2)))</f>
        <v>o</v>
      </c>
      <c r="L66" s="10">
        <f>objet!I84</f>
        <v>193100</v>
      </c>
      <c r="M66" s="11">
        <f>modif0[[#This Row],[srfc]]/10000</f>
        <v>19.309999999999999</v>
      </c>
      <c r="N66" s="10" t="str">
        <f>objet!Z84</f>
        <v>PM</v>
      </c>
      <c r="O66" s="10" t="str">
        <f>objet!AA84</f>
        <v>PLA2012</v>
      </c>
      <c r="P66" t="str">
        <f>IF(ISNUMBER(modif0[[#This Row],[trvx]]),"",LEFT(modif0[[#This Row],[trvx]],LEN(modif0[[#This Row],[trvx]])-4))</f>
        <v>PLA</v>
      </c>
      <c r="Q66">
        <f>VALUE(RIGHT(modif0[[#This Row],[trvx]],4))</f>
        <v>2012</v>
      </c>
      <c r="R66" t="str">
        <f>_xlfn.CONCAT(modif0[[#This Row],[tp]],"-",modif0[[#This Row],[essnc]],"_",modif0[[#This Row],[anns]])</f>
        <v>PLA-PM_2012</v>
      </c>
      <c r="S66" t="b">
        <f>modif0[[#This Row],[tp]]="CR"</f>
        <v>0</v>
      </c>
      <c r="T66">
        <v>40</v>
      </c>
      <c r="U66" t="str">
        <f>IF(NOT($A66),"",
IF(AO66=-2,regle!$J$11,
IF(AO66=regle!$B$12,regle!$B$11,
IF(AO66=regle!$C$12,regle!$C$11,
IF(AO66=regle!$D$12,regle!$D$11,
IF(AO66=regle!$E$12,regle!$E$11,
IF(AO66=regle!$F$12,regle!$F$11,
IF(AO66=regle!$G$12,regle!$G$11,
IF(AO66=regle!$H$12,regle!$H$11,
IF(AO66=regle!$I$12,regle!$I$11,""))))))))))</f>
        <v/>
      </c>
      <c r="V66" t="str">
        <f>IF(NOT($A66),"",
IF(AP66=-2,regle!$J$11,
IF(AP66=regle!$B$12,regle!$B$11,
IF(AP66=regle!$C$12,regle!$C$11,
IF(AP66=regle!$D$12,regle!$D$11,
IF(AP66=regle!$E$12,regle!$E$11,
IF(AP66=regle!$F$12,regle!$F$11,
IF(AP66=regle!$G$12,regle!$G$11,
IF(AP66=regle!$H$12,regle!$H$11,
IF(AP66=regle!$I$12,regle!$I$11,""))))))))))</f>
        <v>EC1</v>
      </c>
      <c r="W66" t="str">
        <f>IF(NOT($A66),"",
IF(AQ66=-2,regle!$J$11,
IF(AQ66=regle!$B$12,regle!$B$11,
IF(AQ66=regle!$C$12,regle!$C$11,
IF(AQ66=regle!$D$12,regle!$D$11,
IF(AQ66=regle!$E$12,regle!$E$11,
IF(AQ66=regle!$F$12,regle!$F$11,
IF(AQ66=regle!$G$12,regle!$G$11,
IF(AQ66=regle!$H$12,regle!$H$11,
IF(AQ66=regle!$I$12,regle!$I$11,""))))))))))</f>
        <v/>
      </c>
      <c r="X66" t="str">
        <f>IF(NOT($A66),"",
IF(AR66=-2,regle!$J$11,
IF(AR66=regle!$B$12,regle!$B$11,
IF(AR66=regle!$C$12,regle!$C$11,
IF(AR66=regle!$D$12,regle!$D$11,
IF(AR66=regle!$E$12,regle!$E$11,
IF(AR66=regle!$F$12,regle!$F$11,
IF(AR66=regle!$G$12,regle!$G$11,
IF(AR66=regle!$H$12,regle!$H$11,
IF(AR66=regle!$I$12,regle!$I$11,""))))))))))</f>
        <v/>
      </c>
      <c r="Y66" t="str">
        <f>IF(NOT($A66),"",
IF(AS66=-2,regle!$J$11,
IF(AS66=regle!$B$12,regle!$B$11,
IF(AS66=regle!$C$12,regle!$C$11,
IF(AS66=regle!$D$12,regle!$D$11,
IF(AS66=regle!$E$12,regle!$E$11,
IF(AS66=regle!$F$12,regle!$F$11,
IF(AS66=regle!$G$12,regle!$G$11,
IF(AS66=regle!$H$12,regle!$H$11,
IF(AS66=regle!$I$12,regle!$I$11,""))))))))))</f>
        <v/>
      </c>
      <c r="Z66" t="str">
        <f>IF(NOT($A66),"",
IF(AT66=-2,regle!$J$11,
IF(AT66=regle!$B$12,regle!$B$11,
IF(AT66=regle!$C$12,regle!$C$11,
IF(AT66=regle!$D$12,regle!$D$11,
IF(AT66=regle!$E$12,regle!$E$11,
IF(AT66=regle!$F$12,regle!$F$11,
IF(AT66=regle!$G$12,regle!$G$11,
IF(AT66=regle!$H$12,regle!$H$11,
IF(AT66=regle!$I$12,regle!$I$11,""))))))))))</f>
        <v/>
      </c>
      <c r="AA66" t="str">
        <f>IF(NOT($A66),"",
IF(AU66=-2,regle!$J$11,
IF(AU66=regle!$B$12,regle!$B$11,
IF(AU66=regle!$C$12,regle!$C$11,
IF(AU66=regle!$D$12,regle!$D$11,
IF(AU66=regle!$E$12,regle!$E$11,
IF(AU66=regle!$F$12,regle!$F$11,
IF(AU66=regle!$G$12,regle!$G$11,
IF(AU66=regle!$H$12,regle!$H$11,
IF(AU66=regle!$I$12,regle!$I$11,""))))))))))</f>
        <v>EC2</v>
      </c>
      <c r="AB66" t="str">
        <f>IF(NOT($A66),"",
IF(AV66=-2,regle!$J$11,
IF(AV66=regle!$B$12,regle!$B$11,
IF(AV66=regle!$C$12,regle!$C$11,
IF(AV66=regle!$D$12,regle!$D$11,
IF(AV66=regle!$E$12,regle!$E$11,
IF(AV66=regle!$F$12,regle!$F$11,
IF(AV66=regle!$G$12,regle!$G$11,
IF(AV66=regle!$H$12,regle!$H$11,
IF(AV66=regle!$I$12,regle!$I$11,""))))))))))</f>
        <v/>
      </c>
      <c r="AC66" t="str">
        <f>IF(NOT($A66),"",
IF(AW66=-2,regle!$J$11,
IF(AW66=regle!$B$12,regle!$B$11,
IF(AW66=regle!$C$12,regle!$C$11,
IF(AW66=regle!$D$12,regle!$D$11,
IF(AW66=regle!$E$12,regle!$E$11,
IF(AW66=regle!$F$12,regle!$F$11,
IF(AW66=regle!$G$12,regle!$G$11,
IF(AW66=regle!$H$12,regle!$H$11,
IF(AW66=regle!$I$12,regle!$I$11,""))))))))))</f>
        <v/>
      </c>
      <c r="AD66" t="str">
        <f>IF(NOT($A66),"",
IF(AX66=-2,regle!$J$11,
IF(AX66=regle!$B$12,regle!$B$11,
IF(AX66=regle!$C$12,regle!$C$11,
IF(AX66=regle!$D$12,regle!$D$11,
IF(AX66=regle!$E$12,regle!$E$11,
IF(AX66=regle!$F$12,regle!$F$11,
IF(AX66=regle!$G$12,regle!$G$11,
IF(AX66=regle!$H$12,regle!$H$11,
IF(AX66=regle!$I$12,regle!$I$11,""))))))))))</f>
        <v/>
      </c>
      <c r="AE66" s="14">
        <f>IF($A66,$M66*(IF(U66=regle!$B$11,regle!$B$23,IF(U66=regle!$C$11,regle!$C$23,IF(U66=regle!$D$11,regle!$D$23,IF(U66=regle!$E$11,regle!$E$23,IF(U66=regle!$F$11,regle!$F$23,IF(U66=regle!$G$11,regle!$G$23,IF(U66=regle!$H$11,regle!$H$23,IF(U66=regle!$I$11,regle!$I$23,IF(U66=regle!$J$11,regle!$J$23,0)))))))))))</f>
        <v>0</v>
      </c>
      <c r="AF66" s="14">
        <f>IF($A66,$M66*(IF(V66=regle!$B$11,regle!$B$23,IF(V66=regle!$C$11,regle!$C$23,IF(V66=regle!$D$11,regle!$D$23,IF(V66=regle!$E$11,regle!$E$23,IF(V66=regle!$F$11,regle!$F$23,IF(V66=regle!$G$11,regle!$G$23,IF(V66=regle!$H$11,regle!$H$23,IF(V66=regle!$I$11,regle!$I$23,IF(V66=regle!$J$11,regle!$J$23,0)))))))))))</f>
        <v>11122.56</v>
      </c>
      <c r="AG66" s="14">
        <f>IF($A66,$M66*(IF(W66=regle!$B$11,regle!$B$23,IF(W66=regle!$C$11,regle!$C$23,IF(W66=regle!$D$11,regle!$D$23,IF(W66=regle!$E$11,regle!$E$23,IF(W66=regle!$F$11,regle!$F$23,IF(W66=regle!$G$11,regle!$G$23,IF(W66=regle!$H$11,regle!$H$23,IF(W66=regle!$I$11,regle!$I$23,IF(W66=regle!$J$11,regle!$J$23,0)))))))))))</f>
        <v>0</v>
      </c>
      <c r="AH66" s="14">
        <f>IF($A66,$M66*(IF(X66=regle!$B$11,regle!$B$23,IF(X66=regle!$C$11,regle!$C$23,IF(X66=regle!$D$11,regle!$D$23,IF(X66=regle!$E$11,regle!$E$23,IF(X66=regle!$F$11,regle!$F$23,IF(X66=regle!$G$11,regle!$G$23,IF(X66=regle!$H$11,regle!$H$23,IF(X66=regle!$I$11,regle!$I$23,IF(X66=regle!$J$11,regle!$J$23,0)))))))))))</f>
        <v>0</v>
      </c>
      <c r="AI66" s="14">
        <f>IF($A66,$M66*(IF(Y66=regle!$B$11,regle!$B$23,IF(Y66=regle!$C$11,regle!$C$23,IF(Y66=regle!$D$11,regle!$D$23,IF(Y66=regle!$E$11,regle!$E$23,IF(Y66=regle!$F$11,regle!$F$23,IF(Y66=regle!$G$11,regle!$G$23,IF(Y66=regle!$H$11,regle!$H$23,IF(Y66=regle!$I$11,regle!$I$23,IF(Y66=regle!$J$11,regle!$J$23,0)))))))))))</f>
        <v>0</v>
      </c>
      <c r="AJ66" s="14">
        <f>IF($A66,$M66*(IF(Z66=regle!$B$11,regle!$B$23,IF(Z66=regle!$C$11,regle!$C$23,IF(Z66=regle!$D$11,regle!$D$23,IF(Z66=regle!$E$11,regle!$E$23,IF(Z66=regle!$F$11,regle!$F$23,IF(Z66=regle!$G$11,regle!$G$23,IF(Z66=regle!$H$11,regle!$H$23,IF(Z66=regle!$I$11,regle!$I$23,IF(Z66=regle!$J$11,regle!$J$23,0)))))))))))</f>
        <v>0</v>
      </c>
      <c r="AK66" s="14">
        <f>IF($A66,$M66*(IF(AA66=regle!$B$11,regle!$B$23,IF(AA66=regle!$C$11,regle!$C$23,IF(AA66=regle!$D$11,regle!$D$23,IF(AA66=regle!$E$11,regle!$E$23,IF(AA66=regle!$F$11,regle!$F$23,IF(AA66=regle!$G$11,regle!$G$23,IF(AA66=regle!$H$11,regle!$H$23,IF(AA66=regle!$I$11,regle!$I$23,IF(AA66=regle!$J$11,regle!$J$23,0)))))))))))</f>
        <v>16220.4</v>
      </c>
      <c r="AL66" s="14">
        <f>IF($A66,$M66*(IF(AB66=regle!$B$11,regle!$B$23,IF(AB66=regle!$C$11,regle!$C$23,IF(AB66=regle!$D$11,regle!$D$23,IF(AB66=regle!$E$11,regle!$E$23,IF(AB66=regle!$F$11,regle!$F$23,IF(AB66=regle!$G$11,regle!$G$23,IF(AB66=regle!$H$11,regle!$H$23,IF(AB66=regle!$I$11,regle!$I$23,IF(AB66=regle!$J$11,regle!$J$23,0)))))))))))</f>
        <v>0</v>
      </c>
      <c r="AM66" s="14">
        <f>IF($A66,$M66*(IF(AC66=regle!$B$11,regle!$B$23,IF(AC66=regle!$C$11,regle!$C$23,IF(AC66=regle!$D$11,regle!$D$23,IF(AC66=regle!$E$11,regle!$E$23,IF(AC66=regle!$F$11,regle!$F$23,IF(AC66=regle!$G$11,regle!$G$23,IF(AC66=regle!$H$11,regle!$H$23,IF(AC66=regle!$I$11,regle!$I$23,IF(AC66=regle!$J$11,regle!$J$23,0)))))))))))</f>
        <v>0</v>
      </c>
      <c r="AN66" s="14">
        <f>IF($A66,$M66*(IF(AD66=regle!$B$11,regle!$B$23,IF(AD66=regle!$C$11,regle!$C$23,IF(AD66=regle!$D$11,regle!$D$23,IF(AD66=regle!$E$11,regle!$E$23,IF(AD66=regle!$F$11,regle!$F$23,IF(AD66=regle!$G$11,regle!$G$23,IF(AD66=regle!$H$11,regle!$H$23,IF(AD66=regle!$I$11,regle!$I$23,IF(AD66=regle!$J$11,regle!$J$23,0)))))))))))</f>
        <v>0</v>
      </c>
      <c r="AO66">
        <f>IF(AO$1=$AO$1,IF(regle!B$2-$Q66&gt;=regle!$J$12,-2,IF($S66,IF(regle!$B$2-$Q66&gt;=2,0,-1),regle!B$2-$Q66)),IF(AN66+1&gt;=regle!$J$12,-2,AN66+1))</f>
        <v>12</v>
      </c>
      <c r="AP66">
        <f>IF(AP$1=$AO$1,IF(regle!C$2-$Q66&gt;=regle!$J$12,-2,IF($S66,IF(regle!$B$2-$Q66&gt;=2,0,-1),regle!C$2-$Q66)),IF(AO66+1&gt;=regle!$J$12,-2,AO66+1))</f>
        <v>13</v>
      </c>
      <c r="AQ66">
        <f>IF(AQ$1=$AO$1,IF(regle!D$2-$Q66&gt;=regle!$J$12,-2,IF($S66,IF(regle!$B$2-$Q66&gt;=2,0,-1),regle!D$2-$Q66)),IF(AP66+1&gt;=regle!$J$12,-2,AP66+1))</f>
        <v>14</v>
      </c>
      <c r="AR66">
        <f>IF(AR$1=$AO$1,IF(regle!E$2-$Q66&gt;=regle!$J$12,-2,IF($S66,IF(regle!$B$2-$Q66&gt;=2,0,-1),regle!E$2-$Q66)),IF(AQ66+1&gt;=regle!$J$12,-2,AQ66+1))</f>
        <v>15</v>
      </c>
      <c r="AS66">
        <f>IF(AS$1=$AO$1,IF(regle!F$2-$Q66&gt;=regle!$J$12,-2,IF($S66,IF(regle!$B$2-$Q66&gt;=2,0,-1),regle!F$2-$Q66)),IF(AR66+1&gt;=regle!$J$12,-2,AR66+1))</f>
        <v>16</v>
      </c>
      <c r="AT66">
        <f>IF(AT$1=$AO$1,IF(regle!G$2-$Q66&gt;=regle!$J$12,-2,IF($S66,IF(regle!$B$2-$Q66&gt;=2,0,-1),regle!G$2-$Q66)),IF(AS66+1&gt;=regle!$J$12,-2,AS66+1))</f>
        <v>17</v>
      </c>
      <c r="AU66">
        <f>IF(AU$1=$AO$1,IF(regle!H$2-$Q66&gt;=regle!$J$12,-2,IF($S66,IF(regle!$B$2-$Q66&gt;=2,0,-1),regle!H$2-$Q66)),IF(AT66+1&gt;=regle!$J$12,-2,AT66+1))</f>
        <v>18</v>
      </c>
      <c r="AV66">
        <f>IF(AV$1=$AO$1,IF(regle!I$2-$Q66&gt;=regle!$J$12,-2,IF($S66,IF(regle!$B$2-$Q66&gt;=2,0,-1),regle!I$2-$Q66)),IF(AU66+1&gt;=regle!$J$12,-2,AU66+1))</f>
        <v>19</v>
      </c>
      <c r="AW66">
        <f>IF(AW$1=$AO$1,IF(regle!J$2-$Q66&gt;=regle!$J$12,-2,IF($S66,IF(regle!$B$2-$Q66&gt;=2,0,-1),regle!J$2-$Q66)),IF(AV66+1&gt;=regle!$J$12,-2,AV66+1))</f>
        <v>20</v>
      </c>
      <c r="AX66">
        <f>IF(AX$1=$AO$1,IF(regle!K$2-$Q66&gt;=regle!$J$12,-2,IF($S66,IF(regle!$B$2-$Q66&gt;=2,0,-1),regle!K$2-$Q66)),IF(AW66+1&gt;=regle!$J$12,-2,AW66+1))</f>
        <v>21</v>
      </c>
    </row>
    <row r="67" spans="1:50" x14ac:dyDescent="0.25">
      <c r="A67" t="b">
        <f>AND(modif0[[#This Row],[cdstr]]&lt;&gt;0,OR(regle!$H$27=FALSE,modif0[[#This Row],[essnc]]="PM"))</f>
        <v>1</v>
      </c>
      <c r="B67">
        <f>ROW(objet!A85)</f>
        <v>85</v>
      </c>
      <c r="C67" s="10" t="str">
        <f>objet!D85</f>
        <v>5360000A0523</v>
      </c>
      <c r="D67" t="str">
        <f>LEFT(modif0[[#This Row],[cdstr]],3)</f>
        <v>536</v>
      </c>
      <c r="E67" s="10" t="str">
        <f>objet!G85</f>
        <v>LE TUZAN</v>
      </c>
      <c r="F67">
        <f>LEN(modif0[[#This Row],[l_dt]])</f>
        <v>21</v>
      </c>
      <c r="G67" s="10" t="str">
        <f>objet!H85</f>
        <v>METAIRIES DE TABARTON</v>
      </c>
      <c r="H67" s="10" t="str">
        <f>objet!C85</f>
        <v>A523p</v>
      </c>
      <c r="I67" t="str">
        <f>IF(ISNUMBER(VALUE(RIGHT(LEFT(modif0[[#This Row],[idntfn]],2),1))),_xlfn.CONCAT(0,LEFT(modif0[[#This Row],[idntfn]],1)),LEFT(modif0[[#This Row],[idntfn]],2))</f>
        <v>0A</v>
      </c>
      <c r="J67">
        <f>VALUE(LEFT(RIGHT(modif0[[#This Row],[idntfn]],LEN(modif0[[#This Row],[idntfn]])-IF(LEFT(modif0[[#This Row],[sctn]],1)="0",1,2)),LEN(modif0[[#This Row],[idntfn]])-IF(LEFT(modif0[[#This Row],[sctn]],1)="0",1,2)-LEN(modif0[[#This Row],[lttr]])))</f>
        <v>523</v>
      </c>
      <c r="K67" t="str">
        <f>IF(ISNUMBER(VALUE(RIGHT(modif0[[#This Row],[idntfn]],1))),"",IF(ISNUMBER(VALUE(LEFT(RIGHT(modif0[[#This Row],[idntfn]],2),1))),RIGHT(modif0[[#This Row],[idntfn]],1),RIGHT(modif0[[#This Row],[idntfn]],2)))</f>
        <v>p</v>
      </c>
      <c r="L67" s="10">
        <f>objet!I85</f>
        <v>171986</v>
      </c>
      <c r="M67" s="11">
        <f>modif0[[#This Row],[srfc]]/10000</f>
        <v>17.198599999999999</v>
      </c>
      <c r="N67" s="10" t="str">
        <f>objet!Z85</f>
        <v>PM</v>
      </c>
      <c r="O67" s="10" t="str">
        <f>objet!AA85</f>
        <v>PLA2009</v>
      </c>
      <c r="P67" t="str">
        <f>IF(ISNUMBER(modif0[[#This Row],[trvx]]),"",LEFT(modif0[[#This Row],[trvx]],LEN(modif0[[#This Row],[trvx]])-4))</f>
        <v>PLA</v>
      </c>
      <c r="Q67">
        <f>VALUE(RIGHT(modif0[[#This Row],[trvx]],4))</f>
        <v>2009</v>
      </c>
      <c r="R67" t="str">
        <f>_xlfn.CONCAT(modif0[[#This Row],[tp]],"-",modif0[[#This Row],[essnc]],"_",modif0[[#This Row],[anns]])</f>
        <v>PLA-PM_2009</v>
      </c>
      <c r="S67" t="b">
        <f>modif0[[#This Row],[tp]]="CR"</f>
        <v>0</v>
      </c>
      <c r="T67">
        <v>40</v>
      </c>
      <c r="U67" t="str">
        <f>IF(NOT($A67),"",
IF(AO67=-2,regle!$J$11,
IF(AO67=regle!$B$12,regle!$B$11,
IF(AO67=regle!$C$12,regle!$C$11,
IF(AO67=regle!$D$12,regle!$D$11,
IF(AO67=regle!$E$12,regle!$E$11,
IF(AO67=regle!$F$12,regle!$F$11,
IF(AO67=regle!$G$12,regle!$G$11,
IF(AO67=regle!$H$12,regle!$H$11,
IF(AO67=regle!$I$12,regle!$I$11,""))))))))))</f>
        <v/>
      </c>
      <c r="V67" t="str">
        <f>IF(NOT($A67),"",
IF(AP67=-2,regle!$J$11,
IF(AP67=regle!$B$12,regle!$B$11,
IF(AP67=regle!$C$12,regle!$C$11,
IF(AP67=regle!$D$12,regle!$D$11,
IF(AP67=regle!$E$12,regle!$E$11,
IF(AP67=regle!$F$12,regle!$F$11,
IF(AP67=regle!$G$12,regle!$G$11,
IF(AP67=regle!$H$12,regle!$H$11,
IF(AP67=regle!$I$12,regle!$I$11,""))))))))))</f>
        <v/>
      </c>
      <c r="W67" t="str">
        <f>IF(NOT($A67),"",
IF(AQ67=-2,regle!$J$11,
IF(AQ67=regle!$B$12,regle!$B$11,
IF(AQ67=regle!$C$12,regle!$C$11,
IF(AQ67=regle!$D$12,regle!$D$11,
IF(AQ67=regle!$E$12,regle!$E$11,
IF(AQ67=regle!$F$12,regle!$F$11,
IF(AQ67=regle!$G$12,regle!$G$11,
IF(AQ67=regle!$H$12,regle!$H$11,
IF(AQ67=regle!$I$12,regle!$I$11,""))))))))))</f>
        <v/>
      </c>
      <c r="X67" t="str">
        <f>IF(NOT($A67),"",
IF(AR67=-2,regle!$J$11,
IF(AR67=regle!$B$12,regle!$B$11,
IF(AR67=regle!$C$12,regle!$C$11,
IF(AR67=regle!$D$12,regle!$D$11,
IF(AR67=regle!$E$12,regle!$E$11,
IF(AR67=regle!$F$12,regle!$F$11,
IF(AR67=regle!$G$12,regle!$G$11,
IF(AR67=regle!$H$12,regle!$H$11,
IF(AR67=regle!$I$12,regle!$I$11,""))))))))))</f>
        <v>EC2</v>
      </c>
      <c r="Y67" t="str">
        <f>IF(NOT($A67),"",
IF(AS67=-2,regle!$J$11,
IF(AS67=regle!$B$12,regle!$B$11,
IF(AS67=regle!$C$12,regle!$C$11,
IF(AS67=regle!$D$12,regle!$D$11,
IF(AS67=regle!$E$12,regle!$E$11,
IF(AS67=regle!$F$12,regle!$F$11,
IF(AS67=regle!$G$12,regle!$G$11,
IF(AS67=regle!$H$12,regle!$H$11,
IF(AS67=regle!$I$12,regle!$I$11,""))))))))))</f>
        <v/>
      </c>
      <c r="Z67" t="str">
        <f>IF(NOT($A67),"",
IF(AT67=-2,regle!$J$11,
IF(AT67=regle!$B$12,regle!$B$11,
IF(AT67=regle!$C$12,regle!$C$11,
IF(AT67=regle!$D$12,regle!$D$11,
IF(AT67=regle!$E$12,regle!$E$11,
IF(AT67=regle!$F$12,regle!$F$11,
IF(AT67=regle!$G$12,regle!$G$11,
IF(AT67=regle!$H$12,regle!$H$11,
IF(AT67=regle!$I$12,regle!$I$11,""))))))))))</f>
        <v/>
      </c>
      <c r="AA67" t="str">
        <f>IF(NOT($A67),"",
IF(AU67=-2,regle!$J$11,
IF(AU67=regle!$B$12,regle!$B$11,
IF(AU67=regle!$C$12,regle!$C$11,
IF(AU67=regle!$D$12,regle!$D$11,
IF(AU67=regle!$E$12,regle!$E$11,
IF(AU67=regle!$F$12,regle!$F$11,
IF(AU67=regle!$G$12,regle!$G$11,
IF(AU67=regle!$H$12,regle!$H$11,
IF(AU67=regle!$I$12,regle!$I$11,""))))))))))</f>
        <v/>
      </c>
      <c r="AB67" t="str">
        <f>IF(NOT($A67),"",
IF(AV67=-2,regle!$J$11,
IF(AV67=regle!$B$12,regle!$B$11,
IF(AV67=regle!$C$12,regle!$C$11,
IF(AV67=regle!$D$12,regle!$D$11,
IF(AV67=regle!$E$12,regle!$E$11,
IF(AV67=regle!$F$12,regle!$F$11,
IF(AV67=regle!$G$12,regle!$G$11,
IF(AV67=regle!$H$12,regle!$H$11,
IF(AV67=regle!$I$12,regle!$I$11,""))))))))))</f>
        <v/>
      </c>
      <c r="AC67" t="str">
        <f>IF(NOT($A67),"",
IF(AW67=-2,regle!$J$11,
IF(AW67=regle!$B$12,regle!$B$11,
IF(AW67=regle!$C$12,regle!$C$11,
IF(AW67=regle!$D$12,regle!$D$11,
IF(AW67=regle!$E$12,regle!$E$11,
IF(AW67=regle!$F$12,regle!$F$11,
IF(AW67=regle!$G$12,regle!$G$11,
IF(AW67=regle!$H$12,regle!$H$11,
IF(AW67=regle!$I$12,regle!$I$11,""))))))))))</f>
        <v>EC3</v>
      </c>
      <c r="AD67" t="str">
        <f>IF(NOT($A67),"",
IF(AX67=-2,regle!$J$11,
IF(AX67=regle!$B$12,regle!$B$11,
IF(AX67=regle!$C$12,regle!$C$11,
IF(AX67=regle!$D$12,regle!$D$11,
IF(AX67=regle!$E$12,regle!$E$11,
IF(AX67=regle!$F$12,regle!$F$11,
IF(AX67=regle!$G$12,regle!$G$11,
IF(AX67=regle!$H$12,regle!$H$11,
IF(AX67=regle!$I$12,regle!$I$11,""))))))))))</f>
        <v/>
      </c>
      <c r="AE67" s="14">
        <f>IF($A67,$M67*(IF(U67=regle!$B$11,regle!$B$23,IF(U67=regle!$C$11,regle!$C$23,IF(U67=regle!$D$11,regle!$D$23,IF(U67=regle!$E$11,regle!$E$23,IF(U67=regle!$F$11,regle!$F$23,IF(U67=regle!$G$11,regle!$G$23,IF(U67=regle!$H$11,regle!$H$23,IF(U67=regle!$I$11,regle!$I$23,IF(U67=regle!$J$11,regle!$J$23,0)))))))))))</f>
        <v>0</v>
      </c>
      <c r="AF67" s="14">
        <f>IF($A67,$M67*(IF(V67=regle!$B$11,regle!$B$23,IF(V67=regle!$C$11,regle!$C$23,IF(V67=regle!$D$11,regle!$D$23,IF(V67=regle!$E$11,regle!$E$23,IF(V67=regle!$F$11,regle!$F$23,IF(V67=regle!$G$11,regle!$G$23,IF(V67=regle!$H$11,regle!$H$23,IF(V67=regle!$I$11,regle!$I$23,IF(V67=regle!$J$11,regle!$J$23,0)))))))))))</f>
        <v>0</v>
      </c>
      <c r="AG67" s="14">
        <f>IF($A67,$M67*(IF(W67=regle!$B$11,regle!$B$23,IF(W67=regle!$C$11,regle!$C$23,IF(W67=regle!$D$11,regle!$D$23,IF(W67=regle!$E$11,regle!$E$23,IF(W67=regle!$F$11,regle!$F$23,IF(W67=regle!$G$11,regle!$G$23,IF(W67=regle!$H$11,regle!$H$23,IF(W67=regle!$I$11,regle!$I$23,IF(W67=regle!$J$11,regle!$J$23,0)))))))))))</f>
        <v>0</v>
      </c>
      <c r="AH67" s="14">
        <f>IF($A67,$M67*(IF(X67=regle!$B$11,regle!$B$23,IF(X67=regle!$C$11,regle!$C$23,IF(X67=regle!$D$11,regle!$D$23,IF(X67=regle!$E$11,regle!$E$23,IF(X67=regle!$F$11,regle!$F$23,IF(X67=regle!$G$11,regle!$G$23,IF(X67=regle!$H$11,regle!$H$23,IF(X67=regle!$I$11,regle!$I$23,IF(X67=regle!$J$11,regle!$J$23,0)))))))))))</f>
        <v>14446.823999999999</v>
      </c>
      <c r="AI67" s="14">
        <f>IF($A67,$M67*(IF(Y67=regle!$B$11,regle!$B$23,IF(Y67=regle!$C$11,regle!$C$23,IF(Y67=regle!$D$11,regle!$D$23,IF(Y67=regle!$E$11,regle!$E$23,IF(Y67=regle!$F$11,regle!$F$23,IF(Y67=regle!$G$11,regle!$G$23,IF(Y67=regle!$H$11,regle!$H$23,IF(Y67=regle!$I$11,regle!$I$23,IF(Y67=regle!$J$11,regle!$J$23,0)))))))))))</f>
        <v>0</v>
      </c>
      <c r="AJ67" s="14">
        <f>IF($A67,$M67*(IF(Z67=regle!$B$11,regle!$B$23,IF(Z67=regle!$C$11,regle!$C$23,IF(Z67=regle!$D$11,regle!$D$23,IF(Z67=regle!$E$11,regle!$E$23,IF(Z67=regle!$F$11,regle!$F$23,IF(Z67=regle!$G$11,regle!$G$23,IF(Z67=regle!$H$11,regle!$H$23,IF(Z67=regle!$I$11,regle!$I$23,IF(Z67=regle!$J$11,regle!$J$23,0)))))))))))</f>
        <v>0</v>
      </c>
      <c r="AK67" s="14">
        <f>IF($A67,$M67*(IF(AA67=regle!$B$11,regle!$B$23,IF(AA67=regle!$C$11,regle!$C$23,IF(AA67=regle!$D$11,regle!$D$23,IF(AA67=regle!$E$11,regle!$E$23,IF(AA67=regle!$F$11,regle!$F$23,IF(AA67=regle!$G$11,regle!$G$23,IF(AA67=regle!$H$11,regle!$H$23,IF(AA67=regle!$I$11,regle!$I$23,IF(AA67=regle!$J$11,regle!$J$23,0)))))))))))</f>
        <v>0</v>
      </c>
      <c r="AL67" s="14">
        <f>IF($A67,$M67*(IF(AB67=regle!$B$11,regle!$B$23,IF(AB67=regle!$C$11,regle!$C$23,IF(AB67=regle!$D$11,regle!$D$23,IF(AB67=regle!$E$11,regle!$E$23,IF(AB67=regle!$F$11,regle!$F$23,IF(AB67=regle!$G$11,regle!$G$23,IF(AB67=regle!$H$11,regle!$H$23,IF(AB67=regle!$I$11,regle!$I$23,IF(AB67=regle!$J$11,regle!$J$23,0)))))))))))</f>
        <v>0</v>
      </c>
      <c r="AM67" s="14">
        <f>IF($A67,$M67*(IF(AC67=regle!$B$11,regle!$B$23,IF(AC67=regle!$C$11,regle!$C$23,IF(AC67=regle!$D$11,regle!$D$23,IF(AC67=regle!$E$11,regle!$E$23,IF(AC67=regle!$F$11,regle!$F$23,IF(AC67=regle!$G$11,regle!$G$23,IF(AC67=regle!$H$11,regle!$H$23,IF(AC67=regle!$I$11,regle!$I$23,IF(AC67=regle!$J$11,regle!$J$23,0)))))))))))</f>
        <v>24215.628799999999</v>
      </c>
      <c r="AN67" s="14">
        <f>IF($A67,$M67*(IF(AD67=regle!$B$11,regle!$B$23,IF(AD67=regle!$C$11,regle!$C$23,IF(AD67=regle!$D$11,regle!$D$23,IF(AD67=regle!$E$11,regle!$E$23,IF(AD67=regle!$F$11,regle!$F$23,IF(AD67=regle!$G$11,regle!$G$23,IF(AD67=regle!$H$11,regle!$H$23,IF(AD67=regle!$I$11,regle!$I$23,IF(AD67=regle!$J$11,regle!$J$23,0)))))))))))</f>
        <v>0</v>
      </c>
      <c r="AO67">
        <f>IF(AO$1=$AO$1,IF(regle!B$2-$Q67&gt;=regle!$J$12,-2,IF($S67,IF(regle!$B$2-$Q67&gt;=2,0,-1),regle!B$2-$Q67)),IF(AN67+1&gt;=regle!$J$12,-2,AN67+1))</f>
        <v>15</v>
      </c>
      <c r="AP67">
        <f>IF(AP$1=$AO$1,IF(regle!C$2-$Q67&gt;=regle!$J$12,-2,IF($S67,IF(regle!$B$2-$Q67&gt;=2,0,-1),regle!C$2-$Q67)),IF(AO67+1&gt;=regle!$J$12,-2,AO67+1))</f>
        <v>16</v>
      </c>
      <c r="AQ67">
        <f>IF(AQ$1=$AO$1,IF(regle!D$2-$Q67&gt;=regle!$J$12,-2,IF($S67,IF(regle!$B$2-$Q67&gt;=2,0,-1),regle!D$2-$Q67)),IF(AP67+1&gt;=regle!$J$12,-2,AP67+1))</f>
        <v>17</v>
      </c>
      <c r="AR67">
        <f>IF(AR$1=$AO$1,IF(regle!E$2-$Q67&gt;=regle!$J$12,-2,IF($S67,IF(regle!$B$2-$Q67&gt;=2,0,-1),regle!E$2-$Q67)),IF(AQ67+1&gt;=regle!$J$12,-2,AQ67+1))</f>
        <v>18</v>
      </c>
      <c r="AS67">
        <f>IF(AS$1=$AO$1,IF(regle!F$2-$Q67&gt;=regle!$J$12,-2,IF($S67,IF(regle!$B$2-$Q67&gt;=2,0,-1),regle!F$2-$Q67)),IF(AR67+1&gt;=regle!$J$12,-2,AR67+1))</f>
        <v>19</v>
      </c>
      <c r="AT67">
        <f>IF(AT$1=$AO$1,IF(regle!G$2-$Q67&gt;=regle!$J$12,-2,IF($S67,IF(regle!$B$2-$Q67&gt;=2,0,-1),regle!G$2-$Q67)),IF(AS67+1&gt;=regle!$J$12,-2,AS67+1))</f>
        <v>20</v>
      </c>
      <c r="AU67">
        <f>IF(AU$1=$AO$1,IF(regle!H$2-$Q67&gt;=regle!$J$12,-2,IF($S67,IF(regle!$B$2-$Q67&gt;=2,0,-1),regle!H$2-$Q67)),IF(AT67+1&gt;=regle!$J$12,-2,AT67+1))</f>
        <v>21</v>
      </c>
      <c r="AV67">
        <f>IF(AV$1=$AO$1,IF(regle!I$2-$Q67&gt;=regle!$J$12,-2,IF($S67,IF(regle!$B$2-$Q67&gt;=2,0,-1),regle!I$2-$Q67)),IF(AU67+1&gt;=regle!$J$12,-2,AU67+1))</f>
        <v>22</v>
      </c>
      <c r="AW67">
        <f>IF(AW$1=$AO$1,IF(regle!J$2-$Q67&gt;=regle!$J$12,-2,IF($S67,IF(regle!$B$2-$Q67&gt;=2,0,-1),regle!J$2-$Q67)),IF(AV67+1&gt;=regle!$J$12,-2,AV67+1))</f>
        <v>23</v>
      </c>
      <c r="AX67">
        <f>IF(AX$1=$AO$1,IF(regle!K$2-$Q67&gt;=regle!$J$12,-2,IF($S67,IF(regle!$B$2-$Q67&gt;=2,0,-1),regle!K$2-$Q67)),IF(AW67+1&gt;=regle!$J$12,-2,AW67+1))</f>
        <v>24</v>
      </c>
    </row>
    <row r="68" spans="1:50" x14ac:dyDescent="0.25">
      <c r="A68" t="b">
        <f>AND(modif0[[#This Row],[cdstr]]&lt;&gt;0,OR(regle!$H$27=FALSE,modif0[[#This Row],[essnc]]="PM"))</f>
        <v>1</v>
      </c>
      <c r="B68">
        <f>ROW(objet!A86)</f>
        <v>86</v>
      </c>
      <c r="C68" s="10" t="str">
        <f>objet!D86</f>
        <v>5360000A0523</v>
      </c>
      <c r="D68" t="str">
        <f>LEFT(modif0[[#This Row],[cdstr]],3)</f>
        <v>536</v>
      </c>
      <c r="E68" s="10" t="str">
        <f>objet!G86</f>
        <v>LE TUZAN</v>
      </c>
      <c r="F68">
        <f>LEN(modif0[[#This Row],[l_dt]])</f>
        <v>21</v>
      </c>
      <c r="G68" s="10" t="str">
        <f>objet!H86</f>
        <v>METAIRIES DE TABARTON</v>
      </c>
      <c r="H68" s="10" t="str">
        <f>objet!C86</f>
        <v>A523q</v>
      </c>
      <c r="I68" t="str">
        <f>IF(ISNUMBER(VALUE(RIGHT(LEFT(modif0[[#This Row],[idntfn]],2),1))),_xlfn.CONCAT(0,LEFT(modif0[[#This Row],[idntfn]],1)),LEFT(modif0[[#This Row],[idntfn]],2))</f>
        <v>0A</v>
      </c>
      <c r="J68">
        <f>VALUE(LEFT(RIGHT(modif0[[#This Row],[idntfn]],LEN(modif0[[#This Row],[idntfn]])-IF(LEFT(modif0[[#This Row],[sctn]],1)="0",1,2)),LEN(modif0[[#This Row],[idntfn]])-IF(LEFT(modif0[[#This Row],[sctn]],1)="0",1,2)-LEN(modif0[[#This Row],[lttr]])))</f>
        <v>523</v>
      </c>
      <c r="K68" t="str">
        <f>IF(ISNUMBER(VALUE(RIGHT(modif0[[#This Row],[idntfn]],1))),"",IF(ISNUMBER(VALUE(LEFT(RIGHT(modif0[[#This Row],[idntfn]],2),1))),RIGHT(modif0[[#This Row],[idntfn]],1),RIGHT(modif0[[#This Row],[idntfn]],2)))</f>
        <v>q</v>
      </c>
      <c r="L68" s="10">
        <f>objet!I86</f>
        <v>68735</v>
      </c>
      <c r="M68" s="11">
        <f>modif0[[#This Row],[srfc]]/10000</f>
        <v>6.8734999999999999</v>
      </c>
      <c r="N68" s="10" t="str">
        <f>objet!Z86</f>
        <v>PM</v>
      </c>
      <c r="O68" s="10" t="str">
        <f>objet!AA86</f>
        <v>PLA2005</v>
      </c>
      <c r="P68" t="str">
        <f>IF(ISNUMBER(modif0[[#This Row],[trvx]]),"",LEFT(modif0[[#This Row],[trvx]],LEN(modif0[[#This Row],[trvx]])-4))</f>
        <v>PLA</v>
      </c>
      <c r="Q68">
        <f>VALUE(RIGHT(modif0[[#This Row],[trvx]],4))</f>
        <v>2005</v>
      </c>
      <c r="R68" t="str">
        <f>_xlfn.CONCAT(modif0[[#This Row],[tp]],"-",modif0[[#This Row],[essnc]],"_",modif0[[#This Row],[anns]])</f>
        <v>PLA-PM_2005</v>
      </c>
      <c r="S68" t="b">
        <f>modif0[[#This Row],[tp]]="CR"</f>
        <v>0</v>
      </c>
      <c r="T68">
        <v>40</v>
      </c>
      <c r="U68" t="str">
        <f>IF(NOT($A68),"",
IF(AO68=-2,regle!$J$11,
IF(AO68=regle!$B$12,regle!$B$11,
IF(AO68=regle!$C$12,regle!$C$11,
IF(AO68=regle!$D$12,regle!$D$11,
IF(AO68=regle!$E$12,regle!$E$11,
IF(AO68=regle!$F$12,regle!$F$11,
IF(AO68=regle!$G$12,regle!$G$11,
IF(AO68=regle!$H$12,regle!$H$11,
IF(AO68=regle!$I$12,regle!$I$11,""))))))))))</f>
        <v/>
      </c>
      <c r="V68" t="str">
        <f>IF(NOT($A68),"",
IF(AP68=-2,regle!$J$11,
IF(AP68=regle!$B$12,regle!$B$11,
IF(AP68=regle!$C$12,regle!$C$11,
IF(AP68=regle!$D$12,regle!$D$11,
IF(AP68=regle!$E$12,regle!$E$11,
IF(AP68=regle!$F$12,regle!$F$11,
IF(AP68=regle!$G$12,regle!$G$11,
IF(AP68=regle!$H$12,regle!$H$11,
IF(AP68=regle!$I$12,regle!$I$11,""))))))))))</f>
        <v/>
      </c>
      <c r="W68" t="str">
        <f>IF(NOT($A68),"",
IF(AQ68=-2,regle!$J$11,
IF(AQ68=regle!$B$12,regle!$B$11,
IF(AQ68=regle!$C$12,regle!$C$11,
IF(AQ68=regle!$D$12,regle!$D$11,
IF(AQ68=regle!$E$12,regle!$E$11,
IF(AQ68=regle!$F$12,regle!$F$11,
IF(AQ68=regle!$G$12,regle!$G$11,
IF(AQ68=regle!$H$12,regle!$H$11,
IF(AQ68=regle!$I$12,regle!$I$11,""))))))))))</f>
        <v/>
      </c>
      <c r="X68" t="str">
        <f>IF(NOT($A68),"",
IF(AR68=-2,regle!$J$11,
IF(AR68=regle!$B$12,regle!$B$11,
IF(AR68=regle!$C$12,regle!$C$11,
IF(AR68=regle!$D$12,regle!$D$11,
IF(AR68=regle!$E$12,regle!$E$11,
IF(AR68=regle!$F$12,regle!$F$11,
IF(AR68=regle!$G$12,regle!$G$11,
IF(AR68=regle!$H$12,regle!$H$11,
IF(AR68=regle!$I$12,regle!$I$11,""))))))))))</f>
        <v/>
      </c>
      <c r="Y68" t="str">
        <f>IF(NOT($A68),"",
IF(AS68=-2,regle!$J$11,
IF(AS68=regle!$B$12,regle!$B$11,
IF(AS68=regle!$C$12,regle!$C$11,
IF(AS68=regle!$D$12,regle!$D$11,
IF(AS68=regle!$E$12,regle!$E$11,
IF(AS68=regle!$F$12,regle!$F$11,
IF(AS68=regle!$G$12,regle!$G$11,
IF(AS68=regle!$H$12,regle!$H$11,
IF(AS68=regle!$I$12,regle!$I$11,""))))))))))</f>
        <v>EC3</v>
      </c>
      <c r="Z68" t="str">
        <f>IF(NOT($A68),"",
IF(AT68=-2,regle!$J$11,
IF(AT68=regle!$B$12,regle!$B$11,
IF(AT68=regle!$C$12,regle!$C$11,
IF(AT68=regle!$D$12,regle!$D$11,
IF(AT68=regle!$E$12,regle!$E$11,
IF(AT68=regle!$F$12,regle!$F$11,
IF(AT68=regle!$G$12,regle!$G$11,
IF(AT68=regle!$H$12,regle!$H$11,
IF(AT68=regle!$I$12,regle!$I$11,""))))))))))</f>
        <v/>
      </c>
      <c r="AA68" t="str">
        <f>IF(NOT($A68),"",
IF(AU68=-2,regle!$J$11,
IF(AU68=regle!$B$12,regle!$B$11,
IF(AU68=regle!$C$12,regle!$C$11,
IF(AU68=regle!$D$12,regle!$D$11,
IF(AU68=regle!$E$12,regle!$E$11,
IF(AU68=regle!$F$12,regle!$F$11,
IF(AU68=regle!$G$12,regle!$G$11,
IF(AU68=regle!$H$12,regle!$H$11,
IF(AU68=regle!$I$12,regle!$I$11,""))))))))))</f>
        <v/>
      </c>
      <c r="AB68" t="str">
        <f>IF(NOT($A68),"",
IF(AV68=-2,regle!$J$11,
IF(AV68=regle!$B$12,regle!$B$11,
IF(AV68=regle!$C$12,regle!$C$11,
IF(AV68=regle!$D$12,regle!$D$11,
IF(AV68=regle!$E$12,regle!$E$11,
IF(AV68=regle!$F$12,regle!$F$11,
IF(AV68=regle!$G$12,regle!$G$11,
IF(AV68=regle!$H$12,regle!$H$11,
IF(AV68=regle!$I$12,regle!$I$11,""))))))))))</f>
        <v/>
      </c>
      <c r="AC68" t="str">
        <f>IF(NOT($A68),"",
IF(AW68=-2,regle!$J$11,
IF(AW68=regle!$B$12,regle!$B$11,
IF(AW68=regle!$C$12,regle!$C$11,
IF(AW68=regle!$D$12,regle!$D$11,
IF(AW68=regle!$E$12,regle!$E$11,
IF(AW68=regle!$F$12,regle!$F$11,
IF(AW68=regle!$G$12,regle!$G$11,
IF(AW68=regle!$H$12,regle!$H$11,
IF(AW68=regle!$I$12,regle!$I$11,""))))))))))</f>
        <v/>
      </c>
      <c r="AD68" t="str">
        <f>IF(NOT($A68),"",
IF(AX68=-2,regle!$J$11,
IF(AX68=regle!$B$12,regle!$B$11,
IF(AX68=regle!$C$12,regle!$C$11,
IF(AX68=regle!$D$12,regle!$D$11,
IF(AX68=regle!$E$12,regle!$E$11,
IF(AX68=regle!$F$12,regle!$F$11,
IF(AX68=regle!$G$12,regle!$G$11,
IF(AX68=regle!$H$12,regle!$H$11,
IF(AX68=regle!$I$12,regle!$I$11,""))))))))))</f>
        <v>EC4</v>
      </c>
      <c r="AE68" s="14">
        <f>IF($A68,$M68*(IF(U68=regle!$B$11,regle!$B$23,IF(U68=regle!$C$11,regle!$C$23,IF(U68=regle!$D$11,regle!$D$23,IF(U68=regle!$E$11,regle!$E$23,IF(U68=regle!$F$11,regle!$F$23,IF(U68=regle!$G$11,regle!$G$23,IF(U68=regle!$H$11,regle!$H$23,IF(U68=regle!$I$11,regle!$I$23,IF(U68=regle!$J$11,regle!$J$23,0)))))))))))</f>
        <v>0</v>
      </c>
      <c r="AF68" s="14">
        <f>IF($A68,$M68*(IF(V68=regle!$B$11,regle!$B$23,IF(V68=regle!$C$11,regle!$C$23,IF(V68=regle!$D$11,regle!$D$23,IF(V68=regle!$E$11,regle!$E$23,IF(V68=regle!$F$11,regle!$F$23,IF(V68=regle!$G$11,regle!$G$23,IF(V68=regle!$H$11,regle!$H$23,IF(V68=regle!$I$11,regle!$I$23,IF(V68=regle!$J$11,regle!$J$23,0)))))))))))</f>
        <v>0</v>
      </c>
      <c r="AG68" s="14">
        <f>IF($A68,$M68*(IF(W68=regle!$B$11,regle!$B$23,IF(W68=regle!$C$11,regle!$C$23,IF(W68=regle!$D$11,regle!$D$23,IF(W68=regle!$E$11,regle!$E$23,IF(W68=regle!$F$11,regle!$F$23,IF(W68=regle!$G$11,regle!$G$23,IF(W68=regle!$H$11,regle!$H$23,IF(W68=regle!$I$11,regle!$I$23,IF(W68=regle!$J$11,regle!$J$23,0)))))))))))</f>
        <v>0</v>
      </c>
      <c r="AH68" s="14">
        <f>IF($A68,$M68*(IF(X68=regle!$B$11,regle!$B$23,IF(X68=regle!$C$11,regle!$C$23,IF(X68=regle!$D$11,regle!$D$23,IF(X68=regle!$E$11,regle!$E$23,IF(X68=regle!$F$11,regle!$F$23,IF(X68=regle!$G$11,regle!$G$23,IF(X68=regle!$H$11,regle!$H$23,IF(X68=regle!$I$11,regle!$I$23,IF(X68=regle!$J$11,regle!$J$23,0)))))))))))</f>
        <v>0</v>
      </c>
      <c r="AI68" s="14">
        <f>IF($A68,$M68*(IF(Y68=regle!$B$11,regle!$B$23,IF(Y68=regle!$C$11,regle!$C$23,IF(Y68=regle!$D$11,regle!$D$23,IF(Y68=regle!$E$11,regle!$E$23,IF(Y68=regle!$F$11,regle!$F$23,IF(Y68=regle!$G$11,regle!$G$23,IF(Y68=regle!$H$11,regle!$H$23,IF(Y68=regle!$I$11,regle!$I$23,IF(Y68=regle!$J$11,regle!$J$23,0)))))))))))</f>
        <v>9677.887999999999</v>
      </c>
      <c r="AJ68" s="14">
        <f>IF($A68,$M68*(IF(Z68=regle!$B$11,regle!$B$23,IF(Z68=regle!$C$11,regle!$C$23,IF(Z68=regle!$D$11,regle!$D$23,IF(Z68=regle!$E$11,regle!$E$23,IF(Z68=regle!$F$11,regle!$F$23,IF(Z68=regle!$G$11,regle!$G$23,IF(Z68=regle!$H$11,regle!$H$23,IF(Z68=regle!$I$11,regle!$I$23,IF(Z68=regle!$J$11,regle!$J$23,0)))))))))))</f>
        <v>0</v>
      </c>
      <c r="AK68" s="14">
        <f>IF($A68,$M68*(IF(AA68=regle!$B$11,regle!$B$23,IF(AA68=regle!$C$11,regle!$C$23,IF(AA68=regle!$D$11,regle!$D$23,IF(AA68=regle!$E$11,regle!$E$23,IF(AA68=regle!$F$11,regle!$F$23,IF(AA68=regle!$G$11,regle!$G$23,IF(AA68=regle!$H$11,regle!$H$23,IF(AA68=regle!$I$11,regle!$I$23,IF(AA68=regle!$J$11,regle!$J$23,0)))))))))))</f>
        <v>0</v>
      </c>
      <c r="AL68" s="14">
        <f>IF($A68,$M68*(IF(AB68=regle!$B$11,regle!$B$23,IF(AB68=regle!$C$11,regle!$C$23,IF(AB68=regle!$D$11,regle!$D$23,IF(AB68=regle!$E$11,regle!$E$23,IF(AB68=regle!$F$11,regle!$F$23,IF(AB68=regle!$G$11,regle!$G$23,IF(AB68=regle!$H$11,regle!$H$23,IF(AB68=regle!$I$11,regle!$I$23,IF(AB68=regle!$J$11,regle!$J$23,0)))))))))))</f>
        <v>0</v>
      </c>
      <c r="AM68" s="14">
        <f>IF($A68,$M68*(IF(AC68=regle!$B$11,regle!$B$23,IF(AC68=regle!$C$11,regle!$C$23,IF(AC68=regle!$D$11,regle!$D$23,IF(AC68=regle!$E$11,regle!$E$23,IF(AC68=regle!$F$11,regle!$F$23,IF(AC68=regle!$G$11,regle!$G$23,IF(AC68=regle!$H$11,regle!$H$23,IF(AC68=regle!$I$11,regle!$I$23,IF(AC68=regle!$J$11,regle!$J$23,0)))))))))))</f>
        <v>0</v>
      </c>
      <c r="AN68" s="14">
        <f>IF($A68,$M68*(IF(AD68=regle!$B$11,regle!$B$23,IF(AD68=regle!$C$11,regle!$C$23,IF(AD68=regle!$D$11,regle!$D$23,IF(AD68=regle!$E$11,regle!$E$23,IF(AD68=regle!$F$11,regle!$F$23,IF(AD68=regle!$G$11,regle!$G$23,IF(AD68=regle!$H$11,regle!$H$23,IF(AD68=regle!$I$11,regle!$I$23,IF(AD68=regle!$J$11,regle!$J$23,0)))))))))))</f>
        <v>8798.08</v>
      </c>
      <c r="AO68">
        <f>IF(AO$1=$AO$1,IF(regle!B$2-$Q68&gt;=regle!$J$12,-2,IF($S68,IF(regle!$B$2-$Q68&gt;=2,0,-1),regle!B$2-$Q68)),IF(AN68+1&gt;=regle!$J$12,-2,AN68+1))</f>
        <v>19</v>
      </c>
      <c r="AP68">
        <f>IF(AP$1=$AO$1,IF(regle!C$2-$Q68&gt;=regle!$J$12,-2,IF($S68,IF(regle!$B$2-$Q68&gt;=2,0,-1),regle!C$2-$Q68)),IF(AO68+1&gt;=regle!$J$12,-2,AO68+1))</f>
        <v>20</v>
      </c>
      <c r="AQ68">
        <f>IF(AQ$1=$AO$1,IF(regle!D$2-$Q68&gt;=regle!$J$12,-2,IF($S68,IF(regle!$B$2-$Q68&gt;=2,0,-1),regle!D$2-$Q68)),IF(AP68+1&gt;=regle!$J$12,-2,AP68+1))</f>
        <v>21</v>
      </c>
      <c r="AR68">
        <f>IF(AR$1=$AO$1,IF(regle!E$2-$Q68&gt;=regle!$J$12,-2,IF($S68,IF(regle!$B$2-$Q68&gt;=2,0,-1),regle!E$2-$Q68)),IF(AQ68+1&gt;=regle!$J$12,-2,AQ68+1))</f>
        <v>22</v>
      </c>
      <c r="AS68">
        <f>IF(AS$1=$AO$1,IF(regle!F$2-$Q68&gt;=regle!$J$12,-2,IF($S68,IF(regle!$B$2-$Q68&gt;=2,0,-1),regle!F$2-$Q68)),IF(AR68+1&gt;=regle!$J$12,-2,AR68+1))</f>
        <v>23</v>
      </c>
      <c r="AT68">
        <f>IF(AT$1=$AO$1,IF(regle!G$2-$Q68&gt;=regle!$J$12,-2,IF($S68,IF(regle!$B$2-$Q68&gt;=2,0,-1),regle!G$2-$Q68)),IF(AS68+1&gt;=regle!$J$12,-2,AS68+1))</f>
        <v>24</v>
      </c>
      <c r="AU68">
        <f>IF(AU$1=$AO$1,IF(regle!H$2-$Q68&gt;=regle!$J$12,-2,IF($S68,IF(regle!$B$2-$Q68&gt;=2,0,-1),regle!H$2-$Q68)),IF(AT68+1&gt;=regle!$J$12,-2,AT68+1))</f>
        <v>25</v>
      </c>
      <c r="AV68">
        <f>IF(AV$1=$AO$1,IF(regle!I$2-$Q68&gt;=regle!$J$12,-2,IF($S68,IF(regle!$B$2-$Q68&gt;=2,0,-1),regle!I$2-$Q68)),IF(AU68+1&gt;=regle!$J$12,-2,AU68+1))</f>
        <v>26</v>
      </c>
      <c r="AW68">
        <f>IF(AW$1=$AO$1,IF(regle!J$2-$Q68&gt;=regle!$J$12,-2,IF($S68,IF(regle!$B$2-$Q68&gt;=2,0,-1),regle!J$2-$Q68)),IF(AV68+1&gt;=regle!$J$12,-2,AV68+1))</f>
        <v>27</v>
      </c>
      <c r="AX68">
        <f>IF(AX$1=$AO$1,IF(regle!K$2-$Q68&gt;=regle!$J$12,-2,IF($S68,IF(regle!$B$2-$Q68&gt;=2,0,-1),regle!K$2-$Q68)),IF(AW68+1&gt;=regle!$J$12,-2,AW68+1))</f>
        <v>28</v>
      </c>
    </row>
    <row r="69" spans="1:50" x14ac:dyDescent="0.25">
      <c r="A69" t="b">
        <f>AND(modif0[[#This Row],[cdstr]]&lt;&gt;0,OR(regle!$H$27=FALSE,modif0[[#This Row],[essnc]]="PM"))</f>
        <v>1</v>
      </c>
      <c r="B69">
        <f>ROW(objet!A87)</f>
        <v>87</v>
      </c>
      <c r="C69" s="10" t="str">
        <f>objet!D87</f>
        <v>5360000A0523</v>
      </c>
      <c r="D69" t="str">
        <f>LEFT(modif0[[#This Row],[cdstr]],3)</f>
        <v>536</v>
      </c>
      <c r="E69" s="10" t="str">
        <f>objet!G87</f>
        <v>LE TUZAN</v>
      </c>
      <c r="F69">
        <f>LEN(modif0[[#This Row],[l_dt]])</f>
        <v>21</v>
      </c>
      <c r="G69" s="10" t="str">
        <f>objet!H87</f>
        <v>METAIRIES DE TABARTON</v>
      </c>
      <c r="H69" s="10" t="str">
        <f>objet!C87</f>
        <v>A523r</v>
      </c>
      <c r="I69" t="str">
        <f>IF(ISNUMBER(VALUE(RIGHT(LEFT(modif0[[#This Row],[idntfn]],2),1))),_xlfn.CONCAT(0,LEFT(modif0[[#This Row],[idntfn]],1)),LEFT(modif0[[#This Row],[idntfn]],2))</f>
        <v>0A</v>
      </c>
      <c r="J69">
        <f>VALUE(LEFT(RIGHT(modif0[[#This Row],[idntfn]],LEN(modif0[[#This Row],[idntfn]])-IF(LEFT(modif0[[#This Row],[sctn]],1)="0",1,2)),LEN(modif0[[#This Row],[idntfn]])-IF(LEFT(modif0[[#This Row],[sctn]],1)="0",1,2)-LEN(modif0[[#This Row],[lttr]])))</f>
        <v>523</v>
      </c>
      <c r="K69" t="str">
        <f>IF(ISNUMBER(VALUE(RIGHT(modif0[[#This Row],[idntfn]],1))),"",IF(ISNUMBER(VALUE(LEFT(RIGHT(modif0[[#This Row],[idntfn]],2),1))),RIGHT(modif0[[#This Row],[idntfn]],1),RIGHT(modif0[[#This Row],[idntfn]],2)))</f>
        <v>r</v>
      </c>
      <c r="L69" s="10">
        <f>objet!I87</f>
        <v>70641</v>
      </c>
      <c r="M69" s="11">
        <f>modif0[[#This Row],[srfc]]/10000</f>
        <v>7.0640999999999998</v>
      </c>
      <c r="N69" s="10" t="str">
        <f>objet!Z87</f>
        <v>PM</v>
      </c>
      <c r="O69" s="10" t="str">
        <f>objet!AA87</f>
        <v>PLA2005</v>
      </c>
      <c r="P69" t="str">
        <f>IF(ISNUMBER(modif0[[#This Row],[trvx]]),"",LEFT(modif0[[#This Row],[trvx]],LEN(modif0[[#This Row],[trvx]])-4))</f>
        <v>PLA</v>
      </c>
      <c r="Q69">
        <f>VALUE(RIGHT(modif0[[#This Row],[trvx]],4))</f>
        <v>2005</v>
      </c>
      <c r="R69" t="str">
        <f>_xlfn.CONCAT(modif0[[#This Row],[tp]],"-",modif0[[#This Row],[essnc]],"_",modif0[[#This Row],[anns]])</f>
        <v>PLA-PM_2005</v>
      </c>
      <c r="S69" t="b">
        <f>modif0[[#This Row],[tp]]="CR"</f>
        <v>0</v>
      </c>
      <c r="T69">
        <v>40</v>
      </c>
      <c r="U69" t="str">
        <f>IF(NOT($A69),"",
IF(AO69=-2,regle!$J$11,
IF(AO69=regle!$B$12,regle!$B$11,
IF(AO69=regle!$C$12,regle!$C$11,
IF(AO69=regle!$D$12,regle!$D$11,
IF(AO69=regle!$E$12,regle!$E$11,
IF(AO69=regle!$F$12,regle!$F$11,
IF(AO69=regle!$G$12,regle!$G$11,
IF(AO69=regle!$H$12,regle!$H$11,
IF(AO69=regle!$I$12,regle!$I$11,""))))))))))</f>
        <v/>
      </c>
      <c r="V69" t="str">
        <f>IF(NOT($A69),"",
IF(AP69=-2,regle!$J$11,
IF(AP69=regle!$B$12,regle!$B$11,
IF(AP69=regle!$C$12,regle!$C$11,
IF(AP69=regle!$D$12,regle!$D$11,
IF(AP69=regle!$E$12,regle!$E$11,
IF(AP69=regle!$F$12,regle!$F$11,
IF(AP69=regle!$G$12,regle!$G$11,
IF(AP69=regle!$H$12,regle!$H$11,
IF(AP69=regle!$I$12,regle!$I$11,""))))))))))</f>
        <v/>
      </c>
      <c r="W69" t="str">
        <f>IF(NOT($A69),"",
IF(AQ69=-2,regle!$J$11,
IF(AQ69=regle!$B$12,regle!$B$11,
IF(AQ69=regle!$C$12,regle!$C$11,
IF(AQ69=regle!$D$12,regle!$D$11,
IF(AQ69=regle!$E$12,regle!$E$11,
IF(AQ69=regle!$F$12,regle!$F$11,
IF(AQ69=regle!$G$12,regle!$G$11,
IF(AQ69=regle!$H$12,regle!$H$11,
IF(AQ69=regle!$I$12,regle!$I$11,""))))))))))</f>
        <v/>
      </c>
      <c r="X69" t="str">
        <f>IF(NOT($A69),"",
IF(AR69=-2,regle!$J$11,
IF(AR69=regle!$B$12,regle!$B$11,
IF(AR69=regle!$C$12,regle!$C$11,
IF(AR69=regle!$D$12,regle!$D$11,
IF(AR69=regle!$E$12,regle!$E$11,
IF(AR69=regle!$F$12,regle!$F$11,
IF(AR69=regle!$G$12,regle!$G$11,
IF(AR69=regle!$H$12,regle!$H$11,
IF(AR69=regle!$I$12,regle!$I$11,""))))))))))</f>
        <v/>
      </c>
      <c r="Y69" t="str">
        <f>IF(NOT($A69),"",
IF(AS69=-2,regle!$J$11,
IF(AS69=regle!$B$12,regle!$B$11,
IF(AS69=regle!$C$12,regle!$C$11,
IF(AS69=regle!$D$12,regle!$D$11,
IF(AS69=regle!$E$12,regle!$E$11,
IF(AS69=regle!$F$12,regle!$F$11,
IF(AS69=regle!$G$12,regle!$G$11,
IF(AS69=regle!$H$12,regle!$H$11,
IF(AS69=regle!$I$12,regle!$I$11,""))))))))))</f>
        <v>EC3</v>
      </c>
      <c r="Z69" t="str">
        <f>IF(NOT($A69),"",
IF(AT69=-2,regle!$J$11,
IF(AT69=regle!$B$12,regle!$B$11,
IF(AT69=regle!$C$12,regle!$C$11,
IF(AT69=regle!$D$12,regle!$D$11,
IF(AT69=regle!$E$12,regle!$E$11,
IF(AT69=regle!$F$12,regle!$F$11,
IF(AT69=regle!$G$12,regle!$G$11,
IF(AT69=regle!$H$12,regle!$H$11,
IF(AT69=regle!$I$12,regle!$I$11,""))))))))))</f>
        <v/>
      </c>
      <c r="AA69" t="str">
        <f>IF(NOT($A69),"",
IF(AU69=-2,regle!$J$11,
IF(AU69=regle!$B$12,regle!$B$11,
IF(AU69=regle!$C$12,regle!$C$11,
IF(AU69=regle!$D$12,regle!$D$11,
IF(AU69=regle!$E$12,regle!$E$11,
IF(AU69=regle!$F$12,regle!$F$11,
IF(AU69=regle!$G$12,regle!$G$11,
IF(AU69=regle!$H$12,regle!$H$11,
IF(AU69=regle!$I$12,regle!$I$11,""))))))))))</f>
        <v/>
      </c>
      <c r="AB69" t="str">
        <f>IF(NOT($A69),"",
IF(AV69=-2,regle!$J$11,
IF(AV69=regle!$B$12,regle!$B$11,
IF(AV69=regle!$C$12,regle!$C$11,
IF(AV69=regle!$D$12,regle!$D$11,
IF(AV69=regle!$E$12,regle!$E$11,
IF(AV69=regle!$F$12,regle!$F$11,
IF(AV69=regle!$G$12,regle!$G$11,
IF(AV69=regle!$H$12,regle!$H$11,
IF(AV69=regle!$I$12,regle!$I$11,""))))))))))</f>
        <v/>
      </c>
      <c r="AC69" t="str">
        <f>IF(NOT($A69),"",
IF(AW69=-2,regle!$J$11,
IF(AW69=regle!$B$12,regle!$B$11,
IF(AW69=regle!$C$12,regle!$C$11,
IF(AW69=regle!$D$12,regle!$D$11,
IF(AW69=regle!$E$12,regle!$E$11,
IF(AW69=regle!$F$12,regle!$F$11,
IF(AW69=regle!$G$12,regle!$G$11,
IF(AW69=regle!$H$12,regle!$H$11,
IF(AW69=regle!$I$12,regle!$I$11,""))))))))))</f>
        <v/>
      </c>
      <c r="AD69" t="str">
        <f>IF(NOT($A69),"",
IF(AX69=-2,regle!$J$11,
IF(AX69=regle!$B$12,regle!$B$11,
IF(AX69=regle!$C$12,regle!$C$11,
IF(AX69=regle!$D$12,regle!$D$11,
IF(AX69=regle!$E$12,regle!$E$11,
IF(AX69=regle!$F$12,regle!$F$11,
IF(AX69=regle!$G$12,regle!$G$11,
IF(AX69=regle!$H$12,regle!$H$11,
IF(AX69=regle!$I$12,regle!$I$11,""))))))))))</f>
        <v>EC4</v>
      </c>
      <c r="AE69" s="14">
        <f>IF($A69,$M69*(IF(U69=regle!$B$11,regle!$B$23,IF(U69=regle!$C$11,regle!$C$23,IF(U69=regle!$D$11,regle!$D$23,IF(U69=regle!$E$11,regle!$E$23,IF(U69=regle!$F$11,regle!$F$23,IF(U69=regle!$G$11,regle!$G$23,IF(U69=regle!$H$11,regle!$H$23,IF(U69=regle!$I$11,regle!$I$23,IF(U69=regle!$J$11,regle!$J$23,0)))))))))))</f>
        <v>0</v>
      </c>
      <c r="AF69" s="14">
        <f>IF($A69,$M69*(IF(V69=regle!$B$11,regle!$B$23,IF(V69=regle!$C$11,regle!$C$23,IF(V69=regle!$D$11,regle!$D$23,IF(V69=regle!$E$11,regle!$E$23,IF(V69=regle!$F$11,regle!$F$23,IF(V69=regle!$G$11,regle!$G$23,IF(V69=regle!$H$11,regle!$H$23,IF(V69=regle!$I$11,regle!$I$23,IF(V69=regle!$J$11,regle!$J$23,0)))))))))))</f>
        <v>0</v>
      </c>
      <c r="AG69" s="14">
        <f>IF($A69,$M69*(IF(W69=regle!$B$11,regle!$B$23,IF(W69=regle!$C$11,regle!$C$23,IF(W69=regle!$D$11,regle!$D$23,IF(W69=regle!$E$11,regle!$E$23,IF(W69=regle!$F$11,regle!$F$23,IF(W69=regle!$G$11,regle!$G$23,IF(W69=regle!$H$11,regle!$H$23,IF(W69=regle!$I$11,regle!$I$23,IF(W69=regle!$J$11,regle!$J$23,0)))))))))))</f>
        <v>0</v>
      </c>
      <c r="AH69" s="14">
        <f>IF($A69,$M69*(IF(X69=regle!$B$11,regle!$B$23,IF(X69=regle!$C$11,regle!$C$23,IF(X69=regle!$D$11,regle!$D$23,IF(X69=regle!$E$11,regle!$E$23,IF(X69=regle!$F$11,regle!$F$23,IF(X69=regle!$G$11,regle!$G$23,IF(X69=regle!$H$11,regle!$H$23,IF(X69=regle!$I$11,regle!$I$23,IF(X69=regle!$J$11,regle!$J$23,0)))))))))))</f>
        <v>0</v>
      </c>
      <c r="AI69" s="14">
        <f>IF($A69,$M69*(IF(Y69=regle!$B$11,regle!$B$23,IF(Y69=regle!$C$11,regle!$C$23,IF(Y69=regle!$D$11,regle!$D$23,IF(Y69=regle!$E$11,regle!$E$23,IF(Y69=regle!$F$11,regle!$F$23,IF(Y69=regle!$G$11,regle!$G$23,IF(Y69=regle!$H$11,regle!$H$23,IF(Y69=regle!$I$11,regle!$I$23,IF(Y69=regle!$J$11,regle!$J$23,0)))))))))))</f>
        <v>9946.2528000000002</v>
      </c>
      <c r="AJ69" s="14">
        <f>IF($A69,$M69*(IF(Z69=regle!$B$11,regle!$B$23,IF(Z69=regle!$C$11,regle!$C$23,IF(Z69=regle!$D$11,regle!$D$23,IF(Z69=regle!$E$11,regle!$E$23,IF(Z69=regle!$F$11,regle!$F$23,IF(Z69=regle!$G$11,regle!$G$23,IF(Z69=regle!$H$11,regle!$H$23,IF(Z69=regle!$I$11,regle!$I$23,IF(Z69=regle!$J$11,regle!$J$23,0)))))))))))</f>
        <v>0</v>
      </c>
      <c r="AK69" s="14">
        <f>IF($A69,$M69*(IF(AA69=regle!$B$11,regle!$B$23,IF(AA69=regle!$C$11,regle!$C$23,IF(AA69=regle!$D$11,regle!$D$23,IF(AA69=regle!$E$11,regle!$E$23,IF(AA69=regle!$F$11,regle!$F$23,IF(AA69=regle!$G$11,regle!$G$23,IF(AA69=regle!$H$11,regle!$H$23,IF(AA69=regle!$I$11,regle!$I$23,IF(AA69=regle!$J$11,regle!$J$23,0)))))))))))</f>
        <v>0</v>
      </c>
      <c r="AL69" s="14">
        <f>IF($A69,$M69*(IF(AB69=regle!$B$11,regle!$B$23,IF(AB69=regle!$C$11,regle!$C$23,IF(AB69=regle!$D$11,regle!$D$23,IF(AB69=regle!$E$11,regle!$E$23,IF(AB69=regle!$F$11,regle!$F$23,IF(AB69=regle!$G$11,regle!$G$23,IF(AB69=regle!$H$11,regle!$H$23,IF(AB69=regle!$I$11,regle!$I$23,IF(AB69=regle!$J$11,regle!$J$23,0)))))))))))</f>
        <v>0</v>
      </c>
      <c r="AM69" s="14">
        <f>IF($A69,$M69*(IF(AC69=regle!$B$11,regle!$B$23,IF(AC69=regle!$C$11,regle!$C$23,IF(AC69=regle!$D$11,regle!$D$23,IF(AC69=regle!$E$11,regle!$E$23,IF(AC69=regle!$F$11,regle!$F$23,IF(AC69=regle!$G$11,regle!$G$23,IF(AC69=regle!$H$11,regle!$H$23,IF(AC69=regle!$I$11,regle!$I$23,IF(AC69=regle!$J$11,regle!$J$23,0)))))))))))</f>
        <v>0</v>
      </c>
      <c r="AN69" s="14">
        <f>IF($A69,$M69*(IF(AD69=regle!$B$11,regle!$B$23,IF(AD69=regle!$C$11,regle!$C$23,IF(AD69=regle!$D$11,regle!$D$23,IF(AD69=regle!$E$11,regle!$E$23,IF(AD69=regle!$F$11,regle!$F$23,IF(AD69=regle!$G$11,regle!$G$23,IF(AD69=regle!$H$11,regle!$H$23,IF(AD69=regle!$I$11,regle!$I$23,IF(AD69=regle!$J$11,regle!$J$23,0)))))))))))</f>
        <v>9042.0479999999989</v>
      </c>
      <c r="AO69">
        <f>IF(AO$1=$AO$1,IF(regle!B$2-$Q69&gt;=regle!$J$12,-2,IF($S69,IF(regle!$B$2-$Q69&gt;=2,0,-1),regle!B$2-$Q69)),IF(AN69+1&gt;=regle!$J$12,-2,AN69+1))</f>
        <v>19</v>
      </c>
      <c r="AP69">
        <f>IF(AP$1=$AO$1,IF(regle!C$2-$Q69&gt;=regle!$J$12,-2,IF($S69,IF(regle!$B$2-$Q69&gt;=2,0,-1),regle!C$2-$Q69)),IF(AO69+1&gt;=regle!$J$12,-2,AO69+1))</f>
        <v>20</v>
      </c>
      <c r="AQ69">
        <f>IF(AQ$1=$AO$1,IF(regle!D$2-$Q69&gt;=regle!$J$12,-2,IF($S69,IF(regle!$B$2-$Q69&gt;=2,0,-1),regle!D$2-$Q69)),IF(AP69+1&gt;=regle!$J$12,-2,AP69+1))</f>
        <v>21</v>
      </c>
      <c r="AR69">
        <f>IF(AR$1=$AO$1,IF(regle!E$2-$Q69&gt;=regle!$J$12,-2,IF($S69,IF(regle!$B$2-$Q69&gt;=2,0,-1),regle!E$2-$Q69)),IF(AQ69+1&gt;=regle!$J$12,-2,AQ69+1))</f>
        <v>22</v>
      </c>
      <c r="AS69">
        <f>IF(AS$1=$AO$1,IF(regle!F$2-$Q69&gt;=regle!$J$12,-2,IF($S69,IF(regle!$B$2-$Q69&gt;=2,0,-1),regle!F$2-$Q69)),IF(AR69+1&gt;=regle!$J$12,-2,AR69+1))</f>
        <v>23</v>
      </c>
      <c r="AT69">
        <f>IF(AT$1=$AO$1,IF(regle!G$2-$Q69&gt;=regle!$J$12,-2,IF($S69,IF(regle!$B$2-$Q69&gt;=2,0,-1),regle!G$2-$Q69)),IF(AS69+1&gt;=regle!$J$12,-2,AS69+1))</f>
        <v>24</v>
      </c>
      <c r="AU69">
        <f>IF(AU$1=$AO$1,IF(regle!H$2-$Q69&gt;=regle!$J$12,-2,IF($S69,IF(regle!$B$2-$Q69&gt;=2,0,-1),regle!H$2-$Q69)),IF(AT69+1&gt;=regle!$J$12,-2,AT69+1))</f>
        <v>25</v>
      </c>
      <c r="AV69">
        <f>IF(AV$1=$AO$1,IF(regle!I$2-$Q69&gt;=regle!$J$12,-2,IF($S69,IF(regle!$B$2-$Q69&gt;=2,0,-1),regle!I$2-$Q69)),IF(AU69+1&gt;=regle!$J$12,-2,AU69+1))</f>
        <v>26</v>
      </c>
      <c r="AW69">
        <f>IF(AW$1=$AO$1,IF(regle!J$2-$Q69&gt;=regle!$J$12,-2,IF($S69,IF(regle!$B$2-$Q69&gt;=2,0,-1),regle!J$2-$Q69)),IF(AV69+1&gt;=regle!$J$12,-2,AV69+1))</f>
        <v>27</v>
      </c>
      <c r="AX69">
        <f>IF(AX$1=$AO$1,IF(regle!K$2-$Q69&gt;=regle!$J$12,-2,IF($S69,IF(regle!$B$2-$Q69&gt;=2,0,-1),regle!K$2-$Q69)),IF(AW69+1&gt;=regle!$J$12,-2,AW69+1))</f>
        <v>28</v>
      </c>
    </row>
    <row r="70" spans="1:50" x14ac:dyDescent="0.25">
      <c r="A70" t="b">
        <f>AND(modif0[[#This Row],[cdstr]]&lt;&gt;0,OR(regle!$H$27=FALSE,modif0[[#This Row],[essnc]]="PM"))</f>
        <v>1</v>
      </c>
      <c r="B70">
        <f>ROW(objet!A91)</f>
        <v>91</v>
      </c>
      <c r="C70" s="10" t="str">
        <f>objet!D91</f>
        <v>5360000A0523</v>
      </c>
      <c r="D70" t="str">
        <f>LEFT(modif0[[#This Row],[cdstr]],3)</f>
        <v>536</v>
      </c>
      <c r="E70" s="10" t="str">
        <f>objet!G91</f>
        <v>LE TUZAN</v>
      </c>
      <c r="F70">
        <f>LEN(modif0[[#This Row],[l_dt]])</f>
        <v>21</v>
      </c>
      <c r="G70" s="10" t="str">
        <f>objet!H91</f>
        <v>METAIRIES DE TABARTON</v>
      </c>
      <c r="H70" s="10" t="str">
        <f>objet!C91</f>
        <v>A523x</v>
      </c>
      <c r="I70" t="str">
        <f>IF(ISNUMBER(VALUE(RIGHT(LEFT(modif0[[#This Row],[idntfn]],2),1))),_xlfn.CONCAT(0,LEFT(modif0[[#This Row],[idntfn]],1)),LEFT(modif0[[#This Row],[idntfn]],2))</f>
        <v>0A</v>
      </c>
      <c r="J70">
        <f>VALUE(LEFT(RIGHT(modif0[[#This Row],[idntfn]],LEN(modif0[[#This Row],[idntfn]])-IF(LEFT(modif0[[#This Row],[sctn]],1)="0",1,2)),LEN(modif0[[#This Row],[idntfn]])-IF(LEFT(modif0[[#This Row],[sctn]],1)="0",1,2)-LEN(modif0[[#This Row],[lttr]])))</f>
        <v>523</v>
      </c>
      <c r="K70" t="str">
        <f>IF(ISNUMBER(VALUE(RIGHT(modif0[[#This Row],[idntfn]],1))),"",IF(ISNUMBER(VALUE(LEFT(RIGHT(modif0[[#This Row],[idntfn]],2),1))),RIGHT(modif0[[#This Row],[idntfn]],1),RIGHT(modif0[[#This Row],[idntfn]],2)))</f>
        <v>x</v>
      </c>
      <c r="L70" s="10">
        <f>objet!I91</f>
        <v>17748</v>
      </c>
      <c r="M70" s="11">
        <f>modif0[[#This Row],[srfc]]/10000</f>
        <v>1.7747999999999999</v>
      </c>
      <c r="N70" s="10" t="str">
        <f>objet!Z91</f>
        <v>PM</v>
      </c>
      <c r="O70" s="10" t="str">
        <f>objet!AA91</f>
        <v>PLA2005</v>
      </c>
      <c r="P70" t="str">
        <f>IF(ISNUMBER(modif0[[#This Row],[trvx]]),"",LEFT(modif0[[#This Row],[trvx]],LEN(modif0[[#This Row],[trvx]])-4))</f>
        <v>PLA</v>
      </c>
      <c r="Q70">
        <f>VALUE(RIGHT(modif0[[#This Row],[trvx]],4))</f>
        <v>2005</v>
      </c>
      <c r="R70" t="str">
        <f>_xlfn.CONCAT(modif0[[#This Row],[tp]],"-",modif0[[#This Row],[essnc]],"_",modif0[[#This Row],[anns]])</f>
        <v>PLA-PM_2005</v>
      </c>
      <c r="S70" t="b">
        <f>modif0[[#This Row],[tp]]="CR"</f>
        <v>0</v>
      </c>
      <c r="T70">
        <v>40</v>
      </c>
      <c r="U70" t="str">
        <f>IF(NOT($A70),"",
IF(AO70=-2,regle!$J$11,
IF(AO70=regle!$B$12,regle!$B$11,
IF(AO70=regle!$C$12,regle!$C$11,
IF(AO70=regle!$D$12,regle!$D$11,
IF(AO70=regle!$E$12,regle!$E$11,
IF(AO70=regle!$F$12,regle!$F$11,
IF(AO70=regle!$G$12,regle!$G$11,
IF(AO70=regle!$H$12,regle!$H$11,
IF(AO70=regle!$I$12,regle!$I$11,""))))))))))</f>
        <v/>
      </c>
      <c r="V70" t="str">
        <f>IF(NOT($A70),"",
IF(AP70=-2,regle!$J$11,
IF(AP70=regle!$B$12,regle!$B$11,
IF(AP70=regle!$C$12,regle!$C$11,
IF(AP70=regle!$D$12,regle!$D$11,
IF(AP70=regle!$E$12,regle!$E$11,
IF(AP70=regle!$F$12,regle!$F$11,
IF(AP70=regle!$G$12,regle!$G$11,
IF(AP70=regle!$H$12,regle!$H$11,
IF(AP70=regle!$I$12,regle!$I$11,""))))))))))</f>
        <v/>
      </c>
      <c r="W70" t="str">
        <f>IF(NOT($A70),"",
IF(AQ70=-2,regle!$J$11,
IF(AQ70=regle!$B$12,regle!$B$11,
IF(AQ70=regle!$C$12,regle!$C$11,
IF(AQ70=regle!$D$12,regle!$D$11,
IF(AQ70=regle!$E$12,regle!$E$11,
IF(AQ70=regle!$F$12,regle!$F$11,
IF(AQ70=regle!$G$12,regle!$G$11,
IF(AQ70=regle!$H$12,regle!$H$11,
IF(AQ70=regle!$I$12,regle!$I$11,""))))))))))</f>
        <v/>
      </c>
      <c r="X70" t="str">
        <f>IF(NOT($A70),"",
IF(AR70=-2,regle!$J$11,
IF(AR70=regle!$B$12,regle!$B$11,
IF(AR70=regle!$C$12,regle!$C$11,
IF(AR70=regle!$D$12,regle!$D$11,
IF(AR70=regle!$E$12,regle!$E$11,
IF(AR70=regle!$F$12,regle!$F$11,
IF(AR70=regle!$G$12,regle!$G$11,
IF(AR70=regle!$H$12,regle!$H$11,
IF(AR70=regle!$I$12,regle!$I$11,""))))))))))</f>
        <v/>
      </c>
      <c r="Y70" t="str">
        <f>IF(NOT($A70),"",
IF(AS70=-2,regle!$J$11,
IF(AS70=regle!$B$12,regle!$B$11,
IF(AS70=regle!$C$12,regle!$C$11,
IF(AS70=regle!$D$12,regle!$D$11,
IF(AS70=regle!$E$12,regle!$E$11,
IF(AS70=regle!$F$12,regle!$F$11,
IF(AS70=regle!$G$12,regle!$G$11,
IF(AS70=regle!$H$12,regle!$H$11,
IF(AS70=regle!$I$12,regle!$I$11,""))))))))))</f>
        <v>EC3</v>
      </c>
      <c r="Z70" t="str">
        <f>IF(NOT($A70),"",
IF(AT70=-2,regle!$J$11,
IF(AT70=regle!$B$12,regle!$B$11,
IF(AT70=regle!$C$12,regle!$C$11,
IF(AT70=regle!$D$12,regle!$D$11,
IF(AT70=regle!$E$12,regle!$E$11,
IF(AT70=regle!$F$12,regle!$F$11,
IF(AT70=regle!$G$12,regle!$G$11,
IF(AT70=regle!$H$12,regle!$H$11,
IF(AT70=regle!$I$12,regle!$I$11,""))))))))))</f>
        <v/>
      </c>
      <c r="AA70" t="str">
        <f>IF(NOT($A70),"",
IF(AU70=-2,regle!$J$11,
IF(AU70=regle!$B$12,regle!$B$11,
IF(AU70=regle!$C$12,regle!$C$11,
IF(AU70=regle!$D$12,regle!$D$11,
IF(AU70=regle!$E$12,regle!$E$11,
IF(AU70=regle!$F$12,regle!$F$11,
IF(AU70=regle!$G$12,regle!$G$11,
IF(AU70=regle!$H$12,regle!$H$11,
IF(AU70=regle!$I$12,regle!$I$11,""))))))))))</f>
        <v/>
      </c>
      <c r="AB70" t="str">
        <f>IF(NOT($A70),"",
IF(AV70=-2,regle!$J$11,
IF(AV70=regle!$B$12,regle!$B$11,
IF(AV70=regle!$C$12,regle!$C$11,
IF(AV70=regle!$D$12,regle!$D$11,
IF(AV70=regle!$E$12,regle!$E$11,
IF(AV70=regle!$F$12,regle!$F$11,
IF(AV70=regle!$G$12,regle!$G$11,
IF(AV70=regle!$H$12,regle!$H$11,
IF(AV70=regle!$I$12,regle!$I$11,""))))))))))</f>
        <v/>
      </c>
      <c r="AC70" t="str">
        <f>IF(NOT($A70),"",
IF(AW70=-2,regle!$J$11,
IF(AW70=regle!$B$12,regle!$B$11,
IF(AW70=regle!$C$12,regle!$C$11,
IF(AW70=regle!$D$12,regle!$D$11,
IF(AW70=regle!$E$12,regle!$E$11,
IF(AW70=regle!$F$12,regle!$F$11,
IF(AW70=regle!$G$12,regle!$G$11,
IF(AW70=regle!$H$12,regle!$H$11,
IF(AW70=regle!$I$12,regle!$I$11,""))))))))))</f>
        <v/>
      </c>
      <c r="AD70" t="str">
        <f>IF(NOT($A70),"",
IF(AX70=-2,regle!$J$11,
IF(AX70=regle!$B$12,regle!$B$11,
IF(AX70=regle!$C$12,regle!$C$11,
IF(AX70=regle!$D$12,regle!$D$11,
IF(AX70=regle!$E$12,regle!$E$11,
IF(AX70=regle!$F$12,regle!$F$11,
IF(AX70=regle!$G$12,regle!$G$11,
IF(AX70=regle!$H$12,regle!$H$11,
IF(AX70=regle!$I$12,regle!$I$11,""))))))))))</f>
        <v>EC4</v>
      </c>
      <c r="AE70" s="14">
        <f>IF($A70,$M70*(IF(U70=regle!$B$11,regle!$B$23,IF(U70=regle!$C$11,regle!$C$23,IF(U70=regle!$D$11,regle!$D$23,IF(U70=regle!$E$11,regle!$E$23,IF(U70=regle!$F$11,regle!$F$23,IF(U70=regle!$G$11,regle!$G$23,IF(U70=regle!$H$11,regle!$H$23,IF(U70=regle!$I$11,regle!$I$23,IF(U70=regle!$J$11,regle!$J$23,0)))))))))))</f>
        <v>0</v>
      </c>
      <c r="AF70" s="14">
        <f>IF($A70,$M70*(IF(V70=regle!$B$11,regle!$B$23,IF(V70=regle!$C$11,regle!$C$23,IF(V70=regle!$D$11,regle!$D$23,IF(V70=regle!$E$11,regle!$E$23,IF(V70=regle!$F$11,regle!$F$23,IF(V70=regle!$G$11,regle!$G$23,IF(V70=regle!$H$11,regle!$H$23,IF(V70=regle!$I$11,regle!$I$23,IF(V70=regle!$J$11,regle!$J$23,0)))))))))))</f>
        <v>0</v>
      </c>
      <c r="AG70" s="14">
        <f>IF($A70,$M70*(IF(W70=regle!$B$11,regle!$B$23,IF(W70=regle!$C$11,regle!$C$23,IF(W70=regle!$D$11,regle!$D$23,IF(W70=regle!$E$11,regle!$E$23,IF(W70=regle!$F$11,regle!$F$23,IF(W70=regle!$G$11,regle!$G$23,IF(W70=regle!$H$11,regle!$H$23,IF(W70=regle!$I$11,regle!$I$23,IF(W70=regle!$J$11,regle!$J$23,0)))))))))))</f>
        <v>0</v>
      </c>
      <c r="AH70" s="14">
        <f>IF($A70,$M70*(IF(X70=regle!$B$11,regle!$B$23,IF(X70=regle!$C$11,regle!$C$23,IF(X70=regle!$D$11,regle!$D$23,IF(X70=regle!$E$11,regle!$E$23,IF(X70=regle!$F$11,regle!$F$23,IF(X70=regle!$G$11,regle!$G$23,IF(X70=regle!$H$11,regle!$H$23,IF(X70=regle!$I$11,regle!$I$23,IF(X70=regle!$J$11,regle!$J$23,0)))))))))))</f>
        <v>0</v>
      </c>
      <c r="AI70" s="14">
        <f>IF($A70,$M70*(IF(Y70=regle!$B$11,regle!$B$23,IF(Y70=regle!$C$11,regle!$C$23,IF(Y70=regle!$D$11,regle!$D$23,IF(Y70=regle!$E$11,regle!$E$23,IF(Y70=regle!$F$11,regle!$F$23,IF(Y70=regle!$G$11,regle!$G$23,IF(Y70=regle!$H$11,regle!$H$23,IF(Y70=regle!$I$11,regle!$I$23,IF(Y70=regle!$J$11,regle!$J$23,0)))))))))))</f>
        <v>2498.9184</v>
      </c>
      <c r="AJ70" s="14">
        <f>IF($A70,$M70*(IF(Z70=regle!$B$11,regle!$B$23,IF(Z70=regle!$C$11,regle!$C$23,IF(Z70=regle!$D$11,regle!$D$23,IF(Z70=regle!$E$11,regle!$E$23,IF(Z70=regle!$F$11,regle!$F$23,IF(Z70=regle!$G$11,regle!$G$23,IF(Z70=regle!$H$11,regle!$H$23,IF(Z70=regle!$I$11,regle!$I$23,IF(Z70=regle!$J$11,regle!$J$23,0)))))))))))</f>
        <v>0</v>
      </c>
      <c r="AK70" s="14">
        <f>IF($A70,$M70*(IF(AA70=regle!$B$11,regle!$B$23,IF(AA70=regle!$C$11,regle!$C$23,IF(AA70=regle!$D$11,regle!$D$23,IF(AA70=regle!$E$11,regle!$E$23,IF(AA70=regle!$F$11,regle!$F$23,IF(AA70=regle!$G$11,regle!$G$23,IF(AA70=regle!$H$11,regle!$H$23,IF(AA70=regle!$I$11,regle!$I$23,IF(AA70=regle!$J$11,regle!$J$23,0)))))))))))</f>
        <v>0</v>
      </c>
      <c r="AL70" s="14">
        <f>IF($A70,$M70*(IF(AB70=regle!$B$11,regle!$B$23,IF(AB70=regle!$C$11,regle!$C$23,IF(AB70=regle!$D$11,regle!$D$23,IF(AB70=regle!$E$11,regle!$E$23,IF(AB70=regle!$F$11,regle!$F$23,IF(AB70=regle!$G$11,regle!$G$23,IF(AB70=regle!$H$11,regle!$H$23,IF(AB70=regle!$I$11,regle!$I$23,IF(AB70=regle!$J$11,regle!$J$23,0)))))))))))</f>
        <v>0</v>
      </c>
      <c r="AM70" s="14">
        <f>IF($A70,$M70*(IF(AC70=regle!$B$11,regle!$B$23,IF(AC70=regle!$C$11,regle!$C$23,IF(AC70=regle!$D$11,regle!$D$23,IF(AC70=regle!$E$11,regle!$E$23,IF(AC70=regle!$F$11,regle!$F$23,IF(AC70=regle!$G$11,regle!$G$23,IF(AC70=regle!$H$11,regle!$H$23,IF(AC70=regle!$I$11,regle!$I$23,IF(AC70=regle!$J$11,regle!$J$23,0)))))))))))</f>
        <v>0</v>
      </c>
      <c r="AN70" s="14">
        <f>IF($A70,$M70*(IF(AD70=regle!$B$11,regle!$B$23,IF(AD70=regle!$C$11,regle!$C$23,IF(AD70=regle!$D$11,regle!$D$23,IF(AD70=regle!$E$11,regle!$E$23,IF(AD70=regle!$F$11,regle!$F$23,IF(AD70=regle!$G$11,regle!$G$23,IF(AD70=regle!$H$11,regle!$H$23,IF(AD70=regle!$I$11,regle!$I$23,IF(AD70=regle!$J$11,regle!$J$23,0)))))))))))</f>
        <v>2271.7439999999997</v>
      </c>
      <c r="AO70">
        <f>IF(AO$1=$AO$1,IF(regle!B$2-$Q70&gt;=regle!$J$12,-2,IF($S70,IF(regle!$B$2-$Q70&gt;=2,0,-1),regle!B$2-$Q70)),IF(AN70+1&gt;=regle!$J$12,-2,AN70+1))</f>
        <v>19</v>
      </c>
      <c r="AP70">
        <f>IF(AP$1=$AO$1,IF(regle!C$2-$Q70&gt;=regle!$J$12,-2,IF($S70,IF(regle!$B$2-$Q70&gt;=2,0,-1),regle!C$2-$Q70)),IF(AO70+1&gt;=regle!$J$12,-2,AO70+1))</f>
        <v>20</v>
      </c>
      <c r="AQ70">
        <f>IF(AQ$1=$AO$1,IF(regle!D$2-$Q70&gt;=regle!$J$12,-2,IF($S70,IF(regle!$B$2-$Q70&gt;=2,0,-1),regle!D$2-$Q70)),IF(AP70+1&gt;=regle!$J$12,-2,AP70+1))</f>
        <v>21</v>
      </c>
      <c r="AR70">
        <f>IF(AR$1=$AO$1,IF(regle!E$2-$Q70&gt;=regle!$J$12,-2,IF($S70,IF(regle!$B$2-$Q70&gt;=2,0,-1),regle!E$2-$Q70)),IF(AQ70+1&gt;=regle!$J$12,-2,AQ70+1))</f>
        <v>22</v>
      </c>
      <c r="AS70">
        <f>IF(AS$1=$AO$1,IF(regle!F$2-$Q70&gt;=regle!$J$12,-2,IF($S70,IF(regle!$B$2-$Q70&gt;=2,0,-1),regle!F$2-$Q70)),IF(AR70+1&gt;=regle!$J$12,-2,AR70+1))</f>
        <v>23</v>
      </c>
      <c r="AT70">
        <f>IF(AT$1=$AO$1,IF(regle!G$2-$Q70&gt;=regle!$J$12,-2,IF($S70,IF(regle!$B$2-$Q70&gt;=2,0,-1),regle!G$2-$Q70)),IF(AS70+1&gt;=regle!$J$12,-2,AS70+1))</f>
        <v>24</v>
      </c>
      <c r="AU70">
        <f>IF(AU$1=$AO$1,IF(regle!H$2-$Q70&gt;=regle!$J$12,-2,IF($S70,IF(regle!$B$2-$Q70&gt;=2,0,-1),regle!H$2-$Q70)),IF(AT70+1&gt;=regle!$J$12,-2,AT70+1))</f>
        <v>25</v>
      </c>
      <c r="AV70">
        <f>IF(AV$1=$AO$1,IF(regle!I$2-$Q70&gt;=regle!$J$12,-2,IF($S70,IF(regle!$B$2-$Q70&gt;=2,0,-1),regle!I$2-$Q70)),IF(AU70+1&gt;=regle!$J$12,-2,AU70+1))</f>
        <v>26</v>
      </c>
      <c r="AW70">
        <f>IF(AW$1=$AO$1,IF(regle!J$2-$Q70&gt;=regle!$J$12,-2,IF($S70,IF(regle!$B$2-$Q70&gt;=2,0,-1),regle!J$2-$Q70)),IF(AV70+1&gt;=regle!$J$12,-2,AV70+1))</f>
        <v>27</v>
      </c>
      <c r="AX70">
        <f>IF(AX$1=$AO$1,IF(regle!K$2-$Q70&gt;=regle!$J$12,-2,IF($S70,IF(regle!$B$2-$Q70&gt;=2,0,-1),regle!K$2-$Q70)),IF(AW70+1&gt;=regle!$J$12,-2,AW70+1))</f>
        <v>28</v>
      </c>
    </row>
    <row r="71" spans="1:50" x14ac:dyDescent="0.25">
      <c r="A71" t="b">
        <f>AND(modif0[[#This Row],[cdstr]]&lt;&gt;0,OR(regle!$H$27=FALSE,modif0[[#This Row],[essnc]]="PM"))</f>
        <v>1</v>
      </c>
      <c r="B71">
        <f>ROW(objet!A92)</f>
        <v>92</v>
      </c>
      <c r="C71" s="10" t="str">
        <f>objet!D92</f>
        <v>5360000A0525</v>
      </c>
      <c r="D71" t="str">
        <f>LEFT(modif0[[#This Row],[cdstr]],3)</f>
        <v>536</v>
      </c>
      <c r="E71" s="10" t="str">
        <f>objet!G92</f>
        <v>LE TUZAN</v>
      </c>
      <c r="F71">
        <f>LEN(modif0[[#This Row],[l_dt]])</f>
        <v>21</v>
      </c>
      <c r="G71" s="10" t="str">
        <f>objet!H92</f>
        <v>METAIRIES DE TABARTON</v>
      </c>
      <c r="H71" s="10" t="str">
        <f>objet!C92</f>
        <v>A525</v>
      </c>
      <c r="I71" t="str">
        <f>IF(ISNUMBER(VALUE(RIGHT(LEFT(modif0[[#This Row],[idntfn]],2),1))),_xlfn.CONCAT(0,LEFT(modif0[[#This Row],[idntfn]],1)),LEFT(modif0[[#This Row],[idntfn]],2))</f>
        <v>0A</v>
      </c>
      <c r="J71">
        <f>VALUE(LEFT(RIGHT(modif0[[#This Row],[idntfn]],LEN(modif0[[#This Row],[idntfn]])-IF(LEFT(modif0[[#This Row],[sctn]],1)="0",1,2)),LEN(modif0[[#This Row],[idntfn]])-IF(LEFT(modif0[[#This Row],[sctn]],1)="0",1,2)-LEN(modif0[[#This Row],[lttr]])))</f>
        <v>525</v>
      </c>
      <c r="K71" t="str">
        <f>IF(ISNUMBER(VALUE(RIGHT(modif0[[#This Row],[idntfn]],1))),"",IF(ISNUMBER(VALUE(LEFT(RIGHT(modif0[[#This Row],[idntfn]],2),1))),RIGHT(modif0[[#This Row],[idntfn]],1),RIGHT(modif0[[#This Row],[idntfn]],2)))</f>
        <v/>
      </c>
      <c r="L71" s="10">
        <f>objet!I92</f>
        <v>77</v>
      </c>
      <c r="M71" s="11">
        <f>modif0[[#This Row],[srfc]]/10000</f>
        <v>7.7000000000000002E-3</v>
      </c>
      <c r="N71" s="10" t="str">
        <f>objet!Z92</f>
        <v>PM</v>
      </c>
      <c r="O71" s="10" t="str">
        <f>objet!AA92</f>
        <v>PLA2015</v>
      </c>
      <c r="P71" t="str">
        <f>IF(ISNUMBER(modif0[[#This Row],[trvx]]),"",LEFT(modif0[[#This Row],[trvx]],LEN(modif0[[#This Row],[trvx]])-4))</f>
        <v>PLA</v>
      </c>
      <c r="Q71">
        <f>VALUE(RIGHT(modif0[[#This Row],[trvx]],4))</f>
        <v>2015</v>
      </c>
      <c r="R71" t="str">
        <f>_xlfn.CONCAT(modif0[[#This Row],[tp]],"-",modif0[[#This Row],[essnc]],"_",modif0[[#This Row],[anns]])</f>
        <v>PLA-PM_2015</v>
      </c>
      <c r="S71" t="b">
        <f>modif0[[#This Row],[tp]]="CR"</f>
        <v>0</v>
      </c>
      <c r="T71">
        <v>40</v>
      </c>
      <c r="U71" t="str">
        <f>IF(NOT($A71),"",
IF(AO71=-2,regle!$J$11,
IF(AO71=regle!$B$12,regle!$B$11,
IF(AO71=regle!$C$12,regle!$C$11,
IF(AO71=regle!$D$12,regle!$D$11,
IF(AO71=regle!$E$12,regle!$E$11,
IF(AO71=regle!$F$12,regle!$F$11,
IF(AO71=regle!$G$12,regle!$G$11,
IF(AO71=regle!$H$12,regle!$H$11,
IF(AO71=regle!$I$12,regle!$I$11,""))))))))))</f>
        <v/>
      </c>
      <c r="V71" t="str">
        <f>IF(NOT($A71),"",
IF(AP71=-2,regle!$J$11,
IF(AP71=regle!$B$12,regle!$B$11,
IF(AP71=regle!$C$12,regle!$C$11,
IF(AP71=regle!$D$12,regle!$D$11,
IF(AP71=regle!$E$12,regle!$E$11,
IF(AP71=regle!$F$12,regle!$F$11,
IF(AP71=regle!$G$12,regle!$G$11,
IF(AP71=regle!$H$12,regle!$H$11,
IF(AP71=regle!$I$12,regle!$I$11,""))))))))))</f>
        <v/>
      </c>
      <c r="W71" t="str">
        <f>IF(NOT($A71),"",
IF(AQ71=-2,regle!$J$11,
IF(AQ71=regle!$B$12,regle!$B$11,
IF(AQ71=regle!$C$12,regle!$C$11,
IF(AQ71=regle!$D$12,regle!$D$11,
IF(AQ71=regle!$E$12,regle!$E$11,
IF(AQ71=regle!$F$12,regle!$F$11,
IF(AQ71=regle!$G$12,regle!$G$11,
IF(AQ71=regle!$H$12,regle!$H$11,
IF(AQ71=regle!$I$12,regle!$I$11,""))))))))))</f>
        <v/>
      </c>
      <c r="X71" t="str">
        <f>IF(NOT($A71),"",
IF(AR71=-2,regle!$J$11,
IF(AR71=regle!$B$12,regle!$B$11,
IF(AR71=regle!$C$12,regle!$C$11,
IF(AR71=regle!$D$12,regle!$D$11,
IF(AR71=regle!$E$12,regle!$E$11,
IF(AR71=regle!$F$12,regle!$F$11,
IF(AR71=regle!$G$12,regle!$G$11,
IF(AR71=regle!$H$12,regle!$H$11,
IF(AR71=regle!$I$12,regle!$I$11,""))))))))))</f>
        <v/>
      </c>
      <c r="Y71" t="str">
        <f>IF(NOT($A71),"",
IF(AS71=-2,regle!$J$11,
IF(AS71=regle!$B$12,regle!$B$11,
IF(AS71=regle!$C$12,regle!$C$11,
IF(AS71=regle!$D$12,regle!$D$11,
IF(AS71=regle!$E$12,regle!$E$11,
IF(AS71=regle!$F$12,regle!$F$11,
IF(AS71=regle!$G$12,regle!$G$11,
IF(AS71=regle!$H$12,regle!$H$11,
IF(AS71=regle!$I$12,regle!$I$11,""))))))))))</f>
        <v>EC1</v>
      </c>
      <c r="Z71" t="str">
        <f>IF(NOT($A71),"",
IF(AT71=-2,regle!$J$11,
IF(AT71=regle!$B$12,regle!$B$11,
IF(AT71=regle!$C$12,regle!$C$11,
IF(AT71=regle!$D$12,regle!$D$11,
IF(AT71=regle!$E$12,regle!$E$11,
IF(AT71=regle!$F$12,regle!$F$11,
IF(AT71=regle!$G$12,regle!$G$11,
IF(AT71=regle!$H$12,regle!$H$11,
IF(AT71=regle!$I$12,regle!$I$11,""))))))))))</f>
        <v/>
      </c>
      <c r="AA71" t="str">
        <f>IF(NOT($A71),"",
IF(AU71=-2,regle!$J$11,
IF(AU71=regle!$B$12,regle!$B$11,
IF(AU71=regle!$C$12,regle!$C$11,
IF(AU71=regle!$D$12,regle!$D$11,
IF(AU71=regle!$E$12,regle!$E$11,
IF(AU71=regle!$F$12,regle!$F$11,
IF(AU71=regle!$G$12,regle!$G$11,
IF(AU71=regle!$H$12,regle!$H$11,
IF(AU71=regle!$I$12,regle!$I$11,""))))))))))</f>
        <v/>
      </c>
      <c r="AB71" t="str">
        <f>IF(NOT($A71),"",
IF(AV71=-2,regle!$J$11,
IF(AV71=regle!$B$12,regle!$B$11,
IF(AV71=regle!$C$12,regle!$C$11,
IF(AV71=regle!$D$12,regle!$D$11,
IF(AV71=regle!$E$12,regle!$E$11,
IF(AV71=regle!$F$12,regle!$F$11,
IF(AV71=regle!$G$12,regle!$G$11,
IF(AV71=regle!$H$12,regle!$H$11,
IF(AV71=regle!$I$12,regle!$I$11,""))))))))))</f>
        <v/>
      </c>
      <c r="AC71" t="str">
        <f>IF(NOT($A71),"",
IF(AW71=-2,regle!$J$11,
IF(AW71=regle!$B$12,regle!$B$11,
IF(AW71=regle!$C$12,regle!$C$11,
IF(AW71=regle!$D$12,regle!$D$11,
IF(AW71=regle!$E$12,regle!$E$11,
IF(AW71=regle!$F$12,regle!$F$11,
IF(AW71=regle!$G$12,regle!$G$11,
IF(AW71=regle!$H$12,regle!$H$11,
IF(AW71=regle!$I$12,regle!$I$11,""))))))))))</f>
        <v/>
      </c>
      <c r="AD71" t="str">
        <f>IF(NOT($A71),"",
IF(AX71=-2,regle!$J$11,
IF(AX71=regle!$B$12,regle!$B$11,
IF(AX71=regle!$C$12,regle!$C$11,
IF(AX71=regle!$D$12,regle!$D$11,
IF(AX71=regle!$E$12,regle!$E$11,
IF(AX71=regle!$F$12,regle!$F$11,
IF(AX71=regle!$G$12,regle!$G$11,
IF(AX71=regle!$H$12,regle!$H$11,
IF(AX71=regle!$I$12,regle!$I$11,""))))))))))</f>
        <v>EC2</v>
      </c>
      <c r="AE71" s="14">
        <f>IF($A71,$M71*(IF(U71=regle!$B$11,regle!$B$23,IF(U71=regle!$C$11,regle!$C$23,IF(U71=regle!$D$11,regle!$D$23,IF(U71=regle!$E$11,regle!$E$23,IF(U71=regle!$F$11,regle!$F$23,IF(U71=regle!$G$11,regle!$G$23,IF(U71=regle!$H$11,regle!$H$23,IF(U71=regle!$I$11,regle!$I$23,IF(U71=regle!$J$11,regle!$J$23,0)))))))))))</f>
        <v>0</v>
      </c>
      <c r="AF71" s="14">
        <f>IF($A71,$M71*(IF(V71=regle!$B$11,regle!$B$23,IF(V71=regle!$C$11,regle!$C$23,IF(V71=regle!$D$11,regle!$D$23,IF(V71=regle!$E$11,regle!$E$23,IF(V71=regle!$F$11,regle!$F$23,IF(V71=regle!$G$11,regle!$G$23,IF(V71=regle!$H$11,regle!$H$23,IF(V71=regle!$I$11,regle!$I$23,IF(V71=regle!$J$11,regle!$J$23,0)))))))))))</f>
        <v>0</v>
      </c>
      <c r="AG71" s="14">
        <f>IF($A71,$M71*(IF(W71=regle!$B$11,regle!$B$23,IF(W71=regle!$C$11,regle!$C$23,IF(W71=regle!$D$11,regle!$D$23,IF(W71=regle!$E$11,regle!$E$23,IF(W71=regle!$F$11,regle!$F$23,IF(W71=regle!$G$11,regle!$G$23,IF(W71=regle!$H$11,regle!$H$23,IF(W71=regle!$I$11,regle!$I$23,IF(W71=regle!$J$11,regle!$J$23,0)))))))))))</f>
        <v>0</v>
      </c>
      <c r="AH71" s="14">
        <f>IF($A71,$M71*(IF(X71=regle!$B$11,regle!$B$23,IF(X71=regle!$C$11,regle!$C$23,IF(X71=regle!$D$11,regle!$D$23,IF(X71=regle!$E$11,regle!$E$23,IF(X71=regle!$F$11,regle!$F$23,IF(X71=regle!$G$11,regle!$G$23,IF(X71=regle!$H$11,regle!$H$23,IF(X71=regle!$I$11,regle!$I$23,IF(X71=regle!$J$11,regle!$J$23,0)))))))))))</f>
        <v>0</v>
      </c>
      <c r="AI71" s="14">
        <f>IF($A71,$M71*(IF(Y71=regle!$B$11,regle!$B$23,IF(Y71=regle!$C$11,regle!$C$23,IF(Y71=regle!$D$11,regle!$D$23,IF(Y71=regle!$E$11,regle!$E$23,IF(Y71=regle!$F$11,regle!$F$23,IF(Y71=regle!$G$11,regle!$G$23,IF(Y71=regle!$H$11,regle!$H$23,IF(Y71=regle!$I$11,regle!$I$23,IF(Y71=regle!$J$11,regle!$J$23,0)))))))))))</f>
        <v>4.4352</v>
      </c>
      <c r="AJ71" s="14">
        <f>IF($A71,$M71*(IF(Z71=regle!$B$11,regle!$B$23,IF(Z71=regle!$C$11,regle!$C$23,IF(Z71=regle!$D$11,regle!$D$23,IF(Z71=regle!$E$11,regle!$E$23,IF(Z71=regle!$F$11,regle!$F$23,IF(Z71=regle!$G$11,regle!$G$23,IF(Z71=regle!$H$11,regle!$H$23,IF(Z71=regle!$I$11,regle!$I$23,IF(Z71=regle!$J$11,regle!$J$23,0)))))))))))</f>
        <v>0</v>
      </c>
      <c r="AK71" s="14">
        <f>IF($A71,$M71*(IF(AA71=regle!$B$11,regle!$B$23,IF(AA71=regle!$C$11,regle!$C$23,IF(AA71=regle!$D$11,regle!$D$23,IF(AA71=regle!$E$11,regle!$E$23,IF(AA71=regle!$F$11,regle!$F$23,IF(AA71=regle!$G$11,regle!$G$23,IF(AA71=regle!$H$11,regle!$H$23,IF(AA71=regle!$I$11,regle!$I$23,IF(AA71=regle!$J$11,regle!$J$23,0)))))))))))</f>
        <v>0</v>
      </c>
      <c r="AL71" s="14">
        <f>IF($A71,$M71*(IF(AB71=regle!$B$11,regle!$B$23,IF(AB71=regle!$C$11,regle!$C$23,IF(AB71=regle!$D$11,regle!$D$23,IF(AB71=regle!$E$11,regle!$E$23,IF(AB71=regle!$F$11,regle!$F$23,IF(AB71=regle!$G$11,regle!$G$23,IF(AB71=regle!$H$11,regle!$H$23,IF(AB71=regle!$I$11,regle!$I$23,IF(AB71=regle!$J$11,regle!$J$23,0)))))))))))</f>
        <v>0</v>
      </c>
      <c r="AM71" s="14">
        <f>IF($A71,$M71*(IF(AC71=regle!$B$11,regle!$B$23,IF(AC71=regle!$C$11,regle!$C$23,IF(AC71=regle!$D$11,regle!$D$23,IF(AC71=regle!$E$11,regle!$E$23,IF(AC71=regle!$F$11,regle!$F$23,IF(AC71=regle!$G$11,regle!$G$23,IF(AC71=regle!$H$11,regle!$H$23,IF(AC71=regle!$I$11,regle!$I$23,IF(AC71=regle!$J$11,regle!$J$23,0)))))))))))</f>
        <v>0</v>
      </c>
      <c r="AN71" s="14">
        <f>IF($A71,$M71*(IF(AD71=regle!$B$11,regle!$B$23,IF(AD71=regle!$C$11,regle!$C$23,IF(AD71=regle!$D$11,regle!$D$23,IF(AD71=regle!$E$11,regle!$E$23,IF(AD71=regle!$F$11,regle!$F$23,IF(AD71=regle!$G$11,regle!$G$23,IF(AD71=regle!$H$11,regle!$H$23,IF(AD71=regle!$I$11,regle!$I$23,IF(AD71=regle!$J$11,regle!$J$23,0)))))))))))</f>
        <v>6.468</v>
      </c>
      <c r="AO71">
        <f>IF(AO$1=$AO$1,IF(regle!B$2-$Q71&gt;=regle!$J$12,-2,IF($S71,IF(regle!$B$2-$Q71&gt;=2,0,-1),regle!B$2-$Q71)),IF(AN71+1&gt;=regle!$J$12,-2,AN71+1))</f>
        <v>9</v>
      </c>
      <c r="AP71">
        <f>IF(AP$1=$AO$1,IF(regle!C$2-$Q71&gt;=regle!$J$12,-2,IF($S71,IF(regle!$B$2-$Q71&gt;=2,0,-1),regle!C$2-$Q71)),IF(AO71+1&gt;=regle!$J$12,-2,AO71+1))</f>
        <v>10</v>
      </c>
      <c r="AQ71">
        <f>IF(AQ$1=$AO$1,IF(regle!D$2-$Q71&gt;=regle!$J$12,-2,IF($S71,IF(regle!$B$2-$Q71&gt;=2,0,-1),regle!D$2-$Q71)),IF(AP71+1&gt;=regle!$J$12,-2,AP71+1))</f>
        <v>11</v>
      </c>
      <c r="AR71">
        <f>IF(AR$1=$AO$1,IF(regle!E$2-$Q71&gt;=regle!$J$12,-2,IF($S71,IF(regle!$B$2-$Q71&gt;=2,0,-1),regle!E$2-$Q71)),IF(AQ71+1&gt;=regle!$J$12,-2,AQ71+1))</f>
        <v>12</v>
      </c>
      <c r="AS71">
        <f>IF(AS$1=$AO$1,IF(regle!F$2-$Q71&gt;=regle!$J$12,-2,IF($S71,IF(regle!$B$2-$Q71&gt;=2,0,-1),regle!F$2-$Q71)),IF(AR71+1&gt;=regle!$J$12,-2,AR71+1))</f>
        <v>13</v>
      </c>
      <c r="AT71">
        <f>IF(AT$1=$AO$1,IF(regle!G$2-$Q71&gt;=regle!$J$12,-2,IF($S71,IF(regle!$B$2-$Q71&gt;=2,0,-1),regle!G$2-$Q71)),IF(AS71+1&gt;=regle!$J$12,-2,AS71+1))</f>
        <v>14</v>
      </c>
      <c r="AU71">
        <f>IF(AU$1=$AO$1,IF(regle!H$2-$Q71&gt;=regle!$J$12,-2,IF($S71,IF(regle!$B$2-$Q71&gt;=2,0,-1),regle!H$2-$Q71)),IF(AT71+1&gt;=regle!$J$12,-2,AT71+1))</f>
        <v>15</v>
      </c>
      <c r="AV71">
        <f>IF(AV$1=$AO$1,IF(regle!I$2-$Q71&gt;=regle!$J$12,-2,IF($S71,IF(regle!$B$2-$Q71&gt;=2,0,-1),regle!I$2-$Q71)),IF(AU71+1&gt;=regle!$J$12,-2,AU71+1))</f>
        <v>16</v>
      </c>
      <c r="AW71">
        <f>IF(AW$1=$AO$1,IF(regle!J$2-$Q71&gt;=regle!$J$12,-2,IF($S71,IF(regle!$B$2-$Q71&gt;=2,0,-1),regle!J$2-$Q71)),IF(AV71+1&gt;=regle!$J$12,-2,AV71+1))</f>
        <v>17</v>
      </c>
      <c r="AX71">
        <f>IF(AX$1=$AO$1,IF(regle!K$2-$Q71&gt;=regle!$J$12,-2,IF($S71,IF(regle!$B$2-$Q71&gt;=2,0,-1),regle!K$2-$Q71)),IF(AW71+1&gt;=regle!$J$12,-2,AW71+1))</f>
        <v>18</v>
      </c>
    </row>
    <row r="72" spans="1:50" x14ac:dyDescent="0.25">
      <c r="A72" t="b">
        <f>AND(modif0[[#This Row],[cdstr]]&lt;&gt;0,OR(regle!$H$27=FALSE,modif0[[#This Row],[essnc]]="PM"))</f>
        <v>1</v>
      </c>
      <c r="B72">
        <f>ROW(objet!A93)</f>
        <v>93</v>
      </c>
      <c r="C72" s="10" t="str">
        <f>objet!D93</f>
        <v>5360000A0528</v>
      </c>
      <c r="D72" t="str">
        <f>LEFT(modif0[[#This Row],[cdstr]],3)</f>
        <v>536</v>
      </c>
      <c r="E72" s="10" t="str">
        <f>objet!G93</f>
        <v>LE TUZAN</v>
      </c>
      <c r="F72">
        <f>LEN(modif0[[#This Row],[l_dt]])</f>
        <v>21</v>
      </c>
      <c r="G72" s="10" t="str">
        <f>objet!H93</f>
        <v>METAIRIES DE TABARTON</v>
      </c>
      <c r="H72" s="10" t="str">
        <f>objet!C93</f>
        <v>A528j</v>
      </c>
      <c r="I72" t="str">
        <f>IF(ISNUMBER(VALUE(RIGHT(LEFT(modif0[[#This Row],[idntfn]],2),1))),_xlfn.CONCAT(0,LEFT(modif0[[#This Row],[idntfn]],1)),LEFT(modif0[[#This Row],[idntfn]],2))</f>
        <v>0A</v>
      </c>
      <c r="J72">
        <f>VALUE(LEFT(RIGHT(modif0[[#This Row],[idntfn]],LEN(modif0[[#This Row],[idntfn]])-IF(LEFT(modif0[[#This Row],[sctn]],1)="0",1,2)),LEN(modif0[[#This Row],[idntfn]])-IF(LEFT(modif0[[#This Row],[sctn]],1)="0",1,2)-LEN(modif0[[#This Row],[lttr]])))</f>
        <v>528</v>
      </c>
      <c r="K72" t="str">
        <f>IF(ISNUMBER(VALUE(RIGHT(modif0[[#This Row],[idntfn]],1))),"",IF(ISNUMBER(VALUE(LEFT(RIGHT(modif0[[#This Row],[idntfn]],2),1))),RIGHT(modif0[[#This Row],[idntfn]],1),RIGHT(modif0[[#This Row],[idntfn]],2)))</f>
        <v>j</v>
      </c>
      <c r="L72" s="10">
        <f>objet!I93</f>
        <v>938</v>
      </c>
      <c r="M72" s="11">
        <f>modif0[[#This Row],[srfc]]/10000</f>
        <v>9.3799999999999994E-2</v>
      </c>
      <c r="N72" s="10" t="str">
        <f>objet!Z93</f>
        <v>PM</v>
      </c>
      <c r="O72" s="10" t="str">
        <f>objet!AA93</f>
        <v>PLA2005</v>
      </c>
      <c r="P72" t="str">
        <f>IF(ISNUMBER(modif0[[#This Row],[trvx]]),"",LEFT(modif0[[#This Row],[trvx]],LEN(modif0[[#This Row],[trvx]])-4))</f>
        <v>PLA</v>
      </c>
      <c r="Q72">
        <f>VALUE(RIGHT(modif0[[#This Row],[trvx]],4))</f>
        <v>2005</v>
      </c>
      <c r="R72" t="str">
        <f>_xlfn.CONCAT(modif0[[#This Row],[tp]],"-",modif0[[#This Row],[essnc]],"_",modif0[[#This Row],[anns]])</f>
        <v>PLA-PM_2005</v>
      </c>
      <c r="S72" t="b">
        <f>modif0[[#This Row],[tp]]="CR"</f>
        <v>0</v>
      </c>
      <c r="T72">
        <v>40</v>
      </c>
      <c r="U72" t="str">
        <f>IF(NOT($A72),"",
IF(AO72=-2,regle!$J$11,
IF(AO72=regle!$B$12,regle!$B$11,
IF(AO72=regle!$C$12,regle!$C$11,
IF(AO72=regle!$D$12,regle!$D$11,
IF(AO72=regle!$E$12,regle!$E$11,
IF(AO72=regle!$F$12,regle!$F$11,
IF(AO72=regle!$G$12,regle!$G$11,
IF(AO72=regle!$H$12,regle!$H$11,
IF(AO72=regle!$I$12,regle!$I$11,""))))))))))</f>
        <v/>
      </c>
      <c r="V72" t="str">
        <f>IF(NOT($A72),"",
IF(AP72=-2,regle!$J$11,
IF(AP72=regle!$B$12,regle!$B$11,
IF(AP72=regle!$C$12,regle!$C$11,
IF(AP72=regle!$D$12,regle!$D$11,
IF(AP72=regle!$E$12,regle!$E$11,
IF(AP72=regle!$F$12,regle!$F$11,
IF(AP72=regle!$G$12,regle!$G$11,
IF(AP72=regle!$H$12,regle!$H$11,
IF(AP72=regle!$I$12,regle!$I$11,""))))))))))</f>
        <v/>
      </c>
      <c r="W72" t="str">
        <f>IF(NOT($A72),"",
IF(AQ72=-2,regle!$J$11,
IF(AQ72=regle!$B$12,regle!$B$11,
IF(AQ72=regle!$C$12,regle!$C$11,
IF(AQ72=regle!$D$12,regle!$D$11,
IF(AQ72=regle!$E$12,regle!$E$11,
IF(AQ72=regle!$F$12,regle!$F$11,
IF(AQ72=regle!$G$12,regle!$G$11,
IF(AQ72=regle!$H$12,regle!$H$11,
IF(AQ72=regle!$I$12,regle!$I$11,""))))))))))</f>
        <v/>
      </c>
      <c r="X72" t="str">
        <f>IF(NOT($A72),"",
IF(AR72=-2,regle!$J$11,
IF(AR72=regle!$B$12,regle!$B$11,
IF(AR72=regle!$C$12,regle!$C$11,
IF(AR72=regle!$D$12,regle!$D$11,
IF(AR72=regle!$E$12,regle!$E$11,
IF(AR72=regle!$F$12,regle!$F$11,
IF(AR72=regle!$G$12,regle!$G$11,
IF(AR72=regle!$H$12,regle!$H$11,
IF(AR72=regle!$I$12,regle!$I$11,""))))))))))</f>
        <v/>
      </c>
      <c r="Y72" t="str">
        <f>IF(NOT($A72),"",
IF(AS72=-2,regle!$J$11,
IF(AS72=regle!$B$12,regle!$B$11,
IF(AS72=regle!$C$12,regle!$C$11,
IF(AS72=regle!$D$12,regle!$D$11,
IF(AS72=regle!$E$12,regle!$E$11,
IF(AS72=regle!$F$12,regle!$F$11,
IF(AS72=regle!$G$12,regle!$G$11,
IF(AS72=regle!$H$12,regle!$H$11,
IF(AS72=regle!$I$12,regle!$I$11,""))))))))))</f>
        <v>EC3</v>
      </c>
      <c r="Z72" t="str">
        <f>IF(NOT($A72),"",
IF(AT72=-2,regle!$J$11,
IF(AT72=regle!$B$12,regle!$B$11,
IF(AT72=regle!$C$12,regle!$C$11,
IF(AT72=regle!$D$12,regle!$D$11,
IF(AT72=regle!$E$12,regle!$E$11,
IF(AT72=regle!$F$12,regle!$F$11,
IF(AT72=regle!$G$12,regle!$G$11,
IF(AT72=regle!$H$12,regle!$H$11,
IF(AT72=regle!$I$12,regle!$I$11,""))))))))))</f>
        <v/>
      </c>
      <c r="AA72" t="str">
        <f>IF(NOT($A72),"",
IF(AU72=-2,regle!$J$11,
IF(AU72=regle!$B$12,regle!$B$11,
IF(AU72=regle!$C$12,regle!$C$11,
IF(AU72=regle!$D$12,regle!$D$11,
IF(AU72=regle!$E$12,regle!$E$11,
IF(AU72=regle!$F$12,regle!$F$11,
IF(AU72=regle!$G$12,regle!$G$11,
IF(AU72=regle!$H$12,regle!$H$11,
IF(AU72=regle!$I$12,regle!$I$11,""))))))))))</f>
        <v/>
      </c>
      <c r="AB72" t="str">
        <f>IF(NOT($A72),"",
IF(AV72=-2,regle!$J$11,
IF(AV72=regle!$B$12,regle!$B$11,
IF(AV72=regle!$C$12,regle!$C$11,
IF(AV72=regle!$D$12,regle!$D$11,
IF(AV72=regle!$E$12,regle!$E$11,
IF(AV72=regle!$F$12,regle!$F$11,
IF(AV72=regle!$G$12,regle!$G$11,
IF(AV72=regle!$H$12,regle!$H$11,
IF(AV72=regle!$I$12,regle!$I$11,""))))))))))</f>
        <v/>
      </c>
      <c r="AC72" t="str">
        <f>IF(NOT($A72),"",
IF(AW72=-2,regle!$J$11,
IF(AW72=regle!$B$12,regle!$B$11,
IF(AW72=regle!$C$12,regle!$C$11,
IF(AW72=regle!$D$12,regle!$D$11,
IF(AW72=regle!$E$12,regle!$E$11,
IF(AW72=regle!$F$12,regle!$F$11,
IF(AW72=regle!$G$12,regle!$G$11,
IF(AW72=regle!$H$12,regle!$H$11,
IF(AW72=regle!$I$12,regle!$I$11,""))))))))))</f>
        <v/>
      </c>
      <c r="AD72" t="str">
        <f>IF(NOT($A72),"",
IF(AX72=-2,regle!$J$11,
IF(AX72=regle!$B$12,regle!$B$11,
IF(AX72=regle!$C$12,regle!$C$11,
IF(AX72=regle!$D$12,regle!$D$11,
IF(AX72=regle!$E$12,regle!$E$11,
IF(AX72=regle!$F$12,regle!$F$11,
IF(AX72=regle!$G$12,regle!$G$11,
IF(AX72=regle!$H$12,regle!$H$11,
IF(AX72=regle!$I$12,regle!$I$11,""))))))))))</f>
        <v>EC4</v>
      </c>
      <c r="AE72" s="14">
        <f>IF($A72,$M72*(IF(U72=regle!$B$11,regle!$B$23,IF(U72=regle!$C$11,regle!$C$23,IF(U72=regle!$D$11,regle!$D$23,IF(U72=regle!$E$11,regle!$E$23,IF(U72=regle!$F$11,regle!$F$23,IF(U72=regle!$G$11,regle!$G$23,IF(U72=regle!$H$11,regle!$H$23,IF(U72=regle!$I$11,regle!$I$23,IF(U72=regle!$J$11,regle!$J$23,0)))))))))))</f>
        <v>0</v>
      </c>
      <c r="AF72" s="14">
        <f>IF($A72,$M72*(IF(V72=regle!$B$11,regle!$B$23,IF(V72=regle!$C$11,regle!$C$23,IF(V72=regle!$D$11,regle!$D$23,IF(V72=regle!$E$11,regle!$E$23,IF(V72=regle!$F$11,regle!$F$23,IF(V72=regle!$G$11,regle!$G$23,IF(V72=regle!$H$11,regle!$H$23,IF(V72=regle!$I$11,regle!$I$23,IF(V72=regle!$J$11,regle!$J$23,0)))))))))))</f>
        <v>0</v>
      </c>
      <c r="AG72" s="14">
        <f>IF($A72,$M72*(IF(W72=regle!$B$11,regle!$B$23,IF(W72=regle!$C$11,regle!$C$23,IF(W72=regle!$D$11,regle!$D$23,IF(W72=regle!$E$11,regle!$E$23,IF(W72=regle!$F$11,regle!$F$23,IF(W72=regle!$G$11,regle!$G$23,IF(W72=regle!$H$11,regle!$H$23,IF(W72=regle!$I$11,regle!$I$23,IF(W72=regle!$J$11,regle!$J$23,0)))))))))))</f>
        <v>0</v>
      </c>
      <c r="AH72" s="14">
        <f>IF($A72,$M72*(IF(X72=regle!$B$11,regle!$B$23,IF(X72=regle!$C$11,regle!$C$23,IF(X72=regle!$D$11,regle!$D$23,IF(X72=regle!$E$11,regle!$E$23,IF(X72=regle!$F$11,regle!$F$23,IF(X72=regle!$G$11,regle!$G$23,IF(X72=regle!$H$11,regle!$H$23,IF(X72=regle!$I$11,regle!$I$23,IF(X72=regle!$J$11,regle!$J$23,0)))))))))))</f>
        <v>0</v>
      </c>
      <c r="AI72" s="14">
        <f>IF($A72,$M72*(IF(Y72=regle!$B$11,regle!$B$23,IF(Y72=regle!$C$11,regle!$C$23,IF(Y72=regle!$D$11,regle!$D$23,IF(Y72=regle!$E$11,regle!$E$23,IF(Y72=regle!$F$11,regle!$F$23,IF(Y72=regle!$G$11,regle!$G$23,IF(Y72=regle!$H$11,regle!$H$23,IF(Y72=regle!$I$11,regle!$I$23,IF(Y72=regle!$J$11,regle!$J$23,0)))))))))))</f>
        <v>132.07040000000001</v>
      </c>
      <c r="AJ72" s="14">
        <f>IF($A72,$M72*(IF(Z72=regle!$B$11,regle!$B$23,IF(Z72=regle!$C$11,regle!$C$23,IF(Z72=regle!$D$11,regle!$D$23,IF(Z72=regle!$E$11,regle!$E$23,IF(Z72=regle!$F$11,regle!$F$23,IF(Z72=regle!$G$11,regle!$G$23,IF(Z72=regle!$H$11,regle!$H$23,IF(Z72=regle!$I$11,regle!$I$23,IF(Z72=regle!$J$11,regle!$J$23,0)))))))))))</f>
        <v>0</v>
      </c>
      <c r="AK72" s="14">
        <f>IF($A72,$M72*(IF(AA72=regle!$B$11,regle!$B$23,IF(AA72=regle!$C$11,regle!$C$23,IF(AA72=regle!$D$11,regle!$D$23,IF(AA72=regle!$E$11,regle!$E$23,IF(AA72=regle!$F$11,regle!$F$23,IF(AA72=regle!$G$11,regle!$G$23,IF(AA72=regle!$H$11,regle!$H$23,IF(AA72=regle!$I$11,regle!$I$23,IF(AA72=regle!$J$11,regle!$J$23,0)))))))))))</f>
        <v>0</v>
      </c>
      <c r="AL72" s="14">
        <f>IF($A72,$M72*(IF(AB72=regle!$B$11,regle!$B$23,IF(AB72=regle!$C$11,regle!$C$23,IF(AB72=regle!$D$11,regle!$D$23,IF(AB72=regle!$E$11,regle!$E$23,IF(AB72=regle!$F$11,regle!$F$23,IF(AB72=regle!$G$11,regle!$G$23,IF(AB72=regle!$H$11,regle!$H$23,IF(AB72=regle!$I$11,regle!$I$23,IF(AB72=regle!$J$11,regle!$J$23,0)))))))))))</f>
        <v>0</v>
      </c>
      <c r="AM72" s="14">
        <f>IF($A72,$M72*(IF(AC72=regle!$B$11,regle!$B$23,IF(AC72=regle!$C$11,regle!$C$23,IF(AC72=regle!$D$11,regle!$D$23,IF(AC72=regle!$E$11,regle!$E$23,IF(AC72=regle!$F$11,regle!$F$23,IF(AC72=regle!$G$11,regle!$G$23,IF(AC72=regle!$H$11,regle!$H$23,IF(AC72=regle!$I$11,regle!$I$23,IF(AC72=regle!$J$11,regle!$J$23,0)))))))))))</f>
        <v>0</v>
      </c>
      <c r="AN72" s="14">
        <f>IF($A72,$M72*(IF(AD72=regle!$B$11,regle!$B$23,IF(AD72=regle!$C$11,regle!$C$23,IF(AD72=regle!$D$11,regle!$D$23,IF(AD72=regle!$E$11,regle!$E$23,IF(AD72=regle!$F$11,regle!$F$23,IF(AD72=regle!$G$11,regle!$G$23,IF(AD72=regle!$H$11,regle!$H$23,IF(AD72=regle!$I$11,regle!$I$23,IF(AD72=regle!$J$11,regle!$J$23,0)))))))))))</f>
        <v>120.06399999999999</v>
      </c>
      <c r="AO72">
        <f>IF(AO$1=$AO$1,IF(regle!B$2-$Q72&gt;=regle!$J$12,-2,IF($S72,IF(regle!$B$2-$Q72&gt;=2,0,-1),regle!B$2-$Q72)),IF(AN72+1&gt;=regle!$J$12,-2,AN72+1))</f>
        <v>19</v>
      </c>
      <c r="AP72">
        <f>IF(AP$1=$AO$1,IF(regle!C$2-$Q72&gt;=regle!$J$12,-2,IF($S72,IF(regle!$B$2-$Q72&gt;=2,0,-1),regle!C$2-$Q72)),IF(AO72+1&gt;=regle!$J$12,-2,AO72+1))</f>
        <v>20</v>
      </c>
      <c r="AQ72">
        <f>IF(AQ$1=$AO$1,IF(regle!D$2-$Q72&gt;=regle!$J$12,-2,IF($S72,IF(regle!$B$2-$Q72&gt;=2,0,-1),regle!D$2-$Q72)),IF(AP72+1&gt;=regle!$J$12,-2,AP72+1))</f>
        <v>21</v>
      </c>
      <c r="AR72">
        <f>IF(AR$1=$AO$1,IF(regle!E$2-$Q72&gt;=regle!$J$12,-2,IF($S72,IF(regle!$B$2-$Q72&gt;=2,0,-1),regle!E$2-$Q72)),IF(AQ72+1&gt;=regle!$J$12,-2,AQ72+1))</f>
        <v>22</v>
      </c>
      <c r="AS72">
        <f>IF(AS$1=$AO$1,IF(regle!F$2-$Q72&gt;=regle!$J$12,-2,IF($S72,IF(regle!$B$2-$Q72&gt;=2,0,-1),regle!F$2-$Q72)),IF(AR72+1&gt;=regle!$J$12,-2,AR72+1))</f>
        <v>23</v>
      </c>
      <c r="AT72">
        <f>IF(AT$1=$AO$1,IF(regle!G$2-$Q72&gt;=regle!$J$12,-2,IF($S72,IF(regle!$B$2-$Q72&gt;=2,0,-1),regle!G$2-$Q72)),IF(AS72+1&gt;=regle!$J$12,-2,AS72+1))</f>
        <v>24</v>
      </c>
      <c r="AU72">
        <f>IF(AU$1=$AO$1,IF(regle!H$2-$Q72&gt;=regle!$J$12,-2,IF($S72,IF(regle!$B$2-$Q72&gt;=2,0,-1),regle!H$2-$Q72)),IF(AT72+1&gt;=regle!$J$12,-2,AT72+1))</f>
        <v>25</v>
      </c>
      <c r="AV72">
        <f>IF(AV$1=$AO$1,IF(regle!I$2-$Q72&gt;=regle!$J$12,-2,IF($S72,IF(regle!$B$2-$Q72&gt;=2,0,-1),regle!I$2-$Q72)),IF(AU72+1&gt;=regle!$J$12,-2,AU72+1))</f>
        <v>26</v>
      </c>
      <c r="AW72">
        <f>IF(AW$1=$AO$1,IF(regle!J$2-$Q72&gt;=regle!$J$12,-2,IF($S72,IF(regle!$B$2-$Q72&gt;=2,0,-1),regle!J$2-$Q72)),IF(AV72+1&gt;=regle!$J$12,-2,AV72+1))</f>
        <v>27</v>
      </c>
      <c r="AX72">
        <f>IF(AX$1=$AO$1,IF(regle!K$2-$Q72&gt;=regle!$J$12,-2,IF($S72,IF(regle!$B$2-$Q72&gt;=2,0,-1),regle!K$2-$Q72)),IF(AW72+1&gt;=regle!$J$12,-2,AW72+1))</f>
        <v>28</v>
      </c>
    </row>
    <row r="73" spans="1:50" x14ac:dyDescent="0.25">
      <c r="A73" t="b">
        <f>AND(modif0[[#This Row],[cdstr]]&lt;&gt;0,OR(regle!$H$27=FALSE,modif0[[#This Row],[essnc]]="PM"))</f>
        <v>1</v>
      </c>
      <c r="B73">
        <f>ROW(objet!A94)</f>
        <v>94</v>
      </c>
      <c r="C73" s="10" t="str">
        <f>objet!D94</f>
        <v>5360000A0528</v>
      </c>
      <c r="D73" t="str">
        <f>LEFT(modif0[[#This Row],[cdstr]],3)</f>
        <v>536</v>
      </c>
      <c r="E73" s="10" t="str">
        <f>objet!G94</f>
        <v>LE TUZAN</v>
      </c>
      <c r="F73">
        <f>LEN(modif0[[#This Row],[l_dt]])</f>
        <v>21</v>
      </c>
      <c r="G73" s="10" t="str">
        <f>objet!H94</f>
        <v>METAIRIES DE TABARTON</v>
      </c>
      <c r="H73" s="10" t="str">
        <f>objet!C94</f>
        <v>A528m</v>
      </c>
      <c r="I73" t="str">
        <f>IF(ISNUMBER(VALUE(RIGHT(LEFT(modif0[[#This Row],[idntfn]],2),1))),_xlfn.CONCAT(0,LEFT(modif0[[#This Row],[idntfn]],1)),LEFT(modif0[[#This Row],[idntfn]],2))</f>
        <v>0A</v>
      </c>
      <c r="J73">
        <f>VALUE(LEFT(RIGHT(modif0[[#This Row],[idntfn]],LEN(modif0[[#This Row],[idntfn]])-IF(LEFT(modif0[[#This Row],[sctn]],1)="0",1,2)),LEN(modif0[[#This Row],[idntfn]])-IF(LEFT(modif0[[#This Row],[sctn]],1)="0",1,2)-LEN(modif0[[#This Row],[lttr]])))</f>
        <v>528</v>
      </c>
      <c r="K73" t="str">
        <f>IF(ISNUMBER(VALUE(RIGHT(modif0[[#This Row],[idntfn]],1))),"",IF(ISNUMBER(VALUE(LEFT(RIGHT(modif0[[#This Row],[idntfn]],2),1))),RIGHT(modif0[[#This Row],[idntfn]],1),RIGHT(modif0[[#This Row],[idntfn]],2)))</f>
        <v>m</v>
      </c>
      <c r="L73" s="10">
        <f>objet!I94</f>
        <v>4537</v>
      </c>
      <c r="M73" s="11">
        <f>modif0[[#This Row],[srfc]]/10000</f>
        <v>0.45369999999999999</v>
      </c>
      <c r="N73" s="10" t="str">
        <f>objet!Z94</f>
        <v>PM</v>
      </c>
      <c r="O73" s="10" t="str">
        <f>objet!AA94</f>
        <v>PLA2005</v>
      </c>
      <c r="P73" t="str">
        <f>IF(ISNUMBER(modif0[[#This Row],[trvx]]),"",LEFT(modif0[[#This Row],[trvx]],LEN(modif0[[#This Row],[trvx]])-4))</f>
        <v>PLA</v>
      </c>
      <c r="Q73">
        <f>VALUE(RIGHT(modif0[[#This Row],[trvx]],4))</f>
        <v>2005</v>
      </c>
      <c r="R73" t="str">
        <f>_xlfn.CONCAT(modif0[[#This Row],[tp]],"-",modif0[[#This Row],[essnc]],"_",modif0[[#This Row],[anns]])</f>
        <v>PLA-PM_2005</v>
      </c>
      <c r="S73" t="b">
        <f>modif0[[#This Row],[tp]]="CR"</f>
        <v>0</v>
      </c>
      <c r="T73">
        <v>40</v>
      </c>
      <c r="U73" t="str">
        <f>IF(NOT($A73),"",
IF(AO73=-2,regle!$J$11,
IF(AO73=regle!$B$12,regle!$B$11,
IF(AO73=regle!$C$12,regle!$C$11,
IF(AO73=regle!$D$12,regle!$D$11,
IF(AO73=regle!$E$12,regle!$E$11,
IF(AO73=regle!$F$12,regle!$F$11,
IF(AO73=regle!$G$12,regle!$G$11,
IF(AO73=regle!$H$12,regle!$H$11,
IF(AO73=regle!$I$12,regle!$I$11,""))))))))))</f>
        <v/>
      </c>
      <c r="V73" t="str">
        <f>IF(NOT($A73),"",
IF(AP73=-2,regle!$J$11,
IF(AP73=regle!$B$12,regle!$B$11,
IF(AP73=regle!$C$12,regle!$C$11,
IF(AP73=regle!$D$12,regle!$D$11,
IF(AP73=regle!$E$12,regle!$E$11,
IF(AP73=regle!$F$12,regle!$F$11,
IF(AP73=regle!$G$12,regle!$G$11,
IF(AP73=regle!$H$12,regle!$H$11,
IF(AP73=regle!$I$12,regle!$I$11,""))))))))))</f>
        <v/>
      </c>
      <c r="W73" t="str">
        <f>IF(NOT($A73),"",
IF(AQ73=-2,regle!$J$11,
IF(AQ73=regle!$B$12,regle!$B$11,
IF(AQ73=regle!$C$12,regle!$C$11,
IF(AQ73=regle!$D$12,regle!$D$11,
IF(AQ73=regle!$E$12,regle!$E$11,
IF(AQ73=regle!$F$12,regle!$F$11,
IF(AQ73=regle!$G$12,regle!$G$11,
IF(AQ73=regle!$H$12,regle!$H$11,
IF(AQ73=regle!$I$12,regle!$I$11,""))))))))))</f>
        <v/>
      </c>
      <c r="X73" t="str">
        <f>IF(NOT($A73),"",
IF(AR73=-2,regle!$J$11,
IF(AR73=regle!$B$12,regle!$B$11,
IF(AR73=regle!$C$12,regle!$C$11,
IF(AR73=regle!$D$12,regle!$D$11,
IF(AR73=regle!$E$12,regle!$E$11,
IF(AR73=regle!$F$12,regle!$F$11,
IF(AR73=regle!$G$12,regle!$G$11,
IF(AR73=regle!$H$12,regle!$H$11,
IF(AR73=regle!$I$12,regle!$I$11,""))))))))))</f>
        <v/>
      </c>
      <c r="Y73" t="str">
        <f>IF(NOT($A73),"",
IF(AS73=-2,regle!$J$11,
IF(AS73=regle!$B$12,regle!$B$11,
IF(AS73=regle!$C$12,regle!$C$11,
IF(AS73=regle!$D$12,regle!$D$11,
IF(AS73=regle!$E$12,regle!$E$11,
IF(AS73=regle!$F$12,regle!$F$11,
IF(AS73=regle!$G$12,regle!$G$11,
IF(AS73=regle!$H$12,regle!$H$11,
IF(AS73=regle!$I$12,regle!$I$11,""))))))))))</f>
        <v>EC3</v>
      </c>
      <c r="Z73" t="str">
        <f>IF(NOT($A73),"",
IF(AT73=-2,regle!$J$11,
IF(AT73=regle!$B$12,regle!$B$11,
IF(AT73=regle!$C$12,regle!$C$11,
IF(AT73=regle!$D$12,regle!$D$11,
IF(AT73=regle!$E$12,regle!$E$11,
IF(AT73=regle!$F$12,regle!$F$11,
IF(AT73=regle!$G$12,regle!$G$11,
IF(AT73=regle!$H$12,regle!$H$11,
IF(AT73=regle!$I$12,regle!$I$11,""))))))))))</f>
        <v/>
      </c>
      <c r="AA73" t="str">
        <f>IF(NOT($A73),"",
IF(AU73=-2,regle!$J$11,
IF(AU73=regle!$B$12,regle!$B$11,
IF(AU73=regle!$C$12,regle!$C$11,
IF(AU73=regle!$D$12,regle!$D$11,
IF(AU73=regle!$E$12,regle!$E$11,
IF(AU73=regle!$F$12,regle!$F$11,
IF(AU73=regle!$G$12,regle!$G$11,
IF(AU73=regle!$H$12,regle!$H$11,
IF(AU73=regle!$I$12,regle!$I$11,""))))))))))</f>
        <v/>
      </c>
      <c r="AB73" t="str">
        <f>IF(NOT($A73),"",
IF(AV73=-2,regle!$J$11,
IF(AV73=regle!$B$12,regle!$B$11,
IF(AV73=regle!$C$12,regle!$C$11,
IF(AV73=regle!$D$12,regle!$D$11,
IF(AV73=regle!$E$12,regle!$E$11,
IF(AV73=regle!$F$12,regle!$F$11,
IF(AV73=regle!$G$12,regle!$G$11,
IF(AV73=regle!$H$12,regle!$H$11,
IF(AV73=regle!$I$12,regle!$I$11,""))))))))))</f>
        <v/>
      </c>
      <c r="AC73" t="str">
        <f>IF(NOT($A73),"",
IF(AW73=-2,regle!$J$11,
IF(AW73=regle!$B$12,regle!$B$11,
IF(AW73=regle!$C$12,regle!$C$11,
IF(AW73=regle!$D$12,regle!$D$11,
IF(AW73=regle!$E$12,regle!$E$11,
IF(AW73=regle!$F$12,regle!$F$11,
IF(AW73=regle!$G$12,regle!$G$11,
IF(AW73=regle!$H$12,regle!$H$11,
IF(AW73=regle!$I$12,regle!$I$11,""))))))))))</f>
        <v/>
      </c>
      <c r="AD73" t="str">
        <f>IF(NOT($A73),"",
IF(AX73=-2,regle!$J$11,
IF(AX73=regle!$B$12,regle!$B$11,
IF(AX73=regle!$C$12,regle!$C$11,
IF(AX73=regle!$D$12,regle!$D$11,
IF(AX73=regle!$E$12,regle!$E$11,
IF(AX73=regle!$F$12,regle!$F$11,
IF(AX73=regle!$G$12,regle!$G$11,
IF(AX73=regle!$H$12,regle!$H$11,
IF(AX73=regle!$I$12,regle!$I$11,""))))))))))</f>
        <v>EC4</v>
      </c>
      <c r="AE73" s="14">
        <f>IF($A73,$M73*(IF(U73=regle!$B$11,regle!$B$23,IF(U73=regle!$C$11,regle!$C$23,IF(U73=regle!$D$11,regle!$D$23,IF(U73=regle!$E$11,regle!$E$23,IF(U73=regle!$F$11,regle!$F$23,IF(U73=regle!$G$11,regle!$G$23,IF(U73=regle!$H$11,regle!$H$23,IF(U73=regle!$I$11,regle!$I$23,IF(U73=regle!$J$11,regle!$J$23,0)))))))))))</f>
        <v>0</v>
      </c>
      <c r="AF73" s="14">
        <f>IF($A73,$M73*(IF(V73=regle!$B$11,regle!$B$23,IF(V73=regle!$C$11,regle!$C$23,IF(V73=regle!$D$11,regle!$D$23,IF(V73=regle!$E$11,regle!$E$23,IF(V73=regle!$F$11,regle!$F$23,IF(V73=regle!$G$11,regle!$G$23,IF(V73=regle!$H$11,regle!$H$23,IF(V73=regle!$I$11,regle!$I$23,IF(V73=regle!$J$11,regle!$J$23,0)))))))))))</f>
        <v>0</v>
      </c>
      <c r="AG73" s="14">
        <f>IF($A73,$M73*(IF(W73=regle!$B$11,regle!$B$23,IF(W73=regle!$C$11,regle!$C$23,IF(W73=regle!$D$11,regle!$D$23,IF(W73=regle!$E$11,regle!$E$23,IF(W73=regle!$F$11,regle!$F$23,IF(W73=regle!$G$11,regle!$G$23,IF(W73=regle!$H$11,regle!$H$23,IF(W73=regle!$I$11,regle!$I$23,IF(W73=regle!$J$11,regle!$J$23,0)))))))))))</f>
        <v>0</v>
      </c>
      <c r="AH73" s="14">
        <f>IF($A73,$M73*(IF(X73=regle!$B$11,regle!$B$23,IF(X73=regle!$C$11,regle!$C$23,IF(X73=regle!$D$11,regle!$D$23,IF(X73=regle!$E$11,regle!$E$23,IF(X73=regle!$F$11,regle!$F$23,IF(X73=regle!$G$11,regle!$G$23,IF(X73=regle!$H$11,regle!$H$23,IF(X73=regle!$I$11,regle!$I$23,IF(X73=regle!$J$11,regle!$J$23,0)))))))))))</f>
        <v>0</v>
      </c>
      <c r="AI73" s="14">
        <f>IF($A73,$M73*(IF(Y73=regle!$B$11,regle!$B$23,IF(Y73=regle!$C$11,regle!$C$23,IF(Y73=regle!$D$11,regle!$D$23,IF(Y73=regle!$E$11,regle!$E$23,IF(Y73=regle!$F$11,regle!$F$23,IF(Y73=regle!$G$11,regle!$G$23,IF(Y73=regle!$H$11,regle!$H$23,IF(Y73=regle!$I$11,regle!$I$23,IF(Y73=regle!$J$11,regle!$J$23,0)))))))))))</f>
        <v>638.80960000000005</v>
      </c>
      <c r="AJ73" s="14">
        <f>IF($A73,$M73*(IF(Z73=regle!$B$11,regle!$B$23,IF(Z73=regle!$C$11,regle!$C$23,IF(Z73=regle!$D$11,regle!$D$23,IF(Z73=regle!$E$11,regle!$E$23,IF(Z73=regle!$F$11,regle!$F$23,IF(Z73=regle!$G$11,regle!$G$23,IF(Z73=regle!$H$11,regle!$H$23,IF(Z73=regle!$I$11,regle!$I$23,IF(Z73=regle!$J$11,regle!$J$23,0)))))))))))</f>
        <v>0</v>
      </c>
      <c r="AK73" s="14">
        <f>IF($A73,$M73*(IF(AA73=regle!$B$11,regle!$B$23,IF(AA73=regle!$C$11,regle!$C$23,IF(AA73=regle!$D$11,regle!$D$23,IF(AA73=regle!$E$11,regle!$E$23,IF(AA73=regle!$F$11,regle!$F$23,IF(AA73=regle!$G$11,regle!$G$23,IF(AA73=regle!$H$11,regle!$H$23,IF(AA73=regle!$I$11,regle!$I$23,IF(AA73=regle!$J$11,regle!$J$23,0)))))))))))</f>
        <v>0</v>
      </c>
      <c r="AL73" s="14">
        <f>IF($A73,$M73*(IF(AB73=regle!$B$11,regle!$B$23,IF(AB73=regle!$C$11,regle!$C$23,IF(AB73=regle!$D$11,regle!$D$23,IF(AB73=regle!$E$11,regle!$E$23,IF(AB73=regle!$F$11,regle!$F$23,IF(AB73=regle!$G$11,regle!$G$23,IF(AB73=regle!$H$11,regle!$H$23,IF(AB73=regle!$I$11,regle!$I$23,IF(AB73=regle!$J$11,regle!$J$23,0)))))))))))</f>
        <v>0</v>
      </c>
      <c r="AM73" s="14">
        <f>IF($A73,$M73*(IF(AC73=regle!$B$11,regle!$B$23,IF(AC73=regle!$C$11,regle!$C$23,IF(AC73=regle!$D$11,regle!$D$23,IF(AC73=regle!$E$11,regle!$E$23,IF(AC73=regle!$F$11,regle!$F$23,IF(AC73=regle!$G$11,regle!$G$23,IF(AC73=regle!$H$11,regle!$H$23,IF(AC73=regle!$I$11,regle!$I$23,IF(AC73=regle!$J$11,regle!$J$23,0)))))))))))</f>
        <v>0</v>
      </c>
      <c r="AN73" s="14">
        <f>IF($A73,$M73*(IF(AD73=regle!$B$11,regle!$B$23,IF(AD73=regle!$C$11,regle!$C$23,IF(AD73=regle!$D$11,regle!$D$23,IF(AD73=regle!$E$11,regle!$E$23,IF(AD73=regle!$F$11,regle!$F$23,IF(AD73=regle!$G$11,regle!$G$23,IF(AD73=regle!$H$11,regle!$H$23,IF(AD73=regle!$I$11,regle!$I$23,IF(AD73=regle!$J$11,regle!$J$23,0)))))))))))</f>
        <v>580.73599999999999</v>
      </c>
      <c r="AO73">
        <f>IF(AO$1=$AO$1,IF(regle!B$2-$Q73&gt;=regle!$J$12,-2,IF($S73,IF(regle!$B$2-$Q73&gt;=2,0,-1),regle!B$2-$Q73)),IF(AN73+1&gt;=regle!$J$12,-2,AN73+1))</f>
        <v>19</v>
      </c>
      <c r="AP73">
        <f>IF(AP$1=$AO$1,IF(regle!C$2-$Q73&gt;=regle!$J$12,-2,IF($S73,IF(regle!$B$2-$Q73&gt;=2,0,-1),regle!C$2-$Q73)),IF(AO73+1&gt;=regle!$J$12,-2,AO73+1))</f>
        <v>20</v>
      </c>
      <c r="AQ73">
        <f>IF(AQ$1=$AO$1,IF(regle!D$2-$Q73&gt;=regle!$J$12,-2,IF($S73,IF(regle!$B$2-$Q73&gt;=2,0,-1),regle!D$2-$Q73)),IF(AP73+1&gt;=regle!$J$12,-2,AP73+1))</f>
        <v>21</v>
      </c>
      <c r="AR73">
        <f>IF(AR$1=$AO$1,IF(regle!E$2-$Q73&gt;=regle!$J$12,-2,IF($S73,IF(regle!$B$2-$Q73&gt;=2,0,-1),regle!E$2-$Q73)),IF(AQ73+1&gt;=regle!$J$12,-2,AQ73+1))</f>
        <v>22</v>
      </c>
      <c r="AS73">
        <f>IF(AS$1=$AO$1,IF(regle!F$2-$Q73&gt;=regle!$J$12,-2,IF($S73,IF(regle!$B$2-$Q73&gt;=2,0,-1),regle!F$2-$Q73)),IF(AR73+1&gt;=regle!$J$12,-2,AR73+1))</f>
        <v>23</v>
      </c>
      <c r="AT73">
        <f>IF(AT$1=$AO$1,IF(regle!G$2-$Q73&gt;=regle!$J$12,-2,IF($S73,IF(regle!$B$2-$Q73&gt;=2,0,-1),regle!G$2-$Q73)),IF(AS73+1&gt;=regle!$J$12,-2,AS73+1))</f>
        <v>24</v>
      </c>
      <c r="AU73">
        <f>IF(AU$1=$AO$1,IF(regle!H$2-$Q73&gt;=regle!$J$12,-2,IF($S73,IF(regle!$B$2-$Q73&gt;=2,0,-1),regle!H$2-$Q73)),IF(AT73+1&gt;=regle!$J$12,-2,AT73+1))</f>
        <v>25</v>
      </c>
      <c r="AV73">
        <f>IF(AV$1=$AO$1,IF(regle!I$2-$Q73&gt;=regle!$J$12,-2,IF($S73,IF(regle!$B$2-$Q73&gt;=2,0,-1),regle!I$2-$Q73)),IF(AU73+1&gt;=regle!$J$12,-2,AU73+1))</f>
        <v>26</v>
      </c>
      <c r="AW73">
        <f>IF(AW$1=$AO$1,IF(regle!J$2-$Q73&gt;=regle!$J$12,-2,IF($S73,IF(regle!$B$2-$Q73&gt;=2,0,-1),regle!J$2-$Q73)),IF(AV73+1&gt;=regle!$J$12,-2,AV73+1))</f>
        <v>27</v>
      </c>
      <c r="AX73">
        <f>IF(AX$1=$AO$1,IF(regle!K$2-$Q73&gt;=regle!$J$12,-2,IF($S73,IF(regle!$B$2-$Q73&gt;=2,0,-1),regle!K$2-$Q73)),IF(AW73+1&gt;=regle!$J$12,-2,AW73+1))</f>
        <v>28</v>
      </c>
    </row>
    <row r="74" spans="1:50" x14ac:dyDescent="0.25">
      <c r="A74" t="b">
        <f>AND(modif0[[#This Row],[cdstr]]&lt;&gt;0,OR(regle!$H$27=FALSE,modif0[[#This Row],[essnc]]="PM"))</f>
        <v>1</v>
      </c>
      <c r="B74">
        <f>ROW(objet!A95)</f>
        <v>95</v>
      </c>
      <c r="C74" s="10" t="str">
        <f>objet!D95</f>
        <v>5360000A0531</v>
      </c>
      <c r="D74" t="str">
        <f>LEFT(modif0[[#This Row],[cdstr]],3)</f>
        <v>536</v>
      </c>
      <c r="E74" s="10" t="str">
        <f>objet!G95</f>
        <v>LE TUZAN</v>
      </c>
      <c r="F74">
        <f>LEN(modif0[[#This Row],[l_dt]])</f>
        <v>21</v>
      </c>
      <c r="G74" s="10" t="str">
        <f>objet!H95</f>
        <v>METAIRIES DE TABARTON</v>
      </c>
      <c r="H74" s="10" t="str">
        <f>objet!C95</f>
        <v>A531</v>
      </c>
      <c r="I74" t="str">
        <f>IF(ISNUMBER(VALUE(RIGHT(LEFT(modif0[[#This Row],[idntfn]],2),1))),_xlfn.CONCAT(0,LEFT(modif0[[#This Row],[idntfn]],1)),LEFT(modif0[[#This Row],[idntfn]],2))</f>
        <v>0A</v>
      </c>
      <c r="J74">
        <f>VALUE(LEFT(RIGHT(modif0[[#This Row],[idntfn]],LEN(modif0[[#This Row],[idntfn]])-IF(LEFT(modif0[[#This Row],[sctn]],1)="0",1,2)),LEN(modif0[[#This Row],[idntfn]])-IF(LEFT(modif0[[#This Row],[sctn]],1)="0",1,2)-LEN(modif0[[#This Row],[lttr]])))</f>
        <v>531</v>
      </c>
      <c r="K74" t="str">
        <f>IF(ISNUMBER(VALUE(RIGHT(modif0[[#This Row],[idntfn]],1))),"",IF(ISNUMBER(VALUE(LEFT(RIGHT(modif0[[#This Row],[idntfn]],2),1))),RIGHT(modif0[[#This Row],[idntfn]],1),RIGHT(modif0[[#This Row],[idntfn]],2)))</f>
        <v/>
      </c>
      <c r="L74" s="10">
        <f>objet!I95</f>
        <v>1540</v>
      </c>
      <c r="M74" s="11">
        <f>modif0[[#This Row],[srfc]]/10000</f>
        <v>0.154</v>
      </c>
      <c r="N74" s="10" t="str">
        <f>objet!Z95</f>
        <v>PM</v>
      </c>
      <c r="O74" s="10" t="str">
        <f>objet!AA95</f>
        <v>PLA2005</v>
      </c>
      <c r="P74" t="str">
        <f>IF(ISNUMBER(modif0[[#This Row],[trvx]]),"",LEFT(modif0[[#This Row],[trvx]],LEN(modif0[[#This Row],[trvx]])-4))</f>
        <v>PLA</v>
      </c>
      <c r="Q74">
        <f>VALUE(RIGHT(modif0[[#This Row],[trvx]],4))</f>
        <v>2005</v>
      </c>
      <c r="R74" t="str">
        <f>_xlfn.CONCAT(modif0[[#This Row],[tp]],"-",modif0[[#This Row],[essnc]],"_",modif0[[#This Row],[anns]])</f>
        <v>PLA-PM_2005</v>
      </c>
      <c r="S74" t="b">
        <f>modif0[[#This Row],[tp]]="CR"</f>
        <v>0</v>
      </c>
      <c r="T74">
        <v>40</v>
      </c>
      <c r="U74" t="str">
        <f>IF(NOT($A74),"",
IF(AO74=-2,regle!$J$11,
IF(AO74=regle!$B$12,regle!$B$11,
IF(AO74=regle!$C$12,regle!$C$11,
IF(AO74=regle!$D$12,regle!$D$11,
IF(AO74=regle!$E$12,regle!$E$11,
IF(AO74=regle!$F$12,regle!$F$11,
IF(AO74=regle!$G$12,regle!$G$11,
IF(AO74=regle!$H$12,regle!$H$11,
IF(AO74=regle!$I$12,regle!$I$11,""))))))))))</f>
        <v/>
      </c>
      <c r="V74" t="str">
        <f>IF(NOT($A74),"",
IF(AP74=-2,regle!$J$11,
IF(AP74=regle!$B$12,regle!$B$11,
IF(AP74=regle!$C$12,regle!$C$11,
IF(AP74=regle!$D$12,regle!$D$11,
IF(AP74=regle!$E$12,regle!$E$11,
IF(AP74=regle!$F$12,regle!$F$11,
IF(AP74=regle!$G$12,regle!$G$11,
IF(AP74=regle!$H$12,regle!$H$11,
IF(AP74=regle!$I$12,regle!$I$11,""))))))))))</f>
        <v/>
      </c>
      <c r="W74" t="str">
        <f>IF(NOT($A74),"",
IF(AQ74=-2,regle!$J$11,
IF(AQ74=regle!$B$12,regle!$B$11,
IF(AQ74=regle!$C$12,regle!$C$11,
IF(AQ74=regle!$D$12,regle!$D$11,
IF(AQ74=regle!$E$12,regle!$E$11,
IF(AQ74=regle!$F$12,regle!$F$11,
IF(AQ74=regle!$G$12,regle!$G$11,
IF(AQ74=regle!$H$12,regle!$H$11,
IF(AQ74=regle!$I$12,regle!$I$11,""))))))))))</f>
        <v/>
      </c>
      <c r="X74" t="str">
        <f>IF(NOT($A74),"",
IF(AR74=-2,regle!$J$11,
IF(AR74=regle!$B$12,regle!$B$11,
IF(AR74=regle!$C$12,regle!$C$11,
IF(AR74=regle!$D$12,regle!$D$11,
IF(AR74=regle!$E$12,regle!$E$11,
IF(AR74=regle!$F$12,regle!$F$11,
IF(AR74=regle!$G$12,regle!$G$11,
IF(AR74=regle!$H$12,regle!$H$11,
IF(AR74=regle!$I$12,regle!$I$11,""))))))))))</f>
        <v/>
      </c>
      <c r="Y74" t="str">
        <f>IF(NOT($A74),"",
IF(AS74=-2,regle!$J$11,
IF(AS74=regle!$B$12,regle!$B$11,
IF(AS74=regle!$C$12,regle!$C$11,
IF(AS74=regle!$D$12,regle!$D$11,
IF(AS74=regle!$E$12,regle!$E$11,
IF(AS74=regle!$F$12,regle!$F$11,
IF(AS74=regle!$G$12,regle!$G$11,
IF(AS74=regle!$H$12,regle!$H$11,
IF(AS74=regle!$I$12,regle!$I$11,""))))))))))</f>
        <v>EC3</v>
      </c>
      <c r="Z74" t="str">
        <f>IF(NOT($A74),"",
IF(AT74=-2,regle!$J$11,
IF(AT74=regle!$B$12,regle!$B$11,
IF(AT74=regle!$C$12,regle!$C$11,
IF(AT74=regle!$D$12,regle!$D$11,
IF(AT74=regle!$E$12,regle!$E$11,
IF(AT74=regle!$F$12,regle!$F$11,
IF(AT74=regle!$G$12,regle!$G$11,
IF(AT74=regle!$H$12,regle!$H$11,
IF(AT74=regle!$I$12,regle!$I$11,""))))))))))</f>
        <v/>
      </c>
      <c r="AA74" t="str">
        <f>IF(NOT($A74),"",
IF(AU74=-2,regle!$J$11,
IF(AU74=regle!$B$12,regle!$B$11,
IF(AU74=regle!$C$12,regle!$C$11,
IF(AU74=regle!$D$12,regle!$D$11,
IF(AU74=regle!$E$12,regle!$E$11,
IF(AU74=regle!$F$12,regle!$F$11,
IF(AU74=regle!$G$12,regle!$G$11,
IF(AU74=regle!$H$12,regle!$H$11,
IF(AU74=regle!$I$12,regle!$I$11,""))))))))))</f>
        <v/>
      </c>
      <c r="AB74" t="str">
        <f>IF(NOT($A74),"",
IF(AV74=-2,regle!$J$11,
IF(AV74=regle!$B$12,regle!$B$11,
IF(AV74=regle!$C$12,regle!$C$11,
IF(AV74=regle!$D$12,regle!$D$11,
IF(AV74=regle!$E$12,regle!$E$11,
IF(AV74=regle!$F$12,regle!$F$11,
IF(AV74=regle!$G$12,regle!$G$11,
IF(AV74=regle!$H$12,regle!$H$11,
IF(AV74=regle!$I$12,regle!$I$11,""))))))))))</f>
        <v/>
      </c>
      <c r="AC74" t="str">
        <f>IF(NOT($A74),"",
IF(AW74=-2,regle!$J$11,
IF(AW74=regle!$B$12,regle!$B$11,
IF(AW74=regle!$C$12,regle!$C$11,
IF(AW74=regle!$D$12,regle!$D$11,
IF(AW74=regle!$E$12,regle!$E$11,
IF(AW74=regle!$F$12,regle!$F$11,
IF(AW74=regle!$G$12,regle!$G$11,
IF(AW74=regle!$H$12,regle!$H$11,
IF(AW74=regle!$I$12,regle!$I$11,""))))))))))</f>
        <v/>
      </c>
      <c r="AD74" t="str">
        <f>IF(NOT($A74),"",
IF(AX74=-2,regle!$J$11,
IF(AX74=regle!$B$12,regle!$B$11,
IF(AX74=regle!$C$12,regle!$C$11,
IF(AX74=regle!$D$12,regle!$D$11,
IF(AX74=regle!$E$12,regle!$E$11,
IF(AX74=regle!$F$12,regle!$F$11,
IF(AX74=regle!$G$12,regle!$G$11,
IF(AX74=regle!$H$12,regle!$H$11,
IF(AX74=regle!$I$12,regle!$I$11,""))))))))))</f>
        <v>EC4</v>
      </c>
      <c r="AE74" s="14">
        <f>IF($A74,$M74*(IF(U74=regle!$B$11,regle!$B$23,IF(U74=regle!$C$11,regle!$C$23,IF(U74=regle!$D$11,regle!$D$23,IF(U74=regle!$E$11,regle!$E$23,IF(U74=regle!$F$11,regle!$F$23,IF(U74=regle!$G$11,regle!$G$23,IF(U74=regle!$H$11,regle!$H$23,IF(U74=regle!$I$11,regle!$I$23,IF(U74=regle!$J$11,regle!$J$23,0)))))))))))</f>
        <v>0</v>
      </c>
      <c r="AF74" s="14">
        <f>IF($A74,$M74*(IF(V74=regle!$B$11,regle!$B$23,IF(V74=regle!$C$11,regle!$C$23,IF(V74=regle!$D$11,regle!$D$23,IF(V74=regle!$E$11,regle!$E$23,IF(V74=regle!$F$11,regle!$F$23,IF(V74=regle!$G$11,regle!$G$23,IF(V74=regle!$H$11,regle!$H$23,IF(V74=regle!$I$11,regle!$I$23,IF(V74=regle!$J$11,regle!$J$23,0)))))))))))</f>
        <v>0</v>
      </c>
      <c r="AG74" s="14">
        <f>IF($A74,$M74*(IF(W74=regle!$B$11,regle!$B$23,IF(W74=regle!$C$11,regle!$C$23,IF(W74=regle!$D$11,regle!$D$23,IF(W74=regle!$E$11,regle!$E$23,IF(W74=regle!$F$11,regle!$F$23,IF(W74=regle!$G$11,regle!$G$23,IF(W74=regle!$H$11,regle!$H$23,IF(W74=regle!$I$11,regle!$I$23,IF(W74=regle!$J$11,regle!$J$23,0)))))))))))</f>
        <v>0</v>
      </c>
      <c r="AH74" s="14">
        <f>IF($A74,$M74*(IF(X74=regle!$B$11,regle!$B$23,IF(X74=regle!$C$11,regle!$C$23,IF(X74=regle!$D$11,regle!$D$23,IF(X74=regle!$E$11,regle!$E$23,IF(X74=regle!$F$11,regle!$F$23,IF(X74=regle!$G$11,regle!$G$23,IF(X74=regle!$H$11,regle!$H$23,IF(X74=regle!$I$11,regle!$I$23,IF(X74=regle!$J$11,regle!$J$23,0)))))))))))</f>
        <v>0</v>
      </c>
      <c r="AI74" s="14">
        <f>IF($A74,$M74*(IF(Y74=regle!$B$11,regle!$B$23,IF(Y74=regle!$C$11,regle!$C$23,IF(Y74=regle!$D$11,regle!$D$23,IF(Y74=regle!$E$11,regle!$E$23,IF(Y74=regle!$F$11,regle!$F$23,IF(Y74=regle!$G$11,regle!$G$23,IF(Y74=regle!$H$11,regle!$H$23,IF(Y74=regle!$I$11,regle!$I$23,IF(Y74=regle!$J$11,regle!$J$23,0)))))))))))</f>
        <v>216.83199999999999</v>
      </c>
      <c r="AJ74" s="14">
        <f>IF($A74,$M74*(IF(Z74=regle!$B$11,regle!$B$23,IF(Z74=regle!$C$11,regle!$C$23,IF(Z74=regle!$D$11,regle!$D$23,IF(Z74=regle!$E$11,regle!$E$23,IF(Z74=regle!$F$11,regle!$F$23,IF(Z74=regle!$G$11,regle!$G$23,IF(Z74=regle!$H$11,regle!$H$23,IF(Z74=regle!$I$11,regle!$I$23,IF(Z74=regle!$J$11,regle!$J$23,0)))))))))))</f>
        <v>0</v>
      </c>
      <c r="AK74" s="14">
        <f>IF($A74,$M74*(IF(AA74=regle!$B$11,regle!$B$23,IF(AA74=regle!$C$11,regle!$C$23,IF(AA74=regle!$D$11,regle!$D$23,IF(AA74=regle!$E$11,regle!$E$23,IF(AA74=regle!$F$11,regle!$F$23,IF(AA74=regle!$G$11,regle!$G$23,IF(AA74=regle!$H$11,regle!$H$23,IF(AA74=regle!$I$11,regle!$I$23,IF(AA74=regle!$J$11,regle!$J$23,0)))))))))))</f>
        <v>0</v>
      </c>
      <c r="AL74" s="14">
        <f>IF($A74,$M74*(IF(AB74=regle!$B$11,regle!$B$23,IF(AB74=regle!$C$11,regle!$C$23,IF(AB74=regle!$D$11,regle!$D$23,IF(AB74=regle!$E$11,regle!$E$23,IF(AB74=regle!$F$11,regle!$F$23,IF(AB74=regle!$G$11,regle!$G$23,IF(AB74=regle!$H$11,regle!$H$23,IF(AB74=regle!$I$11,regle!$I$23,IF(AB74=regle!$J$11,regle!$J$23,0)))))))))))</f>
        <v>0</v>
      </c>
      <c r="AM74" s="14">
        <f>IF($A74,$M74*(IF(AC74=regle!$B$11,regle!$B$23,IF(AC74=regle!$C$11,regle!$C$23,IF(AC74=regle!$D$11,regle!$D$23,IF(AC74=regle!$E$11,regle!$E$23,IF(AC74=regle!$F$11,regle!$F$23,IF(AC74=regle!$G$11,regle!$G$23,IF(AC74=regle!$H$11,regle!$H$23,IF(AC74=regle!$I$11,regle!$I$23,IF(AC74=regle!$J$11,regle!$J$23,0)))))))))))</f>
        <v>0</v>
      </c>
      <c r="AN74" s="14">
        <f>IF($A74,$M74*(IF(AD74=regle!$B$11,regle!$B$23,IF(AD74=regle!$C$11,regle!$C$23,IF(AD74=regle!$D$11,regle!$D$23,IF(AD74=regle!$E$11,regle!$E$23,IF(AD74=regle!$F$11,regle!$F$23,IF(AD74=regle!$G$11,regle!$G$23,IF(AD74=regle!$H$11,regle!$H$23,IF(AD74=regle!$I$11,regle!$I$23,IF(AD74=regle!$J$11,regle!$J$23,0)))))))))))</f>
        <v>197.12</v>
      </c>
      <c r="AO74">
        <f>IF(AO$1=$AO$1,IF(regle!B$2-$Q74&gt;=regle!$J$12,-2,IF($S74,IF(regle!$B$2-$Q74&gt;=2,0,-1),regle!B$2-$Q74)),IF(AN74+1&gt;=regle!$J$12,-2,AN74+1))</f>
        <v>19</v>
      </c>
      <c r="AP74">
        <f>IF(AP$1=$AO$1,IF(regle!C$2-$Q74&gt;=regle!$J$12,-2,IF($S74,IF(regle!$B$2-$Q74&gt;=2,0,-1),regle!C$2-$Q74)),IF(AO74+1&gt;=regle!$J$12,-2,AO74+1))</f>
        <v>20</v>
      </c>
      <c r="AQ74">
        <f>IF(AQ$1=$AO$1,IF(regle!D$2-$Q74&gt;=regle!$J$12,-2,IF($S74,IF(regle!$B$2-$Q74&gt;=2,0,-1),regle!D$2-$Q74)),IF(AP74+1&gt;=regle!$J$12,-2,AP74+1))</f>
        <v>21</v>
      </c>
      <c r="AR74">
        <f>IF(AR$1=$AO$1,IF(regle!E$2-$Q74&gt;=regle!$J$12,-2,IF($S74,IF(regle!$B$2-$Q74&gt;=2,0,-1),regle!E$2-$Q74)),IF(AQ74+1&gt;=regle!$J$12,-2,AQ74+1))</f>
        <v>22</v>
      </c>
      <c r="AS74">
        <f>IF(AS$1=$AO$1,IF(regle!F$2-$Q74&gt;=regle!$J$12,-2,IF($S74,IF(regle!$B$2-$Q74&gt;=2,0,-1),regle!F$2-$Q74)),IF(AR74+1&gt;=regle!$J$12,-2,AR74+1))</f>
        <v>23</v>
      </c>
      <c r="AT74">
        <f>IF(AT$1=$AO$1,IF(regle!G$2-$Q74&gt;=regle!$J$12,-2,IF($S74,IF(regle!$B$2-$Q74&gt;=2,0,-1),regle!G$2-$Q74)),IF(AS74+1&gt;=regle!$J$12,-2,AS74+1))</f>
        <v>24</v>
      </c>
      <c r="AU74">
        <f>IF(AU$1=$AO$1,IF(regle!H$2-$Q74&gt;=regle!$J$12,-2,IF($S74,IF(regle!$B$2-$Q74&gt;=2,0,-1),regle!H$2-$Q74)),IF(AT74+1&gt;=regle!$J$12,-2,AT74+1))</f>
        <v>25</v>
      </c>
      <c r="AV74">
        <f>IF(AV$1=$AO$1,IF(regle!I$2-$Q74&gt;=regle!$J$12,-2,IF($S74,IF(regle!$B$2-$Q74&gt;=2,0,-1),regle!I$2-$Q74)),IF(AU74+1&gt;=regle!$J$12,-2,AU74+1))</f>
        <v>26</v>
      </c>
      <c r="AW74">
        <f>IF(AW$1=$AO$1,IF(regle!J$2-$Q74&gt;=regle!$J$12,-2,IF($S74,IF(regle!$B$2-$Q74&gt;=2,0,-1),regle!J$2-$Q74)),IF(AV74+1&gt;=regle!$J$12,-2,AV74+1))</f>
        <v>27</v>
      </c>
      <c r="AX74">
        <f>IF(AX$1=$AO$1,IF(regle!K$2-$Q74&gt;=regle!$J$12,-2,IF($S74,IF(regle!$B$2-$Q74&gt;=2,0,-1),regle!K$2-$Q74)),IF(AW74+1&gt;=regle!$J$12,-2,AW74+1))</f>
        <v>28</v>
      </c>
    </row>
    <row r="75" spans="1:50" x14ac:dyDescent="0.25">
      <c r="A75" t="b">
        <f>AND(modif0[[#This Row],[cdstr]]&lt;&gt;0,OR(regle!$H$27=FALSE,modif0[[#This Row],[essnc]]="PM"))</f>
        <v>1</v>
      </c>
      <c r="B75">
        <f>ROW(objet!A96)</f>
        <v>96</v>
      </c>
      <c r="C75" s="10" t="str">
        <f>objet!D96</f>
        <v>5360000A0678</v>
      </c>
      <c r="D75" t="str">
        <f>LEFT(modif0[[#This Row],[cdstr]],3)</f>
        <v>536</v>
      </c>
      <c r="E75" s="10" t="str">
        <f>objet!G96</f>
        <v>LE TUZAN</v>
      </c>
      <c r="F75">
        <f>LEN(modif0[[#This Row],[l_dt]])</f>
        <v>7</v>
      </c>
      <c r="G75" s="10" t="str">
        <f>objet!H96</f>
        <v>CHOUSSE</v>
      </c>
      <c r="H75" s="10" t="str">
        <f>objet!C96</f>
        <v>A678</v>
      </c>
      <c r="I75" t="str">
        <f>IF(ISNUMBER(VALUE(RIGHT(LEFT(modif0[[#This Row],[idntfn]],2),1))),_xlfn.CONCAT(0,LEFT(modif0[[#This Row],[idntfn]],1)),LEFT(modif0[[#This Row],[idntfn]],2))</f>
        <v>0A</v>
      </c>
      <c r="J75">
        <f>VALUE(LEFT(RIGHT(modif0[[#This Row],[idntfn]],LEN(modif0[[#This Row],[idntfn]])-IF(LEFT(modif0[[#This Row],[sctn]],1)="0",1,2)),LEN(modif0[[#This Row],[idntfn]])-IF(LEFT(modif0[[#This Row],[sctn]],1)="0",1,2)-LEN(modif0[[#This Row],[lttr]])))</f>
        <v>678</v>
      </c>
      <c r="K75" t="str">
        <f>IF(ISNUMBER(VALUE(RIGHT(modif0[[#This Row],[idntfn]],1))),"",IF(ISNUMBER(VALUE(LEFT(RIGHT(modif0[[#This Row],[idntfn]],2),1))),RIGHT(modif0[[#This Row],[idntfn]],1),RIGHT(modif0[[#This Row],[idntfn]],2)))</f>
        <v/>
      </c>
      <c r="L75" s="10">
        <f>objet!I96</f>
        <v>5901</v>
      </c>
      <c r="M75" s="11">
        <f>modif0[[#This Row],[srfc]]/10000</f>
        <v>0.59009999999999996</v>
      </c>
      <c r="N75" s="10" t="str">
        <f>objet!Z96</f>
        <v>PM</v>
      </c>
      <c r="O75" s="10" t="str">
        <f>objet!AA96</f>
        <v>SL1995</v>
      </c>
      <c r="P75" t="str">
        <f>IF(ISNUMBER(modif0[[#This Row],[trvx]]),"",LEFT(modif0[[#This Row],[trvx]],LEN(modif0[[#This Row],[trvx]])-4))</f>
        <v>SL</v>
      </c>
      <c r="Q75">
        <f>VALUE(RIGHT(modif0[[#This Row],[trvx]],4))</f>
        <v>1995</v>
      </c>
      <c r="R75" t="str">
        <f>_xlfn.CONCAT(modif0[[#This Row],[tp]],"-",modif0[[#This Row],[essnc]],"_",modif0[[#This Row],[anns]])</f>
        <v>SL-PM_1995</v>
      </c>
      <c r="S75" t="b">
        <f>modif0[[#This Row],[tp]]="CR"</f>
        <v>0</v>
      </c>
      <c r="T75">
        <v>40</v>
      </c>
      <c r="U75" t="str">
        <f>IF(NOT($A75),"",
IF(AO75=-2,regle!$J$11,
IF(AO75=regle!$B$12,regle!$B$11,
IF(AO75=regle!$C$12,regle!$C$11,
IF(AO75=regle!$D$12,regle!$D$11,
IF(AO75=regle!$E$12,regle!$E$11,
IF(AO75=regle!$F$12,regle!$F$11,
IF(AO75=regle!$G$12,regle!$G$11,
IF(AO75=regle!$H$12,regle!$H$11,
IF(AO75=regle!$I$12,regle!$I$11,""))))))))))</f>
        <v/>
      </c>
      <c r="V75" t="str">
        <f>IF(NOT($A75),"",
IF(AP75=-2,regle!$J$11,
IF(AP75=regle!$B$12,regle!$B$11,
IF(AP75=regle!$C$12,regle!$C$11,
IF(AP75=regle!$D$12,regle!$D$11,
IF(AP75=regle!$E$12,regle!$E$11,
IF(AP75=regle!$F$12,regle!$F$11,
IF(AP75=regle!$G$12,regle!$G$11,
IF(AP75=regle!$H$12,regle!$H$11,
IF(AP75=regle!$I$12,regle!$I$11,""))))))))))</f>
        <v/>
      </c>
      <c r="W75" t="str">
        <f>IF(NOT($A75),"",
IF(AQ75=-2,regle!$J$11,
IF(AQ75=regle!$B$12,regle!$B$11,
IF(AQ75=regle!$C$12,regle!$C$11,
IF(AQ75=regle!$D$12,regle!$D$11,
IF(AQ75=regle!$E$12,regle!$E$11,
IF(AQ75=regle!$F$12,regle!$F$11,
IF(AQ75=regle!$G$12,regle!$G$11,
IF(AQ75=regle!$H$12,regle!$H$11,
IF(AQ75=regle!$I$12,regle!$I$11,""))))))))))</f>
        <v/>
      </c>
      <c r="X75" t="str">
        <f>IF(NOT($A75),"",
IF(AR75=-2,regle!$J$11,
IF(AR75=regle!$B$12,regle!$B$11,
IF(AR75=regle!$C$12,regle!$C$11,
IF(AR75=regle!$D$12,regle!$D$11,
IF(AR75=regle!$E$12,regle!$E$11,
IF(AR75=regle!$F$12,regle!$F$11,
IF(AR75=regle!$G$12,regle!$G$11,
IF(AR75=regle!$H$12,regle!$H$11,
IF(AR75=regle!$I$12,regle!$I$11,""))))))))))</f>
        <v/>
      </c>
      <c r="Y75" t="str">
        <f>IF(NOT($A75),"",
IF(AS75=-2,regle!$J$11,
IF(AS75=regle!$B$12,regle!$B$11,
IF(AS75=regle!$C$12,regle!$C$11,
IF(AS75=regle!$D$12,regle!$D$11,
IF(AS75=regle!$E$12,regle!$E$11,
IF(AS75=regle!$F$12,regle!$F$11,
IF(AS75=regle!$G$12,regle!$G$11,
IF(AS75=regle!$H$12,regle!$H$11,
IF(AS75=regle!$I$12,regle!$I$11,""))))))))))</f>
        <v/>
      </c>
      <c r="Z75" t="str">
        <f>IF(NOT($A75),"",
IF(AT75=-2,regle!$J$11,
IF(AT75=regle!$B$12,regle!$B$11,
IF(AT75=regle!$C$12,regle!$C$11,
IF(AT75=regle!$D$12,regle!$D$11,
IF(AT75=regle!$E$12,regle!$E$11,
IF(AT75=regle!$F$12,regle!$F$11,
IF(AT75=regle!$G$12,regle!$G$11,
IF(AT75=regle!$H$12,regle!$H$11,
IF(AT75=regle!$I$12,regle!$I$11,""))))))))))</f>
        <v/>
      </c>
      <c r="AA75" t="str">
        <f>IF(NOT($A75),"",
IF(AU75=-2,regle!$J$11,
IF(AU75=regle!$B$12,regle!$B$11,
IF(AU75=regle!$C$12,regle!$C$11,
IF(AU75=regle!$D$12,regle!$D$11,
IF(AU75=regle!$E$12,regle!$E$11,
IF(AU75=regle!$F$12,regle!$F$11,
IF(AU75=regle!$G$12,regle!$G$11,
IF(AU75=regle!$H$12,regle!$H$11,
IF(AU75=regle!$I$12,regle!$I$11,""))))))))))</f>
        <v/>
      </c>
      <c r="AB75" t="str">
        <f>IF(NOT($A75),"",
IF(AV75=-2,regle!$J$11,
IF(AV75=regle!$B$12,regle!$B$11,
IF(AV75=regle!$C$12,regle!$C$11,
IF(AV75=regle!$D$12,regle!$D$11,
IF(AV75=regle!$E$12,regle!$E$11,
IF(AV75=regle!$F$12,regle!$F$11,
IF(AV75=regle!$G$12,regle!$G$11,
IF(AV75=regle!$H$12,regle!$H$11,
IF(AV75=regle!$I$12,regle!$I$11,""))))))))))</f>
        <v/>
      </c>
      <c r="AC75" t="str">
        <f>IF(NOT($A75),"",
IF(AW75=-2,regle!$J$11,
IF(AW75=regle!$B$12,regle!$B$11,
IF(AW75=regle!$C$12,regle!$C$11,
IF(AW75=regle!$D$12,regle!$D$11,
IF(AW75=regle!$E$12,regle!$E$11,
IF(AW75=regle!$F$12,regle!$F$11,
IF(AW75=regle!$G$12,regle!$G$11,
IF(AW75=regle!$H$12,regle!$H$11,
IF(AW75=regle!$I$12,regle!$I$11,""))))))))))</f>
        <v/>
      </c>
      <c r="AD75" t="str">
        <f>IF(NOT($A75),"",
IF(AX75=-2,regle!$J$11,
IF(AX75=regle!$B$12,regle!$B$11,
IF(AX75=regle!$C$12,regle!$C$11,
IF(AX75=regle!$D$12,regle!$D$11,
IF(AX75=regle!$E$12,regle!$E$11,
IF(AX75=regle!$F$12,regle!$F$11,
IF(AX75=regle!$G$12,regle!$G$11,
IF(AX75=regle!$H$12,regle!$H$11,
IF(AX75=regle!$I$12,regle!$I$11,""))))))))))</f>
        <v/>
      </c>
      <c r="AE75" s="14">
        <f>IF($A75,$M75*(IF(U75=regle!$B$11,regle!$B$23,IF(U75=regle!$C$11,regle!$C$23,IF(U75=regle!$D$11,regle!$D$23,IF(U75=regle!$E$11,regle!$E$23,IF(U75=regle!$F$11,regle!$F$23,IF(U75=regle!$G$11,regle!$G$23,IF(U75=regle!$H$11,regle!$H$23,IF(U75=regle!$I$11,regle!$I$23,IF(U75=regle!$J$11,regle!$J$23,0)))))))))))</f>
        <v>0</v>
      </c>
      <c r="AF75" s="14">
        <f>IF($A75,$M75*(IF(V75=regle!$B$11,regle!$B$23,IF(V75=regle!$C$11,regle!$C$23,IF(V75=regle!$D$11,regle!$D$23,IF(V75=regle!$E$11,regle!$E$23,IF(V75=regle!$F$11,regle!$F$23,IF(V75=regle!$G$11,regle!$G$23,IF(V75=regle!$H$11,regle!$H$23,IF(V75=regle!$I$11,regle!$I$23,IF(V75=regle!$J$11,regle!$J$23,0)))))))))))</f>
        <v>0</v>
      </c>
      <c r="AG75" s="14">
        <f>IF($A75,$M75*(IF(W75=regle!$B$11,regle!$B$23,IF(W75=regle!$C$11,regle!$C$23,IF(W75=regle!$D$11,regle!$D$23,IF(W75=regle!$E$11,regle!$E$23,IF(W75=regle!$F$11,regle!$F$23,IF(W75=regle!$G$11,regle!$G$23,IF(W75=regle!$H$11,regle!$H$23,IF(W75=regle!$I$11,regle!$I$23,IF(W75=regle!$J$11,regle!$J$23,0)))))))))))</f>
        <v>0</v>
      </c>
      <c r="AH75" s="14">
        <f>IF($A75,$M75*(IF(X75=regle!$B$11,regle!$B$23,IF(X75=regle!$C$11,regle!$C$23,IF(X75=regle!$D$11,regle!$D$23,IF(X75=regle!$E$11,regle!$E$23,IF(X75=regle!$F$11,regle!$F$23,IF(X75=regle!$G$11,regle!$G$23,IF(X75=regle!$H$11,regle!$H$23,IF(X75=regle!$I$11,regle!$I$23,IF(X75=regle!$J$11,regle!$J$23,0)))))))))))</f>
        <v>0</v>
      </c>
      <c r="AI75" s="14">
        <f>IF($A75,$M75*(IF(Y75=regle!$B$11,regle!$B$23,IF(Y75=regle!$C$11,regle!$C$23,IF(Y75=regle!$D$11,regle!$D$23,IF(Y75=regle!$E$11,regle!$E$23,IF(Y75=regle!$F$11,regle!$F$23,IF(Y75=regle!$G$11,regle!$G$23,IF(Y75=regle!$H$11,regle!$H$23,IF(Y75=regle!$I$11,regle!$I$23,IF(Y75=regle!$J$11,regle!$J$23,0)))))))))))</f>
        <v>0</v>
      </c>
      <c r="AJ75" s="14">
        <f>IF($A75,$M75*(IF(Z75=regle!$B$11,regle!$B$23,IF(Z75=regle!$C$11,regle!$C$23,IF(Z75=regle!$D$11,regle!$D$23,IF(Z75=regle!$E$11,regle!$E$23,IF(Z75=regle!$F$11,regle!$F$23,IF(Z75=regle!$G$11,regle!$G$23,IF(Z75=regle!$H$11,regle!$H$23,IF(Z75=regle!$I$11,regle!$I$23,IF(Z75=regle!$J$11,regle!$J$23,0)))))))))))</f>
        <v>0</v>
      </c>
      <c r="AK75" s="14">
        <f>IF($A75,$M75*(IF(AA75=regle!$B$11,regle!$B$23,IF(AA75=regle!$C$11,regle!$C$23,IF(AA75=regle!$D$11,regle!$D$23,IF(AA75=regle!$E$11,regle!$E$23,IF(AA75=regle!$F$11,regle!$F$23,IF(AA75=regle!$G$11,regle!$G$23,IF(AA75=regle!$H$11,regle!$H$23,IF(AA75=regle!$I$11,regle!$I$23,IF(AA75=regle!$J$11,regle!$J$23,0)))))))))))</f>
        <v>0</v>
      </c>
      <c r="AL75" s="14">
        <f>IF($A75,$M75*(IF(AB75=regle!$B$11,regle!$B$23,IF(AB75=regle!$C$11,regle!$C$23,IF(AB75=regle!$D$11,regle!$D$23,IF(AB75=regle!$E$11,regle!$E$23,IF(AB75=regle!$F$11,regle!$F$23,IF(AB75=regle!$G$11,regle!$G$23,IF(AB75=regle!$H$11,regle!$H$23,IF(AB75=regle!$I$11,regle!$I$23,IF(AB75=regle!$J$11,regle!$J$23,0)))))))))))</f>
        <v>0</v>
      </c>
      <c r="AM75" s="14">
        <f>IF($A75,$M75*(IF(AC75=regle!$B$11,regle!$B$23,IF(AC75=regle!$C$11,regle!$C$23,IF(AC75=regle!$D$11,regle!$D$23,IF(AC75=regle!$E$11,regle!$E$23,IF(AC75=regle!$F$11,regle!$F$23,IF(AC75=regle!$G$11,regle!$G$23,IF(AC75=regle!$H$11,regle!$H$23,IF(AC75=regle!$I$11,regle!$I$23,IF(AC75=regle!$J$11,regle!$J$23,0)))))))))))</f>
        <v>0</v>
      </c>
      <c r="AN75" s="14">
        <f>IF($A75,$M75*(IF(AD75=regle!$B$11,regle!$B$23,IF(AD75=regle!$C$11,regle!$C$23,IF(AD75=regle!$D$11,regle!$D$23,IF(AD75=regle!$E$11,regle!$E$23,IF(AD75=regle!$F$11,regle!$F$23,IF(AD75=regle!$G$11,regle!$G$23,IF(AD75=regle!$H$11,regle!$H$23,IF(AD75=regle!$I$11,regle!$I$23,IF(AD75=regle!$J$11,regle!$J$23,0)))))))))))</f>
        <v>0</v>
      </c>
      <c r="AO75">
        <f>IF(AO$1=$AO$1,IF(regle!B$2-$Q75&gt;=regle!$J$12,-2,IF($S75,IF(regle!$B$2-$Q75&gt;=2,0,-1),regle!B$2-$Q75)),IF(AN75+1&gt;=regle!$J$12,-2,AN75+1))</f>
        <v>29</v>
      </c>
      <c r="AP75">
        <f>IF(AP$1=$AO$1,IF(regle!C$2-$Q75&gt;=regle!$J$12,-2,IF($S75,IF(regle!$B$2-$Q75&gt;=2,0,-1),regle!C$2-$Q75)),IF(AO75+1&gt;=regle!$J$12,-2,AO75+1))</f>
        <v>30</v>
      </c>
      <c r="AQ75">
        <f>IF(AQ$1=$AO$1,IF(regle!D$2-$Q75&gt;=regle!$J$12,-2,IF($S75,IF(regle!$B$2-$Q75&gt;=2,0,-1),regle!D$2-$Q75)),IF(AP75+1&gt;=regle!$J$12,-2,AP75+1))</f>
        <v>31</v>
      </c>
      <c r="AR75">
        <f>IF(AR$1=$AO$1,IF(regle!E$2-$Q75&gt;=regle!$J$12,-2,IF($S75,IF(regle!$B$2-$Q75&gt;=2,0,-1),regle!E$2-$Q75)),IF(AQ75+1&gt;=regle!$J$12,-2,AQ75+1))</f>
        <v>32</v>
      </c>
      <c r="AS75">
        <f>IF(AS$1=$AO$1,IF(regle!F$2-$Q75&gt;=regle!$J$12,-2,IF($S75,IF(regle!$B$2-$Q75&gt;=2,0,-1),regle!F$2-$Q75)),IF(AR75+1&gt;=regle!$J$12,-2,AR75+1))</f>
        <v>33</v>
      </c>
      <c r="AT75">
        <f>IF(AT$1=$AO$1,IF(regle!G$2-$Q75&gt;=regle!$J$12,-2,IF($S75,IF(regle!$B$2-$Q75&gt;=2,0,-1),regle!G$2-$Q75)),IF(AS75+1&gt;=regle!$J$12,-2,AS75+1))</f>
        <v>34</v>
      </c>
      <c r="AU75">
        <f>IF(AU$1=$AO$1,IF(regle!H$2-$Q75&gt;=regle!$J$12,-2,IF($S75,IF(regle!$B$2-$Q75&gt;=2,0,-1),regle!H$2-$Q75)),IF(AT75+1&gt;=regle!$J$12,-2,AT75+1))</f>
        <v>35</v>
      </c>
      <c r="AV75">
        <f>IF(AV$1=$AO$1,IF(regle!I$2-$Q75&gt;=regle!$J$12,-2,IF($S75,IF(regle!$B$2-$Q75&gt;=2,0,-1),regle!I$2-$Q75)),IF(AU75+1&gt;=regle!$J$12,-2,AU75+1))</f>
        <v>36</v>
      </c>
      <c r="AW75">
        <f>IF(AW$1=$AO$1,IF(regle!J$2-$Q75&gt;=regle!$J$12,-2,IF($S75,IF(regle!$B$2-$Q75&gt;=2,0,-1),regle!J$2-$Q75)),IF(AV75+1&gt;=regle!$J$12,-2,AV75+1))</f>
        <v>37</v>
      </c>
      <c r="AX75">
        <f>IF(AX$1=$AO$1,IF(regle!K$2-$Q75&gt;=regle!$J$12,-2,IF($S75,IF(regle!$B$2-$Q75&gt;=2,0,-1),regle!K$2-$Q75)),IF(AW75+1&gt;=regle!$J$12,-2,AW75+1))</f>
        <v>38</v>
      </c>
    </row>
    <row r="76" spans="1:50" x14ac:dyDescent="0.25">
      <c r="A76" t="b">
        <f>AND(modif0[[#This Row],[cdstr]]&lt;&gt;0,OR(regle!$H$27=FALSE,modif0[[#This Row],[essnc]]="PM"))</f>
        <v>1</v>
      </c>
      <c r="B76">
        <f>ROW(objet!A97)</f>
        <v>97</v>
      </c>
      <c r="C76" s="10" t="str">
        <f>objet!D97</f>
        <v>5360000A0680</v>
      </c>
      <c r="D76" t="str">
        <f>LEFT(modif0[[#This Row],[cdstr]],3)</f>
        <v>536</v>
      </c>
      <c r="E76" s="10" t="str">
        <f>objet!G97</f>
        <v>LE TUZAN</v>
      </c>
      <c r="F76">
        <f>LEN(modif0[[#This Row],[l_dt]])</f>
        <v>7</v>
      </c>
      <c r="G76" s="10" t="str">
        <f>objet!H97</f>
        <v>CHOUSSE</v>
      </c>
      <c r="H76" s="10" t="str">
        <f>objet!C97</f>
        <v>A680k</v>
      </c>
      <c r="I76" t="str">
        <f>IF(ISNUMBER(VALUE(RIGHT(LEFT(modif0[[#This Row],[idntfn]],2),1))),_xlfn.CONCAT(0,LEFT(modif0[[#This Row],[idntfn]],1)),LEFT(modif0[[#This Row],[idntfn]],2))</f>
        <v>0A</v>
      </c>
      <c r="J76">
        <f>VALUE(LEFT(RIGHT(modif0[[#This Row],[idntfn]],LEN(modif0[[#This Row],[idntfn]])-IF(LEFT(modif0[[#This Row],[sctn]],1)="0",1,2)),LEN(modif0[[#This Row],[idntfn]])-IF(LEFT(modif0[[#This Row],[sctn]],1)="0",1,2)-LEN(modif0[[#This Row],[lttr]])))</f>
        <v>680</v>
      </c>
      <c r="K76" t="str">
        <f>IF(ISNUMBER(VALUE(RIGHT(modif0[[#This Row],[idntfn]],1))),"",IF(ISNUMBER(VALUE(LEFT(RIGHT(modif0[[#This Row],[idntfn]],2),1))),RIGHT(modif0[[#This Row],[idntfn]],1),RIGHT(modif0[[#This Row],[idntfn]],2)))</f>
        <v>k</v>
      </c>
      <c r="L76" s="10">
        <f>objet!I97</f>
        <v>81115</v>
      </c>
      <c r="M76" s="11">
        <f>modif0[[#This Row],[srfc]]/10000</f>
        <v>8.1114999999999995</v>
      </c>
      <c r="N76" s="10" t="str">
        <f>objet!Z97</f>
        <v>PM</v>
      </c>
      <c r="O76" s="10" t="str">
        <f>objet!AA97</f>
        <v>SL1995</v>
      </c>
      <c r="P76" t="str">
        <f>IF(ISNUMBER(modif0[[#This Row],[trvx]]),"",LEFT(modif0[[#This Row],[trvx]],LEN(modif0[[#This Row],[trvx]])-4))</f>
        <v>SL</v>
      </c>
      <c r="Q76">
        <f>VALUE(RIGHT(modif0[[#This Row],[trvx]],4))</f>
        <v>1995</v>
      </c>
      <c r="R76" t="str">
        <f>_xlfn.CONCAT(modif0[[#This Row],[tp]],"-",modif0[[#This Row],[essnc]],"_",modif0[[#This Row],[anns]])</f>
        <v>SL-PM_1995</v>
      </c>
      <c r="S76" t="b">
        <f>modif0[[#This Row],[tp]]="CR"</f>
        <v>0</v>
      </c>
      <c r="T76">
        <v>40</v>
      </c>
      <c r="U76" t="str">
        <f>IF(NOT($A76),"",
IF(AO76=-2,regle!$J$11,
IF(AO76=regle!$B$12,regle!$B$11,
IF(AO76=regle!$C$12,regle!$C$11,
IF(AO76=regle!$D$12,regle!$D$11,
IF(AO76=regle!$E$12,regle!$E$11,
IF(AO76=regle!$F$12,regle!$F$11,
IF(AO76=regle!$G$12,regle!$G$11,
IF(AO76=regle!$H$12,regle!$H$11,
IF(AO76=regle!$I$12,regle!$I$11,""))))))))))</f>
        <v/>
      </c>
      <c r="V76" t="str">
        <f>IF(NOT($A76),"",
IF(AP76=-2,regle!$J$11,
IF(AP76=regle!$B$12,regle!$B$11,
IF(AP76=regle!$C$12,regle!$C$11,
IF(AP76=regle!$D$12,regle!$D$11,
IF(AP76=regle!$E$12,regle!$E$11,
IF(AP76=regle!$F$12,regle!$F$11,
IF(AP76=regle!$G$12,regle!$G$11,
IF(AP76=regle!$H$12,regle!$H$11,
IF(AP76=regle!$I$12,regle!$I$11,""))))))))))</f>
        <v/>
      </c>
      <c r="W76" t="str">
        <f>IF(NOT($A76),"",
IF(AQ76=-2,regle!$J$11,
IF(AQ76=regle!$B$12,regle!$B$11,
IF(AQ76=regle!$C$12,regle!$C$11,
IF(AQ76=regle!$D$12,regle!$D$11,
IF(AQ76=regle!$E$12,regle!$E$11,
IF(AQ76=regle!$F$12,regle!$F$11,
IF(AQ76=regle!$G$12,regle!$G$11,
IF(AQ76=regle!$H$12,regle!$H$11,
IF(AQ76=regle!$I$12,regle!$I$11,""))))))))))</f>
        <v/>
      </c>
      <c r="X76" t="str">
        <f>IF(NOT($A76),"",
IF(AR76=-2,regle!$J$11,
IF(AR76=regle!$B$12,regle!$B$11,
IF(AR76=regle!$C$12,regle!$C$11,
IF(AR76=regle!$D$12,regle!$D$11,
IF(AR76=regle!$E$12,regle!$E$11,
IF(AR76=regle!$F$12,regle!$F$11,
IF(AR76=regle!$G$12,regle!$G$11,
IF(AR76=regle!$H$12,regle!$H$11,
IF(AR76=regle!$I$12,regle!$I$11,""))))))))))</f>
        <v/>
      </c>
      <c r="Y76" t="str">
        <f>IF(NOT($A76),"",
IF(AS76=-2,regle!$J$11,
IF(AS76=regle!$B$12,regle!$B$11,
IF(AS76=regle!$C$12,regle!$C$11,
IF(AS76=regle!$D$12,regle!$D$11,
IF(AS76=regle!$E$12,regle!$E$11,
IF(AS76=regle!$F$12,regle!$F$11,
IF(AS76=regle!$G$12,regle!$G$11,
IF(AS76=regle!$H$12,regle!$H$11,
IF(AS76=regle!$I$12,regle!$I$11,""))))))))))</f>
        <v/>
      </c>
      <c r="Z76" t="str">
        <f>IF(NOT($A76),"",
IF(AT76=-2,regle!$J$11,
IF(AT76=regle!$B$12,regle!$B$11,
IF(AT76=regle!$C$12,regle!$C$11,
IF(AT76=regle!$D$12,regle!$D$11,
IF(AT76=regle!$E$12,regle!$E$11,
IF(AT76=regle!$F$12,regle!$F$11,
IF(AT76=regle!$G$12,regle!$G$11,
IF(AT76=regle!$H$12,regle!$H$11,
IF(AT76=regle!$I$12,regle!$I$11,""))))))))))</f>
        <v/>
      </c>
      <c r="AA76" t="str">
        <f>IF(NOT($A76),"",
IF(AU76=-2,regle!$J$11,
IF(AU76=regle!$B$12,regle!$B$11,
IF(AU76=regle!$C$12,regle!$C$11,
IF(AU76=regle!$D$12,regle!$D$11,
IF(AU76=regle!$E$12,regle!$E$11,
IF(AU76=regle!$F$12,regle!$F$11,
IF(AU76=regle!$G$12,regle!$G$11,
IF(AU76=regle!$H$12,regle!$H$11,
IF(AU76=regle!$I$12,regle!$I$11,""))))))))))</f>
        <v/>
      </c>
      <c r="AB76" t="str">
        <f>IF(NOT($A76),"",
IF(AV76=-2,regle!$J$11,
IF(AV76=regle!$B$12,regle!$B$11,
IF(AV76=regle!$C$12,regle!$C$11,
IF(AV76=regle!$D$12,regle!$D$11,
IF(AV76=regle!$E$12,regle!$E$11,
IF(AV76=regle!$F$12,regle!$F$11,
IF(AV76=regle!$G$12,regle!$G$11,
IF(AV76=regle!$H$12,regle!$H$11,
IF(AV76=regle!$I$12,regle!$I$11,""))))))))))</f>
        <v/>
      </c>
      <c r="AC76" t="str">
        <f>IF(NOT($A76),"",
IF(AW76=-2,regle!$J$11,
IF(AW76=regle!$B$12,regle!$B$11,
IF(AW76=regle!$C$12,regle!$C$11,
IF(AW76=regle!$D$12,regle!$D$11,
IF(AW76=regle!$E$12,regle!$E$11,
IF(AW76=regle!$F$12,regle!$F$11,
IF(AW76=regle!$G$12,regle!$G$11,
IF(AW76=regle!$H$12,regle!$H$11,
IF(AW76=regle!$I$12,regle!$I$11,""))))))))))</f>
        <v/>
      </c>
      <c r="AD76" t="str">
        <f>IF(NOT($A76),"",
IF(AX76=-2,regle!$J$11,
IF(AX76=regle!$B$12,regle!$B$11,
IF(AX76=regle!$C$12,regle!$C$11,
IF(AX76=regle!$D$12,regle!$D$11,
IF(AX76=regle!$E$12,regle!$E$11,
IF(AX76=regle!$F$12,regle!$F$11,
IF(AX76=regle!$G$12,regle!$G$11,
IF(AX76=regle!$H$12,regle!$H$11,
IF(AX76=regle!$I$12,regle!$I$11,""))))))))))</f>
        <v/>
      </c>
      <c r="AE76" s="14">
        <f>IF($A76,$M76*(IF(U76=regle!$B$11,regle!$B$23,IF(U76=regle!$C$11,regle!$C$23,IF(U76=regle!$D$11,regle!$D$23,IF(U76=regle!$E$11,regle!$E$23,IF(U76=regle!$F$11,regle!$F$23,IF(U76=regle!$G$11,regle!$G$23,IF(U76=regle!$H$11,regle!$H$23,IF(U76=regle!$I$11,regle!$I$23,IF(U76=regle!$J$11,regle!$J$23,0)))))))))))</f>
        <v>0</v>
      </c>
      <c r="AF76" s="14">
        <f>IF($A76,$M76*(IF(V76=regle!$B$11,regle!$B$23,IF(V76=regle!$C$11,regle!$C$23,IF(V76=regle!$D$11,regle!$D$23,IF(V76=regle!$E$11,regle!$E$23,IF(V76=regle!$F$11,regle!$F$23,IF(V76=regle!$G$11,regle!$G$23,IF(V76=regle!$H$11,regle!$H$23,IF(V76=regle!$I$11,regle!$I$23,IF(V76=regle!$J$11,regle!$J$23,0)))))))))))</f>
        <v>0</v>
      </c>
      <c r="AG76" s="14">
        <f>IF($A76,$M76*(IF(W76=regle!$B$11,regle!$B$23,IF(W76=regle!$C$11,regle!$C$23,IF(W76=regle!$D$11,regle!$D$23,IF(W76=regle!$E$11,regle!$E$23,IF(W76=regle!$F$11,regle!$F$23,IF(W76=regle!$G$11,regle!$G$23,IF(W76=regle!$H$11,regle!$H$23,IF(W76=regle!$I$11,regle!$I$23,IF(W76=regle!$J$11,regle!$J$23,0)))))))))))</f>
        <v>0</v>
      </c>
      <c r="AH76" s="14">
        <f>IF($A76,$M76*(IF(X76=regle!$B$11,regle!$B$23,IF(X76=regle!$C$11,regle!$C$23,IF(X76=regle!$D$11,regle!$D$23,IF(X76=regle!$E$11,regle!$E$23,IF(X76=regle!$F$11,regle!$F$23,IF(X76=regle!$G$11,regle!$G$23,IF(X76=regle!$H$11,regle!$H$23,IF(X76=regle!$I$11,regle!$I$23,IF(X76=regle!$J$11,regle!$J$23,0)))))))))))</f>
        <v>0</v>
      </c>
      <c r="AI76" s="14">
        <f>IF($A76,$M76*(IF(Y76=regle!$B$11,regle!$B$23,IF(Y76=regle!$C$11,regle!$C$23,IF(Y76=regle!$D$11,regle!$D$23,IF(Y76=regle!$E$11,regle!$E$23,IF(Y76=regle!$F$11,regle!$F$23,IF(Y76=regle!$G$11,regle!$G$23,IF(Y76=regle!$H$11,regle!$H$23,IF(Y76=regle!$I$11,regle!$I$23,IF(Y76=regle!$J$11,regle!$J$23,0)))))))))))</f>
        <v>0</v>
      </c>
      <c r="AJ76" s="14">
        <f>IF($A76,$M76*(IF(Z76=regle!$B$11,regle!$B$23,IF(Z76=regle!$C$11,regle!$C$23,IF(Z76=regle!$D$11,regle!$D$23,IF(Z76=regle!$E$11,regle!$E$23,IF(Z76=regle!$F$11,regle!$F$23,IF(Z76=regle!$G$11,regle!$G$23,IF(Z76=regle!$H$11,regle!$H$23,IF(Z76=regle!$I$11,regle!$I$23,IF(Z76=regle!$J$11,regle!$J$23,0)))))))))))</f>
        <v>0</v>
      </c>
      <c r="AK76" s="14">
        <f>IF($A76,$M76*(IF(AA76=regle!$B$11,regle!$B$23,IF(AA76=regle!$C$11,regle!$C$23,IF(AA76=regle!$D$11,regle!$D$23,IF(AA76=regle!$E$11,regle!$E$23,IF(AA76=regle!$F$11,regle!$F$23,IF(AA76=regle!$G$11,regle!$G$23,IF(AA76=regle!$H$11,regle!$H$23,IF(AA76=regle!$I$11,regle!$I$23,IF(AA76=regle!$J$11,regle!$J$23,0)))))))))))</f>
        <v>0</v>
      </c>
      <c r="AL76" s="14">
        <f>IF($A76,$M76*(IF(AB76=regle!$B$11,regle!$B$23,IF(AB76=regle!$C$11,regle!$C$23,IF(AB76=regle!$D$11,regle!$D$23,IF(AB76=regle!$E$11,regle!$E$23,IF(AB76=regle!$F$11,regle!$F$23,IF(AB76=regle!$G$11,regle!$G$23,IF(AB76=regle!$H$11,regle!$H$23,IF(AB76=regle!$I$11,regle!$I$23,IF(AB76=regle!$J$11,regle!$J$23,0)))))))))))</f>
        <v>0</v>
      </c>
      <c r="AM76" s="14">
        <f>IF($A76,$M76*(IF(AC76=regle!$B$11,regle!$B$23,IF(AC76=regle!$C$11,regle!$C$23,IF(AC76=regle!$D$11,regle!$D$23,IF(AC76=regle!$E$11,regle!$E$23,IF(AC76=regle!$F$11,regle!$F$23,IF(AC76=regle!$G$11,regle!$G$23,IF(AC76=regle!$H$11,regle!$H$23,IF(AC76=regle!$I$11,regle!$I$23,IF(AC76=regle!$J$11,regle!$J$23,0)))))))))))</f>
        <v>0</v>
      </c>
      <c r="AN76" s="14">
        <f>IF($A76,$M76*(IF(AD76=regle!$B$11,regle!$B$23,IF(AD76=regle!$C$11,regle!$C$23,IF(AD76=regle!$D$11,regle!$D$23,IF(AD76=regle!$E$11,regle!$E$23,IF(AD76=regle!$F$11,regle!$F$23,IF(AD76=regle!$G$11,regle!$G$23,IF(AD76=regle!$H$11,regle!$H$23,IF(AD76=regle!$I$11,regle!$I$23,IF(AD76=regle!$J$11,regle!$J$23,0)))))))))))</f>
        <v>0</v>
      </c>
      <c r="AO76">
        <f>IF(AO$1=$AO$1,IF(regle!B$2-$Q76&gt;=regle!$J$12,-2,IF($S76,IF(regle!$B$2-$Q76&gt;=2,0,-1),regle!B$2-$Q76)),IF(AN76+1&gt;=regle!$J$12,-2,AN76+1))</f>
        <v>29</v>
      </c>
      <c r="AP76">
        <f>IF(AP$1=$AO$1,IF(regle!C$2-$Q76&gt;=regle!$J$12,-2,IF($S76,IF(regle!$B$2-$Q76&gt;=2,0,-1),regle!C$2-$Q76)),IF(AO76+1&gt;=regle!$J$12,-2,AO76+1))</f>
        <v>30</v>
      </c>
      <c r="AQ76">
        <f>IF(AQ$1=$AO$1,IF(regle!D$2-$Q76&gt;=regle!$J$12,-2,IF($S76,IF(regle!$B$2-$Q76&gt;=2,0,-1),regle!D$2-$Q76)),IF(AP76+1&gt;=regle!$J$12,-2,AP76+1))</f>
        <v>31</v>
      </c>
      <c r="AR76">
        <f>IF(AR$1=$AO$1,IF(regle!E$2-$Q76&gt;=regle!$J$12,-2,IF($S76,IF(regle!$B$2-$Q76&gt;=2,0,-1),regle!E$2-$Q76)),IF(AQ76+1&gt;=regle!$J$12,-2,AQ76+1))</f>
        <v>32</v>
      </c>
      <c r="AS76">
        <f>IF(AS$1=$AO$1,IF(regle!F$2-$Q76&gt;=regle!$J$12,-2,IF($S76,IF(regle!$B$2-$Q76&gt;=2,0,-1),regle!F$2-$Q76)),IF(AR76+1&gt;=regle!$J$12,-2,AR76+1))</f>
        <v>33</v>
      </c>
      <c r="AT76">
        <f>IF(AT$1=$AO$1,IF(regle!G$2-$Q76&gt;=regle!$J$12,-2,IF($S76,IF(regle!$B$2-$Q76&gt;=2,0,-1),regle!G$2-$Q76)),IF(AS76+1&gt;=regle!$J$12,-2,AS76+1))</f>
        <v>34</v>
      </c>
      <c r="AU76">
        <f>IF(AU$1=$AO$1,IF(regle!H$2-$Q76&gt;=regle!$J$12,-2,IF($S76,IF(regle!$B$2-$Q76&gt;=2,0,-1),regle!H$2-$Q76)),IF(AT76+1&gt;=regle!$J$12,-2,AT76+1))</f>
        <v>35</v>
      </c>
      <c r="AV76">
        <f>IF(AV$1=$AO$1,IF(regle!I$2-$Q76&gt;=regle!$J$12,-2,IF($S76,IF(regle!$B$2-$Q76&gt;=2,0,-1),regle!I$2-$Q76)),IF(AU76+1&gt;=regle!$J$12,-2,AU76+1))</f>
        <v>36</v>
      </c>
      <c r="AW76">
        <f>IF(AW$1=$AO$1,IF(regle!J$2-$Q76&gt;=regle!$J$12,-2,IF($S76,IF(regle!$B$2-$Q76&gt;=2,0,-1),regle!J$2-$Q76)),IF(AV76+1&gt;=regle!$J$12,-2,AV76+1))</f>
        <v>37</v>
      </c>
      <c r="AX76">
        <f>IF(AX$1=$AO$1,IF(regle!K$2-$Q76&gt;=regle!$J$12,-2,IF($S76,IF(regle!$B$2-$Q76&gt;=2,0,-1),regle!K$2-$Q76)),IF(AW76+1&gt;=regle!$J$12,-2,AW76+1))</f>
        <v>38</v>
      </c>
    </row>
    <row r="77" spans="1:50" x14ac:dyDescent="0.25">
      <c r="A77" t="b">
        <f>AND(modif0[[#This Row],[cdstr]]&lt;&gt;0,OR(regle!$H$27=FALSE,modif0[[#This Row],[essnc]]="PM"))</f>
        <v>1</v>
      </c>
      <c r="B77">
        <f>ROW(objet!A98)</f>
        <v>98</v>
      </c>
      <c r="C77" s="10" t="str">
        <f>objet!D98</f>
        <v>5360000A0684</v>
      </c>
      <c r="D77" t="str">
        <f>LEFT(modif0[[#This Row],[cdstr]],3)</f>
        <v>536</v>
      </c>
      <c r="E77" s="10" t="str">
        <f>objet!G98</f>
        <v>LE TUZAN</v>
      </c>
      <c r="F77">
        <f>LEN(modif0[[#This Row],[l_dt]])</f>
        <v>7</v>
      </c>
      <c r="G77" s="10" t="str">
        <f>objet!H98</f>
        <v>CHOUSSE</v>
      </c>
      <c r="H77" s="10" t="str">
        <f>objet!C98</f>
        <v>A684</v>
      </c>
      <c r="I77" t="str">
        <f>IF(ISNUMBER(VALUE(RIGHT(LEFT(modif0[[#This Row],[idntfn]],2),1))),_xlfn.CONCAT(0,LEFT(modif0[[#This Row],[idntfn]],1)),LEFT(modif0[[#This Row],[idntfn]],2))</f>
        <v>0A</v>
      </c>
      <c r="J77">
        <f>VALUE(LEFT(RIGHT(modif0[[#This Row],[idntfn]],LEN(modif0[[#This Row],[idntfn]])-IF(LEFT(modif0[[#This Row],[sctn]],1)="0",1,2)),LEN(modif0[[#This Row],[idntfn]])-IF(LEFT(modif0[[#This Row],[sctn]],1)="0",1,2)-LEN(modif0[[#This Row],[lttr]])))</f>
        <v>684</v>
      </c>
      <c r="K77" t="str">
        <f>IF(ISNUMBER(VALUE(RIGHT(modif0[[#This Row],[idntfn]],1))),"",IF(ISNUMBER(VALUE(LEFT(RIGHT(modif0[[#This Row],[idntfn]],2),1))),RIGHT(modif0[[#This Row],[idntfn]],1),RIGHT(modif0[[#This Row],[idntfn]],2)))</f>
        <v/>
      </c>
      <c r="L77" s="10">
        <f>objet!I98</f>
        <v>6857</v>
      </c>
      <c r="M77" s="11">
        <f>modif0[[#This Row],[srfc]]/10000</f>
        <v>0.68569999999999998</v>
      </c>
      <c r="N77" s="10" t="str">
        <f>objet!Z98</f>
        <v>PM</v>
      </c>
      <c r="O77" s="10" t="str">
        <f>objet!AA98</f>
        <v>PLA2013</v>
      </c>
      <c r="P77" t="str">
        <f>IF(ISNUMBER(modif0[[#This Row],[trvx]]),"",LEFT(modif0[[#This Row],[trvx]],LEN(modif0[[#This Row],[trvx]])-4))</f>
        <v>PLA</v>
      </c>
      <c r="Q77">
        <f>VALUE(RIGHT(modif0[[#This Row],[trvx]],4))</f>
        <v>2013</v>
      </c>
      <c r="R77" t="str">
        <f>_xlfn.CONCAT(modif0[[#This Row],[tp]],"-",modif0[[#This Row],[essnc]],"_",modif0[[#This Row],[anns]])</f>
        <v>PLA-PM_2013</v>
      </c>
      <c r="S77" t="b">
        <f>modif0[[#This Row],[tp]]="CR"</f>
        <v>0</v>
      </c>
      <c r="T77">
        <v>40</v>
      </c>
      <c r="U77" t="str">
        <f>IF(NOT($A77),"",
IF(AO77=-2,regle!$J$11,
IF(AO77=regle!$B$12,regle!$B$11,
IF(AO77=regle!$C$12,regle!$C$11,
IF(AO77=regle!$D$12,regle!$D$11,
IF(AO77=regle!$E$12,regle!$E$11,
IF(AO77=regle!$F$12,regle!$F$11,
IF(AO77=regle!$G$12,regle!$G$11,
IF(AO77=regle!$H$12,regle!$H$11,
IF(AO77=regle!$I$12,regle!$I$11,""))))))))))</f>
        <v/>
      </c>
      <c r="V77" t="str">
        <f>IF(NOT($A77),"",
IF(AP77=-2,regle!$J$11,
IF(AP77=regle!$B$12,regle!$B$11,
IF(AP77=regle!$C$12,regle!$C$11,
IF(AP77=regle!$D$12,regle!$D$11,
IF(AP77=regle!$E$12,regle!$E$11,
IF(AP77=regle!$F$12,regle!$F$11,
IF(AP77=regle!$G$12,regle!$G$11,
IF(AP77=regle!$H$12,regle!$H$11,
IF(AP77=regle!$I$12,regle!$I$11,""))))))))))</f>
        <v/>
      </c>
      <c r="W77" t="str">
        <f>IF(NOT($A77),"",
IF(AQ77=-2,regle!$J$11,
IF(AQ77=regle!$B$12,regle!$B$11,
IF(AQ77=regle!$C$12,regle!$C$11,
IF(AQ77=regle!$D$12,regle!$D$11,
IF(AQ77=regle!$E$12,regle!$E$11,
IF(AQ77=regle!$F$12,regle!$F$11,
IF(AQ77=regle!$G$12,regle!$G$11,
IF(AQ77=regle!$H$12,regle!$H$11,
IF(AQ77=regle!$I$12,regle!$I$11,""))))))))))</f>
        <v>EC1</v>
      </c>
      <c r="X77" t="str">
        <f>IF(NOT($A77),"",
IF(AR77=-2,regle!$J$11,
IF(AR77=regle!$B$12,regle!$B$11,
IF(AR77=regle!$C$12,regle!$C$11,
IF(AR77=regle!$D$12,regle!$D$11,
IF(AR77=regle!$E$12,regle!$E$11,
IF(AR77=regle!$F$12,regle!$F$11,
IF(AR77=regle!$G$12,regle!$G$11,
IF(AR77=regle!$H$12,regle!$H$11,
IF(AR77=regle!$I$12,regle!$I$11,""))))))))))</f>
        <v/>
      </c>
      <c r="Y77" t="str">
        <f>IF(NOT($A77),"",
IF(AS77=-2,regle!$J$11,
IF(AS77=regle!$B$12,regle!$B$11,
IF(AS77=regle!$C$12,regle!$C$11,
IF(AS77=regle!$D$12,regle!$D$11,
IF(AS77=regle!$E$12,regle!$E$11,
IF(AS77=regle!$F$12,regle!$F$11,
IF(AS77=regle!$G$12,regle!$G$11,
IF(AS77=regle!$H$12,regle!$H$11,
IF(AS77=regle!$I$12,regle!$I$11,""))))))))))</f>
        <v/>
      </c>
      <c r="Z77" t="str">
        <f>IF(NOT($A77),"",
IF(AT77=-2,regle!$J$11,
IF(AT77=regle!$B$12,regle!$B$11,
IF(AT77=regle!$C$12,regle!$C$11,
IF(AT77=regle!$D$12,regle!$D$11,
IF(AT77=regle!$E$12,regle!$E$11,
IF(AT77=regle!$F$12,regle!$F$11,
IF(AT77=regle!$G$12,regle!$G$11,
IF(AT77=regle!$H$12,regle!$H$11,
IF(AT77=regle!$I$12,regle!$I$11,""))))))))))</f>
        <v/>
      </c>
      <c r="AA77" t="str">
        <f>IF(NOT($A77),"",
IF(AU77=-2,regle!$J$11,
IF(AU77=regle!$B$12,regle!$B$11,
IF(AU77=regle!$C$12,regle!$C$11,
IF(AU77=regle!$D$12,regle!$D$11,
IF(AU77=regle!$E$12,regle!$E$11,
IF(AU77=regle!$F$12,regle!$F$11,
IF(AU77=regle!$G$12,regle!$G$11,
IF(AU77=regle!$H$12,regle!$H$11,
IF(AU77=regle!$I$12,regle!$I$11,""))))))))))</f>
        <v/>
      </c>
      <c r="AB77" t="str">
        <f>IF(NOT($A77),"",
IF(AV77=-2,regle!$J$11,
IF(AV77=regle!$B$12,regle!$B$11,
IF(AV77=regle!$C$12,regle!$C$11,
IF(AV77=regle!$D$12,regle!$D$11,
IF(AV77=regle!$E$12,regle!$E$11,
IF(AV77=regle!$F$12,regle!$F$11,
IF(AV77=regle!$G$12,regle!$G$11,
IF(AV77=regle!$H$12,regle!$H$11,
IF(AV77=regle!$I$12,regle!$I$11,""))))))))))</f>
        <v>EC2</v>
      </c>
      <c r="AC77" t="str">
        <f>IF(NOT($A77),"",
IF(AW77=-2,regle!$J$11,
IF(AW77=regle!$B$12,regle!$B$11,
IF(AW77=regle!$C$12,regle!$C$11,
IF(AW77=regle!$D$12,regle!$D$11,
IF(AW77=regle!$E$12,regle!$E$11,
IF(AW77=regle!$F$12,regle!$F$11,
IF(AW77=regle!$G$12,regle!$G$11,
IF(AW77=regle!$H$12,regle!$H$11,
IF(AW77=regle!$I$12,regle!$I$11,""))))))))))</f>
        <v/>
      </c>
      <c r="AD77" t="str">
        <f>IF(NOT($A77),"",
IF(AX77=-2,regle!$J$11,
IF(AX77=regle!$B$12,regle!$B$11,
IF(AX77=regle!$C$12,regle!$C$11,
IF(AX77=regle!$D$12,regle!$D$11,
IF(AX77=regle!$E$12,regle!$E$11,
IF(AX77=regle!$F$12,regle!$F$11,
IF(AX77=regle!$G$12,regle!$G$11,
IF(AX77=regle!$H$12,regle!$H$11,
IF(AX77=regle!$I$12,regle!$I$11,""))))))))))</f>
        <v/>
      </c>
      <c r="AE77" s="14">
        <f>IF($A77,$M77*(IF(U77=regle!$B$11,regle!$B$23,IF(U77=regle!$C$11,regle!$C$23,IF(U77=regle!$D$11,regle!$D$23,IF(U77=regle!$E$11,regle!$E$23,IF(U77=regle!$F$11,regle!$F$23,IF(U77=regle!$G$11,regle!$G$23,IF(U77=regle!$H$11,regle!$H$23,IF(U77=regle!$I$11,regle!$I$23,IF(U77=regle!$J$11,regle!$J$23,0)))))))))))</f>
        <v>0</v>
      </c>
      <c r="AF77" s="14">
        <f>IF($A77,$M77*(IF(V77=regle!$B$11,regle!$B$23,IF(V77=regle!$C$11,regle!$C$23,IF(V77=regle!$D$11,regle!$D$23,IF(V77=regle!$E$11,regle!$E$23,IF(V77=regle!$F$11,regle!$F$23,IF(V77=regle!$G$11,regle!$G$23,IF(V77=regle!$H$11,regle!$H$23,IF(V77=regle!$I$11,regle!$I$23,IF(V77=regle!$J$11,regle!$J$23,0)))))))))))</f>
        <v>0</v>
      </c>
      <c r="AG77" s="14">
        <f>IF($A77,$M77*(IF(W77=regle!$B$11,regle!$B$23,IF(W77=regle!$C$11,regle!$C$23,IF(W77=regle!$D$11,regle!$D$23,IF(W77=regle!$E$11,regle!$E$23,IF(W77=regle!$F$11,regle!$F$23,IF(W77=regle!$G$11,regle!$G$23,IF(W77=regle!$H$11,regle!$H$23,IF(W77=regle!$I$11,regle!$I$23,IF(W77=regle!$J$11,regle!$J$23,0)))))))))))</f>
        <v>394.96319999999997</v>
      </c>
      <c r="AH77" s="14">
        <f>IF($A77,$M77*(IF(X77=regle!$B$11,regle!$B$23,IF(X77=regle!$C$11,regle!$C$23,IF(X77=regle!$D$11,regle!$D$23,IF(X77=regle!$E$11,regle!$E$23,IF(X77=regle!$F$11,regle!$F$23,IF(X77=regle!$G$11,regle!$G$23,IF(X77=regle!$H$11,regle!$H$23,IF(X77=regle!$I$11,regle!$I$23,IF(X77=regle!$J$11,regle!$J$23,0)))))))))))</f>
        <v>0</v>
      </c>
      <c r="AI77" s="14">
        <f>IF($A77,$M77*(IF(Y77=regle!$B$11,regle!$B$23,IF(Y77=regle!$C$11,regle!$C$23,IF(Y77=regle!$D$11,regle!$D$23,IF(Y77=regle!$E$11,regle!$E$23,IF(Y77=regle!$F$11,regle!$F$23,IF(Y77=regle!$G$11,regle!$G$23,IF(Y77=regle!$H$11,regle!$H$23,IF(Y77=regle!$I$11,regle!$I$23,IF(Y77=regle!$J$11,regle!$J$23,0)))))))))))</f>
        <v>0</v>
      </c>
      <c r="AJ77" s="14">
        <f>IF($A77,$M77*(IF(Z77=regle!$B$11,regle!$B$23,IF(Z77=regle!$C$11,regle!$C$23,IF(Z77=regle!$D$11,regle!$D$23,IF(Z77=regle!$E$11,regle!$E$23,IF(Z77=regle!$F$11,regle!$F$23,IF(Z77=regle!$G$11,regle!$G$23,IF(Z77=regle!$H$11,regle!$H$23,IF(Z77=regle!$I$11,regle!$I$23,IF(Z77=regle!$J$11,regle!$J$23,0)))))))))))</f>
        <v>0</v>
      </c>
      <c r="AK77" s="14">
        <f>IF($A77,$M77*(IF(AA77=regle!$B$11,regle!$B$23,IF(AA77=regle!$C$11,regle!$C$23,IF(AA77=regle!$D$11,regle!$D$23,IF(AA77=regle!$E$11,regle!$E$23,IF(AA77=regle!$F$11,regle!$F$23,IF(AA77=regle!$G$11,regle!$G$23,IF(AA77=regle!$H$11,regle!$H$23,IF(AA77=regle!$I$11,regle!$I$23,IF(AA77=regle!$J$11,regle!$J$23,0)))))))))))</f>
        <v>0</v>
      </c>
      <c r="AL77" s="14">
        <f>IF($A77,$M77*(IF(AB77=regle!$B$11,regle!$B$23,IF(AB77=regle!$C$11,regle!$C$23,IF(AB77=regle!$D$11,regle!$D$23,IF(AB77=regle!$E$11,regle!$E$23,IF(AB77=regle!$F$11,regle!$F$23,IF(AB77=regle!$G$11,regle!$G$23,IF(AB77=regle!$H$11,regle!$H$23,IF(AB77=regle!$I$11,regle!$I$23,IF(AB77=regle!$J$11,regle!$J$23,0)))))))))))</f>
        <v>575.98799999999994</v>
      </c>
      <c r="AM77" s="14">
        <f>IF($A77,$M77*(IF(AC77=regle!$B$11,regle!$B$23,IF(AC77=regle!$C$11,regle!$C$23,IF(AC77=regle!$D$11,regle!$D$23,IF(AC77=regle!$E$11,regle!$E$23,IF(AC77=regle!$F$11,regle!$F$23,IF(AC77=regle!$G$11,regle!$G$23,IF(AC77=regle!$H$11,regle!$H$23,IF(AC77=regle!$I$11,regle!$I$23,IF(AC77=regle!$J$11,regle!$J$23,0)))))))))))</f>
        <v>0</v>
      </c>
      <c r="AN77" s="14">
        <f>IF($A77,$M77*(IF(AD77=regle!$B$11,regle!$B$23,IF(AD77=regle!$C$11,regle!$C$23,IF(AD77=regle!$D$11,regle!$D$23,IF(AD77=regle!$E$11,regle!$E$23,IF(AD77=regle!$F$11,regle!$F$23,IF(AD77=regle!$G$11,regle!$G$23,IF(AD77=regle!$H$11,regle!$H$23,IF(AD77=regle!$I$11,regle!$I$23,IF(AD77=regle!$J$11,regle!$J$23,0)))))))))))</f>
        <v>0</v>
      </c>
      <c r="AO77">
        <f>IF(AO$1=$AO$1,IF(regle!B$2-$Q77&gt;=regle!$J$12,-2,IF($S77,IF(regle!$B$2-$Q77&gt;=2,0,-1),regle!B$2-$Q77)),IF(AN77+1&gt;=regle!$J$12,-2,AN77+1))</f>
        <v>11</v>
      </c>
      <c r="AP77">
        <f>IF(AP$1=$AO$1,IF(regle!C$2-$Q77&gt;=regle!$J$12,-2,IF($S77,IF(regle!$B$2-$Q77&gt;=2,0,-1),regle!C$2-$Q77)),IF(AO77+1&gt;=regle!$J$12,-2,AO77+1))</f>
        <v>12</v>
      </c>
      <c r="AQ77">
        <f>IF(AQ$1=$AO$1,IF(regle!D$2-$Q77&gt;=regle!$J$12,-2,IF($S77,IF(regle!$B$2-$Q77&gt;=2,0,-1),regle!D$2-$Q77)),IF(AP77+1&gt;=regle!$J$12,-2,AP77+1))</f>
        <v>13</v>
      </c>
      <c r="AR77">
        <f>IF(AR$1=$AO$1,IF(regle!E$2-$Q77&gt;=regle!$J$12,-2,IF($S77,IF(regle!$B$2-$Q77&gt;=2,0,-1),regle!E$2-$Q77)),IF(AQ77+1&gt;=regle!$J$12,-2,AQ77+1))</f>
        <v>14</v>
      </c>
      <c r="AS77">
        <f>IF(AS$1=$AO$1,IF(regle!F$2-$Q77&gt;=regle!$J$12,-2,IF($S77,IF(regle!$B$2-$Q77&gt;=2,0,-1),regle!F$2-$Q77)),IF(AR77+1&gt;=regle!$J$12,-2,AR77+1))</f>
        <v>15</v>
      </c>
      <c r="AT77">
        <f>IF(AT$1=$AO$1,IF(regle!G$2-$Q77&gt;=regle!$J$12,-2,IF($S77,IF(regle!$B$2-$Q77&gt;=2,0,-1),regle!G$2-$Q77)),IF(AS77+1&gt;=regle!$J$12,-2,AS77+1))</f>
        <v>16</v>
      </c>
      <c r="AU77">
        <f>IF(AU$1=$AO$1,IF(regle!H$2-$Q77&gt;=regle!$J$12,-2,IF($S77,IF(regle!$B$2-$Q77&gt;=2,0,-1),regle!H$2-$Q77)),IF(AT77+1&gt;=regle!$J$12,-2,AT77+1))</f>
        <v>17</v>
      </c>
      <c r="AV77">
        <f>IF(AV$1=$AO$1,IF(regle!I$2-$Q77&gt;=regle!$J$12,-2,IF($S77,IF(regle!$B$2-$Q77&gt;=2,0,-1),regle!I$2-$Q77)),IF(AU77+1&gt;=regle!$J$12,-2,AU77+1))</f>
        <v>18</v>
      </c>
      <c r="AW77">
        <f>IF(AW$1=$AO$1,IF(regle!J$2-$Q77&gt;=regle!$J$12,-2,IF($S77,IF(regle!$B$2-$Q77&gt;=2,0,-1),regle!J$2-$Q77)),IF(AV77+1&gt;=regle!$J$12,-2,AV77+1))</f>
        <v>19</v>
      </c>
      <c r="AX77">
        <f>IF(AX$1=$AO$1,IF(regle!K$2-$Q77&gt;=regle!$J$12,-2,IF($S77,IF(regle!$B$2-$Q77&gt;=2,0,-1),regle!K$2-$Q77)),IF(AW77+1&gt;=regle!$J$12,-2,AW77+1))</f>
        <v>20</v>
      </c>
    </row>
    <row r="78" spans="1:50" x14ac:dyDescent="0.25">
      <c r="A78" t="b">
        <f>AND(modif0[[#This Row],[cdstr]]&lt;&gt;0,OR(regle!$H$27=FALSE,modif0[[#This Row],[essnc]]="PM"))</f>
        <v>1</v>
      </c>
      <c r="B78">
        <f>ROW(objet!A99)</f>
        <v>99</v>
      </c>
      <c r="C78" s="10" t="str">
        <f>objet!D99</f>
        <v>5360000A0700</v>
      </c>
      <c r="D78" t="str">
        <f>LEFT(modif0[[#This Row],[cdstr]],3)</f>
        <v>536</v>
      </c>
      <c r="E78" s="10" t="str">
        <f>objet!G99</f>
        <v>LE TUZAN</v>
      </c>
      <c r="F78">
        <f>LEN(modif0[[#This Row],[l_dt]])</f>
        <v>7</v>
      </c>
      <c r="G78" s="10" t="str">
        <f>objet!H99</f>
        <v>CHOUSSE</v>
      </c>
      <c r="H78" s="10" t="str">
        <f>objet!C99</f>
        <v>A700j</v>
      </c>
      <c r="I78" t="str">
        <f>IF(ISNUMBER(VALUE(RIGHT(LEFT(modif0[[#This Row],[idntfn]],2),1))),_xlfn.CONCAT(0,LEFT(modif0[[#This Row],[idntfn]],1)),LEFT(modif0[[#This Row],[idntfn]],2))</f>
        <v>0A</v>
      </c>
      <c r="J78">
        <f>VALUE(LEFT(RIGHT(modif0[[#This Row],[idntfn]],LEN(modif0[[#This Row],[idntfn]])-IF(LEFT(modif0[[#This Row],[sctn]],1)="0",1,2)),LEN(modif0[[#This Row],[idntfn]])-IF(LEFT(modif0[[#This Row],[sctn]],1)="0",1,2)-LEN(modif0[[#This Row],[lttr]])))</f>
        <v>700</v>
      </c>
      <c r="K78" t="str">
        <f>IF(ISNUMBER(VALUE(RIGHT(modif0[[#This Row],[idntfn]],1))),"",IF(ISNUMBER(VALUE(LEFT(RIGHT(modif0[[#This Row],[idntfn]],2),1))),RIGHT(modif0[[#This Row],[idntfn]],1),RIGHT(modif0[[#This Row],[idntfn]],2)))</f>
        <v>j</v>
      </c>
      <c r="L78" s="10">
        <f>objet!I99</f>
        <v>440</v>
      </c>
      <c r="M78" s="11">
        <f>modif0[[#This Row],[srfc]]/10000</f>
        <v>4.3999999999999997E-2</v>
      </c>
      <c r="N78" s="10" t="str">
        <f>objet!Z99</f>
        <v>PM</v>
      </c>
      <c r="O78" s="10" t="str">
        <f>objet!AA99</f>
        <v>PLA2013</v>
      </c>
      <c r="P78" t="str">
        <f>IF(ISNUMBER(modif0[[#This Row],[trvx]]),"",LEFT(modif0[[#This Row],[trvx]],LEN(modif0[[#This Row],[trvx]])-4))</f>
        <v>PLA</v>
      </c>
      <c r="Q78">
        <f>VALUE(RIGHT(modif0[[#This Row],[trvx]],4))</f>
        <v>2013</v>
      </c>
      <c r="R78" t="str">
        <f>_xlfn.CONCAT(modif0[[#This Row],[tp]],"-",modif0[[#This Row],[essnc]],"_",modif0[[#This Row],[anns]])</f>
        <v>PLA-PM_2013</v>
      </c>
      <c r="S78" t="b">
        <f>modif0[[#This Row],[tp]]="CR"</f>
        <v>0</v>
      </c>
      <c r="T78">
        <v>40</v>
      </c>
      <c r="U78" t="str">
        <f>IF(NOT($A78),"",
IF(AO78=-2,regle!$J$11,
IF(AO78=regle!$B$12,regle!$B$11,
IF(AO78=regle!$C$12,regle!$C$11,
IF(AO78=regle!$D$12,regle!$D$11,
IF(AO78=regle!$E$12,regle!$E$11,
IF(AO78=regle!$F$12,regle!$F$11,
IF(AO78=regle!$G$12,regle!$G$11,
IF(AO78=regle!$H$12,regle!$H$11,
IF(AO78=regle!$I$12,regle!$I$11,""))))))))))</f>
        <v/>
      </c>
      <c r="V78" t="str">
        <f>IF(NOT($A78),"",
IF(AP78=-2,regle!$J$11,
IF(AP78=regle!$B$12,regle!$B$11,
IF(AP78=regle!$C$12,regle!$C$11,
IF(AP78=regle!$D$12,regle!$D$11,
IF(AP78=regle!$E$12,regle!$E$11,
IF(AP78=regle!$F$12,regle!$F$11,
IF(AP78=regle!$G$12,regle!$G$11,
IF(AP78=regle!$H$12,regle!$H$11,
IF(AP78=regle!$I$12,regle!$I$11,""))))))))))</f>
        <v/>
      </c>
      <c r="W78" t="str">
        <f>IF(NOT($A78),"",
IF(AQ78=-2,regle!$J$11,
IF(AQ78=regle!$B$12,regle!$B$11,
IF(AQ78=regle!$C$12,regle!$C$11,
IF(AQ78=regle!$D$12,regle!$D$11,
IF(AQ78=regle!$E$12,regle!$E$11,
IF(AQ78=regle!$F$12,regle!$F$11,
IF(AQ78=regle!$G$12,regle!$G$11,
IF(AQ78=regle!$H$12,regle!$H$11,
IF(AQ78=regle!$I$12,regle!$I$11,""))))))))))</f>
        <v>EC1</v>
      </c>
      <c r="X78" t="str">
        <f>IF(NOT($A78),"",
IF(AR78=-2,regle!$J$11,
IF(AR78=regle!$B$12,regle!$B$11,
IF(AR78=regle!$C$12,regle!$C$11,
IF(AR78=regle!$D$12,regle!$D$11,
IF(AR78=regle!$E$12,regle!$E$11,
IF(AR78=regle!$F$12,regle!$F$11,
IF(AR78=regle!$G$12,regle!$G$11,
IF(AR78=regle!$H$12,regle!$H$11,
IF(AR78=regle!$I$12,regle!$I$11,""))))))))))</f>
        <v/>
      </c>
      <c r="Y78" t="str">
        <f>IF(NOT($A78),"",
IF(AS78=-2,regle!$J$11,
IF(AS78=regle!$B$12,regle!$B$11,
IF(AS78=regle!$C$12,regle!$C$11,
IF(AS78=regle!$D$12,regle!$D$11,
IF(AS78=regle!$E$12,regle!$E$11,
IF(AS78=regle!$F$12,regle!$F$11,
IF(AS78=regle!$G$12,regle!$G$11,
IF(AS78=regle!$H$12,regle!$H$11,
IF(AS78=regle!$I$12,regle!$I$11,""))))))))))</f>
        <v/>
      </c>
      <c r="Z78" t="str">
        <f>IF(NOT($A78),"",
IF(AT78=-2,regle!$J$11,
IF(AT78=regle!$B$12,regle!$B$11,
IF(AT78=regle!$C$12,regle!$C$11,
IF(AT78=regle!$D$12,regle!$D$11,
IF(AT78=regle!$E$12,regle!$E$11,
IF(AT78=regle!$F$12,regle!$F$11,
IF(AT78=regle!$G$12,regle!$G$11,
IF(AT78=regle!$H$12,regle!$H$11,
IF(AT78=regle!$I$12,regle!$I$11,""))))))))))</f>
        <v/>
      </c>
      <c r="AA78" t="str">
        <f>IF(NOT($A78),"",
IF(AU78=-2,regle!$J$11,
IF(AU78=regle!$B$12,regle!$B$11,
IF(AU78=regle!$C$12,regle!$C$11,
IF(AU78=regle!$D$12,regle!$D$11,
IF(AU78=regle!$E$12,regle!$E$11,
IF(AU78=regle!$F$12,regle!$F$11,
IF(AU78=regle!$G$12,regle!$G$11,
IF(AU78=regle!$H$12,regle!$H$11,
IF(AU78=regle!$I$12,regle!$I$11,""))))))))))</f>
        <v/>
      </c>
      <c r="AB78" t="str">
        <f>IF(NOT($A78),"",
IF(AV78=-2,regle!$J$11,
IF(AV78=regle!$B$12,regle!$B$11,
IF(AV78=regle!$C$12,regle!$C$11,
IF(AV78=regle!$D$12,regle!$D$11,
IF(AV78=regle!$E$12,regle!$E$11,
IF(AV78=regle!$F$12,regle!$F$11,
IF(AV78=regle!$G$12,regle!$G$11,
IF(AV78=regle!$H$12,regle!$H$11,
IF(AV78=regle!$I$12,regle!$I$11,""))))))))))</f>
        <v>EC2</v>
      </c>
      <c r="AC78" t="str">
        <f>IF(NOT($A78),"",
IF(AW78=-2,regle!$J$11,
IF(AW78=regle!$B$12,regle!$B$11,
IF(AW78=regle!$C$12,regle!$C$11,
IF(AW78=regle!$D$12,regle!$D$11,
IF(AW78=regle!$E$12,regle!$E$11,
IF(AW78=regle!$F$12,regle!$F$11,
IF(AW78=regle!$G$12,regle!$G$11,
IF(AW78=regle!$H$12,regle!$H$11,
IF(AW78=regle!$I$12,regle!$I$11,""))))))))))</f>
        <v/>
      </c>
      <c r="AD78" t="str">
        <f>IF(NOT($A78),"",
IF(AX78=-2,regle!$J$11,
IF(AX78=regle!$B$12,regle!$B$11,
IF(AX78=regle!$C$12,regle!$C$11,
IF(AX78=regle!$D$12,regle!$D$11,
IF(AX78=regle!$E$12,regle!$E$11,
IF(AX78=regle!$F$12,regle!$F$11,
IF(AX78=regle!$G$12,regle!$G$11,
IF(AX78=regle!$H$12,regle!$H$11,
IF(AX78=regle!$I$12,regle!$I$11,""))))))))))</f>
        <v/>
      </c>
      <c r="AE78" s="14">
        <f>IF($A78,$M78*(IF(U78=regle!$B$11,regle!$B$23,IF(U78=regle!$C$11,regle!$C$23,IF(U78=regle!$D$11,regle!$D$23,IF(U78=regle!$E$11,regle!$E$23,IF(U78=regle!$F$11,regle!$F$23,IF(U78=regle!$G$11,regle!$G$23,IF(U78=regle!$H$11,regle!$H$23,IF(U78=regle!$I$11,regle!$I$23,IF(U78=regle!$J$11,regle!$J$23,0)))))))))))</f>
        <v>0</v>
      </c>
      <c r="AF78" s="14">
        <f>IF($A78,$M78*(IF(V78=regle!$B$11,regle!$B$23,IF(V78=regle!$C$11,regle!$C$23,IF(V78=regle!$D$11,regle!$D$23,IF(V78=regle!$E$11,regle!$E$23,IF(V78=regle!$F$11,regle!$F$23,IF(V78=regle!$G$11,regle!$G$23,IF(V78=regle!$H$11,regle!$H$23,IF(V78=regle!$I$11,regle!$I$23,IF(V78=regle!$J$11,regle!$J$23,0)))))))))))</f>
        <v>0</v>
      </c>
      <c r="AG78" s="14">
        <f>IF($A78,$M78*(IF(W78=regle!$B$11,regle!$B$23,IF(W78=regle!$C$11,regle!$C$23,IF(W78=regle!$D$11,regle!$D$23,IF(W78=regle!$E$11,regle!$E$23,IF(W78=regle!$F$11,regle!$F$23,IF(W78=regle!$G$11,regle!$G$23,IF(W78=regle!$H$11,regle!$H$23,IF(W78=regle!$I$11,regle!$I$23,IF(W78=regle!$J$11,regle!$J$23,0)))))))))))</f>
        <v>25.343999999999998</v>
      </c>
      <c r="AH78" s="14">
        <f>IF($A78,$M78*(IF(X78=regle!$B$11,regle!$B$23,IF(X78=regle!$C$11,regle!$C$23,IF(X78=regle!$D$11,regle!$D$23,IF(X78=regle!$E$11,regle!$E$23,IF(X78=regle!$F$11,regle!$F$23,IF(X78=regle!$G$11,regle!$G$23,IF(X78=regle!$H$11,regle!$H$23,IF(X78=regle!$I$11,regle!$I$23,IF(X78=regle!$J$11,regle!$J$23,0)))))))))))</f>
        <v>0</v>
      </c>
      <c r="AI78" s="14">
        <f>IF($A78,$M78*(IF(Y78=regle!$B$11,regle!$B$23,IF(Y78=regle!$C$11,regle!$C$23,IF(Y78=regle!$D$11,regle!$D$23,IF(Y78=regle!$E$11,regle!$E$23,IF(Y78=regle!$F$11,regle!$F$23,IF(Y78=regle!$G$11,regle!$G$23,IF(Y78=regle!$H$11,regle!$H$23,IF(Y78=regle!$I$11,regle!$I$23,IF(Y78=regle!$J$11,regle!$J$23,0)))))))))))</f>
        <v>0</v>
      </c>
      <c r="AJ78" s="14">
        <f>IF($A78,$M78*(IF(Z78=regle!$B$11,regle!$B$23,IF(Z78=regle!$C$11,regle!$C$23,IF(Z78=regle!$D$11,regle!$D$23,IF(Z78=regle!$E$11,regle!$E$23,IF(Z78=regle!$F$11,regle!$F$23,IF(Z78=regle!$G$11,regle!$G$23,IF(Z78=regle!$H$11,regle!$H$23,IF(Z78=regle!$I$11,regle!$I$23,IF(Z78=regle!$J$11,regle!$J$23,0)))))))))))</f>
        <v>0</v>
      </c>
      <c r="AK78" s="14">
        <f>IF($A78,$M78*(IF(AA78=regle!$B$11,regle!$B$23,IF(AA78=regle!$C$11,regle!$C$23,IF(AA78=regle!$D$11,regle!$D$23,IF(AA78=regle!$E$11,regle!$E$23,IF(AA78=regle!$F$11,regle!$F$23,IF(AA78=regle!$G$11,regle!$G$23,IF(AA78=regle!$H$11,regle!$H$23,IF(AA78=regle!$I$11,regle!$I$23,IF(AA78=regle!$J$11,regle!$J$23,0)))))))))))</f>
        <v>0</v>
      </c>
      <c r="AL78" s="14">
        <f>IF($A78,$M78*(IF(AB78=regle!$B$11,regle!$B$23,IF(AB78=regle!$C$11,regle!$C$23,IF(AB78=regle!$D$11,regle!$D$23,IF(AB78=regle!$E$11,regle!$E$23,IF(AB78=regle!$F$11,regle!$F$23,IF(AB78=regle!$G$11,regle!$G$23,IF(AB78=regle!$H$11,regle!$H$23,IF(AB78=regle!$I$11,regle!$I$23,IF(AB78=regle!$J$11,regle!$J$23,0)))))))))))</f>
        <v>36.96</v>
      </c>
      <c r="AM78" s="14">
        <f>IF($A78,$M78*(IF(AC78=regle!$B$11,regle!$B$23,IF(AC78=regle!$C$11,regle!$C$23,IF(AC78=regle!$D$11,regle!$D$23,IF(AC78=regle!$E$11,regle!$E$23,IF(AC78=regle!$F$11,regle!$F$23,IF(AC78=regle!$G$11,regle!$G$23,IF(AC78=regle!$H$11,regle!$H$23,IF(AC78=regle!$I$11,regle!$I$23,IF(AC78=regle!$J$11,regle!$J$23,0)))))))))))</f>
        <v>0</v>
      </c>
      <c r="AN78" s="14">
        <f>IF($A78,$M78*(IF(AD78=regle!$B$11,regle!$B$23,IF(AD78=regle!$C$11,regle!$C$23,IF(AD78=regle!$D$11,regle!$D$23,IF(AD78=regle!$E$11,regle!$E$23,IF(AD78=regle!$F$11,regle!$F$23,IF(AD78=regle!$G$11,regle!$G$23,IF(AD78=regle!$H$11,regle!$H$23,IF(AD78=regle!$I$11,regle!$I$23,IF(AD78=regle!$J$11,regle!$J$23,0)))))))))))</f>
        <v>0</v>
      </c>
      <c r="AO78">
        <f>IF(AO$1=$AO$1,IF(regle!B$2-$Q78&gt;=regle!$J$12,-2,IF($S78,IF(regle!$B$2-$Q78&gt;=2,0,-1),regle!B$2-$Q78)),IF(AN78+1&gt;=regle!$J$12,-2,AN78+1))</f>
        <v>11</v>
      </c>
      <c r="AP78">
        <f>IF(AP$1=$AO$1,IF(regle!C$2-$Q78&gt;=regle!$J$12,-2,IF($S78,IF(regle!$B$2-$Q78&gt;=2,0,-1),regle!C$2-$Q78)),IF(AO78+1&gt;=regle!$J$12,-2,AO78+1))</f>
        <v>12</v>
      </c>
      <c r="AQ78">
        <f>IF(AQ$1=$AO$1,IF(regle!D$2-$Q78&gt;=regle!$J$12,-2,IF($S78,IF(regle!$B$2-$Q78&gt;=2,0,-1),regle!D$2-$Q78)),IF(AP78+1&gt;=regle!$J$12,-2,AP78+1))</f>
        <v>13</v>
      </c>
      <c r="AR78">
        <f>IF(AR$1=$AO$1,IF(regle!E$2-$Q78&gt;=regle!$J$12,-2,IF($S78,IF(regle!$B$2-$Q78&gt;=2,0,-1),regle!E$2-$Q78)),IF(AQ78+1&gt;=regle!$J$12,-2,AQ78+1))</f>
        <v>14</v>
      </c>
      <c r="AS78">
        <f>IF(AS$1=$AO$1,IF(regle!F$2-$Q78&gt;=regle!$J$12,-2,IF($S78,IF(regle!$B$2-$Q78&gt;=2,0,-1),regle!F$2-$Q78)),IF(AR78+1&gt;=regle!$J$12,-2,AR78+1))</f>
        <v>15</v>
      </c>
      <c r="AT78">
        <f>IF(AT$1=$AO$1,IF(regle!G$2-$Q78&gt;=regle!$J$12,-2,IF($S78,IF(regle!$B$2-$Q78&gt;=2,0,-1),regle!G$2-$Q78)),IF(AS78+1&gt;=regle!$J$12,-2,AS78+1))</f>
        <v>16</v>
      </c>
      <c r="AU78">
        <f>IF(AU$1=$AO$1,IF(regle!H$2-$Q78&gt;=regle!$J$12,-2,IF($S78,IF(regle!$B$2-$Q78&gt;=2,0,-1),regle!H$2-$Q78)),IF(AT78+1&gt;=regle!$J$12,-2,AT78+1))</f>
        <v>17</v>
      </c>
      <c r="AV78">
        <f>IF(AV$1=$AO$1,IF(regle!I$2-$Q78&gt;=regle!$J$12,-2,IF($S78,IF(regle!$B$2-$Q78&gt;=2,0,-1),regle!I$2-$Q78)),IF(AU78+1&gt;=regle!$J$12,-2,AU78+1))</f>
        <v>18</v>
      </c>
      <c r="AW78">
        <f>IF(AW$1=$AO$1,IF(regle!J$2-$Q78&gt;=regle!$J$12,-2,IF($S78,IF(regle!$B$2-$Q78&gt;=2,0,-1),regle!J$2-$Q78)),IF(AV78+1&gt;=regle!$J$12,-2,AV78+1))</f>
        <v>19</v>
      </c>
      <c r="AX78">
        <f>IF(AX$1=$AO$1,IF(regle!K$2-$Q78&gt;=regle!$J$12,-2,IF($S78,IF(regle!$B$2-$Q78&gt;=2,0,-1),regle!K$2-$Q78)),IF(AW78+1&gt;=regle!$J$12,-2,AW78+1))</f>
        <v>20</v>
      </c>
    </row>
    <row r="79" spans="1:50" x14ac:dyDescent="0.25">
      <c r="A79" t="b">
        <f>AND(modif0[[#This Row],[cdstr]]&lt;&gt;0,OR(regle!$H$27=FALSE,modif0[[#This Row],[essnc]]="PM"))</f>
        <v>1</v>
      </c>
      <c r="B79">
        <f>ROW(objet!A100)</f>
        <v>100</v>
      </c>
      <c r="C79" s="10" t="str">
        <f>objet!D100</f>
        <v>5360000A0700</v>
      </c>
      <c r="D79" t="str">
        <f>LEFT(modif0[[#This Row],[cdstr]],3)</f>
        <v>536</v>
      </c>
      <c r="E79" s="10" t="str">
        <f>objet!G100</f>
        <v>LE TUZAN</v>
      </c>
      <c r="F79">
        <f>LEN(modif0[[#This Row],[l_dt]])</f>
        <v>7</v>
      </c>
      <c r="G79" s="10" t="str">
        <f>objet!H100</f>
        <v>CHOUSSE</v>
      </c>
      <c r="H79" s="10" t="str">
        <f>objet!C100</f>
        <v>A700k</v>
      </c>
      <c r="I79" t="str">
        <f>IF(ISNUMBER(VALUE(RIGHT(LEFT(modif0[[#This Row],[idntfn]],2),1))),_xlfn.CONCAT(0,LEFT(modif0[[#This Row],[idntfn]],1)),LEFT(modif0[[#This Row],[idntfn]],2))</f>
        <v>0A</v>
      </c>
      <c r="J79">
        <f>VALUE(LEFT(RIGHT(modif0[[#This Row],[idntfn]],LEN(modif0[[#This Row],[idntfn]])-IF(LEFT(modif0[[#This Row],[sctn]],1)="0",1,2)),LEN(modif0[[#This Row],[idntfn]])-IF(LEFT(modif0[[#This Row],[sctn]],1)="0",1,2)-LEN(modif0[[#This Row],[lttr]])))</f>
        <v>700</v>
      </c>
      <c r="K79" t="str">
        <f>IF(ISNUMBER(VALUE(RIGHT(modif0[[#This Row],[idntfn]],1))),"",IF(ISNUMBER(VALUE(LEFT(RIGHT(modif0[[#This Row],[idntfn]],2),1))),RIGHT(modif0[[#This Row],[idntfn]],1),RIGHT(modif0[[#This Row],[idntfn]],2)))</f>
        <v>k</v>
      </c>
      <c r="L79" s="10">
        <f>objet!I100</f>
        <v>854</v>
      </c>
      <c r="M79" s="11">
        <f>modif0[[#This Row],[srfc]]/10000</f>
        <v>8.5400000000000004E-2</v>
      </c>
      <c r="N79" s="10" t="str">
        <f>objet!Z100</f>
        <v>PM</v>
      </c>
      <c r="O79" s="10" t="str">
        <f>objet!AA100</f>
        <v>SN1990</v>
      </c>
      <c r="P79" t="str">
        <f>IF(ISNUMBER(modif0[[#This Row],[trvx]]),"",LEFT(modif0[[#This Row],[trvx]],LEN(modif0[[#This Row],[trvx]])-4))</f>
        <v>SN</v>
      </c>
      <c r="Q79">
        <f>VALUE(RIGHT(modif0[[#This Row],[trvx]],4))</f>
        <v>1990</v>
      </c>
      <c r="R79" t="str">
        <f>_xlfn.CONCAT(modif0[[#This Row],[tp]],"-",modif0[[#This Row],[essnc]],"_",modif0[[#This Row],[anns]])</f>
        <v>SN-PM_1990</v>
      </c>
      <c r="S79" t="b">
        <f>modif0[[#This Row],[tp]]="CR"</f>
        <v>0</v>
      </c>
      <c r="T79">
        <v>40</v>
      </c>
      <c r="U79" t="str">
        <f>IF(NOT($A79),"",
IF(AO79=-2,regle!$J$11,
IF(AO79=regle!$B$12,regle!$B$11,
IF(AO79=regle!$C$12,regle!$C$11,
IF(AO79=regle!$D$12,regle!$D$11,
IF(AO79=regle!$E$12,regle!$E$11,
IF(AO79=regle!$F$12,regle!$F$11,
IF(AO79=regle!$G$12,regle!$G$11,
IF(AO79=regle!$H$12,regle!$H$11,
IF(AO79=regle!$I$12,regle!$I$11,""))))))))))</f>
        <v/>
      </c>
      <c r="V79" t="str">
        <f>IF(NOT($A79),"",
IF(AP79=-2,regle!$J$11,
IF(AP79=regle!$B$12,regle!$B$11,
IF(AP79=regle!$C$12,regle!$C$11,
IF(AP79=regle!$D$12,regle!$D$11,
IF(AP79=regle!$E$12,regle!$E$11,
IF(AP79=regle!$F$12,regle!$F$11,
IF(AP79=regle!$G$12,regle!$G$11,
IF(AP79=regle!$H$12,regle!$H$11,
IF(AP79=regle!$I$12,regle!$I$11,""))))))))))</f>
        <v/>
      </c>
      <c r="W79" t="str">
        <f>IF(NOT($A79),"",
IF(AQ79=-2,regle!$J$11,
IF(AQ79=regle!$B$12,regle!$B$11,
IF(AQ79=regle!$C$12,regle!$C$11,
IF(AQ79=regle!$D$12,regle!$D$11,
IF(AQ79=regle!$E$12,regle!$E$11,
IF(AQ79=regle!$F$12,regle!$F$11,
IF(AQ79=regle!$G$12,regle!$G$11,
IF(AQ79=regle!$H$12,regle!$H$11,
IF(AQ79=regle!$I$12,regle!$I$11,""))))))))))</f>
        <v/>
      </c>
      <c r="X79" t="str">
        <f>IF(NOT($A79),"",
IF(AR79=-2,regle!$J$11,
IF(AR79=regle!$B$12,regle!$B$11,
IF(AR79=regle!$C$12,regle!$C$11,
IF(AR79=regle!$D$12,regle!$D$11,
IF(AR79=regle!$E$12,regle!$E$11,
IF(AR79=regle!$F$12,regle!$F$11,
IF(AR79=regle!$G$12,regle!$G$11,
IF(AR79=regle!$H$12,regle!$H$11,
IF(AR79=regle!$I$12,regle!$I$11,""))))))))))</f>
        <v/>
      </c>
      <c r="Y79" t="str">
        <f>IF(NOT($A79),"",
IF(AS79=-2,regle!$J$11,
IF(AS79=regle!$B$12,regle!$B$11,
IF(AS79=regle!$C$12,regle!$C$11,
IF(AS79=regle!$D$12,regle!$D$11,
IF(AS79=regle!$E$12,regle!$E$11,
IF(AS79=regle!$F$12,regle!$F$11,
IF(AS79=regle!$G$12,regle!$G$11,
IF(AS79=regle!$H$12,regle!$H$11,
IF(AS79=regle!$I$12,regle!$I$11,""))))))))))</f>
        <v/>
      </c>
      <c r="Z79" t="str">
        <f>IF(NOT($A79),"",
IF(AT79=-2,regle!$J$11,
IF(AT79=regle!$B$12,regle!$B$11,
IF(AT79=regle!$C$12,regle!$C$11,
IF(AT79=regle!$D$12,regle!$D$11,
IF(AT79=regle!$E$12,regle!$E$11,
IF(AT79=regle!$F$12,regle!$F$11,
IF(AT79=regle!$G$12,regle!$G$11,
IF(AT79=regle!$H$12,regle!$H$11,
IF(AT79=regle!$I$12,regle!$I$11,""))))))))))</f>
        <v/>
      </c>
      <c r="AA79" t="str">
        <f>IF(NOT($A79),"",
IF(AU79=-2,regle!$J$11,
IF(AU79=regle!$B$12,regle!$B$11,
IF(AU79=regle!$C$12,regle!$C$11,
IF(AU79=regle!$D$12,regle!$D$11,
IF(AU79=regle!$E$12,regle!$E$11,
IF(AU79=regle!$F$12,regle!$F$11,
IF(AU79=regle!$G$12,regle!$G$11,
IF(AU79=regle!$H$12,regle!$H$11,
IF(AU79=regle!$I$12,regle!$I$11,""))))))))))</f>
        <v>CR</v>
      </c>
      <c r="AB79" t="str">
        <f>IF(NOT($A79),"",
IF(AV79=-2,regle!$J$11,
IF(AV79=regle!$B$12,regle!$B$11,
IF(AV79=regle!$C$12,regle!$C$11,
IF(AV79=regle!$D$12,regle!$D$11,
IF(AV79=regle!$E$12,regle!$E$11,
IF(AV79=regle!$F$12,regle!$F$11,
IF(AV79=regle!$G$12,regle!$G$11,
IF(AV79=regle!$H$12,regle!$H$11,
IF(AV79=regle!$I$12,regle!$I$11,""))))))))))</f>
        <v/>
      </c>
      <c r="AC79" t="str">
        <f>IF(NOT($A79),"",
IF(AW79=-2,regle!$J$11,
IF(AW79=regle!$B$12,regle!$B$11,
IF(AW79=regle!$C$12,regle!$C$11,
IF(AW79=regle!$D$12,regle!$D$11,
IF(AW79=regle!$E$12,regle!$E$11,
IF(AW79=regle!$F$12,regle!$F$11,
IF(AW79=regle!$G$12,regle!$G$11,
IF(AW79=regle!$H$12,regle!$H$11,
IF(AW79=regle!$I$12,regle!$I$11,""))))))))))</f>
        <v>RBST</v>
      </c>
      <c r="AD79" t="str">
        <f>IF(NOT($A79),"",
IF(AX79=-2,regle!$J$11,
IF(AX79=regle!$B$12,regle!$B$11,
IF(AX79=regle!$C$12,regle!$C$11,
IF(AX79=regle!$D$12,regle!$D$11,
IF(AX79=regle!$E$12,regle!$E$11,
IF(AX79=regle!$F$12,regle!$F$11,
IF(AX79=regle!$G$12,regle!$G$11,
IF(AX79=regle!$H$12,regle!$H$11,
IF(AX79=regle!$I$12,regle!$I$11,""))))))))))</f>
        <v/>
      </c>
      <c r="AE79" s="14">
        <f>IF($A79,$M79*(IF(U79=regle!$B$11,regle!$B$23,IF(U79=regle!$C$11,regle!$C$23,IF(U79=regle!$D$11,regle!$D$23,IF(U79=regle!$E$11,regle!$E$23,IF(U79=regle!$F$11,regle!$F$23,IF(U79=regle!$G$11,regle!$G$23,IF(U79=regle!$H$11,regle!$H$23,IF(U79=regle!$I$11,regle!$I$23,IF(U79=regle!$J$11,regle!$J$23,0)))))))))))</f>
        <v>0</v>
      </c>
      <c r="AF79" s="14">
        <f>IF($A79,$M79*(IF(V79=regle!$B$11,regle!$B$23,IF(V79=regle!$C$11,regle!$C$23,IF(V79=regle!$D$11,regle!$D$23,IF(V79=regle!$E$11,regle!$E$23,IF(V79=regle!$F$11,regle!$F$23,IF(V79=regle!$G$11,regle!$G$23,IF(V79=regle!$H$11,regle!$H$23,IF(V79=regle!$I$11,regle!$I$23,IF(V79=regle!$J$11,regle!$J$23,0)))))))))))</f>
        <v>0</v>
      </c>
      <c r="AG79" s="14">
        <f>IF($A79,$M79*(IF(W79=regle!$B$11,regle!$B$23,IF(W79=regle!$C$11,regle!$C$23,IF(W79=regle!$D$11,regle!$D$23,IF(W79=regle!$E$11,regle!$E$23,IF(W79=regle!$F$11,regle!$F$23,IF(W79=regle!$G$11,regle!$G$23,IF(W79=regle!$H$11,regle!$H$23,IF(W79=regle!$I$11,regle!$I$23,IF(W79=regle!$J$11,regle!$J$23,0)))))))))))</f>
        <v>0</v>
      </c>
      <c r="AH79" s="14">
        <f>IF($A79,$M79*(IF(X79=regle!$B$11,regle!$B$23,IF(X79=regle!$C$11,regle!$C$23,IF(X79=regle!$D$11,regle!$D$23,IF(X79=regle!$E$11,regle!$E$23,IF(X79=regle!$F$11,regle!$F$23,IF(X79=regle!$G$11,regle!$G$23,IF(X79=regle!$H$11,regle!$H$23,IF(X79=regle!$I$11,regle!$I$23,IF(X79=regle!$J$11,regle!$J$23,0)))))))))))</f>
        <v>0</v>
      </c>
      <c r="AI79" s="14">
        <f>IF($A79,$M79*(IF(Y79=regle!$B$11,regle!$B$23,IF(Y79=regle!$C$11,regle!$C$23,IF(Y79=regle!$D$11,regle!$D$23,IF(Y79=regle!$E$11,regle!$E$23,IF(Y79=regle!$F$11,regle!$F$23,IF(Y79=regle!$G$11,regle!$G$23,IF(Y79=regle!$H$11,regle!$H$23,IF(Y79=regle!$I$11,regle!$I$23,IF(Y79=regle!$J$11,regle!$J$23,0)))))))))))</f>
        <v>0</v>
      </c>
      <c r="AJ79" s="14">
        <f>IF($A79,$M79*(IF(Z79=regle!$B$11,regle!$B$23,IF(Z79=regle!$C$11,regle!$C$23,IF(Z79=regle!$D$11,regle!$D$23,IF(Z79=regle!$E$11,regle!$E$23,IF(Z79=regle!$F$11,regle!$F$23,IF(Z79=regle!$G$11,regle!$G$23,IF(Z79=regle!$H$11,regle!$H$23,IF(Z79=regle!$I$11,regle!$I$23,IF(Z79=regle!$J$11,regle!$J$23,0)))))))))))</f>
        <v>0</v>
      </c>
      <c r="AK79" s="14">
        <f>IF($A79,$M79*(IF(AA79=regle!$B$11,regle!$B$23,IF(AA79=regle!$C$11,regle!$C$23,IF(AA79=regle!$D$11,regle!$D$23,IF(AA79=regle!$E$11,regle!$E$23,IF(AA79=regle!$F$11,regle!$F$23,IF(AA79=regle!$G$11,regle!$G$23,IF(AA79=regle!$H$11,regle!$H$23,IF(AA79=regle!$I$11,regle!$I$23,IF(AA79=regle!$J$11,regle!$J$23,0)))))))))))</f>
        <v>751.52</v>
      </c>
      <c r="AL79" s="14">
        <f>IF($A79,$M79*(IF(AB79=regle!$B$11,regle!$B$23,IF(AB79=regle!$C$11,regle!$C$23,IF(AB79=regle!$D$11,regle!$D$23,IF(AB79=regle!$E$11,regle!$E$23,IF(AB79=regle!$F$11,regle!$F$23,IF(AB79=regle!$G$11,regle!$G$23,IF(AB79=regle!$H$11,regle!$H$23,IF(AB79=regle!$I$11,regle!$I$23,IF(AB79=regle!$J$11,regle!$J$23,0)))))))))))</f>
        <v>0</v>
      </c>
      <c r="AM79" s="14">
        <f>IF($A79,$M79*(IF(AC79=regle!$B$11,regle!$B$23,IF(AC79=regle!$C$11,regle!$C$23,IF(AC79=regle!$D$11,regle!$D$23,IF(AC79=regle!$E$11,regle!$E$23,IF(AC79=regle!$F$11,regle!$F$23,IF(AC79=regle!$G$11,regle!$G$23,IF(AC79=regle!$H$11,regle!$H$23,IF(AC79=regle!$I$11,regle!$I$23,IF(AC79=regle!$J$11,regle!$J$23,0)))))))))))</f>
        <v>-145.18</v>
      </c>
      <c r="AN79" s="14">
        <f>IF($A79,$M79*(IF(AD79=regle!$B$11,regle!$B$23,IF(AD79=regle!$C$11,regle!$C$23,IF(AD79=regle!$D$11,regle!$D$23,IF(AD79=regle!$E$11,regle!$E$23,IF(AD79=regle!$F$11,regle!$F$23,IF(AD79=regle!$G$11,regle!$G$23,IF(AD79=regle!$H$11,regle!$H$23,IF(AD79=regle!$I$11,regle!$I$23,IF(AD79=regle!$J$11,regle!$J$23,0)))))))))))</f>
        <v>0</v>
      </c>
      <c r="AO79">
        <f>IF(AO$1=$AO$1,IF(regle!B$2-$Q79&gt;=regle!$J$12,-2,IF($S79,IF(regle!$B$2-$Q79&gt;=2,0,-1),regle!B$2-$Q79)),IF(AN79+1&gt;=regle!$J$12,-2,AN79+1))</f>
        <v>34</v>
      </c>
      <c r="AP79">
        <f>IF(AP$1=$AO$1,IF(regle!C$2-$Q79&gt;=regle!$J$12,-2,IF($S79,IF(regle!$B$2-$Q79&gt;=2,0,-1),regle!C$2-$Q79)),IF(AO79+1&gt;=regle!$J$12,-2,AO79+1))</f>
        <v>35</v>
      </c>
      <c r="AQ79">
        <f>IF(AQ$1=$AO$1,IF(regle!D$2-$Q79&gt;=regle!$J$12,-2,IF($S79,IF(regle!$B$2-$Q79&gt;=2,0,-1),regle!D$2-$Q79)),IF(AP79+1&gt;=regle!$J$12,-2,AP79+1))</f>
        <v>36</v>
      </c>
      <c r="AR79">
        <f>IF(AR$1=$AO$1,IF(regle!E$2-$Q79&gt;=regle!$J$12,-2,IF($S79,IF(regle!$B$2-$Q79&gt;=2,0,-1),regle!E$2-$Q79)),IF(AQ79+1&gt;=regle!$J$12,-2,AQ79+1))</f>
        <v>37</v>
      </c>
      <c r="AS79">
        <f>IF(AS$1=$AO$1,IF(regle!F$2-$Q79&gt;=regle!$J$12,-2,IF($S79,IF(regle!$B$2-$Q79&gt;=2,0,-1),regle!F$2-$Q79)),IF(AR79+1&gt;=regle!$J$12,-2,AR79+1))</f>
        <v>38</v>
      </c>
      <c r="AT79">
        <f>IF(AT$1=$AO$1,IF(regle!G$2-$Q79&gt;=regle!$J$12,-2,IF($S79,IF(regle!$B$2-$Q79&gt;=2,0,-1),regle!G$2-$Q79)),IF(AS79+1&gt;=regle!$J$12,-2,AS79+1))</f>
        <v>39</v>
      </c>
      <c r="AU79">
        <f>IF(AU$1=$AO$1,IF(regle!H$2-$Q79&gt;=regle!$J$12,-2,IF($S79,IF(regle!$B$2-$Q79&gt;=2,0,-1),regle!H$2-$Q79)),IF(AT79+1&gt;=regle!$J$12,-2,AT79+1))</f>
        <v>-2</v>
      </c>
      <c r="AV79">
        <f>IF(AV$1=$AO$1,IF(regle!I$2-$Q79&gt;=regle!$J$12,-2,IF($S79,IF(regle!$B$2-$Q79&gt;=2,0,-1),regle!I$2-$Q79)),IF(AU79+1&gt;=regle!$J$12,-2,AU79+1))</f>
        <v>-1</v>
      </c>
      <c r="AW79">
        <f>IF(AW$1=$AO$1,IF(regle!J$2-$Q79&gt;=regle!$J$12,-2,IF($S79,IF(regle!$B$2-$Q79&gt;=2,0,-1),regle!J$2-$Q79)),IF(AV79+1&gt;=regle!$J$12,-2,AV79+1))</f>
        <v>0</v>
      </c>
      <c r="AX79">
        <f>IF(AX$1=$AO$1,IF(regle!K$2-$Q79&gt;=regle!$J$12,-2,IF($S79,IF(regle!$B$2-$Q79&gt;=2,0,-1),regle!K$2-$Q79)),IF(AW79+1&gt;=regle!$J$12,-2,AW79+1))</f>
        <v>1</v>
      </c>
    </row>
    <row r="80" spans="1:50" x14ac:dyDescent="0.25">
      <c r="A80" t="b">
        <f>AND(modif0[[#This Row],[cdstr]]&lt;&gt;0,OR(regle!$H$27=FALSE,modif0[[#This Row],[essnc]]="PM"))</f>
        <v>1</v>
      </c>
      <c r="B80">
        <f>ROW(objet!A101)</f>
        <v>101</v>
      </c>
      <c r="C80" s="10" t="str">
        <f>objet!D101</f>
        <v>5360000A0704</v>
      </c>
      <c r="D80" t="str">
        <f>LEFT(modif0[[#This Row],[cdstr]],3)</f>
        <v>536</v>
      </c>
      <c r="E80" s="10" t="str">
        <f>objet!G101</f>
        <v>LE TUZAN</v>
      </c>
      <c r="F80">
        <f>LEN(modif0[[#This Row],[l_dt]])</f>
        <v>7</v>
      </c>
      <c r="G80" s="10" t="str">
        <f>objet!H101</f>
        <v>CHOUSSE</v>
      </c>
      <c r="H80" s="10" t="str">
        <f>objet!C101</f>
        <v>A704</v>
      </c>
      <c r="I80" t="str">
        <f>IF(ISNUMBER(VALUE(RIGHT(LEFT(modif0[[#This Row],[idntfn]],2),1))),_xlfn.CONCAT(0,LEFT(modif0[[#This Row],[idntfn]],1)),LEFT(modif0[[#This Row],[idntfn]],2))</f>
        <v>0A</v>
      </c>
      <c r="J80">
        <f>VALUE(LEFT(RIGHT(modif0[[#This Row],[idntfn]],LEN(modif0[[#This Row],[idntfn]])-IF(LEFT(modif0[[#This Row],[sctn]],1)="0",1,2)),LEN(modif0[[#This Row],[idntfn]])-IF(LEFT(modif0[[#This Row],[sctn]],1)="0",1,2)-LEN(modif0[[#This Row],[lttr]])))</f>
        <v>704</v>
      </c>
      <c r="K80" t="str">
        <f>IF(ISNUMBER(VALUE(RIGHT(modif0[[#This Row],[idntfn]],1))),"",IF(ISNUMBER(VALUE(LEFT(RIGHT(modif0[[#This Row],[idntfn]],2),1))),RIGHT(modif0[[#This Row],[idntfn]],1),RIGHT(modif0[[#This Row],[idntfn]],2)))</f>
        <v/>
      </c>
      <c r="L80" s="10">
        <f>objet!I101</f>
        <v>5286</v>
      </c>
      <c r="M80" s="11">
        <f>modif0[[#This Row],[srfc]]/10000</f>
        <v>0.52859999999999996</v>
      </c>
      <c r="N80" s="10" t="str">
        <f>objet!Z101</f>
        <v>PM</v>
      </c>
      <c r="O80" s="10" t="str">
        <f>objet!AA101</f>
        <v>PLA2013</v>
      </c>
      <c r="P80" t="str">
        <f>IF(ISNUMBER(modif0[[#This Row],[trvx]]),"",LEFT(modif0[[#This Row],[trvx]],LEN(modif0[[#This Row],[trvx]])-4))</f>
        <v>PLA</v>
      </c>
      <c r="Q80">
        <f>VALUE(RIGHT(modif0[[#This Row],[trvx]],4))</f>
        <v>2013</v>
      </c>
      <c r="R80" t="str">
        <f>_xlfn.CONCAT(modif0[[#This Row],[tp]],"-",modif0[[#This Row],[essnc]],"_",modif0[[#This Row],[anns]])</f>
        <v>PLA-PM_2013</v>
      </c>
      <c r="S80" t="b">
        <f>modif0[[#This Row],[tp]]="CR"</f>
        <v>0</v>
      </c>
      <c r="T80">
        <v>40</v>
      </c>
      <c r="U80" t="str">
        <f>IF(NOT($A80),"",
IF(AO80=-2,regle!$J$11,
IF(AO80=regle!$B$12,regle!$B$11,
IF(AO80=regle!$C$12,regle!$C$11,
IF(AO80=regle!$D$12,regle!$D$11,
IF(AO80=regle!$E$12,regle!$E$11,
IF(AO80=regle!$F$12,regle!$F$11,
IF(AO80=regle!$G$12,regle!$G$11,
IF(AO80=regle!$H$12,regle!$H$11,
IF(AO80=regle!$I$12,regle!$I$11,""))))))))))</f>
        <v/>
      </c>
      <c r="V80" t="str">
        <f>IF(NOT($A80),"",
IF(AP80=-2,regle!$J$11,
IF(AP80=regle!$B$12,regle!$B$11,
IF(AP80=regle!$C$12,regle!$C$11,
IF(AP80=regle!$D$12,regle!$D$11,
IF(AP80=regle!$E$12,regle!$E$11,
IF(AP80=regle!$F$12,regle!$F$11,
IF(AP80=regle!$G$12,regle!$G$11,
IF(AP80=regle!$H$12,regle!$H$11,
IF(AP80=regle!$I$12,regle!$I$11,""))))))))))</f>
        <v/>
      </c>
      <c r="W80" t="str">
        <f>IF(NOT($A80),"",
IF(AQ80=-2,regle!$J$11,
IF(AQ80=regle!$B$12,regle!$B$11,
IF(AQ80=regle!$C$12,regle!$C$11,
IF(AQ80=regle!$D$12,regle!$D$11,
IF(AQ80=regle!$E$12,regle!$E$11,
IF(AQ80=regle!$F$12,regle!$F$11,
IF(AQ80=regle!$G$12,regle!$G$11,
IF(AQ80=regle!$H$12,regle!$H$11,
IF(AQ80=regle!$I$12,regle!$I$11,""))))))))))</f>
        <v>EC1</v>
      </c>
      <c r="X80" t="str">
        <f>IF(NOT($A80),"",
IF(AR80=-2,regle!$J$11,
IF(AR80=regle!$B$12,regle!$B$11,
IF(AR80=regle!$C$12,regle!$C$11,
IF(AR80=regle!$D$12,regle!$D$11,
IF(AR80=regle!$E$12,regle!$E$11,
IF(AR80=regle!$F$12,regle!$F$11,
IF(AR80=regle!$G$12,regle!$G$11,
IF(AR80=regle!$H$12,regle!$H$11,
IF(AR80=regle!$I$12,regle!$I$11,""))))))))))</f>
        <v/>
      </c>
      <c r="Y80" t="str">
        <f>IF(NOT($A80),"",
IF(AS80=-2,regle!$J$11,
IF(AS80=regle!$B$12,regle!$B$11,
IF(AS80=regle!$C$12,regle!$C$11,
IF(AS80=regle!$D$12,regle!$D$11,
IF(AS80=regle!$E$12,regle!$E$11,
IF(AS80=regle!$F$12,regle!$F$11,
IF(AS80=regle!$G$12,regle!$G$11,
IF(AS80=regle!$H$12,regle!$H$11,
IF(AS80=regle!$I$12,regle!$I$11,""))))))))))</f>
        <v/>
      </c>
      <c r="Z80" t="str">
        <f>IF(NOT($A80),"",
IF(AT80=-2,regle!$J$11,
IF(AT80=regle!$B$12,regle!$B$11,
IF(AT80=regle!$C$12,regle!$C$11,
IF(AT80=regle!$D$12,regle!$D$11,
IF(AT80=regle!$E$12,regle!$E$11,
IF(AT80=regle!$F$12,regle!$F$11,
IF(AT80=regle!$G$12,regle!$G$11,
IF(AT80=regle!$H$12,regle!$H$11,
IF(AT80=regle!$I$12,regle!$I$11,""))))))))))</f>
        <v/>
      </c>
      <c r="AA80" t="str">
        <f>IF(NOT($A80),"",
IF(AU80=-2,regle!$J$11,
IF(AU80=regle!$B$12,regle!$B$11,
IF(AU80=regle!$C$12,regle!$C$11,
IF(AU80=regle!$D$12,regle!$D$11,
IF(AU80=regle!$E$12,regle!$E$11,
IF(AU80=regle!$F$12,regle!$F$11,
IF(AU80=regle!$G$12,regle!$G$11,
IF(AU80=regle!$H$12,regle!$H$11,
IF(AU80=regle!$I$12,regle!$I$11,""))))))))))</f>
        <v/>
      </c>
      <c r="AB80" t="str">
        <f>IF(NOT($A80),"",
IF(AV80=-2,regle!$J$11,
IF(AV80=regle!$B$12,regle!$B$11,
IF(AV80=regle!$C$12,regle!$C$11,
IF(AV80=regle!$D$12,regle!$D$11,
IF(AV80=regle!$E$12,regle!$E$11,
IF(AV80=regle!$F$12,regle!$F$11,
IF(AV80=regle!$G$12,regle!$G$11,
IF(AV80=regle!$H$12,regle!$H$11,
IF(AV80=regle!$I$12,regle!$I$11,""))))))))))</f>
        <v>EC2</v>
      </c>
      <c r="AC80" t="str">
        <f>IF(NOT($A80),"",
IF(AW80=-2,regle!$J$11,
IF(AW80=regle!$B$12,regle!$B$11,
IF(AW80=regle!$C$12,regle!$C$11,
IF(AW80=regle!$D$12,regle!$D$11,
IF(AW80=regle!$E$12,regle!$E$11,
IF(AW80=regle!$F$12,regle!$F$11,
IF(AW80=regle!$G$12,regle!$G$11,
IF(AW80=regle!$H$12,regle!$H$11,
IF(AW80=regle!$I$12,regle!$I$11,""))))))))))</f>
        <v/>
      </c>
      <c r="AD80" t="str">
        <f>IF(NOT($A80),"",
IF(AX80=-2,regle!$J$11,
IF(AX80=regle!$B$12,regle!$B$11,
IF(AX80=regle!$C$12,regle!$C$11,
IF(AX80=regle!$D$12,regle!$D$11,
IF(AX80=regle!$E$12,regle!$E$11,
IF(AX80=regle!$F$12,regle!$F$11,
IF(AX80=regle!$G$12,regle!$G$11,
IF(AX80=regle!$H$12,regle!$H$11,
IF(AX80=regle!$I$12,regle!$I$11,""))))))))))</f>
        <v/>
      </c>
      <c r="AE80" s="14">
        <f>IF($A80,$M80*(IF(U80=regle!$B$11,regle!$B$23,IF(U80=regle!$C$11,regle!$C$23,IF(U80=regle!$D$11,regle!$D$23,IF(U80=regle!$E$11,regle!$E$23,IF(U80=regle!$F$11,regle!$F$23,IF(U80=regle!$G$11,regle!$G$23,IF(U80=regle!$H$11,regle!$H$23,IF(U80=regle!$I$11,regle!$I$23,IF(U80=regle!$J$11,regle!$J$23,0)))))))))))</f>
        <v>0</v>
      </c>
      <c r="AF80" s="14">
        <f>IF($A80,$M80*(IF(V80=regle!$B$11,regle!$B$23,IF(V80=regle!$C$11,regle!$C$23,IF(V80=regle!$D$11,regle!$D$23,IF(V80=regle!$E$11,regle!$E$23,IF(V80=regle!$F$11,regle!$F$23,IF(V80=regle!$G$11,regle!$G$23,IF(V80=regle!$H$11,regle!$H$23,IF(V80=regle!$I$11,regle!$I$23,IF(V80=regle!$J$11,regle!$J$23,0)))))))))))</f>
        <v>0</v>
      </c>
      <c r="AG80" s="14">
        <f>IF($A80,$M80*(IF(W80=regle!$B$11,regle!$B$23,IF(W80=regle!$C$11,regle!$C$23,IF(W80=regle!$D$11,regle!$D$23,IF(W80=regle!$E$11,regle!$E$23,IF(W80=regle!$F$11,regle!$F$23,IF(W80=regle!$G$11,regle!$G$23,IF(W80=regle!$H$11,regle!$H$23,IF(W80=regle!$I$11,regle!$I$23,IF(W80=regle!$J$11,regle!$J$23,0)))))))))))</f>
        <v>304.47359999999998</v>
      </c>
      <c r="AH80" s="14">
        <f>IF($A80,$M80*(IF(X80=regle!$B$11,regle!$B$23,IF(X80=regle!$C$11,regle!$C$23,IF(X80=regle!$D$11,regle!$D$23,IF(X80=regle!$E$11,regle!$E$23,IF(X80=regle!$F$11,regle!$F$23,IF(X80=regle!$G$11,regle!$G$23,IF(X80=regle!$H$11,regle!$H$23,IF(X80=regle!$I$11,regle!$I$23,IF(X80=regle!$J$11,regle!$J$23,0)))))))))))</f>
        <v>0</v>
      </c>
      <c r="AI80" s="14">
        <f>IF($A80,$M80*(IF(Y80=regle!$B$11,regle!$B$23,IF(Y80=regle!$C$11,regle!$C$23,IF(Y80=regle!$D$11,regle!$D$23,IF(Y80=regle!$E$11,regle!$E$23,IF(Y80=regle!$F$11,regle!$F$23,IF(Y80=regle!$G$11,regle!$G$23,IF(Y80=regle!$H$11,regle!$H$23,IF(Y80=regle!$I$11,regle!$I$23,IF(Y80=regle!$J$11,regle!$J$23,0)))))))))))</f>
        <v>0</v>
      </c>
      <c r="AJ80" s="14">
        <f>IF($A80,$M80*(IF(Z80=regle!$B$11,regle!$B$23,IF(Z80=regle!$C$11,regle!$C$23,IF(Z80=regle!$D$11,regle!$D$23,IF(Z80=regle!$E$11,regle!$E$23,IF(Z80=regle!$F$11,regle!$F$23,IF(Z80=regle!$G$11,regle!$G$23,IF(Z80=regle!$H$11,regle!$H$23,IF(Z80=regle!$I$11,regle!$I$23,IF(Z80=regle!$J$11,regle!$J$23,0)))))))))))</f>
        <v>0</v>
      </c>
      <c r="AK80" s="14">
        <f>IF($A80,$M80*(IF(AA80=regle!$B$11,regle!$B$23,IF(AA80=regle!$C$11,regle!$C$23,IF(AA80=regle!$D$11,regle!$D$23,IF(AA80=regle!$E$11,regle!$E$23,IF(AA80=regle!$F$11,regle!$F$23,IF(AA80=regle!$G$11,regle!$G$23,IF(AA80=regle!$H$11,regle!$H$23,IF(AA80=regle!$I$11,regle!$I$23,IF(AA80=regle!$J$11,regle!$J$23,0)))))))))))</f>
        <v>0</v>
      </c>
      <c r="AL80" s="14">
        <f>IF($A80,$M80*(IF(AB80=regle!$B$11,regle!$B$23,IF(AB80=regle!$C$11,regle!$C$23,IF(AB80=regle!$D$11,regle!$D$23,IF(AB80=regle!$E$11,regle!$E$23,IF(AB80=regle!$F$11,regle!$F$23,IF(AB80=regle!$G$11,regle!$G$23,IF(AB80=regle!$H$11,regle!$H$23,IF(AB80=regle!$I$11,regle!$I$23,IF(AB80=regle!$J$11,regle!$J$23,0)))))))))))</f>
        <v>444.02399999999994</v>
      </c>
      <c r="AM80" s="14">
        <f>IF($A80,$M80*(IF(AC80=regle!$B$11,regle!$B$23,IF(AC80=regle!$C$11,regle!$C$23,IF(AC80=regle!$D$11,regle!$D$23,IF(AC80=regle!$E$11,regle!$E$23,IF(AC80=regle!$F$11,regle!$F$23,IF(AC80=regle!$G$11,regle!$G$23,IF(AC80=regle!$H$11,regle!$H$23,IF(AC80=regle!$I$11,regle!$I$23,IF(AC80=regle!$J$11,regle!$J$23,0)))))))))))</f>
        <v>0</v>
      </c>
      <c r="AN80" s="14">
        <f>IF($A80,$M80*(IF(AD80=regle!$B$11,regle!$B$23,IF(AD80=regle!$C$11,regle!$C$23,IF(AD80=regle!$D$11,regle!$D$23,IF(AD80=regle!$E$11,regle!$E$23,IF(AD80=regle!$F$11,regle!$F$23,IF(AD80=regle!$G$11,regle!$G$23,IF(AD80=regle!$H$11,regle!$H$23,IF(AD80=regle!$I$11,regle!$I$23,IF(AD80=regle!$J$11,regle!$J$23,0)))))))))))</f>
        <v>0</v>
      </c>
      <c r="AO80">
        <f>IF(AO$1=$AO$1,IF(regle!B$2-$Q80&gt;=regle!$J$12,-2,IF($S80,IF(regle!$B$2-$Q80&gt;=2,0,-1),regle!B$2-$Q80)),IF(AN80+1&gt;=regle!$J$12,-2,AN80+1))</f>
        <v>11</v>
      </c>
      <c r="AP80">
        <f>IF(AP$1=$AO$1,IF(regle!C$2-$Q80&gt;=regle!$J$12,-2,IF($S80,IF(regle!$B$2-$Q80&gt;=2,0,-1),regle!C$2-$Q80)),IF(AO80+1&gt;=regle!$J$12,-2,AO80+1))</f>
        <v>12</v>
      </c>
      <c r="AQ80">
        <f>IF(AQ$1=$AO$1,IF(regle!D$2-$Q80&gt;=regle!$J$12,-2,IF($S80,IF(regle!$B$2-$Q80&gt;=2,0,-1),regle!D$2-$Q80)),IF(AP80+1&gt;=regle!$J$12,-2,AP80+1))</f>
        <v>13</v>
      </c>
      <c r="AR80">
        <f>IF(AR$1=$AO$1,IF(regle!E$2-$Q80&gt;=regle!$J$12,-2,IF($S80,IF(regle!$B$2-$Q80&gt;=2,0,-1),regle!E$2-$Q80)),IF(AQ80+1&gt;=regle!$J$12,-2,AQ80+1))</f>
        <v>14</v>
      </c>
      <c r="AS80">
        <f>IF(AS$1=$AO$1,IF(regle!F$2-$Q80&gt;=regle!$J$12,-2,IF($S80,IF(regle!$B$2-$Q80&gt;=2,0,-1),regle!F$2-$Q80)),IF(AR80+1&gt;=regle!$J$12,-2,AR80+1))</f>
        <v>15</v>
      </c>
      <c r="AT80">
        <f>IF(AT$1=$AO$1,IF(regle!G$2-$Q80&gt;=regle!$J$12,-2,IF($S80,IF(regle!$B$2-$Q80&gt;=2,0,-1),regle!G$2-$Q80)),IF(AS80+1&gt;=regle!$J$12,-2,AS80+1))</f>
        <v>16</v>
      </c>
      <c r="AU80">
        <f>IF(AU$1=$AO$1,IF(regle!H$2-$Q80&gt;=regle!$J$12,-2,IF($S80,IF(regle!$B$2-$Q80&gt;=2,0,-1),regle!H$2-$Q80)),IF(AT80+1&gt;=regle!$J$12,-2,AT80+1))</f>
        <v>17</v>
      </c>
      <c r="AV80">
        <f>IF(AV$1=$AO$1,IF(regle!I$2-$Q80&gt;=regle!$J$12,-2,IF($S80,IF(regle!$B$2-$Q80&gt;=2,0,-1),regle!I$2-$Q80)),IF(AU80+1&gt;=regle!$J$12,-2,AU80+1))</f>
        <v>18</v>
      </c>
      <c r="AW80">
        <f>IF(AW$1=$AO$1,IF(regle!J$2-$Q80&gt;=regle!$J$12,-2,IF($S80,IF(regle!$B$2-$Q80&gt;=2,0,-1),regle!J$2-$Q80)),IF(AV80+1&gt;=regle!$J$12,-2,AV80+1))</f>
        <v>19</v>
      </c>
      <c r="AX80">
        <f>IF(AX$1=$AO$1,IF(regle!K$2-$Q80&gt;=regle!$J$12,-2,IF($S80,IF(regle!$B$2-$Q80&gt;=2,0,-1),regle!K$2-$Q80)),IF(AW80+1&gt;=regle!$J$12,-2,AW80+1))</f>
        <v>20</v>
      </c>
    </row>
    <row r="81" spans="1:50" x14ac:dyDescent="0.25">
      <c r="A81" t="b">
        <f>AND(modif0[[#This Row],[cdstr]]&lt;&gt;0,OR(regle!$H$27=FALSE,modif0[[#This Row],[essnc]]="PM"))</f>
        <v>1</v>
      </c>
      <c r="B81">
        <f>ROW(objet!A102)</f>
        <v>102</v>
      </c>
      <c r="C81" s="10" t="str">
        <f>objet!D102</f>
        <v>5360000A0706</v>
      </c>
      <c r="D81" t="str">
        <f>LEFT(modif0[[#This Row],[cdstr]],3)</f>
        <v>536</v>
      </c>
      <c r="E81" s="10" t="str">
        <f>objet!G102</f>
        <v>LE TUZAN</v>
      </c>
      <c r="F81">
        <f>LEN(modif0[[#This Row],[l_dt]])</f>
        <v>7</v>
      </c>
      <c r="G81" s="10" t="str">
        <f>objet!H102</f>
        <v>CHOUSSE</v>
      </c>
      <c r="H81" s="10" t="str">
        <f>objet!C102</f>
        <v>A706</v>
      </c>
      <c r="I81" t="str">
        <f>IF(ISNUMBER(VALUE(RIGHT(LEFT(modif0[[#This Row],[idntfn]],2),1))),_xlfn.CONCAT(0,LEFT(modif0[[#This Row],[idntfn]],1)),LEFT(modif0[[#This Row],[idntfn]],2))</f>
        <v>0A</v>
      </c>
      <c r="J81">
        <f>VALUE(LEFT(RIGHT(modif0[[#This Row],[idntfn]],LEN(modif0[[#This Row],[idntfn]])-IF(LEFT(modif0[[#This Row],[sctn]],1)="0",1,2)),LEN(modif0[[#This Row],[idntfn]])-IF(LEFT(modif0[[#This Row],[sctn]],1)="0",1,2)-LEN(modif0[[#This Row],[lttr]])))</f>
        <v>706</v>
      </c>
      <c r="K81" t="str">
        <f>IF(ISNUMBER(VALUE(RIGHT(modif0[[#This Row],[idntfn]],1))),"",IF(ISNUMBER(VALUE(LEFT(RIGHT(modif0[[#This Row],[idntfn]],2),1))),RIGHT(modif0[[#This Row],[idntfn]],1),RIGHT(modif0[[#This Row],[idntfn]],2)))</f>
        <v/>
      </c>
      <c r="L81" s="10">
        <f>objet!I102</f>
        <v>7598</v>
      </c>
      <c r="M81" s="11">
        <f>modif0[[#This Row],[srfc]]/10000</f>
        <v>0.75980000000000003</v>
      </c>
      <c r="N81" s="10" t="str">
        <f>objet!Z102</f>
        <v>PM</v>
      </c>
      <c r="O81" s="10" t="str">
        <f>objet!AA102</f>
        <v>SL1995</v>
      </c>
      <c r="P81" t="str">
        <f>IF(ISNUMBER(modif0[[#This Row],[trvx]]),"",LEFT(modif0[[#This Row],[trvx]],LEN(modif0[[#This Row],[trvx]])-4))</f>
        <v>SL</v>
      </c>
      <c r="Q81">
        <f>VALUE(RIGHT(modif0[[#This Row],[trvx]],4))</f>
        <v>1995</v>
      </c>
      <c r="R81" t="str">
        <f>_xlfn.CONCAT(modif0[[#This Row],[tp]],"-",modif0[[#This Row],[essnc]],"_",modif0[[#This Row],[anns]])</f>
        <v>SL-PM_1995</v>
      </c>
      <c r="S81" t="b">
        <f>modif0[[#This Row],[tp]]="CR"</f>
        <v>0</v>
      </c>
      <c r="T81">
        <v>40</v>
      </c>
      <c r="U81" t="str">
        <f>IF(NOT($A81),"",
IF(AO81=-2,regle!$J$11,
IF(AO81=regle!$B$12,regle!$B$11,
IF(AO81=regle!$C$12,regle!$C$11,
IF(AO81=regle!$D$12,regle!$D$11,
IF(AO81=regle!$E$12,regle!$E$11,
IF(AO81=regle!$F$12,regle!$F$11,
IF(AO81=regle!$G$12,regle!$G$11,
IF(AO81=regle!$H$12,regle!$H$11,
IF(AO81=regle!$I$12,regle!$I$11,""))))))))))</f>
        <v/>
      </c>
      <c r="V81" t="str">
        <f>IF(NOT($A81),"",
IF(AP81=-2,regle!$J$11,
IF(AP81=regle!$B$12,regle!$B$11,
IF(AP81=regle!$C$12,regle!$C$11,
IF(AP81=regle!$D$12,regle!$D$11,
IF(AP81=regle!$E$12,regle!$E$11,
IF(AP81=regle!$F$12,regle!$F$11,
IF(AP81=regle!$G$12,regle!$G$11,
IF(AP81=regle!$H$12,regle!$H$11,
IF(AP81=regle!$I$12,regle!$I$11,""))))))))))</f>
        <v/>
      </c>
      <c r="W81" t="str">
        <f>IF(NOT($A81),"",
IF(AQ81=-2,regle!$J$11,
IF(AQ81=regle!$B$12,regle!$B$11,
IF(AQ81=regle!$C$12,regle!$C$11,
IF(AQ81=regle!$D$12,regle!$D$11,
IF(AQ81=regle!$E$12,regle!$E$11,
IF(AQ81=regle!$F$12,regle!$F$11,
IF(AQ81=regle!$G$12,regle!$G$11,
IF(AQ81=regle!$H$12,regle!$H$11,
IF(AQ81=regle!$I$12,regle!$I$11,""))))))))))</f>
        <v/>
      </c>
      <c r="X81" t="str">
        <f>IF(NOT($A81),"",
IF(AR81=-2,regle!$J$11,
IF(AR81=regle!$B$12,regle!$B$11,
IF(AR81=regle!$C$12,regle!$C$11,
IF(AR81=regle!$D$12,regle!$D$11,
IF(AR81=regle!$E$12,regle!$E$11,
IF(AR81=regle!$F$12,regle!$F$11,
IF(AR81=regle!$G$12,regle!$G$11,
IF(AR81=regle!$H$12,regle!$H$11,
IF(AR81=regle!$I$12,regle!$I$11,""))))))))))</f>
        <v/>
      </c>
      <c r="Y81" t="str">
        <f>IF(NOT($A81),"",
IF(AS81=-2,regle!$J$11,
IF(AS81=regle!$B$12,regle!$B$11,
IF(AS81=regle!$C$12,regle!$C$11,
IF(AS81=regle!$D$12,regle!$D$11,
IF(AS81=regle!$E$12,regle!$E$11,
IF(AS81=regle!$F$12,regle!$F$11,
IF(AS81=regle!$G$12,regle!$G$11,
IF(AS81=regle!$H$12,regle!$H$11,
IF(AS81=regle!$I$12,regle!$I$11,""))))))))))</f>
        <v/>
      </c>
      <c r="Z81" t="str">
        <f>IF(NOT($A81),"",
IF(AT81=-2,regle!$J$11,
IF(AT81=regle!$B$12,regle!$B$11,
IF(AT81=regle!$C$12,regle!$C$11,
IF(AT81=regle!$D$12,regle!$D$11,
IF(AT81=regle!$E$12,regle!$E$11,
IF(AT81=regle!$F$12,regle!$F$11,
IF(AT81=regle!$G$12,regle!$G$11,
IF(AT81=regle!$H$12,regle!$H$11,
IF(AT81=regle!$I$12,regle!$I$11,""))))))))))</f>
        <v/>
      </c>
      <c r="AA81" t="str">
        <f>IF(NOT($A81),"",
IF(AU81=-2,regle!$J$11,
IF(AU81=regle!$B$12,regle!$B$11,
IF(AU81=regle!$C$12,regle!$C$11,
IF(AU81=regle!$D$12,regle!$D$11,
IF(AU81=regle!$E$12,regle!$E$11,
IF(AU81=regle!$F$12,regle!$F$11,
IF(AU81=regle!$G$12,regle!$G$11,
IF(AU81=regle!$H$12,regle!$H$11,
IF(AU81=regle!$I$12,regle!$I$11,""))))))))))</f>
        <v/>
      </c>
      <c r="AB81" t="str">
        <f>IF(NOT($A81),"",
IF(AV81=-2,regle!$J$11,
IF(AV81=regle!$B$12,regle!$B$11,
IF(AV81=regle!$C$12,regle!$C$11,
IF(AV81=regle!$D$12,regle!$D$11,
IF(AV81=regle!$E$12,regle!$E$11,
IF(AV81=regle!$F$12,regle!$F$11,
IF(AV81=regle!$G$12,regle!$G$11,
IF(AV81=regle!$H$12,regle!$H$11,
IF(AV81=regle!$I$12,regle!$I$11,""))))))))))</f>
        <v/>
      </c>
      <c r="AC81" t="str">
        <f>IF(NOT($A81),"",
IF(AW81=-2,regle!$J$11,
IF(AW81=regle!$B$12,regle!$B$11,
IF(AW81=regle!$C$12,regle!$C$11,
IF(AW81=regle!$D$12,regle!$D$11,
IF(AW81=regle!$E$12,regle!$E$11,
IF(AW81=regle!$F$12,regle!$F$11,
IF(AW81=regle!$G$12,regle!$G$11,
IF(AW81=regle!$H$12,regle!$H$11,
IF(AW81=regle!$I$12,regle!$I$11,""))))))))))</f>
        <v/>
      </c>
      <c r="AD81" t="str">
        <f>IF(NOT($A81),"",
IF(AX81=-2,regle!$J$11,
IF(AX81=regle!$B$12,regle!$B$11,
IF(AX81=regle!$C$12,regle!$C$11,
IF(AX81=regle!$D$12,regle!$D$11,
IF(AX81=regle!$E$12,regle!$E$11,
IF(AX81=regle!$F$12,regle!$F$11,
IF(AX81=regle!$G$12,regle!$G$11,
IF(AX81=regle!$H$12,regle!$H$11,
IF(AX81=regle!$I$12,regle!$I$11,""))))))))))</f>
        <v/>
      </c>
      <c r="AE81" s="14">
        <f>IF($A81,$M81*(IF(U81=regle!$B$11,regle!$B$23,IF(U81=regle!$C$11,regle!$C$23,IF(U81=regle!$D$11,regle!$D$23,IF(U81=regle!$E$11,regle!$E$23,IF(U81=regle!$F$11,regle!$F$23,IF(U81=regle!$G$11,regle!$G$23,IF(U81=regle!$H$11,regle!$H$23,IF(U81=regle!$I$11,regle!$I$23,IF(U81=regle!$J$11,regle!$J$23,0)))))))))))</f>
        <v>0</v>
      </c>
      <c r="AF81" s="14">
        <f>IF($A81,$M81*(IF(V81=regle!$B$11,regle!$B$23,IF(V81=regle!$C$11,regle!$C$23,IF(V81=regle!$D$11,regle!$D$23,IF(V81=regle!$E$11,regle!$E$23,IF(V81=regle!$F$11,regle!$F$23,IF(V81=regle!$G$11,regle!$G$23,IF(V81=regle!$H$11,regle!$H$23,IF(V81=regle!$I$11,regle!$I$23,IF(V81=regle!$J$11,regle!$J$23,0)))))))))))</f>
        <v>0</v>
      </c>
      <c r="AG81" s="14">
        <f>IF($A81,$M81*(IF(W81=regle!$B$11,regle!$B$23,IF(W81=regle!$C$11,regle!$C$23,IF(W81=regle!$D$11,regle!$D$23,IF(W81=regle!$E$11,regle!$E$23,IF(W81=regle!$F$11,regle!$F$23,IF(W81=regle!$G$11,regle!$G$23,IF(W81=regle!$H$11,regle!$H$23,IF(W81=regle!$I$11,regle!$I$23,IF(W81=regle!$J$11,regle!$J$23,0)))))))))))</f>
        <v>0</v>
      </c>
      <c r="AH81" s="14">
        <f>IF($A81,$M81*(IF(X81=regle!$B$11,regle!$B$23,IF(X81=regle!$C$11,regle!$C$23,IF(X81=regle!$D$11,regle!$D$23,IF(X81=regle!$E$11,regle!$E$23,IF(X81=regle!$F$11,regle!$F$23,IF(X81=regle!$G$11,regle!$G$23,IF(X81=regle!$H$11,regle!$H$23,IF(X81=regle!$I$11,regle!$I$23,IF(X81=regle!$J$11,regle!$J$23,0)))))))))))</f>
        <v>0</v>
      </c>
      <c r="AI81" s="14">
        <f>IF($A81,$M81*(IF(Y81=regle!$B$11,regle!$B$23,IF(Y81=regle!$C$11,regle!$C$23,IF(Y81=regle!$D$11,regle!$D$23,IF(Y81=regle!$E$11,regle!$E$23,IF(Y81=regle!$F$11,regle!$F$23,IF(Y81=regle!$G$11,regle!$G$23,IF(Y81=regle!$H$11,regle!$H$23,IF(Y81=regle!$I$11,regle!$I$23,IF(Y81=regle!$J$11,regle!$J$23,0)))))))))))</f>
        <v>0</v>
      </c>
      <c r="AJ81" s="14">
        <f>IF($A81,$M81*(IF(Z81=regle!$B$11,regle!$B$23,IF(Z81=regle!$C$11,regle!$C$23,IF(Z81=regle!$D$11,regle!$D$23,IF(Z81=regle!$E$11,regle!$E$23,IF(Z81=regle!$F$11,regle!$F$23,IF(Z81=regle!$G$11,regle!$G$23,IF(Z81=regle!$H$11,regle!$H$23,IF(Z81=regle!$I$11,regle!$I$23,IF(Z81=regle!$J$11,regle!$J$23,0)))))))))))</f>
        <v>0</v>
      </c>
      <c r="AK81" s="14">
        <f>IF($A81,$M81*(IF(AA81=regle!$B$11,regle!$B$23,IF(AA81=regle!$C$11,regle!$C$23,IF(AA81=regle!$D$11,regle!$D$23,IF(AA81=regle!$E$11,regle!$E$23,IF(AA81=regle!$F$11,regle!$F$23,IF(AA81=regle!$G$11,regle!$G$23,IF(AA81=regle!$H$11,regle!$H$23,IF(AA81=regle!$I$11,regle!$I$23,IF(AA81=regle!$J$11,regle!$J$23,0)))))))))))</f>
        <v>0</v>
      </c>
      <c r="AL81" s="14">
        <f>IF($A81,$M81*(IF(AB81=regle!$B$11,regle!$B$23,IF(AB81=regle!$C$11,regle!$C$23,IF(AB81=regle!$D$11,regle!$D$23,IF(AB81=regle!$E$11,regle!$E$23,IF(AB81=regle!$F$11,regle!$F$23,IF(AB81=regle!$G$11,regle!$G$23,IF(AB81=regle!$H$11,regle!$H$23,IF(AB81=regle!$I$11,regle!$I$23,IF(AB81=regle!$J$11,regle!$J$23,0)))))))))))</f>
        <v>0</v>
      </c>
      <c r="AM81" s="14">
        <f>IF($A81,$M81*(IF(AC81=regle!$B$11,regle!$B$23,IF(AC81=regle!$C$11,regle!$C$23,IF(AC81=regle!$D$11,regle!$D$23,IF(AC81=regle!$E$11,regle!$E$23,IF(AC81=regle!$F$11,regle!$F$23,IF(AC81=regle!$G$11,regle!$G$23,IF(AC81=regle!$H$11,regle!$H$23,IF(AC81=regle!$I$11,regle!$I$23,IF(AC81=regle!$J$11,regle!$J$23,0)))))))))))</f>
        <v>0</v>
      </c>
      <c r="AN81" s="14">
        <f>IF($A81,$M81*(IF(AD81=regle!$B$11,regle!$B$23,IF(AD81=regle!$C$11,regle!$C$23,IF(AD81=regle!$D$11,regle!$D$23,IF(AD81=regle!$E$11,regle!$E$23,IF(AD81=regle!$F$11,regle!$F$23,IF(AD81=regle!$G$11,regle!$G$23,IF(AD81=regle!$H$11,regle!$H$23,IF(AD81=regle!$I$11,regle!$I$23,IF(AD81=regle!$J$11,regle!$J$23,0)))))))))))</f>
        <v>0</v>
      </c>
      <c r="AO81">
        <f>IF(AO$1=$AO$1,IF(regle!B$2-$Q81&gt;=regle!$J$12,-2,IF($S81,IF(regle!$B$2-$Q81&gt;=2,0,-1),regle!B$2-$Q81)),IF(AN81+1&gt;=regle!$J$12,-2,AN81+1))</f>
        <v>29</v>
      </c>
      <c r="AP81">
        <f>IF(AP$1=$AO$1,IF(regle!C$2-$Q81&gt;=regle!$J$12,-2,IF($S81,IF(regle!$B$2-$Q81&gt;=2,0,-1),regle!C$2-$Q81)),IF(AO81+1&gt;=regle!$J$12,-2,AO81+1))</f>
        <v>30</v>
      </c>
      <c r="AQ81">
        <f>IF(AQ$1=$AO$1,IF(regle!D$2-$Q81&gt;=regle!$J$12,-2,IF($S81,IF(regle!$B$2-$Q81&gt;=2,0,-1),regle!D$2-$Q81)),IF(AP81+1&gt;=regle!$J$12,-2,AP81+1))</f>
        <v>31</v>
      </c>
      <c r="AR81">
        <f>IF(AR$1=$AO$1,IF(regle!E$2-$Q81&gt;=regle!$J$12,-2,IF($S81,IF(regle!$B$2-$Q81&gt;=2,0,-1),regle!E$2-$Q81)),IF(AQ81+1&gt;=regle!$J$12,-2,AQ81+1))</f>
        <v>32</v>
      </c>
      <c r="AS81">
        <f>IF(AS$1=$AO$1,IF(regle!F$2-$Q81&gt;=regle!$J$12,-2,IF($S81,IF(regle!$B$2-$Q81&gt;=2,0,-1),regle!F$2-$Q81)),IF(AR81+1&gt;=regle!$J$12,-2,AR81+1))</f>
        <v>33</v>
      </c>
      <c r="AT81">
        <f>IF(AT$1=$AO$1,IF(regle!G$2-$Q81&gt;=regle!$J$12,-2,IF($S81,IF(regle!$B$2-$Q81&gt;=2,0,-1),regle!G$2-$Q81)),IF(AS81+1&gt;=regle!$J$12,-2,AS81+1))</f>
        <v>34</v>
      </c>
      <c r="AU81">
        <f>IF(AU$1=$AO$1,IF(regle!H$2-$Q81&gt;=regle!$J$12,-2,IF($S81,IF(regle!$B$2-$Q81&gt;=2,0,-1),regle!H$2-$Q81)),IF(AT81+1&gt;=regle!$J$12,-2,AT81+1))</f>
        <v>35</v>
      </c>
      <c r="AV81">
        <f>IF(AV$1=$AO$1,IF(regle!I$2-$Q81&gt;=regle!$J$12,-2,IF($S81,IF(regle!$B$2-$Q81&gt;=2,0,-1),regle!I$2-$Q81)),IF(AU81+1&gt;=regle!$J$12,-2,AU81+1))</f>
        <v>36</v>
      </c>
      <c r="AW81">
        <f>IF(AW$1=$AO$1,IF(regle!J$2-$Q81&gt;=regle!$J$12,-2,IF($S81,IF(regle!$B$2-$Q81&gt;=2,0,-1),regle!J$2-$Q81)),IF(AV81+1&gt;=regle!$J$12,-2,AV81+1))</f>
        <v>37</v>
      </c>
      <c r="AX81">
        <f>IF(AX$1=$AO$1,IF(regle!K$2-$Q81&gt;=regle!$J$12,-2,IF($S81,IF(regle!$B$2-$Q81&gt;=2,0,-1),regle!K$2-$Q81)),IF(AW81+1&gt;=regle!$J$12,-2,AW81+1))</f>
        <v>38</v>
      </c>
    </row>
    <row r="82" spans="1:50" x14ac:dyDescent="0.25">
      <c r="A82" t="b">
        <f>AND(modif0[[#This Row],[cdstr]]&lt;&gt;0,OR(regle!$H$27=FALSE,modif0[[#This Row],[essnc]]="PM"))</f>
        <v>1</v>
      </c>
      <c r="B82">
        <f>ROW(objet!A103)</f>
        <v>103</v>
      </c>
      <c r="C82" s="10" t="str">
        <f>objet!D103</f>
        <v>5360000A0716</v>
      </c>
      <c r="D82" t="str">
        <f>LEFT(modif0[[#This Row],[cdstr]],3)</f>
        <v>536</v>
      </c>
      <c r="E82" s="10" t="str">
        <f>objet!G103</f>
        <v>LE TUZAN</v>
      </c>
      <c r="F82">
        <f>LEN(modif0[[#This Row],[l_dt]])</f>
        <v>7</v>
      </c>
      <c r="G82" s="10" t="str">
        <f>objet!H103</f>
        <v>CHOUSSE</v>
      </c>
      <c r="H82" s="10" t="str">
        <f>objet!C103</f>
        <v>A716</v>
      </c>
      <c r="I82" t="str">
        <f>IF(ISNUMBER(VALUE(RIGHT(LEFT(modif0[[#This Row],[idntfn]],2),1))),_xlfn.CONCAT(0,LEFT(modif0[[#This Row],[idntfn]],1)),LEFT(modif0[[#This Row],[idntfn]],2))</f>
        <v>0A</v>
      </c>
      <c r="J82">
        <f>VALUE(LEFT(RIGHT(modif0[[#This Row],[idntfn]],LEN(modif0[[#This Row],[idntfn]])-IF(LEFT(modif0[[#This Row],[sctn]],1)="0",1,2)),LEN(modif0[[#This Row],[idntfn]])-IF(LEFT(modif0[[#This Row],[sctn]],1)="0",1,2)-LEN(modif0[[#This Row],[lttr]])))</f>
        <v>716</v>
      </c>
      <c r="K82" t="str">
        <f>IF(ISNUMBER(VALUE(RIGHT(modif0[[#This Row],[idntfn]],1))),"",IF(ISNUMBER(VALUE(LEFT(RIGHT(modif0[[#This Row],[idntfn]],2),1))),RIGHT(modif0[[#This Row],[idntfn]],1),RIGHT(modif0[[#This Row],[idntfn]],2)))</f>
        <v/>
      </c>
      <c r="L82" s="10">
        <f>objet!I103</f>
        <v>11860</v>
      </c>
      <c r="M82" s="11">
        <f>modif0[[#This Row],[srfc]]/10000</f>
        <v>1.1859999999999999</v>
      </c>
      <c r="N82" s="10" t="str">
        <f>objet!Z103</f>
        <v>PM</v>
      </c>
      <c r="O82" s="10" t="str">
        <f>objet!AA103</f>
        <v>PLA1995</v>
      </c>
      <c r="P82" t="str">
        <f>IF(ISNUMBER(modif0[[#This Row],[trvx]]),"",LEFT(modif0[[#This Row],[trvx]],LEN(modif0[[#This Row],[trvx]])-4))</f>
        <v>PLA</v>
      </c>
      <c r="Q82">
        <f>VALUE(RIGHT(modif0[[#This Row],[trvx]],4))</f>
        <v>1995</v>
      </c>
      <c r="R82" t="str">
        <f>_xlfn.CONCAT(modif0[[#This Row],[tp]],"-",modif0[[#This Row],[essnc]],"_",modif0[[#This Row],[anns]])</f>
        <v>PLA-PM_1995</v>
      </c>
      <c r="S82" t="b">
        <f>modif0[[#This Row],[tp]]="CR"</f>
        <v>0</v>
      </c>
      <c r="T82">
        <v>40</v>
      </c>
      <c r="U82" t="str">
        <f>IF(NOT($A82),"",
IF(AO82=-2,regle!$J$11,
IF(AO82=regle!$B$12,regle!$B$11,
IF(AO82=regle!$C$12,regle!$C$11,
IF(AO82=regle!$D$12,regle!$D$11,
IF(AO82=regle!$E$12,regle!$E$11,
IF(AO82=regle!$F$12,regle!$F$11,
IF(AO82=regle!$G$12,regle!$G$11,
IF(AO82=regle!$H$12,regle!$H$11,
IF(AO82=regle!$I$12,regle!$I$11,""))))))))))</f>
        <v/>
      </c>
      <c r="V82" t="str">
        <f>IF(NOT($A82),"",
IF(AP82=-2,regle!$J$11,
IF(AP82=regle!$B$12,regle!$B$11,
IF(AP82=regle!$C$12,regle!$C$11,
IF(AP82=regle!$D$12,regle!$D$11,
IF(AP82=regle!$E$12,regle!$E$11,
IF(AP82=regle!$F$12,regle!$F$11,
IF(AP82=regle!$G$12,regle!$G$11,
IF(AP82=regle!$H$12,regle!$H$11,
IF(AP82=regle!$I$12,regle!$I$11,""))))))))))</f>
        <v/>
      </c>
      <c r="W82" t="str">
        <f>IF(NOT($A82),"",
IF(AQ82=-2,regle!$J$11,
IF(AQ82=regle!$B$12,regle!$B$11,
IF(AQ82=regle!$C$12,regle!$C$11,
IF(AQ82=regle!$D$12,regle!$D$11,
IF(AQ82=regle!$E$12,regle!$E$11,
IF(AQ82=regle!$F$12,regle!$F$11,
IF(AQ82=regle!$G$12,regle!$G$11,
IF(AQ82=regle!$H$12,regle!$H$11,
IF(AQ82=regle!$I$12,regle!$I$11,""))))))))))</f>
        <v/>
      </c>
      <c r="X82" t="str">
        <f>IF(NOT($A82),"",
IF(AR82=-2,regle!$J$11,
IF(AR82=regle!$B$12,regle!$B$11,
IF(AR82=regle!$C$12,regle!$C$11,
IF(AR82=regle!$D$12,regle!$D$11,
IF(AR82=regle!$E$12,regle!$E$11,
IF(AR82=regle!$F$12,regle!$F$11,
IF(AR82=regle!$G$12,regle!$G$11,
IF(AR82=regle!$H$12,regle!$H$11,
IF(AR82=regle!$I$12,regle!$I$11,""))))))))))</f>
        <v/>
      </c>
      <c r="Y82" t="str">
        <f>IF(NOT($A82),"",
IF(AS82=-2,regle!$J$11,
IF(AS82=regle!$B$12,regle!$B$11,
IF(AS82=regle!$C$12,regle!$C$11,
IF(AS82=regle!$D$12,regle!$D$11,
IF(AS82=regle!$E$12,regle!$E$11,
IF(AS82=regle!$F$12,regle!$F$11,
IF(AS82=regle!$G$12,regle!$G$11,
IF(AS82=regle!$H$12,regle!$H$11,
IF(AS82=regle!$I$12,regle!$I$11,""))))))))))</f>
        <v/>
      </c>
      <c r="Z82" t="str">
        <f>IF(NOT($A82),"",
IF(AT82=-2,regle!$J$11,
IF(AT82=regle!$B$12,regle!$B$11,
IF(AT82=regle!$C$12,regle!$C$11,
IF(AT82=regle!$D$12,regle!$D$11,
IF(AT82=regle!$E$12,regle!$E$11,
IF(AT82=regle!$F$12,regle!$F$11,
IF(AT82=regle!$G$12,regle!$G$11,
IF(AT82=regle!$H$12,regle!$H$11,
IF(AT82=regle!$I$12,regle!$I$11,""))))))))))</f>
        <v/>
      </c>
      <c r="AA82" t="str">
        <f>IF(NOT($A82),"",
IF(AU82=-2,regle!$J$11,
IF(AU82=regle!$B$12,regle!$B$11,
IF(AU82=regle!$C$12,regle!$C$11,
IF(AU82=regle!$D$12,regle!$D$11,
IF(AU82=regle!$E$12,regle!$E$11,
IF(AU82=regle!$F$12,regle!$F$11,
IF(AU82=regle!$G$12,regle!$G$11,
IF(AU82=regle!$H$12,regle!$H$11,
IF(AU82=regle!$I$12,regle!$I$11,""))))))))))</f>
        <v/>
      </c>
      <c r="AB82" t="str">
        <f>IF(NOT($A82),"",
IF(AV82=-2,regle!$J$11,
IF(AV82=regle!$B$12,regle!$B$11,
IF(AV82=regle!$C$12,regle!$C$11,
IF(AV82=regle!$D$12,regle!$D$11,
IF(AV82=regle!$E$12,regle!$E$11,
IF(AV82=regle!$F$12,regle!$F$11,
IF(AV82=regle!$G$12,regle!$G$11,
IF(AV82=regle!$H$12,regle!$H$11,
IF(AV82=regle!$I$12,regle!$I$11,""))))))))))</f>
        <v/>
      </c>
      <c r="AC82" t="str">
        <f>IF(NOT($A82),"",
IF(AW82=-2,regle!$J$11,
IF(AW82=regle!$B$12,regle!$B$11,
IF(AW82=regle!$C$12,regle!$C$11,
IF(AW82=regle!$D$12,regle!$D$11,
IF(AW82=regle!$E$12,regle!$E$11,
IF(AW82=regle!$F$12,regle!$F$11,
IF(AW82=regle!$G$12,regle!$G$11,
IF(AW82=regle!$H$12,regle!$H$11,
IF(AW82=regle!$I$12,regle!$I$11,""))))))))))</f>
        <v/>
      </c>
      <c r="AD82" t="str">
        <f>IF(NOT($A82),"",
IF(AX82=-2,regle!$J$11,
IF(AX82=regle!$B$12,regle!$B$11,
IF(AX82=regle!$C$12,regle!$C$11,
IF(AX82=regle!$D$12,regle!$D$11,
IF(AX82=regle!$E$12,regle!$E$11,
IF(AX82=regle!$F$12,regle!$F$11,
IF(AX82=regle!$G$12,regle!$G$11,
IF(AX82=regle!$H$12,regle!$H$11,
IF(AX82=regle!$I$12,regle!$I$11,""))))))))))</f>
        <v/>
      </c>
      <c r="AE82" s="14">
        <f>IF($A82,$M82*(IF(U82=regle!$B$11,regle!$B$23,IF(U82=regle!$C$11,regle!$C$23,IF(U82=regle!$D$11,regle!$D$23,IF(U82=regle!$E$11,regle!$E$23,IF(U82=regle!$F$11,regle!$F$23,IF(U82=regle!$G$11,regle!$G$23,IF(U82=regle!$H$11,regle!$H$23,IF(U82=regle!$I$11,regle!$I$23,IF(U82=regle!$J$11,regle!$J$23,0)))))))))))</f>
        <v>0</v>
      </c>
      <c r="AF82" s="14">
        <f>IF($A82,$M82*(IF(V82=regle!$B$11,regle!$B$23,IF(V82=regle!$C$11,regle!$C$23,IF(V82=regle!$D$11,regle!$D$23,IF(V82=regle!$E$11,regle!$E$23,IF(V82=regle!$F$11,regle!$F$23,IF(V82=regle!$G$11,regle!$G$23,IF(V82=regle!$H$11,regle!$H$23,IF(V82=regle!$I$11,regle!$I$23,IF(V82=regle!$J$11,regle!$J$23,0)))))))))))</f>
        <v>0</v>
      </c>
      <c r="AG82" s="14">
        <f>IF($A82,$M82*(IF(W82=regle!$B$11,regle!$B$23,IF(W82=regle!$C$11,regle!$C$23,IF(W82=regle!$D$11,regle!$D$23,IF(W82=regle!$E$11,regle!$E$23,IF(W82=regle!$F$11,regle!$F$23,IF(W82=regle!$G$11,regle!$G$23,IF(W82=regle!$H$11,regle!$H$23,IF(W82=regle!$I$11,regle!$I$23,IF(W82=regle!$J$11,regle!$J$23,0)))))))))))</f>
        <v>0</v>
      </c>
      <c r="AH82" s="14">
        <f>IF($A82,$M82*(IF(X82=regle!$B$11,regle!$B$23,IF(X82=regle!$C$11,regle!$C$23,IF(X82=regle!$D$11,regle!$D$23,IF(X82=regle!$E$11,regle!$E$23,IF(X82=regle!$F$11,regle!$F$23,IF(X82=regle!$G$11,regle!$G$23,IF(X82=regle!$H$11,regle!$H$23,IF(X82=regle!$I$11,regle!$I$23,IF(X82=regle!$J$11,regle!$J$23,0)))))))))))</f>
        <v>0</v>
      </c>
      <c r="AI82" s="14">
        <f>IF($A82,$M82*(IF(Y82=regle!$B$11,regle!$B$23,IF(Y82=regle!$C$11,regle!$C$23,IF(Y82=regle!$D$11,regle!$D$23,IF(Y82=regle!$E$11,regle!$E$23,IF(Y82=regle!$F$11,regle!$F$23,IF(Y82=regle!$G$11,regle!$G$23,IF(Y82=regle!$H$11,regle!$H$23,IF(Y82=regle!$I$11,regle!$I$23,IF(Y82=regle!$J$11,regle!$J$23,0)))))))))))</f>
        <v>0</v>
      </c>
      <c r="AJ82" s="14">
        <f>IF($A82,$M82*(IF(Z82=regle!$B$11,regle!$B$23,IF(Z82=regle!$C$11,regle!$C$23,IF(Z82=regle!$D$11,regle!$D$23,IF(Z82=regle!$E$11,regle!$E$23,IF(Z82=regle!$F$11,regle!$F$23,IF(Z82=regle!$G$11,regle!$G$23,IF(Z82=regle!$H$11,regle!$H$23,IF(Z82=regle!$I$11,regle!$I$23,IF(Z82=regle!$J$11,regle!$J$23,0)))))))))))</f>
        <v>0</v>
      </c>
      <c r="AK82" s="14">
        <f>IF($A82,$M82*(IF(AA82=regle!$B$11,regle!$B$23,IF(AA82=regle!$C$11,regle!$C$23,IF(AA82=regle!$D$11,regle!$D$23,IF(AA82=regle!$E$11,regle!$E$23,IF(AA82=regle!$F$11,regle!$F$23,IF(AA82=regle!$G$11,regle!$G$23,IF(AA82=regle!$H$11,regle!$H$23,IF(AA82=regle!$I$11,regle!$I$23,IF(AA82=regle!$J$11,regle!$J$23,0)))))))))))</f>
        <v>0</v>
      </c>
      <c r="AL82" s="14">
        <f>IF($A82,$M82*(IF(AB82=regle!$B$11,regle!$B$23,IF(AB82=regle!$C$11,regle!$C$23,IF(AB82=regle!$D$11,regle!$D$23,IF(AB82=regle!$E$11,regle!$E$23,IF(AB82=regle!$F$11,regle!$F$23,IF(AB82=regle!$G$11,regle!$G$23,IF(AB82=regle!$H$11,regle!$H$23,IF(AB82=regle!$I$11,regle!$I$23,IF(AB82=regle!$J$11,regle!$J$23,0)))))))))))</f>
        <v>0</v>
      </c>
      <c r="AM82" s="14">
        <f>IF($A82,$M82*(IF(AC82=regle!$B$11,regle!$B$23,IF(AC82=regle!$C$11,regle!$C$23,IF(AC82=regle!$D$11,regle!$D$23,IF(AC82=regle!$E$11,regle!$E$23,IF(AC82=regle!$F$11,regle!$F$23,IF(AC82=regle!$G$11,regle!$G$23,IF(AC82=regle!$H$11,regle!$H$23,IF(AC82=regle!$I$11,regle!$I$23,IF(AC82=regle!$J$11,regle!$J$23,0)))))))))))</f>
        <v>0</v>
      </c>
      <c r="AN82" s="14">
        <f>IF($A82,$M82*(IF(AD82=regle!$B$11,regle!$B$23,IF(AD82=regle!$C$11,regle!$C$23,IF(AD82=regle!$D$11,regle!$D$23,IF(AD82=regle!$E$11,regle!$E$23,IF(AD82=regle!$F$11,regle!$F$23,IF(AD82=regle!$G$11,regle!$G$23,IF(AD82=regle!$H$11,regle!$H$23,IF(AD82=regle!$I$11,regle!$I$23,IF(AD82=regle!$J$11,regle!$J$23,0)))))))))))</f>
        <v>0</v>
      </c>
      <c r="AO82">
        <f>IF(AO$1=$AO$1,IF(regle!B$2-$Q82&gt;=regle!$J$12,-2,IF($S82,IF(regle!$B$2-$Q82&gt;=2,0,-1),regle!B$2-$Q82)),IF(AN82+1&gt;=regle!$J$12,-2,AN82+1))</f>
        <v>29</v>
      </c>
      <c r="AP82">
        <f>IF(AP$1=$AO$1,IF(regle!C$2-$Q82&gt;=regle!$J$12,-2,IF($S82,IF(regle!$B$2-$Q82&gt;=2,0,-1),regle!C$2-$Q82)),IF(AO82+1&gt;=regle!$J$12,-2,AO82+1))</f>
        <v>30</v>
      </c>
      <c r="AQ82">
        <f>IF(AQ$1=$AO$1,IF(regle!D$2-$Q82&gt;=regle!$J$12,-2,IF($S82,IF(regle!$B$2-$Q82&gt;=2,0,-1),regle!D$2-$Q82)),IF(AP82+1&gt;=regle!$J$12,-2,AP82+1))</f>
        <v>31</v>
      </c>
      <c r="AR82">
        <f>IF(AR$1=$AO$1,IF(regle!E$2-$Q82&gt;=regle!$J$12,-2,IF($S82,IF(regle!$B$2-$Q82&gt;=2,0,-1),regle!E$2-$Q82)),IF(AQ82+1&gt;=regle!$J$12,-2,AQ82+1))</f>
        <v>32</v>
      </c>
      <c r="AS82">
        <f>IF(AS$1=$AO$1,IF(regle!F$2-$Q82&gt;=regle!$J$12,-2,IF($S82,IF(regle!$B$2-$Q82&gt;=2,0,-1),regle!F$2-$Q82)),IF(AR82+1&gt;=regle!$J$12,-2,AR82+1))</f>
        <v>33</v>
      </c>
      <c r="AT82">
        <f>IF(AT$1=$AO$1,IF(regle!G$2-$Q82&gt;=regle!$J$12,-2,IF($S82,IF(regle!$B$2-$Q82&gt;=2,0,-1),regle!G$2-$Q82)),IF(AS82+1&gt;=regle!$J$12,-2,AS82+1))</f>
        <v>34</v>
      </c>
      <c r="AU82">
        <f>IF(AU$1=$AO$1,IF(regle!H$2-$Q82&gt;=regle!$J$12,-2,IF($S82,IF(regle!$B$2-$Q82&gt;=2,0,-1),regle!H$2-$Q82)),IF(AT82+1&gt;=regle!$J$12,-2,AT82+1))</f>
        <v>35</v>
      </c>
      <c r="AV82">
        <f>IF(AV$1=$AO$1,IF(regle!I$2-$Q82&gt;=regle!$J$12,-2,IF($S82,IF(regle!$B$2-$Q82&gt;=2,0,-1),regle!I$2-$Q82)),IF(AU82+1&gt;=regle!$J$12,-2,AU82+1))</f>
        <v>36</v>
      </c>
      <c r="AW82">
        <f>IF(AW$1=$AO$1,IF(regle!J$2-$Q82&gt;=regle!$J$12,-2,IF($S82,IF(regle!$B$2-$Q82&gt;=2,0,-1),regle!J$2-$Q82)),IF(AV82+1&gt;=regle!$J$12,-2,AV82+1))</f>
        <v>37</v>
      </c>
      <c r="AX82">
        <f>IF(AX$1=$AO$1,IF(regle!K$2-$Q82&gt;=regle!$J$12,-2,IF($S82,IF(regle!$B$2-$Q82&gt;=2,0,-1),regle!K$2-$Q82)),IF(AW82+1&gt;=regle!$J$12,-2,AW82+1))</f>
        <v>38</v>
      </c>
    </row>
    <row r="83" spans="1:50" x14ac:dyDescent="0.25">
      <c r="A83" t="b">
        <f>AND(modif0[[#This Row],[cdstr]]&lt;&gt;0,OR(regle!$H$27=FALSE,modif0[[#This Row],[essnc]]="PM"))</f>
        <v>1</v>
      </c>
      <c r="B83">
        <f>ROW(objet!A104)</f>
        <v>104</v>
      </c>
      <c r="C83" s="10" t="str">
        <f>objet!D104</f>
        <v>5360000A0750</v>
      </c>
      <c r="D83" t="str">
        <f>LEFT(modif0[[#This Row],[cdstr]],3)</f>
        <v>536</v>
      </c>
      <c r="E83" s="10" t="str">
        <f>objet!G104</f>
        <v>LE TUZAN</v>
      </c>
      <c r="F83">
        <f>LEN(modif0[[#This Row],[l_dt]])</f>
        <v>7</v>
      </c>
      <c r="G83" s="10" t="str">
        <f>objet!H104</f>
        <v>CHOUSSE</v>
      </c>
      <c r="H83" s="10" t="str">
        <f>objet!C104</f>
        <v>A750</v>
      </c>
      <c r="I83" t="str">
        <f>IF(ISNUMBER(VALUE(RIGHT(LEFT(modif0[[#This Row],[idntfn]],2),1))),_xlfn.CONCAT(0,LEFT(modif0[[#This Row],[idntfn]],1)),LEFT(modif0[[#This Row],[idntfn]],2))</f>
        <v>0A</v>
      </c>
      <c r="J83">
        <f>VALUE(LEFT(RIGHT(modif0[[#This Row],[idntfn]],LEN(modif0[[#This Row],[idntfn]])-IF(LEFT(modif0[[#This Row],[sctn]],1)="0",1,2)),LEN(modif0[[#This Row],[idntfn]])-IF(LEFT(modif0[[#This Row],[sctn]],1)="0",1,2)-LEN(modif0[[#This Row],[lttr]])))</f>
        <v>750</v>
      </c>
      <c r="K83" t="str">
        <f>IF(ISNUMBER(VALUE(RIGHT(modif0[[#This Row],[idntfn]],1))),"",IF(ISNUMBER(VALUE(LEFT(RIGHT(modif0[[#This Row],[idntfn]],2),1))),RIGHT(modif0[[#This Row],[idntfn]],1),RIGHT(modif0[[#This Row],[idntfn]],2)))</f>
        <v/>
      </c>
      <c r="L83" s="10">
        <f>objet!I104</f>
        <v>9893</v>
      </c>
      <c r="M83" s="11">
        <f>modif0[[#This Row],[srfc]]/10000</f>
        <v>0.98929999999999996</v>
      </c>
      <c r="N83" s="10" t="str">
        <f>objet!Z104</f>
        <v>PM</v>
      </c>
      <c r="O83" s="10" t="str">
        <f>objet!AA104</f>
        <v>PLA2005</v>
      </c>
      <c r="P83" t="str">
        <f>IF(ISNUMBER(modif0[[#This Row],[trvx]]),"",LEFT(modif0[[#This Row],[trvx]],LEN(modif0[[#This Row],[trvx]])-4))</f>
        <v>PLA</v>
      </c>
      <c r="Q83">
        <f>VALUE(RIGHT(modif0[[#This Row],[trvx]],4))</f>
        <v>2005</v>
      </c>
      <c r="R83" t="str">
        <f>_xlfn.CONCAT(modif0[[#This Row],[tp]],"-",modif0[[#This Row],[essnc]],"_",modif0[[#This Row],[anns]])</f>
        <v>PLA-PM_2005</v>
      </c>
      <c r="S83" t="b">
        <f>modif0[[#This Row],[tp]]="CR"</f>
        <v>0</v>
      </c>
      <c r="T83">
        <v>40</v>
      </c>
      <c r="U83" t="str">
        <f>IF(NOT($A83),"",
IF(AO83=-2,regle!$J$11,
IF(AO83=regle!$B$12,regle!$B$11,
IF(AO83=regle!$C$12,regle!$C$11,
IF(AO83=regle!$D$12,regle!$D$11,
IF(AO83=regle!$E$12,regle!$E$11,
IF(AO83=regle!$F$12,regle!$F$11,
IF(AO83=regle!$G$12,regle!$G$11,
IF(AO83=regle!$H$12,regle!$H$11,
IF(AO83=regle!$I$12,regle!$I$11,""))))))))))</f>
        <v/>
      </c>
      <c r="V83" t="str">
        <f>IF(NOT($A83),"",
IF(AP83=-2,regle!$J$11,
IF(AP83=regle!$B$12,regle!$B$11,
IF(AP83=regle!$C$12,regle!$C$11,
IF(AP83=regle!$D$12,regle!$D$11,
IF(AP83=regle!$E$12,regle!$E$11,
IF(AP83=regle!$F$12,regle!$F$11,
IF(AP83=regle!$G$12,regle!$G$11,
IF(AP83=regle!$H$12,regle!$H$11,
IF(AP83=regle!$I$12,regle!$I$11,""))))))))))</f>
        <v/>
      </c>
      <c r="W83" t="str">
        <f>IF(NOT($A83),"",
IF(AQ83=-2,regle!$J$11,
IF(AQ83=regle!$B$12,regle!$B$11,
IF(AQ83=regle!$C$12,regle!$C$11,
IF(AQ83=regle!$D$12,regle!$D$11,
IF(AQ83=regle!$E$12,regle!$E$11,
IF(AQ83=regle!$F$12,regle!$F$11,
IF(AQ83=regle!$G$12,regle!$G$11,
IF(AQ83=regle!$H$12,regle!$H$11,
IF(AQ83=regle!$I$12,regle!$I$11,""))))))))))</f>
        <v/>
      </c>
      <c r="X83" t="str">
        <f>IF(NOT($A83),"",
IF(AR83=-2,regle!$J$11,
IF(AR83=regle!$B$12,regle!$B$11,
IF(AR83=regle!$C$12,regle!$C$11,
IF(AR83=regle!$D$12,regle!$D$11,
IF(AR83=regle!$E$12,regle!$E$11,
IF(AR83=regle!$F$12,regle!$F$11,
IF(AR83=regle!$G$12,regle!$G$11,
IF(AR83=regle!$H$12,regle!$H$11,
IF(AR83=regle!$I$12,regle!$I$11,""))))))))))</f>
        <v/>
      </c>
      <c r="Y83" t="str">
        <f>IF(NOT($A83),"",
IF(AS83=-2,regle!$J$11,
IF(AS83=regle!$B$12,regle!$B$11,
IF(AS83=regle!$C$12,regle!$C$11,
IF(AS83=regle!$D$12,regle!$D$11,
IF(AS83=regle!$E$12,regle!$E$11,
IF(AS83=regle!$F$12,regle!$F$11,
IF(AS83=regle!$G$12,regle!$G$11,
IF(AS83=regle!$H$12,regle!$H$11,
IF(AS83=regle!$I$12,regle!$I$11,""))))))))))</f>
        <v>EC3</v>
      </c>
      <c r="Z83" t="str">
        <f>IF(NOT($A83),"",
IF(AT83=-2,regle!$J$11,
IF(AT83=regle!$B$12,regle!$B$11,
IF(AT83=regle!$C$12,regle!$C$11,
IF(AT83=regle!$D$12,regle!$D$11,
IF(AT83=regle!$E$12,regle!$E$11,
IF(AT83=regle!$F$12,regle!$F$11,
IF(AT83=regle!$G$12,regle!$G$11,
IF(AT83=regle!$H$12,regle!$H$11,
IF(AT83=regle!$I$12,regle!$I$11,""))))))))))</f>
        <v/>
      </c>
      <c r="AA83" t="str">
        <f>IF(NOT($A83),"",
IF(AU83=-2,regle!$J$11,
IF(AU83=regle!$B$12,regle!$B$11,
IF(AU83=regle!$C$12,regle!$C$11,
IF(AU83=regle!$D$12,regle!$D$11,
IF(AU83=regle!$E$12,regle!$E$11,
IF(AU83=regle!$F$12,regle!$F$11,
IF(AU83=regle!$G$12,regle!$G$11,
IF(AU83=regle!$H$12,regle!$H$11,
IF(AU83=regle!$I$12,regle!$I$11,""))))))))))</f>
        <v/>
      </c>
      <c r="AB83" t="str">
        <f>IF(NOT($A83),"",
IF(AV83=-2,regle!$J$11,
IF(AV83=regle!$B$12,regle!$B$11,
IF(AV83=regle!$C$12,regle!$C$11,
IF(AV83=regle!$D$12,regle!$D$11,
IF(AV83=regle!$E$12,regle!$E$11,
IF(AV83=regle!$F$12,regle!$F$11,
IF(AV83=regle!$G$12,regle!$G$11,
IF(AV83=regle!$H$12,regle!$H$11,
IF(AV83=regle!$I$12,regle!$I$11,""))))))))))</f>
        <v/>
      </c>
      <c r="AC83" t="str">
        <f>IF(NOT($A83),"",
IF(AW83=-2,regle!$J$11,
IF(AW83=regle!$B$12,regle!$B$11,
IF(AW83=regle!$C$12,regle!$C$11,
IF(AW83=regle!$D$12,regle!$D$11,
IF(AW83=regle!$E$12,regle!$E$11,
IF(AW83=regle!$F$12,regle!$F$11,
IF(AW83=regle!$G$12,regle!$G$11,
IF(AW83=regle!$H$12,regle!$H$11,
IF(AW83=regle!$I$12,regle!$I$11,""))))))))))</f>
        <v/>
      </c>
      <c r="AD83" t="str">
        <f>IF(NOT($A83),"",
IF(AX83=-2,regle!$J$11,
IF(AX83=regle!$B$12,regle!$B$11,
IF(AX83=regle!$C$12,regle!$C$11,
IF(AX83=regle!$D$12,regle!$D$11,
IF(AX83=regle!$E$12,regle!$E$11,
IF(AX83=regle!$F$12,regle!$F$11,
IF(AX83=regle!$G$12,regle!$G$11,
IF(AX83=regle!$H$12,regle!$H$11,
IF(AX83=regle!$I$12,regle!$I$11,""))))))))))</f>
        <v>EC4</v>
      </c>
      <c r="AE83" s="14">
        <f>IF($A83,$M83*(IF(U83=regle!$B$11,regle!$B$23,IF(U83=regle!$C$11,regle!$C$23,IF(U83=regle!$D$11,regle!$D$23,IF(U83=regle!$E$11,regle!$E$23,IF(U83=regle!$F$11,regle!$F$23,IF(U83=regle!$G$11,regle!$G$23,IF(U83=regle!$H$11,regle!$H$23,IF(U83=regle!$I$11,regle!$I$23,IF(U83=regle!$J$11,regle!$J$23,0)))))))))))</f>
        <v>0</v>
      </c>
      <c r="AF83" s="14">
        <f>IF($A83,$M83*(IF(V83=regle!$B$11,regle!$B$23,IF(V83=regle!$C$11,regle!$C$23,IF(V83=regle!$D$11,regle!$D$23,IF(V83=regle!$E$11,regle!$E$23,IF(V83=regle!$F$11,regle!$F$23,IF(V83=regle!$G$11,regle!$G$23,IF(V83=regle!$H$11,regle!$H$23,IF(V83=regle!$I$11,regle!$I$23,IF(V83=regle!$J$11,regle!$J$23,0)))))))))))</f>
        <v>0</v>
      </c>
      <c r="AG83" s="14">
        <f>IF($A83,$M83*(IF(W83=regle!$B$11,regle!$B$23,IF(W83=regle!$C$11,regle!$C$23,IF(W83=regle!$D$11,regle!$D$23,IF(W83=regle!$E$11,regle!$E$23,IF(W83=regle!$F$11,regle!$F$23,IF(W83=regle!$G$11,regle!$G$23,IF(W83=regle!$H$11,regle!$H$23,IF(W83=regle!$I$11,regle!$I$23,IF(W83=regle!$J$11,regle!$J$23,0)))))))))))</f>
        <v>0</v>
      </c>
      <c r="AH83" s="14">
        <f>IF($A83,$M83*(IF(X83=regle!$B$11,regle!$B$23,IF(X83=regle!$C$11,regle!$C$23,IF(X83=regle!$D$11,regle!$D$23,IF(X83=regle!$E$11,regle!$E$23,IF(X83=regle!$F$11,regle!$F$23,IF(X83=regle!$G$11,regle!$G$23,IF(X83=regle!$H$11,regle!$H$23,IF(X83=regle!$I$11,regle!$I$23,IF(X83=regle!$J$11,regle!$J$23,0)))))))))))</f>
        <v>0</v>
      </c>
      <c r="AI83" s="14">
        <f>IF($A83,$M83*(IF(Y83=regle!$B$11,regle!$B$23,IF(Y83=regle!$C$11,regle!$C$23,IF(Y83=regle!$D$11,regle!$D$23,IF(Y83=regle!$E$11,regle!$E$23,IF(Y83=regle!$F$11,regle!$F$23,IF(Y83=regle!$G$11,regle!$G$23,IF(Y83=regle!$H$11,regle!$H$23,IF(Y83=regle!$I$11,regle!$I$23,IF(Y83=regle!$J$11,regle!$J$23,0)))))))))))</f>
        <v>1392.9343999999999</v>
      </c>
      <c r="AJ83" s="14">
        <f>IF($A83,$M83*(IF(Z83=regle!$B$11,regle!$B$23,IF(Z83=regle!$C$11,regle!$C$23,IF(Z83=regle!$D$11,regle!$D$23,IF(Z83=regle!$E$11,regle!$E$23,IF(Z83=regle!$F$11,regle!$F$23,IF(Z83=regle!$G$11,regle!$G$23,IF(Z83=regle!$H$11,regle!$H$23,IF(Z83=regle!$I$11,regle!$I$23,IF(Z83=regle!$J$11,regle!$J$23,0)))))))))))</f>
        <v>0</v>
      </c>
      <c r="AK83" s="14">
        <f>IF($A83,$M83*(IF(AA83=regle!$B$11,regle!$B$23,IF(AA83=regle!$C$11,regle!$C$23,IF(AA83=regle!$D$11,regle!$D$23,IF(AA83=regle!$E$11,regle!$E$23,IF(AA83=regle!$F$11,regle!$F$23,IF(AA83=regle!$G$11,regle!$G$23,IF(AA83=regle!$H$11,regle!$H$23,IF(AA83=regle!$I$11,regle!$I$23,IF(AA83=regle!$J$11,regle!$J$23,0)))))))))))</f>
        <v>0</v>
      </c>
      <c r="AL83" s="14">
        <f>IF($A83,$M83*(IF(AB83=regle!$B$11,regle!$B$23,IF(AB83=regle!$C$11,regle!$C$23,IF(AB83=regle!$D$11,regle!$D$23,IF(AB83=regle!$E$11,regle!$E$23,IF(AB83=regle!$F$11,regle!$F$23,IF(AB83=regle!$G$11,regle!$G$23,IF(AB83=regle!$H$11,regle!$H$23,IF(AB83=regle!$I$11,regle!$I$23,IF(AB83=regle!$J$11,regle!$J$23,0)))))))))))</f>
        <v>0</v>
      </c>
      <c r="AM83" s="14">
        <f>IF($A83,$M83*(IF(AC83=regle!$B$11,regle!$B$23,IF(AC83=regle!$C$11,regle!$C$23,IF(AC83=regle!$D$11,regle!$D$23,IF(AC83=regle!$E$11,regle!$E$23,IF(AC83=regle!$F$11,regle!$F$23,IF(AC83=regle!$G$11,regle!$G$23,IF(AC83=regle!$H$11,regle!$H$23,IF(AC83=regle!$I$11,regle!$I$23,IF(AC83=regle!$J$11,regle!$J$23,0)))))))))))</f>
        <v>0</v>
      </c>
      <c r="AN83" s="14">
        <f>IF($A83,$M83*(IF(AD83=regle!$B$11,regle!$B$23,IF(AD83=regle!$C$11,regle!$C$23,IF(AD83=regle!$D$11,regle!$D$23,IF(AD83=regle!$E$11,regle!$E$23,IF(AD83=regle!$F$11,regle!$F$23,IF(AD83=regle!$G$11,regle!$G$23,IF(AD83=regle!$H$11,regle!$H$23,IF(AD83=regle!$I$11,regle!$I$23,IF(AD83=regle!$J$11,regle!$J$23,0)))))))))))</f>
        <v>1266.3039999999999</v>
      </c>
      <c r="AO83">
        <f>IF(AO$1=$AO$1,IF(regle!B$2-$Q83&gt;=regle!$J$12,-2,IF($S83,IF(regle!$B$2-$Q83&gt;=2,0,-1),regle!B$2-$Q83)),IF(AN83+1&gt;=regle!$J$12,-2,AN83+1))</f>
        <v>19</v>
      </c>
      <c r="AP83">
        <f>IF(AP$1=$AO$1,IF(regle!C$2-$Q83&gt;=regle!$J$12,-2,IF($S83,IF(regle!$B$2-$Q83&gt;=2,0,-1),regle!C$2-$Q83)),IF(AO83+1&gt;=regle!$J$12,-2,AO83+1))</f>
        <v>20</v>
      </c>
      <c r="AQ83">
        <f>IF(AQ$1=$AO$1,IF(regle!D$2-$Q83&gt;=regle!$J$12,-2,IF($S83,IF(regle!$B$2-$Q83&gt;=2,0,-1),regle!D$2-$Q83)),IF(AP83+1&gt;=regle!$J$12,-2,AP83+1))</f>
        <v>21</v>
      </c>
      <c r="AR83">
        <f>IF(AR$1=$AO$1,IF(regle!E$2-$Q83&gt;=regle!$J$12,-2,IF($S83,IF(regle!$B$2-$Q83&gt;=2,0,-1),regle!E$2-$Q83)),IF(AQ83+1&gt;=regle!$J$12,-2,AQ83+1))</f>
        <v>22</v>
      </c>
      <c r="AS83">
        <f>IF(AS$1=$AO$1,IF(regle!F$2-$Q83&gt;=regle!$J$12,-2,IF($S83,IF(regle!$B$2-$Q83&gt;=2,0,-1),regle!F$2-$Q83)),IF(AR83+1&gt;=regle!$J$12,-2,AR83+1))</f>
        <v>23</v>
      </c>
      <c r="AT83">
        <f>IF(AT$1=$AO$1,IF(regle!G$2-$Q83&gt;=regle!$J$12,-2,IF($S83,IF(regle!$B$2-$Q83&gt;=2,0,-1),regle!G$2-$Q83)),IF(AS83+1&gt;=regle!$J$12,-2,AS83+1))</f>
        <v>24</v>
      </c>
      <c r="AU83">
        <f>IF(AU$1=$AO$1,IF(regle!H$2-$Q83&gt;=regle!$J$12,-2,IF($S83,IF(regle!$B$2-$Q83&gt;=2,0,-1),regle!H$2-$Q83)),IF(AT83+1&gt;=regle!$J$12,-2,AT83+1))</f>
        <v>25</v>
      </c>
      <c r="AV83">
        <f>IF(AV$1=$AO$1,IF(regle!I$2-$Q83&gt;=regle!$J$12,-2,IF($S83,IF(regle!$B$2-$Q83&gt;=2,0,-1),regle!I$2-$Q83)),IF(AU83+1&gt;=regle!$J$12,-2,AU83+1))</f>
        <v>26</v>
      </c>
      <c r="AW83">
        <f>IF(AW$1=$AO$1,IF(regle!J$2-$Q83&gt;=regle!$J$12,-2,IF($S83,IF(regle!$B$2-$Q83&gt;=2,0,-1),regle!J$2-$Q83)),IF(AV83+1&gt;=regle!$J$12,-2,AV83+1))</f>
        <v>27</v>
      </c>
      <c r="AX83">
        <f>IF(AX$1=$AO$1,IF(regle!K$2-$Q83&gt;=regle!$J$12,-2,IF($S83,IF(regle!$B$2-$Q83&gt;=2,0,-1),regle!K$2-$Q83)),IF(AW83+1&gt;=regle!$J$12,-2,AW83+1))</f>
        <v>28</v>
      </c>
    </row>
    <row r="84" spans="1:50" x14ac:dyDescent="0.25">
      <c r="A84" t="b">
        <f>AND(modif0[[#This Row],[cdstr]]&lt;&gt;0,OR(regle!$H$27=FALSE,modif0[[#This Row],[essnc]]="PM"))</f>
        <v>1</v>
      </c>
      <c r="B84">
        <f>ROW(objet!A106)</f>
        <v>106</v>
      </c>
      <c r="C84" s="10" t="str">
        <f>objet!D106</f>
        <v>5360000A0847</v>
      </c>
      <c r="D84" t="str">
        <f>LEFT(modif0[[#This Row],[cdstr]],3)</f>
        <v>536</v>
      </c>
      <c r="E84" s="10" t="str">
        <f>objet!G106</f>
        <v>LE TUZAN</v>
      </c>
      <c r="F84">
        <f>LEN(modif0[[#This Row],[l_dt]])</f>
        <v>21</v>
      </c>
      <c r="G84" s="10" t="str">
        <f>objet!H106</f>
        <v>METAIRIES DE TABARTON</v>
      </c>
      <c r="H84" s="10" t="str">
        <f>objet!C106</f>
        <v>A847a</v>
      </c>
      <c r="I84" t="str">
        <f>IF(ISNUMBER(VALUE(RIGHT(LEFT(modif0[[#This Row],[idntfn]],2),1))),_xlfn.CONCAT(0,LEFT(modif0[[#This Row],[idntfn]],1)),LEFT(modif0[[#This Row],[idntfn]],2))</f>
        <v>0A</v>
      </c>
      <c r="J84">
        <f>VALUE(LEFT(RIGHT(modif0[[#This Row],[idntfn]],LEN(modif0[[#This Row],[idntfn]])-IF(LEFT(modif0[[#This Row],[sctn]],1)="0",1,2)),LEN(modif0[[#This Row],[idntfn]])-IF(LEFT(modif0[[#This Row],[sctn]],1)="0",1,2)-LEN(modif0[[#This Row],[lttr]])))</f>
        <v>847</v>
      </c>
      <c r="K84" t="str">
        <f>IF(ISNUMBER(VALUE(RIGHT(modif0[[#This Row],[idntfn]],1))),"",IF(ISNUMBER(VALUE(LEFT(RIGHT(modif0[[#This Row],[idntfn]],2),1))),RIGHT(modif0[[#This Row],[idntfn]],1),RIGHT(modif0[[#This Row],[idntfn]],2)))</f>
        <v>a</v>
      </c>
      <c r="L84" s="10">
        <f>objet!I106</f>
        <v>12671</v>
      </c>
      <c r="M84" s="11">
        <f>modif0[[#This Row],[srfc]]/10000</f>
        <v>1.2670999999999999</v>
      </c>
      <c r="N84" s="10" t="str">
        <f>objet!Z106</f>
        <v>PM</v>
      </c>
      <c r="O84" s="10" t="str">
        <f>objet!AA106</f>
        <v>SL2003</v>
      </c>
      <c r="P84" t="str">
        <f>IF(ISNUMBER(modif0[[#This Row],[trvx]]),"",LEFT(modif0[[#This Row],[trvx]],LEN(modif0[[#This Row],[trvx]])-4))</f>
        <v>SL</v>
      </c>
      <c r="Q84">
        <f>VALUE(RIGHT(modif0[[#This Row],[trvx]],4))</f>
        <v>2003</v>
      </c>
      <c r="R84" t="str">
        <f>_xlfn.CONCAT(modif0[[#This Row],[tp]],"-",modif0[[#This Row],[essnc]],"_",modif0[[#This Row],[anns]])</f>
        <v>SL-PM_2003</v>
      </c>
      <c r="S84" t="b">
        <f>modif0[[#This Row],[tp]]="CR"</f>
        <v>0</v>
      </c>
      <c r="T84">
        <v>40</v>
      </c>
      <c r="U84" t="str">
        <f>IF(NOT($A84),"",
IF(AO84=-2,regle!$J$11,
IF(AO84=regle!$B$12,regle!$B$11,
IF(AO84=regle!$C$12,regle!$C$11,
IF(AO84=regle!$D$12,regle!$D$11,
IF(AO84=regle!$E$12,regle!$E$11,
IF(AO84=regle!$F$12,regle!$F$11,
IF(AO84=regle!$G$12,regle!$G$11,
IF(AO84=regle!$H$12,regle!$H$11,
IF(AO84=regle!$I$12,regle!$I$11,""))))))))))</f>
        <v/>
      </c>
      <c r="V84" t="str">
        <f>IF(NOT($A84),"",
IF(AP84=-2,regle!$J$11,
IF(AP84=regle!$B$12,regle!$B$11,
IF(AP84=regle!$C$12,regle!$C$11,
IF(AP84=regle!$D$12,regle!$D$11,
IF(AP84=regle!$E$12,regle!$E$11,
IF(AP84=regle!$F$12,regle!$F$11,
IF(AP84=regle!$G$12,regle!$G$11,
IF(AP84=regle!$H$12,regle!$H$11,
IF(AP84=regle!$I$12,regle!$I$11,""))))))))))</f>
        <v/>
      </c>
      <c r="W84" t="str">
        <f>IF(NOT($A84),"",
IF(AQ84=-2,regle!$J$11,
IF(AQ84=regle!$B$12,regle!$B$11,
IF(AQ84=regle!$C$12,regle!$C$11,
IF(AQ84=regle!$D$12,regle!$D$11,
IF(AQ84=regle!$E$12,regle!$E$11,
IF(AQ84=regle!$F$12,regle!$F$11,
IF(AQ84=regle!$G$12,regle!$G$11,
IF(AQ84=regle!$H$12,regle!$H$11,
IF(AQ84=regle!$I$12,regle!$I$11,""))))))))))</f>
        <v>EC3</v>
      </c>
      <c r="X84" t="str">
        <f>IF(NOT($A84),"",
IF(AR84=-2,regle!$J$11,
IF(AR84=regle!$B$12,regle!$B$11,
IF(AR84=regle!$C$12,regle!$C$11,
IF(AR84=regle!$D$12,regle!$D$11,
IF(AR84=regle!$E$12,regle!$E$11,
IF(AR84=regle!$F$12,regle!$F$11,
IF(AR84=regle!$G$12,regle!$G$11,
IF(AR84=regle!$H$12,regle!$H$11,
IF(AR84=regle!$I$12,regle!$I$11,""))))))))))</f>
        <v/>
      </c>
      <c r="Y84" t="str">
        <f>IF(NOT($A84),"",
IF(AS84=-2,regle!$J$11,
IF(AS84=regle!$B$12,regle!$B$11,
IF(AS84=regle!$C$12,regle!$C$11,
IF(AS84=regle!$D$12,regle!$D$11,
IF(AS84=regle!$E$12,regle!$E$11,
IF(AS84=regle!$F$12,regle!$F$11,
IF(AS84=regle!$G$12,regle!$G$11,
IF(AS84=regle!$H$12,regle!$H$11,
IF(AS84=regle!$I$12,regle!$I$11,""))))))))))</f>
        <v/>
      </c>
      <c r="Z84" t="str">
        <f>IF(NOT($A84),"",
IF(AT84=-2,regle!$J$11,
IF(AT84=regle!$B$12,regle!$B$11,
IF(AT84=regle!$C$12,regle!$C$11,
IF(AT84=regle!$D$12,regle!$D$11,
IF(AT84=regle!$E$12,regle!$E$11,
IF(AT84=regle!$F$12,regle!$F$11,
IF(AT84=regle!$G$12,regle!$G$11,
IF(AT84=regle!$H$12,regle!$H$11,
IF(AT84=regle!$I$12,regle!$I$11,""))))))))))</f>
        <v/>
      </c>
      <c r="AA84" t="str">
        <f>IF(NOT($A84),"",
IF(AU84=-2,regle!$J$11,
IF(AU84=regle!$B$12,regle!$B$11,
IF(AU84=regle!$C$12,regle!$C$11,
IF(AU84=regle!$D$12,regle!$D$11,
IF(AU84=regle!$E$12,regle!$E$11,
IF(AU84=regle!$F$12,regle!$F$11,
IF(AU84=regle!$G$12,regle!$G$11,
IF(AU84=regle!$H$12,regle!$H$11,
IF(AU84=regle!$I$12,regle!$I$11,""))))))))))</f>
        <v/>
      </c>
      <c r="AB84" t="str">
        <f>IF(NOT($A84),"",
IF(AV84=-2,regle!$J$11,
IF(AV84=regle!$B$12,regle!$B$11,
IF(AV84=regle!$C$12,regle!$C$11,
IF(AV84=regle!$D$12,regle!$D$11,
IF(AV84=regle!$E$12,regle!$E$11,
IF(AV84=regle!$F$12,regle!$F$11,
IF(AV84=regle!$G$12,regle!$G$11,
IF(AV84=regle!$H$12,regle!$H$11,
IF(AV84=regle!$I$12,regle!$I$11,""))))))))))</f>
        <v>EC4</v>
      </c>
      <c r="AC84" t="str">
        <f>IF(NOT($A84),"",
IF(AW84=-2,regle!$J$11,
IF(AW84=regle!$B$12,regle!$B$11,
IF(AW84=regle!$C$12,regle!$C$11,
IF(AW84=regle!$D$12,regle!$D$11,
IF(AW84=regle!$E$12,regle!$E$11,
IF(AW84=regle!$F$12,regle!$F$11,
IF(AW84=regle!$G$12,regle!$G$11,
IF(AW84=regle!$H$12,regle!$H$11,
IF(AW84=regle!$I$12,regle!$I$11,""))))))))))</f>
        <v/>
      </c>
      <c r="AD84" t="str">
        <f>IF(NOT($A84),"",
IF(AX84=-2,regle!$J$11,
IF(AX84=regle!$B$12,regle!$B$11,
IF(AX84=regle!$C$12,regle!$C$11,
IF(AX84=regle!$D$12,regle!$D$11,
IF(AX84=regle!$E$12,regle!$E$11,
IF(AX84=regle!$F$12,regle!$F$11,
IF(AX84=regle!$G$12,regle!$G$11,
IF(AX84=regle!$H$12,regle!$H$11,
IF(AX84=regle!$I$12,regle!$I$11,""))))))))))</f>
        <v/>
      </c>
      <c r="AE84" s="14">
        <f>IF($A84,$M84*(IF(U84=regle!$B$11,regle!$B$23,IF(U84=regle!$C$11,regle!$C$23,IF(U84=regle!$D$11,regle!$D$23,IF(U84=regle!$E$11,regle!$E$23,IF(U84=regle!$F$11,regle!$F$23,IF(U84=regle!$G$11,regle!$G$23,IF(U84=regle!$H$11,regle!$H$23,IF(U84=regle!$I$11,regle!$I$23,IF(U84=regle!$J$11,regle!$J$23,0)))))))))))</f>
        <v>0</v>
      </c>
      <c r="AF84" s="14">
        <f>IF($A84,$M84*(IF(V84=regle!$B$11,regle!$B$23,IF(V84=regle!$C$11,regle!$C$23,IF(V84=regle!$D$11,regle!$D$23,IF(V84=regle!$E$11,regle!$E$23,IF(V84=regle!$F$11,regle!$F$23,IF(V84=regle!$G$11,regle!$G$23,IF(V84=regle!$H$11,regle!$H$23,IF(V84=regle!$I$11,regle!$I$23,IF(V84=regle!$J$11,regle!$J$23,0)))))))))))</f>
        <v>0</v>
      </c>
      <c r="AG84" s="14">
        <f>IF($A84,$M84*(IF(W84=regle!$B$11,regle!$B$23,IF(W84=regle!$C$11,regle!$C$23,IF(W84=regle!$D$11,regle!$D$23,IF(W84=regle!$E$11,regle!$E$23,IF(W84=regle!$F$11,regle!$F$23,IF(W84=regle!$G$11,regle!$G$23,IF(W84=regle!$H$11,regle!$H$23,IF(W84=regle!$I$11,regle!$I$23,IF(W84=regle!$J$11,regle!$J$23,0)))))))))))</f>
        <v>1784.0767999999998</v>
      </c>
      <c r="AH84" s="14">
        <f>IF($A84,$M84*(IF(X84=regle!$B$11,regle!$B$23,IF(X84=regle!$C$11,regle!$C$23,IF(X84=regle!$D$11,regle!$D$23,IF(X84=regle!$E$11,regle!$E$23,IF(X84=regle!$F$11,regle!$F$23,IF(X84=regle!$G$11,regle!$G$23,IF(X84=regle!$H$11,regle!$H$23,IF(X84=regle!$I$11,regle!$I$23,IF(X84=regle!$J$11,regle!$J$23,0)))))))))))</f>
        <v>0</v>
      </c>
      <c r="AI84" s="14">
        <f>IF($A84,$M84*(IF(Y84=regle!$B$11,regle!$B$23,IF(Y84=regle!$C$11,regle!$C$23,IF(Y84=regle!$D$11,regle!$D$23,IF(Y84=regle!$E$11,regle!$E$23,IF(Y84=regle!$F$11,regle!$F$23,IF(Y84=regle!$G$11,regle!$G$23,IF(Y84=regle!$H$11,regle!$H$23,IF(Y84=regle!$I$11,regle!$I$23,IF(Y84=regle!$J$11,regle!$J$23,0)))))))))))</f>
        <v>0</v>
      </c>
      <c r="AJ84" s="14">
        <f>IF($A84,$M84*(IF(Z84=regle!$B$11,regle!$B$23,IF(Z84=regle!$C$11,regle!$C$23,IF(Z84=regle!$D$11,regle!$D$23,IF(Z84=regle!$E$11,regle!$E$23,IF(Z84=regle!$F$11,regle!$F$23,IF(Z84=regle!$G$11,regle!$G$23,IF(Z84=regle!$H$11,regle!$H$23,IF(Z84=regle!$I$11,regle!$I$23,IF(Z84=regle!$J$11,regle!$J$23,0)))))))))))</f>
        <v>0</v>
      </c>
      <c r="AK84" s="14">
        <f>IF($A84,$M84*(IF(AA84=regle!$B$11,regle!$B$23,IF(AA84=regle!$C$11,regle!$C$23,IF(AA84=regle!$D$11,regle!$D$23,IF(AA84=regle!$E$11,regle!$E$23,IF(AA84=regle!$F$11,regle!$F$23,IF(AA84=regle!$G$11,regle!$G$23,IF(AA84=regle!$H$11,regle!$H$23,IF(AA84=regle!$I$11,regle!$I$23,IF(AA84=regle!$J$11,regle!$J$23,0)))))))))))</f>
        <v>0</v>
      </c>
      <c r="AL84" s="14">
        <f>IF($A84,$M84*(IF(AB84=regle!$B$11,regle!$B$23,IF(AB84=regle!$C$11,regle!$C$23,IF(AB84=regle!$D$11,regle!$D$23,IF(AB84=regle!$E$11,regle!$E$23,IF(AB84=regle!$F$11,regle!$F$23,IF(AB84=regle!$G$11,regle!$G$23,IF(AB84=regle!$H$11,regle!$H$23,IF(AB84=regle!$I$11,regle!$I$23,IF(AB84=regle!$J$11,regle!$J$23,0)))))))))))</f>
        <v>1621.8879999999999</v>
      </c>
      <c r="AM84" s="14">
        <f>IF($A84,$M84*(IF(AC84=regle!$B$11,regle!$B$23,IF(AC84=regle!$C$11,regle!$C$23,IF(AC84=regle!$D$11,regle!$D$23,IF(AC84=regle!$E$11,regle!$E$23,IF(AC84=regle!$F$11,regle!$F$23,IF(AC84=regle!$G$11,regle!$G$23,IF(AC84=regle!$H$11,regle!$H$23,IF(AC84=regle!$I$11,regle!$I$23,IF(AC84=regle!$J$11,regle!$J$23,0)))))))))))</f>
        <v>0</v>
      </c>
      <c r="AN84" s="14">
        <f>IF($A84,$M84*(IF(AD84=regle!$B$11,regle!$B$23,IF(AD84=regle!$C$11,regle!$C$23,IF(AD84=regle!$D$11,regle!$D$23,IF(AD84=regle!$E$11,regle!$E$23,IF(AD84=regle!$F$11,regle!$F$23,IF(AD84=regle!$G$11,regle!$G$23,IF(AD84=regle!$H$11,regle!$H$23,IF(AD84=regle!$I$11,regle!$I$23,IF(AD84=regle!$J$11,regle!$J$23,0)))))))))))</f>
        <v>0</v>
      </c>
      <c r="AO84">
        <f>IF(AO$1=$AO$1,IF(regle!B$2-$Q84&gt;=regle!$J$12,-2,IF($S84,IF(regle!$B$2-$Q84&gt;=2,0,-1),regle!B$2-$Q84)),IF(AN84+1&gt;=regle!$J$12,-2,AN84+1))</f>
        <v>21</v>
      </c>
      <c r="AP84">
        <f>IF(AP$1=$AO$1,IF(regle!C$2-$Q84&gt;=regle!$J$12,-2,IF($S84,IF(regle!$B$2-$Q84&gt;=2,0,-1),regle!C$2-$Q84)),IF(AO84+1&gt;=regle!$J$12,-2,AO84+1))</f>
        <v>22</v>
      </c>
      <c r="AQ84">
        <f>IF(AQ$1=$AO$1,IF(regle!D$2-$Q84&gt;=regle!$J$12,-2,IF($S84,IF(regle!$B$2-$Q84&gt;=2,0,-1),regle!D$2-$Q84)),IF(AP84+1&gt;=regle!$J$12,-2,AP84+1))</f>
        <v>23</v>
      </c>
      <c r="AR84">
        <f>IF(AR$1=$AO$1,IF(regle!E$2-$Q84&gt;=regle!$J$12,-2,IF($S84,IF(regle!$B$2-$Q84&gt;=2,0,-1),regle!E$2-$Q84)),IF(AQ84+1&gt;=regle!$J$12,-2,AQ84+1))</f>
        <v>24</v>
      </c>
      <c r="AS84">
        <f>IF(AS$1=$AO$1,IF(regle!F$2-$Q84&gt;=regle!$J$12,-2,IF($S84,IF(regle!$B$2-$Q84&gt;=2,0,-1),regle!F$2-$Q84)),IF(AR84+1&gt;=regle!$J$12,-2,AR84+1))</f>
        <v>25</v>
      </c>
      <c r="AT84">
        <f>IF(AT$1=$AO$1,IF(regle!G$2-$Q84&gt;=regle!$J$12,-2,IF($S84,IF(regle!$B$2-$Q84&gt;=2,0,-1),regle!G$2-$Q84)),IF(AS84+1&gt;=regle!$J$12,-2,AS84+1))</f>
        <v>26</v>
      </c>
      <c r="AU84">
        <f>IF(AU$1=$AO$1,IF(regle!H$2-$Q84&gt;=regle!$J$12,-2,IF($S84,IF(regle!$B$2-$Q84&gt;=2,0,-1),regle!H$2-$Q84)),IF(AT84+1&gt;=regle!$J$12,-2,AT84+1))</f>
        <v>27</v>
      </c>
      <c r="AV84">
        <f>IF(AV$1=$AO$1,IF(regle!I$2-$Q84&gt;=regle!$J$12,-2,IF($S84,IF(regle!$B$2-$Q84&gt;=2,0,-1),regle!I$2-$Q84)),IF(AU84+1&gt;=regle!$J$12,-2,AU84+1))</f>
        <v>28</v>
      </c>
      <c r="AW84">
        <f>IF(AW$1=$AO$1,IF(regle!J$2-$Q84&gt;=regle!$J$12,-2,IF($S84,IF(regle!$B$2-$Q84&gt;=2,0,-1),regle!J$2-$Q84)),IF(AV84+1&gt;=regle!$J$12,-2,AV84+1))</f>
        <v>29</v>
      </c>
      <c r="AX84">
        <f>IF(AX$1=$AO$1,IF(regle!K$2-$Q84&gt;=regle!$J$12,-2,IF($S84,IF(regle!$B$2-$Q84&gt;=2,0,-1),regle!K$2-$Q84)),IF(AW84+1&gt;=regle!$J$12,-2,AW84+1))</f>
        <v>30</v>
      </c>
    </row>
    <row r="85" spans="1:50" x14ac:dyDescent="0.25">
      <c r="A85" t="b">
        <f>AND(modif0[[#This Row],[cdstr]]&lt;&gt;0,OR(regle!$H$27=FALSE,modif0[[#This Row],[essnc]]="PM"))</f>
        <v>1</v>
      </c>
      <c r="B85">
        <f>ROW(objet!A107)</f>
        <v>107</v>
      </c>
      <c r="C85" s="10" t="str">
        <f>objet!D107</f>
        <v>5360000A0847</v>
      </c>
      <c r="D85" t="str">
        <f>LEFT(modif0[[#This Row],[cdstr]],3)</f>
        <v>536</v>
      </c>
      <c r="E85" s="10" t="str">
        <f>objet!G107</f>
        <v>LE TUZAN</v>
      </c>
      <c r="F85">
        <f>LEN(modif0[[#This Row],[l_dt]])</f>
        <v>21</v>
      </c>
      <c r="G85" s="10" t="str">
        <f>objet!H107</f>
        <v>METAIRIES DE TABARTON</v>
      </c>
      <c r="H85" s="10" t="str">
        <f>objet!C107</f>
        <v>A847b</v>
      </c>
      <c r="I85" t="str">
        <f>IF(ISNUMBER(VALUE(RIGHT(LEFT(modif0[[#This Row],[idntfn]],2),1))),_xlfn.CONCAT(0,LEFT(modif0[[#This Row],[idntfn]],1)),LEFT(modif0[[#This Row],[idntfn]],2))</f>
        <v>0A</v>
      </c>
      <c r="J85">
        <f>VALUE(LEFT(RIGHT(modif0[[#This Row],[idntfn]],LEN(modif0[[#This Row],[idntfn]])-IF(LEFT(modif0[[#This Row],[sctn]],1)="0",1,2)),LEN(modif0[[#This Row],[idntfn]])-IF(LEFT(modif0[[#This Row],[sctn]],1)="0",1,2)-LEN(modif0[[#This Row],[lttr]])))</f>
        <v>847</v>
      </c>
      <c r="K85" t="str">
        <f>IF(ISNUMBER(VALUE(RIGHT(modif0[[#This Row],[idntfn]],1))),"",IF(ISNUMBER(VALUE(LEFT(RIGHT(modif0[[#This Row],[idntfn]],2),1))),RIGHT(modif0[[#This Row],[idntfn]],1),RIGHT(modif0[[#This Row],[idntfn]],2)))</f>
        <v>b</v>
      </c>
      <c r="L85" s="10">
        <f>objet!I107</f>
        <v>34255</v>
      </c>
      <c r="M85" s="11">
        <f>modif0[[#This Row],[srfc]]/10000</f>
        <v>3.4255</v>
      </c>
      <c r="N85" s="10" t="str">
        <f>objet!Z107</f>
        <v>PM</v>
      </c>
      <c r="O85" s="10" t="str">
        <f>objet!AA107</f>
        <v>SL2003</v>
      </c>
      <c r="P85" t="str">
        <f>IF(ISNUMBER(modif0[[#This Row],[trvx]]),"",LEFT(modif0[[#This Row],[trvx]],LEN(modif0[[#This Row],[trvx]])-4))</f>
        <v>SL</v>
      </c>
      <c r="Q85">
        <f>VALUE(RIGHT(modif0[[#This Row],[trvx]],4))</f>
        <v>2003</v>
      </c>
      <c r="R85" t="str">
        <f>_xlfn.CONCAT(modif0[[#This Row],[tp]],"-",modif0[[#This Row],[essnc]],"_",modif0[[#This Row],[anns]])</f>
        <v>SL-PM_2003</v>
      </c>
      <c r="S85" t="b">
        <f>modif0[[#This Row],[tp]]="CR"</f>
        <v>0</v>
      </c>
      <c r="T85">
        <v>40</v>
      </c>
      <c r="U85" t="str">
        <f>IF(NOT($A85),"",
IF(AO85=-2,regle!$J$11,
IF(AO85=regle!$B$12,regle!$B$11,
IF(AO85=regle!$C$12,regle!$C$11,
IF(AO85=regle!$D$12,regle!$D$11,
IF(AO85=regle!$E$12,regle!$E$11,
IF(AO85=regle!$F$12,regle!$F$11,
IF(AO85=regle!$G$12,regle!$G$11,
IF(AO85=regle!$H$12,regle!$H$11,
IF(AO85=regle!$I$12,regle!$I$11,""))))))))))</f>
        <v/>
      </c>
      <c r="V85" t="str">
        <f>IF(NOT($A85),"",
IF(AP85=-2,regle!$J$11,
IF(AP85=regle!$B$12,regle!$B$11,
IF(AP85=regle!$C$12,regle!$C$11,
IF(AP85=regle!$D$12,regle!$D$11,
IF(AP85=regle!$E$12,regle!$E$11,
IF(AP85=regle!$F$12,regle!$F$11,
IF(AP85=regle!$G$12,regle!$G$11,
IF(AP85=regle!$H$12,regle!$H$11,
IF(AP85=regle!$I$12,regle!$I$11,""))))))))))</f>
        <v/>
      </c>
      <c r="W85" t="str">
        <f>IF(NOT($A85),"",
IF(AQ85=-2,regle!$J$11,
IF(AQ85=regle!$B$12,regle!$B$11,
IF(AQ85=regle!$C$12,regle!$C$11,
IF(AQ85=regle!$D$12,regle!$D$11,
IF(AQ85=regle!$E$12,regle!$E$11,
IF(AQ85=regle!$F$12,regle!$F$11,
IF(AQ85=regle!$G$12,regle!$G$11,
IF(AQ85=regle!$H$12,regle!$H$11,
IF(AQ85=regle!$I$12,regle!$I$11,""))))))))))</f>
        <v>EC3</v>
      </c>
      <c r="X85" t="str">
        <f>IF(NOT($A85),"",
IF(AR85=-2,regle!$J$11,
IF(AR85=regle!$B$12,regle!$B$11,
IF(AR85=regle!$C$12,regle!$C$11,
IF(AR85=regle!$D$12,regle!$D$11,
IF(AR85=regle!$E$12,regle!$E$11,
IF(AR85=regle!$F$12,regle!$F$11,
IF(AR85=regle!$G$12,regle!$G$11,
IF(AR85=regle!$H$12,regle!$H$11,
IF(AR85=regle!$I$12,regle!$I$11,""))))))))))</f>
        <v/>
      </c>
      <c r="Y85" t="str">
        <f>IF(NOT($A85),"",
IF(AS85=-2,regle!$J$11,
IF(AS85=regle!$B$12,regle!$B$11,
IF(AS85=regle!$C$12,regle!$C$11,
IF(AS85=regle!$D$12,regle!$D$11,
IF(AS85=regle!$E$12,regle!$E$11,
IF(AS85=regle!$F$12,regle!$F$11,
IF(AS85=regle!$G$12,regle!$G$11,
IF(AS85=regle!$H$12,regle!$H$11,
IF(AS85=regle!$I$12,regle!$I$11,""))))))))))</f>
        <v/>
      </c>
      <c r="Z85" t="str">
        <f>IF(NOT($A85),"",
IF(AT85=-2,regle!$J$11,
IF(AT85=regle!$B$12,regle!$B$11,
IF(AT85=regle!$C$12,regle!$C$11,
IF(AT85=regle!$D$12,regle!$D$11,
IF(AT85=regle!$E$12,regle!$E$11,
IF(AT85=regle!$F$12,regle!$F$11,
IF(AT85=regle!$G$12,regle!$G$11,
IF(AT85=regle!$H$12,regle!$H$11,
IF(AT85=regle!$I$12,regle!$I$11,""))))))))))</f>
        <v/>
      </c>
      <c r="AA85" t="str">
        <f>IF(NOT($A85),"",
IF(AU85=-2,regle!$J$11,
IF(AU85=regle!$B$12,regle!$B$11,
IF(AU85=regle!$C$12,regle!$C$11,
IF(AU85=regle!$D$12,regle!$D$11,
IF(AU85=regle!$E$12,regle!$E$11,
IF(AU85=regle!$F$12,regle!$F$11,
IF(AU85=regle!$G$12,regle!$G$11,
IF(AU85=regle!$H$12,regle!$H$11,
IF(AU85=regle!$I$12,regle!$I$11,""))))))))))</f>
        <v/>
      </c>
      <c r="AB85" t="str">
        <f>IF(NOT($A85),"",
IF(AV85=-2,regle!$J$11,
IF(AV85=regle!$B$12,regle!$B$11,
IF(AV85=regle!$C$12,regle!$C$11,
IF(AV85=regle!$D$12,regle!$D$11,
IF(AV85=regle!$E$12,regle!$E$11,
IF(AV85=regle!$F$12,regle!$F$11,
IF(AV85=regle!$G$12,regle!$G$11,
IF(AV85=regle!$H$12,regle!$H$11,
IF(AV85=regle!$I$12,regle!$I$11,""))))))))))</f>
        <v>EC4</v>
      </c>
      <c r="AC85" t="str">
        <f>IF(NOT($A85),"",
IF(AW85=-2,regle!$J$11,
IF(AW85=regle!$B$12,regle!$B$11,
IF(AW85=regle!$C$12,regle!$C$11,
IF(AW85=regle!$D$12,regle!$D$11,
IF(AW85=regle!$E$12,regle!$E$11,
IF(AW85=regle!$F$12,regle!$F$11,
IF(AW85=regle!$G$12,regle!$G$11,
IF(AW85=regle!$H$12,regle!$H$11,
IF(AW85=regle!$I$12,regle!$I$11,""))))))))))</f>
        <v/>
      </c>
      <c r="AD85" t="str">
        <f>IF(NOT($A85),"",
IF(AX85=-2,regle!$J$11,
IF(AX85=regle!$B$12,regle!$B$11,
IF(AX85=regle!$C$12,regle!$C$11,
IF(AX85=regle!$D$12,regle!$D$11,
IF(AX85=regle!$E$12,regle!$E$11,
IF(AX85=regle!$F$12,regle!$F$11,
IF(AX85=regle!$G$12,regle!$G$11,
IF(AX85=regle!$H$12,regle!$H$11,
IF(AX85=regle!$I$12,regle!$I$11,""))))))))))</f>
        <v/>
      </c>
      <c r="AE85" s="14">
        <f>IF($A85,$M85*(IF(U85=regle!$B$11,regle!$B$23,IF(U85=regle!$C$11,regle!$C$23,IF(U85=regle!$D$11,regle!$D$23,IF(U85=regle!$E$11,regle!$E$23,IF(U85=regle!$F$11,regle!$F$23,IF(U85=regle!$G$11,regle!$G$23,IF(U85=regle!$H$11,regle!$H$23,IF(U85=regle!$I$11,regle!$I$23,IF(U85=regle!$J$11,regle!$J$23,0)))))))))))</f>
        <v>0</v>
      </c>
      <c r="AF85" s="14">
        <f>IF($A85,$M85*(IF(V85=regle!$B$11,regle!$B$23,IF(V85=regle!$C$11,regle!$C$23,IF(V85=regle!$D$11,regle!$D$23,IF(V85=regle!$E$11,regle!$E$23,IF(V85=regle!$F$11,regle!$F$23,IF(V85=regle!$G$11,regle!$G$23,IF(V85=regle!$H$11,regle!$H$23,IF(V85=regle!$I$11,regle!$I$23,IF(V85=regle!$J$11,regle!$J$23,0)))))))))))</f>
        <v>0</v>
      </c>
      <c r="AG85" s="14">
        <f>IF($A85,$M85*(IF(W85=regle!$B$11,regle!$B$23,IF(W85=regle!$C$11,regle!$C$23,IF(W85=regle!$D$11,regle!$D$23,IF(W85=regle!$E$11,regle!$E$23,IF(W85=regle!$F$11,regle!$F$23,IF(W85=regle!$G$11,regle!$G$23,IF(W85=regle!$H$11,regle!$H$23,IF(W85=regle!$I$11,regle!$I$23,IF(W85=regle!$J$11,regle!$J$23,0)))))))))))</f>
        <v>4823.1040000000003</v>
      </c>
      <c r="AH85" s="14">
        <f>IF($A85,$M85*(IF(X85=regle!$B$11,regle!$B$23,IF(X85=regle!$C$11,regle!$C$23,IF(X85=regle!$D$11,regle!$D$23,IF(X85=regle!$E$11,regle!$E$23,IF(X85=regle!$F$11,regle!$F$23,IF(X85=regle!$G$11,regle!$G$23,IF(X85=regle!$H$11,regle!$H$23,IF(X85=regle!$I$11,regle!$I$23,IF(X85=regle!$J$11,regle!$J$23,0)))))))))))</f>
        <v>0</v>
      </c>
      <c r="AI85" s="14">
        <f>IF($A85,$M85*(IF(Y85=regle!$B$11,regle!$B$23,IF(Y85=regle!$C$11,regle!$C$23,IF(Y85=regle!$D$11,regle!$D$23,IF(Y85=regle!$E$11,regle!$E$23,IF(Y85=regle!$F$11,regle!$F$23,IF(Y85=regle!$G$11,regle!$G$23,IF(Y85=regle!$H$11,regle!$H$23,IF(Y85=regle!$I$11,regle!$I$23,IF(Y85=regle!$J$11,regle!$J$23,0)))))))))))</f>
        <v>0</v>
      </c>
      <c r="AJ85" s="14">
        <f>IF($A85,$M85*(IF(Z85=regle!$B$11,regle!$B$23,IF(Z85=regle!$C$11,regle!$C$23,IF(Z85=regle!$D$11,regle!$D$23,IF(Z85=regle!$E$11,regle!$E$23,IF(Z85=regle!$F$11,regle!$F$23,IF(Z85=regle!$G$11,regle!$G$23,IF(Z85=regle!$H$11,regle!$H$23,IF(Z85=regle!$I$11,regle!$I$23,IF(Z85=regle!$J$11,regle!$J$23,0)))))))))))</f>
        <v>0</v>
      </c>
      <c r="AK85" s="14">
        <f>IF($A85,$M85*(IF(AA85=regle!$B$11,regle!$B$23,IF(AA85=regle!$C$11,regle!$C$23,IF(AA85=regle!$D$11,regle!$D$23,IF(AA85=regle!$E$11,regle!$E$23,IF(AA85=regle!$F$11,regle!$F$23,IF(AA85=regle!$G$11,regle!$G$23,IF(AA85=regle!$H$11,regle!$H$23,IF(AA85=regle!$I$11,regle!$I$23,IF(AA85=regle!$J$11,regle!$J$23,0)))))))))))</f>
        <v>0</v>
      </c>
      <c r="AL85" s="14">
        <f>IF($A85,$M85*(IF(AB85=regle!$B$11,regle!$B$23,IF(AB85=regle!$C$11,regle!$C$23,IF(AB85=regle!$D$11,regle!$D$23,IF(AB85=regle!$E$11,regle!$E$23,IF(AB85=regle!$F$11,regle!$F$23,IF(AB85=regle!$G$11,regle!$G$23,IF(AB85=regle!$H$11,regle!$H$23,IF(AB85=regle!$I$11,regle!$I$23,IF(AB85=regle!$J$11,regle!$J$23,0)))))))))))</f>
        <v>4384.6400000000003</v>
      </c>
      <c r="AM85" s="14">
        <f>IF($A85,$M85*(IF(AC85=regle!$B$11,regle!$B$23,IF(AC85=regle!$C$11,regle!$C$23,IF(AC85=regle!$D$11,regle!$D$23,IF(AC85=regle!$E$11,regle!$E$23,IF(AC85=regle!$F$11,regle!$F$23,IF(AC85=regle!$G$11,regle!$G$23,IF(AC85=regle!$H$11,regle!$H$23,IF(AC85=regle!$I$11,regle!$I$23,IF(AC85=regle!$J$11,regle!$J$23,0)))))))))))</f>
        <v>0</v>
      </c>
      <c r="AN85" s="14">
        <f>IF($A85,$M85*(IF(AD85=regle!$B$11,regle!$B$23,IF(AD85=regle!$C$11,regle!$C$23,IF(AD85=regle!$D$11,regle!$D$23,IF(AD85=regle!$E$11,regle!$E$23,IF(AD85=regle!$F$11,regle!$F$23,IF(AD85=regle!$G$11,regle!$G$23,IF(AD85=regle!$H$11,regle!$H$23,IF(AD85=regle!$I$11,regle!$I$23,IF(AD85=regle!$J$11,regle!$J$23,0)))))))))))</f>
        <v>0</v>
      </c>
      <c r="AO85">
        <f>IF(AO$1=$AO$1,IF(regle!B$2-$Q85&gt;=regle!$J$12,-2,IF($S85,IF(regle!$B$2-$Q85&gt;=2,0,-1),regle!B$2-$Q85)),IF(AN85+1&gt;=regle!$J$12,-2,AN85+1))</f>
        <v>21</v>
      </c>
      <c r="AP85">
        <f>IF(AP$1=$AO$1,IF(regle!C$2-$Q85&gt;=regle!$J$12,-2,IF($S85,IF(regle!$B$2-$Q85&gt;=2,0,-1),regle!C$2-$Q85)),IF(AO85+1&gt;=regle!$J$12,-2,AO85+1))</f>
        <v>22</v>
      </c>
      <c r="AQ85">
        <f>IF(AQ$1=$AO$1,IF(regle!D$2-$Q85&gt;=regle!$J$12,-2,IF($S85,IF(regle!$B$2-$Q85&gt;=2,0,-1),regle!D$2-$Q85)),IF(AP85+1&gt;=regle!$J$12,-2,AP85+1))</f>
        <v>23</v>
      </c>
      <c r="AR85">
        <f>IF(AR$1=$AO$1,IF(regle!E$2-$Q85&gt;=regle!$J$12,-2,IF($S85,IF(regle!$B$2-$Q85&gt;=2,0,-1),regle!E$2-$Q85)),IF(AQ85+1&gt;=regle!$J$12,-2,AQ85+1))</f>
        <v>24</v>
      </c>
      <c r="AS85">
        <f>IF(AS$1=$AO$1,IF(regle!F$2-$Q85&gt;=regle!$J$12,-2,IF($S85,IF(regle!$B$2-$Q85&gt;=2,0,-1),regle!F$2-$Q85)),IF(AR85+1&gt;=regle!$J$12,-2,AR85+1))</f>
        <v>25</v>
      </c>
      <c r="AT85">
        <f>IF(AT$1=$AO$1,IF(regle!G$2-$Q85&gt;=regle!$J$12,-2,IF($S85,IF(regle!$B$2-$Q85&gt;=2,0,-1),regle!G$2-$Q85)),IF(AS85+1&gt;=regle!$J$12,-2,AS85+1))</f>
        <v>26</v>
      </c>
      <c r="AU85">
        <f>IF(AU$1=$AO$1,IF(regle!H$2-$Q85&gt;=regle!$J$12,-2,IF($S85,IF(regle!$B$2-$Q85&gt;=2,0,-1),regle!H$2-$Q85)),IF(AT85+1&gt;=regle!$J$12,-2,AT85+1))</f>
        <v>27</v>
      </c>
      <c r="AV85">
        <f>IF(AV$1=$AO$1,IF(regle!I$2-$Q85&gt;=regle!$J$12,-2,IF($S85,IF(regle!$B$2-$Q85&gt;=2,0,-1),regle!I$2-$Q85)),IF(AU85+1&gt;=regle!$J$12,-2,AU85+1))</f>
        <v>28</v>
      </c>
      <c r="AW85">
        <f>IF(AW$1=$AO$1,IF(regle!J$2-$Q85&gt;=regle!$J$12,-2,IF($S85,IF(regle!$B$2-$Q85&gt;=2,0,-1),regle!J$2-$Q85)),IF(AV85+1&gt;=regle!$J$12,-2,AV85+1))</f>
        <v>29</v>
      </c>
      <c r="AX85">
        <f>IF(AX$1=$AO$1,IF(regle!K$2-$Q85&gt;=regle!$J$12,-2,IF($S85,IF(regle!$B$2-$Q85&gt;=2,0,-1),regle!K$2-$Q85)),IF(AW85+1&gt;=regle!$J$12,-2,AW85+1))</f>
        <v>30</v>
      </c>
    </row>
    <row r="86" spans="1:50" x14ac:dyDescent="0.25">
      <c r="A86" t="b">
        <f>AND(modif0[[#This Row],[cdstr]]&lt;&gt;0,OR(regle!$H$27=FALSE,modif0[[#This Row],[essnc]]="PM"))</f>
        <v>1</v>
      </c>
      <c r="B86">
        <f>ROW(objet!A108)</f>
        <v>108</v>
      </c>
      <c r="C86" s="10" t="str">
        <f>objet!D108</f>
        <v>5360000A0847</v>
      </c>
      <c r="D86" t="str">
        <f>LEFT(modif0[[#This Row],[cdstr]],3)</f>
        <v>536</v>
      </c>
      <c r="E86" s="10" t="str">
        <f>objet!G108</f>
        <v>LE TUZAN</v>
      </c>
      <c r="F86">
        <f>LEN(modif0[[#This Row],[l_dt]])</f>
        <v>21</v>
      </c>
      <c r="G86" s="10" t="str">
        <f>objet!H108</f>
        <v>METAIRIES DE TABARTON</v>
      </c>
      <c r="H86" s="10" t="str">
        <f>objet!C108</f>
        <v>A847cj</v>
      </c>
      <c r="I86" t="str">
        <f>IF(ISNUMBER(VALUE(RIGHT(LEFT(modif0[[#This Row],[idntfn]],2),1))),_xlfn.CONCAT(0,LEFT(modif0[[#This Row],[idntfn]],1)),LEFT(modif0[[#This Row],[idntfn]],2))</f>
        <v>0A</v>
      </c>
      <c r="J86">
        <f>VALUE(LEFT(RIGHT(modif0[[#This Row],[idntfn]],LEN(modif0[[#This Row],[idntfn]])-IF(LEFT(modif0[[#This Row],[sctn]],1)="0",1,2)),LEN(modif0[[#This Row],[idntfn]])-IF(LEFT(modif0[[#This Row],[sctn]],1)="0",1,2)-LEN(modif0[[#This Row],[lttr]])))</f>
        <v>847</v>
      </c>
      <c r="K86" t="str">
        <f>IF(ISNUMBER(VALUE(RIGHT(modif0[[#This Row],[idntfn]],1))),"",IF(ISNUMBER(VALUE(LEFT(RIGHT(modif0[[#This Row],[idntfn]],2),1))),RIGHT(modif0[[#This Row],[idntfn]],1),RIGHT(modif0[[#This Row],[idntfn]],2)))</f>
        <v>cj</v>
      </c>
      <c r="L86" s="10">
        <f>objet!I108</f>
        <v>7868</v>
      </c>
      <c r="M86" s="11">
        <f>modif0[[#This Row],[srfc]]/10000</f>
        <v>0.78680000000000005</v>
      </c>
      <c r="N86" s="10" t="str">
        <f>objet!Z108</f>
        <v>PM</v>
      </c>
      <c r="O86" s="10" t="str">
        <f>objet!AA108</f>
        <v>PLA2012</v>
      </c>
      <c r="P86" t="str">
        <f>IF(ISNUMBER(modif0[[#This Row],[trvx]]),"",LEFT(modif0[[#This Row],[trvx]],LEN(modif0[[#This Row],[trvx]])-4))</f>
        <v>PLA</v>
      </c>
      <c r="Q86">
        <f>VALUE(RIGHT(modif0[[#This Row],[trvx]],4))</f>
        <v>2012</v>
      </c>
      <c r="R86" t="str">
        <f>_xlfn.CONCAT(modif0[[#This Row],[tp]],"-",modif0[[#This Row],[essnc]],"_",modif0[[#This Row],[anns]])</f>
        <v>PLA-PM_2012</v>
      </c>
      <c r="S86" t="b">
        <f>modif0[[#This Row],[tp]]="CR"</f>
        <v>0</v>
      </c>
      <c r="T86">
        <v>40</v>
      </c>
      <c r="U86" t="str">
        <f>IF(NOT($A86),"",
IF(AO86=-2,regle!$J$11,
IF(AO86=regle!$B$12,regle!$B$11,
IF(AO86=regle!$C$12,regle!$C$11,
IF(AO86=regle!$D$12,regle!$D$11,
IF(AO86=regle!$E$12,regle!$E$11,
IF(AO86=regle!$F$12,regle!$F$11,
IF(AO86=regle!$G$12,regle!$G$11,
IF(AO86=regle!$H$12,regle!$H$11,
IF(AO86=regle!$I$12,regle!$I$11,""))))))))))</f>
        <v/>
      </c>
      <c r="V86" t="str">
        <f>IF(NOT($A86),"",
IF(AP86=-2,regle!$J$11,
IF(AP86=regle!$B$12,regle!$B$11,
IF(AP86=regle!$C$12,regle!$C$11,
IF(AP86=regle!$D$12,regle!$D$11,
IF(AP86=regle!$E$12,regle!$E$11,
IF(AP86=regle!$F$12,regle!$F$11,
IF(AP86=regle!$G$12,regle!$G$11,
IF(AP86=regle!$H$12,regle!$H$11,
IF(AP86=regle!$I$12,regle!$I$11,""))))))))))</f>
        <v>EC1</v>
      </c>
      <c r="W86" t="str">
        <f>IF(NOT($A86),"",
IF(AQ86=-2,regle!$J$11,
IF(AQ86=regle!$B$12,regle!$B$11,
IF(AQ86=regle!$C$12,regle!$C$11,
IF(AQ86=regle!$D$12,regle!$D$11,
IF(AQ86=regle!$E$12,regle!$E$11,
IF(AQ86=regle!$F$12,regle!$F$11,
IF(AQ86=regle!$G$12,regle!$G$11,
IF(AQ86=regle!$H$12,regle!$H$11,
IF(AQ86=regle!$I$12,regle!$I$11,""))))))))))</f>
        <v/>
      </c>
      <c r="X86" t="str">
        <f>IF(NOT($A86),"",
IF(AR86=-2,regle!$J$11,
IF(AR86=regle!$B$12,regle!$B$11,
IF(AR86=regle!$C$12,regle!$C$11,
IF(AR86=regle!$D$12,regle!$D$11,
IF(AR86=regle!$E$12,regle!$E$11,
IF(AR86=regle!$F$12,regle!$F$11,
IF(AR86=regle!$G$12,regle!$G$11,
IF(AR86=regle!$H$12,regle!$H$11,
IF(AR86=regle!$I$12,regle!$I$11,""))))))))))</f>
        <v/>
      </c>
      <c r="Y86" t="str">
        <f>IF(NOT($A86),"",
IF(AS86=-2,regle!$J$11,
IF(AS86=regle!$B$12,regle!$B$11,
IF(AS86=regle!$C$12,regle!$C$11,
IF(AS86=regle!$D$12,regle!$D$11,
IF(AS86=regle!$E$12,regle!$E$11,
IF(AS86=regle!$F$12,regle!$F$11,
IF(AS86=regle!$G$12,regle!$G$11,
IF(AS86=regle!$H$12,regle!$H$11,
IF(AS86=regle!$I$12,regle!$I$11,""))))))))))</f>
        <v/>
      </c>
      <c r="Z86" t="str">
        <f>IF(NOT($A86),"",
IF(AT86=-2,regle!$J$11,
IF(AT86=regle!$B$12,regle!$B$11,
IF(AT86=regle!$C$12,regle!$C$11,
IF(AT86=regle!$D$12,regle!$D$11,
IF(AT86=regle!$E$12,regle!$E$11,
IF(AT86=regle!$F$12,regle!$F$11,
IF(AT86=regle!$G$12,regle!$G$11,
IF(AT86=regle!$H$12,regle!$H$11,
IF(AT86=regle!$I$12,regle!$I$11,""))))))))))</f>
        <v/>
      </c>
      <c r="AA86" t="str">
        <f>IF(NOT($A86),"",
IF(AU86=-2,regle!$J$11,
IF(AU86=regle!$B$12,regle!$B$11,
IF(AU86=regle!$C$12,regle!$C$11,
IF(AU86=regle!$D$12,regle!$D$11,
IF(AU86=regle!$E$12,regle!$E$11,
IF(AU86=regle!$F$12,regle!$F$11,
IF(AU86=regle!$G$12,regle!$G$11,
IF(AU86=regle!$H$12,regle!$H$11,
IF(AU86=regle!$I$12,regle!$I$11,""))))))))))</f>
        <v>EC2</v>
      </c>
      <c r="AB86" t="str">
        <f>IF(NOT($A86),"",
IF(AV86=-2,regle!$J$11,
IF(AV86=regle!$B$12,regle!$B$11,
IF(AV86=regle!$C$12,regle!$C$11,
IF(AV86=regle!$D$12,regle!$D$11,
IF(AV86=regle!$E$12,regle!$E$11,
IF(AV86=regle!$F$12,regle!$F$11,
IF(AV86=regle!$G$12,regle!$G$11,
IF(AV86=regle!$H$12,regle!$H$11,
IF(AV86=regle!$I$12,regle!$I$11,""))))))))))</f>
        <v/>
      </c>
      <c r="AC86" t="str">
        <f>IF(NOT($A86),"",
IF(AW86=-2,regle!$J$11,
IF(AW86=regle!$B$12,regle!$B$11,
IF(AW86=regle!$C$12,regle!$C$11,
IF(AW86=regle!$D$12,regle!$D$11,
IF(AW86=regle!$E$12,regle!$E$11,
IF(AW86=regle!$F$12,regle!$F$11,
IF(AW86=regle!$G$12,regle!$G$11,
IF(AW86=regle!$H$12,regle!$H$11,
IF(AW86=regle!$I$12,regle!$I$11,""))))))))))</f>
        <v/>
      </c>
      <c r="AD86" t="str">
        <f>IF(NOT($A86),"",
IF(AX86=-2,regle!$J$11,
IF(AX86=regle!$B$12,regle!$B$11,
IF(AX86=regle!$C$12,regle!$C$11,
IF(AX86=regle!$D$12,regle!$D$11,
IF(AX86=regle!$E$12,regle!$E$11,
IF(AX86=regle!$F$12,regle!$F$11,
IF(AX86=regle!$G$12,regle!$G$11,
IF(AX86=regle!$H$12,regle!$H$11,
IF(AX86=regle!$I$12,regle!$I$11,""))))))))))</f>
        <v/>
      </c>
      <c r="AE86" s="14">
        <f>IF($A86,$M86*(IF(U86=regle!$B$11,regle!$B$23,IF(U86=regle!$C$11,regle!$C$23,IF(U86=regle!$D$11,regle!$D$23,IF(U86=regle!$E$11,regle!$E$23,IF(U86=regle!$F$11,regle!$F$23,IF(U86=regle!$G$11,regle!$G$23,IF(U86=regle!$H$11,regle!$H$23,IF(U86=regle!$I$11,regle!$I$23,IF(U86=regle!$J$11,regle!$J$23,0)))))))))))</f>
        <v>0</v>
      </c>
      <c r="AF86" s="14">
        <f>IF($A86,$M86*(IF(V86=regle!$B$11,regle!$B$23,IF(V86=regle!$C$11,regle!$C$23,IF(V86=regle!$D$11,regle!$D$23,IF(V86=regle!$E$11,regle!$E$23,IF(V86=regle!$F$11,regle!$F$23,IF(V86=regle!$G$11,regle!$G$23,IF(V86=regle!$H$11,regle!$H$23,IF(V86=regle!$I$11,regle!$I$23,IF(V86=regle!$J$11,regle!$J$23,0)))))))))))</f>
        <v>453.19680000000005</v>
      </c>
      <c r="AG86" s="14">
        <f>IF($A86,$M86*(IF(W86=regle!$B$11,regle!$B$23,IF(W86=regle!$C$11,regle!$C$23,IF(W86=regle!$D$11,regle!$D$23,IF(W86=regle!$E$11,regle!$E$23,IF(W86=regle!$F$11,regle!$F$23,IF(W86=regle!$G$11,regle!$G$23,IF(W86=regle!$H$11,regle!$H$23,IF(W86=regle!$I$11,regle!$I$23,IF(W86=regle!$J$11,regle!$J$23,0)))))))))))</f>
        <v>0</v>
      </c>
      <c r="AH86" s="14">
        <f>IF($A86,$M86*(IF(X86=regle!$B$11,regle!$B$23,IF(X86=regle!$C$11,regle!$C$23,IF(X86=regle!$D$11,regle!$D$23,IF(X86=regle!$E$11,regle!$E$23,IF(X86=regle!$F$11,regle!$F$23,IF(X86=regle!$G$11,regle!$G$23,IF(X86=regle!$H$11,regle!$H$23,IF(X86=regle!$I$11,regle!$I$23,IF(X86=regle!$J$11,regle!$J$23,0)))))))))))</f>
        <v>0</v>
      </c>
      <c r="AI86" s="14">
        <f>IF($A86,$M86*(IF(Y86=regle!$B$11,regle!$B$23,IF(Y86=regle!$C$11,regle!$C$23,IF(Y86=regle!$D$11,regle!$D$23,IF(Y86=regle!$E$11,regle!$E$23,IF(Y86=regle!$F$11,regle!$F$23,IF(Y86=regle!$G$11,regle!$G$23,IF(Y86=regle!$H$11,regle!$H$23,IF(Y86=regle!$I$11,regle!$I$23,IF(Y86=regle!$J$11,regle!$J$23,0)))))))))))</f>
        <v>0</v>
      </c>
      <c r="AJ86" s="14">
        <f>IF($A86,$M86*(IF(Z86=regle!$B$11,regle!$B$23,IF(Z86=regle!$C$11,regle!$C$23,IF(Z86=regle!$D$11,regle!$D$23,IF(Z86=regle!$E$11,regle!$E$23,IF(Z86=regle!$F$11,regle!$F$23,IF(Z86=regle!$G$11,regle!$G$23,IF(Z86=regle!$H$11,regle!$H$23,IF(Z86=regle!$I$11,regle!$I$23,IF(Z86=regle!$J$11,regle!$J$23,0)))))))))))</f>
        <v>0</v>
      </c>
      <c r="AK86" s="14">
        <f>IF($A86,$M86*(IF(AA86=regle!$B$11,regle!$B$23,IF(AA86=regle!$C$11,regle!$C$23,IF(AA86=regle!$D$11,regle!$D$23,IF(AA86=regle!$E$11,regle!$E$23,IF(AA86=regle!$F$11,regle!$F$23,IF(AA86=regle!$G$11,regle!$G$23,IF(AA86=regle!$H$11,regle!$H$23,IF(AA86=regle!$I$11,regle!$I$23,IF(AA86=regle!$J$11,regle!$J$23,0)))))))))))</f>
        <v>660.91200000000003</v>
      </c>
      <c r="AL86" s="14">
        <f>IF($A86,$M86*(IF(AB86=regle!$B$11,regle!$B$23,IF(AB86=regle!$C$11,regle!$C$23,IF(AB86=regle!$D$11,regle!$D$23,IF(AB86=regle!$E$11,regle!$E$23,IF(AB86=regle!$F$11,regle!$F$23,IF(AB86=regle!$G$11,regle!$G$23,IF(AB86=regle!$H$11,regle!$H$23,IF(AB86=regle!$I$11,regle!$I$23,IF(AB86=regle!$J$11,regle!$J$23,0)))))))))))</f>
        <v>0</v>
      </c>
      <c r="AM86" s="14">
        <f>IF($A86,$M86*(IF(AC86=regle!$B$11,regle!$B$23,IF(AC86=regle!$C$11,regle!$C$23,IF(AC86=regle!$D$11,regle!$D$23,IF(AC86=regle!$E$11,regle!$E$23,IF(AC86=regle!$F$11,regle!$F$23,IF(AC86=regle!$G$11,regle!$G$23,IF(AC86=regle!$H$11,regle!$H$23,IF(AC86=regle!$I$11,regle!$I$23,IF(AC86=regle!$J$11,regle!$J$23,0)))))))))))</f>
        <v>0</v>
      </c>
      <c r="AN86" s="14">
        <f>IF($A86,$M86*(IF(AD86=regle!$B$11,regle!$B$23,IF(AD86=regle!$C$11,regle!$C$23,IF(AD86=regle!$D$11,regle!$D$23,IF(AD86=regle!$E$11,regle!$E$23,IF(AD86=regle!$F$11,regle!$F$23,IF(AD86=regle!$G$11,regle!$G$23,IF(AD86=regle!$H$11,regle!$H$23,IF(AD86=regle!$I$11,regle!$I$23,IF(AD86=regle!$J$11,regle!$J$23,0)))))))))))</f>
        <v>0</v>
      </c>
      <c r="AO86">
        <f>IF(AO$1=$AO$1,IF(regle!B$2-$Q86&gt;=regle!$J$12,-2,IF($S86,IF(regle!$B$2-$Q86&gt;=2,0,-1),regle!B$2-$Q86)),IF(AN86+1&gt;=regle!$J$12,-2,AN86+1))</f>
        <v>12</v>
      </c>
      <c r="AP86">
        <f>IF(AP$1=$AO$1,IF(regle!C$2-$Q86&gt;=regle!$J$12,-2,IF($S86,IF(regle!$B$2-$Q86&gt;=2,0,-1),regle!C$2-$Q86)),IF(AO86+1&gt;=regle!$J$12,-2,AO86+1))</f>
        <v>13</v>
      </c>
      <c r="AQ86">
        <f>IF(AQ$1=$AO$1,IF(regle!D$2-$Q86&gt;=regle!$J$12,-2,IF($S86,IF(regle!$B$2-$Q86&gt;=2,0,-1),regle!D$2-$Q86)),IF(AP86+1&gt;=regle!$J$12,-2,AP86+1))</f>
        <v>14</v>
      </c>
      <c r="AR86">
        <f>IF(AR$1=$AO$1,IF(regle!E$2-$Q86&gt;=regle!$J$12,-2,IF($S86,IF(regle!$B$2-$Q86&gt;=2,0,-1),regle!E$2-$Q86)),IF(AQ86+1&gt;=regle!$J$12,-2,AQ86+1))</f>
        <v>15</v>
      </c>
      <c r="AS86">
        <f>IF(AS$1=$AO$1,IF(regle!F$2-$Q86&gt;=regle!$J$12,-2,IF($S86,IF(regle!$B$2-$Q86&gt;=2,0,-1),regle!F$2-$Q86)),IF(AR86+1&gt;=regle!$J$12,-2,AR86+1))</f>
        <v>16</v>
      </c>
      <c r="AT86">
        <f>IF(AT$1=$AO$1,IF(regle!G$2-$Q86&gt;=regle!$J$12,-2,IF($S86,IF(regle!$B$2-$Q86&gt;=2,0,-1),regle!G$2-$Q86)),IF(AS86+1&gt;=regle!$J$12,-2,AS86+1))</f>
        <v>17</v>
      </c>
      <c r="AU86">
        <f>IF(AU$1=$AO$1,IF(regle!H$2-$Q86&gt;=regle!$J$12,-2,IF($S86,IF(regle!$B$2-$Q86&gt;=2,0,-1),regle!H$2-$Q86)),IF(AT86+1&gt;=regle!$J$12,-2,AT86+1))</f>
        <v>18</v>
      </c>
      <c r="AV86">
        <f>IF(AV$1=$AO$1,IF(regle!I$2-$Q86&gt;=regle!$J$12,-2,IF($S86,IF(regle!$B$2-$Q86&gt;=2,0,-1),regle!I$2-$Q86)),IF(AU86+1&gt;=regle!$J$12,-2,AU86+1))</f>
        <v>19</v>
      </c>
      <c r="AW86">
        <f>IF(AW$1=$AO$1,IF(regle!J$2-$Q86&gt;=regle!$J$12,-2,IF($S86,IF(regle!$B$2-$Q86&gt;=2,0,-1),regle!J$2-$Q86)),IF(AV86+1&gt;=regle!$J$12,-2,AV86+1))</f>
        <v>20</v>
      </c>
      <c r="AX86">
        <f>IF(AX$1=$AO$1,IF(regle!K$2-$Q86&gt;=regle!$J$12,-2,IF($S86,IF(regle!$B$2-$Q86&gt;=2,0,-1),regle!K$2-$Q86)),IF(AW86+1&gt;=regle!$J$12,-2,AW86+1))</f>
        <v>21</v>
      </c>
    </row>
    <row r="87" spans="1:50" x14ac:dyDescent="0.25">
      <c r="A87" t="b">
        <f>AND(modif0[[#This Row],[cdstr]]&lt;&gt;0,OR(regle!$H$27=FALSE,modif0[[#This Row],[essnc]]="PM"))</f>
        <v>1</v>
      </c>
      <c r="B87">
        <f>ROW(objet!A109)</f>
        <v>109</v>
      </c>
      <c r="C87" s="10" t="str">
        <f>objet!D109</f>
        <v>5360000A0847</v>
      </c>
      <c r="D87" t="str">
        <f>LEFT(modif0[[#This Row],[cdstr]],3)</f>
        <v>536</v>
      </c>
      <c r="E87" s="10" t="str">
        <f>objet!G109</f>
        <v>LE TUZAN</v>
      </c>
      <c r="F87">
        <f>LEN(modif0[[#This Row],[l_dt]])</f>
        <v>21</v>
      </c>
      <c r="G87" s="10" t="str">
        <f>objet!H109</f>
        <v>METAIRIES DE TABARTON</v>
      </c>
      <c r="H87" s="10" t="str">
        <f>objet!C109</f>
        <v>A847ck</v>
      </c>
      <c r="I87" t="str">
        <f>IF(ISNUMBER(VALUE(RIGHT(LEFT(modif0[[#This Row],[idntfn]],2),1))),_xlfn.CONCAT(0,LEFT(modif0[[#This Row],[idntfn]],1)),LEFT(modif0[[#This Row],[idntfn]],2))</f>
        <v>0A</v>
      </c>
      <c r="J87">
        <f>VALUE(LEFT(RIGHT(modif0[[#This Row],[idntfn]],LEN(modif0[[#This Row],[idntfn]])-IF(LEFT(modif0[[#This Row],[sctn]],1)="0",1,2)),LEN(modif0[[#This Row],[idntfn]])-IF(LEFT(modif0[[#This Row],[sctn]],1)="0",1,2)-LEN(modif0[[#This Row],[lttr]])))</f>
        <v>847</v>
      </c>
      <c r="K87" t="str">
        <f>IF(ISNUMBER(VALUE(RIGHT(modif0[[#This Row],[idntfn]],1))),"",IF(ISNUMBER(VALUE(LEFT(RIGHT(modif0[[#This Row],[idntfn]],2),1))),RIGHT(modif0[[#This Row],[idntfn]],1),RIGHT(modif0[[#This Row],[idntfn]],2)))</f>
        <v>ck</v>
      </c>
      <c r="L87" s="10">
        <f>objet!I109</f>
        <v>11826</v>
      </c>
      <c r="M87" s="11">
        <f>modif0[[#This Row],[srfc]]/10000</f>
        <v>1.1826000000000001</v>
      </c>
      <c r="N87" s="10" t="str">
        <f>objet!Z109</f>
        <v>PM</v>
      </c>
      <c r="O87" s="10" t="str">
        <f>objet!AA109</f>
        <v>PLA2012</v>
      </c>
      <c r="P87" t="str">
        <f>IF(ISNUMBER(modif0[[#This Row],[trvx]]),"",LEFT(modif0[[#This Row],[trvx]],LEN(modif0[[#This Row],[trvx]])-4))</f>
        <v>PLA</v>
      </c>
      <c r="Q87">
        <f>VALUE(RIGHT(modif0[[#This Row],[trvx]],4))</f>
        <v>2012</v>
      </c>
      <c r="R87" t="str">
        <f>_xlfn.CONCAT(modif0[[#This Row],[tp]],"-",modif0[[#This Row],[essnc]],"_",modif0[[#This Row],[anns]])</f>
        <v>PLA-PM_2012</v>
      </c>
      <c r="S87" t="b">
        <f>modif0[[#This Row],[tp]]="CR"</f>
        <v>0</v>
      </c>
      <c r="T87">
        <v>40</v>
      </c>
      <c r="U87" t="str">
        <f>IF(NOT($A87),"",
IF(AO87=-2,regle!$J$11,
IF(AO87=regle!$B$12,regle!$B$11,
IF(AO87=regle!$C$12,regle!$C$11,
IF(AO87=regle!$D$12,regle!$D$11,
IF(AO87=regle!$E$12,regle!$E$11,
IF(AO87=regle!$F$12,regle!$F$11,
IF(AO87=regle!$G$12,regle!$G$11,
IF(AO87=regle!$H$12,regle!$H$11,
IF(AO87=regle!$I$12,regle!$I$11,""))))))))))</f>
        <v/>
      </c>
      <c r="V87" t="str">
        <f>IF(NOT($A87),"",
IF(AP87=-2,regle!$J$11,
IF(AP87=regle!$B$12,regle!$B$11,
IF(AP87=regle!$C$12,regle!$C$11,
IF(AP87=regle!$D$12,regle!$D$11,
IF(AP87=regle!$E$12,regle!$E$11,
IF(AP87=regle!$F$12,regle!$F$11,
IF(AP87=regle!$G$12,regle!$G$11,
IF(AP87=regle!$H$12,regle!$H$11,
IF(AP87=regle!$I$12,regle!$I$11,""))))))))))</f>
        <v>EC1</v>
      </c>
      <c r="W87" t="str">
        <f>IF(NOT($A87),"",
IF(AQ87=-2,regle!$J$11,
IF(AQ87=regle!$B$12,regle!$B$11,
IF(AQ87=regle!$C$12,regle!$C$11,
IF(AQ87=regle!$D$12,regle!$D$11,
IF(AQ87=regle!$E$12,regle!$E$11,
IF(AQ87=regle!$F$12,regle!$F$11,
IF(AQ87=regle!$G$12,regle!$G$11,
IF(AQ87=regle!$H$12,regle!$H$11,
IF(AQ87=regle!$I$12,regle!$I$11,""))))))))))</f>
        <v/>
      </c>
      <c r="X87" t="str">
        <f>IF(NOT($A87),"",
IF(AR87=-2,regle!$J$11,
IF(AR87=regle!$B$12,regle!$B$11,
IF(AR87=regle!$C$12,regle!$C$11,
IF(AR87=regle!$D$12,regle!$D$11,
IF(AR87=regle!$E$12,regle!$E$11,
IF(AR87=regle!$F$12,regle!$F$11,
IF(AR87=regle!$G$12,regle!$G$11,
IF(AR87=regle!$H$12,regle!$H$11,
IF(AR87=regle!$I$12,regle!$I$11,""))))))))))</f>
        <v/>
      </c>
      <c r="Y87" t="str">
        <f>IF(NOT($A87),"",
IF(AS87=-2,regle!$J$11,
IF(AS87=regle!$B$12,regle!$B$11,
IF(AS87=regle!$C$12,regle!$C$11,
IF(AS87=regle!$D$12,regle!$D$11,
IF(AS87=regle!$E$12,regle!$E$11,
IF(AS87=regle!$F$12,regle!$F$11,
IF(AS87=regle!$G$12,regle!$G$11,
IF(AS87=regle!$H$12,regle!$H$11,
IF(AS87=regle!$I$12,regle!$I$11,""))))))))))</f>
        <v/>
      </c>
      <c r="Z87" t="str">
        <f>IF(NOT($A87),"",
IF(AT87=-2,regle!$J$11,
IF(AT87=regle!$B$12,regle!$B$11,
IF(AT87=regle!$C$12,regle!$C$11,
IF(AT87=regle!$D$12,regle!$D$11,
IF(AT87=regle!$E$12,regle!$E$11,
IF(AT87=regle!$F$12,regle!$F$11,
IF(AT87=regle!$G$12,regle!$G$11,
IF(AT87=regle!$H$12,regle!$H$11,
IF(AT87=regle!$I$12,regle!$I$11,""))))))))))</f>
        <v/>
      </c>
      <c r="AA87" t="str">
        <f>IF(NOT($A87),"",
IF(AU87=-2,regle!$J$11,
IF(AU87=regle!$B$12,regle!$B$11,
IF(AU87=regle!$C$12,regle!$C$11,
IF(AU87=regle!$D$12,regle!$D$11,
IF(AU87=regle!$E$12,regle!$E$11,
IF(AU87=regle!$F$12,regle!$F$11,
IF(AU87=regle!$G$12,regle!$G$11,
IF(AU87=regle!$H$12,regle!$H$11,
IF(AU87=regle!$I$12,regle!$I$11,""))))))))))</f>
        <v>EC2</v>
      </c>
      <c r="AB87" t="str">
        <f>IF(NOT($A87),"",
IF(AV87=-2,regle!$J$11,
IF(AV87=regle!$B$12,regle!$B$11,
IF(AV87=regle!$C$12,regle!$C$11,
IF(AV87=regle!$D$12,regle!$D$11,
IF(AV87=regle!$E$12,regle!$E$11,
IF(AV87=regle!$F$12,regle!$F$11,
IF(AV87=regle!$G$12,regle!$G$11,
IF(AV87=regle!$H$12,regle!$H$11,
IF(AV87=regle!$I$12,regle!$I$11,""))))))))))</f>
        <v/>
      </c>
      <c r="AC87" t="str">
        <f>IF(NOT($A87),"",
IF(AW87=-2,regle!$J$11,
IF(AW87=regle!$B$12,regle!$B$11,
IF(AW87=regle!$C$12,regle!$C$11,
IF(AW87=regle!$D$12,regle!$D$11,
IF(AW87=regle!$E$12,regle!$E$11,
IF(AW87=regle!$F$12,regle!$F$11,
IF(AW87=regle!$G$12,regle!$G$11,
IF(AW87=regle!$H$12,regle!$H$11,
IF(AW87=regle!$I$12,regle!$I$11,""))))))))))</f>
        <v/>
      </c>
      <c r="AD87" t="str">
        <f>IF(NOT($A87),"",
IF(AX87=-2,regle!$J$11,
IF(AX87=regle!$B$12,regle!$B$11,
IF(AX87=regle!$C$12,regle!$C$11,
IF(AX87=regle!$D$12,regle!$D$11,
IF(AX87=regle!$E$12,regle!$E$11,
IF(AX87=regle!$F$12,regle!$F$11,
IF(AX87=regle!$G$12,regle!$G$11,
IF(AX87=regle!$H$12,regle!$H$11,
IF(AX87=regle!$I$12,regle!$I$11,""))))))))))</f>
        <v/>
      </c>
      <c r="AE87" s="14">
        <f>IF($A87,$M87*(IF(U87=regle!$B$11,regle!$B$23,IF(U87=regle!$C$11,regle!$C$23,IF(U87=regle!$D$11,regle!$D$23,IF(U87=regle!$E$11,regle!$E$23,IF(U87=regle!$F$11,regle!$F$23,IF(U87=regle!$G$11,regle!$G$23,IF(U87=regle!$H$11,regle!$H$23,IF(U87=regle!$I$11,regle!$I$23,IF(U87=regle!$J$11,regle!$J$23,0)))))))))))</f>
        <v>0</v>
      </c>
      <c r="AF87" s="14">
        <f>IF($A87,$M87*(IF(V87=regle!$B$11,regle!$B$23,IF(V87=regle!$C$11,regle!$C$23,IF(V87=regle!$D$11,regle!$D$23,IF(V87=regle!$E$11,regle!$E$23,IF(V87=regle!$F$11,regle!$F$23,IF(V87=regle!$G$11,regle!$G$23,IF(V87=regle!$H$11,regle!$H$23,IF(V87=regle!$I$11,regle!$I$23,IF(V87=regle!$J$11,regle!$J$23,0)))))))))))</f>
        <v>681.1776000000001</v>
      </c>
      <c r="AG87" s="14">
        <f>IF($A87,$M87*(IF(W87=regle!$B$11,regle!$B$23,IF(W87=regle!$C$11,regle!$C$23,IF(W87=regle!$D$11,regle!$D$23,IF(W87=regle!$E$11,regle!$E$23,IF(W87=regle!$F$11,regle!$F$23,IF(W87=regle!$G$11,regle!$G$23,IF(W87=regle!$H$11,regle!$H$23,IF(W87=regle!$I$11,regle!$I$23,IF(W87=regle!$J$11,regle!$J$23,0)))))))))))</f>
        <v>0</v>
      </c>
      <c r="AH87" s="14">
        <f>IF($A87,$M87*(IF(X87=regle!$B$11,regle!$B$23,IF(X87=regle!$C$11,regle!$C$23,IF(X87=regle!$D$11,regle!$D$23,IF(X87=regle!$E$11,regle!$E$23,IF(X87=regle!$F$11,regle!$F$23,IF(X87=regle!$G$11,regle!$G$23,IF(X87=regle!$H$11,regle!$H$23,IF(X87=regle!$I$11,regle!$I$23,IF(X87=regle!$J$11,regle!$J$23,0)))))))))))</f>
        <v>0</v>
      </c>
      <c r="AI87" s="14">
        <f>IF($A87,$M87*(IF(Y87=regle!$B$11,regle!$B$23,IF(Y87=regle!$C$11,regle!$C$23,IF(Y87=regle!$D$11,regle!$D$23,IF(Y87=regle!$E$11,regle!$E$23,IF(Y87=regle!$F$11,regle!$F$23,IF(Y87=regle!$G$11,regle!$G$23,IF(Y87=regle!$H$11,regle!$H$23,IF(Y87=regle!$I$11,regle!$I$23,IF(Y87=regle!$J$11,regle!$J$23,0)))))))))))</f>
        <v>0</v>
      </c>
      <c r="AJ87" s="14">
        <f>IF($A87,$M87*(IF(Z87=regle!$B$11,regle!$B$23,IF(Z87=regle!$C$11,regle!$C$23,IF(Z87=regle!$D$11,regle!$D$23,IF(Z87=regle!$E$11,regle!$E$23,IF(Z87=regle!$F$11,regle!$F$23,IF(Z87=regle!$G$11,regle!$G$23,IF(Z87=regle!$H$11,regle!$H$23,IF(Z87=regle!$I$11,regle!$I$23,IF(Z87=regle!$J$11,regle!$J$23,0)))))))))))</f>
        <v>0</v>
      </c>
      <c r="AK87" s="14">
        <f>IF($A87,$M87*(IF(AA87=regle!$B$11,regle!$B$23,IF(AA87=regle!$C$11,regle!$C$23,IF(AA87=regle!$D$11,regle!$D$23,IF(AA87=regle!$E$11,regle!$E$23,IF(AA87=regle!$F$11,regle!$F$23,IF(AA87=regle!$G$11,regle!$G$23,IF(AA87=regle!$H$11,regle!$H$23,IF(AA87=regle!$I$11,regle!$I$23,IF(AA87=regle!$J$11,regle!$J$23,0)))))))))))</f>
        <v>993.38400000000013</v>
      </c>
      <c r="AL87" s="14">
        <f>IF($A87,$M87*(IF(AB87=regle!$B$11,regle!$B$23,IF(AB87=regle!$C$11,regle!$C$23,IF(AB87=regle!$D$11,regle!$D$23,IF(AB87=regle!$E$11,regle!$E$23,IF(AB87=regle!$F$11,regle!$F$23,IF(AB87=regle!$G$11,regle!$G$23,IF(AB87=regle!$H$11,regle!$H$23,IF(AB87=regle!$I$11,regle!$I$23,IF(AB87=regle!$J$11,regle!$J$23,0)))))))))))</f>
        <v>0</v>
      </c>
      <c r="AM87" s="14">
        <f>IF($A87,$M87*(IF(AC87=regle!$B$11,regle!$B$23,IF(AC87=regle!$C$11,regle!$C$23,IF(AC87=regle!$D$11,regle!$D$23,IF(AC87=regle!$E$11,regle!$E$23,IF(AC87=regle!$F$11,regle!$F$23,IF(AC87=regle!$G$11,regle!$G$23,IF(AC87=regle!$H$11,regle!$H$23,IF(AC87=regle!$I$11,regle!$I$23,IF(AC87=regle!$J$11,regle!$J$23,0)))))))))))</f>
        <v>0</v>
      </c>
      <c r="AN87" s="14">
        <f>IF($A87,$M87*(IF(AD87=regle!$B$11,regle!$B$23,IF(AD87=regle!$C$11,regle!$C$23,IF(AD87=regle!$D$11,regle!$D$23,IF(AD87=regle!$E$11,regle!$E$23,IF(AD87=regle!$F$11,regle!$F$23,IF(AD87=regle!$G$11,regle!$G$23,IF(AD87=regle!$H$11,regle!$H$23,IF(AD87=regle!$I$11,regle!$I$23,IF(AD87=regle!$J$11,regle!$J$23,0)))))))))))</f>
        <v>0</v>
      </c>
      <c r="AO87">
        <f>IF(AO$1=$AO$1,IF(regle!B$2-$Q87&gt;=regle!$J$12,-2,IF($S87,IF(regle!$B$2-$Q87&gt;=2,0,-1),regle!B$2-$Q87)),IF(AN87+1&gt;=regle!$J$12,-2,AN87+1))</f>
        <v>12</v>
      </c>
      <c r="AP87">
        <f>IF(AP$1=$AO$1,IF(regle!C$2-$Q87&gt;=regle!$J$12,-2,IF($S87,IF(regle!$B$2-$Q87&gt;=2,0,-1),regle!C$2-$Q87)),IF(AO87+1&gt;=regle!$J$12,-2,AO87+1))</f>
        <v>13</v>
      </c>
      <c r="AQ87">
        <f>IF(AQ$1=$AO$1,IF(regle!D$2-$Q87&gt;=regle!$J$12,-2,IF($S87,IF(regle!$B$2-$Q87&gt;=2,0,-1),regle!D$2-$Q87)),IF(AP87+1&gt;=regle!$J$12,-2,AP87+1))</f>
        <v>14</v>
      </c>
      <c r="AR87">
        <f>IF(AR$1=$AO$1,IF(regle!E$2-$Q87&gt;=regle!$J$12,-2,IF($S87,IF(regle!$B$2-$Q87&gt;=2,0,-1),regle!E$2-$Q87)),IF(AQ87+1&gt;=regle!$J$12,-2,AQ87+1))</f>
        <v>15</v>
      </c>
      <c r="AS87">
        <f>IF(AS$1=$AO$1,IF(regle!F$2-$Q87&gt;=regle!$J$12,-2,IF($S87,IF(regle!$B$2-$Q87&gt;=2,0,-1),regle!F$2-$Q87)),IF(AR87+1&gt;=regle!$J$12,-2,AR87+1))</f>
        <v>16</v>
      </c>
      <c r="AT87">
        <f>IF(AT$1=$AO$1,IF(regle!G$2-$Q87&gt;=regle!$J$12,-2,IF($S87,IF(regle!$B$2-$Q87&gt;=2,0,-1),regle!G$2-$Q87)),IF(AS87+1&gt;=regle!$J$12,-2,AS87+1))</f>
        <v>17</v>
      </c>
      <c r="AU87">
        <f>IF(AU$1=$AO$1,IF(regle!H$2-$Q87&gt;=regle!$J$12,-2,IF($S87,IF(regle!$B$2-$Q87&gt;=2,0,-1),regle!H$2-$Q87)),IF(AT87+1&gt;=regle!$J$12,-2,AT87+1))</f>
        <v>18</v>
      </c>
      <c r="AV87">
        <f>IF(AV$1=$AO$1,IF(regle!I$2-$Q87&gt;=regle!$J$12,-2,IF($S87,IF(regle!$B$2-$Q87&gt;=2,0,-1),regle!I$2-$Q87)),IF(AU87+1&gt;=regle!$J$12,-2,AU87+1))</f>
        <v>19</v>
      </c>
      <c r="AW87">
        <f>IF(AW$1=$AO$1,IF(regle!J$2-$Q87&gt;=regle!$J$12,-2,IF($S87,IF(regle!$B$2-$Q87&gt;=2,0,-1),regle!J$2-$Q87)),IF(AV87+1&gt;=regle!$J$12,-2,AV87+1))</f>
        <v>20</v>
      </c>
      <c r="AX87">
        <f>IF(AX$1=$AO$1,IF(regle!K$2-$Q87&gt;=regle!$J$12,-2,IF($S87,IF(regle!$B$2-$Q87&gt;=2,0,-1),regle!K$2-$Q87)),IF(AW87+1&gt;=regle!$J$12,-2,AW87+1))</f>
        <v>21</v>
      </c>
    </row>
    <row r="88" spans="1:50" x14ac:dyDescent="0.25">
      <c r="A88" t="b">
        <f>AND(modif0[[#This Row],[cdstr]]&lt;&gt;0,OR(regle!$H$27=FALSE,modif0[[#This Row],[essnc]]="PM"))</f>
        <v>1</v>
      </c>
      <c r="B88">
        <f>ROW(objet!A110)</f>
        <v>110</v>
      </c>
      <c r="C88" s="10" t="str">
        <f>objet!D110</f>
        <v>5360000A0847</v>
      </c>
      <c r="D88" t="str">
        <f>LEFT(modif0[[#This Row],[cdstr]],3)</f>
        <v>536</v>
      </c>
      <c r="E88" s="10" t="str">
        <f>objet!G110</f>
        <v>LE TUZAN</v>
      </c>
      <c r="F88">
        <f>LEN(modif0[[#This Row],[l_dt]])</f>
        <v>21</v>
      </c>
      <c r="G88" s="10" t="str">
        <f>objet!H110</f>
        <v>METAIRIES DE TABARTON</v>
      </c>
      <c r="H88" s="10" t="str">
        <f>objet!C110</f>
        <v>A847d</v>
      </c>
      <c r="I88" t="str">
        <f>IF(ISNUMBER(VALUE(RIGHT(LEFT(modif0[[#This Row],[idntfn]],2),1))),_xlfn.CONCAT(0,LEFT(modif0[[#This Row],[idntfn]],1)),LEFT(modif0[[#This Row],[idntfn]],2))</f>
        <v>0A</v>
      </c>
      <c r="J88">
        <f>VALUE(LEFT(RIGHT(modif0[[#This Row],[idntfn]],LEN(modif0[[#This Row],[idntfn]])-IF(LEFT(modif0[[#This Row],[sctn]],1)="0",1,2)),LEN(modif0[[#This Row],[idntfn]])-IF(LEFT(modif0[[#This Row],[sctn]],1)="0",1,2)-LEN(modif0[[#This Row],[lttr]])))</f>
        <v>847</v>
      </c>
      <c r="K88" t="str">
        <f>IF(ISNUMBER(VALUE(RIGHT(modif0[[#This Row],[idntfn]],1))),"",IF(ISNUMBER(VALUE(LEFT(RIGHT(modif0[[#This Row],[idntfn]],2),1))),RIGHT(modif0[[#This Row],[idntfn]],1),RIGHT(modif0[[#This Row],[idntfn]],2)))</f>
        <v>d</v>
      </c>
      <c r="L88" s="10">
        <f>objet!I110</f>
        <v>2133</v>
      </c>
      <c r="M88" s="11">
        <f>modif0[[#This Row],[srfc]]/10000</f>
        <v>0.21329999999999999</v>
      </c>
      <c r="N88" s="10" t="str">
        <f>objet!Z110</f>
        <v>PM</v>
      </c>
      <c r="O88" s="10" t="str">
        <f>objet!AA110</f>
        <v>PLA2017</v>
      </c>
      <c r="P88" t="str">
        <f>IF(ISNUMBER(modif0[[#This Row],[trvx]]),"",LEFT(modif0[[#This Row],[trvx]],LEN(modif0[[#This Row],[trvx]])-4))</f>
        <v>PLA</v>
      </c>
      <c r="Q88">
        <f>VALUE(RIGHT(modif0[[#This Row],[trvx]],4))</f>
        <v>2017</v>
      </c>
      <c r="R88" t="str">
        <f>_xlfn.CONCAT(modif0[[#This Row],[tp]],"-",modif0[[#This Row],[essnc]],"_",modif0[[#This Row],[anns]])</f>
        <v>PLA-PM_2017</v>
      </c>
      <c r="S88" t="b">
        <f>modif0[[#This Row],[tp]]="CR"</f>
        <v>0</v>
      </c>
      <c r="T88">
        <v>40</v>
      </c>
      <c r="U88" t="str">
        <f>IF(NOT($A88),"",
IF(AO88=-2,regle!$J$11,
IF(AO88=regle!$B$12,regle!$B$11,
IF(AO88=regle!$C$12,regle!$C$11,
IF(AO88=regle!$D$12,regle!$D$11,
IF(AO88=regle!$E$12,regle!$E$11,
IF(AO88=regle!$F$12,regle!$F$11,
IF(AO88=regle!$G$12,regle!$G$11,
IF(AO88=regle!$H$12,regle!$H$11,
IF(AO88=regle!$I$12,regle!$I$11,""))))))))))</f>
        <v/>
      </c>
      <c r="V88" t="str">
        <f>IF(NOT($A88),"",
IF(AP88=-2,regle!$J$11,
IF(AP88=regle!$B$12,regle!$B$11,
IF(AP88=regle!$C$12,regle!$C$11,
IF(AP88=regle!$D$12,regle!$D$11,
IF(AP88=regle!$E$12,regle!$E$11,
IF(AP88=regle!$F$12,regle!$F$11,
IF(AP88=regle!$G$12,regle!$G$11,
IF(AP88=regle!$H$12,regle!$H$11,
IF(AP88=regle!$I$12,regle!$I$11,""))))))))))</f>
        <v>ENT2</v>
      </c>
      <c r="W88" t="str">
        <f>IF(NOT($A88),"",
IF(AQ88=-2,regle!$J$11,
IF(AQ88=regle!$B$12,regle!$B$11,
IF(AQ88=regle!$C$12,regle!$C$11,
IF(AQ88=regle!$D$12,regle!$D$11,
IF(AQ88=regle!$E$12,regle!$E$11,
IF(AQ88=regle!$F$12,regle!$F$11,
IF(AQ88=regle!$G$12,regle!$G$11,
IF(AQ88=regle!$H$12,regle!$H$11,
IF(AQ88=regle!$I$12,regle!$I$11,""))))))))))</f>
        <v/>
      </c>
      <c r="X88" t="str">
        <f>IF(NOT($A88),"",
IF(AR88=-2,regle!$J$11,
IF(AR88=regle!$B$12,regle!$B$11,
IF(AR88=regle!$C$12,regle!$C$11,
IF(AR88=regle!$D$12,regle!$D$11,
IF(AR88=regle!$E$12,regle!$E$11,
IF(AR88=regle!$F$12,regle!$F$11,
IF(AR88=regle!$G$12,regle!$G$11,
IF(AR88=regle!$H$12,regle!$H$11,
IF(AR88=regle!$I$12,regle!$I$11,""))))))))))</f>
        <v/>
      </c>
      <c r="Y88" t="str">
        <f>IF(NOT($A88),"",
IF(AS88=-2,regle!$J$11,
IF(AS88=regle!$B$12,regle!$B$11,
IF(AS88=regle!$C$12,regle!$C$11,
IF(AS88=regle!$D$12,regle!$D$11,
IF(AS88=regle!$E$12,regle!$E$11,
IF(AS88=regle!$F$12,regle!$F$11,
IF(AS88=regle!$G$12,regle!$G$11,
IF(AS88=regle!$H$12,regle!$H$11,
IF(AS88=regle!$I$12,regle!$I$11,""))))))))))</f>
        <v/>
      </c>
      <c r="Z88" t="str">
        <f>IF(NOT($A88),"",
IF(AT88=-2,regle!$J$11,
IF(AT88=regle!$B$12,regle!$B$11,
IF(AT88=regle!$C$12,regle!$C$11,
IF(AT88=regle!$D$12,regle!$D$11,
IF(AT88=regle!$E$12,regle!$E$11,
IF(AT88=regle!$F$12,regle!$F$11,
IF(AT88=regle!$G$12,regle!$G$11,
IF(AT88=regle!$H$12,regle!$H$11,
IF(AT88=regle!$I$12,regle!$I$11,""))))))))))</f>
        <v/>
      </c>
      <c r="AA88" t="str">
        <f>IF(NOT($A88),"",
IF(AU88=-2,regle!$J$11,
IF(AU88=regle!$B$12,regle!$B$11,
IF(AU88=regle!$C$12,regle!$C$11,
IF(AU88=regle!$D$12,regle!$D$11,
IF(AU88=regle!$E$12,regle!$E$11,
IF(AU88=regle!$F$12,regle!$F$11,
IF(AU88=regle!$G$12,regle!$G$11,
IF(AU88=regle!$H$12,regle!$H$11,
IF(AU88=regle!$I$12,regle!$I$11,""))))))))))</f>
        <v>EC1</v>
      </c>
      <c r="AB88" t="str">
        <f>IF(NOT($A88),"",
IF(AV88=-2,regle!$J$11,
IF(AV88=regle!$B$12,regle!$B$11,
IF(AV88=regle!$C$12,regle!$C$11,
IF(AV88=regle!$D$12,regle!$D$11,
IF(AV88=regle!$E$12,regle!$E$11,
IF(AV88=regle!$F$12,regle!$F$11,
IF(AV88=regle!$G$12,regle!$G$11,
IF(AV88=regle!$H$12,regle!$H$11,
IF(AV88=regle!$I$12,regle!$I$11,""))))))))))</f>
        <v/>
      </c>
      <c r="AC88" t="str">
        <f>IF(NOT($A88),"",
IF(AW88=-2,regle!$J$11,
IF(AW88=regle!$B$12,regle!$B$11,
IF(AW88=regle!$C$12,regle!$C$11,
IF(AW88=regle!$D$12,regle!$D$11,
IF(AW88=regle!$E$12,regle!$E$11,
IF(AW88=regle!$F$12,regle!$F$11,
IF(AW88=regle!$G$12,regle!$G$11,
IF(AW88=regle!$H$12,regle!$H$11,
IF(AW88=regle!$I$12,regle!$I$11,""))))))))))</f>
        <v/>
      </c>
      <c r="AD88" t="str">
        <f>IF(NOT($A88),"",
IF(AX88=-2,regle!$J$11,
IF(AX88=regle!$B$12,regle!$B$11,
IF(AX88=regle!$C$12,regle!$C$11,
IF(AX88=regle!$D$12,regle!$D$11,
IF(AX88=regle!$E$12,regle!$E$11,
IF(AX88=regle!$F$12,regle!$F$11,
IF(AX88=regle!$G$12,regle!$G$11,
IF(AX88=regle!$H$12,regle!$H$11,
IF(AX88=regle!$I$12,regle!$I$11,""))))))))))</f>
        <v/>
      </c>
      <c r="AE88" s="14">
        <f>IF($A88,$M88*(IF(U88=regle!$B$11,regle!$B$23,IF(U88=regle!$C$11,regle!$C$23,IF(U88=regle!$D$11,regle!$D$23,IF(U88=regle!$E$11,regle!$E$23,IF(U88=regle!$F$11,regle!$F$23,IF(U88=regle!$G$11,regle!$G$23,IF(U88=regle!$H$11,regle!$H$23,IF(U88=regle!$I$11,regle!$I$23,IF(U88=regle!$J$11,regle!$J$23,0)))))))))))</f>
        <v>0</v>
      </c>
      <c r="AF88" s="14">
        <f>IF($A88,$M88*(IF(V88=regle!$B$11,regle!$B$23,IF(V88=regle!$C$11,regle!$C$23,IF(V88=regle!$D$11,regle!$D$23,IF(V88=regle!$E$11,regle!$E$23,IF(V88=regle!$F$11,regle!$F$23,IF(V88=regle!$G$11,regle!$G$23,IF(V88=regle!$H$11,regle!$H$23,IF(V88=regle!$I$11,regle!$I$23,IF(V88=regle!$J$11,regle!$J$23,0)))))))))))</f>
        <v>-19.196999999999999</v>
      </c>
      <c r="AG88" s="14">
        <f>IF($A88,$M88*(IF(W88=regle!$B$11,regle!$B$23,IF(W88=regle!$C$11,regle!$C$23,IF(W88=regle!$D$11,regle!$D$23,IF(W88=regle!$E$11,regle!$E$23,IF(W88=regle!$F$11,regle!$F$23,IF(W88=regle!$G$11,regle!$G$23,IF(W88=regle!$H$11,regle!$H$23,IF(W88=regle!$I$11,regle!$I$23,IF(W88=regle!$J$11,regle!$J$23,0)))))))))))</f>
        <v>0</v>
      </c>
      <c r="AH88" s="14">
        <f>IF($A88,$M88*(IF(X88=regle!$B$11,regle!$B$23,IF(X88=regle!$C$11,regle!$C$23,IF(X88=regle!$D$11,regle!$D$23,IF(X88=regle!$E$11,regle!$E$23,IF(X88=regle!$F$11,regle!$F$23,IF(X88=regle!$G$11,regle!$G$23,IF(X88=regle!$H$11,regle!$H$23,IF(X88=regle!$I$11,regle!$I$23,IF(X88=regle!$J$11,regle!$J$23,0)))))))))))</f>
        <v>0</v>
      </c>
      <c r="AI88" s="14">
        <f>IF($A88,$M88*(IF(Y88=regle!$B$11,regle!$B$23,IF(Y88=regle!$C$11,regle!$C$23,IF(Y88=regle!$D$11,regle!$D$23,IF(Y88=regle!$E$11,regle!$E$23,IF(Y88=regle!$F$11,regle!$F$23,IF(Y88=regle!$G$11,regle!$G$23,IF(Y88=regle!$H$11,regle!$H$23,IF(Y88=regle!$I$11,regle!$I$23,IF(Y88=regle!$J$11,regle!$J$23,0)))))))))))</f>
        <v>0</v>
      </c>
      <c r="AJ88" s="14">
        <f>IF($A88,$M88*(IF(Z88=regle!$B$11,regle!$B$23,IF(Z88=regle!$C$11,regle!$C$23,IF(Z88=regle!$D$11,regle!$D$23,IF(Z88=regle!$E$11,regle!$E$23,IF(Z88=regle!$F$11,regle!$F$23,IF(Z88=regle!$G$11,regle!$G$23,IF(Z88=regle!$H$11,regle!$H$23,IF(Z88=regle!$I$11,regle!$I$23,IF(Z88=regle!$J$11,regle!$J$23,0)))))))))))</f>
        <v>0</v>
      </c>
      <c r="AK88" s="14">
        <f>IF($A88,$M88*(IF(AA88=regle!$B$11,regle!$B$23,IF(AA88=regle!$C$11,regle!$C$23,IF(AA88=regle!$D$11,regle!$D$23,IF(AA88=regle!$E$11,regle!$E$23,IF(AA88=regle!$F$11,regle!$F$23,IF(AA88=regle!$G$11,regle!$G$23,IF(AA88=regle!$H$11,regle!$H$23,IF(AA88=regle!$I$11,regle!$I$23,IF(AA88=regle!$J$11,regle!$J$23,0)))))))))))</f>
        <v>122.8608</v>
      </c>
      <c r="AL88" s="14">
        <f>IF($A88,$M88*(IF(AB88=regle!$B$11,regle!$B$23,IF(AB88=regle!$C$11,regle!$C$23,IF(AB88=regle!$D$11,regle!$D$23,IF(AB88=regle!$E$11,regle!$E$23,IF(AB88=regle!$F$11,regle!$F$23,IF(AB88=regle!$G$11,regle!$G$23,IF(AB88=regle!$H$11,regle!$H$23,IF(AB88=regle!$I$11,regle!$I$23,IF(AB88=regle!$J$11,regle!$J$23,0)))))))))))</f>
        <v>0</v>
      </c>
      <c r="AM88" s="14">
        <f>IF($A88,$M88*(IF(AC88=regle!$B$11,regle!$B$23,IF(AC88=regle!$C$11,regle!$C$23,IF(AC88=regle!$D$11,regle!$D$23,IF(AC88=regle!$E$11,regle!$E$23,IF(AC88=regle!$F$11,regle!$F$23,IF(AC88=regle!$G$11,regle!$G$23,IF(AC88=regle!$H$11,regle!$H$23,IF(AC88=regle!$I$11,regle!$I$23,IF(AC88=regle!$J$11,regle!$J$23,0)))))))))))</f>
        <v>0</v>
      </c>
      <c r="AN88" s="14">
        <f>IF($A88,$M88*(IF(AD88=regle!$B$11,regle!$B$23,IF(AD88=regle!$C$11,regle!$C$23,IF(AD88=regle!$D$11,regle!$D$23,IF(AD88=regle!$E$11,regle!$E$23,IF(AD88=regle!$F$11,regle!$F$23,IF(AD88=regle!$G$11,regle!$G$23,IF(AD88=regle!$H$11,regle!$H$23,IF(AD88=regle!$I$11,regle!$I$23,IF(AD88=regle!$J$11,regle!$J$23,0)))))))))))</f>
        <v>0</v>
      </c>
      <c r="AO88">
        <f>IF(AO$1=$AO$1,IF(regle!B$2-$Q88&gt;=regle!$J$12,-2,IF($S88,IF(regle!$B$2-$Q88&gt;=2,0,-1),regle!B$2-$Q88)),IF(AN88+1&gt;=regle!$J$12,-2,AN88+1))</f>
        <v>7</v>
      </c>
      <c r="AP88">
        <f>IF(AP$1=$AO$1,IF(regle!C$2-$Q88&gt;=regle!$J$12,-2,IF($S88,IF(regle!$B$2-$Q88&gt;=2,0,-1),regle!C$2-$Q88)),IF(AO88+1&gt;=regle!$J$12,-2,AO88+1))</f>
        <v>8</v>
      </c>
      <c r="AQ88">
        <f>IF(AQ$1=$AO$1,IF(regle!D$2-$Q88&gt;=regle!$J$12,-2,IF($S88,IF(regle!$B$2-$Q88&gt;=2,0,-1),regle!D$2-$Q88)),IF(AP88+1&gt;=regle!$J$12,-2,AP88+1))</f>
        <v>9</v>
      </c>
      <c r="AR88">
        <f>IF(AR$1=$AO$1,IF(regle!E$2-$Q88&gt;=regle!$J$12,-2,IF($S88,IF(regle!$B$2-$Q88&gt;=2,0,-1),regle!E$2-$Q88)),IF(AQ88+1&gt;=regle!$J$12,-2,AQ88+1))</f>
        <v>10</v>
      </c>
      <c r="AS88">
        <f>IF(AS$1=$AO$1,IF(regle!F$2-$Q88&gt;=regle!$J$12,-2,IF($S88,IF(regle!$B$2-$Q88&gt;=2,0,-1),regle!F$2-$Q88)),IF(AR88+1&gt;=regle!$J$12,-2,AR88+1))</f>
        <v>11</v>
      </c>
      <c r="AT88">
        <f>IF(AT$1=$AO$1,IF(regle!G$2-$Q88&gt;=regle!$J$12,-2,IF($S88,IF(regle!$B$2-$Q88&gt;=2,0,-1),regle!G$2-$Q88)),IF(AS88+1&gt;=regle!$J$12,-2,AS88+1))</f>
        <v>12</v>
      </c>
      <c r="AU88">
        <f>IF(AU$1=$AO$1,IF(regle!H$2-$Q88&gt;=regle!$J$12,-2,IF($S88,IF(regle!$B$2-$Q88&gt;=2,0,-1),regle!H$2-$Q88)),IF(AT88+1&gt;=regle!$J$12,-2,AT88+1))</f>
        <v>13</v>
      </c>
      <c r="AV88">
        <f>IF(AV$1=$AO$1,IF(regle!I$2-$Q88&gt;=regle!$J$12,-2,IF($S88,IF(regle!$B$2-$Q88&gt;=2,0,-1),regle!I$2-$Q88)),IF(AU88+1&gt;=regle!$J$12,-2,AU88+1))</f>
        <v>14</v>
      </c>
      <c r="AW88">
        <f>IF(AW$1=$AO$1,IF(regle!J$2-$Q88&gt;=regle!$J$12,-2,IF($S88,IF(regle!$B$2-$Q88&gt;=2,0,-1),regle!J$2-$Q88)),IF(AV88+1&gt;=regle!$J$12,-2,AV88+1))</f>
        <v>15</v>
      </c>
      <c r="AX88">
        <f>IF(AX$1=$AO$1,IF(regle!K$2-$Q88&gt;=regle!$J$12,-2,IF($S88,IF(regle!$B$2-$Q88&gt;=2,0,-1),regle!K$2-$Q88)),IF(AW88+1&gt;=regle!$J$12,-2,AW88+1))</f>
        <v>16</v>
      </c>
    </row>
    <row r="89" spans="1:50" x14ac:dyDescent="0.25">
      <c r="A89" t="b">
        <f>AND(modif0[[#This Row],[cdstr]]&lt;&gt;0,OR(regle!$H$27=FALSE,modif0[[#This Row],[essnc]]="PM"))</f>
        <v>1</v>
      </c>
      <c r="B89">
        <f>ROW(objet!A111)</f>
        <v>111</v>
      </c>
      <c r="C89" s="10" t="str">
        <f>objet!D111</f>
        <v>5360000A0847</v>
      </c>
      <c r="D89" t="str">
        <f>LEFT(modif0[[#This Row],[cdstr]],3)</f>
        <v>536</v>
      </c>
      <c r="E89" s="10" t="str">
        <f>objet!G111</f>
        <v>LE TUZAN</v>
      </c>
      <c r="F89">
        <f>LEN(modif0[[#This Row],[l_dt]])</f>
        <v>21</v>
      </c>
      <c r="G89" s="10" t="str">
        <f>objet!H111</f>
        <v>METAIRIES DE TABARTON</v>
      </c>
      <c r="H89" s="10" t="str">
        <f>objet!C111</f>
        <v>A847e</v>
      </c>
      <c r="I89" t="str">
        <f>IF(ISNUMBER(VALUE(RIGHT(LEFT(modif0[[#This Row],[idntfn]],2),1))),_xlfn.CONCAT(0,LEFT(modif0[[#This Row],[idntfn]],1)),LEFT(modif0[[#This Row],[idntfn]],2))</f>
        <v>0A</v>
      </c>
      <c r="J89">
        <f>VALUE(LEFT(RIGHT(modif0[[#This Row],[idntfn]],LEN(modif0[[#This Row],[idntfn]])-IF(LEFT(modif0[[#This Row],[sctn]],1)="0",1,2)),LEN(modif0[[#This Row],[idntfn]])-IF(LEFT(modif0[[#This Row],[sctn]],1)="0",1,2)-LEN(modif0[[#This Row],[lttr]])))</f>
        <v>847</v>
      </c>
      <c r="K89" t="str">
        <f>IF(ISNUMBER(VALUE(RIGHT(modif0[[#This Row],[idntfn]],1))),"",IF(ISNUMBER(VALUE(LEFT(RIGHT(modif0[[#This Row],[idntfn]],2),1))),RIGHT(modif0[[#This Row],[idntfn]],1),RIGHT(modif0[[#This Row],[idntfn]],2)))</f>
        <v>e</v>
      </c>
      <c r="L89" s="10">
        <f>objet!I111</f>
        <v>64063</v>
      </c>
      <c r="M89" s="11">
        <f>modif0[[#This Row],[srfc]]/10000</f>
        <v>6.4062999999999999</v>
      </c>
      <c r="N89" s="10" t="str">
        <f>objet!Z111</f>
        <v>PM</v>
      </c>
      <c r="O89" s="10" t="str">
        <f>objet!AA111</f>
        <v>SL2003</v>
      </c>
      <c r="P89" t="str">
        <f>IF(ISNUMBER(modif0[[#This Row],[trvx]]),"",LEFT(modif0[[#This Row],[trvx]],LEN(modif0[[#This Row],[trvx]])-4))</f>
        <v>SL</v>
      </c>
      <c r="Q89">
        <f>VALUE(RIGHT(modif0[[#This Row],[trvx]],4))</f>
        <v>2003</v>
      </c>
      <c r="R89" t="str">
        <f>_xlfn.CONCAT(modif0[[#This Row],[tp]],"-",modif0[[#This Row],[essnc]],"_",modif0[[#This Row],[anns]])</f>
        <v>SL-PM_2003</v>
      </c>
      <c r="S89" t="b">
        <f>modif0[[#This Row],[tp]]="CR"</f>
        <v>0</v>
      </c>
      <c r="T89">
        <v>40</v>
      </c>
      <c r="U89" t="str">
        <f>IF(NOT($A89),"",
IF(AO89=-2,regle!$J$11,
IF(AO89=regle!$B$12,regle!$B$11,
IF(AO89=regle!$C$12,regle!$C$11,
IF(AO89=regle!$D$12,regle!$D$11,
IF(AO89=regle!$E$12,regle!$E$11,
IF(AO89=regle!$F$12,regle!$F$11,
IF(AO89=regle!$G$12,regle!$G$11,
IF(AO89=regle!$H$12,regle!$H$11,
IF(AO89=regle!$I$12,regle!$I$11,""))))))))))</f>
        <v/>
      </c>
      <c r="V89" t="str">
        <f>IF(NOT($A89),"",
IF(AP89=-2,regle!$J$11,
IF(AP89=regle!$B$12,regle!$B$11,
IF(AP89=regle!$C$12,regle!$C$11,
IF(AP89=regle!$D$12,regle!$D$11,
IF(AP89=regle!$E$12,regle!$E$11,
IF(AP89=regle!$F$12,regle!$F$11,
IF(AP89=regle!$G$12,regle!$G$11,
IF(AP89=regle!$H$12,regle!$H$11,
IF(AP89=regle!$I$12,regle!$I$11,""))))))))))</f>
        <v/>
      </c>
      <c r="W89" t="str">
        <f>IF(NOT($A89),"",
IF(AQ89=-2,regle!$J$11,
IF(AQ89=regle!$B$12,regle!$B$11,
IF(AQ89=regle!$C$12,regle!$C$11,
IF(AQ89=regle!$D$12,regle!$D$11,
IF(AQ89=regle!$E$12,regle!$E$11,
IF(AQ89=regle!$F$12,regle!$F$11,
IF(AQ89=regle!$G$12,regle!$G$11,
IF(AQ89=regle!$H$12,regle!$H$11,
IF(AQ89=regle!$I$12,regle!$I$11,""))))))))))</f>
        <v>EC3</v>
      </c>
      <c r="X89" t="str">
        <f>IF(NOT($A89),"",
IF(AR89=-2,regle!$J$11,
IF(AR89=regle!$B$12,regle!$B$11,
IF(AR89=regle!$C$12,regle!$C$11,
IF(AR89=regle!$D$12,regle!$D$11,
IF(AR89=regle!$E$12,regle!$E$11,
IF(AR89=regle!$F$12,regle!$F$11,
IF(AR89=regle!$G$12,regle!$G$11,
IF(AR89=regle!$H$12,regle!$H$11,
IF(AR89=regle!$I$12,regle!$I$11,""))))))))))</f>
        <v/>
      </c>
      <c r="Y89" t="str">
        <f>IF(NOT($A89),"",
IF(AS89=-2,regle!$J$11,
IF(AS89=regle!$B$12,regle!$B$11,
IF(AS89=regle!$C$12,regle!$C$11,
IF(AS89=regle!$D$12,regle!$D$11,
IF(AS89=regle!$E$12,regle!$E$11,
IF(AS89=regle!$F$12,regle!$F$11,
IF(AS89=regle!$G$12,regle!$G$11,
IF(AS89=regle!$H$12,regle!$H$11,
IF(AS89=regle!$I$12,regle!$I$11,""))))))))))</f>
        <v/>
      </c>
      <c r="Z89" t="str">
        <f>IF(NOT($A89),"",
IF(AT89=-2,regle!$J$11,
IF(AT89=regle!$B$12,regle!$B$11,
IF(AT89=regle!$C$12,regle!$C$11,
IF(AT89=regle!$D$12,regle!$D$11,
IF(AT89=regle!$E$12,regle!$E$11,
IF(AT89=regle!$F$12,regle!$F$11,
IF(AT89=regle!$G$12,regle!$G$11,
IF(AT89=regle!$H$12,regle!$H$11,
IF(AT89=regle!$I$12,regle!$I$11,""))))))))))</f>
        <v/>
      </c>
      <c r="AA89" t="str">
        <f>IF(NOT($A89),"",
IF(AU89=-2,regle!$J$11,
IF(AU89=regle!$B$12,regle!$B$11,
IF(AU89=regle!$C$12,regle!$C$11,
IF(AU89=regle!$D$12,regle!$D$11,
IF(AU89=regle!$E$12,regle!$E$11,
IF(AU89=regle!$F$12,regle!$F$11,
IF(AU89=regle!$G$12,regle!$G$11,
IF(AU89=regle!$H$12,regle!$H$11,
IF(AU89=regle!$I$12,regle!$I$11,""))))))))))</f>
        <v/>
      </c>
      <c r="AB89" t="str">
        <f>IF(NOT($A89),"",
IF(AV89=-2,regle!$J$11,
IF(AV89=regle!$B$12,regle!$B$11,
IF(AV89=regle!$C$12,regle!$C$11,
IF(AV89=regle!$D$12,regle!$D$11,
IF(AV89=regle!$E$12,regle!$E$11,
IF(AV89=regle!$F$12,regle!$F$11,
IF(AV89=regle!$G$12,regle!$G$11,
IF(AV89=regle!$H$12,regle!$H$11,
IF(AV89=regle!$I$12,regle!$I$11,""))))))))))</f>
        <v>EC4</v>
      </c>
      <c r="AC89" t="str">
        <f>IF(NOT($A89),"",
IF(AW89=-2,regle!$J$11,
IF(AW89=regle!$B$12,regle!$B$11,
IF(AW89=regle!$C$12,regle!$C$11,
IF(AW89=regle!$D$12,regle!$D$11,
IF(AW89=regle!$E$12,regle!$E$11,
IF(AW89=regle!$F$12,regle!$F$11,
IF(AW89=regle!$G$12,regle!$G$11,
IF(AW89=regle!$H$12,regle!$H$11,
IF(AW89=regle!$I$12,regle!$I$11,""))))))))))</f>
        <v/>
      </c>
      <c r="AD89" t="str">
        <f>IF(NOT($A89),"",
IF(AX89=-2,regle!$J$11,
IF(AX89=regle!$B$12,regle!$B$11,
IF(AX89=regle!$C$12,regle!$C$11,
IF(AX89=regle!$D$12,regle!$D$11,
IF(AX89=regle!$E$12,regle!$E$11,
IF(AX89=regle!$F$12,regle!$F$11,
IF(AX89=regle!$G$12,regle!$G$11,
IF(AX89=regle!$H$12,regle!$H$11,
IF(AX89=regle!$I$12,regle!$I$11,""))))))))))</f>
        <v/>
      </c>
      <c r="AE89" s="14">
        <f>IF($A89,$M89*(IF(U89=regle!$B$11,regle!$B$23,IF(U89=regle!$C$11,regle!$C$23,IF(U89=regle!$D$11,regle!$D$23,IF(U89=regle!$E$11,regle!$E$23,IF(U89=regle!$F$11,regle!$F$23,IF(U89=regle!$G$11,regle!$G$23,IF(U89=regle!$H$11,regle!$H$23,IF(U89=regle!$I$11,regle!$I$23,IF(U89=regle!$J$11,regle!$J$23,0)))))))))))</f>
        <v>0</v>
      </c>
      <c r="AF89" s="14">
        <f>IF($A89,$M89*(IF(V89=regle!$B$11,regle!$B$23,IF(V89=regle!$C$11,regle!$C$23,IF(V89=regle!$D$11,regle!$D$23,IF(V89=regle!$E$11,regle!$E$23,IF(V89=regle!$F$11,regle!$F$23,IF(V89=regle!$G$11,regle!$G$23,IF(V89=regle!$H$11,regle!$H$23,IF(V89=regle!$I$11,regle!$I$23,IF(V89=regle!$J$11,regle!$J$23,0)))))))))))</f>
        <v>0</v>
      </c>
      <c r="AG89" s="14">
        <f>IF($A89,$M89*(IF(W89=regle!$B$11,regle!$B$23,IF(W89=regle!$C$11,regle!$C$23,IF(W89=regle!$D$11,regle!$D$23,IF(W89=regle!$E$11,regle!$E$23,IF(W89=regle!$F$11,regle!$F$23,IF(W89=regle!$G$11,regle!$G$23,IF(W89=regle!$H$11,regle!$H$23,IF(W89=regle!$I$11,regle!$I$23,IF(W89=regle!$J$11,regle!$J$23,0)))))))))))</f>
        <v>9020.0704000000005</v>
      </c>
      <c r="AH89" s="14">
        <f>IF($A89,$M89*(IF(X89=regle!$B$11,regle!$B$23,IF(X89=regle!$C$11,regle!$C$23,IF(X89=regle!$D$11,regle!$D$23,IF(X89=regle!$E$11,regle!$E$23,IF(X89=regle!$F$11,regle!$F$23,IF(X89=regle!$G$11,regle!$G$23,IF(X89=regle!$H$11,regle!$H$23,IF(X89=regle!$I$11,regle!$I$23,IF(X89=regle!$J$11,regle!$J$23,0)))))))))))</f>
        <v>0</v>
      </c>
      <c r="AI89" s="14">
        <f>IF($A89,$M89*(IF(Y89=regle!$B$11,regle!$B$23,IF(Y89=regle!$C$11,regle!$C$23,IF(Y89=regle!$D$11,regle!$D$23,IF(Y89=regle!$E$11,regle!$E$23,IF(Y89=regle!$F$11,regle!$F$23,IF(Y89=regle!$G$11,regle!$G$23,IF(Y89=regle!$H$11,regle!$H$23,IF(Y89=regle!$I$11,regle!$I$23,IF(Y89=regle!$J$11,regle!$J$23,0)))))))))))</f>
        <v>0</v>
      </c>
      <c r="AJ89" s="14">
        <f>IF($A89,$M89*(IF(Z89=regle!$B$11,regle!$B$23,IF(Z89=regle!$C$11,regle!$C$23,IF(Z89=regle!$D$11,regle!$D$23,IF(Z89=regle!$E$11,regle!$E$23,IF(Z89=regle!$F$11,regle!$F$23,IF(Z89=regle!$G$11,regle!$G$23,IF(Z89=regle!$H$11,regle!$H$23,IF(Z89=regle!$I$11,regle!$I$23,IF(Z89=regle!$J$11,regle!$J$23,0)))))))))))</f>
        <v>0</v>
      </c>
      <c r="AK89" s="14">
        <f>IF($A89,$M89*(IF(AA89=regle!$B$11,regle!$B$23,IF(AA89=regle!$C$11,regle!$C$23,IF(AA89=regle!$D$11,regle!$D$23,IF(AA89=regle!$E$11,regle!$E$23,IF(AA89=regle!$F$11,regle!$F$23,IF(AA89=regle!$G$11,regle!$G$23,IF(AA89=regle!$H$11,regle!$H$23,IF(AA89=regle!$I$11,regle!$I$23,IF(AA89=regle!$J$11,regle!$J$23,0)))))))))))</f>
        <v>0</v>
      </c>
      <c r="AL89" s="14">
        <f>IF($A89,$M89*(IF(AB89=regle!$B$11,regle!$B$23,IF(AB89=regle!$C$11,regle!$C$23,IF(AB89=regle!$D$11,regle!$D$23,IF(AB89=regle!$E$11,regle!$E$23,IF(AB89=regle!$F$11,regle!$F$23,IF(AB89=regle!$G$11,regle!$G$23,IF(AB89=regle!$H$11,regle!$H$23,IF(AB89=regle!$I$11,regle!$I$23,IF(AB89=regle!$J$11,regle!$J$23,0)))))))))))</f>
        <v>8200.0640000000003</v>
      </c>
      <c r="AM89" s="14">
        <f>IF($A89,$M89*(IF(AC89=regle!$B$11,regle!$B$23,IF(AC89=regle!$C$11,regle!$C$23,IF(AC89=regle!$D$11,regle!$D$23,IF(AC89=regle!$E$11,regle!$E$23,IF(AC89=regle!$F$11,regle!$F$23,IF(AC89=regle!$G$11,regle!$G$23,IF(AC89=regle!$H$11,regle!$H$23,IF(AC89=regle!$I$11,regle!$I$23,IF(AC89=regle!$J$11,regle!$J$23,0)))))))))))</f>
        <v>0</v>
      </c>
      <c r="AN89" s="14">
        <f>IF($A89,$M89*(IF(AD89=regle!$B$11,regle!$B$23,IF(AD89=regle!$C$11,regle!$C$23,IF(AD89=regle!$D$11,regle!$D$23,IF(AD89=regle!$E$11,regle!$E$23,IF(AD89=regle!$F$11,regle!$F$23,IF(AD89=regle!$G$11,regle!$G$23,IF(AD89=regle!$H$11,regle!$H$23,IF(AD89=regle!$I$11,regle!$I$23,IF(AD89=regle!$J$11,regle!$J$23,0)))))))))))</f>
        <v>0</v>
      </c>
      <c r="AO89">
        <f>IF(AO$1=$AO$1,IF(regle!B$2-$Q89&gt;=regle!$J$12,-2,IF($S89,IF(regle!$B$2-$Q89&gt;=2,0,-1),regle!B$2-$Q89)),IF(AN89+1&gt;=regle!$J$12,-2,AN89+1))</f>
        <v>21</v>
      </c>
      <c r="AP89">
        <f>IF(AP$1=$AO$1,IF(regle!C$2-$Q89&gt;=regle!$J$12,-2,IF($S89,IF(regle!$B$2-$Q89&gt;=2,0,-1),regle!C$2-$Q89)),IF(AO89+1&gt;=regle!$J$12,-2,AO89+1))</f>
        <v>22</v>
      </c>
      <c r="AQ89">
        <f>IF(AQ$1=$AO$1,IF(regle!D$2-$Q89&gt;=regle!$J$12,-2,IF($S89,IF(regle!$B$2-$Q89&gt;=2,0,-1),regle!D$2-$Q89)),IF(AP89+1&gt;=regle!$J$12,-2,AP89+1))</f>
        <v>23</v>
      </c>
      <c r="AR89">
        <f>IF(AR$1=$AO$1,IF(regle!E$2-$Q89&gt;=regle!$J$12,-2,IF($S89,IF(regle!$B$2-$Q89&gt;=2,0,-1),regle!E$2-$Q89)),IF(AQ89+1&gt;=regle!$J$12,-2,AQ89+1))</f>
        <v>24</v>
      </c>
      <c r="AS89">
        <f>IF(AS$1=$AO$1,IF(regle!F$2-$Q89&gt;=regle!$J$12,-2,IF($S89,IF(regle!$B$2-$Q89&gt;=2,0,-1),regle!F$2-$Q89)),IF(AR89+1&gt;=regle!$J$12,-2,AR89+1))</f>
        <v>25</v>
      </c>
      <c r="AT89">
        <f>IF(AT$1=$AO$1,IF(regle!G$2-$Q89&gt;=regle!$J$12,-2,IF($S89,IF(regle!$B$2-$Q89&gt;=2,0,-1),regle!G$2-$Q89)),IF(AS89+1&gt;=regle!$J$12,-2,AS89+1))</f>
        <v>26</v>
      </c>
      <c r="AU89">
        <f>IF(AU$1=$AO$1,IF(regle!H$2-$Q89&gt;=regle!$J$12,-2,IF($S89,IF(regle!$B$2-$Q89&gt;=2,0,-1),regle!H$2-$Q89)),IF(AT89+1&gt;=regle!$J$12,-2,AT89+1))</f>
        <v>27</v>
      </c>
      <c r="AV89">
        <f>IF(AV$1=$AO$1,IF(regle!I$2-$Q89&gt;=regle!$J$12,-2,IF($S89,IF(regle!$B$2-$Q89&gt;=2,0,-1),regle!I$2-$Q89)),IF(AU89+1&gt;=regle!$J$12,-2,AU89+1))</f>
        <v>28</v>
      </c>
      <c r="AW89">
        <f>IF(AW$1=$AO$1,IF(regle!J$2-$Q89&gt;=regle!$J$12,-2,IF($S89,IF(regle!$B$2-$Q89&gt;=2,0,-1),regle!J$2-$Q89)),IF(AV89+1&gt;=regle!$J$12,-2,AV89+1))</f>
        <v>29</v>
      </c>
      <c r="AX89">
        <f>IF(AX$1=$AO$1,IF(regle!K$2-$Q89&gt;=regle!$J$12,-2,IF($S89,IF(regle!$B$2-$Q89&gt;=2,0,-1),regle!K$2-$Q89)),IF(AW89+1&gt;=regle!$J$12,-2,AW89+1))</f>
        <v>30</v>
      </c>
    </row>
    <row r="90" spans="1:50" x14ac:dyDescent="0.25">
      <c r="A90" t="b">
        <f>AND(modif0[[#This Row],[cdstr]]&lt;&gt;0,OR(regle!$H$27=FALSE,modif0[[#This Row],[essnc]]="PM"))</f>
        <v>1</v>
      </c>
      <c r="B90">
        <f>ROW(objet!A114)</f>
        <v>114</v>
      </c>
      <c r="C90" s="10" t="str">
        <f>objet!D114</f>
        <v>5360000A0847</v>
      </c>
      <c r="D90" t="str">
        <f>LEFT(modif0[[#This Row],[cdstr]],3)</f>
        <v>536</v>
      </c>
      <c r="E90" s="10" t="str">
        <f>objet!G114</f>
        <v>LE TUZAN</v>
      </c>
      <c r="F90">
        <f>LEN(modif0[[#This Row],[l_dt]])</f>
        <v>21</v>
      </c>
      <c r="G90" s="10" t="str">
        <f>objet!H114</f>
        <v>METAIRIES DE TABARTON</v>
      </c>
      <c r="H90" s="10" t="str">
        <f>objet!C114</f>
        <v>A847kj</v>
      </c>
      <c r="I90" t="str">
        <f>IF(ISNUMBER(VALUE(RIGHT(LEFT(modif0[[#This Row],[idntfn]],2),1))),_xlfn.CONCAT(0,LEFT(modif0[[#This Row],[idntfn]],1)),LEFT(modif0[[#This Row],[idntfn]],2))</f>
        <v>0A</v>
      </c>
      <c r="J90">
        <f>VALUE(LEFT(RIGHT(modif0[[#This Row],[idntfn]],LEN(modif0[[#This Row],[idntfn]])-IF(LEFT(modif0[[#This Row],[sctn]],1)="0",1,2)),LEN(modif0[[#This Row],[idntfn]])-IF(LEFT(modif0[[#This Row],[sctn]],1)="0",1,2)-LEN(modif0[[#This Row],[lttr]])))</f>
        <v>847</v>
      </c>
      <c r="K90" t="str">
        <f>IF(ISNUMBER(VALUE(RIGHT(modif0[[#This Row],[idntfn]],1))),"",IF(ISNUMBER(VALUE(LEFT(RIGHT(modif0[[#This Row],[idntfn]],2),1))),RIGHT(modif0[[#This Row],[idntfn]],1),RIGHT(modif0[[#This Row],[idntfn]],2)))</f>
        <v>kj</v>
      </c>
      <c r="L90" s="10">
        <f>objet!I114</f>
        <v>20122</v>
      </c>
      <c r="M90" s="11">
        <f>modif0[[#This Row],[srfc]]/10000</f>
        <v>2.0122</v>
      </c>
      <c r="N90" s="10" t="str">
        <f>objet!Z114</f>
        <v>PM</v>
      </c>
      <c r="O90" s="10" t="str">
        <f>objet!AA114</f>
        <v>PLA2005</v>
      </c>
      <c r="P90" t="str">
        <f>IF(ISNUMBER(modif0[[#This Row],[trvx]]),"",LEFT(modif0[[#This Row],[trvx]],LEN(modif0[[#This Row],[trvx]])-4))</f>
        <v>PLA</v>
      </c>
      <c r="Q90">
        <f>VALUE(RIGHT(modif0[[#This Row],[trvx]],4))</f>
        <v>2005</v>
      </c>
      <c r="R90" t="str">
        <f>_xlfn.CONCAT(modif0[[#This Row],[tp]],"-",modif0[[#This Row],[essnc]],"_",modif0[[#This Row],[anns]])</f>
        <v>PLA-PM_2005</v>
      </c>
      <c r="S90" t="b">
        <f>modif0[[#This Row],[tp]]="CR"</f>
        <v>0</v>
      </c>
      <c r="T90">
        <v>40</v>
      </c>
      <c r="U90" t="str">
        <f>IF(NOT($A90),"",
IF(AO90=-2,regle!$J$11,
IF(AO90=regle!$B$12,regle!$B$11,
IF(AO90=regle!$C$12,regle!$C$11,
IF(AO90=regle!$D$12,regle!$D$11,
IF(AO90=regle!$E$12,regle!$E$11,
IF(AO90=regle!$F$12,regle!$F$11,
IF(AO90=regle!$G$12,regle!$G$11,
IF(AO90=regle!$H$12,regle!$H$11,
IF(AO90=regle!$I$12,regle!$I$11,""))))))))))</f>
        <v/>
      </c>
      <c r="V90" t="str">
        <f>IF(NOT($A90),"",
IF(AP90=-2,regle!$J$11,
IF(AP90=regle!$B$12,regle!$B$11,
IF(AP90=regle!$C$12,regle!$C$11,
IF(AP90=regle!$D$12,regle!$D$11,
IF(AP90=regle!$E$12,regle!$E$11,
IF(AP90=regle!$F$12,regle!$F$11,
IF(AP90=regle!$G$12,regle!$G$11,
IF(AP90=regle!$H$12,regle!$H$11,
IF(AP90=regle!$I$12,regle!$I$11,""))))))))))</f>
        <v/>
      </c>
      <c r="W90" t="str">
        <f>IF(NOT($A90),"",
IF(AQ90=-2,regle!$J$11,
IF(AQ90=regle!$B$12,regle!$B$11,
IF(AQ90=regle!$C$12,regle!$C$11,
IF(AQ90=regle!$D$12,regle!$D$11,
IF(AQ90=regle!$E$12,regle!$E$11,
IF(AQ90=regle!$F$12,regle!$F$11,
IF(AQ90=regle!$G$12,regle!$G$11,
IF(AQ90=regle!$H$12,regle!$H$11,
IF(AQ90=regle!$I$12,regle!$I$11,""))))))))))</f>
        <v/>
      </c>
      <c r="X90" t="str">
        <f>IF(NOT($A90),"",
IF(AR90=-2,regle!$J$11,
IF(AR90=regle!$B$12,regle!$B$11,
IF(AR90=regle!$C$12,regle!$C$11,
IF(AR90=regle!$D$12,regle!$D$11,
IF(AR90=regle!$E$12,regle!$E$11,
IF(AR90=regle!$F$12,regle!$F$11,
IF(AR90=regle!$G$12,regle!$G$11,
IF(AR90=regle!$H$12,regle!$H$11,
IF(AR90=regle!$I$12,regle!$I$11,""))))))))))</f>
        <v/>
      </c>
      <c r="Y90" t="str">
        <f>IF(NOT($A90),"",
IF(AS90=-2,regle!$J$11,
IF(AS90=regle!$B$12,regle!$B$11,
IF(AS90=regle!$C$12,regle!$C$11,
IF(AS90=regle!$D$12,regle!$D$11,
IF(AS90=regle!$E$12,regle!$E$11,
IF(AS90=regle!$F$12,regle!$F$11,
IF(AS90=regle!$G$12,regle!$G$11,
IF(AS90=regle!$H$12,regle!$H$11,
IF(AS90=regle!$I$12,regle!$I$11,""))))))))))</f>
        <v>EC3</v>
      </c>
      <c r="Z90" t="str">
        <f>IF(NOT($A90),"",
IF(AT90=-2,regle!$J$11,
IF(AT90=regle!$B$12,regle!$B$11,
IF(AT90=regle!$C$12,regle!$C$11,
IF(AT90=regle!$D$12,regle!$D$11,
IF(AT90=regle!$E$12,regle!$E$11,
IF(AT90=regle!$F$12,regle!$F$11,
IF(AT90=regle!$G$12,regle!$G$11,
IF(AT90=regle!$H$12,regle!$H$11,
IF(AT90=regle!$I$12,regle!$I$11,""))))))))))</f>
        <v/>
      </c>
      <c r="AA90" t="str">
        <f>IF(NOT($A90),"",
IF(AU90=-2,regle!$J$11,
IF(AU90=regle!$B$12,regle!$B$11,
IF(AU90=regle!$C$12,regle!$C$11,
IF(AU90=regle!$D$12,regle!$D$11,
IF(AU90=regle!$E$12,regle!$E$11,
IF(AU90=regle!$F$12,regle!$F$11,
IF(AU90=regle!$G$12,regle!$G$11,
IF(AU90=regle!$H$12,regle!$H$11,
IF(AU90=regle!$I$12,regle!$I$11,""))))))))))</f>
        <v/>
      </c>
      <c r="AB90" t="str">
        <f>IF(NOT($A90),"",
IF(AV90=-2,regle!$J$11,
IF(AV90=regle!$B$12,regle!$B$11,
IF(AV90=regle!$C$12,regle!$C$11,
IF(AV90=regle!$D$12,regle!$D$11,
IF(AV90=regle!$E$12,regle!$E$11,
IF(AV90=regle!$F$12,regle!$F$11,
IF(AV90=regle!$G$12,regle!$G$11,
IF(AV90=regle!$H$12,regle!$H$11,
IF(AV90=regle!$I$12,regle!$I$11,""))))))))))</f>
        <v/>
      </c>
      <c r="AC90" t="str">
        <f>IF(NOT($A90),"",
IF(AW90=-2,regle!$J$11,
IF(AW90=regle!$B$12,regle!$B$11,
IF(AW90=regle!$C$12,regle!$C$11,
IF(AW90=regle!$D$12,regle!$D$11,
IF(AW90=regle!$E$12,regle!$E$11,
IF(AW90=regle!$F$12,regle!$F$11,
IF(AW90=regle!$G$12,regle!$G$11,
IF(AW90=regle!$H$12,regle!$H$11,
IF(AW90=regle!$I$12,regle!$I$11,""))))))))))</f>
        <v/>
      </c>
      <c r="AD90" t="str">
        <f>IF(NOT($A90),"",
IF(AX90=-2,regle!$J$11,
IF(AX90=regle!$B$12,regle!$B$11,
IF(AX90=regle!$C$12,regle!$C$11,
IF(AX90=regle!$D$12,regle!$D$11,
IF(AX90=regle!$E$12,regle!$E$11,
IF(AX90=regle!$F$12,regle!$F$11,
IF(AX90=regle!$G$12,regle!$G$11,
IF(AX90=regle!$H$12,regle!$H$11,
IF(AX90=regle!$I$12,regle!$I$11,""))))))))))</f>
        <v>EC4</v>
      </c>
      <c r="AE90" s="14">
        <f>IF($A90,$M90*(IF(U90=regle!$B$11,regle!$B$23,IF(U90=regle!$C$11,regle!$C$23,IF(U90=regle!$D$11,regle!$D$23,IF(U90=regle!$E$11,regle!$E$23,IF(U90=regle!$F$11,regle!$F$23,IF(U90=regle!$G$11,regle!$G$23,IF(U90=regle!$H$11,regle!$H$23,IF(U90=regle!$I$11,regle!$I$23,IF(U90=regle!$J$11,regle!$J$23,0)))))))))))</f>
        <v>0</v>
      </c>
      <c r="AF90" s="14">
        <f>IF($A90,$M90*(IF(V90=regle!$B$11,regle!$B$23,IF(V90=regle!$C$11,regle!$C$23,IF(V90=regle!$D$11,regle!$D$23,IF(V90=regle!$E$11,regle!$E$23,IF(V90=regle!$F$11,regle!$F$23,IF(V90=regle!$G$11,regle!$G$23,IF(V90=regle!$H$11,regle!$H$23,IF(V90=regle!$I$11,regle!$I$23,IF(V90=regle!$J$11,regle!$J$23,0)))))))))))</f>
        <v>0</v>
      </c>
      <c r="AG90" s="14">
        <f>IF($A90,$M90*(IF(W90=regle!$B$11,regle!$B$23,IF(W90=regle!$C$11,regle!$C$23,IF(W90=regle!$D$11,regle!$D$23,IF(W90=regle!$E$11,regle!$E$23,IF(W90=regle!$F$11,regle!$F$23,IF(W90=regle!$G$11,regle!$G$23,IF(W90=regle!$H$11,regle!$H$23,IF(W90=regle!$I$11,regle!$I$23,IF(W90=regle!$J$11,regle!$J$23,0)))))))))))</f>
        <v>0</v>
      </c>
      <c r="AH90" s="14">
        <f>IF($A90,$M90*(IF(X90=regle!$B$11,regle!$B$23,IF(X90=regle!$C$11,regle!$C$23,IF(X90=regle!$D$11,regle!$D$23,IF(X90=regle!$E$11,regle!$E$23,IF(X90=regle!$F$11,regle!$F$23,IF(X90=regle!$G$11,regle!$G$23,IF(X90=regle!$H$11,regle!$H$23,IF(X90=regle!$I$11,regle!$I$23,IF(X90=regle!$J$11,regle!$J$23,0)))))))))))</f>
        <v>0</v>
      </c>
      <c r="AI90" s="14">
        <f>IF($A90,$M90*(IF(Y90=regle!$B$11,regle!$B$23,IF(Y90=regle!$C$11,regle!$C$23,IF(Y90=regle!$D$11,regle!$D$23,IF(Y90=regle!$E$11,regle!$E$23,IF(Y90=regle!$F$11,regle!$F$23,IF(Y90=regle!$G$11,regle!$G$23,IF(Y90=regle!$H$11,regle!$H$23,IF(Y90=regle!$I$11,regle!$I$23,IF(Y90=regle!$J$11,regle!$J$23,0)))))))))))</f>
        <v>2833.1776</v>
      </c>
      <c r="AJ90" s="14">
        <f>IF($A90,$M90*(IF(Z90=regle!$B$11,regle!$B$23,IF(Z90=regle!$C$11,regle!$C$23,IF(Z90=regle!$D$11,regle!$D$23,IF(Z90=regle!$E$11,regle!$E$23,IF(Z90=regle!$F$11,regle!$F$23,IF(Z90=regle!$G$11,regle!$G$23,IF(Z90=regle!$H$11,regle!$H$23,IF(Z90=regle!$I$11,regle!$I$23,IF(Z90=regle!$J$11,regle!$J$23,0)))))))))))</f>
        <v>0</v>
      </c>
      <c r="AK90" s="14">
        <f>IF($A90,$M90*(IF(AA90=regle!$B$11,regle!$B$23,IF(AA90=regle!$C$11,regle!$C$23,IF(AA90=regle!$D$11,regle!$D$23,IF(AA90=regle!$E$11,regle!$E$23,IF(AA90=regle!$F$11,regle!$F$23,IF(AA90=regle!$G$11,regle!$G$23,IF(AA90=regle!$H$11,regle!$H$23,IF(AA90=regle!$I$11,regle!$I$23,IF(AA90=regle!$J$11,regle!$J$23,0)))))))))))</f>
        <v>0</v>
      </c>
      <c r="AL90" s="14">
        <f>IF($A90,$M90*(IF(AB90=regle!$B$11,regle!$B$23,IF(AB90=regle!$C$11,regle!$C$23,IF(AB90=regle!$D$11,regle!$D$23,IF(AB90=regle!$E$11,regle!$E$23,IF(AB90=regle!$F$11,regle!$F$23,IF(AB90=regle!$G$11,regle!$G$23,IF(AB90=regle!$H$11,regle!$H$23,IF(AB90=regle!$I$11,regle!$I$23,IF(AB90=regle!$J$11,regle!$J$23,0)))))))))))</f>
        <v>0</v>
      </c>
      <c r="AM90" s="14">
        <f>IF($A90,$M90*(IF(AC90=regle!$B$11,regle!$B$23,IF(AC90=regle!$C$11,regle!$C$23,IF(AC90=regle!$D$11,regle!$D$23,IF(AC90=regle!$E$11,regle!$E$23,IF(AC90=regle!$F$11,regle!$F$23,IF(AC90=regle!$G$11,regle!$G$23,IF(AC90=regle!$H$11,regle!$H$23,IF(AC90=regle!$I$11,regle!$I$23,IF(AC90=regle!$J$11,regle!$J$23,0)))))))))))</f>
        <v>0</v>
      </c>
      <c r="AN90" s="14">
        <f>IF($A90,$M90*(IF(AD90=regle!$B$11,regle!$B$23,IF(AD90=regle!$C$11,regle!$C$23,IF(AD90=regle!$D$11,regle!$D$23,IF(AD90=regle!$E$11,regle!$E$23,IF(AD90=regle!$F$11,regle!$F$23,IF(AD90=regle!$G$11,regle!$G$23,IF(AD90=regle!$H$11,regle!$H$23,IF(AD90=regle!$I$11,regle!$I$23,IF(AD90=regle!$J$11,regle!$J$23,0)))))))))))</f>
        <v>2575.616</v>
      </c>
      <c r="AO90">
        <f>IF(AO$1=$AO$1,IF(regle!B$2-$Q90&gt;=regle!$J$12,-2,IF($S90,IF(regle!$B$2-$Q90&gt;=2,0,-1),regle!B$2-$Q90)),IF(AN90+1&gt;=regle!$J$12,-2,AN90+1))</f>
        <v>19</v>
      </c>
      <c r="AP90">
        <f>IF(AP$1=$AO$1,IF(regle!C$2-$Q90&gt;=regle!$J$12,-2,IF($S90,IF(regle!$B$2-$Q90&gt;=2,0,-1),regle!C$2-$Q90)),IF(AO90+1&gt;=regle!$J$12,-2,AO90+1))</f>
        <v>20</v>
      </c>
      <c r="AQ90">
        <f>IF(AQ$1=$AO$1,IF(regle!D$2-$Q90&gt;=regle!$J$12,-2,IF($S90,IF(regle!$B$2-$Q90&gt;=2,0,-1),regle!D$2-$Q90)),IF(AP90+1&gt;=regle!$J$12,-2,AP90+1))</f>
        <v>21</v>
      </c>
      <c r="AR90">
        <f>IF(AR$1=$AO$1,IF(regle!E$2-$Q90&gt;=regle!$J$12,-2,IF($S90,IF(regle!$B$2-$Q90&gt;=2,0,-1),regle!E$2-$Q90)),IF(AQ90+1&gt;=regle!$J$12,-2,AQ90+1))</f>
        <v>22</v>
      </c>
      <c r="AS90">
        <f>IF(AS$1=$AO$1,IF(regle!F$2-$Q90&gt;=regle!$J$12,-2,IF($S90,IF(regle!$B$2-$Q90&gt;=2,0,-1),regle!F$2-$Q90)),IF(AR90+1&gt;=regle!$J$12,-2,AR90+1))</f>
        <v>23</v>
      </c>
      <c r="AT90">
        <f>IF(AT$1=$AO$1,IF(regle!G$2-$Q90&gt;=regle!$J$12,-2,IF($S90,IF(regle!$B$2-$Q90&gt;=2,0,-1),regle!G$2-$Q90)),IF(AS90+1&gt;=regle!$J$12,-2,AS90+1))</f>
        <v>24</v>
      </c>
      <c r="AU90">
        <f>IF(AU$1=$AO$1,IF(regle!H$2-$Q90&gt;=regle!$J$12,-2,IF($S90,IF(regle!$B$2-$Q90&gt;=2,0,-1),regle!H$2-$Q90)),IF(AT90+1&gt;=regle!$J$12,-2,AT90+1))</f>
        <v>25</v>
      </c>
      <c r="AV90">
        <f>IF(AV$1=$AO$1,IF(regle!I$2-$Q90&gt;=regle!$J$12,-2,IF($S90,IF(regle!$B$2-$Q90&gt;=2,0,-1),regle!I$2-$Q90)),IF(AU90+1&gt;=regle!$J$12,-2,AU90+1))</f>
        <v>26</v>
      </c>
      <c r="AW90">
        <f>IF(AW$1=$AO$1,IF(regle!J$2-$Q90&gt;=regle!$J$12,-2,IF($S90,IF(regle!$B$2-$Q90&gt;=2,0,-1),regle!J$2-$Q90)),IF(AV90+1&gt;=regle!$J$12,-2,AV90+1))</f>
        <v>27</v>
      </c>
      <c r="AX90">
        <f>IF(AX$1=$AO$1,IF(regle!K$2-$Q90&gt;=regle!$J$12,-2,IF($S90,IF(regle!$B$2-$Q90&gt;=2,0,-1),regle!K$2-$Q90)),IF(AW90+1&gt;=regle!$J$12,-2,AW90+1))</f>
        <v>28</v>
      </c>
    </row>
    <row r="91" spans="1:50" x14ac:dyDescent="0.25">
      <c r="A91" t="b">
        <f>AND(modif0[[#This Row],[cdstr]]&lt;&gt;0,OR(regle!$H$27=FALSE,modif0[[#This Row],[essnc]]="PM"))</f>
        <v>1</v>
      </c>
      <c r="B91">
        <f>ROW(objet!A116)</f>
        <v>116</v>
      </c>
      <c r="C91" s="10" t="str">
        <f>objet!D116</f>
        <v>5360000A0847</v>
      </c>
      <c r="D91" t="str">
        <f>LEFT(modif0[[#This Row],[cdstr]],3)</f>
        <v>536</v>
      </c>
      <c r="E91" s="10" t="str">
        <f>objet!G116</f>
        <v>LE TUZAN</v>
      </c>
      <c r="F91">
        <f>LEN(modif0[[#This Row],[l_dt]])</f>
        <v>21</v>
      </c>
      <c r="G91" s="10" t="str">
        <f>objet!H116</f>
        <v>METAIRIES DE TABARTON</v>
      </c>
      <c r="H91" s="10" t="str">
        <f>objet!C116</f>
        <v>A847m</v>
      </c>
      <c r="I91" t="str">
        <f>IF(ISNUMBER(VALUE(RIGHT(LEFT(modif0[[#This Row],[idntfn]],2),1))),_xlfn.CONCAT(0,LEFT(modif0[[#This Row],[idntfn]],1)),LEFT(modif0[[#This Row],[idntfn]],2))</f>
        <v>0A</v>
      </c>
      <c r="J91">
        <f>VALUE(LEFT(RIGHT(modif0[[#This Row],[idntfn]],LEN(modif0[[#This Row],[idntfn]])-IF(LEFT(modif0[[#This Row],[sctn]],1)="0",1,2)),LEN(modif0[[#This Row],[idntfn]])-IF(LEFT(modif0[[#This Row],[sctn]],1)="0",1,2)-LEN(modif0[[#This Row],[lttr]])))</f>
        <v>847</v>
      </c>
      <c r="K91" t="str">
        <f>IF(ISNUMBER(VALUE(RIGHT(modif0[[#This Row],[idntfn]],1))),"",IF(ISNUMBER(VALUE(LEFT(RIGHT(modif0[[#This Row],[idntfn]],2),1))),RIGHT(modif0[[#This Row],[idntfn]],1),RIGHT(modif0[[#This Row],[idntfn]],2)))</f>
        <v>m</v>
      </c>
      <c r="L91" s="10">
        <f>objet!I116</f>
        <v>3906</v>
      </c>
      <c r="M91" s="11">
        <f>modif0[[#This Row],[srfc]]/10000</f>
        <v>0.3906</v>
      </c>
      <c r="N91" s="10" t="str">
        <f>objet!Z116</f>
        <v>PM</v>
      </c>
      <c r="O91" s="10" t="str">
        <f>objet!AA116</f>
        <v>PLA2015</v>
      </c>
      <c r="P91" t="str">
        <f>IF(ISNUMBER(modif0[[#This Row],[trvx]]),"",LEFT(modif0[[#This Row],[trvx]],LEN(modif0[[#This Row],[trvx]])-4))</f>
        <v>PLA</v>
      </c>
      <c r="Q91">
        <f>VALUE(RIGHT(modif0[[#This Row],[trvx]],4))</f>
        <v>2015</v>
      </c>
      <c r="R91" t="str">
        <f>_xlfn.CONCAT(modif0[[#This Row],[tp]],"-",modif0[[#This Row],[essnc]],"_",modif0[[#This Row],[anns]])</f>
        <v>PLA-PM_2015</v>
      </c>
      <c r="S91" t="b">
        <f>modif0[[#This Row],[tp]]="CR"</f>
        <v>0</v>
      </c>
      <c r="T91">
        <v>40</v>
      </c>
      <c r="U91" t="str">
        <f>IF(NOT($A91),"",
IF(AO91=-2,regle!$J$11,
IF(AO91=regle!$B$12,regle!$B$11,
IF(AO91=regle!$C$12,regle!$C$11,
IF(AO91=regle!$D$12,regle!$D$11,
IF(AO91=regle!$E$12,regle!$E$11,
IF(AO91=regle!$F$12,regle!$F$11,
IF(AO91=regle!$G$12,regle!$G$11,
IF(AO91=regle!$H$12,regle!$H$11,
IF(AO91=regle!$I$12,regle!$I$11,""))))))))))</f>
        <v/>
      </c>
      <c r="V91" t="str">
        <f>IF(NOT($A91),"",
IF(AP91=-2,regle!$J$11,
IF(AP91=regle!$B$12,regle!$B$11,
IF(AP91=regle!$C$12,regle!$C$11,
IF(AP91=regle!$D$12,regle!$D$11,
IF(AP91=regle!$E$12,regle!$E$11,
IF(AP91=regle!$F$12,regle!$F$11,
IF(AP91=regle!$G$12,regle!$G$11,
IF(AP91=regle!$H$12,regle!$H$11,
IF(AP91=regle!$I$12,regle!$I$11,""))))))))))</f>
        <v/>
      </c>
      <c r="W91" t="str">
        <f>IF(NOT($A91),"",
IF(AQ91=-2,regle!$J$11,
IF(AQ91=regle!$B$12,regle!$B$11,
IF(AQ91=regle!$C$12,regle!$C$11,
IF(AQ91=regle!$D$12,regle!$D$11,
IF(AQ91=regle!$E$12,regle!$E$11,
IF(AQ91=regle!$F$12,regle!$F$11,
IF(AQ91=regle!$G$12,regle!$G$11,
IF(AQ91=regle!$H$12,regle!$H$11,
IF(AQ91=regle!$I$12,regle!$I$11,""))))))))))</f>
        <v/>
      </c>
      <c r="X91" t="str">
        <f>IF(NOT($A91),"",
IF(AR91=-2,regle!$J$11,
IF(AR91=regle!$B$12,regle!$B$11,
IF(AR91=regle!$C$12,regle!$C$11,
IF(AR91=regle!$D$12,regle!$D$11,
IF(AR91=regle!$E$12,regle!$E$11,
IF(AR91=regle!$F$12,regle!$F$11,
IF(AR91=regle!$G$12,regle!$G$11,
IF(AR91=regle!$H$12,regle!$H$11,
IF(AR91=regle!$I$12,regle!$I$11,""))))))))))</f>
        <v/>
      </c>
      <c r="Y91" t="str">
        <f>IF(NOT($A91),"",
IF(AS91=-2,regle!$J$11,
IF(AS91=regle!$B$12,regle!$B$11,
IF(AS91=regle!$C$12,regle!$C$11,
IF(AS91=regle!$D$12,regle!$D$11,
IF(AS91=regle!$E$12,regle!$E$11,
IF(AS91=regle!$F$12,regle!$F$11,
IF(AS91=regle!$G$12,regle!$G$11,
IF(AS91=regle!$H$12,regle!$H$11,
IF(AS91=regle!$I$12,regle!$I$11,""))))))))))</f>
        <v>EC1</v>
      </c>
      <c r="Z91" t="str">
        <f>IF(NOT($A91),"",
IF(AT91=-2,regle!$J$11,
IF(AT91=regle!$B$12,regle!$B$11,
IF(AT91=regle!$C$12,regle!$C$11,
IF(AT91=regle!$D$12,regle!$D$11,
IF(AT91=regle!$E$12,regle!$E$11,
IF(AT91=regle!$F$12,regle!$F$11,
IF(AT91=regle!$G$12,regle!$G$11,
IF(AT91=regle!$H$12,regle!$H$11,
IF(AT91=regle!$I$12,regle!$I$11,""))))))))))</f>
        <v/>
      </c>
      <c r="AA91" t="str">
        <f>IF(NOT($A91),"",
IF(AU91=-2,regle!$J$11,
IF(AU91=regle!$B$12,regle!$B$11,
IF(AU91=regle!$C$12,regle!$C$11,
IF(AU91=regle!$D$12,regle!$D$11,
IF(AU91=regle!$E$12,regle!$E$11,
IF(AU91=regle!$F$12,regle!$F$11,
IF(AU91=regle!$G$12,regle!$G$11,
IF(AU91=regle!$H$12,regle!$H$11,
IF(AU91=regle!$I$12,regle!$I$11,""))))))))))</f>
        <v/>
      </c>
      <c r="AB91" t="str">
        <f>IF(NOT($A91),"",
IF(AV91=-2,regle!$J$11,
IF(AV91=regle!$B$12,regle!$B$11,
IF(AV91=regle!$C$12,regle!$C$11,
IF(AV91=regle!$D$12,regle!$D$11,
IF(AV91=regle!$E$12,regle!$E$11,
IF(AV91=regle!$F$12,regle!$F$11,
IF(AV91=regle!$G$12,regle!$G$11,
IF(AV91=regle!$H$12,regle!$H$11,
IF(AV91=regle!$I$12,regle!$I$11,""))))))))))</f>
        <v/>
      </c>
      <c r="AC91" t="str">
        <f>IF(NOT($A91),"",
IF(AW91=-2,regle!$J$11,
IF(AW91=regle!$B$12,regle!$B$11,
IF(AW91=regle!$C$12,regle!$C$11,
IF(AW91=regle!$D$12,regle!$D$11,
IF(AW91=regle!$E$12,regle!$E$11,
IF(AW91=regle!$F$12,regle!$F$11,
IF(AW91=regle!$G$12,regle!$G$11,
IF(AW91=regle!$H$12,regle!$H$11,
IF(AW91=regle!$I$12,regle!$I$11,""))))))))))</f>
        <v/>
      </c>
      <c r="AD91" t="str">
        <f>IF(NOT($A91),"",
IF(AX91=-2,regle!$J$11,
IF(AX91=regle!$B$12,regle!$B$11,
IF(AX91=regle!$C$12,regle!$C$11,
IF(AX91=regle!$D$12,regle!$D$11,
IF(AX91=regle!$E$12,regle!$E$11,
IF(AX91=regle!$F$12,regle!$F$11,
IF(AX91=regle!$G$12,regle!$G$11,
IF(AX91=regle!$H$12,regle!$H$11,
IF(AX91=regle!$I$12,regle!$I$11,""))))))))))</f>
        <v>EC2</v>
      </c>
      <c r="AE91" s="14">
        <f>IF($A91,$M91*(IF(U91=regle!$B$11,regle!$B$23,IF(U91=regle!$C$11,regle!$C$23,IF(U91=regle!$D$11,regle!$D$23,IF(U91=regle!$E$11,regle!$E$23,IF(U91=regle!$F$11,regle!$F$23,IF(U91=regle!$G$11,regle!$G$23,IF(U91=regle!$H$11,regle!$H$23,IF(U91=regle!$I$11,regle!$I$23,IF(U91=regle!$J$11,regle!$J$23,0)))))))))))</f>
        <v>0</v>
      </c>
      <c r="AF91" s="14">
        <f>IF($A91,$M91*(IF(V91=regle!$B$11,regle!$B$23,IF(V91=regle!$C$11,regle!$C$23,IF(V91=regle!$D$11,regle!$D$23,IF(V91=regle!$E$11,regle!$E$23,IF(V91=regle!$F$11,regle!$F$23,IF(V91=regle!$G$11,regle!$G$23,IF(V91=regle!$H$11,regle!$H$23,IF(V91=regle!$I$11,regle!$I$23,IF(V91=regle!$J$11,regle!$J$23,0)))))))))))</f>
        <v>0</v>
      </c>
      <c r="AG91" s="14">
        <f>IF($A91,$M91*(IF(W91=regle!$B$11,regle!$B$23,IF(W91=regle!$C$11,regle!$C$23,IF(W91=regle!$D$11,regle!$D$23,IF(W91=regle!$E$11,regle!$E$23,IF(W91=regle!$F$11,regle!$F$23,IF(W91=regle!$G$11,regle!$G$23,IF(W91=regle!$H$11,regle!$H$23,IF(W91=regle!$I$11,regle!$I$23,IF(W91=regle!$J$11,regle!$J$23,0)))))))))))</f>
        <v>0</v>
      </c>
      <c r="AH91" s="14">
        <f>IF($A91,$M91*(IF(X91=regle!$B$11,regle!$B$23,IF(X91=regle!$C$11,regle!$C$23,IF(X91=regle!$D$11,regle!$D$23,IF(X91=regle!$E$11,regle!$E$23,IF(X91=regle!$F$11,regle!$F$23,IF(X91=regle!$G$11,regle!$G$23,IF(X91=regle!$H$11,regle!$H$23,IF(X91=regle!$I$11,regle!$I$23,IF(X91=regle!$J$11,regle!$J$23,0)))))))))))</f>
        <v>0</v>
      </c>
      <c r="AI91" s="14">
        <f>IF($A91,$M91*(IF(Y91=regle!$B$11,regle!$B$23,IF(Y91=regle!$C$11,regle!$C$23,IF(Y91=regle!$D$11,regle!$D$23,IF(Y91=regle!$E$11,regle!$E$23,IF(Y91=regle!$F$11,regle!$F$23,IF(Y91=regle!$G$11,regle!$G$23,IF(Y91=regle!$H$11,regle!$H$23,IF(Y91=regle!$I$11,regle!$I$23,IF(Y91=regle!$J$11,regle!$J$23,0)))))))))))</f>
        <v>224.98560000000001</v>
      </c>
      <c r="AJ91" s="14">
        <f>IF($A91,$M91*(IF(Z91=regle!$B$11,regle!$B$23,IF(Z91=regle!$C$11,regle!$C$23,IF(Z91=regle!$D$11,regle!$D$23,IF(Z91=regle!$E$11,regle!$E$23,IF(Z91=regle!$F$11,regle!$F$23,IF(Z91=regle!$G$11,regle!$G$23,IF(Z91=regle!$H$11,regle!$H$23,IF(Z91=regle!$I$11,regle!$I$23,IF(Z91=regle!$J$11,regle!$J$23,0)))))))))))</f>
        <v>0</v>
      </c>
      <c r="AK91" s="14">
        <f>IF($A91,$M91*(IF(AA91=regle!$B$11,regle!$B$23,IF(AA91=regle!$C$11,regle!$C$23,IF(AA91=regle!$D$11,regle!$D$23,IF(AA91=regle!$E$11,regle!$E$23,IF(AA91=regle!$F$11,regle!$F$23,IF(AA91=regle!$G$11,regle!$G$23,IF(AA91=regle!$H$11,regle!$H$23,IF(AA91=regle!$I$11,regle!$I$23,IF(AA91=regle!$J$11,regle!$J$23,0)))))))))))</f>
        <v>0</v>
      </c>
      <c r="AL91" s="14">
        <f>IF($A91,$M91*(IF(AB91=regle!$B$11,regle!$B$23,IF(AB91=regle!$C$11,regle!$C$23,IF(AB91=regle!$D$11,regle!$D$23,IF(AB91=regle!$E$11,regle!$E$23,IF(AB91=regle!$F$11,regle!$F$23,IF(AB91=regle!$G$11,regle!$G$23,IF(AB91=regle!$H$11,regle!$H$23,IF(AB91=regle!$I$11,regle!$I$23,IF(AB91=regle!$J$11,regle!$J$23,0)))))))))))</f>
        <v>0</v>
      </c>
      <c r="AM91" s="14">
        <f>IF($A91,$M91*(IF(AC91=regle!$B$11,regle!$B$23,IF(AC91=regle!$C$11,regle!$C$23,IF(AC91=regle!$D$11,regle!$D$23,IF(AC91=regle!$E$11,regle!$E$23,IF(AC91=regle!$F$11,regle!$F$23,IF(AC91=regle!$G$11,regle!$G$23,IF(AC91=regle!$H$11,regle!$H$23,IF(AC91=regle!$I$11,regle!$I$23,IF(AC91=regle!$J$11,regle!$J$23,0)))))))))))</f>
        <v>0</v>
      </c>
      <c r="AN91" s="14">
        <f>IF($A91,$M91*(IF(AD91=regle!$B$11,regle!$B$23,IF(AD91=regle!$C$11,regle!$C$23,IF(AD91=regle!$D$11,regle!$D$23,IF(AD91=regle!$E$11,regle!$E$23,IF(AD91=regle!$F$11,regle!$F$23,IF(AD91=regle!$G$11,regle!$G$23,IF(AD91=regle!$H$11,regle!$H$23,IF(AD91=regle!$I$11,regle!$I$23,IF(AD91=regle!$J$11,regle!$J$23,0)))))))))))</f>
        <v>328.10399999999998</v>
      </c>
      <c r="AO91">
        <f>IF(AO$1=$AO$1,IF(regle!B$2-$Q91&gt;=regle!$J$12,-2,IF($S91,IF(regle!$B$2-$Q91&gt;=2,0,-1),regle!B$2-$Q91)),IF(AN91+1&gt;=regle!$J$12,-2,AN91+1))</f>
        <v>9</v>
      </c>
      <c r="AP91">
        <f>IF(AP$1=$AO$1,IF(regle!C$2-$Q91&gt;=regle!$J$12,-2,IF($S91,IF(regle!$B$2-$Q91&gt;=2,0,-1),regle!C$2-$Q91)),IF(AO91+1&gt;=regle!$J$12,-2,AO91+1))</f>
        <v>10</v>
      </c>
      <c r="AQ91">
        <f>IF(AQ$1=$AO$1,IF(regle!D$2-$Q91&gt;=regle!$J$12,-2,IF($S91,IF(regle!$B$2-$Q91&gt;=2,0,-1),regle!D$2-$Q91)),IF(AP91+1&gt;=regle!$J$12,-2,AP91+1))</f>
        <v>11</v>
      </c>
      <c r="AR91">
        <f>IF(AR$1=$AO$1,IF(regle!E$2-$Q91&gt;=regle!$J$12,-2,IF($S91,IF(regle!$B$2-$Q91&gt;=2,0,-1),regle!E$2-$Q91)),IF(AQ91+1&gt;=regle!$J$12,-2,AQ91+1))</f>
        <v>12</v>
      </c>
      <c r="AS91">
        <f>IF(AS$1=$AO$1,IF(regle!F$2-$Q91&gt;=regle!$J$12,-2,IF($S91,IF(regle!$B$2-$Q91&gt;=2,0,-1),regle!F$2-$Q91)),IF(AR91+1&gt;=regle!$J$12,-2,AR91+1))</f>
        <v>13</v>
      </c>
      <c r="AT91">
        <f>IF(AT$1=$AO$1,IF(regle!G$2-$Q91&gt;=regle!$J$12,-2,IF($S91,IF(regle!$B$2-$Q91&gt;=2,0,-1),regle!G$2-$Q91)),IF(AS91+1&gt;=regle!$J$12,-2,AS91+1))</f>
        <v>14</v>
      </c>
      <c r="AU91">
        <f>IF(AU$1=$AO$1,IF(regle!H$2-$Q91&gt;=regle!$J$12,-2,IF($S91,IF(regle!$B$2-$Q91&gt;=2,0,-1),regle!H$2-$Q91)),IF(AT91+1&gt;=regle!$J$12,-2,AT91+1))</f>
        <v>15</v>
      </c>
      <c r="AV91">
        <f>IF(AV$1=$AO$1,IF(regle!I$2-$Q91&gt;=regle!$J$12,-2,IF($S91,IF(regle!$B$2-$Q91&gt;=2,0,-1),regle!I$2-$Q91)),IF(AU91+1&gt;=regle!$J$12,-2,AU91+1))</f>
        <v>16</v>
      </c>
      <c r="AW91">
        <f>IF(AW$1=$AO$1,IF(regle!J$2-$Q91&gt;=regle!$J$12,-2,IF($S91,IF(regle!$B$2-$Q91&gt;=2,0,-1),regle!J$2-$Q91)),IF(AV91+1&gt;=regle!$J$12,-2,AV91+1))</f>
        <v>17</v>
      </c>
      <c r="AX91">
        <f>IF(AX$1=$AO$1,IF(regle!K$2-$Q91&gt;=regle!$J$12,-2,IF($S91,IF(regle!$B$2-$Q91&gt;=2,0,-1),regle!K$2-$Q91)),IF(AW91+1&gt;=regle!$J$12,-2,AW91+1))</f>
        <v>18</v>
      </c>
    </row>
    <row r="92" spans="1:50" x14ac:dyDescent="0.25">
      <c r="A92" t="b">
        <f>AND(modif0[[#This Row],[cdstr]]&lt;&gt;0,OR(regle!$H$27=FALSE,modif0[[#This Row],[essnc]]="PM"))</f>
        <v>1</v>
      </c>
      <c r="B92">
        <f>ROW(objet!A117)</f>
        <v>117</v>
      </c>
      <c r="C92" s="10" t="str">
        <f>objet!D117</f>
        <v>5360000A0848</v>
      </c>
      <c r="D92" t="str">
        <f>LEFT(modif0[[#This Row],[cdstr]],3)</f>
        <v>536</v>
      </c>
      <c r="E92" s="10" t="str">
        <f>objet!G117</f>
        <v>LE TUZAN</v>
      </c>
      <c r="F92">
        <f>LEN(modif0[[#This Row],[l_dt]])</f>
        <v>21</v>
      </c>
      <c r="G92" s="10" t="str">
        <f>objet!H117</f>
        <v>METAIRIES DE TABARTON</v>
      </c>
      <c r="H92" s="10" t="str">
        <f>objet!C117</f>
        <v>A848j</v>
      </c>
      <c r="I92" t="str">
        <f>IF(ISNUMBER(VALUE(RIGHT(LEFT(modif0[[#This Row],[idntfn]],2),1))),_xlfn.CONCAT(0,LEFT(modif0[[#This Row],[idntfn]],1)),LEFT(modif0[[#This Row],[idntfn]],2))</f>
        <v>0A</v>
      </c>
      <c r="J92">
        <f>VALUE(LEFT(RIGHT(modif0[[#This Row],[idntfn]],LEN(modif0[[#This Row],[idntfn]])-IF(LEFT(modif0[[#This Row],[sctn]],1)="0",1,2)),LEN(modif0[[#This Row],[idntfn]])-IF(LEFT(modif0[[#This Row],[sctn]],1)="0",1,2)-LEN(modif0[[#This Row],[lttr]])))</f>
        <v>848</v>
      </c>
      <c r="K92" t="str">
        <f>IF(ISNUMBER(VALUE(RIGHT(modif0[[#This Row],[idntfn]],1))),"",IF(ISNUMBER(VALUE(LEFT(RIGHT(modif0[[#This Row],[idntfn]],2),1))),RIGHT(modif0[[#This Row],[idntfn]],1),RIGHT(modif0[[#This Row],[idntfn]],2)))</f>
        <v>j</v>
      </c>
      <c r="L92" s="10">
        <f>objet!I117</f>
        <v>2114</v>
      </c>
      <c r="M92" s="11">
        <f>modif0[[#This Row],[srfc]]/10000</f>
        <v>0.2114</v>
      </c>
      <c r="N92" s="10" t="str">
        <f>objet!Z117</f>
        <v>PM</v>
      </c>
      <c r="O92" s="10" t="str">
        <f>objet!AA117</f>
        <v>PLA2015</v>
      </c>
      <c r="P92" t="str">
        <f>IF(ISNUMBER(modif0[[#This Row],[trvx]]),"",LEFT(modif0[[#This Row],[trvx]],LEN(modif0[[#This Row],[trvx]])-4))</f>
        <v>PLA</v>
      </c>
      <c r="Q92">
        <f>VALUE(RIGHT(modif0[[#This Row],[trvx]],4))</f>
        <v>2015</v>
      </c>
      <c r="R92" t="str">
        <f>_xlfn.CONCAT(modif0[[#This Row],[tp]],"-",modif0[[#This Row],[essnc]],"_",modif0[[#This Row],[anns]])</f>
        <v>PLA-PM_2015</v>
      </c>
      <c r="S92" t="b">
        <f>modif0[[#This Row],[tp]]="CR"</f>
        <v>0</v>
      </c>
      <c r="T92">
        <v>40</v>
      </c>
      <c r="U92" t="str">
        <f>IF(NOT($A92),"",
IF(AO92=-2,regle!$J$11,
IF(AO92=regle!$B$12,regle!$B$11,
IF(AO92=regle!$C$12,regle!$C$11,
IF(AO92=regle!$D$12,regle!$D$11,
IF(AO92=regle!$E$12,regle!$E$11,
IF(AO92=regle!$F$12,regle!$F$11,
IF(AO92=regle!$G$12,regle!$G$11,
IF(AO92=regle!$H$12,regle!$H$11,
IF(AO92=regle!$I$12,regle!$I$11,""))))))))))</f>
        <v/>
      </c>
      <c r="V92" t="str">
        <f>IF(NOT($A92),"",
IF(AP92=-2,regle!$J$11,
IF(AP92=regle!$B$12,regle!$B$11,
IF(AP92=regle!$C$12,regle!$C$11,
IF(AP92=regle!$D$12,regle!$D$11,
IF(AP92=regle!$E$12,regle!$E$11,
IF(AP92=regle!$F$12,regle!$F$11,
IF(AP92=regle!$G$12,regle!$G$11,
IF(AP92=regle!$H$12,regle!$H$11,
IF(AP92=regle!$I$12,regle!$I$11,""))))))))))</f>
        <v/>
      </c>
      <c r="W92" t="str">
        <f>IF(NOT($A92),"",
IF(AQ92=-2,regle!$J$11,
IF(AQ92=regle!$B$12,regle!$B$11,
IF(AQ92=regle!$C$12,regle!$C$11,
IF(AQ92=regle!$D$12,regle!$D$11,
IF(AQ92=regle!$E$12,regle!$E$11,
IF(AQ92=regle!$F$12,regle!$F$11,
IF(AQ92=regle!$G$12,regle!$G$11,
IF(AQ92=regle!$H$12,regle!$H$11,
IF(AQ92=regle!$I$12,regle!$I$11,""))))))))))</f>
        <v/>
      </c>
      <c r="X92" t="str">
        <f>IF(NOT($A92),"",
IF(AR92=-2,regle!$J$11,
IF(AR92=regle!$B$12,regle!$B$11,
IF(AR92=regle!$C$12,regle!$C$11,
IF(AR92=regle!$D$12,regle!$D$11,
IF(AR92=regle!$E$12,regle!$E$11,
IF(AR92=regle!$F$12,regle!$F$11,
IF(AR92=regle!$G$12,regle!$G$11,
IF(AR92=regle!$H$12,regle!$H$11,
IF(AR92=regle!$I$12,regle!$I$11,""))))))))))</f>
        <v/>
      </c>
      <c r="Y92" t="str">
        <f>IF(NOT($A92),"",
IF(AS92=-2,regle!$J$11,
IF(AS92=regle!$B$12,regle!$B$11,
IF(AS92=regle!$C$12,regle!$C$11,
IF(AS92=regle!$D$12,regle!$D$11,
IF(AS92=regle!$E$12,regle!$E$11,
IF(AS92=regle!$F$12,regle!$F$11,
IF(AS92=regle!$G$12,regle!$G$11,
IF(AS92=regle!$H$12,regle!$H$11,
IF(AS92=regle!$I$12,regle!$I$11,""))))))))))</f>
        <v>EC1</v>
      </c>
      <c r="Z92" t="str">
        <f>IF(NOT($A92),"",
IF(AT92=-2,regle!$J$11,
IF(AT92=regle!$B$12,regle!$B$11,
IF(AT92=regle!$C$12,regle!$C$11,
IF(AT92=regle!$D$12,regle!$D$11,
IF(AT92=regle!$E$12,regle!$E$11,
IF(AT92=regle!$F$12,regle!$F$11,
IF(AT92=regle!$G$12,regle!$G$11,
IF(AT92=regle!$H$12,regle!$H$11,
IF(AT92=regle!$I$12,regle!$I$11,""))))))))))</f>
        <v/>
      </c>
      <c r="AA92" t="str">
        <f>IF(NOT($A92),"",
IF(AU92=-2,regle!$J$11,
IF(AU92=regle!$B$12,regle!$B$11,
IF(AU92=regle!$C$12,regle!$C$11,
IF(AU92=regle!$D$12,regle!$D$11,
IF(AU92=regle!$E$12,regle!$E$11,
IF(AU92=regle!$F$12,regle!$F$11,
IF(AU92=regle!$G$12,regle!$G$11,
IF(AU92=regle!$H$12,regle!$H$11,
IF(AU92=regle!$I$12,regle!$I$11,""))))))))))</f>
        <v/>
      </c>
      <c r="AB92" t="str">
        <f>IF(NOT($A92),"",
IF(AV92=-2,regle!$J$11,
IF(AV92=regle!$B$12,regle!$B$11,
IF(AV92=regle!$C$12,regle!$C$11,
IF(AV92=regle!$D$12,regle!$D$11,
IF(AV92=regle!$E$12,regle!$E$11,
IF(AV92=regle!$F$12,regle!$F$11,
IF(AV92=regle!$G$12,regle!$G$11,
IF(AV92=regle!$H$12,regle!$H$11,
IF(AV92=regle!$I$12,regle!$I$11,""))))))))))</f>
        <v/>
      </c>
      <c r="AC92" t="str">
        <f>IF(NOT($A92),"",
IF(AW92=-2,regle!$J$11,
IF(AW92=regle!$B$12,regle!$B$11,
IF(AW92=regle!$C$12,regle!$C$11,
IF(AW92=regle!$D$12,regle!$D$11,
IF(AW92=regle!$E$12,regle!$E$11,
IF(AW92=regle!$F$12,regle!$F$11,
IF(AW92=regle!$G$12,regle!$G$11,
IF(AW92=regle!$H$12,regle!$H$11,
IF(AW92=regle!$I$12,regle!$I$11,""))))))))))</f>
        <v/>
      </c>
      <c r="AD92" t="str">
        <f>IF(NOT($A92),"",
IF(AX92=-2,regle!$J$11,
IF(AX92=regle!$B$12,regle!$B$11,
IF(AX92=regle!$C$12,regle!$C$11,
IF(AX92=regle!$D$12,regle!$D$11,
IF(AX92=regle!$E$12,regle!$E$11,
IF(AX92=regle!$F$12,regle!$F$11,
IF(AX92=regle!$G$12,regle!$G$11,
IF(AX92=regle!$H$12,regle!$H$11,
IF(AX92=regle!$I$12,regle!$I$11,""))))))))))</f>
        <v>EC2</v>
      </c>
      <c r="AE92" s="14">
        <f>IF($A92,$M92*(IF(U92=regle!$B$11,regle!$B$23,IF(U92=regle!$C$11,regle!$C$23,IF(U92=regle!$D$11,regle!$D$23,IF(U92=regle!$E$11,regle!$E$23,IF(U92=regle!$F$11,regle!$F$23,IF(U92=regle!$G$11,regle!$G$23,IF(U92=regle!$H$11,regle!$H$23,IF(U92=regle!$I$11,regle!$I$23,IF(U92=regle!$J$11,regle!$J$23,0)))))))))))</f>
        <v>0</v>
      </c>
      <c r="AF92" s="14">
        <f>IF($A92,$M92*(IF(V92=regle!$B$11,regle!$B$23,IF(V92=regle!$C$11,regle!$C$23,IF(V92=regle!$D$11,regle!$D$23,IF(V92=regle!$E$11,regle!$E$23,IF(V92=regle!$F$11,regle!$F$23,IF(V92=regle!$G$11,regle!$G$23,IF(V92=regle!$H$11,regle!$H$23,IF(V92=regle!$I$11,regle!$I$23,IF(V92=regle!$J$11,regle!$J$23,0)))))))))))</f>
        <v>0</v>
      </c>
      <c r="AG92" s="14">
        <f>IF($A92,$M92*(IF(W92=regle!$B$11,regle!$B$23,IF(W92=regle!$C$11,regle!$C$23,IF(W92=regle!$D$11,regle!$D$23,IF(W92=regle!$E$11,regle!$E$23,IF(W92=regle!$F$11,regle!$F$23,IF(W92=regle!$G$11,regle!$G$23,IF(W92=regle!$H$11,regle!$H$23,IF(W92=regle!$I$11,regle!$I$23,IF(W92=regle!$J$11,regle!$J$23,0)))))))))))</f>
        <v>0</v>
      </c>
      <c r="AH92" s="14">
        <f>IF($A92,$M92*(IF(X92=regle!$B$11,regle!$B$23,IF(X92=regle!$C$11,regle!$C$23,IF(X92=regle!$D$11,regle!$D$23,IF(X92=regle!$E$11,regle!$E$23,IF(X92=regle!$F$11,regle!$F$23,IF(X92=regle!$G$11,regle!$G$23,IF(X92=regle!$H$11,regle!$H$23,IF(X92=regle!$I$11,regle!$I$23,IF(X92=regle!$J$11,regle!$J$23,0)))))))))))</f>
        <v>0</v>
      </c>
      <c r="AI92" s="14">
        <f>IF($A92,$M92*(IF(Y92=regle!$B$11,regle!$B$23,IF(Y92=regle!$C$11,regle!$C$23,IF(Y92=regle!$D$11,regle!$D$23,IF(Y92=regle!$E$11,regle!$E$23,IF(Y92=regle!$F$11,regle!$F$23,IF(Y92=regle!$G$11,regle!$G$23,IF(Y92=regle!$H$11,regle!$H$23,IF(Y92=regle!$I$11,regle!$I$23,IF(Y92=regle!$J$11,regle!$J$23,0)))))))))))</f>
        <v>121.7664</v>
      </c>
      <c r="AJ92" s="14">
        <f>IF($A92,$M92*(IF(Z92=regle!$B$11,regle!$B$23,IF(Z92=regle!$C$11,regle!$C$23,IF(Z92=regle!$D$11,regle!$D$23,IF(Z92=regle!$E$11,regle!$E$23,IF(Z92=regle!$F$11,regle!$F$23,IF(Z92=regle!$G$11,regle!$G$23,IF(Z92=regle!$H$11,regle!$H$23,IF(Z92=regle!$I$11,regle!$I$23,IF(Z92=regle!$J$11,regle!$J$23,0)))))))))))</f>
        <v>0</v>
      </c>
      <c r="AK92" s="14">
        <f>IF($A92,$M92*(IF(AA92=regle!$B$11,regle!$B$23,IF(AA92=regle!$C$11,regle!$C$23,IF(AA92=regle!$D$11,regle!$D$23,IF(AA92=regle!$E$11,regle!$E$23,IF(AA92=regle!$F$11,regle!$F$23,IF(AA92=regle!$G$11,regle!$G$23,IF(AA92=regle!$H$11,regle!$H$23,IF(AA92=regle!$I$11,regle!$I$23,IF(AA92=regle!$J$11,regle!$J$23,0)))))))))))</f>
        <v>0</v>
      </c>
      <c r="AL92" s="14">
        <f>IF($A92,$M92*(IF(AB92=regle!$B$11,regle!$B$23,IF(AB92=regle!$C$11,regle!$C$23,IF(AB92=regle!$D$11,regle!$D$23,IF(AB92=regle!$E$11,regle!$E$23,IF(AB92=regle!$F$11,regle!$F$23,IF(AB92=regle!$G$11,regle!$G$23,IF(AB92=regle!$H$11,regle!$H$23,IF(AB92=regle!$I$11,regle!$I$23,IF(AB92=regle!$J$11,regle!$J$23,0)))))))))))</f>
        <v>0</v>
      </c>
      <c r="AM92" s="14">
        <f>IF($A92,$M92*(IF(AC92=regle!$B$11,regle!$B$23,IF(AC92=regle!$C$11,regle!$C$23,IF(AC92=regle!$D$11,regle!$D$23,IF(AC92=regle!$E$11,regle!$E$23,IF(AC92=regle!$F$11,regle!$F$23,IF(AC92=regle!$G$11,regle!$G$23,IF(AC92=regle!$H$11,regle!$H$23,IF(AC92=regle!$I$11,regle!$I$23,IF(AC92=regle!$J$11,regle!$J$23,0)))))))))))</f>
        <v>0</v>
      </c>
      <c r="AN92" s="14">
        <f>IF($A92,$M92*(IF(AD92=regle!$B$11,regle!$B$23,IF(AD92=regle!$C$11,regle!$C$23,IF(AD92=regle!$D$11,regle!$D$23,IF(AD92=regle!$E$11,regle!$E$23,IF(AD92=regle!$F$11,regle!$F$23,IF(AD92=regle!$G$11,regle!$G$23,IF(AD92=regle!$H$11,regle!$H$23,IF(AD92=regle!$I$11,regle!$I$23,IF(AD92=regle!$J$11,regle!$J$23,0)))))))))))</f>
        <v>177.57599999999999</v>
      </c>
      <c r="AO92">
        <f>IF(AO$1=$AO$1,IF(regle!B$2-$Q92&gt;=regle!$J$12,-2,IF($S92,IF(regle!$B$2-$Q92&gt;=2,0,-1),regle!B$2-$Q92)),IF(AN92+1&gt;=regle!$J$12,-2,AN92+1))</f>
        <v>9</v>
      </c>
      <c r="AP92">
        <f>IF(AP$1=$AO$1,IF(regle!C$2-$Q92&gt;=regle!$J$12,-2,IF($S92,IF(regle!$B$2-$Q92&gt;=2,0,-1),regle!C$2-$Q92)),IF(AO92+1&gt;=regle!$J$12,-2,AO92+1))</f>
        <v>10</v>
      </c>
      <c r="AQ92">
        <f>IF(AQ$1=$AO$1,IF(regle!D$2-$Q92&gt;=regle!$J$12,-2,IF($S92,IF(regle!$B$2-$Q92&gt;=2,0,-1),regle!D$2-$Q92)),IF(AP92+1&gt;=regle!$J$12,-2,AP92+1))</f>
        <v>11</v>
      </c>
      <c r="AR92">
        <f>IF(AR$1=$AO$1,IF(regle!E$2-$Q92&gt;=regle!$J$12,-2,IF($S92,IF(regle!$B$2-$Q92&gt;=2,0,-1),regle!E$2-$Q92)),IF(AQ92+1&gt;=regle!$J$12,-2,AQ92+1))</f>
        <v>12</v>
      </c>
      <c r="AS92">
        <f>IF(AS$1=$AO$1,IF(regle!F$2-$Q92&gt;=regle!$J$12,-2,IF($S92,IF(regle!$B$2-$Q92&gt;=2,0,-1),regle!F$2-$Q92)),IF(AR92+1&gt;=regle!$J$12,-2,AR92+1))</f>
        <v>13</v>
      </c>
      <c r="AT92">
        <f>IF(AT$1=$AO$1,IF(regle!G$2-$Q92&gt;=regle!$J$12,-2,IF($S92,IF(regle!$B$2-$Q92&gt;=2,0,-1),regle!G$2-$Q92)),IF(AS92+1&gt;=regle!$J$12,-2,AS92+1))</f>
        <v>14</v>
      </c>
      <c r="AU92">
        <f>IF(AU$1=$AO$1,IF(regle!H$2-$Q92&gt;=regle!$J$12,-2,IF($S92,IF(regle!$B$2-$Q92&gt;=2,0,-1),regle!H$2-$Q92)),IF(AT92+1&gt;=regle!$J$12,-2,AT92+1))</f>
        <v>15</v>
      </c>
      <c r="AV92">
        <f>IF(AV$1=$AO$1,IF(regle!I$2-$Q92&gt;=regle!$J$12,-2,IF($S92,IF(regle!$B$2-$Q92&gt;=2,0,-1),regle!I$2-$Q92)),IF(AU92+1&gt;=regle!$J$12,-2,AU92+1))</f>
        <v>16</v>
      </c>
      <c r="AW92">
        <f>IF(AW$1=$AO$1,IF(regle!J$2-$Q92&gt;=regle!$J$12,-2,IF($S92,IF(regle!$B$2-$Q92&gt;=2,0,-1),regle!J$2-$Q92)),IF(AV92+1&gt;=regle!$J$12,-2,AV92+1))</f>
        <v>17</v>
      </c>
      <c r="AX92">
        <f>IF(AX$1=$AO$1,IF(regle!K$2-$Q92&gt;=regle!$J$12,-2,IF($S92,IF(regle!$B$2-$Q92&gt;=2,0,-1),regle!K$2-$Q92)),IF(AW92+1&gt;=regle!$J$12,-2,AW92+1))</f>
        <v>18</v>
      </c>
    </row>
    <row r="93" spans="1:50" x14ac:dyDescent="0.25">
      <c r="A93" t="b">
        <f>AND(modif0[[#This Row],[cdstr]]&lt;&gt;0,OR(regle!$H$27=FALSE,modif0[[#This Row],[essnc]]="PM"))</f>
        <v>1</v>
      </c>
      <c r="B93">
        <f>ROW(objet!A118)</f>
        <v>118</v>
      </c>
      <c r="C93" s="10" t="str">
        <f>objet!D118</f>
        <v>5360000A0848</v>
      </c>
      <c r="D93" t="str">
        <f>LEFT(modif0[[#This Row],[cdstr]],3)</f>
        <v>536</v>
      </c>
      <c r="E93" s="10" t="str">
        <f>objet!G118</f>
        <v>LE TUZAN</v>
      </c>
      <c r="F93">
        <f>LEN(modif0[[#This Row],[l_dt]])</f>
        <v>21</v>
      </c>
      <c r="G93" s="10" t="str">
        <f>objet!H118</f>
        <v>METAIRIES DE TABARTON</v>
      </c>
      <c r="H93" s="10" t="str">
        <f>objet!C118</f>
        <v>A848k</v>
      </c>
      <c r="I93" t="str">
        <f>IF(ISNUMBER(VALUE(RIGHT(LEFT(modif0[[#This Row],[idntfn]],2),1))),_xlfn.CONCAT(0,LEFT(modif0[[#This Row],[idntfn]],1)),LEFT(modif0[[#This Row],[idntfn]],2))</f>
        <v>0A</v>
      </c>
      <c r="J93">
        <f>VALUE(LEFT(RIGHT(modif0[[#This Row],[idntfn]],LEN(modif0[[#This Row],[idntfn]])-IF(LEFT(modif0[[#This Row],[sctn]],1)="0",1,2)),LEN(modif0[[#This Row],[idntfn]])-IF(LEFT(modif0[[#This Row],[sctn]],1)="0",1,2)-LEN(modif0[[#This Row],[lttr]])))</f>
        <v>848</v>
      </c>
      <c r="K93" t="str">
        <f>IF(ISNUMBER(VALUE(RIGHT(modif0[[#This Row],[idntfn]],1))),"",IF(ISNUMBER(VALUE(LEFT(RIGHT(modif0[[#This Row],[idntfn]],2),1))),RIGHT(modif0[[#This Row],[idntfn]],1),RIGHT(modif0[[#This Row],[idntfn]],2)))</f>
        <v>k</v>
      </c>
      <c r="L93" s="10">
        <f>objet!I118</f>
        <v>2762</v>
      </c>
      <c r="M93" s="11">
        <f>modif0[[#This Row],[srfc]]/10000</f>
        <v>0.2762</v>
      </c>
      <c r="N93" s="10" t="str">
        <f>objet!Z118</f>
        <v>PM</v>
      </c>
      <c r="O93" s="10" t="str">
        <f>objet!AA118</f>
        <v>SL2003</v>
      </c>
      <c r="P93" t="str">
        <f>IF(ISNUMBER(modif0[[#This Row],[trvx]]),"",LEFT(modif0[[#This Row],[trvx]],LEN(modif0[[#This Row],[trvx]])-4))</f>
        <v>SL</v>
      </c>
      <c r="Q93">
        <f>VALUE(RIGHT(modif0[[#This Row],[trvx]],4))</f>
        <v>2003</v>
      </c>
      <c r="R93" t="str">
        <f>_xlfn.CONCAT(modif0[[#This Row],[tp]],"-",modif0[[#This Row],[essnc]],"_",modif0[[#This Row],[anns]])</f>
        <v>SL-PM_2003</v>
      </c>
      <c r="S93" t="b">
        <f>modif0[[#This Row],[tp]]="CR"</f>
        <v>0</v>
      </c>
      <c r="T93">
        <v>40</v>
      </c>
      <c r="U93" t="str">
        <f>IF(NOT($A93),"",
IF(AO93=-2,regle!$J$11,
IF(AO93=regle!$B$12,regle!$B$11,
IF(AO93=regle!$C$12,regle!$C$11,
IF(AO93=regle!$D$12,regle!$D$11,
IF(AO93=regle!$E$12,regle!$E$11,
IF(AO93=regle!$F$12,regle!$F$11,
IF(AO93=regle!$G$12,regle!$G$11,
IF(AO93=regle!$H$12,regle!$H$11,
IF(AO93=regle!$I$12,regle!$I$11,""))))))))))</f>
        <v/>
      </c>
      <c r="V93" t="str">
        <f>IF(NOT($A93),"",
IF(AP93=-2,regle!$J$11,
IF(AP93=regle!$B$12,regle!$B$11,
IF(AP93=regle!$C$12,regle!$C$11,
IF(AP93=regle!$D$12,regle!$D$11,
IF(AP93=regle!$E$12,regle!$E$11,
IF(AP93=regle!$F$12,regle!$F$11,
IF(AP93=regle!$G$12,regle!$G$11,
IF(AP93=regle!$H$12,regle!$H$11,
IF(AP93=regle!$I$12,regle!$I$11,""))))))))))</f>
        <v/>
      </c>
      <c r="W93" t="str">
        <f>IF(NOT($A93),"",
IF(AQ93=-2,regle!$J$11,
IF(AQ93=regle!$B$12,regle!$B$11,
IF(AQ93=regle!$C$12,regle!$C$11,
IF(AQ93=regle!$D$12,regle!$D$11,
IF(AQ93=regle!$E$12,regle!$E$11,
IF(AQ93=regle!$F$12,regle!$F$11,
IF(AQ93=regle!$G$12,regle!$G$11,
IF(AQ93=regle!$H$12,regle!$H$11,
IF(AQ93=regle!$I$12,regle!$I$11,""))))))))))</f>
        <v>EC3</v>
      </c>
      <c r="X93" t="str">
        <f>IF(NOT($A93),"",
IF(AR93=-2,regle!$J$11,
IF(AR93=regle!$B$12,regle!$B$11,
IF(AR93=regle!$C$12,regle!$C$11,
IF(AR93=regle!$D$12,regle!$D$11,
IF(AR93=regle!$E$12,regle!$E$11,
IF(AR93=regle!$F$12,regle!$F$11,
IF(AR93=regle!$G$12,regle!$G$11,
IF(AR93=regle!$H$12,regle!$H$11,
IF(AR93=regle!$I$12,regle!$I$11,""))))))))))</f>
        <v/>
      </c>
      <c r="Y93" t="str">
        <f>IF(NOT($A93),"",
IF(AS93=-2,regle!$J$11,
IF(AS93=regle!$B$12,regle!$B$11,
IF(AS93=regle!$C$12,regle!$C$11,
IF(AS93=regle!$D$12,regle!$D$11,
IF(AS93=regle!$E$12,regle!$E$11,
IF(AS93=regle!$F$12,regle!$F$11,
IF(AS93=regle!$G$12,regle!$G$11,
IF(AS93=regle!$H$12,regle!$H$11,
IF(AS93=regle!$I$12,regle!$I$11,""))))))))))</f>
        <v/>
      </c>
      <c r="Z93" t="str">
        <f>IF(NOT($A93),"",
IF(AT93=-2,regle!$J$11,
IF(AT93=regle!$B$12,regle!$B$11,
IF(AT93=regle!$C$12,regle!$C$11,
IF(AT93=regle!$D$12,regle!$D$11,
IF(AT93=regle!$E$12,regle!$E$11,
IF(AT93=regle!$F$12,regle!$F$11,
IF(AT93=regle!$G$12,regle!$G$11,
IF(AT93=regle!$H$12,regle!$H$11,
IF(AT93=regle!$I$12,regle!$I$11,""))))))))))</f>
        <v/>
      </c>
      <c r="AA93" t="str">
        <f>IF(NOT($A93),"",
IF(AU93=-2,regle!$J$11,
IF(AU93=regle!$B$12,regle!$B$11,
IF(AU93=regle!$C$12,regle!$C$11,
IF(AU93=regle!$D$12,regle!$D$11,
IF(AU93=regle!$E$12,regle!$E$11,
IF(AU93=regle!$F$12,regle!$F$11,
IF(AU93=regle!$G$12,regle!$G$11,
IF(AU93=regle!$H$12,regle!$H$11,
IF(AU93=regle!$I$12,regle!$I$11,""))))))))))</f>
        <v/>
      </c>
      <c r="AB93" t="str">
        <f>IF(NOT($A93),"",
IF(AV93=-2,regle!$J$11,
IF(AV93=regle!$B$12,regle!$B$11,
IF(AV93=regle!$C$12,regle!$C$11,
IF(AV93=regle!$D$12,regle!$D$11,
IF(AV93=regle!$E$12,regle!$E$11,
IF(AV93=regle!$F$12,regle!$F$11,
IF(AV93=regle!$G$12,regle!$G$11,
IF(AV93=regle!$H$12,regle!$H$11,
IF(AV93=regle!$I$12,regle!$I$11,""))))))))))</f>
        <v>EC4</v>
      </c>
      <c r="AC93" t="str">
        <f>IF(NOT($A93),"",
IF(AW93=-2,regle!$J$11,
IF(AW93=regle!$B$12,regle!$B$11,
IF(AW93=regle!$C$12,regle!$C$11,
IF(AW93=regle!$D$12,regle!$D$11,
IF(AW93=regle!$E$12,regle!$E$11,
IF(AW93=regle!$F$12,regle!$F$11,
IF(AW93=regle!$G$12,regle!$G$11,
IF(AW93=regle!$H$12,regle!$H$11,
IF(AW93=regle!$I$12,regle!$I$11,""))))))))))</f>
        <v/>
      </c>
      <c r="AD93" t="str">
        <f>IF(NOT($A93),"",
IF(AX93=-2,regle!$J$11,
IF(AX93=regle!$B$12,regle!$B$11,
IF(AX93=regle!$C$12,regle!$C$11,
IF(AX93=regle!$D$12,regle!$D$11,
IF(AX93=regle!$E$12,regle!$E$11,
IF(AX93=regle!$F$12,regle!$F$11,
IF(AX93=regle!$G$12,regle!$G$11,
IF(AX93=regle!$H$12,regle!$H$11,
IF(AX93=regle!$I$12,regle!$I$11,""))))))))))</f>
        <v/>
      </c>
      <c r="AE93" s="14">
        <f>IF($A93,$M93*(IF(U93=regle!$B$11,regle!$B$23,IF(U93=regle!$C$11,regle!$C$23,IF(U93=regle!$D$11,regle!$D$23,IF(U93=regle!$E$11,regle!$E$23,IF(U93=regle!$F$11,regle!$F$23,IF(U93=regle!$G$11,regle!$G$23,IF(U93=regle!$H$11,regle!$H$23,IF(U93=regle!$I$11,regle!$I$23,IF(U93=regle!$J$11,regle!$J$23,0)))))))))))</f>
        <v>0</v>
      </c>
      <c r="AF93" s="14">
        <f>IF($A93,$M93*(IF(V93=regle!$B$11,regle!$B$23,IF(V93=regle!$C$11,regle!$C$23,IF(V93=regle!$D$11,regle!$D$23,IF(V93=regle!$E$11,regle!$E$23,IF(V93=regle!$F$11,regle!$F$23,IF(V93=regle!$G$11,regle!$G$23,IF(V93=regle!$H$11,regle!$H$23,IF(V93=regle!$I$11,regle!$I$23,IF(V93=regle!$J$11,regle!$J$23,0)))))))))))</f>
        <v>0</v>
      </c>
      <c r="AG93" s="14">
        <f>IF($A93,$M93*(IF(W93=regle!$B$11,regle!$B$23,IF(W93=regle!$C$11,regle!$C$23,IF(W93=regle!$D$11,regle!$D$23,IF(W93=regle!$E$11,regle!$E$23,IF(W93=regle!$F$11,regle!$F$23,IF(W93=regle!$G$11,regle!$G$23,IF(W93=regle!$H$11,regle!$H$23,IF(W93=regle!$I$11,regle!$I$23,IF(W93=regle!$J$11,regle!$J$23,0)))))))))))</f>
        <v>388.88959999999997</v>
      </c>
      <c r="AH93" s="14">
        <f>IF($A93,$M93*(IF(X93=regle!$B$11,regle!$B$23,IF(X93=regle!$C$11,regle!$C$23,IF(X93=regle!$D$11,regle!$D$23,IF(X93=regle!$E$11,regle!$E$23,IF(X93=regle!$F$11,regle!$F$23,IF(X93=regle!$G$11,regle!$G$23,IF(X93=regle!$H$11,regle!$H$23,IF(X93=regle!$I$11,regle!$I$23,IF(X93=regle!$J$11,regle!$J$23,0)))))))))))</f>
        <v>0</v>
      </c>
      <c r="AI93" s="14">
        <f>IF($A93,$M93*(IF(Y93=regle!$B$11,regle!$B$23,IF(Y93=regle!$C$11,regle!$C$23,IF(Y93=regle!$D$11,regle!$D$23,IF(Y93=regle!$E$11,regle!$E$23,IF(Y93=regle!$F$11,regle!$F$23,IF(Y93=regle!$G$11,regle!$G$23,IF(Y93=regle!$H$11,regle!$H$23,IF(Y93=regle!$I$11,regle!$I$23,IF(Y93=regle!$J$11,regle!$J$23,0)))))))))))</f>
        <v>0</v>
      </c>
      <c r="AJ93" s="14">
        <f>IF($A93,$M93*(IF(Z93=regle!$B$11,regle!$B$23,IF(Z93=regle!$C$11,regle!$C$23,IF(Z93=regle!$D$11,regle!$D$23,IF(Z93=regle!$E$11,regle!$E$23,IF(Z93=regle!$F$11,regle!$F$23,IF(Z93=regle!$G$11,regle!$G$23,IF(Z93=regle!$H$11,regle!$H$23,IF(Z93=regle!$I$11,regle!$I$23,IF(Z93=regle!$J$11,regle!$J$23,0)))))))))))</f>
        <v>0</v>
      </c>
      <c r="AK93" s="14">
        <f>IF($A93,$M93*(IF(AA93=regle!$B$11,regle!$B$23,IF(AA93=regle!$C$11,regle!$C$23,IF(AA93=regle!$D$11,regle!$D$23,IF(AA93=regle!$E$11,regle!$E$23,IF(AA93=regle!$F$11,regle!$F$23,IF(AA93=regle!$G$11,regle!$G$23,IF(AA93=regle!$H$11,regle!$H$23,IF(AA93=regle!$I$11,regle!$I$23,IF(AA93=regle!$J$11,regle!$J$23,0)))))))))))</f>
        <v>0</v>
      </c>
      <c r="AL93" s="14">
        <f>IF($A93,$M93*(IF(AB93=regle!$B$11,regle!$B$23,IF(AB93=regle!$C$11,regle!$C$23,IF(AB93=regle!$D$11,regle!$D$23,IF(AB93=regle!$E$11,regle!$E$23,IF(AB93=regle!$F$11,regle!$F$23,IF(AB93=regle!$G$11,regle!$G$23,IF(AB93=regle!$H$11,regle!$H$23,IF(AB93=regle!$I$11,regle!$I$23,IF(AB93=regle!$J$11,regle!$J$23,0)))))))))))</f>
        <v>353.536</v>
      </c>
      <c r="AM93" s="14">
        <f>IF($A93,$M93*(IF(AC93=regle!$B$11,regle!$B$23,IF(AC93=regle!$C$11,regle!$C$23,IF(AC93=regle!$D$11,regle!$D$23,IF(AC93=regle!$E$11,regle!$E$23,IF(AC93=regle!$F$11,regle!$F$23,IF(AC93=regle!$G$11,regle!$G$23,IF(AC93=regle!$H$11,regle!$H$23,IF(AC93=regle!$I$11,regle!$I$23,IF(AC93=regle!$J$11,regle!$J$23,0)))))))))))</f>
        <v>0</v>
      </c>
      <c r="AN93" s="14">
        <f>IF($A93,$M93*(IF(AD93=regle!$B$11,regle!$B$23,IF(AD93=regle!$C$11,regle!$C$23,IF(AD93=regle!$D$11,regle!$D$23,IF(AD93=regle!$E$11,regle!$E$23,IF(AD93=regle!$F$11,regle!$F$23,IF(AD93=regle!$G$11,regle!$G$23,IF(AD93=regle!$H$11,regle!$H$23,IF(AD93=regle!$I$11,regle!$I$23,IF(AD93=regle!$J$11,regle!$J$23,0)))))))))))</f>
        <v>0</v>
      </c>
      <c r="AO93">
        <f>IF(AO$1=$AO$1,IF(regle!B$2-$Q93&gt;=regle!$J$12,-2,IF($S93,IF(regle!$B$2-$Q93&gt;=2,0,-1),regle!B$2-$Q93)),IF(AN93+1&gt;=regle!$J$12,-2,AN93+1))</f>
        <v>21</v>
      </c>
      <c r="AP93">
        <f>IF(AP$1=$AO$1,IF(regle!C$2-$Q93&gt;=regle!$J$12,-2,IF($S93,IF(regle!$B$2-$Q93&gt;=2,0,-1),regle!C$2-$Q93)),IF(AO93+1&gt;=regle!$J$12,-2,AO93+1))</f>
        <v>22</v>
      </c>
      <c r="AQ93">
        <f>IF(AQ$1=$AO$1,IF(regle!D$2-$Q93&gt;=regle!$J$12,-2,IF($S93,IF(regle!$B$2-$Q93&gt;=2,0,-1),regle!D$2-$Q93)),IF(AP93+1&gt;=regle!$J$12,-2,AP93+1))</f>
        <v>23</v>
      </c>
      <c r="AR93">
        <f>IF(AR$1=$AO$1,IF(regle!E$2-$Q93&gt;=regle!$J$12,-2,IF($S93,IF(regle!$B$2-$Q93&gt;=2,0,-1),regle!E$2-$Q93)),IF(AQ93+1&gt;=regle!$J$12,-2,AQ93+1))</f>
        <v>24</v>
      </c>
      <c r="AS93">
        <f>IF(AS$1=$AO$1,IF(regle!F$2-$Q93&gt;=regle!$J$12,-2,IF($S93,IF(regle!$B$2-$Q93&gt;=2,0,-1),regle!F$2-$Q93)),IF(AR93+1&gt;=regle!$J$12,-2,AR93+1))</f>
        <v>25</v>
      </c>
      <c r="AT93">
        <f>IF(AT$1=$AO$1,IF(regle!G$2-$Q93&gt;=regle!$J$12,-2,IF($S93,IF(regle!$B$2-$Q93&gt;=2,0,-1),regle!G$2-$Q93)),IF(AS93+1&gt;=regle!$J$12,-2,AS93+1))</f>
        <v>26</v>
      </c>
      <c r="AU93">
        <f>IF(AU$1=$AO$1,IF(regle!H$2-$Q93&gt;=regle!$J$12,-2,IF($S93,IF(regle!$B$2-$Q93&gt;=2,0,-1),regle!H$2-$Q93)),IF(AT93+1&gt;=regle!$J$12,-2,AT93+1))</f>
        <v>27</v>
      </c>
      <c r="AV93">
        <f>IF(AV$1=$AO$1,IF(regle!I$2-$Q93&gt;=regle!$J$12,-2,IF($S93,IF(regle!$B$2-$Q93&gt;=2,0,-1),regle!I$2-$Q93)),IF(AU93+1&gt;=regle!$J$12,-2,AU93+1))</f>
        <v>28</v>
      </c>
      <c r="AW93">
        <f>IF(AW$1=$AO$1,IF(regle!J$2-$Q93&gt;=regle!$J$12,-2,IF($S93,IF(regle!$B$2-$Q93&gt;=2,0,-1),regle!J$2-$Q93)),IF(AV93+1&gt;=regle!$J$12,-2,AV93+1))</f>
        <v>29</v>
      </c>
      <c r="AX93">
        <f>IF(AX$1=$AO$1,IF(regle!K$2-$Q93&gt;=regle!$J$12,-2,IF($S93,IF(regle!$B$2-$Q93&gt;=2,0,-1),regle!K$2-$Q93)),IF(AW93+1&gt;=regle!$J$12,-2,AW93+1))</f>
        <v>30</v>
      </c>
    </row>
    <row r="94" spans="1:50" x14ac:dyDescent="0.25">
      <c r="A94" t="b">
        <f>AND(modif0[[#This Row],[cdstr]]&lt;&gt;0,OR(regle!$H$27=FALSE,modif0[[#This Row],[essnc]]="PM"))</f>
        <v>1</v>
      </c>
      <c r="B94">
        <f>ROW(objet!A119)</f>
        <v>119</v>
      </c>
      <c r="C94" s="10" t="str">
        <f>objet!D119</f>
        <v>1970000A0878</v>
      </c>
      <c r="D94" t="str">
        <f>LEFT(modif0[[#This Row],[cdstr]],3)</f>
        <v>197</v>
      </c>
      <c r="E94" s="10" t="str">
        <f>objet!G119</f>
        <v>GUILLOS</v>
      </c>
      <c r="F94">
        <f>LEN(modif0[[#This Row],[l_dt]])</f>
        <v>22</v>
      </c>
      <c r="G94" s="10" t="str">
        <f>objet!H119</f>
        <v>LE TRETIN DES JEANNOTS</v>
      </c>
      <c r="H94" s="10" t="str">
        <f>objet!C119</f>
        <v>A878j</v>
      </c>
      <c r="I94" t="str">
        <f>IF(ISNUMBER(VALUE(RIGHT(LEFT(modif0[[#This Row],[idntfn]],2),1))),_xlfn.CONCAT(0,LEFT(modif0[[#This Row],[idntfn]],1)),LEFT(modif0[[#This Row],[idntfn]],2))</f>
        <v>0A</v>
      </c>
      <c r="J94">
        <f>VALUE(LEFT(RIGHT(modif0[[#This Row],[idntfn]],LEN(modif0[[#This Row],[idntfn]])-IF(LEFT(modif0[[#This Row],[sctn]],1)="0",1,2)),LEN(modif0[[#This Row],[idntfn]])-IF(LEFT(modif0[[#This Row],[sctn]],1)="0",1,2)-LEN(modif0[[#This Row],[lttr]])))</f>
        <v>878</v>
      </c>
      <c r="K94" t="str">
        <f>IF(ISNUMBER(VALUE(RIGHT(modif0[[#This Row],[idntfn]],1))),"",IF(ISNUMBER(VALUE(LEFT(RIGHT(modif0[[#This Row],[idntfn]],2),1))),RIGHT(modif0[[#This Row],[idntfn]],1),RIGHT(modif0[[#This Row],[idntfn]],2)))</f>
        <v>j</v>
      </c>
      <c r="L94" s="10">
        <f>objet!I119</f>
        <v>13727</v>
      </c>
      <c r="M94" s="11">
        <f>modif0[[#This Row],[srfc]]/10000</f>
        <v>1.3727</v>
      </c>
      <c r="N94" s="10" t="str">
        <f>objet!Z119</f>
        <v>PM</v>
      </c>
      <c r="O94" s="10" t="str">
        <f>objet!AA119</f>
        <v>PLA2005</v>
      </c>
      <c r="P94" t="str">
        <f>IF(ISNUMBER(modif0[[#This Row],[trvx]]),"",LEFT(modif0[[#This Row],[trvx]],LEN(modif0[[#This Row],[trvx]])-4))</f>
        <v>PLA</v>
      </c>
      <c r="Q94">
        <f>VALUE(RIGHT(modif0[[#This Row],[trvx]],4))</f>
        <v>2005</v>
      </c>
      <c r="R94" t="str">
        <f>_xlfn.CONCAT(modif0[[#This Row],[tp]],"-",modif0[[#This Row],[essnc]],"_",modif0[[#This Row],[anns]])</f>
        <v>PLA-PM_2005</v>
      </c>
      <c r="S94" t="b">
        <f>modif0[[#This Row],[tp]]="CR"</f>
        <v>0</v>
      </c>
      <c r="T94">
        <v>40</v>
      </c>
      <c r="U94" t="str">
        <f>IF(NOT($A94),"",
IF(AO94=-2,regle!$J$11,
IF(AO94=regle!$B$12,regle!$B$11,
IF(AO94=regle!$C$12,regle!$C$11,
IF(AO94=regle!$D$12,regle!$D$11,
IF(AO94=regle!$E$12,regle!$E$11,
IF(AO94=regle!$F$12,regle!$F$11,
IF(AO94=regle!$G$12,regle!$G$11,
IF(AO94=regle!$H$12,regle!$H$11,
IF(AO94=regle!$I$12,regle!$I$11,""))))))))))</f>
        <v/>
      </c>
      <c r="V94" t="str">
        <f>IF(NOT($A94),"",
IF(AP94=-2,regle!$J$11,
IF(AP94=regle!$B$12,regle!$B$11,
IF(AP94=regle!$C$12,regle!$C$11,
IF(AP94=regle!$D$12,regle!$D$11,
IF(AP94=regle!$E$12,regle!$E$11,
IF(AP94=regle!$F$12,regle!$F$11,
IF(AP94=regle!$G$12,regle!$G$11,
IF(AP94=regle!$H$12,regle!$H$11,
IF(AP94=regle!$I$12,regle!$I$11,""))))))))))</f>
        <v/>
      </c>
      <c r="W94" t="str">
        <f>IF(NOT($A94),"",
IF(AQ94=-2,regle!$J$11,
IF(AQ94=regle!$B$12,regle!$B$11,
IF(AQ94=regle!$C$12,regle!$C$11,
IF(AQ94=regle!$D$12,regle!$D$11,
IF(AQ94=regle!$E$12,regle!$E$11,
IF(AQ94=regle!$F$12,regle!$F$11,
IF(AQ94=regle!$G$12,regle!$G$11,
IF(AQ94=regle!$H$12,regle!$H$11,
IF(AQ94=regle!$I$12,regle!$I$11,""))))))))))</f>
        <v/>
      </c>
      <c r="X94" t="str">
        <f>IF(NOT($A94),"",
IF(AR94=-2,regle!$J$11,
IF(AR94=regle!$B$12,regle!$B$11,
IF(AR94=regle!$C$12,regle!$C$11,
IF(AR94=regle!$D$12,regle!$D$11,
IF(AR94=regle!$E$12,regle!$E$11,
IF(AR94=regle!$F$12,regle!$F$11,
IF(AR94=regle!$G$12,regle!$G$11,
IF(AR94=regle!$H$12,regle!$H$11,
IF(AR94=regle!$I$12,regle!$I$11,""))))))))))</f>
        <v/>
      </c>
      <c r="Y94" t="str">
        <f>IF(NOT($A94),"",
IF(AS94=-2,regle!$J$11,
IF(AS94=regle!$B$12,regle!$B$11,
IF(AS94=regle!$C$12,regle!$C$11,
IF(AS94=regle!$D$12,regle!$D$11,
IF(AS94=regle!$E$12,regle!$E$11,
IF(AS94=regle!$F$12,regle!$F$11,
IF(AS94=regle!$G$12,regle!$G$11,
IF(AS94=regle!$H$12,regle!$H$11,
IF(AS94=regle!$I$12,regle!$I$11,""))))))))))</f>
        <v>EC3</v>
      </c>
      <c r="Z94" t="str">
        <f>IF(NOT($A94),"",
IF(AT94=-2,regle!$J$11,
IF(AT94=regle!$B$12,regle!$B$11,
IF(AT94=regle!$C$12,regle!$C$11,
IF(AT94=regle!$D$12,regle!$D$11,
IF(AT94=regle!$E$12,regle!$E$11,
IF(AT94=regle!$F$12,regle!$F$11,
IF(AT94=regle!$G$12,regle!$G$11,
IF(AT94=regle!$H$12,regle!$H$11,
IF(AT94=regle!$I$12,regle!$I$11,""))))))))))</f>
        <v/>
      </c>
      <c r="AA94" t="str">
        <f>IF(NOT($A94),"",
IF(AU94=-2,regle!$J$11,
IF(AU94=regle!$B$12,regle!$B$11,
IF(AU94=regle!$C$12,regle!$C$11,
IF(AU94=regle!$D$12,regle!$D$11,
IF(AU94=regle!$E$12,regle!$E$11,
IF(AU94=regle!$F$12,regle!$F$11,
IF(AU94=regle!$G$12,regle!$G$11,
IF(AU94=regle!$H$12,regle!$H$11,
IF(AU94=regle!$I$12,regle!$I$11,""))))))))))</f>
        <v/>
      </c>
      <c r="AB94" t="str">
        <f>IF(NOT($A94),"",
IF(AV94=-2,regle!$J$11,
IF(AV94=regle!$B$12,regle!$B$11,
IF(AV94=regle!$C$12,regle!$C$11,
IF(AV94=regle!$D$12,regle!$D$11,
IF(AV94=regle!$E$12,regle!$E$11,
IF(AV94=regle!$F$12,regle!$F$11,
IF(AV94=regle!$G$12,regle!$G$11,
IF(AV94=regle!$H$12,regle!$H$11,
IF(AV94=regle!$I$12,regle!$I$11,""))))))))))</f>
        <v/>
      </c>
      <c r="AC94" t="str">
        <f>IF(NOT($A94),"",
IF(AW94=-2,regle!$J$11,
IF(AW94=regle!$B$12,regle!$B$11,
IF(AW94=regle!$C$12,regle!$C$11,
IF(AW94=regle!$D$12,regle!$D$11,
IF(AW94=regle!$E$12,regle!$E$11,
IF(AW94=regle!$F$12,regle!$F$11,
IF(AW94=regle!$G$12,regle!$G$11,
IF(AW94=regle!$H$12,regle!$H$11,
IF(AW94=regle!$I$12,regle!$I$11,""))))))))))</f>
        <v/>
      </c>
      <c r="AD94" t="str">
        <f>IF(NOT($A94),"",
IF(AX94=-2,regle!$J$11,
IF(AX94=regle!$B$12,regle!$B$11,
IF(AX94=regle!$C$12,regle!$C$11,
IF(AX94=regle!$D$12,regle!$D$11,
IF(AX94=regle!$E$12,regle!$E$11,
IF(AX94=regle!$F$12,regle!$F$11,
IF(AX94=regle!$G$12,regle!$G$11,
IF(AX94=regle!$H$12,regle!$H$11,
IF(AX94=regle!$I$12,regle!$I$11,""))))))))))</f>
        <v>EC4</v>
      </c>
      <c r="AE94" s="14">
        <f>IF($A94,$M94*(IF(U94=regle!$B$11,regle!$B$23,IF(U94=regle!$C$11,regle!$C$23,IF(U94=regle!$D$11,regle!$D$23,IF(U94=regle!$E$11,regle!$E$23,IF(U94=regle!$F$11,regle!$F$23,IF(U94=regle!$G$11,regle!$G$23,IF(U94=regle!$H$11,regle!$H$23,IF(U94=regle!$I$11,regle!$I$23,IF(U94=regle!$J$11,regle!$J$23,0)))))))))))</f>
        <v>0</v>
      </c>
      <c r="AF94" s="14">
        <f>IF($A94,$M94*(IF(V94=regle!$B$11,regle!$B$23,IF(V94=regle!$C$11,regle!$C$23,IF(V94=regle!$D$11,regle!$D$23,IF(V94=regle!$E$11,regle!$E$23,IF(V94=regle!$F$11,regle!$F$23,IF(V94=regle!$G$11,regle!$G$23,IF(V94=regle!$H$11,regle!$H$23,IF(V94=regle!$I$11,regle!$I$23,IF(V94=regle!$J$11,regle!$J$23,0)))))))))))</f>
        <v>0</v>
      </c>
      <c r="AG94" s="14">
        <f>IF($A94,$M94*(IF(W94=regle!$B$11,regle!$B$23,IF(W94=regle!$C$11,regle!$C$23,IF(W94=regle!$D$11,regle!$D$23,IF(W94=regle!$E$11,regle!$E$23,IF(W94=regle!$F$11,regle!$F$23,IF(W94=regle!$G$11,regle!$G$23,IF(W94=regle!$H$11,regle!$H$23,IF(W94=regle!$I$11,regle!$I$23,IF(W94=regle!$J$11,regle!$J$23,0)))))))))))</f>
        <v>0</v>
      </c>
      <c r="AH94" s="14">
        <f>IF($A94,$M94*(IF(X94=regle!$B$11,regle!$B$23,IF(X94=regle!$C$11,regle!$C$23,IF(X94=regle!$D$11,regle!$D$23,IF(X94=regle!$E$11,regle!$E$23,IF(X94=regle!$F$11,regle!$F$23,IF(X94=regle!$G$11,regle!$G$23,IF(X94=regle!$H$11,regle!$H$23,IF(X94=regle!$I$11,regle!$I$23,IF(X94=regle!$J$11,regle!$J$23,0)))))))))))</f>
        <v>0</v>
      </c>
      <c r="AI94" s="14">
        <f>IF($A94,$M94*(IF(Y94=regle!$B$11,regle!$B$23,IF(Y94=regle!$C$11,regle!$C$23,IF(Y94=regle!$D$11,regle!$D$23,IF(Y94=regle!$E$11,regle!$E$23,IF(Y94=regle!$F$11,regle!$F$23,IF(Y94=regle!$G$11,regle!$G$23,IF(Y94=regle!$H$11,regle!$H$23,IF(Y94=regle!$I$11,regle!$I$23,IF(Y94=regle!$J$11,regle!$J$23,0)))))))))))</f>
        <v>1932.7616</v>
      </c>
      <c r="AJ94" s="14">
        <f>IF($A94,$M94*(IF(Z94=regle!$B$11,regle!$B$23,IF(Z94=regle!$C$11,regle!$C$23,IF(Z94=regle!$D$11,regle!$D$23,IF(Z94=regle!$E$11,regle!$E$23,IF(Z94=regle!$F$11,regle!$F$23,IF(Z94=regle!$G$11,regle!$G$23,IF(Z94=regle!$H$11,regle!$H$23,IF(Z94=regle!$I$11,regle!$I$23,IF(Z94=regle!$J$11,regle!$J$23,0)))))))))))</f>
        <v>0</v>
      </c>
      <c r="AK94" s="14">
        <f>IF($A94,$M94*(IF(AA94=regle!$B$11,regle!$B$23,IF(AA94=regle!$C$11,regle!$C$23,IF(AA94=regle!$D$11,regle!$D$23,IF(AA94=regle!$E$11,regle!$E$23,IF(AA94=regle!$F$11,regle!$F$23,IF(AA94=regle!$G$11,regle!$G$23,IF(AA94=regle!$H$11,regle!$H$23,IF(AA94=regle!$I$11,regle!$I$23,IF(AA94=regle!$J$11,regle!$J$23,0)))))))))))</f>
        <v>0</v>
      </c>
      <c r="AL94" s="14">
        <f>IF($A94,$M94*(IF(AB94=regle!$B$11,regle!$B$23,IF(AB94=regle!$C$11,regle!$C$23,IF(AB94=regle!$D$11,regle!$D$23,IF(AB94=regle!$E$11,regle!$E$23,IF(AB94=regle!$F$11,regle!$F$23,IF(AB94=regle!$G$11,regle!$G$23,IF(AB94=regle!$H$11,regle!$H$23,IF(AB94=regle!$I$11,regle!$I$23,IF(AB94=regle!$J$11,regle!$J$23,0)))))))))))</f>
        <v>0</v>
      </c>
      <c r="AM94" s="14">
        <f>IF($A94,$M94*(IF(AC94=regle!$B$11,regle!$B$23,IF(AC94=regle!$C$11,regle!$C$23,IF(AC94=regle!$D$11,regle!$D$23,IF(AC94=regle!$E$11,regle!$E$23,IF(AC94=regle!$F$11,regle!$F$23,IF(AC94=regle!$G$11,regle!$G$23,IF(AC94=regle!$H$11,regle!$H$23,IF(AC94=regle!$I$11,regle!$I$23,IF(AC94=regle!$J$11,regle!$J$23,0)))))))))))</f>
        <v>0</v>
      </c>
      <c r="AN94" s="14">
        <f>IF($A94,$M94*(IF(AD94=regle!$B$11,regle!$B$23,IF(AD94=regle!$C$11,regle!$C$23,IF(AD94=regle!$D$11,regle!$D$23,IF(AD94=regle!$E$11,regle!$E$23,IF(AD94=regle!$F$11,regle!$F$23,IF(AD94=regle!$G$11,regle!$G$23,IF(AD94=regle!$H$11,regle!$H$23,IF(AD94=regle!$I$11,regle!$I$23,IF(AD94=regle!$J$11,regle!$J$23,0)))))))))))</f>
        <v>1757.056</v>
      </c>
      <c r="AO94">
        <f>IF(AO$1=$AO$1,IF(regle!B$2-$Q94&gt;=regle!$J$12,-2,IF($S94,IF(regle!$B$2-$Q94&gt;=2,0,-1),regle!B$2-$Q94)),IF(AN94+1&gt;=regle!$J$12,-2,AN94+1))</f>
        <v>19</v>
      </c>
      <c r="AP94">
        <f>IF(AP$1=$AO$1,IF(regle!C$2-$Q94&gt;=regle!$J$12,-2,IF($S94,IF(regle!$B$2-$Q94&gt;=2,0,-1),regle!C$2-$Q94)),IF(AO94+1&gt;=regle!$J$12,-2,AO94+1))</f>
        <v>20</v>
      </c>
      <c r="AQ94">
        <f>IF(AQ$1=$AO$1,IF(regle!D$2-$Q94&gt;=regle!$J$12,-2,IF($S94,IF(regle!$B$2-$Q94&gt;=2,0,-1),regle!D$2-$Q94)),IF(AP94+1&gt;=regle!$J$12,-2,AP94+1))</f>
        <v>21</v>
      </c>
      <c r="AR94">
        <f>IF(AR$1=$AO$1,IF(regle!E$2-$Q94&gt;=regle!$J$12,-2,IF($S94,IF(regle!$B$2-$Q94&gt;=2,0,-1),regle!E$2-$Q94)),IF(AQ94+1&gt;=regle!$J$12,-2,AQ94+1))</f>
        <v>22</v>
      </c>
      <c r="AS94">
        <f>IF(AS$1=$AO$1,IF(regle!F$2-$Q94&gt;=regle!$J$12,-2,IF($S94,IF(regle!$B$2-$Q94&gt;=2,0,-1),regle!F$2-$Q94)),IF(AR94+1&gt;=regle!$J$12,-2,AR94+1))</f>
        <v>23</v>
      </c>
      <c r="AT94">
        <f>IF(AT$1=$AO$1,IF(regle!G$2-$Q94&gt;=regle!$J$12,-2,IF($S94,IF(regle!$B$2-$Q94&gt;=2,0,-1),regle!G$2-$Q94)),IF(AS94+1&gt;=regle!$J$12,-2,AS94+1))</f>
        <v>24</v>
      </c>
      <c r="AU94">
        <f>IF(AU$1=$AO$1,IF(regle!H$2-$Q94&gt;=regle!$J$12,-2,IF($S94,IF(regle!$B$2-$Q94&gt;=2,0,-1),regle!H$2-$Q94)),IF(AT94+1&gt;=regle!$J$12,-2,AT94+1))</f>
        <v>25</v>
      </c>
      <c r="AV94">
        <f>IF(AV$1=$AO$1,IF(regle!I$2-$Q94&gt;=regle!$J$12,-2,IF($S94,IF(regle!$B$2-$Q94&gt;=2,0,-1),regle!I$2-$Q94)),IF(AU94+1&gt;=regle!$J$12,-2,AU94+1))</f>
        <v>26</v>
      </c>
      <c r="AW94">
        <f>IF(AW$1=$AO$1,IF(regle!J$2-$Q94&gt;=regle!$J$12,-2,IF($S94,IF(regle!$B$2-$Q94&gt;=2,0,-1),regle!J$2-$Q94)),IF(AV94+1&gt;=regle!$J$12,-2,AV94+1))</f>
        <v>27</v>
      </c>
      <c r="AX94">
        <f>IF(AX$1=$AO$1,IF(regle!K$2-$Q94&gt;=regle!$J$12,-2,IF($S94,IF(regle!$B$2-$Q94&gt;=2,0,-1),regle!K$2-$Q94)),IF(AW94+1&gt;=regle!$J$12,-2,AW94+1))</f>
        <v>28</v>
      </c>
    </row>
    <row r="95" spans="1:50" x14ac:dyDescent="0.25">
      <c r="A95" t="b">
        <f>AND(modif0[[#This Row],[cdstr]]&lt;&gt;0,OR(regle!$H$27=FALSE,modif0[[#This Row],[essnc]]="PM"))</f>
        <v>1</v>
      </c>
      <c r="B95">
        <f>ROW(objet!A120)</f>
        <v>120</v>
      </c>
      <c r="C95" s="10" t="str">
        <f>objet!D120</f>
        <v>1970000A0878</v>
      </c>
      <c r="D95" t="str">
        <f>LEFT(modif0[[#This Row],[cdstr]],3)</f>
        <v>197</v>
      </c>
      <c r="E95" s="10" t="str">
        <f>objet!G120</f>
        <v>GUILLOS</v>
      </c>
      <c r="F95">
        <f>LEN(modif0[[#This Row],[l_dt]])</f>
        <v>22</v>
      </c>
      <c r="G95" s="10" t="str">
        <f>objet!H120</f>
        <v>LE TRETIN DES JEANNOTS</v>
      </c>
      <c r="H95" s="10" t="str">
        <f>objet!C120</f>
        <v>A878k</v>
      </c>
      <c r="I95" t="str">
        <f>IF(ISNUMBER(VALUE(RIGHT(LEFT(modif0[[#This Row],[idntfn]],2),1))),_xlfn.CONCAT(0,LEFT(modif0[[#This Row],[idntfn]],1)),LEFT(modif0[[#This Row],[idntfn]],2))</f>
        <v>0A</v>
      </c>
      <c r="J95">
        <f>VALUE(LEFT(RIGHT(modif0[[#This Row],[idntfn]],LEN(modif0[[#This Row],[idntfn]])-IF(LEFT(modif0[[#This Row],[sctn]],1)="0",1,2)),LEN(modif0[[#This Row],[idntfn]])-IF(LEFT(modif0[[#This Row],[sctn]],1)="0",1,2)-LEN(modif0[[#This Row],[lttr]])))</f>
        <v>878</v>
      </c>
      <c r="K95" t="str">
        <f>IF(ISNUMBER(VALUE(RIGHT(modif0[[#This Row],[idntfn]],1))),"",IF(ISNUMBER(VALUE(LEFT(RIGHT(modif0[[#This Row],[idntfn]],2),1))),RIGHT(modif0[[#This Row],[idntfn]],1),RIGHT(modif0[[#This Row],[idntfn]],2)))</f>
        <v>k</v>
      </c>
      <c r="L95" s="10">
        <f>objet!I120</f>
        <v>24526</v>
      </c>
      <c r="M95" s="11">
        <f>modif0[[#This Row],[srfc]]/10000</f>
        <v>2.4525999999999999</v>
      </c>
      <c r="N95" s="10" t="str">
        <f>objet!Z120</f>
        <v>PM</v>
      </c>
      <c r="O95" s="10" t="str">
        <f>objet!AA120</f>
        <v>PLA2010</v>
      </c>
      <c r="P95" t="str">
        <f>IF(ISNUMBER(modif0[[#This Row],[trvx]]),"",LEFT(modif0[[#This Row],[trvx]],LEN(modif0[[#This Row],[trvx]])-4))</f>
        <v>PLA</v>
      </c>
      <c r="Q95">
        <f>VALUE(RIGHT(modif0[[#This Row],[trvx]],4))</f>
        <v>2010</v>
      </c>
      <c r="R95" t="str">
        <f>_xlfn.CONCAT(modif0[[#This Row],[tp]],"-",modif0[[#This Row],[essnc]],"_",modif0[[#This Row],[anns]])</f>
        <v>PLA-PM_2010</v>
      </c>
      <c r="S95" t="b">
        <f>modif0[[#This Row],[tp]]="CR"</f>
        <v>0</v>
      </c>
      <c r="T95">
        <v>40</v>
      </c>
      <c r="U95" t="str">
        <f>IF(NOT($A95),"",
IF(AO95=-2,regle!$J$11,
IF(AO95=regle!$B$12,regle!$B$11,
IF(AO95=regle!$C$12,regle!$C$11,
IF(AO95=regle!$D$12,regle!$D$11,
IF(AO95=regle!$E$12,regle!$E$11,
IF(AO95=regle!$F$12,regle!$F$11,
IF(AO95=regle!$G$12,regle!$G$11,
IF(AO95=regle!$H$12,regle!$H$11,
IF(AO95=regle!$I$12,regle!$I$11,""))))))))))</f>
        <v/>
      </c>
      <c r="V95" t="str">
        <f>IF(NOT($A95),"",
IF(AP95=-2,regle!$J$11,
IF(AP95=regle!$B$12,regle!$B$11,
IF(AP95=regle!$C$12,regle!$C$11,
IF(AP95=regle!$D$12,regle!$D$11,
IF(AP95=regle!$E$12,regle!$E$11,
IF(AP95=regle!$F$12,regle!$F$11,
IF(AP95=regle!$G$12,regle!$G$11,
IF(AP95=regle!$H$12,regle!$H$11,
IF(AP95=regle!$I$12,regle!$I$11,""))))))))))</f>
        <v/>
      </c>
      <c r="W95" t="str">
        <f>IF(NOT($A95),"",
IF(AQ95=-2,regle!$J$11,
IF(AQ95=regle!$B$12,regle!$B$11,
IF(AQ95=regle!$C$12,regle!$C$11,
IF(AQ95=regle!$D$12,regle!$D$11,
IF(AQ95=regle!$E$12,regle!$E$11,
IF(AQ95=regle!$F$12,regle!$F$11,
IF(AQ95=regle!$G$12,regle!$G$11,
IF(AQ95=regle!$H$12,regle!$H$11,
IF(AQ95=regle!$I$12,regle!$I$11,""))))))))))</f>
        <v/>
      </c>
      <c r="X95" t="str">
        <f>IF(NOT($A95),"",
IF(AR95=-2,regle!$J$11,
IF(AR95=regle!$B$12,regle!$B$11,
IF(AR95=regle!$C$12,regle!$C$11,
IF(AR95=regle!$D$12,regle!$D$11,
IF(AR95=regle!$E$12,regle!$E$11,
IF(AR95=regle!$F$12,regle!$F$11,
IF(AR95=regle!$G$12,regle!$G$11,
IF(AR95=regle!$H$12,regle!$H$11,
IF(AR95=regle!$I$12,regle!$I$11,""))))))))))</f>
        <v/>
      </c>
      <c r="Y95" t="str">
        <f>IF(NOT($A95),"",
IF(AS95=-2,regle!$J$11,
IF(AS95=regle!$B$12,regle!$B$11,
IF(AS95=regle!$C$12,regle!$C$11,
IF(AS95=regle!$D$12,regle!$D$11,
IF(AS95=regle!$E$12,regle!$E$11,
IF(AS95=regle!$F$12,regle!$F$11,
IF(AS95=regle!$G$12,regle!$G$11,
IF(AS95=regle!$H$12,regle!$H$11,
IF(AS95=regle!$I$12,regle!$I$11,""))))))))))</f>
        <v>EC2</v>
      </c>
      <c r="Z95" t="str">
        <f>IF(NOT($A95),"",
IF(AT95=-2,regle!$J$11,
IF(AT95=regle!$B$12,regle!$B$11,
IF(AT95=regle!$C$12,regle!$C$11,
IF(AT95=regle!$D$12,regle!$D$11,
IF(AT95=regle!$E$12,regle!$E$11,
IF(AT95=regle!$F$12,regle!$F$11,
IF(AT95=regle!$G$12,regle!$G$11,
IF(AT95=regle!$H$12,regle!$H$11,
IF(AT95=regle!$I$12,regle!$I$11,""))))))))))</f>
        <v/>
      </c>
      <c r="AA95" t="str">
        <f>IF(NOT($A95),"",
IF(AU95=-2,regle!$J$11,
IF(AU95=regle!$B$12,regle!$B$11,
IF(AU95=regle!$C$12,regle!$C$11,
IF(AU95=regle!$D$12,regle!$D$11,
IF(AU95=regle!$E$12,regle!$E$11,
IF(AU95=regle!$F$12,regle!$F$11,
IF(AU95=regle!$G$12,regle!$G$11,
IF(AU95=regle!$H$12,regle!$H$11,
IF(AU95=regle!$I$12,regle!$I$11,""))))))))))</f>
        <v/>
      </c>
      <c r="AB95" t="str">
        <f>IF(NOT($A95),"",
IF(AV95=-2,regle!$J$11,
IF(AV95=regle!$B$12,regle!$B$11,
IF(AV95=regle!$C$12,regle!$C$11,
IF(AV95=regle!$D$12,regle!$D$11,
IF(AV95=regle!$E$12,regle!$E$11,
IF(AV95=regle!$F$12,regle!$F$11,
IF(AV95=regle!$G$12,regle!$G$11,
IF(AV95=regle!$H$12,regle!$H$11,
IF(AV95=regle!$I$12,regle!$I$11,""))))))))))</f>
        <v/>
      </c>
      <c r="AC95" t="str">
        <f>IF(NOT($A95),"",
IF(AW95=-2,regle!$J$11,
IF(AW95=regle!$B$12,regle!$B$11,
IF(AW95=regle!$C$12,regle!$C$11,
IF(AW95=regle!$D$12,regle!$D$11,
IF(AW95=regle!$E$12,regle!$E$11,
IF(AW95=regle!$F$12,regle!$F$11,
IF(AW95=regle!$G$12,regle!$G$11,
IF(AW95=regle!$H$12,regle!$H$11,
IF(AW95=regle!$I$12,regle!$I$11,""))))))))))</f>
        <v/>
      </c>
      <c r="AD95" t="str">
        <f>IF(NOT($A95),"",
IF(AX95=-2,regle!$J$11,
IF(AX95=regle!$B$12,regle!$B$11,
IF(AX95=regle!$C$12,regle!$C$11,
IF(AX95=regle!$D$12,regle!$D$11,
IF(AX95=regle!$E$12,regle!$E$11,
IF(AX95=regle!$F$12,regle!$F$11,
IF(AX95=regle!$G$12,regle!$G$11,
IF(AX95=regle!$H$12,regle!$H$11,
IF(AX95=regle!$I$12,regle!$I$11,""))))))))))</f>
        <v>EC3</v>
      </c>
      <c r="AE95" s="14">
        <f>IF($A95,$M95*(IF(U95=regle!$B$11,regle!$B$23,IF(U95=regle!$C$11,regle!$C$23,IF(U95=regle!$D$11,regle!$D$23,IF(U95=regle!$E$11,regle!$E$23,IF(U95=regle!$F$11,regle!$F$23,IF(U95=regle!$G$11,regle!$G$23,IF(U95=regle!$H$11,regle!$H$23,IF(U95=regle!$I$11,regle!$I$23,IF(U95=regle!$J$11,regle!$J$23,0)))))))))))</f>
        <v>0</v>
      </c>
      <c r="AF95" s="14">
        <f>IF($A95,$M95*(IF(V95=regle!$B$11,regle!$B$23,IF(V95=regle!$C$11,regle!$C$23,IF(V95=regle!$D$11,regle!$D$23,IF(V95=regle!$E$11,regle!$E$23,IF(V95=regle!$F$11,regle!$F$23,IF(V95=regle!$G$11,regle!$G$23,IF(V95=regle!$H$11,regle!$H$23,IF(V95=regle!$I$11,regle!$I$23,IF(V95=regle!$J$11,regle!$J$23,0)))))))))))</f>
        <v>0</v>
      </c>
      <c r="AG95" s="14">
        <f>IF($A95,$M95*(IF(W95=regle!$B$11,regle!$B$23,IF(W95=regle!$C$11,regle!$C$23,IF(W95=regle!$D$11,regle!$D$23,IF(W95=regle!$E$11,regle!$E$23,IF(W95=regle!$F$11,regle!$F$23,IF(W95=regle!$G$11,regle!$G$23,IF(W95=regle!$H$11,regle!$H$23,IF(W95=regle!$I$11,regle!$I$23,IF(W95=regle!$J$11,regle!$J$23,0)))))))))))</f>
        <v>0</v>
      </c>
      <c r="AH95" s="14">
        <f>IF($A95,$M95*(IF(X95=regle!$B$11,regle!$B$23,IF(X95=regle!$C$11,regle!$C$23,IF(X95=regle!$D$11,regle!$D$23,IF(X95=regle!$E$11,regle!$E$23,IF(X95=regle!$F$11,regle!$F$23,IF(X95=regle!$G$11,regle!$G$23,IF(X95=regle!$H$11,regle!$H$23,IF(X95=regle!$I$11,regle!$I$23,IF(X95=regle!$J$11,regle!$J$23,0)))))))))))</f>
        <v>0</v>
      </c>
      <c r="AI95" s="14">
        <f>IF($A95,$M95*(IF(Y95=regle!$B$11,regle!$B$23,IF(Y95=regle!$C$11,regle!$C$23,IF(Y95=regle!$D$11,regle!$D$23,IF(Y95=regle!$E$11,regle!$E$23,IF(Y95=regle!$F$11,regle!$F$23,IF(Y95=regle!$G$11,regle!$G$23,IF(Y95=regle!$H$11,regle!$H$23,IF(Y95=regle!$I$11,regle!$I$23,IF(Y95=regle!$J$11,regle!$J$23,0)))))))))))</f>
        <v>2060.1839999999997</v>
      </c>
      <c r="AJ95" s="14">
        <f>IF($A95,$M95*(IF(Z95=regle!$B$11,regle!$B$23,IF(Z95=regle!$C$11,regle!$C$23,IF(Z95=regle!$D$11,regle!$D$23,IF(Z95=regle!$E$11,regle!$E$23,IF(Z95=regle!$F$11,regle!$F$23,IF(Z95=regle!$G$11,regle!$G$23,IF(Z95=regle!$H$11,regle!$H$23,IF(Z95=regle!$I$11,regle!$I$23,IF(Z95=regle!$J$11,regle!$J$23,0)))))))))))</f>
        <v>0</v>
      </c>
      <c r="AK95" s="14">
        <f>IF($A95,$M95*(IF(AA95=regle!$B$11,regle!$B$23,IF(AA95=regle!$C$11,regle!$C$23,IF(AA95=regle!$D$11,regle!$D$23,IF(AA95=regle!$E$11,regle!$E$23,IF(AA95=regle!$F$11,regle!$F$23,IF(AA95=regle!$G$11,regle!$G$23,IF(AA95=regle!$H$11,regle!$H$23,IF(AA95=regle!$I$11,regle!$I$23,IF(AA95=regle!$J$11,regle!$J$23,0)))))))))))</f>
        <v>0</v>
      </c>
      <c r="AL95" s="14">
        <f>IF($A95,$M95*(IF(AB95=regle!$B$11,regle!$B$23,IF(AB95=regle!$C$11,regle!$C$23,IF(AB95=regle!$D$11,regle!$D$23,IF(AB95=regle!$E$11,regle!$E$23,IF(AB95=regle!$F$11,regle!$F$23,IF(AB95=regle!$G$11,regle!$G$23,IF(AB95=regle!$H$11,regle!$H$23,IF(AB95=regle!$I$11,regle!$I$23,IF(AB95=regle!$J$11,regle!$J$23,0)))))))))))</f>
        <v>0</v>
      </c>
      <c r="AM95" s="14">
        <f>IF($A95,$M95*(IF(AC95=regle!$B$11,regle!$B$23,IF(AC95=regle!$C$11,regle!$C$23,IF(AC95=regle!$D$11,regle!$D$23,IF(AC95=regle!$E$11,regle!$E$23,IF(AC95=regle!$F$11,regle!$F$23,IF(AC95=regle!$G$11,regle!$G$23,IF(AC95=regle!$H$11,regle!$H$23,IF(AC95=regle!$I$11,regle!$I$23,IF(AC95=regle!$J$11,regle!$J$23,0)))))))))))</f>
        <v>0</v>
      </c>
      <c r="AN95" s="14">
        <f>IF($A95,$M95*(IF(AD95=regle!$B$11,regle!$B$23,IF(AD95=regle!$C$11,regle!$C$23,IF(AD95=regle!$D$11,regle!$D$23,IF(AD95=regle!$E$11,regle!$E$23,IF(AD95=regle!$F$11,regle!$F$23,IF(AD95=regle!$G$11,regle!$G$23,IF(AD95=regle!$H$11,regle!$H$23,IF(AD95=regle!$I$11,regle!$I$23,IF(AD95=regle!$J$11,regle!$J$23,0)))))))))))</f>
        <v>3453.2608</v>
      </c>
      <c r="AO95">
        <f>IF(AO$1=$AO$1,IF(regle!B$2-$Q95&gt;=regle!$J$12,-2,IF($S95,IF(regle!$B$2-$Q95&gt;=2,0,-1),regle!B$2-$Q95)),IF(AN95+1&gt;=regle!$J$12,-2,AN95+1))</f>
        <v>14</v>
      </c>
      <c r="AP95">
        <f>IF(AP$1=$AO$1,IF(regle!C$2-$Q95&gt;=regle!$J$12,-2,IF($S95,IF(regle!$B$2-$Q95&gt;=2,0,-1),regle!C$2-$Q95)),IF(AO95+1&gt;=regle!$J$12,-2,AO95+1))</f>
        <v>15</v>
      </c>
      <c r="AQ95">
        <f>IF(AQ$1=$AO$1,IF(regle!D$2-$Q95&gt;=regle!$J$12,-2,IF($S95,IF(regle!$B$2-$Q95&gt;=2,0,-1),regle!D$2-$Q95)),IF(AP95+1&gt;=regle!$J$12,-2,AP95+1))</f>
        <v>16</v>
      </c>
      <c r="AR95">
        <f>IF(AR$1=$AO$1,IF(regle!E$2-$Q95&gt;=regle!$J$12,-2,IF($S95,IF(regle!$B$2-$Q95&gt;=2,0,-1),regle!E$2-$Q95)),IF(AQ95+1&gt;=regle!$J$12,-2,AQ95+1))</f>
        <v>17</v>
      </c>
      <c r="AS95">
        <f>IF(AS$1=$AO$1,IF(regle!F$2-$Q95&gt;=regle!$J$12,-2,IF($S95,IF(regle!$B$2-$Q95&gt;=2,0,-1),regle!F$2-$Q95)),IF(AR95+1&gt;=regle!$J$12,-2,AR95+1))</f>
        <v>18</v>
      </c>
      <c r="AT95">
        <f>IF(AT$1=$AO$1,IF(regle!G$2-$Q95&gt;=regle!$J$12,-2,IF($S95,IF(regle!$B$2-$Q95&gt;=2,0,-1),regle!G$2-$Q95)),IF(AS95+1&gt;=regle!$J$12,-2,AS95+1))</f>
        <v>19</v>
      </c>
      <c r="AU95">
        <f>IF(AU$1=$AO$1,IF(regle!H$2-$Q95&gt;=regle!$J$12,-2,IF($S95,IF(regle!$B$2-$Q95&gt;=2,0,-1),regle!H$2-$Q95)),IF(AT95+1&gt;=regle!$J$12,-2,AT95+1))</f>
        <v>20</v>
      </c>
      <c r="AV95">
        <f>IF(AV$1=$AO$1,IF(regle!I$2-$Q95&gt;=regle!$J$12,-2,IF($S95,IF(regle!$B$2-$Q95&gt;=2,0,-1),regle!I$2-$Q95)),IF(AU95+1&gt;=regle!$J$12,-2,AU95+1))</f>
        <v>21</v>
      </c>
      <c r="AW95">
        <f>IF(AW$1=$AO$1,IF(regle!J$2-$Q95&gt;=regle!$J$12,-2,IF($S95,IF(regle!$B$2-$Q95&gt;=2,0,-1),regle!J$2-$Q95)),IF(AV95+1&gt;=regle!$J$12,-2,AV95+1))</f>
        <v>22</v>
      </c>
      <c r="AX95">
        <f>IF(AX$1=$AO$1,IF(regle!K$2-$Q95&gt;=regle!$J$12,-2,IF($S95,IF(regle!$B$2-$Q95&gt;=2,0,-1),regle!K$2-$Q95)),IF(AW95+1&gt;=regle!$J$12,-2,AW95+1))</f>
        <v>23</v>
      </c>
    </row>
    <row r="96" spans="1:50" x14ac:dyDescent="0.25">
      <c r="A96" t="b">
        <f>AND(modif0[[#This Row],[cdstr]]&lt;&gt;0,OR(regle!$H$27=FALSE,modif0[[#This Row],[essnc]]="PM"))</f>
        <v>1</v>
      </c>
      <c r="B96">
        <f>ROW(objet!A121)</f>
        <v>121</v>
      </c>
      <c r="C96" s="10" t="str">
        <f>objet!D121</f>
        <v>1970000A0878</v>
      </c>
      <c r="D96" t="str">
        <f>LEFT(modif0[[#This Row],[cdstr]],3)</f>
        <v>197</v>
      </c>
      <c r="E96" s="10" t="str">
        <f>objet!G121</f>
        <v>GUILLOS</v>
      </c>
      <c r="F96">
        <f>LEN(modif0[[#This Row],[l_dt]])</f>
        <v>22</v>
      </c>
      <c r="G96" s="10" t="str">
        <f>objet!H121</f>
        <v>LE TRETIN DES JEANNOTS</v>
      </c>
      <c r="H96" s="10" t="str">
        <f>objet!C121</f>
        <v>A878l</v>
      </c>
      <c r="I96" t="str">
        <f>IF(ISNUMBER(VALUE(RIGHT(LEFT(modif0[[#This Row],[idntfn]],2),1))),_xlfn.CONCAT(0,LEFT(modif0[[#This Row],[idntfn]],1)),LEFT(modif0[[#This Row],[idntfn]],2))</f>
        <v>0A</v>
      </c>
      <c r="J96">
        <f>VALUE(LEFT(RIGHT(modif0[[#This Row],[idntfn]],LEN(modif0[[#This Row],[idntfn]])-IF(LEFT(modif0[[#This Row],[sctn]],1)="0",1,2)),LEN(modif0[[#This Row],[idntfn]])-IF(LEFT(modif0[[#This Row],[sctn]],1)="0",1,2)-LEN(modif0[[#This Row],[lttr]])))</f>
        <v>878</v>
      </c>
      <c r="K96" t="str">
        <f>IF(ISNUMBER(VALUE(RIGHT(modif0[[#This Row],[idntfn]],1))),"",IF(ISNUMBER(VALUE(LEFT(RIGHT(modif0[[#This Row],[idntfn]],2),1))),RIGHT(modif0[[#This Row],[idntfn]],1),RIGHT(modif0[[#This Row],[idntfn]],2)))</f>
        <v>l</v>
      </c>
      <c r="L96" s="10">
        <f>objet!I121</f>
        <v>17087</v>
      </c>
      <c r="M96" s="11">
        <f>modif0[[#This Row],[srfc]]/10000</f>
        <v>1.7087000000000001</v>
      </c>
      <c r="N96" s="10" t="str">
        <f>objet!Z121</f>
        <v>PM</v>
      </c>
      <c r="O96" s="10" t="str">
        <f>objet!AA121</f>
        <v>PLA2005</v>
      </c>
      <c r="P96" t="str">
        <f>IF(ISNUMBER(modif0[[#This Row],[trvx]]),"",LEFT(modif0[[#This Row],[trvx]],LEN(modif0[[#This Row],[trvx]])-4))</f>
        <v>PLA</v>
      </c>
      <c r="Q96">
        <f>VALUE(RIGHT(modif0[[#This Row],[trvx]],4))</f>
        <v>2005</v>
      </c>
      <c r="R96" t="str">
        <f>_xlfn.CONCAT(modif0[[#This Row],[tp]],"-",modif0[[#This Row],[essnc]],"_",modif0[[#This Row],[anns]])</f>
        <v>PLA-PM_2005</v>
      </c>
      <c r="S96" t="b">
        <f>modif0[[#This Row],[tp]]="CR"</f>
        <v>0</v>
      </c>
      <c r="T96">
        <v>40</v>
      </c>
      <c r="U96" t="str">
        <f>IF(NOT($A96),"",
IF(AO96=-2,regle!$J$11,
IF(AO96=regle!$B$12,regle!$B$11,
IF(AO96=regle!$C$12,regle!$C$11,
IF(AO96=regle!$D$12,regle!$D$11,
IF(AO96=regle!$E$12,regle!$E$11,
IF(AO96=regle!$F$12,regle!$F$11,
IF(AO96=regle!$G$12,regle!$G$11,
IF(AO96=regle!$H$12,regle!$H$11,
IF(AO96=regle!$I$12,regle!$I$11,""))))))))))</f>
        <v/>
      </c>
      <c r="V96" t="str">
        <f>IF(NOT($A96),"",
IF(AP96=-2,regle!$J$11,
IF(AP96=regle!$B$12,regle!$B$11,
IF(AP96=regle!$C$12,regle!$C$11,
IF(AP96=regle!$D$12,regle!$D$11,
IF(AP96=regle!$E$12,regle!$E$11,
IF(AP96=regle!$F$12,regle!$F$11,
IF(AP96=regle!$G$12,regle!$G$11,
IF(AP96=regle!$H$12,regle!$H$11,
IF(AP96=regle!$I$12,regle!$I$11,""))))))))))</f>
        <v/>
      </c>
      <c r="W96" t="str">
        <f>IF(NOT($A96),"",
IF(AQ96=-2,regle!$J$11,
IF(AQ96=regle!$B$12,regle!$B$11,
IF(AQ96=regle!$C$12,regle!$C$11,
IF(AQ96=regle!$D$12,regle!$D$11,
IF(AQ96=regle!$E$12,regle!$E$11,
IF(AQ96=regle!$F$12,regle!$F$11,
IF(AQ96=regle!$G$12,regle!$G$11,
IF(AQ96=regle!$H$12,regle!$H$11,
IF(AQ96=regle!$I$12,regle!$I$11,""))))))))))</f>
        <v/>
      </c>
      <c r="X96" t="str">
        <f>IF(NOT($A96),"",
IF(AR96=-2,regle!$J$11,
IF(AR96=regle!$B$12,regle!$B$11,
IF(AR96=regle!$C$12,regle!$C$11,
IF(AR96=regle!$D$12,regle!$D$11,
IF(AR96=regle!$E$12,regle!$E$11,
IF(AR96=regle!$F$12,regle!$F$11,
IF(AR96=regle!$G$12,regle!$G$11,
IF(AR96=regle!$H$12,regle!$H$11,
IF(AR96=regle!$I$12,regle!$I$11,""))))))))))</f>
        <v/>
      </c>
      <c r="Y96" t="str">
        <f>IF(NOT($A96),"",
IF(AS96=-2,regle!$J$11,
IF(AS96=regle!$B$12,regle!$B$11,
IF(AS96=regle!$C$12,regle!$C$11,
IF(AS96=regle!$D$12,regle!$D$11,
IF(AS96=regle!$E$12,regle!$E$11,
IF(AS96=regle!$F$12,regle!$F$11,
IF(AS96=regle!$G$12,regle!$G$11,
IF(AS96=regle!$H$12,regle!$H$11,
IF(AS96=regle!$I$12,regle!$I$11,""))))))))))</f>
        <v>EC3</v>
      </c>
      <c r="Z96" t="str">
        <f>IF(NOT($A96),"",
IF(AT96=-2,regle!$J$11,
IF(AT96=regle!$B$12,regle!$B$11,
IF(AT96=regle!$C$12,regle!$C$11,
IF(AT96=regle!$D$12,regle!$D$11,
IF(AT96=regle!$E$12,regle!$E$11,
IF(AT96=regle!$F$12,regle!$F$11,
IF(AT96=regle!$G$12,regle!$G$11,
IF(AT96=regle!$H$12,regle!$H$11,
IF(AT96=regle!$I$12,regle!$I$11,""))))))))))</f>
        <v/>
      </c>
      <c r="AA96" t="str">
        <f>IF(NOT($A96),"",
IF(AU96=-2,regle!$J$11,
IF(AU96=regle!$B$12,regle!$B$11,
IF(AU96=regle!$C$12,regle!$C$11,
IF(AU96=regle!$D$12,regle!$D$11,
IF(AU96=regle!$E$12,regle!$E$11,
IF(AU96=regle!$F$12,regle!$F$11,
IF(AU96=regle!$G$12,regle!$G$11,
IF(AU96=regle!$H$12,regle!$H$11,
IF(AU96=regle!$I$12,regle!$I$11,""))))))))))</f>
        <v/>
      </c>
      <c r="AB96" t="str">
        <f>IF(NOT($A96),"",
IF(AV96=-2,regle!$J$11,
IF(AV96=regle!$B$12,regle!$B$11,
IF(AV96=regle!$C$12,regle!$C$11,
IF(AV96=regle!$D$12,regle!$D$11,
IF(AV96=regle!$E$12,regle!$E$11,
IF(AV96=regle!$F$12,regle!$F$11,
IF(AV96=regle!$G$12,regle!$G$11,
IF(AV96=regle!$H$12,regle!$H$11,
IF(AV96=regle!$I$12,regle!$I$11,""))))))))))</f>
        <v/>
      </c>
      <c r="AC96" t="str">
        <f>IF(NOT($A96),"",
IF(AW96=-2,regle!$J$11,
IF(AW96=regle!$B$12,regle!$B$11,
IF(AW96=regle!$C$12,regle!$C$11,
IF(AW96=regle!$D$12,regle!$D$11,
IF(AW96=regle!$E$12,regle!$E$11,
IF(AW96=regle!$F$12,regle!$F$11,
IF(AW96=regle!$G$12,regle!$G$11,
IF(AW96=regle!$H$12,regle!$H$11,
IF(AW96=regle!$I$12,regle!$I$11,""))))))))))</f>
        <v/>
      </c>
      <c r="AD96" t="str">
        <f>IF(NOT($A96),"",
IF(AX96=-2,regle!$J$11,
IF(AX96=regle!$B$12,regle!$B$11,
IF(AX96=regle!$C$12,regle!$C$11,
IF(AX96=regle!$D$12,regle!$D$11,
IF(AX96=regle!$E$12,regle!$E$11,
IF(AX96=regle!$F$12,regle!$F$11,
IF(AX96=regle!$G$12,regle!$G$11,
IF(AX96=regle!$H$12,regle!$H$11,
IF(AX96=regle!$I$12,regle!$I$11,""))))))))))</f>
        <v>EC4</v>
      </c>
      <c r="AE96" s="14">
        <f>IF($A96,$M96*(IF(U96=regle!$B$11,regle!$B$23,IF(U96=regle!$C$11,regle!$C$23,IF(U96=regle!$D$11,regle!$D$23,IF(U96=regle!$E$11,regle!$E$23,IF(U96=regle!$F$11,regle!$F$23,IF(U96=regle!$G$11,regle!$G$23,IF(U96=regle!$H$11,regle!$H$23,IF(U96=regle!$I$11,regle!$I$23,IF(U96=regle!$J$11,regle!$J$23,0)))))))))))</f>
        <v>0</v>
      </c>
      <c r="AF96" s="14">
        <f>IF($A96,$M96*(IF(V96=regle!$B$11,regle!$B$23,IF(V96=regle!$C$11,regle!$C$23,IF(V96=regle!$D$11,regle!$D$23,IF(V96=regle!$E$11,regle!$E$23,IF(V96=regle!$F$11,regle!$F$23,IF(V96=regle!$G$11,regle!$G$23,IF(V96=regle!$H$11,regle!$H$23,IF(V96=regle!$I$11,regle!$I$23,IF(V96=regle!$J$11,regle!$J$23,0)))))))))))</f>
        <v>0</v>
      </c>
      <c r="AG96" s="14">
        <f>IF($A96,$M96*(IF(W96=regle!$B$11,regle!$B$23,IF(W96=regle!$C$11,regle!$C$23,IF(W96=regle!$D$11,regle!$D$23,IF(W96=regle!$E$11,regle!$E$23,IF(W96=regle!$F$11,regle!$F$23,IF(W96=regle!$G$11,regle!$G$23,IF(W96=regle!$H$11,regle!$H$23,IF(W96=regle!$I$11,regle!$I$23,IF(W96=regle!$J$11,regle!$J$23,0)))))))))))</f>
        <v>0</v>
      </c>
      <c r="AH96" s="14">
        <f>IF($A96,$M96*(IF(X96=regle!$B$11,regle!$B$23,IF(X96=regle!$C$11,regle!$C$23,IF(X96=regle!$D$11,regle!$D$23,IF(X96=regle!$E$11,regle!$E$23,IF(X96=regle!$F$11,regle!$F$23,IF(X96=regle!$G$11,regle!$G$23,IF(X96=regle!$H$11,regle!$H$23,IF(X96=regle!$I$11,regle!$I$23,IF(X96=regle!$J$11,regle!$J$23,0)))))))))))</f>
        <v>0</v>
      </c>
      <c r="AI96" s="14">
        <f>IF($A96,$M96*(IF(Y96=regle!$B$11,regle!$B$23,IF(Y96=regle!$C$11,regle!$C$23,IF(Y96=regle!$D$11,regle!$D$23,IF(Y96=regle!$E$11,regle!$E$23,IF(Y96=regle!$F$11,regle!$F$23,IF(Y96=regle!$G$11,regle!$G$23,IF(Y96=regle!$H$11,regle!$H$23,IF(Y96=regle!$I$11,regle!$I$23,IF(Y96=regle!$J$11,regle!$J$23,0)))))))))))</f>
        <v>2405.8496</v>
      </c>
      <c r="AJ96" s="14">
        <f>IF($A96,$M96*(IF(Z96=regle!$B$11,regle!$B$23,IF(Z96=regle!$C$11,regle!$C$23,IF(Z96=regle!$D$11,regle!$D$23,IF(Z96=regle!$E$11,regle!$E$23,IF(Z96=regle!$F$11,regle!$F$23,IF(Z96=regle!$G$11,regle!$G$23,IF(Z96=regle!$H$11,regle!$H$23,IF(Z96=regle!$I$11,regle!$I$23,IF(Z96=regle!$J$11,regle!$J$23,0)))))))))))</f>
        <v>0</v>
      </c>
      <c r="AK96" s="14">
        <f>IF($A96,$M96*(IF(AA96=regle!$B$11,regle!$B$23,IF(AA96=regle!$C$11,regle!$C$23,IF(AA96=regle!$D$11,regle!$D$23,IF(AA96=regle!$E$11,regle!$E$23,IF(AA96=regle!$F$11,regle!$F$23,IF(AA96=regle!$G$11,regle!$G$23,IF(AA96=regle!$H$11,regle!$H$23,IF(AA96=regle!$I$11,regle!$I$23,IF(AA96=regle!$J$11,regle!$J$23,0)))))))))))</f>
        <v>0</v>
      </c>
      <c r="AL96" s="14">
        <f>IF($A96,$M96*(IF(AB96=regle!$B$11,regle!$B$23,IF(AB96=regle!$C$11,regle!$C$23,IF(AB96=regle!$D$11,regle!$D$23,IF(AB96=regle!$E$11,regle!$E$23,IF(AB96=regle!$F$11,regle!$F$23,IF(AB96=regle!$G$11,regle!$G$23,IF(AB96=regle!$H$11,regle!$H$23,IF(AB96=regle!$I$11,regle!$I$23,IF(AB96=regle!$J$11,regle!$J$23,0)))))))))))</f>
        <v>0</v>
      </c>
      <c r="AM96" s="14">
        <f>IF($A96,$M96*(IF(AC96=regle!$B$11,regle!$B$23,IF(AC96=regle!$C$11,regle!$C$23,IF(AC96=regle!$D$11,regle!$D$23,IF(AC96=regle!$E$11,regle!$E$23,IF(AC96=regle!$F$11,regle!$F$23,IF(AC96=regle!$G$11,regle!$G$23,IF(AC96=regle!$H$11,regle!$H$23,IF(AC96=regle!$I$11,regle!$I$23,IF(AC96=regle!$J$11,regle!$J$23,0)))))))))))</f>
        <v>0</v>
      </c>
      <c r="AN96" s="14">
        <f>IF($A96,$M96*(IF(AD96=regle!$B$11,regle!$B$23,IF(AD96=regle!$C$11,regle!$C$23,IF(AD96=regle!$D$11,regle!$D$23,IF(AD96=regle!$E$11,regle!$E$23,IF(AD96=regle!$F$11,regle!$F$23,IF(AD96=regle!$G$11,regle!$G$23,IF(AD96=regle!$H$11,regle!$H$23,IF(AD96=regle!$I$11,regle!$I$23,IF(AD96=regle!$J$11,regle!$J$23,0)))))))))))</f>
        <v>2187.136</v>
      </c>
      <c r="AO96">
        <f>IF(AO$1=$AO$1,IF(regle!B$2-$Q96&gt;=regle!$J$12,-2,IF($S96,IF(regle!$B$2-$Q96&gt;=2,0,-1),regle!B$2-$Q96)),IF(AN96+1&gt;=regle!$J$12,-2,AN96+1))</f>
        <v>19</v>
      </c>
      <c r="AP96">
        <f>IF(AP$1=$AO$1,IF(regle!C$2-$Q96&gt;=regle!$J$12,-2,IF($S96,IF(regle!$B$2-$Q96&gt;=2,0,-1),regle!C$2-$Q96)),IF(AO96+1&gt;=regle!$J$12,-2,AO96+1))</f>
        <v>20</v>
      </c>
      <c r="AQ96">
        <f>IF(AQ$1=$AO$1,IF(regle!D$2-$Q96&gt;=regle!$J$12,-2,IF($S96,IF(regle!$B$2-$Q96&gt;=2,0,-1),regle!D$2-$Q96)),IF(AP96+1&gt;=regle!$J$12,-2,AP96+1))</f>
        <v>21</v>
      </c>
      <c r="AR96">
        <f>IF(AR$1=$AO$1,IF(regle!E$2-$Q96&gt;=regle!$J$12,-2,IF($S96,IF(regle!$B$2-$Q96&gt;=2,0,-1),regle!E$2-$Q96)),IF(AQ96+1&gt;=regle!$J$12,-2,AQ96+1))</f>
        <v>22</v>
      </c>
      <c r="AS96">
        <f>IF(AS$1=$AO$1,IF(regle!F$2-$Q96&gt;=regle!$J$12,-2,IF($S96,IF(regle!$B$2-$Q96&gt;=2,0,-1),regle!F$2-$Q96)),IF(AR96+1&gt;=regle!$J$12,-2,AR96+1))</f>
        <v>23</v>
      </c>
      <c r="AT96">
        <f>IF(AT$1=$AO$1,IF(regle!G$2-$Q96&gt;=regle!$J$12,-2,IF($S96,IF(regle!$B$2-$Q96&gt;=2,0,-1),regle!G$2-$Q96)),IF(AS96+1&gt;=regle!$J$12,-2,AS96+1))</f>
        <v>24</v>
      </c>
      <c r="AU96">
        <f>IF(AU$1=$AO$1,IF(regle!H$2-$Q96&gt;=regle!$J$12,-2,IF($S96,IF(regle!$B$2-$Q96&gt;=2,0,-1),regle!H$2-$Q96)),IF(AT96+1&gt;=regle!$J$12,-2,AT96+1))</f>
        <v>25</v>
      </c>
      <c r="AV96">
        <f>IF(AV$1=$AO$1,IF(regle!I$2-$Q96&gt;=regle!$J$12,-2,IF($S96,IF(regle!$B$2-$Q96&gt;=2,0,-1),regle!I$2-$Q96)),IF(AU96+1&gt;=regle!$J$12,-2,AU96+1))</f>
        <v>26</v>
      </c>
      <c r="AW96">
        <f>IF(AW$1=$AO$1,IF(regle!J$2-$Q96&gt;=regle!$J$12,-2,IF($S96,IF(regle!$B$2-$Q96&gt;=2,0,-1),regle!J$2-$Q96)),IF(AV96+1&gt;=regle!$J$12,-2,AV96+1))</f>
        <v>27</v>
      </c>
      <c r="AX96">
        <f>IF(AX$1=$AO$1,IF(regle!K$2-$Q96&gt;=regle!$J$12,-2,IF($S96,IF(regle!$B$2-$Q96&gt;=2,0,-1),regle!K$2-$Q96)),IF(AW96+1&gt;=regle!$J$12,-2,AW96+1))</f>
        <v>28</v>
      </c>
    </row>
    <row r="97" spans="1:50" x14ac:dyDescent="0.25">
      <c r="A97" t="b">
        <f>AND(modif0[[#This Row],[cdstr]]&lt;&gt;0,OR(regle!$H$27=FALSE,modif0[[#This Row],[essnc]]="PM"))</f>
        <v>1</v>
      </c>
      <c r="B97">
        <f>ROW(objet!A122)</f>
        <v>122</v>
      </c>
      <c r="C97" s="10" t="str">
        <f>objet!D122</f>
        <v>1970000A0987</v>
      </c>
      <c r="D97" t="str">
        <f>LEFT(modif0[[#This Row],[cdstr]],3)</f>
        <v>197</v>
      </c>
      <c r="E97" s="10" t="str">
        <f>objet!G122</f>
        <v>GUILLOS</v>
      </c>
      <c r="F97">
        <f>LEN(modif0[[#This Row],[l_dt]])</f>
        <v>22</v>
      </c>
      <c r="G97" s="10" t="str">
        <f>objet!H122</f>
        <v>LE TRETIN DES JEANNOTS</v>
      </c>
      <c r="H97" s="10" t="str">
        <f>objet!C122</f>
        <v>A987</v>
      </c>
      <c r="I97" t="str">
        <f>IF(ISNUMBER(VALUE(RIGHT(LEFT(modif0[[#This Row],[idntfn]],2),1))),_xlfn.CONCAT(0,LEFT(modif0[[#This Row],[idntfn]],1)),LEFT(modif0[[#This Row],[idntfn]],2))</f>
        <v>0A</v>
      </c>
      <c r="J97">
        <f>VALUE(LEFT(RIGHT(modif0[[#This Row],[idntfn]],LEN(modif0[[#This Row],[idntfn]])-IF(LEFT(modif0[[#This Row],[sctn]],1)="0",1,2)),LEN(modif0[[#This Row],[idntfn]])-IF(LEFT(modif0[[#This Row],[sctn]],1)="0",1,2)-LEN(modif0[[#This Row],[lttr]])))</f>
        <v>987</v>
      </c>
      <c r="K97" t="str">
        <f>IF(ISNUMBER(VALUE(RIGHT(modif0[[#This Row],[idntfn]],1))),"",IF(ISNUMBER(VALUE(LEFT(RIGHT(modif0[[#This Row],[idntfn]],2),1))),RIGHT(modif0[[#This Row],[idntfn]],1),RIGHT(modif0[[#This Row],[idntfn]],2)))</f>
        <v/>
      </c>
      <c r="L97" s="10">
        <f>objet!I122</f>
        <v>1043</v>
      </c>
      <c r="M97" s="11">
        <f>modif0[[#This Row],[srfc]]/10000</f>
        <v>0.1043</v>
      </c>
      <c r="N97" s="10" t="str">
        <f>objet!Z122</f>
        <v>PM</v>
      </c>
      <c r="O97" s="10" t="str">
        <f>objet!AA122</f>
        <v>PLA2005</v>
      </c>
      <c r="P97" t="str">
        <f>IF(ISNUMBER(modif0[[#This Row],[trvx]]),"",LEFT(modif0[[#This Row],[trvx]],LEN(modif0[[#This Row],[trvx]])-4))</f>
        <v>PLA</v>
      </c>
      <c r="Q97">
        <f>VALUE(RIGHT(modif0[[#This Row],[trvx]],4))</f>
        <v>2005</v>
      </c>
      <c r="R97" t="str">
        <f>_xlfn.CONCAT(modif0[[#This Row],[tp]],"-",modif0[[#This Row],[essnc]],"_",modif0[[#This Row],[anns]])</f>
        <v>PLA-PM_2005</v>
      </c>
      <c r="S97" t="b">
        <f>modif0[[#This Row],[tp]]="CR"</f>
        <v>0</v>
      </c>
      <c r="T97">
        <v>40</v>
      </c>
      <c r="U97" t="str">
        <f>IF(NOT($A97),"",
IF(AO97=-2,regle!$J$11,
IF(AO97=regle!$B$12,regle!$B$11,
IF(AO97=regle!$C$12,regle!$C$11,
IF(AO97=regle!$D$12,regle!$D$11,
IF(AO97=regle!$E$12,regle!$E$11,
IF(AO97=regle!$F$12,regle!$F$11,
IF(AO97=regle!$G$12,regle!$G$11,
IF(AO97=regle!$H$12,regle!$H$11,
IF(AO97=regle!$I$12,regle!$I$11,""))))))))))</f>
        <v/>
      </c>
      <c r="V97" t="str">
        <f>IF(NOT($A97),"",
IF(AP97=-2,regle!$J$11,
IF(AP97=regle!$B$12,regle!$B$11,
IF(AP97=regle!$C$12,regle!$C$11,
IF(AP97=regle!$D$12,regle!$D$11,
IF(AP97=regle!$E$12,regle!$E$11,
IF(AP97=regle!$F$12,regle!$F$11,
IF(AP97=regle!$G$12,regle!$G$11,
IF(AP97=regle!$H$12,regle!$H$11,
IF(AP97=regle!$I$12,regle!$I$11,""))))))))))</f>
        <v/>
      </c>
      <c r="W97" t="str">
        <f>IF(NOT($A97),"",
IF(AQ97=-2,regle!$J$11,
IF(AQ97=regle!$B$12,regle!$B$11,
IF(AQ97=regle!$C$12,regle!$C$11,
IF(AQ97=regle!$D$12,regle!$D$11,
IF(AQ97=regle!$E$12,regle!$E$11,
IF(AQ97=regle!$F$12,regle!$F$11,
IF(AQ97=regle!$G$12,regle!$G$11,
IF(AQ97=regle!$H$12,regle!$H$11,
IF(AQ97=regle!$I$12,regle!$I$11,""))))))))))</f>
        <v/>
      </c>
      <c r="X97" t="str">
        <f>IF(NOT($A97),"",
IF(AR97=-2,regle!$J$11,
IF(AR97=regle!$B$12,regle!$B$11,
IF(AR97=regle!$C$12,regle!$C$11,
IF(AR97=regle!$D$12,regle!$D$11,
IF(AR97=regle!$E$12,regle!$E$11,
IF(AR97=regle!$F$12,regle!$F$11,
IF(AR97=regle!$G$12,regle!$G$11,
IF(AR97=regle!$H$12,regle!$H$11,
IF(AR97=regle!$I$12,regle!$I$11,""))))))))))</f>
        <v/>
      </c>
      <c r="Y97" t="str">
        <f>IF(NOT($A97),"",
IF(AS97=-2,regle!$J$11,
IF(AS97=regle!$B$12,regle!$B$11,
IF(AS97=regle!$C$12,regle!$C$11,
IF(AS97=regle!$D$12,regle!$D$11,
IF(AS97=regle!$E$12,regle!$E$11,
IF(AS97=regle!$F$12,regle!$F$11,
IF(AS97=regle!$G$12,regle!$G$11,
IF(AS97=regle!$H$12,regle!$H$11,
IF(AS97=regle!$I$12,regle!$I$11,""))))))))))</f>
        <v>EC3</v>
      </c>
      <c r="Z97" t="str">
        <f>IF(NOT($A97),"",
IF(AT97=-2,regle!$J$11,
IF(AT97=regle!$B$12,regle!$B$11,
IF(AT97=regle!$C$12,regle!$C$11,
IF(AT97=regle!$D$12,regle!$D$11,
IF(AT97=regle!$E$12,regle!$E$11,
IF(AT97=regle!$F$12,regle!$F$11,
IF(AT97=regle!$G$12,regle!$G$11,
IF(AT97=regle!$H$12,regle!$H$11,
IF(AT97=regle!$I$12,regle!$I$11,""))))))))))</f>
        <v/>
      </c>
      <c r="AA97" t="str">
        <f>IF(NOT($A97),"",
IF(AU97=-2,regle!$J$11,
IF(AU97=regle!$B$12,regle!$B$11,
IF(AU97=regle!$C$12,regle!$C$11,
IF(AU97=regle!$D$12,regle!$D$11,
IF(AU97=regle!$E$12,regle!$E$11,
IF(AU97=regle!$F$12,regle!$F$11,
IF(AU97=regle!$G$12,regle!$G$11,
IF(AU97=regle!$H$12,regle!$H$11,
IF(AU97=regle!$I$12,regle!$I$11,""))))))))))</f>
        <v/>
      </c>
      <c r="AB97" t="str">
        <f>IF(NOT($A97),"",
IF(AV97=-2,regle!$J$11,
IF(AV97=regle!$B$12,regle!$B$11,
IF(AV97=regle!$C$12,regle!$C$11,
IF(AV97=regle!$D$12,regle!$D$11,
IF(AV97=regle!$E$12,regle!$E$11,
IF(AV97=regle!$F$12,regle!$F$11,
IF(AV97=regle!$G$12,regle!$G$11,
IF(AV97=regle!$H$12,regle!$H$11,
IF(AV97=regle!$I$12,regle!$I$11,""))))))))))</f>
        <v/>
      </c>
      <c r="AC97" t="str">
        <f>IF(NOT($A97),"",
IF(AW97=-2,regle!$J$11,
IF(AW97=regle!$B$12,regle!$B$11,
IF(AW97=regle!$C$12,regle!$C$11,
IF(AW97=regle!$D$12,regle!$D$11,
IF(AW97=regle!$E$12,regle!$E$11,
IF(AW97=regle!$F$12,regle!$F$11,
IF(AW97=regle!$G$12,regle!$G$11,
IF(AW97=regle!$H$12,regle!$H$11,
IF(AW97=regle!$I$12,regle!$I$11,""))))))))))</f>
        <v/>
      </c>
      <c r="AD97" t="str">
        <f>IF(NOT($A97),"",
IF(AX97=-2,regle!$J$11,
IF(AX97=regle!$B$12,regle!$B$11,
IF(AX97=regle!$C$12,regle!$C$11,
IF(AX97=regle!$D$12,regle!$D$11,
IF(AX97=regle!$E$12,regle!$E$11,
IF(AX97=regle!$F$12,regle!$F$11,
IF(AX97=regle!$G$12,regle!$G$11,
IF(AX97=regle!$H$12,regle!$H$11,
IF(AX97=regle!$I$12,regle!$I$11,""))))))))))</f>
        <v>EC4</v>
      </c>
      <c r="AE97" s="14">
        <f>IF($A97,$M97*(IF(U97=regle!$B$11,regle!$B$23,IF(U97=regle!$C$11,regle!$C$23,IF(U97=regle!$D$11,regle!$D$23,IF(U97=regle!$E$11,regle!$E$23,IF(U97=regle!$F$11,regle!$F$23,IF(U97=regle!$G$11,regle!$G$23,IF(U97=regle!$H$11,regle!$H$23,IF(U97=regle!$I$11,regle!$I$23,IF(U97=regle!$J$11,regle!$J$23,0)))))))))))</f>
        <v>0</v>
      </c>
      <c r="AF97" s="14">
        <f>IF($A97,$M97*(IF(V97=regle!$B$11,regle!$B$23,IF(V97=regle!$C$11,regle!$C$23,IF(V97=regle!$D$11,regle!$D$23,IF(V97=regle!$E$11,regle!$E$23,IF(V97=regle!$F$11,regle!$F$23,IF(V97=regle!$G$11,regle!$G$23,IF(V97=regle!$H$11,regle!$H$23,IF(V97=regle!$I$11,regle!$I$23,IF(V97=regle!$J$11,regle!$J$23,0)))))))))))</f>
        <v>0</v>
      </c>
      <c r="AG97" s="14">
        <f>IF($A97,$M97*(IF(W97=regle!$B$11,regle!$B$23,IF(W97=regle!$C$11,regle!$C$23,IF(W97=regle!$D$11,regle!$D$23,IF(W97=regle!$E$11,regle!$E$23,IF(W97=regle!$F$11,regle!$F$23,IF(W97=regle!$G$11,regle!$G$23,IF(W97=regle!$H$11,regle!$H$23,IF(W97=regle!$I$11,regle!$I$23,IF(W97=regle!$J$11,regle!$J$23,0)))))))))))</f>
        <v>0</v>
      </c>
      <c r="AH97" s="14">
        <f>IF($A97,$M97*(IF(X97=regle!$B$11,regle!$B$23,IF(X97=regle!$C$11,regle!$C$23,IF(X97=regle!$D$11,regle!$D$23,IF(X97=regle!$E$11,regle!$E$23,IF(X97=regle!$F$11,regle!$F$23,IF(X97=regle!$G$11,regle!$G$23,IF(X97=regle!$H$11,regle!$H$23,IF(X97=regle!$I$11,regle!$I$23,IF(X97=regle!$J$11,regle!$J$23,0)))))))))))</f>
        <v>0</v>
      </c>
      <c r="AI97" s="14">
        <f>IF($A97,$M97*(IF(Y97=regle!$B$11,regle!$B$23,IF(Y97=regle!$C$11,regle!$C$23,IF(Y97=regle!$D$11,regle!$D$23,IF(Y97=regle!$E$11,regle!$E$23,IF(Y97=regle!$F$11,regle!$F$23,IF(Y97=regle!$G$11,regle!$G$23,IF(Y97=regle!$H$11,regle!$H$23,IF(Y97=regle!$I$11,regle!$I$23,IF(Y97=regle!$J$11,regle!$J$23,0)))))))))))</f>
        <v>146.8544</v>
      </c>
      <c r="AJ97" s="14">
        <f>IF($A97,$M97*(IF(Z97=regle!$B$11,regle!$B$23,IF(Z97=regle!$C$11,regle!$C$23,IF(Z97=regle!$D$11,regle!$D$23,IF(Z97=regle!$E$11,regle!$E$23,IF(Z97=regle!$F$11,regle!$F$23,IF(Z97=regle!$G$11,regle!$G$23,IF(Z97=regle!$H$11,regle!$H$23,IF(Z97=regle!$I$11,regle!$I$23,IF(Z97=regle!$J$11,regle!$J$23,0)))))))))))</f>
        <v>0</v>
      </c>
      <c r="AK97" s="14">
        <f>IF($A97,$M97*(IF(AA97=regle!$B$11,regle!$B$23,IF(AA97=regle!$C$11,regle!$C$23,IF(AA97=regle!$D$11,regle!$D$23,IF(AA97=regle!$E$11,regle!$E$23,IF(AA97=regle!$F$11,regle!$F$23,IF(AA97=regle!$G$11,regle!$G$23,IF(AA97=regle!$H$11,regle!$H$23,IF(AA97=regle!$I$11,regle!$I$23,IF(AA97=regle!$J$11,regle!$J$23,0)))))))))))</f>
        <v>0</v>
      </c>
      <c r="AL97" s="14">
        <f>IF($A97,$M97*(IF(AB97=regle!$B$11,regle!$B$23,IF(AB97=regle!$C$11,regle!$C$23,IF(AB97=regle!$D$11,regle!$D$23,IF(AB97=regle!$E$11,regle!$E$23,IF(AB97=regle!$F$11,regle!$F$23,IF(AB97=regle!$G$11,regle!$G$23,IF(AB97=regle!$H$11,regle!$H$23,IF(AB97=regle!$I$11,regle!$I$23,IF(AB97=regle!$J$11,regle!$J$23,0)))))))))))</f>
        <v>0</v>
      </c>
      <c r="AM97" s="14">
        <f>IF($A97,$M97*(IF(AC97=regle!$B$11,regle!$B$23,IF(AC97=regle!$C$11,regle!$C$23,IF(AC97=regle!$D$11,regle!$D$23,IF(AC97=regle!$E$11,regle!$E$23,IF(AC97=regle!$F$11,regle!$F$23,IF(AC97=regle!$G$11,regle!$G$23,IF(AC97=regle!$H$11,regle!$H$23,IF(AC97=regle!$I$11,regle!$I$23,IF(AC97=regle!$J$11,regle!$J$23,0)))))))))))</f>
        <v>0</v>
      </c>
      <c r="AN97" s="14">
        <f>IF($A97,$M97*(IF(AD97=regle!$B$11,regle!$B$23,IF(AD97=regle!$C$11,regle!$C$23,IF(AD97=regle!$D$11,regle!$D$23,IF(AD97=regle!$E$11,regle!$E$23,IF(AD97=regle!$F$11,regle!$F$23,IF(AD97=regle!$G$11,regle!$G$23,IF(AD97=regle!$H$11,regle!$H$23,IF(AD97=regle!$I$11,regle!$I$23,IF(AD97=regle!$J$11,regle!$J$23,0)))))))))))</f>
        <v>133.50400000000002</v>
      </c>
      <c r="AO97">
        <f>IF(AO$1=$AO$1,IF(regle!B$2-$Q97&gt;=regle!$J$12,-2,IF($S97,IF(regle!$B$2-$Q97&gt;=2,0,-1),regle!B$2-$Q97)),IF(AN97+1&gt;=regle!$J$12,-2,AN97+1))</f>
        <v>19</v>
      </c>
      <c r="AP97">
        <f>IF(AP$1=$AO$1,IF(regle!C$2-$Q97&gt;=regle!$J$12,-2,IF($S97,IF(regle!$B$2-$Q97&gt;=2,0,-1),regle!C$2-$Q97)),IF(AO97+1&gt;=regle!$J$12,-2,AO97+1))</f>
        <v>20</v>
      </c>
      <c r="AQ97">
        <f>IF(AQ$1=$AO$1,IF(regle!D$2-$Q97&gt;=regle!$J$12,-2,IF($S97,IF(regle!$B$2-$Q97&gt;=2,0,-1),regle!D$2-$Q97)),IF(AP97+1&gt;=regle!$J$12,-2,AP97+1))</f>
        <v>21</v>
      </c>
      <c r="AR97">
        <f>IF(AR$1=$AO$1,IF(regle!E$2-$Q97&gt;=regle!$J$12,-2,IF($S97,IF(regle!$B$2-$Q97&gt;=2,0,-1),regle!E$2-$Q97)),IF(AQ97+1&gt;=regle!$J$12,-2,AQ97+1))</f>
        <v>22</v>
      </c>
      <c r="AS97">
        <f>IF(AS$1=$AO$1,IF(regle!F$2-$Q97&gt;=regle!$J$12,-2,IF($S97,IF(regle!$B$2-$Q97&gt;=2,0,-1),regle!F$2-$Q97)),IF(AR97+1&gt;=regle!$J$12,-2,AR97+1))</f>
        <v>23</v>
      </c>
      <c r="AT97">
        <f>IF(AT$1=$AO$1,IF(regle!G$2-$Q97&gt;=regle!$J$12,-2,IF($S97,IF(regle!$B$2-$Q97&gt;=2,0,-1),regle!G$2-$Q97)),IF(AS97+1&gt;=regle!$J$12,-2,AS97+1))</f>
        <v>24</v>
      </c>
      <c r="AU97">
        <f>IF(AU$1=$AO$1,IF(regle!H$2-$Q97&gt;=regle!$J$12,-2,IF($S97,IF(regle!$B$2-$Q97&gt;=2,0,-1),regle!H$2-$Q97)),IF(AT97+1&gt;=regle!$J$12,-2,AT97+1))</f>
        <v>25</v>
      </c>
      <c r="AV97">
        <f>IF(AV$1=$AO$1,IF(regle!I$2-$Q97&gt;=regle!$J$12,-2,IF($S97,IF(regle!$B$2-$Q97&gt;=2,0,-1),regle!I$2-$Q97)),IF(AU97+1&gt;=regle!$J$12,-2,AU97+1))</f>
        <v>26</v>
      </c>
      <c r="AW97">
        <f>IF(AW$1=$AO$1,IF(regle!J$2-$Q97&gt;=regle!$J$12,-2,IF($S97,IF(regle!$B$2-$Q97&gt;=2,0,-1),regle!J$2-$Q97)),IF(AV97+1&gt;=regle!$J$12,-2,AV97+1))</f>
        <v>27</v>
      </c>
      <c r="AX97">
        <f>IF(AX$1=$AO$1,IF(regle!K$2-$Q97&gt;=regle!$J$12,-2,IF($S97,IF(regle!$B$2-$Q97&gt;=2,0,-1),regle!K$2-$Q97)),IF(AW97+1&gt;=regle!$J$12,-2,AW97+1))</f>
        <v>28</v>
      </c>
    </row>
    <row r="98" spans="1:50" x14ac:dyDescent="0.25">
      <c r="A98" t="b">
        <f>AND(modif0[[#This Row],[cdstr]]&lt;&gt;0,OR(regle!$H$27=FALSE,modif0[[#This Row],[essnc]]="PM"))</f>
        <v>1</v>
      </c>
      <c r="B98">
        <f>ROW(objet!A123)</f>
        <v>123</v>
      </c>
      <c r="C98" s="10" t="str">
        <f>objet!D123</f>
        <v>2020000B1135</v>
      </c>
      <c r="D98" t="str">
        <f>LEFT(modif0[[#This Row],[cdstr]],3)</f>
        <v>202</v>
      </c>
      <c r="E98" s="10" t="str">
        <f>objet!G123</f>
        <v>HOSTENS</v>
      </c>
      <c r="F98">
        <f>LEN(modif0[[#This Row],[l_dt]])</f>
        <v>11</v>
      </c>
      <c r="G98" s="10" t="str">
        <f>objet!H123</f>
        <v>LES CAZALAS</v>
      </c>
      <c r="H98" s="10" t="str">
        <f>objet!C123</f>
        <v>B1135</v>
      </c>
      <c r="I98" t="str">
        <f>IF(ISNUMBER(VALUE(RIGHT(LEFT(modif0[[#This Row],[idntfn]],2),1))),_xlfn.CONCAT(0,LEFT(modif0[[#This Row],[idntfn]],1)),LEFT(modif0[[#This Row],[idntfn]],2))</f>
        <v>0B</v>
      </c>
      <c r="J98">
        <f>VALUE(LEFT(RIGHT(modif0[[#This Row],[idntfn]],LEN(modif0[[#This Row],[idntfn]])-IF(LEFT(modif0[[#This Row],[sctn]],1)="0",1,2)),LEN(modif0[[#This Row],[idntfn]])-IF(LEFT(modif0[[#This Row],[sctn]],1)="0",1,2)-LEN(modif0[[#This Row],[lttr]])))</f>
        <v>1135</v>
      </c>
      <c r="K98" t="str">
        <f>IF(ISNUMBER(VALUE(RIGHT(modif0[[#This Row],[idntfn]],1))),"",IF(ISNUMBER(VALUE(LEFT(RIGHT(modif0[[#This Row],[idntfn]],2),1))),RIGHT(modif0[[#This Row],[idntfn]],1),RIGHT(modif0[[#This Row],[idntfn]],2)))</f>
        <v/>
      </c>
      <c r="L98" s="10">
        <f>objet!I123</f>
        <v>14290</v>
      </c>
      <c r="M98" s="11">
        <f>modif0[[#This Row],[srfc]]/10000</f>
        <v>1.429</v>
      </c>
      <c r="N98" s="10" t="str">
        <f>objet!Z123</f>
        <v>PM</v>
      </c>
      <c r="O98" s="10" t="str">
        <f>objet!AA123</f>
        <v>PLA2018</v>
      </c>
      <c r="P98" t="str">
        <f>IF(ISNUMBER(modif0[[#This Row],[trvx]]),"",LEFT(modif0[[#This Row],[trvx]],LEN(modif0[[#This Row],[trvx]])-4))</f>
        <v>PLA</v>
      </c>
      <c r="Q98">
        <f>VALUE(RIGHT(modif0[[#This Row],[trvx]],4))</f>
        <v>2018</v>
      </c>
      <c r="R98" t="str">
        <f>_xlfn.CONCAT(modif0[[#This Row],[tp]],"-",modif0[[#This Row],[essnc]],"_",modif0[[#This Row],[anns]])</f>
        <v>PLA-PM_2018</v>
      </c>
      <c r="S98" t="b">
        <f>modif0[[#This Row],[tp]]="CR"</f>
        <v>0</v>
      </c>
      <c r="T98">
        <v>40</v>
      </c>
      <c r="U98" t="str">
        <f>IF(NOT($A98),"",
IF(AO98=-2,regle!$J$11,
IF(AO98=regle!$B$12,regle!$B$11,
IF(AO98=regle!$C$12,regle!$C$11,
IF(AO98=regle!$D$12,regle!$D$11,
IF(AO98=regle!$E$12,regle!$E$11,
IF(AO98=regle!$F$12,regle!$F$11,
IF(AO98=regle!$G$12,regle!$G$11,
IF(AO98=regle!$H$12,regle!$H$11,
IF(AO98=regle!$I$12,regle!$I$11,""))))))))))</f>
        <v/>
      </c>
      <c r="V98" t="str">
        <f>IF(NOT($A98),"",
IF(AP98=-2,regle!$J$11,
IF(AP98=regle!$B$12,regle!$B$11,
IF(AP98=regle!$C$12,regle!$C$11,
IF(AP98=regle!$D$12,regle!$D$11,
IF(AP98=regle!$E$12,regle!$E$11,
IF(AP98=regle!$F$12,regle!$F$11,
IF(AP98=regle!$G$12,regle!$G$11,
IF(AP98=regle!$H$12,regle!$H$11,
IF(AP98=regle!$I$12,regle!$I$11,""))))))))))</f>
        <v/>
      </c>
      <c r="W98" t="str">
        <f>IF(NOT($A98),"",
IF(AQ98=-2,regle!$J$11,
IF(AQ98=regle!$B$12,regle!$B$11,
IF(AQ98=regle!$C$12,regle!$C$11,
IF(AQ98=regle!$D$12,regle!$D$11,
IF(AQ98=regle!$E$12,regle!$E$11,
IF(AQ98=regle!$F$12,regle!$F$11,
IF(AQ98=regle!$G$12,regle!$G$11,
IF(AQ98=regle!$H$12,regle!$H$11,
IF(AQ98=regle!$I$12,regle!$I$11,""))))))))))</f>
        <v>ENT2</v>
      </c>
      <c r="X98" t="str">
        <f>IF(NOT($A98),"",
IF(AR98=-2,regle!$J$11,
IF(AR98=regle!$B$12,regle!$B$11,
IF(AR98=regle!$C$12,regle!$C$11,
IF(AR98=regle!$D$12,regle!$D$11,
IF(AR98=regle!$E$12,regle!$E$11,
IF(AR98=regle!$F$12,regle!$F$11,
IF(AR98=regle!$G$12,regle!$G$11,
IF(AR98=regle!$H$12,regle!$H$11,
IF(AR98=regle!$I$12,regle!$I$11,""))))))))))</f>
        <v/>
      </c>
      <c r="Y98" t="str">
        <f>IF(NOT($A98),"",
IF(AS98=-2,regle!$J$11,
IF(AS98=regle!$B$12,regle!$B$11,
IF(AS98=regle!$C$12,regle!$C$11,
IF(AS98=regle!$D$12,regle!$D$11,
IF(AS98=regle!$E$12,regle!$E$11,
IF(AS98=regle!$F$12,regle!$F$11,
IF(AS98=regle!$G$12,regle!$G$11,
IF(AS98=regle!$H$12,regle!$H$11,
IF(AS98=regle!$I$12,regle!$I$11,""))))))))))</f>
        <v/>
      </c>
      <c r="Z98" t="str">
        <f>IF(NOT($A98),"",
IF(AT98=-2,regle!$J$11,
IF(AT98=regle!$B$12,regle!$B$11,
IF(AT98=regle!$C$12,regle!$C$11,
IF(AT98=regle!$D$12,regle!$D$11,
IF(AT98=regle!$E$12,regle!$E$11,
IF(AT98=regle!$F$12,regle!$F$11,
IF(AT98=regle!$G$12,regle!$G$11,
IF(AT98=regle!$H$12,regle!$H$11,
IF(AT98=regle!$I$12,regle!$I$11,""))))))))))</f>
        <v/>
      </c>
      <c r="AA98" t="str">
        <f>IF(NOT($A98),"",
IF(AU98=-2,regle!$J$11,
IF(AU98=regle!$B$12,regle!$B$11,
IF(AU98=regle!$C$12,regle!$C$11,
IF(AU98=regle!$D$12,regle!$D$11,
IF(AU98=regle!$E$12,regle!$E$11,
IF(AU98=regle!$F$12,regle!$F$11,
IF(AU98=regle!$G$12,regle!$G$11,
IF(AU98=regle!$H$12,regle!$H$11,
IF(AU98=regle!$I$12,regle!$I$11,""))))))))))</f>
        <v/>
      </c>
      <c r="AB98" t="str">
        <f>IF(NOT($A98),"",
IF(AV98=-2,regle!$J$11,
IF(AV98=regle!$B$12,regle!$B$11,
IF(AV98=regle!$C$12,regle!$C$11,
IF(AV98=regle!$D$12,regle!$D$11,
IF(AV98=regle!$E$12,regle!$E$11,
IF(AV98=regle!$F$12,regle!$F$11,
IF(AV98=regle!$G$12,regle!$G$11,
IF(AV98=regle!$H$12,regle!$H$11,
IF(AV98=regle!$I$12,regle!$I$11,""))))))))))</f>
        <v>EC1</v>
      </c>
      <c r="AC98" t="str">
        <f>IF(NOT($A98),"",
IF(AW98=-2,regle!$J$11,
IF(AW98=regle!$B$12,regle!$B$11,
IF(AW98=regle!$C$12,regle!$C$11,
IF(AW98=regle!$D$12,regle!$D$11,
IF(AW98=regle!$E$12,regle!$E$11,
IF(AW98=regle!$F$12,regle!$F$11,
IF(AW98=regle!$G$12,regle!$G$11,
IF(AW98=regle!$H$12,regle!$H$11,
IF(AW98=regle!$I$12,regle!$I$11,""))))))))))</f>
        <v/>
      </c>
      <c r="AD98" t="str">
        <f>IF(NOT($A98),"",
IF(AX98=-2,regle!$J$11,
IF(AX98=regle!$B$12,regle!$B$11,
IF(AX98=regle!$C$12,regle!$C$11,
IF(AX98=regle!$D$12,regle!$D$11,
IF(AX98=regle!$E$12,regle!$E$11,
IF(AX98=regle!$F$12,regle!$F$11,
IF(AX98=regle!$G$12,regle!$G$11,
IF(AX98=regle!$H$12,regle!$H$11,
IF(AX98=regle!$I$12,regle!$I$11,""))))))))))</f>
        <v/>
      </c>
      <c r="AE98" s="14">
        <f>IF($A98,$M98*(IF(U98=regle!$B$11,regle!$B$23,IF(U98=regle!$C$11,regle!$C$23,IF(U98=regle!$D$11,regle!$D$23,IF(U98=regle!$E$11,regle!$E$23,IF(U98=regle!$F$11,regle!$F$23,IF(U98=regle!$G$11,regle!$G$23,IF(U98=regle!$H$11,regle!$H$23,IF(U98=regle!$I$11,regle!$I$23,IF(U98=regle!$J$11,regle!$J$23,0)))))))))))</f>
        <v>0</v>
      </c>
      <c r="AF98" s="14">
        <f>IF($A98,$M98*(IF(V98=regle!$B$11,regle!$B$23,IF(V98=regle!$C$11,regle!$C$23,IF(V98=regle!$D$11,regle!$D$23,IF(V98=regle!$E$11,regle!$E$23,IF(V98=regle!$F$11,regle!$F$23,IF(V98=regle!$G$11,regle!$G$23,IF(V98=regle!$H$11,regle!$H$23,IF(V98=regle!$I$11,regle!$I$23,IF(V98=regle!$J$11,regle!$J$23,0)))))))))))</f>
        <v>0</v>
      </c>
      <c r="AG98" s="14">
        <f>IF($A98,$M98*(IF(W98=regle!$B$11,regle!$B$23,IF(W98=regle!$C$11,regle!$C$23,IF(W98=regle!$D$11,regle!$D$23,IF(W98=regle!$E$11,regle!$E$23,IF(W98=regle!$F$11,regle!$F$23,IF(W98=regle!$G$11,regle!$G$23,IF(W98=regle!$H$11,regle!$H$23,IF(W98=regle!$I$11,regle!$I$23,IF(W98=regle!$J$11,regle!$J$23,0)))))))))))</f>
        <v>-128.61000000000001</v>
      </c>
      <c r="AH98" s="14">
        <f>IF($A98,$M98*(IF(X98=regle!$B$11,regle!$B$23,IF(X98=regle!$C$11,regle!$C$23,IF(X98=regle!$D$11,regle!$D$23,IF(X98=regle!$E$11,regle!$E$23,IF(X98=regle!$F$11,regle!$F$23,IF(X98=regle!$G$11,regle!$G$23,IF(X98=regle!$H$11,regle!$H$23,IF(X98=regle!$I$11,regle!$I$23,IF(X98=regle!$J$11,regle!$J$23,0)))))))))))</f>
        <v>0</v>
      </c>
      <c r="AI98" s="14">
        <f>IF($A98,$M98*(IF(Y98=regle!$B$11,regle!$B$23,IF(Y98=regle!$C$11,regle!$C$23,IF(Y98=regle!$D$11,regle!$D$23,IF(Y98=regle!$E$11,regle!$E$23,IF(Y98=regle!$F$11,regle!$F$23,IF(Y98=regle!$G$11,regle!$G$23,IF(Y98=regle!$H$11,regle!$H$23,IF(Y98=regle!$I$11,regle!$I$23,IF(Y98=regle!$J$11,regle!$J$23,0)))))))))))</f>
        <v>0</v>
      </c>
      <c r="AJ98" s="14">
        <f>IF($A98,$M98*(IF(Z98=regle!$B$11,regle!$B$23,IF(Z98=regle!$C$11,regle!$C$23,IF(Z98=regle!$D$11,regle!$D$23,IF(Z98=regle!$E$11,regle!$E$23,IF(Z98=regle!$F$11,regle!$F$23,IF(Z98=regle!$G$11,regle!$G$23,IF(Z98=regle!$H$11,regle!$H$23,IF(Z98=regle!$I$11,regle!$I$23,IF(Z98=regle!$J$11,regle!$J$23,0)))))))))))</f>
        <v>0</v>
      </c>
      <c r="AK98" s="14">
        <f>IF($A98,$M98*(IF(AA98=regle!$B$11,regle!$B$23,IF(AA98=regle!$C$11,regle!$C$23,IF(AA98=regle!$D$11,regle!$D$23,IF(AA98=regle!$E$11,regle!$E$23,IF(AA98=regle!$F$11,regle!$F$23,IF(AA98=regle!$G$11,regle!$G$23,IF(AA98=regle!$H$11,regle!$H$23,IF(AA98=regle!$I$11,regle!$I$23,IF(AA98=regle!$J$11,regle!$J$23,0)))))))))))</f>
        <v>0</v>
      </c>
      <c r="AL98" s="14">
        <f>IF($A98,$M98*(IF(AB98=regle!$B$11,regle!$B$23,IF(AB98=regle!$C$11,regle!$C$23,IF(AB98=regle!$D$11,regle!$D$23,IF(AB98=regle!$E$11,regle!$E$23,IF(AB98=regle!$F$11,regle!$F$23,IF(AB98=regle!$G$11,regle!$G$23,IF(AB98=regle!$H$11,regle!$H$23,IF(AB98=regle!$I$11,regle!$I$23,IF(AB98=regle!$J$11,regle!$J$23,0)))))))))))</f>
        <v>823.10400000000004</v>
      </c>
      <c r="AM98" s="14">
        <f>IF($A98,$M98*(IF(AC98=regle!$B$11,regle!$B$23,IF(AC98=regle!$C$11,regle!$C$23,IF(AC98=regle!$D$11,regle!$D$23,IF(AC98=regle!$E$11,regle!$E$23,IF(AC98=regle!$F$11,regle!$F$23,IF(AC98=regle!$G$11,regle!$G$23,IF(AC98=regle!$H$11,regle!$H$23,IF(AC98=regle!$I$11,regle!$I$23,IF(AC98=regle!$J$11,regle!$J$23,0)))))))))))</f>
        <v>0</v>
      </c>
      <c r="AN98" s="14">
        <f>IF($A98,$M98*(IF(AD98=regle!$B$11,regle!$B$23,IF(AD98=regle!$C$11,regle!$C$23,IF(AD98=regle!$D$11,regle!$D$23,IF(AD98=regle!$E$11,regle!$E$23,IF(AD98=regle!$F$11,regle!$F$23,IF(AD98=regle!$G$11,regle!$G$23,IF(AD98=regle!$H$11,regle!$H$23,IF(AD98=regle!$I$11,regle!$I$23,IF(AD98=regle!$J$11,regle!$J$23,0)))))))))))</f>
        <v>0</v>
      </c>
      <c r="AO98">
        <f>IF(AO$1=$AO$1,IF(regle!B$2-$Q98&gt;=regle!$J$12,-2,IF($S98,IF(regle!$B$2-$Q98&gt;=2,0,-1),regle!B$2-$Q98)),IF(AN98+1&gt;=regle!$J$12,-2,AN98+1))</f>
        <v>6</v>
      </c>
      <c r="AP98">
        <f>IF(AP$1=$AO$1,IF(regle!C$2-$Q98&gt;=regle!$J$12,-2,IF($S98,IF(regle!$B$2-$Q98&gt;=2,0,-1),regle!C$2-$Q98)),IF(AO98+1&gt;=regle!$J$12,-2,AO98+1))</f>
        <v>7</v>
      </c>
      <c r="AQ98">
        <f>IF(AQ$1=$AO$1,IF(regle!D$2-$Q98&gt;=regle!$J$12,-2,IF($S98,IF(regle!$B$2-$Q98&gt;=2,0,-1),regle!D$2-$Q98)),IF(AP98+1&gt;=regle!$J$12,-2,AP98+1))</f>
        <v>8</v>
      </c>
      <c r="AR98">
        <f>IF(AR$1=$AO$1,IF(regle!E$2-$Q98&gt;=regle!$J$12,-2,IF($S98,IF(regle!$B$2-$Q98&gt;=2,0,-1),regle!E$2-$Q98)),IF(AQ98+1&gt;=regle!$J$12,-2,AQ98+1))</f>
        <v>9</v>
      </c>
      <c r="AS98">
        <f>IF(AS$1=$AO$1,IF(regle!F$2-$Q98&gt;=regle!$J$12,-2,IF($S98,IF(regle!$B$2-$Q98&gt;=2,0,-1),regle!F$2-$Q98)),IF(AR98+1&gt;=regle!$J$12,-2,AR98+1))</f>
        <v>10</v>
      </c>
      <c r="AT98">
        <f>IF(AT$1=$AO$1,IF(regle!G$2-$Q98&gt;=regle!$J$12,-2,IF($S98,IF(regle!$B$2-$Q98&gt;=2,0,-1),regle!G$2-$Q98)),IF(AS98+1&gt;=regle!$J$12,-2,AS98+1))</f>
        <v>11</v>
      </c>
      <c r="AU98">
        <f>IF(AU$1=$AO$1,IF(regle!H$2-$Q98&gt;=regle!$J$12,-2,IF($S98,IF(regle!$B$2-$Q98&gt;=2,0,-1),regle!H$2-$Q98)),IF(AT98+1&gt;=regle!$J$12,-2,AT98+1))</f>
        <v>12</v>
      </c>
      <c r="AV98">
        <f>IF(AV$1=$AO$1,IF(regle!I$2-$Q98&gt;=regle!$J$12,-2,IF($S98,IF(regle!$B$2-$Q98&gt;=2,0,-1),regle!I$2-$Q98)),IF(AU98+1&gt;=regle!$J$12,-2,AU98+1))</f>
        <v>13</v>
      </c>
      <c r="AW98">
        <f>IF(AW$1=$AO$1,IF(regle!J$2-$Q98&gt;=regle!$J$12,-2,IF($S98,IF(regle!$B$2-$Q98&gt;=2,0,-1),regle!J$2-$Q98)),IF(AV98+1&gt;=regle!$J$12,-2,AV98+1))</f>
        <v>14</v>
      </c>
      <c r="AX98">
        <f>IF(AX$1=$AO$1,IF(regle!K$2-$Q98&gt;=regle!$J$12,-2,IF($S98,IF(regle!$B$2-$Q98&gt;=2,0,-1),regle!K$2-$Q98)),IF(AW98+1&gt;=regle!$J$12,-2,AW98+1))</f>
        <v>15</v>
      </c>
    </row>
    <row r="99" spans="1:50" x14ac:dyDescent="0.25">
      <c r="A99" t="b">
        <f>AND(modif0[[#This Row],[cdstr]]&lt;&gt;0,OR(regle!$H$27=FALSE,modif0[[#This Row],[essnc]]="PM"))</f>
        <v>1</v>
      </c>
      <c r="B99">
        <f>ROW(objet!A124)</f>
        <v>124</v>
      </c>
      <c r="C99" s="10" t="str">
        <f>objet!D124</f>
        <v>2020000B1136</v>
      </c>
      <c r="D99" t="str">
        <f>LEFT(modif0[[#This Row],[cdstr]],3)</f>
        <v>202</v>
      </c>
      <c r="E99" s="10" t="str">
        <f>objet!G124</f>
        <v>HOSTENS</v>
      </c>
      <c r="F99">
        <f>LEN(modif0[[#This Row],[l_dt]])</f>
        <v>11</v>
      </c>
      <c r="G99" s="10" t="str">
        <f>objet!H124</f>
        <v>LES CAZALAS</v>
      </c>
      <c r="H99" s="10" t="str">
        <f>objet!C124</f>
        <v>B1136</v>
      </c>
      <c r="I99" t="str">
        <f>IF(ISNUMBER(VALUE(RIGHT(LEFT(modif0[[#This Row],[idntfn]],2),1))),_xlfn.CONCAT(0,LEFT(modif0[[#This Row],[idntfn]],1)),LEFT(modif0[[#This Row],[idntfn]],2))</f>
        <v>0B</v>
      </c>
      <c r="J99">
        <f>VALUE(LEFT(RIGHT(modif0[[#This Row],[idntfn]],LEN(modif0[[#This Row],[idntfn]])-IF(LEFT(modif0[[#This Row],[sctn]],1)="0",1,2)),LEN(modif0[[#This Row],[idntfn]])-IF(LEFT(modif0[[#This Row],[sctn]],1)="0",1,2)-LEN(modif0[[#This Row],[lttr]])))</f>
        <v>1136</v>
      </c>
      <c r="K99" t="str">
        <f>IF(ISNUMBER(VALUE(RIGHT(modif0[[#This Row],[idntfn]],1))),"",IF(ISNUMBER(VALUE(LEFT(RIGHT(modif0[[#This Row],[idntfn]],2),1))),RIGHT(modif0[[#This Row],[idntfn]],1),RIGHT(modif0[[#This Row],[idntfn]],2)))</f>
        <v/>
      </c>
      <c r="L99" s="10">
        <f>objet!I124</f>
        <v>12035</v>
      </c>
      <c r="M99" s="11">
        <f>modif0[[#This Row],[srfc]]/10000</f>
        <v>1.2035</v>
      </c>
      <c r="N99" s="10" t="str">
        <f>objet!Z124</f>
        <v>PM</v>
      </c>
      <c r="O99" s="10" t="str">
        <f>objet!AA124</f>
        <v>PLA2018</v>
      </c>
      <c r="P99" t="str">
        <f>IF(ISNUMBER(modif0[[#This Row],[trvx]]),"",LEFT(modif0[[#This Row],[trvx]],LEN(modif0[[#This Row],[trvx]])-4))</f>
        <v>PLA</v>
      </c>
      <c r="Q99">
        <f>VALUE(RIGHT(modif0[[#This Row],[trvx]],4))</f>
        <v>2018</v>
      </c>
      <c r="R99" t="str">
        <f>_xlfn.CONCAT(modif0[[#This Row],[tp]],"-",modif0[[#This Row],[essnc]],"_",modif0[[#This Row],[anns]])</f>
        <v>PLA-PM_2018</v>
      </c>
      <c r="S99" t="b">
        <f>modif0[[#This Row],[tp]]="CR"</f>
        <v>0</v>
      </c>
      <c r="T99">
        <v>40</v>
      </c>
      <c r="U99" t="str">
        <f>IF(NOT($A99),"",
IF(AO99=-2,regle!$J$11,
IF(AO99=regle!$B$12,regle!$B$11,
IF(AO99=regle!$C$12,regle!$C$11,
IF(AO99=regle!$D$12,regle!$D$11,
IF(AO99=regle!$E$12,regle!$E$11,
IF(AO99=regle!$F$12,regle!$F$11,
IF(AO99=regle!$G$12,regle!$G$11,
IF(AO99=regle!$H$12,regle!$H$11,
IF(AO99=regle!$I$12,regle!$I$11,""))))))))))</f>
        <v/>
      </c>
      <c r="V99" t="str">
        <f>IF(NOT($A99),"",
IF(AP99=-2,regle!$J$11,
IF(AP99=regle!$B$12,regle!$B$11,
IF(AP99=regle!$C$12,regle!$C$11,
IF(AP99=regle!$D$12,regle!$D$11,
IF(AP99=regle!$E$12,regle!$E$11,
IF(AP99=regle!$F$12,regle!$F$11,
IF(AP99=regle!$G$12,regle!$G$11,
IF(AP99=regle!$H$12,regle!$H$11,
IF(AP99=regle!$I$12,regle!$I$11,""))))))))))</f>
        <v/>
      </c>
      <c r="W99" t="str">
        <f>IF(NOT($A99),"",
IF(AQ99=-2,regle!$J$11,
IF(AQ99=regle!$B$12,regle!$B$11,
IF(AQ99=regle!$C$12,regle!$C$11,
IF(AQ99=regle!$D$12,regle!$D$11,
IF(AQ99=regle!$E$12,regle!$E$11,
IF(AQ99=regle!$F$12,regle!$F$11,
IF(AQ99=regle!$G$12,regle!$G$11,
IF(AQ99=regle!$H$12,regle!$H$11,
IF(AQ99=regle!$I$12,regle!$I$11,""))))))))))</f>
        <v>ENT2</v>
      </c>
      <c r="X99" t="str">
        <f>IF(NOT($A99),"",
IF(AR99=-2,regle!$J$11,
IF(AR99=regle!$B$12,regle!$B$11,
IF(AR99=regle!$C$12,regle!$C$11,
IF(AR99=regle!$D$12,regle!$D$11,
IF(AR99=regle!$E$12,regle!$E$11,
IF(AR99=regle!$F$12,regle!$F$11,
IF(AR99=regle!$G$12,regle!$G$11,
IF(AR99=regle!$H$12,regle!$H$11,
IF(AR99=regle!$I$12,regle!$I$11,""))))))))))</f>
        <v/>
      </c>
      <c r="Y99" t="str">
        <f>IF(NOT($A99),"",
IF(AS99=-2,regle!$J$11,
IF(AS99=regle!$B$12,regle!$B$11,
IF(AS99=regle!$C$12,regle!$C$11,
IF(AS99=regle!$D$12,regle!$D$11,
IF(AS99=regle!$E$12,regle!$E$11,
IF(AS99=regle!$F$12,regle!$F$11,
IF(AS99=regle!$G$12,regle!$G$11,
IF(AS99=regle!$H$12,regle!$H$11,
IF(AS99=regle!$I$12,regle!$I$11,""))))))))))</f>
        <v/>
      </c>
      <c r="Z99" t="str">
        <f>IF(NOT($A99),"",
IF(AT99=-2,regle!$J$11,
IF(AT99=regle!$B$12,regle!$B$11,
IF(AT99=regle!$C$12,regle!$C$11,
IF(AT99=regle!$D$12,regle!$D$11,
IF(AT99=regle!$E$12,regle!$E$11,
IF(AT99=regle!$F$12,regle!$F$11,
IF(AT99=regle!$G$12,regle!$G$11,
IF(AT99=regle!$H$12,regle!$H$11,
IF(AT99=regle!$I$12,regle!$I$11,""))))))))))</f>
        <v/>
      </c>
      <c r="AA99" t="str">
        <f>IF(NOT($A99),"",
IF(AU99=-2,regle!$J$11,
IF(AU99=regle!$B$12,regle!$B$11,
IF(AU99=regle!$C$12,regle!$C$11,
IF(AU99=regle!$D$12,regle!$D$11,
IF(AU99=regle!$E$12,regle!$E$11,
IF(AU99=regle!$F$12,regle!$F$11,
IF(AU99=regle!$G$12,regle!$G$11,
IF(AU99=regle!$H$12,regle!$H$11,
IF(AU99=regle!$I$12,regle!$I$11,""))))))))))</f>
        <v/>
      </c>
      <c r="AB99" t="str">
        <f>IF(NOT($A99),"",
IF(AV99=-2,regle!$J$11,
IF(AV99=regle!$B$12,regle!$B$11,
IF(AV99=regle!$C$12,regle!$C$11,
IF(AV99=regle!$D$12,regle!$D$11,
IF(AV99=regle!$E$12,regle!$E$11,
IF(AV99=regle!$F$12,regle!$F$11,
IF(AV99=regle!$G$12,regle!$G$11,
IF(AV99=regle!$H$12,regle!$H$11,
IF(AV99=regle!$I$12,regle!$I$11,""))))))))))</f>
        <v>EC1</v>
      </c>
      <c r="AC99" t="str">
        <f>IF(NOT($A99),"",
IF(AW99=-2,regle!$J$11,
IF(AW99=regle!$B$12,regle!$B$11,
IF(AW99=regle!$C$12,regle!$C$11,
IF(AW99=regle!$D$12,regle!$D$11,
IF(AW99=regle!$E$12,regle!$E$11,
IF(AW99=regle!$F$12,regle!$F$11,
IF(AW99=regle!$G$12,regle!$G$11,
IF(AW99=regle!$H$12,regle!$H$11,
IF(AW99=regle!$I$12,regle!$I$11,""))))))))))</f>
        <v/>
      </c>
      <c r="AD99" t="str">
        <f>IF(NOT($A99),"",
IF(AX99=-2,regle!$J$11,
IF(AX99=regle!$B$12,regle!$B$11,
IF(AX99=regle!$C$12,regle!$C$11,
IF(AX99=regle!$D$12,regle!$D$11,
IF(AX99=regle!$E$12,regle!$E$11,
IF(AX99=regle!$F$12,regle!$F$11,
IF(AX99=regle!$G$12,regle!$G$11,
IF(AX99=regle!$H$12,regle!$H$11,
IF(AX99=regle!$I$12,regle!$I$11,""))))))))))</f>
        <v/>
      </c>
      <c r="AE99" s="14">
        <f>IF($A99,$M99*(IF(U99=regle!$B$11,regle!$B$23,IF(U99=regle!$C$11,regle!$C$23,IF(U99=regle!$D$11,regle!$D$23,IF(U99=regle!$E$11,regle!$E$23,IF(U99=regle!$F$11,regle!$F$23,IF(U99=regle!$G$11,regle!$G$23,IF(U99=regle!$H$11,regle!$H$23,IF(U99=regle!$I$11,regle!$I$23,IF(U99=regle!$J$11,regle!$J$23,0)))))))))))</f>
        <v>0</v>
      </c>
      <c r="AF99" s="14">
        <f>IF($A99,$M99*(IF(V99=regle!$B$11,regle!$B$23,IF(V99=regle!$C$11,regle!$C$23,IF(V99=regle!$D$11,regle!$D$23,IF(V99=regle!$E$11,regle!$E$23,IF(V99=regle!$F$11,regle!$F$23,IF(V99=regle!$G$11,regle!$G$23,IF(V99=regle!$H$11,regle!$H$23,IF(V99=regle!$I$11,regle!$I$23,IF(V99=regle!$J$11,regle!$J$23,0)))))))))))</f>
        <v>0</v>
      </c>
      <c r="AG99" s="14">
        <f>IF($A99,$M99*(IF(W99=regle!$B$11,regle!$B$23,IF(W99=regle!$C$11,regle!$C$23,IF(W99=regle!$D$11,regle!$D$23,IF(W99=regle!$E$11,regle!$E$23,IF(W99=regle!$F$11,regle!$F$23,IF(W99=regle!$G$11,regle!$G$23,IF(W99=regle!$H$11,regle!$H$23,IF(W99=regle!$I$11,regle!$I$23,IF(W99=regle!$J$11,regle!$J$23,0)))))))))))</f>
        <v>-108.315</v>
      </c>
      <c r="AH99" s="14">
        <f>IF($A99,$M99*(IF(X99=regle!$B$11,regle!$B$23,IF(X99=regle!$C$11,regle!$C$23,IF(X99=regle!$D$11,regle!$D$23,IF(X99=regle!$E$11,regle!$E$23,IF(X99=regle!$F$11,regle!$F$23,IF(X99=regle!$G$11,regle!$G$23,IF(X99=regle!$H$11,regle!$H$23,IF(X99=regle!$I$11,regle!$I$23,IF(X99=regle!$J$11,regle!$J$23,0)))))))))))</f>
        <v>0</v>
      </c>
      <c r="AI99" s="14">
        <f>IF($A99,$M99*(IF(Y99=regle!$B$11,regle!$B$23,IF(Y99=regle!$C$11,regle!$C$23,IF(Y99=regle!$D$11,regle!$D$23,IF(Y99=regle!$E$11,regle!$E$23,IF(Y99=regle!$F$11,regle!$F$23,IF(Y99=regle!$G$11,regle!$G$23,IF(Y99=regle!$H$11,regle!$H$23,IF(Y99=regle!$I$11,regle!$I$23,IF(Y99=regle!$J$11,regle!$J$23,0)))))))))))</f>
        <v>0</v>
      </c>
      <c r="AJ99" s="14">
        <f>IF($A99,$M99*(IF(Z99=regle!$B$11,regle!$B$23,IF(Z99=regle!$C$11,regle!$C$23,IF(Z99=regle!$D$11,regle!$D$23,IF(Z99=regle!$E$11,regle!$E$23,IF(Z99=regle!$F$11,regle!$F$23,IF(Z99=regle!$G$11,regle!$G$23,IF(Z99=regle!$H$11,regle!$H$23,IF(Z99=regle!$I$11,regle!$I$23,IF(Z99=regle!$J$11,regle!$J$23,0)))))))))))</f>
        <v>0</v>
      </c>
      <c r="AK99" s="14">
        <f>IF($A99,$M99*(IF(AA99=regle!$B$11,regle!$B$23,IF(AA99=regle!$C$11,regle!$C$23,IF(AA99=regle!$D$11,regle!$D$23,IF(AA99=regle!$E$11,regle!$E$23,IF(AA99=regle!$F$11,regle!$F$23,IF(AA99=regle!$G$11,regle!$G$23,IF(AA99=regle!$H$11,regle!$H$23,IF(AA99=regle!$I$11,regle!$I$23,IF(AA99=regle!$J$11,regle!$J$23,0)))))))))))</f>
        <v>0</v>
      </c>
      <c r="AL99" s="14">
        <f>IF($A99,$M99*(IF(AB99=regle!$B$11,regle!$B$23,IF(AB99=regle!$C$11,regle!$C$23,IF(AB99=regle!$D$11,regle!$D$23,IF(AB99=regle!$E$11,regle!$E$23,IF(AB99=regle!$F$11,regle!$F$23,IF(AB99=regle!$G$11,regle!$G$23,IF(AB99=regle!$H$11,regle!$H$23,IF(AB99=regle!$I$11,regle!$I$23,IF(AB99=regle!$J$11,regle!$J$23,0)))))))))))</f>
        <v>693.21600000000001</v>
      </c>
      <c r="AM99" s="14">
        <f>IF($A99,$M99*(IF(AC99=regle!$B$11,regle!$B$23,IF(AC99=regle!$C$11,regle!$C$23,IF(AC99=regle!$D$11,regle!$D$23,IF(AC99=regle!$E$11,regle!$E$23,IF(AC99=regle!$F$11,regle!$F$23,IF(AC99=regle!$G$11,regle!$G$23,IF(AC99=regle!$H$11,regle!$H$23,IF(AC99=regle!$I$11,regle!$I$23,IF(AC99=regle!$J$11,regle!$J$23,0)))))))))))</f>
        <v>0</v>
      </c>
      <c r="AN99" s="14">
        <f>IF($A99,$M99*(IF(AD99=regle!$B$11,regle!$B$23,IF(AD99=regle!$C$11,regle!$C$23,IF(AD99=regle!$D$11,regle!$D$23,IF(AD99=regle!$E$11,regle!$E$23,IF(AD99=regle!$F$11,regle!$F$23,IF(AD99=regle!$G$11,regle!$G$23,IF(AD99=regle!$H$11,regle!$H$23,IF(AD99=regle!$I$11,regle!$I$23,IF(AD99=regle!$J$11,regle!$J$23,0)))))))))))</f>
        <v>0</v>
      </c>
      <c r="AO99">
        <f>IF(AO$1=$AO$1,IF(regle!B$2-$Q99&gt;=regle!$J$12,-2,IF($S99,IF(regle!$B$2-$Q99&gt;=2,0,-1),regle!B$2-$Q99)),IF(AN99+1&gt;=regle!$J$12,-2,AN99+1))</f>
        <v>6</v>
      </c>
      <c r="AP99">
        <f>IF(AP$1=$AO$1,IF(regle!C$2-$Q99&gt;=regle!$J$12,-2,IF($S99,IF(regle!$B$2-$Q99&gt;=2,0,-1),regle!C$2-$Q99)),IF(AO99+1&gt;=regle!$J$12,-2,AO99+1))</f>
        <v>7</v>
      </c>
      <c r="AQ99">
        <f>IF(AQ$1=$AO$1,IF(regle!D$2-$Q99&gt;=regle!$J$12,-2,IF($S99,IF(regle!$B$2-$Q99&gt;=2,0,-1),regle!D$2-$Q99)),IF(AP99+1&gt;=regle!$J$12,-2,AP99+1))</f>
        <v>8</v>
      </c>
      <c r="AR99">
        <f>IF(AR$1=$AO$1,IF(regle!E$2-$Q99&gt;=regle!$J$12,-2,IF($S99,IF(regle!$B$2-$Q99&gt;=2,0,-1),regle!E$2-$Q99)),IF(AQ99+1&gt;=regle!$J$12,-2,AQ99+1))</f>
        <v>9</v>
      </c>
      <c r="AS99">
        <f>IF(AS$1=$AO$1,IF(regle!F$2-$Q99&gt;=regle!$J$12,-2,IF($S99,IF(regle!$B$2-$Q99&gt;=2,0,-1),regle!F$2-$Q99)),IF(AR99+1&gt;=regle!$J$12,-2,AR99+1))</f>
        <v>10</v>
      </c>
      <c r="AT99">
        <f>IF(AT$1=$AO$1,IF(regle!G$2-$Q99&gt;=regle!$J$12,-2,IF($S99,IF(regle!$B$2-$Q99&gt;=2,0,-1),regle!G$2-$Q99)),IF(AS99+1&gt;=regle!$J$12,-2,AS99+1))</f>
        <v>11</v>
      </c>
      <c r="AU99">
        <f>IF(AU$1=$AO$1,IF(regle!H$2-$Q99&gt;=regle!$J$12,-2,IF($S99,IF(regle!$B$2-$Q99&gt;=2,0,-1),regle!H$2-$Q99)),IF(AT99+1&gt;=regle!$J$12,-2,AT99+1))</f>
        <v>12</v>
      </c>
      <c r="AV99">
        <f>IF(AV$1=$AO$1,IF(regle!I$2-$Q99&gt;=regle!$J$12,-2,IF($S99,IF(regle!$B$2-$Q99&gt;=2,0,-1),regle!I$2-$Q99)),IF(AU99+1&gt;=regle!$J$12,-2,AU99+1))</f>
        <v>13</v>
      </c>
      <c r="AW99">
        <f>IF(AW$1=$AO$1,IF(regle!J$2-$Q99&gt;=regle!$J$12,-2,IF($S99,IF(regle!$B$2-$Q99&gt;=2,0,-1),regle!J$2-$Q99)),IF(AV99+1&gt;=regle!$J$12,-2,AV99+1))</f>
        <v>14</v>
      </c>
      <c r="AX99">
        <f>IF(AX$1=$AO$1,IF(regle!K$2-$Q99&gt;=regle!$J$12,-2,IF($S99,IF(regle!$B$2-$Q99&gt;=2,0,-1),regle!K$2-$Q99)),IF(AW99+1&gt;=regle!$J$12,-2,AW99+1))</f>
        <v>15</v>
      </c>
    </row>
    <row r="100" spans="1:50" x14ac:dyDescent="0.25">
      <c r="A100" t="b">
        <f>AND(modif0[[#This Row],[cdstr]]&lt;&gt;0,OR(regle!$H$27=FALSE,modif0[[#This Row],[essnc]]="PM"))</f>
        <v>1</v>
      </c>
      <c r="B100">
        <f>ROW(objet!A125)</f>
        <v>125</v>
      </c>
      <c r="C100" s="10" t="str">
        <f>objet!D125</f>
        <v>2020000B1137</v>
      </c>
      <c r="D100" t="str">
        <f>LEFT(modif0[[#This Row],[cdstr]],3)</f>
        <v>202</v>
      </c>
      <c r="E100" s="10" t="str">
        <f>objet!G125</f>
        <v>HOSTENS</v>
      </c>
      <c r="F100">
        <f>LEN(modif0[[#This Row],[l_dt]])</f>
        <v>11</v>
      </c>
      <c r="G100" s="10" t="str">
        <f>objet!H125</f>
        <v>LES CAZALAS</v>
      </c>
      <c r="H100" s="10" t="str">
        <f>objet!C125</f>
        <v>B1137</v>
      </c>
      <c r="I100" t="str">
        <f>IF(ISNUMBER(VALUE(RIGHT(LEFT(modif0[[#This Row],[idntfn]],2),1))),_xlfn.CONCAT(0,LEFT(modif0[[#This Row],[idntfn]],1)),LEFT(modif0[[#This Row],[idntfn]],2))</f>
        <v>0B</v>
      </c>
      <c r="J100">
        <f>VALUE(LEFT(RIGHT(modif0[[#This Row],[idntfn]],LEN(modif0[[#This Row],[idntfn]])-IF(LEFT(modif0[[#This Row],[sctn]],1)="0",1,2)),LEN(modif0[[#This Row],[idntfn]])-IF(LEFT(modif0[[#This Row],[sctn]],1)="0",1,2)-LEN(modif0[[#This Row],[lttr]])))</f>
        <v>1137</v>
      </c>
      <c r="K100" t="str">
        <f>IF(ISNUMBER(VALUE(RIGHT(modif0[[#This Row],[idntfn]],1))),"",IF(ISNUMBER(VALUE(LEFT(RIGHT(modif0[[#This Row],[idntfn]],2),1))),RIGHT(modif0[[#This Row],[idntfn]],1),RIGHT(modif0[[#This Row],[idntfn]],2)))</f>
        <v/>
      </c>
      <c r="L100" s="10">
        <f>objet!I125</f>
        <v>19500</v>
      </c>
      <c r="M100" s="11">
        <f>modif0[[#This Row],[srfc]]/10000</f>
        <v>1.95</v>
      </c>
      <c r="N100" s="10" t="str">
        <f>objet!Z125</f>
        <v>PM</v>
      </c>
      <c r="O100" s="10" t="str">
        <f>objet!AA125</f>
        <v>PLA2019</v>
      </c>
      <c r="P100" t="str">
        <f>IF(ISNUMBER(modif0[[#This Row],[trvx]]),"",LEFT(modif0[[#This Row],[trvx]],LEN(modif0[[#This Row],[trvx]])-4))</f>
        <v>PLA</v>
      </c>
      <c r="Q100">
        <f>VALUE(RIGHT(modif0[[#This Row],[trvx]],4))</f>
        <v>2019</v>
      </c>
      <c r="R100" t="str">
        <f>_xlfn.CONCAT(modif0[[#This Row],[tp]],"-",modif0[[#This Row],[essnc]],"_",modif0[[#This Row],[anns]])</f>
        <v>PLA-PM_2019</v>
      </c>
      <c r="S100" t="b">
        <f>modif0[[#This Row],[tp]]="CR"</f>
        <v>0</v>
      </c>
      <c r="T100">
        <v>40</v>
      </c>
      <c r="U100" t="str">
        <f>IF(NOT($A100),"",
IF(AO100=-2,regle!$J$11,
IF(AO100=regle!$B$12,regle!$B$11,
IF(AO100=regle!$C$12,regle!$C$11,
IF(AO100=regle!$D$12,regle!$D$11,
IF(AO100=regle!$E$12,regle!$E$11,
IF(AO100=regle!$F$12,regle!$F$11,
IF(AO100=regle!$G$12,regle!$G$11,
IF(AO100=regle!$H$12,regle!$H$11,
IF(AO100=regle!$I$12,regle!$I$11,""))))))))))</f>
        <v>ENT1</v>
      </c>
      <c r="V100" t="str">
        <f>IF(NOT($A100),"",
IF(AP100=-2,regle!$J$11,
IF(AP100=regle!$B$12,regle!$B$11,
IF(AP100=regle!$C$12,regle!$C$11,
IF(AP100=regle!$D$12,regle!$D$11,
IF(AP100=regle!$E$12,regle!$E$11,
IF(AP100=regle!$F$12,regle!$F$11,
IF(AP100=regle!$G$12,regle!$G$11,
IF(AP100=regle!$H$12,regle!$H$11,
IF(AP100=regle!$I$12,regle!$I$11,""))))))))))</f>
        <v/>
      </c>
      <c r="W100" t="str">
        <f>IF(NOT($A100),"",
IF(AQ100=-2,regle!$J$11,
IF(AQ100=regle!$B$12,regle!$B$11,
IF(AQ100=regle!$C$12,regle!$C$11,
IF(AQ100=regle!$D$12,regle!$D$11,
IF(AQ100=regle!$E$12,regle!$E$11,
IF(AQ100=regle!$F$12,regle!$F$11,
IF(AQ100=regle!$G$12,regle!$G$11,
IF(AQ100=regle!$H$12,regle!$H$11,
IF(AQ100=regle!$I$12,regle!$I$11,""))))))))))</f>
        <v/>
      </c>
      <c r="X100" t="str">
        <f>IF(NOT($A100),"",
IF(AR100=-2,regle!$J$11,
IF(AR100=regle!$B$12,regle!$B$11,
IF(AR100=regle!$C$12,regle!$C$11,
IF(AR100=regle!$D$12,regle!$D$11,
IF(AR100=regle!$E$12,regle!$E$11,
IF(AR100=regle!$F$12,regle!$F$11,
IF(AR100=regle!$G$12,regle!$G$11,
IF(AR100=regle!$H$12,regle!$H$11,
IF(AR100=regle!$I$12,regle!$I$11,""))))))))))</f>
        <v>ENT2</v>
      </c>
      <c r="Y100" t="str">
        <f>IF(NOT($A100),"",
IF(AS100=-2,regle!$J$11,
IF(AS100=regle!$B$12,regle!$B$11,
IF(AS100=regle!$C$12,regle!$C$11,
IF(AS100=regle!$D$12,regle!$D$11,
IF(AS100=regle!$E$12,regle!$E$11,
IF(AS100=regle!$F$12,regle!$F$11,
IF(AS100=regle!$G$12,regle!$G$11,
IF(AS100=regle!$H$12,regle!$H$11,
IF(AS100=regle!$I$12,regle!$I$11,""))))))))))</f>
        <v/>
      </c>
      <c r="Z100" t="str">
        <f>IF(NOT($A100),"",
IF(AT100=-2,regle!$J$11,
IF(AT100=regle!$B$12,regle!$B$11,
IF(AT100=regle!$C$12,regle!$C$11,
IF(AT100=regle!$D$12,regle!$D$11,
IF(AT100=regle!$E$12,regle!$E$11,
IF(AT100=regle!$F$12,regle!$F$11,
IF(AT100=regle!$G$12,regle!$G$11,
IF(AT100=regle!$H$12,regle!$H$11,
IF(AT100=regle!$I$12,regle!$I$11,""))))))))))</f>
        <v/>
      </c>
      <c r="AA100" t="str">
        <f>IF(NOT($A100),"",
IF(AU100=-2,regle!$J$11,
IF(AU100=regle!$B$12,regle!$B$11,
IF(AU100=regle!$C$12,regle!$C$11,
IF(AU100=regle!$D$12,regle!$D$11,
IF(AU100=regle!$E$12,regle!$E$11,
IF(AU100=regle!$F$12,regle!$F$11,
IF(AU100=regle!$G$12,regle!$G$11,
IF(AU100=regle!$H$12,regle!$H$11,
IF(AU100=regle!$I$12,regle!$I$11,""))))))))))</f>
        <v/>
      </c>
      <c r="AB100" t="str">
        <f>IF(NOT($A100),"",
IF(AV100=-2,regle!$J$11,
IF(AV100=regle!$B$12,regle!$B$11,
IF(AV100=regle!$C$12,regle!$C$11,
IF(AV100=regle!$D$12,regle!$D$11,
IF(AV100=regle!$E$12,regle!$E$11,
IF(AV100=regle!$F$12,regle!$F$11,
IF(AV100=regle!$G$12,regle!$G$11,
IF(AV100=regle!$H$12,regle!$H$11,
IF(AV100=regle!$I$12,regle!$I$11,""))))))))))</f>
        <v/>
      </c>
      <c r="AC100" t="str">
        <f>IF(NOT($A100),"",
IF(AW100=-2,regle!$J$11,
IF(AW100=regle!$B$12,regle!$B$11,
IF(AW100=regle!$C$12,regle!$C$11,
IF(AW100=regle!$D$12,regle!$D$11,
IF(AW100=regle!$E$12,regle!$E$11,
IF(AW100=regle!$F$12,regle!$F$11,
IF(AW100=regle!$G$12,regle!$G$11,
IF(AW100=regle!$H$12,regle!$H$11,
IF(AW100=regle!$I$12,regle!$I$11,""))))))))))</f>
        <v>EC1</v>
      </c>
      <c r="AD100" t="str">
        <f>IF(NOT($A100),"",
IF(AX100=-2,regle!$J$11,
IF(AX100=regle!$B$12,regle!$B$11,
IF(AX100=regle!$C$12,regle!$C$11,
IF(AX100=regle!$D$12,regle!$D$11,
IF(AX100=regle!$E$12,regle!$E$11,
IF(AX100=regle!$F$12,regle!$F$11,
IF(AX100=regle!$G$12,regle!$G$11,
IF(AX100=regle!$H$12,regle!$H$11,
IF(AX100=regle!$I$12,regle!$I$11,""))))))))))</f>
        <v/>
      </c>
      <c r="AE100" s="14">
        <f>IF($A100,$M100*(IF(U100=regle!$B$11,regle!$B$23,IF(U100=regle!$C$11,regle!$C$23,IF(U100=regle!$D$11,regle!$D$23,IF(U100=regle!$E$11,regle!$E$23,IF(U100=regle!$F$11,regle!$F$23,IF(U100=regle!$G$11,regle!$G$23,IF(U100=regle!$H$11,regle!$H$23,IF(U100=regle!$I$11,regle!$I$23,IF(U100=regle!$J$11,regle!$J$23,0)))))))))))</f>
        <v>-175.5</v>
      </c>
      <c r="AF100" s="14">
        <f>IF($A100,$M100*(IF(V100=regle!$B$11,regle!$B$23,IF(V100=regle!$C$11,regle!$C$23,IF(V100=regle!$D$11,regle!$D$23,IF(V100=regle!$E$11,regle!$E$23,IF(V100=regle!$F$11,regle!$F$23,IF(V100=regle!$G$11,regle!$G$23,IF(V100=regle!$H$11,regle!$H$23,IF(V100=regle!$I$11,regle!$I$23,IF(V100=regle!$J$11,regle!$J$23,0)))))))))))</f>
        <v>0</v>
      </c>
      <c r="AG100" s="14">
        <f>IF($A100,$M100*(IF(W100=regle!$B$11,regle!$B$23,IF(W100=regle!$C$11,regle!$C$23,IF(W100=regle!$D$11,regle!$D$23,IF(W100=regle!$E$11,regle!$E$23,IF(W100=regle!$F$11,regle!$F$23,IF(W100=regle!$G$11,regle!$G$23,IF(W100=regle!$H$11,regle!$H$23,IF(W100=regle!$I$11,regle!$I$23,IF(W100=regle!$J$11,regle!$J$23,0)))))))))))</f>
        <v>0</v>
      </c>
      <c r="AH100" s="14">
        <f>IF($A100,$M100*(IF(X100=regle!$B$11,regle!$B$23,IF(X100=regle!$C$11,regle!$C$23,IF(X100=regle!$D$11,regle!$D$23,IF(X100=regle!$E$11,regle!$E$23,IF(X100=regle!$F$11,regle!$F$23,IF(X100=regle!$G$11,regle!$G$23,IF(X100=regle!$H$11,regle!$H$23,IF(X100=regle!$I$11,regle!$I$23,IF(X100=regle!$J$11,regle!$J$23,0)))))))))))</f>
        <v>-175.5</v>
      </c>
      <c r="AI100" s="14">
        <f>IF($A100,$M100*(IF(Y100=regle!$B$11,regle!$B$23,IF(Y100=regle!$C$11,regle!$C$23,IF(Y100=regle!$D$11,regle!$D$23,IF(Y100=regle!$E$11,regle!$E$23,IF(Y100=regle!$F$11,regle!$F$23,IF(Y100=regle!$G$11,regle!$G$23,IF(Y100=regle!$H$11,regle!$H$23,IF(Y100=regle!$I$11,regle!$I$23,IF(Y100=regle!$J$11,regle!$J$23,0)))))))))))</f>
        <v>0</v>
      </c>
      <c r="AJ100" s="14">
        <f>IF($A100,$M100*(IF(Z100=regle!$B$11,regle!$B$23,IF(Z100=regle!$C$11,regle!$C$23,IF(Z100=regle!$D$11,regle!$D$23,IF(Z100=regle!$E$11,regle!$E$23,IF(Z100=regle!$F$11,regle!$F$23,IF(Z100=regle!$G$11,regle!$G$23,IF(Z100=regle!$H$11,regle!$H$23,IF(Z100=regle!$I$11,regle!$I$23,IF(Z100=regle!$J$11,regle!$J$23,0)))))))))))</f>
        <v>0</v>
      </c>
      <c r="AK100" s="14">
        <f>IF($A100,$M100*(IF(AA100=regle!$B$11,regle!$B$23,IF(AA100=regle!$C$11,regle!$C$23,IF(AA100=regle!$D$11,regle!$D$23,IF(AA100=regle!$E$11,regle!$E$23,IF(AA100=regle!$F$11,regle!$F$23,IF(AA100=regle!$G$11,regle!$G$23,IF(AA100=regle!$H$11,regle!$H$23,IF(AA100=regle!$I$11,regle!$I$23,IF(AA100=regle!$J$11,regle!$J$23,0)))))))))))</f>
        <v>0</v>
      </c>
      <c r="AL100" s="14">
        <f>IF($A100,$M100*(IF(AB100=regle!$B$11,regle!$B$23,IF(AB100=regle!$C$11,regle!$C$23,IF(AB100=regle!$D$11,regle!$D$23,IF(AB100=regle!$E$11,regle!$E$23,IF(AB100=regle!$F$11,regle!$F$23,IF(AB100=regle!$G$11,regle!$G$23,IF(AB100=regle!$H$11,regle!$H$23,IF(AB100=regle!$I$11,regle!$I$23,IF(AB100=regle!$J$11,regle!$J$23,0)))))))))))</f>
        <v>0</v>
      </c>
      <c r="AM100" s="14">
        <f>IF($A100,$M100*(IF(AC100=regle!$B$11,regle!$B$23,IF(AC100=regle!$C$11,regle!$C$23,IF(AC100=regle!$D$11,regle!$D$23,IF(AC100=regle!$E$11,regle!$E$23,IF(AC100=regle!$F$11,regle!$F$23,IF(AC100=regle!$G$11,regle!$G$23,IF(AC100=regle!$H$11,regle!$H$23,IF(AC100=regle!$I$11,regle!$I$23,IF(AC100=regle!$J$11,regle!$J$23,0)))))))))))</f>
        <v>1123.2</v>
      </c>
      <c r="AN100" s="14">
        <f>IF($A100,$M100*(IF(AD100=regle!$B$11,regle!$B$23,IF(AD100=regle!$C$11,regle!$C$23,IF(AD100=regle!$D$11,regle!$D$23,IF(AD100=regle!$E$11,regle!$E$23,IF(AD100=regle!$F$11,regle!$F$23,IF(AD100=regle!$G$11,regle!$G$23,IF(AD100=regle!$H$11,regle!$H$23,IF(AD100=regle!$I$11,regle!$I$23,IF(AD100=regle!$J$11,regle!$J$23,0)))))))))))</f>
        <v>0</v>
      </c>
      <c r="AO100">
        <f>IF(AO$1=$AO$1,IF(regle!B$2-$Q100&gt;=regle!$J$12,-2,IF($S100,IF(regle!$B$2-$Q100&gt;=2,0,-1),regle!B$2-$Q100)),IF(AN100+1&gt;=regle!$J$12,-2,AN100+1))</f>
        <v>5</v>
      </c>
      <c r="AP100">
        <f>IF(AP$1=$AO$1,IF(regle!C$2-$Q100&gt;=regle!$J$12,-2,IF($S100,IF(regle!$B$2-$Q100&gt;=2,0,-1),regle!C$2-$Q100)),IF(AO100+1&gt;=regle!$J$12,-2,AO100+1))</f>
        <v>6</v>
      </c>
      <c r="AQ100">
        <f>IF(AQ$1=$AO$1,IF(regle!D$2-$Q100&gt;=regle!$J$12,-2,IF($S100,IF(regle!$B$2-$Q100&gt;=2,0,-1),regle!D$2-$Q100)),IF(AP100+1&gt;=regle!$J$12,-2,AP100+1))</f>
        <v>7</v>
      </c>
      <c r="AR100">
        <f>IF(AR$1=$AO$1,IF(regle!E$2-$Q100&gt;=regle!$J$12,-2,IF($S100,IF(regle!$B$2-$Q100&gt;=2,0,-1),regle!E$2-$Q100)),IF(AQ100+1&gt;=regle!$J$12,-2,AQ100+1))</f>
        <v>8</v>
      </c>
      <c r="AS100">
        <f>IF(AS$1=$AO$1,IF(regle!F$2-$Q100&gt;=regle!$J$12,-2,IF($S100,IF(regle!$B$2-$Q100&gt;=2,0,-1),regle!F$2-$Q100)),IF(AR100+1&gt;=regle!$J$12,-2,AR100+1))</f>
        <v>9</v>
      </c>
      <c r="AT100">
        <f>IF(AT$1=$AO$1,IF(regle!G$2-$Q100&gt;=regle!$J$12,-2,IF($S100,IF(regle!$B$2-$Q100&gt;=2,0,-1),regle!G$2-$Q100)),IF(AS100+1&gt;=regle!$J$12,-2,AS100+1))</f>
        <v>10</v>
      </c>
      <c r="AU100">
        <f>IF(AU$1=$AO$1,IF(regle!H$2-$Q100&gt;=regle!$J$12,-2,IF($S100,IF(regle!$B$2-$Q100&gt;=2,0,-1),regle!H$2-$Q100)),IF(AT100+1&gt;=regle!$J$12,-2,AT100+1))</f>
        <v>11</v>
      </c>
      <c r="AV100">
        <f>IF(AV$1=$AO$1,IF(regle!I$2-$Q100&gt;=regle!$J$12,-2,IF($S100,IF(regle!$B$2-$Q100&gt;=2,0,-1),regle!I$2-$Q100)),IF(AU100+1&gt;=regle!$J$12,-2,AU100+1))</f>
        <v>12</v>
      </c>
      <c r="AW100">
        <f>IF(AW$1=$AO$1,IF(regle!J$2-$Q100&gt;=regle!$J$12,-2,IF($S100,IF(regle!$B$2-$Q100&gt;=2,0,-1),regle!J$2-$Q100)),IF(AV100+1&gt;=regle!$J$12,-2,AV100+1))</f>
        <v>13</v>
      </c>
      <c r="AX100">
        <f>IF(AX$1=$AO$1,IF(regle!K$2-$Q100&gt;=regle!$J$12,-2,IF($S100,IF(regle!$B$2-$Q100&gt;=2,0,-1),regle!K$2-$Q100)),IF(AW100+1&gt;=regle!$J$12,-2,AW100+1))</f>
        <v>14</v>
      </c>
    </row>
    <row r="101" spans="1:50" x14ac:dyDescent="0.25">
      <c r="A101" t="b">
        <f>AND(modif0[[#This Row],[cdstr]]&lt;&gt;0,OR(regle!$H$27=FALSE,modif0[[#This Row],[essnc]]="PM"))</f>
        <v>1</v>
      </c>
      <c r="B101">
        <f>ROW(objet!A126)</f>
        <v>126</v>
      </c>
      <c r="C101" s="10" t="str">
        <f>objet!D126</f>
        <v>2020000B1138</v>
      </c>
      <c r="D101" t="str">
        <f>LEFT(modif0[[#This Row],[cdstr]],3)</f>
        <v>202</v>
      </c>
      <c r="E101" s="10" t="str">
        <f>objet!G126</f>
        <v>HOSTENS</v>
      </c>
      <c r="F101">
        <f>LEN(modif0[[#This Row],[l_dt]])</f>
        <v>11</v>
      </c>
      <c r="G101" s="10" t="str">
        <f>objet!H126</f>
        <v>LES CAZALAS</v>
      </c>
      <c r="H101" s="10" t="str">
        <f>objet!C126</f>
        <v>B1138j</v>
      </c>
      <c r="I101" t="str">
        <f>IF(ISNUMBER(VALUE(RIGHT(LEFT(modif0[[#This Row],[idntfn]],2),1))),_xlfn.CONCAT(0,LEFT(modif0[[#This Row],[idntfn]],1)),LEFT(modif0[[#This Row],[idntfn]],2))</f>
        <v>0B</v>
      </c>
      <c r="J101">
        <f>VALUE(LEFT(RIGHT(modif0[[#This Row],[idntfn]],LEN(modif0[[#This Row],[idntfn]])-IF(LEFT(modif0[[#This Row],[sctn]],1)="0",1,2)),LEN(modif0[[#This Row],[idntfn]])-IF(LEFT(modif0[[#This Row],[sctn]],1)="0",1,2)-LEN(modif0[[#This Row],[lttr]])))</f>
        <v>1138</v>
      </c>
      <c r="K101" t="str">
        <f>IF(ISNUMBER(VALUE(RIGHT(modif0[[#This Row],[idntfn]],1))),"",IF(ISNUMBER(VALUE(LEFT(RIGHT(modif0[[#This Row],[idntfn]],2),1))),RIGHT(modif0[[#This Row],[idntfn]],1),RIGHT(modif0[[#This Row],[idntfn]],2)))</f>
        <v>j</v>
      </c>
      <c r="L101" s="10">
        <f>objet!I126</f>
        <v>1311</v>
      </c>
      <c r="M101" s="11">
        <f>modif0[[#This Row],[srfc]]/10000</f>
        <v>0.13109999999999999</v>
      </c>
      <c r="N101" s="10" t="str">
        <f>objet!Z126</f>
        <v>PM</v>
      </c>
      <c r="O101" s="10" t="str">
        <f>objet!AA126</f>
        <v>PLA2018</v>
      </c>
      <c r="P101" t="str">
        <f>IF(ISNUMBER(modif0[[#This Row],[trvx]]),"",LEFT(modif0[[#This Row],[trvx]],LEN(modif0[[#This Row],[trvx]])-4))</f>
        <v>PLA</v>
      </c>
      <c r="Q101">
        <f>VALUE(RIGHT(modif0[[#This Row],[trvx]],4))</f>
        <v>2018</v>
      </c>
      <c r="R101" t="str">
        <f>_xlfn.CONCAT(modif0[[#This Row],[tp]],"-",modif0[[#This Row],[essnc]],"_",modif0[[#This Row],[anns]])</f>
        <v>PLA-PM_2018</v>
      </c>
      <c r="S101" t="b">
        <f>modif0[[#This Row],[tp]]="CR"</f>
        <v>0</v>
      </c>
      <c r="T101">
        <v>40</v>
      </c>
      <c r="U101" t="str">
        <f>IF(NOT($A101),"",
IF(AO101=-2,regle!$J$11,
IF(AO101=regle!$B$12,regle!$B$11,
IF(AO101=regle!$C$12,regle!$C$11,
IF(AO101=regle!$D$12,regle!$D$11,
IF(AO101=regle!$E$12,regle!$E$11,
IF(AO101=regle!$F$12,regle!$F$11,
IF(AO101=regle!$G$12,regle!$G$11,
IF(AO101=regle!$H$12,regle!$H$11,
IF(AO101=regle!$I$12,regle!$I$11,""))))))))))</f>
        <v/>
      </c>
      <c r="V101" t="str">
        <f>IF(NOT($A101),"",
IF(AP101=-2,regle!$J$11,
IF(AP101=regle!$B$12,regle!$B$11,
IF(AP101=regle!$C$12,regle!$C$11,
IF(AP101=regle!$D$12,regle!$D$11,
IF(AP101=regle!$E$12,regle!$E$11,
IF(AP101=regle!$F$12,regle!$F$11,
IF(AP101=regle!$G$12,regle!$G$11,
IF(AP101=regle!$H$12,regle!$H$11,
IF(AP101=regle!$I$12,regle!$I$11,""))))))))))</f>
        <v/>
      </c>
      <c r="W101" t="str">
        <f>IF(NOT($A101),"",
IF(AQ101=-2,regle!$J$11,
IF(AQ101=regle!$B$12,regle!$B$11,
IF(AQ101=regle!$C$12,regle!$C$11,
IF(AQ101=regle!$D$12,regle!$D$11,
IF(AQ101=regle!$E$12,regle!$E$11,
IF(AQ101=regle!$F$12,regle!$F$11,
IF(AQ101=regle!$G$12,regle!$G$11,
IF(AQ101=regle!$H$12,regle!$H$11,
IF(AQ101=regle!$I$12,regle!$I$11,""))))))))))</f>
        <v>ENT2</v>
      </c>
      <c r="X101" t="str">
        <f>IF(NOT($A101),"",
IF(AR101=-2,regle!$J$11,
IF(AR101=regle!$B$12,regle!$B$11,
IF(AR101=regle!$C$12,regle!$C$11,
IF(AR101=regle!$D$12,regle!$D$11,
IF(AR101=regle!$E$12,regle!$E$11,
IF(AR101=regle!$F$12,regle!$F$11,
IF(AR101=regle!$G$12,regle!$G$11,
IF(AR101=regle!$H$12,regle!$H$11,
IF(AR101=regle!$I$12,regle!$I$11,""))))))))))</f>
        <v/>
      </c>
      <c r="Y101" t="str">
        <f>IF(NOT($A101),"",
IF(AS101=-2,regle!$J$11,
IF(AS101=regle!$B$12,regle!$B$11,
IF(AS101=regle!$C$12,regle!$C$11,
IF(AS101=regle!$D$12,regle!$D$11,
IF(AS101=regle!$E$12,regle!$E$11,
IF(AS101=regle!$F$12,regle!$F$11,
IF(AS101=regle!$G$12,regle!$G$11,
IF(AS101=regle!$H$12,regle!$H$11,
IF(AS101=regle!$I$12,regle!$I$11,""))))))))))</f>
        <v/>
      </c>
      <c r="Z101" t="str">
        <f>IF(NOT($A101),"",
IF(AT101=-2,regle!$J$11,
IF(AT101=regle!$B$12,regle!$B$11,
IF(AT101=regle!$C$12,regle!$C$11,
IF(AT101=regle!$D$12,regle!$D$11,
IF(AT101=regle!$E$12,regle!$E$11,
IF(AT101=regle!$F$12,regle!$F$11,
IF(AT101=regle!$G$12,regle!$G$11,
IF(AT101=regle!$H$12,regle!$H$11,
IF(AT101=regle!$I$12,regle!$I$11,""))))))))))</f>
        <v/>
      </c>
      <c r="AA101" t="str">
        <f>IF(NOT($A101),"",
IF(AU101=-2,regle!$J$11,
IF(AU101=regle!$B$12,regle!$B$11,
IF(AU101=regle!$C$12,regle!$C$11,
IF(AU101=regle!$D$12,regle!$D$11,
IF(AU101=regle!$E$12,regle!$E$11,
IF(AU101=regle!$F$12,regle!$F$11,
IF(AU101=regle!$G$12,regle!$G$11,
IF(AU101=regle!$H$12,regle!$H$11,
IF(AU101=regle!$I$12,regle!$I$11,""))))))))))</f>
        <v/>
      </c>
      <c r="AB101" t="str">
        <f>IF(NOT($A101),"",
IF(AV101=-2,regle!$J$11,
IF(AV101=regle!$B$12,regle!$B$11,
IF(AV101=regle!$C$12,regle!$C$11,
IF(AV101=regle!$D$12,regle!$D$11,
IF(AV101=regle!$E$12,regle!$E$11,
IF(AV101=regle!$F$12,regle!$F$11,
IF(AV101=regle!$G$12,regle!$G$11,
IF(AV101=regle!$H$12,regle!$H$11,
IF(AV101=regle!$I$12,regle!$I$11,""))))))))))</f>
        <v>EC1</v>
      </c>
      <c r="AC101" t="str">
        <f>IF(NOT($A101),"",
IF(AW101=-2,regle!$J$11,
IF(AW101=regle!$B$12,regle!$B$11,
IF(AW101=regle!$C$12,regle!$C$11,
IF(AW101=regle!$D$12,regle!$D$11,
IF(AW101=regle!$E$12,regle!$E$11,
IF(AW101=regle!$F$12,regle!$F$11,
IF(AW101=regle!$G$12,regle!$G$11,
IF(AW101=regle!$H$12,regle!$H$11,
IF(AW101=regle!$I$12,regle!$I$11,""))))))))))</f>
        <v/>
      </c>
      <c r="AD101" t="str">
        <f>IF(NOT($A101),"",
IF(AX101=-2,regle!$J$11,
IF(AX101=regle!$B$12,regle!$B$11,
IF(AX101=regle!$C$12,regle!$C$11,
IF(AX101=regle!$D$12,regle!$D$11,
IF(AX101=regle!$E$12,regle!$E$11,
IF(AX101=regle!$F$12,regle!$F$11,
IF(AX101=regle!$G$12,regle!$G$11,
IF(AX101=regle!$H$12,regle!$H$11,
IF(AX101=regle!$I$12,regle!$I$11,""))))))))))</f>
        <v/>
      </c>
      <c r="AE101" s="14">
        <f>IF($A101,$M101*(IF(U101=regle!$B$11,regle!$B$23,IF(U101=regle!$C$11,regle!$C$23,IF(U101=regle!$D$11,regle!$D$23,IF(U101=regle!$E$11,regle!$E$23,IF(U101=regle!$F$11,regle!$F$23,IF(U101=regle!$G$11,regle!$G$23,IF(U101=regle!$H$11,regle!$H$23,IF(U101=regle!$I$11,regle!$I$23,IF(U101=regle!$J$11,regle!$J$23,0)))))))))))</f>
        <v>0</v>
      </c>
      <c r="AF101" s="14">
        <f>IF($A101,$M101*(IF(V101=regle!$B$11,regle!$B$23,IF(V101=regle!$C$11,regle!$C$23,IF(V101=regle!$D$11,regle!$D$23,IF(V101=regle!$E$11,regle!$E$23,IF(V101=regle!$F$11,regle!$F$23,IF(V101=regle!$G$11,regle!$G$23,IF(V101=regle!$H$11,regle!$H$23,IF(V101=regle!$I$11,regle!$I$23,IF(V101=regle!$J$11,regle!$J$23,0)))))))))))</f>
        <v>0</v>
      </c>
      <c r="AG101" s="14">
        <f>IF($A101,$M101*(IF(W101=regle!$B$11,regle!$B$23,IF(W101=regle!$C$11,regle!$C$23,IF(W101=regle!$D$11,regle!$D$23,IF(W101=regle!$E$11,regle!$E$23,IF(W101=regle!$F$11,regle!$F$23,IF(W101=regle!$G$11,regle!$G$23,IF(W101=regle!$H$11,regle!$H$23,IF(W101=regle!$I$11,regle!$I$23,IF(W101=regle!$J$11,regle!$J$23,0)))))))))))</f>
        <v>-11.798999999999999</v>
      </c>
      <c r="AH101" s="14">
        <f>IF($A101,$M101*(IF(X101=regle!$B$11,regle!$B$23,IF(X101=regle!$C$11,regle!$C$23,IF(X101=regle!$D$11,regle!$D$23,IF(X101=regle!$E$11,regle!$E$23,IF(X101=regle!$F$11,regle!$F$23,IF(X101=regle!$G$11,regle!$G$23,IF(X101=regle!$H$11,regle!$H$23,IF(X101=regle!$I$11,regle!$I$23,IF(X101=regle!$J$11,regle!$J$23,0)))))))))))</f>
        <v>0</v>
      </c>
      <c r="AI101" s="14">
        <f>IF($A101,$M101*(IF(Y101=regle!$B$11,regle!$B$23,IF(Y101=regle!$C$11,regle!$C$23,IF(Y101=regle!$D$11,regle!$D$23,IF(Y101=regle!$E$11,regle!$E$23,IF(Y101=regle!$F$11,regle!$F$23,IF(Y101=regle!$G$11,regle!$G$23,IF(Y101=regle!$H$11,regle!$H$23,IF(Y101=regle!$I$11,regle!$I$23,IF(Y101=regle!$J$11,regle!$J$23,0)))))))))))</f>
        <v>0</v>
      </c>
      <c r="AJ101" s="14">
        <f>IF($A101,$M101*(IF(Z101=regle!$B$11,regle!$B$23,IF(Z101=regle!$C$11,regle!$C$23,IF(Z101=regle!$D$11,regle!$D$23,IF(Z101=regle!$E$11,regle!$E$23,IF(Z101=regle!$F$11,regle!$F$23,IF(Z101=regle!$G$11,regle!$G$23,IF(Z101=regle!$H$11,regle!$H$23,IF(Z101=regle!$I$11,regle!$I$23,IF(Z101=regle!$J$11,regle!$J$23,0)))))))))))</f>
        <v>0</v>
      </c>
      <c r="AK101" s="14">
        <f>IF($A101,$M101*(IF(AA101=regle!$B$11,regle!$B$23,IF(AA101=regle!$C$11,regle!$C$23,IF(AA101=regle!$D$11,regle!$D$23,IF(AA101=regle!$E$11,regle!$E$23,IF(AA101=regle!$F$11,regle!$F$23,IF(AA101=regle!$G$11,regle!$G$23,IF(AA101=regle!$H$11,regle!$H$23,IF(AA101=regle!$I$11,regle!$I$23,IF(AA101=regle!$J$11,regle!$J$23,0)))))))))))</f>
        <v>0</v>
      </c>
      <c r="AL101" s="14">
        <f>IF($A101,$M101*(IF(AB101=regle!$B$11,regle!$B$23,IF(AB101=regle!$C$11,regle!$C$23,IF(AB101=regle!$D$11,regle!$D$23,IF(AB101=regle!$E$11,regle!$E$23,IF(AB101=regle!$F$11,regle!$F$23,IF(AB101=regle!$G$11,regle!$G$23,IF(AB101=regle!$H$11,regle!$H$23,IF(AB101=regle!$I$11,regle!$I$23,IF(AB101=regle!$J$11,regle!$J$23,0)))))))))))</f>
        <v>75.513599999999997</v>
      </c>
      <c r="AM101" s="14">
        <f>IF($A101,$M101*(IF(AC101=regle!$B$11,regle!$B$23,IF(AC101=regle!$C$11,regle!$C$23,IF(AC101=regle!$D$11,regle!$D$23,IF(AC101=regle!$E$11,regle!$E$23,IF(AC101=regle!$F$11,regle!$F$23,IF(AC101=regle!$G$11,regle!$G$23,IF(AC101=regle!$H$11,regle!$H$23,IF(AC101=regle!$I$11,regle!$I$23,IF(AC101=regle!$J$11,regle!$J$23,0)))))))))))</f>
        <v>0</v>
      </c>
      <c r="AN101" s="14">
        <f>IF($A101,$M101*(IF(AD101=regle!$B$11,regle!$B$23,IF(AD101=regle!$C$11,regle!$C$23,IF(AD101=regle!$D$11,regle!$D$23,IF(AD101=regle!$E$11,regle!$E$23,IF(AD101=regle!$F$11,regle!$F$23,IF(AD101=regle!$G$11,regle!$G$23,IF(AD101=regle!$H$11,regle!$H$23,IF(AD101=regle!$I$11,regle!$I$23,IF(AD101=regle!$J$11,regle!$J$23,0)))))))))))</f>
        <v>0</v>
      </c>
      <c r="AO101">
        <f>IF(AO$1=$AO$1,IF(regle!B$2-$Q101&gt;=regle!$J$12,-2,IF($S101,IF(regle!$B$2-$Q101&gt;=2,0,-1),regle!B$2-$Q101)),IF(AN101+1&gt;=regle!$J$12,-2,AN101+1))</f>
        <v>6</v>
      </c>
      <c r="AP101">
        <f>IF(AP$1=$AO$1,IF(regle!C$2-$Q101&gt;=regle!$J$12,-2,IF($S101,IF(regle!$B$2-$Q101&gt;=2,0,-1),regle!C$2-$Q101)),IF(AO101+1&gt;=regle!$J$12,-2,AO101+1))</f>
        <v>7</v>
      </c>
      <c r="AQ101">
        <f>IF(AQ$1=$AO$1,IF(regle!D$2-$Q101&gt;=regle!$J$12,-2,IF($S101,IF(regle!$B$2-$Q101&gt;=2,0,-1),regle!D$2-$Q101)),IF(AP101+1&gt;=regle!$J$12,-2,AP101+1))</f>
        <v>8</v>
      </c>
      <c r="AR101">
        <f>IF(AR$1=$AO$1,IF(regle!E$2-$Q101&gt;=regle!$J$12,-2,IF($S101,IF(regle!$B$2-$Q101&gt;=2,0,-1),regle!E$2-$Q101)),IF(AQ101+1&gt;=regle!$J$12,-2,AQ101+1))</f>
        <v>9</v>
      </c>
      <c r="AS101">
        <f>IF(AS$1=$AO$1,IF(regle!F$2-$Q101&gt;=regle!$J$12,-2,IF($S101,IF(regle!$B$2-$Q101&gt;=2,0,-1),regle!F$2-$Q101)),IF(AR101+1&gt;=regle!$J$12,-2,AR101+1))</f>
        <v>10</v>
      </c>
      <c r="AT101">
        <f>IF(AT$1=$AO$1,IF(regle!G$2-$Q101&gt;=regle!$J$12,-2,IF($S101,IF(regle!$B$2-$Q101&gt;=2,0,-1),regle!G$2-$Q101)),IF(AS101+1&gt;=regle!$J$12,-2,AS101+1))</f>
        <v>11</v>
      </c>
      <c r="AU101">
        <f>IF(AU$1=$AO$1,IF(regle!H$2-$Q101&gt;=regle!$J$12,-2,IF($S101,IF(regle!$B$2-$Q101&gt;=2,0,-1),regle!H$2-$Q101)),IF(AT101+1&gt;=regle!$J$12,-2,AT101+1))</f>
        <v>12</v>
      </c>
      <c r="AV101">
        <f>IF(AV$1=$AO$1,IF(regle!I$2-$Q101&gt;=regle!$J$12,-2,IF($S101,IF(regle!$B$2-$Q101&gt;=2,0,-1),regle!I$2-$Q101)),IF(AU101+1&gt;=regle!$J$12,-2,AU101+1))</f>
        <v>13</v>
      </c>
      <c r="AW101">
        <f>IF(AW$1=$AO$1,IF(regle!J$2-$Q101&gt;=regle!$J$12,-2,IF($S101,IF(regle!$B$2-$Q101&gt;=2,0,-1),regle!J$2-$Q101)),IF(AV101+1&gt;=regle!$J$12,-2,AV101+1))</f>
        <v>14</v>
      </c>
      <c r="AX101">
        <f>IF(AX$1=$AO$1,IF(regle!K$2-$Q101&gt;=regle!$J$12,-2,IF($S101,IF(regle!$B$2-$Q101&gt;=2,0,-1),regle!K$2-$Q101)),IF(AW101+1&gt;=regle!$J$12,-2,AW101+1))</f>
        <v>15</v>
      </c>
    </row>
    <row r="102" spans="1:50" x14ac:dyDescent="0.25">
      <c r="A102" t="b">
        <f>AND(modif0[[#This Row],[cdstr]]&lt;&gt;0,OR(regle!$H$27=FALSE,modif0[[#This Row],[essnc]]="PM"))</f>
        <v>1</v>
      </c>
      <c r="B102">
        <f>ROW(objet!A127)</f>
        <v>127</v>
      </c>
      <c r="C102" s="10" t="str">
        <f>objet!D127</f>
        <v>2020000B1138</v>
      </c>
      <c r="D102" t="str">
        <f>LEFT(modif0[[#This Row],[cdstr]],3)</f>
        <v>202</v>
      </c>
      <c r="E102" s="10" t="str">
        <f>objet!G127</f>
        <v>HOSTENS</v>
      </c>
      <c r="F102">
        <f>LEN(modif0[[#This Row],[l_dt]])</f>
        <v>11</v>
      </c>
      <c r="G102" s="10" t="str">
        <f>objet!H127</f>
        <v>LES CAZALAS</v>
      </c>
      <c r="H102" s="10" t="str">
        <f>objet!C127</f>
        <v>B1138k</v>
      </c>
      <c r="I102" t="str">
        <f>IF(ISNUMBER(VALUE(RIGHT(LEFT(modif0[[#This Row],[idntfn]],2),1))),_xlfn.CONCAT(0,LEFT(modif0[[#This Row],[idntfn]],1)),LEFT(modif0[[#This Row],[idntfn]],2))</f>
        <v>0B</v>
      </c>
      <c r="J102">
        <f>VALUE(LEFT(RIGHT(modif0[[#This Row],[idntfn]],LEN(modif0[[#This Row],[idntfn]])-IF(LEFT(modif0[[#This Row],[sctn]],1)="0",1,2)),LEN(modif0[[#This Row],[idntfn]])-IF(LEFT(modif0[[#This Row],[sctn]],1)="0",1,2)-LEN(modif0[[#This Row],[lttr]])))</f>
        <v>1138</v>
      </c>
      <c r="K102" t="str">
        <f>IF(ISNUMBER(VALUE(RIGHT(modif0[[#This Row],[idntfn]],1))),"",IF(ISNUMBER(VALUE(LEFT(RIGHT(modif0[[#This Row],[idntfn]],2),1))),RIGHT(modif0[[#This Row],[idntfn]],1),RIGHT(modif0[[#This Row],[idntfn]],2)))</f>
        <v>k</v>
      </c>
      <c r="L102" s="10">
        <f>objet!I127</f>
        <v>47200</v>
      </c>
      <c r="M102" s="11">
        <f>modif0[[#This Row],[srfc]]/10000</f>
        <v>4.72</v>
      </c>
      <c r="N102" s="10" t="str">
        <f>objet!Z127</f>
        <v>PM</v>
      </c>
      <c r="O102" s="10" t="str">
        <f>objet!AA127</f>
        <v>PLA2019</v>
      </c>
      <c r="P102" t="str">
        <f>IF(ISNUMBER(modif0[[#This Row],[trvx]]),"",LEFT(modif0[[#This Row],[trvx]],LEN(modif0[[#This Row],[trvx]])-4))</f>
        <v>PLA</v>
      </c>
      <c r="Q102">
        <f>VALUE(RIGHT(modif0[[#This Row],[trvx]],4))</f>
        <v>2019</v>
      </c>
      <c r="R102" t="str">
        <f>_xlfn.CONCAT(modif0[[#This Row],[tp]],"-",modif0[[#This Row],[essnc]],"_",modif0[[#This Row],[anns]])</f>
        <v>PLA-PM_2019</v>
      </c>
      <c r="S102" t="b">
        <f>modif0[[#This Row],[tp]]="CR"</f>
        <v>0</v>
      </c>
      <c r="T102">
        <v>40</v>
      </c>
      <c r="U102" t="str">
        <f>IF(NOT($A102),"",
IF(AO102=-2,regle!$J$11,
IF(AO102=regle!$B$12,regle!$B$11,
IF(AO102=regle!$C$12,regle!$C$11,
IF(AO102=regle!$D$12,regle!$D$11,
IF(AO102=regle!$E$12,regle!$E$11,
IF(AO102=regle!$F$12,regle!$F$11,
IF(AO102=regle!$G$12,regle!$G$11,
IF(AO102=regle!$H$12,regle!$H$11,
IF(AO102=regle!$I$12,regle!$I$11,""))))))))))</f>
        <v>ENT1</v>
      </c>
      <c r="V102" t="str">
        <f>IF(NOT($A102),"",
IF(AP102=-2,regle!$J$11,
IF(AP102=regle!$B$12,regle!$B$11,
IF(AP102=regle!$C$12,regle!$C$11,
IF(AP102=regle!$D$12,regle!$D$11,
IF(AP102=regle!$E$12,regle!$E$11,
IF(AP102=regle!$F$12,regle!$F$11,
IF(AP102=regle!$G$12,regle!$G$11,
IF(AP102=regle!$H$12,regle!$H$11,
IF(AP102=regle!$I$12,regle!$I$11,""))))))))))</f>
        <v/>
      </c>
      <c r="W102" t="str">
        <f>IF(NOT($A102),"",
IF(AQ102=-2,regle!$J$11,
IF(AQ102=regle!$B$12,regle!$B$11,
IF(AQ102=regle!$C$12,regle!$C$11,
IF(AQ102=regle!$D$12,regle!$D$11,
IF(AQ102=regle!$E$12,regle!$E$11,
IF(AQ102=regle!$F$12,regle!$F$11,
IF(AQ102=regle!$G$12,regle!$G$11,
IF(AQ102=regle!$H$12,regle!$H$11,
IF(AQ102=regle!$I$12,regle!$I$11,""))))))))))</f>
        <v/>
      </c>
      <c r="X102" t="str">
        <f>IF(NOT($A102),"",
IF(AR102=-2,regle!$J$11,
IF(AR102=regle!$B$12,regle!$B$11,
IF(AR102=regle!$C$12,regle!$C$11,
IF(AR102=regle!$D$12,regle!$D$11,
IF(AR102=regle!$E$12,regle!$E$11,
IF(AR102=regle!$F$12,regle!$F$11,
IF(AR102=regle!$G$12,regle!$G$11,
IF(AR102=regle!$H$12,regle!$H$11,
IF(AR102=regle!$I$12,regle!$I$11,""))))))))))</f>
        <v>ENT2</v>
      </c>
      <c r="Y102" t="str">
        <f>IF(NOT($A102),"",
IF(AS102=-2,regle!$J$11,
IF(AS102=regle!$B$12,regle!$B$11,
IF(AS102=regle!$C$12,regle!$C$11,
IF(AS102=regle!$D$12,regle!$D$11,
IF(AS102=regle!$E$12,regle!$E$11,
IF(AS102=regle!$F$12,regle!$F$11,
IF(AS102=regle!$G$12,regle!$G$11,
IF(AS102=regle!$H$12,regle!$H$11,
IF(AS102=regle!$I$12,regle!$I$11,""))))))))))</f>
        <v/>
      </c>
      <c r="Z102" t="str">
        <f>IF(NOT($A102),"",
IF(AT102=-2,regle!$J$11,
IF(AT102=regle!$B$12,regle!$B$11,
IF(AT102=regle!$C$12,regle!$C$11,
IF(AT102=regle!$D$12,regle!$D$11,
IF(AT102=regle!$E$12,regle!$E$11,
IF(AT102=regle!$F$12,regle!$F$11,
IF(AT102=regle!$G$12,regle!$G$11,
IF(AT102=regle!$H$12,regle!$H$11,
IF(AT102=regle!$I$12,regle!$I$11,""))))))))))</f>
        <v/>
      </c>
      <c r="AA102" t="str">
        <f>IF(NOT($A102),"",
IF(AU102=-2,regle!$J$11,
IF(AU102=regle!$B$12,regle!$B$11,
IF(AU102=regle!$C$12,regle!$C$11,
IF(AU102=regle!$D$12,regle!$D$11,
IF(AU102=regle!$E$12,regle!$E$11,
IF(AU102=regle!$F$12,regle!$F$11,
IF(AU102=regle!$G$12,regle!$G$11,
IF(AU102=regle!$H$12,regle!$H$11,
IF(AU102=regle!$I$12,regle!$I$11,""))))))))))</f>
        <v/>
      </c>
      <c r="AB102" t="str">
        <f>IF(NOT($A102),"",
IF(AV102=-2,regle!$J$11,
IF(AV102=regle!$B$12,regle!$B$11,
IF(AV102=regle!$C$12,regle!$C$11,
IF(AV102=regle!$D$12,regle!$D$11,
IF(AV102=regle!$E$12,regle!$E$11,
IF(AV102=regle!$F$12,regle!$F$11,
IF(AV102=regle!$G$12,regle!$G$11,
IF(AV102=regle!$H$12,regle!$H$11,
IF(AV102=regle!$I$12,regle!$I$11,""))))))))))</f>
        <v/>
      </c>
      <c r="AC102" t="str">
        <f>IF(NOT($A102),"",
IF(AW102=-2,regle!$J$11,
IF(AW102=regle!$B$12,regle!$B$11,
IF(AW102=regle!$C$12,regle!$C$11,
IF(AW102=regle!$D$12,regle!$D$11,
IF(AW102=regle!$E$12,regle!$E$11,
IF(AW102=regle!$F$12,regle!$F$11,
IF(AW102=regle!$G$12,regle!$G$11,
IF(AW102=regle!$H$12,regle!$H$11,
IF(AW102=regle!$I$12,regle!$I$11,""))))))))))</f>
        <v>EC1</v>
      </c>
      <c r="AD102" t="str">
        <f>IF(NOT($A102),"",
IF(AX102=-2,regle!$J$11,
IF(AX102=regle!$B$12,regle!$B$11,
IF(AX102=regle!$C$12,regle!$C$11,
IF(AX102=regle!$D$12,regle!$D$11,
IF(AX102=regle!$E$12,regle!$E$11,
IF(AX102=regle!$F$12,regle!$F$11,
IF(AX102=regle!$G$12,regle!$G$11,
IF(AX102=regle!$H$12,regle!$H$11,
IF(AX102=regle!$I$12,regle!$I$11,""))))))))))</f>
        <v/>
      </c>
      <c r="AE102" s="14">
        <f>IF($A102,$M102*(IF(U102=regle!$B$11,regle!$B$23,IF(U102=regle!$C$11,regle!$C$23,IF(U102=regle!$D$11,regle!$D$23,IF(U102=regle!$E$11,regle!$E$23,IF(U102=regle!$F$11,regle!$F$23,IF(U102=regle!$G$11,regle!$G$23,IF(U102=regle!$H$11,regle!$H$23,IF(U102=regle!$I$11,regle!$I$23,IF(U102=regle!$J$11,regle!$J$23,0)))))))))))</f>
        <v>-424.79999999999995</v>
      </c>
      <c r="AF102" s="14">
        <f>IF($A102,$M102*(IF(V102=regle!$B$11,regle!$B$23,IF(V102=regle!$C$11,regle!$C$23,IF(V102=regle!$D$11,regle!$D$23,IF(V102=regle!$E$11,regle!$E$23,IF(V102=regle!$F$11,regle!$F$23,IF(V102=regle!$G$11,regle!$G$23,IF(V102=regle!$H$11,regle!$H$23,IF(V102=regle!$I$11,regle!$I$23,IF(V102=regle!$J$11,regle!$J$23,0)))))))))))</f>
        <v>0</v>
      </c>
      <c r="AG102" s="14">
        <f>IF($A102,$M102*(IF(W102=regle!$B$11,regle!$B$23,IF(W102=regle!$C$11,regle!$C$23,IF(W102=regle!$D$11,regle!$D$23,IF(W102=regle!$E$11,regle!$E$23,IF(W102=regle!$F$11,regle!$F$23,IF(W102=regle!$G$11,regle!$G$23,IF(W102=regle!$H$11,regle!$H$23,IF(W102=regle!$I$11,regle!$I$23,IF(W102=regle!$J$11,regle!$J$23,0)))))))))))</f>
        <v>0</v>
      </c>
      <c r="AH102" s="14">
        <f>IF($A102,$M102*(IF(X102=regle!$B$11,regle!$B$23,IF(X102=regle!$C$11,regle!$C$23,IF(X102=regle!$D$11,regle!$D$23,IF(X102=regle!$E$11,regle!$E$23,IF(X102=regle!$F$11,regle!$F$23,IF(X102=regle!$G$11,regle!$G$23,IF(X102=regle!$H$11,regle!$H$23,IF(X102=regle!$I$11,regle!$I$23,IF(X102=regle!$J$11,regle!$J$23,0)))))))))))</f>
        <v>-424.79999999999995</v>
      </c>
      <c r="AI102" s="14">
        <f>IF($A102,$M102*(IF(Y102=regle!$B$11,regle!$B$23,IF(Y102=regle!$C$11,regle!$C$23,IF(Y102=regle!$D$11,regle!$D$23,IF(Y102=regle!$E$11,regle!$E$23,IF(Y102=regle!$F$11,regle!$F$23,IF(Y102=regle!$G$11,regle!$G$23,IF(Y102=regle!$H$11,regle!$H$23,IF(Y102=regle!$I$11,regle!$I$23,IF(Y102=regle!$J$11,regle!$J$23,0)))))))))))</f>
        <v>0</v>
      </c>
      <c r="AJ102" s="14">
        <f>IF($A102,$M102*(IF(Z102=regle!$B$11,regle!$B$23,IF(Z102=regle!$C$11,regle!$C$23,IF(Z102=regle!$D$11,regle!$D$23,IF(Z102=regle!$E$11,regle!$E$23,IF(Z102=regle!$F$11,regle!$F$23,IF(Z102=regle!$G$11,regle!$G$23,IF(Z102=regle!$H$11,regle!$H$23,IF(Z102=regle!$I$11,regle!$I$23,IF(Z102=regle!$J$11,regle!$J$23,0)))))))))))</f>
        <v>0</v>
      </c>
      <c r="AK102" s="14">
        <f>IF($A102,$M102*(IF(AA102=regle!$B$11,regle!$B$23,IF(AA102=regle!$C$11,regle!$C$23,IF(AA102=regle!$D$11,regle!$D$23,IF(AA102=regle!$E$11,regle!$E$23,IF(AA102=regle!$F$11,regle!$F$23,IF(AA102=regle!$G$11,regle!$G$23,IF(AA102=regle!$H$11,regle!$H$23,IF(AA102=regle!$I$11,regle!$I$23,IF(AA102=regle!$J$11,regle!$J$23,0)))))))))))</f>
        <v>0</v>
      </c>
      <c r="AL102" s="14">
        <f>IF($A102,$M102*(IF(AB102=regle!$B$11,regle!$B$23,IF(AB102=regle!$C$11,regle!$C$23,IF(AB102=regle!$D$11,regle!$D$23,IF(AB102=regle!$E$11,regle!$E$23,IF(AB102=regle!$F$11,regle!$F$23,IF(AB102=regle!$G$11,regle!$G$23,IF(AB102=regle!$H$11,regle!$H$23,IF(AB102=regle!$I$11,regle!$I$23,IF(AB102=regle!$J$11,regle!$J$23,0)))))))))))</f>
        <v>0</v>
      </c>
      <c r="AM102" s="14">
        <f>IF($A102,$M102*(IF(AC102=regle!$B$11,regle!$B$23,IF(AC102=regle!$C$11,regle!$C$23,IF(AC102=regle!$D$11,regle!$D$23,IF(AC102=regle!$E$11,regle!$E$23,IF(AC102=regle!$F$11,regle!$F$23,IF(AC102=regle!$G$11,regle!$G$23,IF(AC102=regle!$H$11,regle!$H$23,IF(AC102=regle!$I$11,regle!$I$23,IF(AC102=regle!$J$11,regle!$J$23,0)))))))))))</f>
        <v>2718.72</v>
      </c>
      <c r="AN102" s="14">
        <f>IF($A102,$M102*(IF(AD102=regle!$B$11,regle!$B$23,IF(AD102=regle!$C$11,regle!$C$23,IF(AD102=regle!$D$11,regle!$D$23,IF(AD102=regle!$E$11,regle!$E$23,IF(AD102=regle!$F$11,regle!$F$23,IF(AD102=regle!$G$11,regle!$G$23,IF(AD102=regle!$H$11,regle!$H$23,IF(AD102=regle!$I$11,regle!$I$23,IF(AD102=regle!$J$11,regle!$J$23,0)))))))))))</f>
        <v>0</v>
      </c>
      <c r="AO102">
        <f>IF(AO$1=$AO$1,IF(regle!B$2-$Q102&gt;=regle!$J$12,-2,IF($S102,IF(regle!$B$2-$Q102&gt;=2,0,-1),regle!B$2-$Q102)),IF(AN102+1&gt;=regle!$J$12,-2,AN102+1))</f>
        <v>5</v>
      </c>
      <c r="AP102">
        <f>IF(AP$1=$AO$1,IF(regle!C$2-$Q102&gt;=regle!$J$12,-2,IF($S102,IF(regle!$B$2-$Q102&gt;=2,0,-1),regle!C$2-$Q102)),IF(AO102+1&gt;=regle!$J$12,-2,AO102+1))</f>
        <v>6</v>
      </c>
      <c r="AQ102">
        <f>IF(AQ$1=$AO$1,IF(regle!D$2-$Q102&gt;=regle!$J$12,-2,IF($S102,IF(regle!$B$2-$Q102&gt;=2,0,-1),regle!D$2-$Q102)),IF(AP102+1&gt;=regle!$J$12,-2,AP102+1))</f>
        <v>7</v>
      </c>
      <c r="AR102">
        <f>IF(AR$1=$AO$1,IF(regle!E$2-$Q102&gt;=regle!$J$12,-2,IF($S102,IF(regle!$B$2-$Q102&gt;=2,0,-1),regle!E$2-$Q102)),IF(AQ102+1&gt;=regle!$J$12,-2,AQ102+1))</f>
        <v>8</v>
      </c>
      <c r="AS102">
        <f>IF(AS$1=$AO$1,IF(regle!F$2-$Q102&gt;=regle!$J$12,-2,IF($S102,IF(regle!$B$2-$Q102&gt;=2,0,-1),regle!F$2-$Q102)),IF(AR102+1&gt;=regle!$J$12,-2,AR102+1))</f>
        <v>9</v>
      </c>
      <c r="AT102">
        <f>IF(AT$1=$AO$1,IF(regle!G$2-$Q102&gt;=regle!$J$12,-2,IF($S102,IF(regle!$B$2-$Q102&gt;=2,0,-1),regle!G$2-$Q102)),IF(AS102+1&gt;=regle!$J$12,-2,AS102+1))</f>
        <v>10</v>
      </c>
      <c r="AU102">
        <f>IF(AU$1=$AO$1,IF(regle!H$2-$Q102&gt;=regle!$J$12,-2,IF($S102,IF(regle!$B$2-$Q102&gt;=2,0,-1),regle!H$2-$Q102)),IF(AT102+1&gt;=regle!$J$12,-2,AT102+1))</f>
        <v>11</v>
      </c>
      <c r="AV102">
        <f>IF(AV$1=$AO$1,IF(regle!I$2-$Q102&gt;=regle!$J$12,-2,IF($S102,IF(regle!$B$2-$Q102&gt;=2,0,-1),regle!I$2-$Q102)),IF(AU102+1&gt;=regle!$J$12,-2,AU102+1))</f>
        <v>12</v>
      </c>
      <c r="AW102">
        <f>IF(AW$1=$AO$1,IF(regle!J$2-$Q102&gt;=regle!$J$12,-2,IF($S102,IF(regle!$B$2-$Q102&gt;=2,0,-1),regle!J$2-$Q102)),IF(AV102+1&gt;=regle!$J$12,-2,AV102+1))</f>
        <v>13</v>
      </c>
      <c r="AX102">
        <f>IF(AX$1=$AO$1,IF(regle!K$2-$Q102&gt;=regle!$J$12,-2,IF($S102,IF(regle!$B$2-$Q102&gt;=2,0,-1),regle!K$2-$Q102)),IF(AW102+1&gt;=regle!$J$12,-2,AW102+1))</f>
        <v>14</v>
      </c>
    </row>
    <row r="103" spans="1:50" x14ac:dyDescent="0.25">
      <c r="A103" t="b">
        <f>AND(modif0[[#This Row],[cdstr]]&lt;&gt;0,OR(regle!$H$27=FALSE,modif0[[#This Row],[essnc]]="PM"))</f>
        <v>1</v>
      </c>
      <c r="B103">
        <f>ROW(objet!A128)</f>
        <v>128</v>
      </c>
      <c r="C103" s="10" t="str">
        <f>objet!D128</f>
        <v>2020000B1138</v>
      </c>
      <c r="D103" t="str">
        <f>LEFT(modif0[[#This Row],[cdstr]],3)</f>
        <v>202</v>
      </c>
      <c r="E103" s="10" t="str">
        <f>objet!G128</f>
        <v>HOSTENS</v>
      </c>
      <c r="F103">
        <f>LEN(modif0[[#This Row],[l_dt]])</f>
        <v>11</v>
      </c>
      <c r="G103" s="10" t="str">
        <f>objet!H128</f>
        <v>LES CAZALAS</v>
      </c>
      <c r="H103" s="10" t="str">
        <f>objet!C128</f>
        <v>B1138l</v>
      </c>
      <c r="I103" t="str">
        <f>IF(ISNUMBER(VALUE(RIGHT(LEFT(modif0[[#This Row],[idntfn]],2),1))),_xlfn.CONCAT(0,LEFT(modif0[[#This Row],[idntfn]],1)),LEFT(modif0[[#This Row],[idntfn]],2))</f>
        <v>0B</v>
      </c>
      <c r="J103">
        <f>VALUE(LEFT(RIGHT(modif0[[#This Row],[idntfn]],LEN(modif0[[#This Row],[idntfn]])-IF(LEFT(modif0[[#This Row],[sctn]],1)="0",1,2)),LEN(modif0[[#This Row],[idntfn]])-IF(LEFT(modif0[[#This Row],[sctn]],1)="0",1,2)-LEN(modif0[[#This Row],[lttr]])))</f>
        <v>1138</v>
      </c>
      <c r="K103" t="str">
        <f>IF(ISNUMBER(VALUE(RIGHT(modif0[[#This Row],[idntfn]],1))),"",IF(ISNUMBER(VALUE(LEFT(RIGHT(modif0[[#This Row],[idntfn]],2),1))),RIGHT(modif0[[#This Row],[idntfn]],1),RIGHT(modif0[[#This Row],[idntfn]],2)))</f>
        <v>l</v>
      </c>
      <c r="L103" s="10">
        <f>objet!I128</f>
        <v>615</v>
      </c>
      <c r="M103" s="11">
        <f>modif0[[#This Row],[srfc]]/10000</f>
        <v>6.1499999999999999E-2</v>
      </c>
      <c r="N103" s="10" t="str">
        <f>objet!Z128</f>
        <v>PM</v>
      </c>
      <c r="O103" s="10" t="str">
        <f>objet!AA128</f>
        <v>PLA2018</v>
      </c>
      <c r="P103" t="str">
        <f>IF(ISNUMBER(modif0[[#This Row],[trvx]]),"",LEFT(modif0[[#This Row],[trvx]],LEN(modif0[[#This Row],[trvx]])-4))</f>
        <v>PLA</v>
      </c>
      <c r="Q103">
        <f>VALUE(RIGHT(modif0[[#This Row],[trvx]],4))</f>
        <v>2018</v>
      </c>
      <c r="R103" t="str">
        <f>_xlfn.CONCAT(modif0[[#This Row],[tp]],"-",modif0[[#This Row],[essnc]],"_",modif0[[#This Row],[anns]])</f>
        <v>PLA-PM_2018</v>
      </c>
      <c r="S103" t="b">
        <f>modif0[[#This Row],[tp]]="CR"</f>
        <v>0</v>
      </c>
      <c r="T103">
        <v>40</v>
      </c>
      <c r="U103" t="str">
        <f>IF(NOT($A103),"",
IF(AO103=-2,regle!$J$11,
IF(AO103=regle!$B$12,regle!$B$11,
IF(AO103=regle!$C$12,regle!$C$11,
IF(AO103=regle!$D$12,regle!$D$11,
IF(AO103=regle!$E$12,regle!$E$11,
IF(AO103=regle!$F$12,regle!$F$11,
IF(AO103=regle!$G$12,regle!$G$11,
IF(AO103=regle!$H$12,regle!$H$11,
IF(AO103=regle!$I$12,regle!$I$11,""))))))))))</f>
        <v/>
      </c>
      <c r="V103" t="str">
        <f>IF(NOT($A103),"",
IF(AP103=-2,regle!$J$11,
IF(AP103=regle!$B$12,regle!$B$11,
IF(AP103=regle!$C$12,regle!$C$11,
IF(AP103=regle!$D$12,regle!$D$11,
IF(AP103=regle!$E$12,regle!$E$11,
IF(AP103=regle!$F$12,regle!$F$11,
IF(AP103=regle!$G$12,regle!$G$11,
IF(AP103=regle!$H$12,regle!$H$11,
IF(AP103=regle!$I$12,regle!$I$11,""))))))))))</f>
        <v/>
      </c>
      <c r="W103" t="str">
        <f>IF(NOT($A103),"",
IF(AQ103=-2,regle!$J$11,
IF(AQ103=regle!$B$12,regle!$B$11,
IF(AQ103=regle!$C$12,regle!$C$11,
IF(AQ103=regle!$D$12,regle!$D$11,
IF(AQ103=regle!$E$12,regle!$E$11,
IF(AQ103=regle!$F$12,regle!$F$11,
IF(AQ103=regle!$G$12,regle!$G$11,
IF(AQ103=regle!$H$12,regle!$H$11,
IF(AQ103=regle!$I$12,regle!$I$11,""))))))))))</f>
        <v>ENT2</v>
      </c>
      <c r="X103" t="str">
        <f>IF(NOT($A103),"",
IF(AR103=-2,regle!$J$11,
IF(AR103=regle!$B$12,regle!$B$11,
IF(AR103=regle!$C$12,regle!$C$11,
IF(AR103=regle!$D$12,regle!$D$11,
IF(AR103=regle!$E$12,regle!$E$11,
IF(AR103=regle!$F$12,regle!$F$11,
IF(AR103=regle!$G$12,regle!$G$11,
IF(AR103=regle!$H$12,regle!$H$11,
IF(AR103=regle!$I$12,regle!$I$11,""))))))))))</f>
        <v/>
      </c>
      <c r="Y103" t="str">
        <f>IF(NOT($A103),"",
IF(AS103=-2,regle!$J$11,
IF(AS103=regle!$B$12,regle!$B$11,
IF(AS103=regle!$C$12,regle!$C$11,
IF(AS103=regle!$D$12,regle!$D$11,
IF(AS103=regle!$E$12,regle!$E$11,
IF(AS103=regle!$F$12,regle!$F$11,
IF(AS103=regle!$G$12,regle!$G$11,
IF(AS103=regle!$H$12,regle!$H$11,
IF(AS103=regle!$I$12,regle!$I$11,""))))))))))</f>
        <v/>
      </c>
      <c r="Z103" t="str">
        <f>IF(NOT($A103),"",
IF(AT103=-2,regle!$J$11,
IF(AT103=regle!$B$12,regle!$B$11,
IF(AT103=regle!$C$12,regle!$C$11,
IF(AT103=regle!$D$12,regle!$D$11,
IF(AT103=regle!$E$12,regle!$E$11,
IF(AT103=regle!$F$12,regle!$F$11,
IF(AT103=regle!$G$12,regle!$G$11,
IF(AT103=regle!$H$12,regle!$H$11,
IF(AT103=regle!$I$12,regle!$I$11,""))))))))))</f>
        <v/>
      </c>
      <c r="AA103" t="str">
        <f>IF(NOT($A103),"",
IF(AU103=-2,regle!$J$11,
IF(AU103=regle!$B$12,regle!$B$11,
IF(AU103=regle!$C$12,regle!$C$11,
IF(AU103=regle!$D$12,regle!$D$11,
IF(AU103=regle!$E$12,regle!$E$11,
IF(AU103=regle!$F$12,regle!$F$11,
IF(AU103=regle!$G$12,regle!$G$11,
IF(AU103=regle!$H$12,regle!$H$11,
IF(AU103=regle!$I$12,regle!$I$11,""))))))))))</f>
        <v/>
      </c>
      <c r="AB103" t="str">
        <f>IF(NOT($A103),"",
IF(AV103=-2,regle!$J$11,
IF(AV103=regle!$B$12,regle!$B$11,
IF(AV103=regle!$C$12,regle!$C$11,
IF(AV103=regle!$D$12,regle!$D$11,
IF(AV103=regle!$E$12,regle!$E$11,
IF(AV103=regle!$F$12,regle!$F$11,
IF(AV103=regle!$G$12,regle!$G$11,
IF(AV103=regle!$H$12,regle!$H$11,
IF(AV103=regle!$I$12,regle!$I$11,""))))))))))</f>
        <v>EC1</v>
      </c>
      <c r="AC103" t="str">
        <f>IF(NOT($A103),"",
IF(AW103=-2,regle!$J$11,
IF(AW103=regle!$B$12,regle!$B$11,
IF(AW103=regle!$C$12,regle!$C$11,
IF(AW103=regle!$D$12,regle!$D$11,
IF(AW103=regle!$E$12,regle!$E$11,
IF(AW103=regle!$F$12,regle!$F$11,
IF(AW103=regle!$G$12,regle!$G$11,
IF(AW103=regle!$H$12,regle!$H$11,
IF(AW103=regle!$I$12,regle!$I$11,""))))))))))</f>
        <v/>
      </c>
      <c r="AD103" t="str">
        <f>IF(NOT($A103),"",
IF(AX103=-2,regle!$J$11,
IF(AX103=regle!$B$12,regle!$B$11,
IF(AX103=regle!$C$12,regle!$C$11,
IF(AX103=regle!$D$12,regle!$D$11,
IF(AX103=regle!$E$12,regle!$E$11,
IF(AX103=regle!$F$12,regle!$F$11,
IF(AX103=regle!$G$12,regle!$G$11,
IF(AX103=regle!$H$12,regle!$H$11,
IF(AX103=regle!$I$12,regle!$I$11,""))))))))))</f>
        <v/>
      </c>
      <c r="AE103" s="14">
        <f>IF($A103,$M103*(IF(U103=regle!$B$11,regle!$B$23,IF(U103=regle!$C$11,regle!$C$23,IF(U103=regle!$D$11,regle!$D$23,IF(U103=regle!$E$11,regle!$E$23,IF(U103=regle!$F$11,regle!$F$23,IF(U103=regle!$G$11,regle!$G$23,IF(U103=regle!$H$11,regle!$H$23,IF(U103=regle!$I$11,regle!$I$23,IF(U103=regle!$J$11,regle!$J$23,0)))))))))))</f>
        <v>0</v>
      </c>
      <c r="AF103" s="14">
        <f>IF($A103,$M103*(IF(V103=regle!$B$11,regle!$B$23,IF(V103=regle!$C$11,regle!$C$23,IF(V103=regle!$D$11,regle!$D$23,IF(V103=regle!$E$11,regle!$E$23,IF(V103=regle!$F$11,regle!$F$23,IF(V103=regle!$G$11,regle!$G$23,IF(V103=regle!$H$11,regle!$H$23,IF(V103=regle!$I$11,regle!$I$23,IF(V103=regle!$J$11,regle!$J$23,0)))))))))))</f>
        <v>0</v>
      </c>
      <c r="AG103" s="14">
        <f>IF($A103,$M103*(IF(W103=regle!$B$11,regle!$B$23,IF(W103=regle!$C$11,regle!$C$23,IF(W103=regle!$D$11,regle!$D$23,IF(W103=regle!$E$11,regle!$E$23,IF(W103=regle!$F$11,regle!$F$23,IF(W103=regle!$G$11,regle!$G$23,IF(W103=regle!$H$11,regle!$H$23,IF(W103=regle!$I$11,regle!$I$23,IF(W103=regle!$J$11,regle!$J$23,0)))))))))))</f>
        <v>-5.5350000000000001</v>
      </c>
      <c r="AH103" s="14">
        <f>IF($A103,$M103*(IF(X103=regle!$B$11,regle!$B$23,IF(X103=regle!$C$11,regle!$C$23,IF(X103=regle!$D$11,regle!$D$23,IF(X103=regle!$E$11,regle!$E$23,IF(X103=regle!$F$11,regle!$F$23,IF(X103=regle!$G$11,regle!$G$23,IF(X103=regle!$H$11,regle!$H$23,IF(X103=regle!$I$11,regle!$I$23,IF(X103=regle!$J$11,regle!$J$23,0)))))))))))</f>
        <v>0</v>
      </c>
      <c r="AI103" s="14">
        <f>IF($A103,$M103*(IF(Y103=regle!$B$11,regle!$B$23,IF(Y103=regle!$C$11,regle!$C$23,IF(Y103=regle!$D$11,regle!$D$23,IF(Y103=regle!$E$11,regle!$E$23,IF(Y103=regle!$F$11,regle!$F$23,IF(Y103=regle!$G$11,regle!$G$23,IF(Y103=regle!$H$11,regle!$H$23,IF(Y103=regle!$I$11,regle!$I$23,IF(Y103=regle!$J$11,regle!$J$23,0)))))))))))</f>
        <v>0</v>
      </c>
      <c r="AJ103" s="14">
        <f>IF($A103,$M103*(IF(Z103=regle!$B$11,regle!$B$23,IF(Z103=regle!$C$11,regle!$C$23,IF(Z103=regle!$D$11,regle!$D$23,IF(Z103=regle!$E$11,regle!$E$23,IF(Z103=regle!$F$11,regle!$F$23,IF(Z103=regle!$G$11,regle!$G$23,IF(Z103=regle!$H$11,regle!$H$23,IF(Z103=regle!$I$11,regle!$I$23,IF(Z103=regle!$J$11,regle!$J$23,0)))))))))))</f>
        <v>0</v>
      </c>
      <c r="AK103" s="14">
        <f>IF($A103,$M103*(IF(AA103=regle!$B$11,regle!$B$23,IF(AA103=regle!$C$11,regle!$C$23,IF(AA103=regle!$D$11,regle!$D$23,IF(AA103=regle!$E$11,regle!$E$23,IF(AA103=regle!$F$11,regle!$F$23,IF(AA103=regle!$G$11,regle!$G$23,IF(AA103=regle!$H$11,regle!$H$23,IF(AA103=regle!$I$11,regle!$I$23,IF(AA103=regle!$J$11,regle!$J$23,0)))))))))))</f>
        <v>0</v>
      </c>
      <c r="AL103" s="14">
        <f>IF($A103,$M103*(IF(AB103=regle!$B$11,regle!$B$23,IF(AB103=regle!$C$11,regle!$C$23,IF(AB103=regle!$D$11,regle!$D$23,IF(AB103=regle!$E$11,regle!$E$23,IF(AB103=regle!$F$11,regle!$F$23,IF(AB103=regle!$G$11,regle!$G$23,IF(AB103=regle!$H$11,regle!$H$23,IF(AB103=regle!$I$11,regle!$I$23,IF(AB103=regle!$J$11,regle!$J$23,0)))))))))))</f>
        <v>35.423999999999999</v>
      </c>
      <c r="AM103" s="14">
        <f>IF($A103,$M103*(IF(AC103=regle!$B$11,regle!$B$23,IF(AC103=regle!$C$11,regle!$C$23,IF(AC103=regle!$D$11,regle!$D$23,IF(AC103=regle!$E$11,regle!$E$23,IF(AC103=regle!$F$11,regle!$F$23,IF(AC103=regle!$G$11,regle!$G$23,IF(AC103=regle!$H$11,regle!$H$23,IF(AC103=regle!$I$11,regle!$I$23,IF(AC103=regle!$J$11,regle!$J$23,0)))))))))))</f>
        <v>0</v>
      </c>
      <c r="AN103" s="14">
        <f>IF($A103,$M103*(IF(AD103=regle!$B$11,regle!$B$23,IF(AD103=regle!$C$11,regle!$C$23,IF(AD103=regle!$D$11,regle!$D$23,IF(AD103=regle!$E$11,regle!$E$23,IF(AD103=regle!$F$11,regle!$F$23,IF(AD103=regle!$G$11,regle!$G$23,IF(AD103=regle!$H$11,regle!$H$23,IF(AD103=regle!$I$11,regle!$I$23,IF(AD103=regle!$J$11,regle!$J$23,0)))))))))))</f>
        <v>0</v>
      </c>
      <c r="AO103">
        <f>IF(AO$1=$AO$1,IF(regle!B$2-$Q103&gt;=regle!$J$12,-2,IF($S103,IF(regle!$B$2-$Q103&gt;=2,0,-1),regle!B$2-$Q103)),IF(AN103+1&gt;=regle!$J$12,-2,AN103+1))</f>
        <v>6</v>
      </c>
      <c r="AP103">
        <f>IF(AP$1=$AO$1,IF(regle!C$2-$Q103&gt;=regle!$J$12,-2,IF($S103,IF(regle!$B$2-$Q103&gt;=2,0,-1),regle!C$2-$Q103)),IF(AO103+1&gt;=regle!$J$12,-2,AO103+1))</f>
        <v>7</v>
      </c>
      <c r="AQ103">
        <f>IF(AQ$1=$AO$1,IF(regle!D$2-$Q103&gt;=regle!$J$12,-2,IF($S103,IF(regle!$B$2-$Q103&gt;=2,0,-1),regle!D$2-$Q103)),IF(AP103+1&gt;=regle!$J$12,-2,AP103+1))</f>
        <v>8</v>
      </c>
      <c r="AR103">
        <f>IF(AR$1=$AO$1,IF(regle!E$2-$Q103&gt;=regle!$J$12,-2,IF($S103,IF(regle!$B$2-$Q103&gt;=2,0,-1),regle!E$2-$Q103)),IF(AQ103+1&gt;=regle!$J$12,-2,AQ103+1))</f>
        <v>9</v>
      </c>
      <c r="AS103">
        <f>IF(AS$1=$AO$1,IF(regle!F$2-$Q103&gt;=regle!$J$12,-2,IF($S103,IF(regle!$B$2-$Q103&gt;=2,0,-1),regle!F$2-$Q103)),IF(AR103+1&gt;=regle!$J$12,-2,AR103+1))</f>
        <v>10</v>
      </c>
      <c r="AT103">
        <f>IF(AT$1=$AO$1,IF(regle!G$2-$Q103&gt;=regle!$J$12,-2,IF($S103,IF(regle!$B$2-$Q103&gt;=2,0,-1),regle!G$2-$Q103)),IF(AS103+1&gt;=regle!$J$12,-2,AS103+1))</f>
        <v>11</v>
      </c>
      <c r="AU103">
        <f>IF(AU$1=$AO$1,IF(regle!H$2-$Q103&gt;=regle!$J$12,-2,IF($S103,IF(regle!$B$2-$Q103&gt;=2,0,-1),regle!H$2-$Q103)),IF(AT103+1&gt;=regle!$J$12,-2,AT103+1))</f>
        <v>12</v>
      </c>
      <c r="AV103">
        <f>IF(AV$1=$AO$1,IF(regle!I$2-$Q103&gt;=regle!$J$12,-2,IF($S103,IF(regle!$B$2-$Q103&gt;=2,0,-1),regle!I$2-$Q103)),IF(AU103+1&gt;=regle!$J$12,-2,AU103+1))</f>
        <v>13</v>
      </c>
      <c r="AW103">
        <f>IF(AW$1=$AO$1,IF(regle!J$2-$Q103&gt;=regle!$J$12,-2,IF($S103,IF(regle!$B$2-$Q103&gt;=2,0,-1),regle!J$2-$Q103)),IF(AV103+1&gt;=regle!$J$12,-2,AV103+1))</f>
        <v>14</v>
      </c>
      <c r="AX103">
        <f>IF(AX$1=$AO$1,IF(regle!K$2-$Q103&gt;=regle!$J$12,-2,IF($S103,IF(regle!$B$2-$Q103&gt;=2,0,-1),regle!K$2-$Q103)),IF(AW103+1&gt;=regle!$J$12,-2,AW103+1))</f>
        <v>15</v>
      </c>
    </row>
    <row r="104" spans="1:50" x14ac:dyDescent="0.25">
      <c r="A104" t="b">
        <f>AND(modif0[[#This Row],[cdstr]]&lt;&gt;0,OR(regle!$H$27=FALSE,modif0[[#This Row],[essnc]]="PM"))</f>
        <v>1</v>
      </c>
      <c r="B104">
        <f>ROW(objet!A129)</f>
        <v>129</v>
      </c>
      <c r="C104" s="10" t="str">
        <f>objet!D129</f>
        <v>2020000B1139</v>
      </c>
      <c r="D104" t="str">
        <f>LEFT(modif0[[#This Row],[cdstr]],3)</f>
        <v>202</v>
      </c>
      <c r="E104" s="10" t="str">
        <f>objet!G129</f>
        <v>HOSTENS</v>
      </c>
      <c r="F104">
        <f>LEN(modif0[[#This Row],[l_dt]])</f>
        <v>11</v>
      </c>
      <c r="G104" s="10" t="str">
        <f>objet!H129</f>
        <v>LES CAZALAS</v>
      </c>
      <c r="H104" s="10" t="str">
        <f>objet!C129</f>
        <v>B1139</v>
      </c>
      <c r="I104" t="str">
        <f>IF(ISNUMBER(VALUE(RIGHT(LEFT(modif0[[#This Row],[idntfn]],2),1))),_xlfn.CONCAT(0,LEFT(modif0[[#This Row],[idntfn]],1)),LEFT(modif0[[#This Row],[idntfn]],2))</f>
        <v>0B</v>
      </c>
      <c r="J104">
        <f>VALUE(LEFT(RIGHT(modif0[[#This Row],[idntfn]],LEN(modif0[[#This Row],[idntfn]])-IF(LEFT(modif0[[#This Row],[sctn]],1)="0",1,2)),LEN(modif0[[#This Row],[idntfn]])-IF(LEFT(modif0[[#This Row],[sctn]],1)="0",1,2)-LEN(modif0[[#This Row],[lttr]])))</f>
        <v>1139</v>
      </c>
      <c r="K104" t="str">
        <f>IF(ISNUMBER(VALUE(RIGHT(modif0[[#This Row],[idntfn]],1))),"",IF(ISNUMBER(VALUE(LEFT(RIGHT(modif0[[#This Row],[idntfn]],2),1))),RIGHT(modif0[[#This Row],[idntfn]],1),RIGHT(modif0[[#This Row],[idntfn]],2)))</f>
        <v/>
      </c>
      <c r="L104" s="10">
        <f>objet!I129</f>
        <v>76909</v>
      </c>
      <c r="M104" s="11">
        <f>modif0[[#This Row],[srfc]]/10000</f>
        <v>7.6909000000000001</v>
      </c>
      <c r="N104" s="10" t="str">
        <f>objet!Z129</f>
        <v>PM</v>
      </c>
      <c r="O104" s="10" t="str">
        <f>objet!AA129</f>
        <v>PLA2018</v>
      </c>
      <c r="P104" t="str">
        <f>IF(ISNUMBER(modif0[[#This Row],[trvx]]),"",LEFT(modif0[[#This Row],[trvx]],LEN(modif0[[#This Row],[trvx]])-4))</f>
        <v>PLA</v>
      </c>
      <c r="Q104">
        <f>VALUE(RIGHT(modif0[[#This Row],[trvx]],4))</f>
        <v>2018</v>
      </c>
      <c r="R104" t="str">
        <f>_xlfn.CONCAT(modif0[[#This Row],[tp]],"-",modif0[[#This Row],[essnc]],"_",modif0[[#This Row],[anns]])</f>
        <v>PLA-PM_2018</v>
      </c>
      <c r="S104" t="b">
        <f>modif0[[#This Row],[tp]]="CR"</f>
        <v>0</v>
      </c>
      <c r="T104">
        <v>40</v>
      </c>
      <c r="U104" t="str">
        <f>IF(NOT($A104),"",
IF(AO104=-2,regle!$J$11,
IF(AO104=regle!$B$12,regle!$B$11,
IF(AO104=regle!$C$12,regle!$C$11,
IF(AO104=regle!$D$12,regle!$D$11,
IF(AO104=regle!$E$12,regle!$E$11,
IF(AO104=regle!$F$12,regle!$F$11,
IF(AO104=regle!$G$12,regle!$G$11,
IF(AO104=regle!$H$12,regle!$H$11,
IF(AO104=regle!$I$12,regle!$I$11,""))))))))))</f>
        <v/>
      </c>
      <c r="V104" t="str">
        <f>IF(NOT($A104),"",
IF(AP104=-2,regle!$J$11,
IF(AP104=regle!$B$12,regle!$B$11,
IF(AP104=regle!$C$12,regle!$C$11,
IF(AP104=regle!$D$12,regle!$D$11,
IF(AP104=regle!$E$12,regle!$E$11,
IF(AP104=regle!$F$12,regle!$F$11,
IF(AP104=regle!$G$12,regle!$G$11,
IF(AP104=regle!$H$12,regle!$H$11,
IF(AP104=regle!$I$12,regle!$I$11,""))))))))))</f>
        <v/>
      </c>
      <c r="W104" t="str">
        <f>IF(NOT($A104),"",
IF(AQ104=-2,regle!$J$11,
IF(AQ104=regle!$B$12,regle!$B$11,
IF(AQ104=regle!$C$12,regle!$C$11,
IF(AQ104=regle!$D$12,regle!$D$11,
IF(AQ104=regle!$E$12,regle!$E$11,
IF(AQ104=regle!$F$12,regle!$F$11,
IF(AQ104=regle!$G$12,regle!$G$11,
IF(AQ104=regle!$H$12,regle!$H$11,
IF(AQ104=regle!$I$12,regle!$I$11,""))))))))))</f>
        <v>ENT2</v>
      </c>
      <c r="X104" t="str">
        <f>IF(NOT($A104),"",
IF(AR104=-2,regle!$J$11,
IF(AR104=regle!$B$12,regle!$B$11,
IF(AR104=regle!$C$12,regle!$C$11,
IF(AR104=regle!$D$12,regle!$D$11,
IF(AR104=regle!$E$12,regle!$E$11,
IF(AR104=regle!$F$12,regle!$F$11,
IF(AR104=regle!$G$12,regle!$G$11,
IF(AR104=regle!$H$12,regle!$H$11,
IF(AR104=regle!$I$12,regle!$I$11,""))))))))))</f>
        <v/>
      </c>
      <c r="Y104" t="str">
        <f>IF(NOT($A104),"",
IF(AS104=-2,regle!$J$11,
IF(AS104=regle!$B$12,regle!$B$11,
IF(AS104=regle!$C$12,regle!$C$11,
IF(AS104=regle!$D$12,regle!$D$11,
IF(AS104=regle!$E$12,regle!$E$11,
IF(AS104=regle!$F$12,regle!$F$11,
IF(AS104=regle!$G$12,regle!$G$11,
IF(AS104=regle!$H$12,regle!$H$11,
IF(AS104=regle!$I$12,regle!$I$11,""))))))))))</f>
        <v/>
      </c>
      <c r="Z104" t="str">
        <f>IF(NOT($A104),"",
IF(AT104=-2,regle!$J$11,
IF(AT104=regle!$B$12,regle!$B$11,
IF(AT104=regle!$C$12,regle!$C$11,
IF(AT104=regle!$D$12,regle!$D$11,
IF(AT104=regle!$E$12,regle!$E$11,
IF(AT104=regle!$F$12,regle!$F$11,
IF(AT104=regle!$G$12,regle!$G$11,
IF(AT104=regle!$H$12,regle!$H$11,
IF(AT104=regle!$I$12,regle!$I$11,""))))))))))</f>
        <v/>
      </c>
      <c r="AA104" t="str">
        <f>IF(NOT($A104),"",
IF(AU104=-2,regle!$J$11,
IF(AU104=regle!$B$12,regle!$B$11,
IF(AU104=regle!$C$12,regle!$C$11,
IF(AU104=regle!$D$12,regle!$D$11,
IF(AU104=regle!$E$12,regle!$E$11,
IF(AU104=regle!$F$12,regle!$F$11,
IF(AU104=regle!$G$12,regle!$G$11,
IF(AU104=regle!$H$12,regle!$H$11,
IF(AU104=regle!$I$12,regle!$I$11,""))))))))))</f>
        <v/>
      </c>
      <c r="AB104" t="str">
        <f>IF(NOT($A104),"",
IF(AV104=-2,regle!$J$11,
IF(AV104=regle!$B$12,regle!$B$11,
IF(AV104=regle!$C$12,regle!$C$11,
IF(AV104=regle!$D$12,regle!$D$11,
IF(AV104=regle!$E$12,regle!$E$11,
IF(AV104=regle!$F$12,regle!$F$11,
IF(AV104=regle!$G$12,regle!$G$11,
IF(AV104=regle!$H$12,regle!$H$11,
IF(AV104=regle!$I$12,regle!$I$11,""))))))))))</f>
        <v>EC1</v>
      </c>
      <c r="AC104" t="str">
        <f>IF(NOT($A104),"",
IF(AW104=-2,regle!$J$11,
IF(AW104=regle!$B$12,regle!$B$11,
IF(AW104=regle!$C$12,regle!$C$11,
IF(AW104=regle!$D$12,regle!$D$11,
IF(AW104=regle!$E$12,regle!$E$11,
IF(AW104=regle!$F$12,regle!$F$11,
IF(AW104=regle!$G$12,regle!$G$11,
IF(AW104=regle!$H$12,regle!$H$11,
IF(AW104=regle!$I$12,regle!$I$11,""))))))))))</f>
        <v/>
      </c>
      <c r="AD104" t="str">
        <f>IF(NOT($A104),"",
IF(AX104=-2,regle!$J$11,
IF(AX104=regle!$B$12,regle!$B$11,
IF(AX104=regle!$C$12,regle!$C$11,
IF(AX104=regle!$D$12,regle!$D$11,
IF(AX104=regle!$E$12,regle!$E$11,
IF(AX104=regle!$F$12,regle!$F$11,
IF(AX104=regle!$G$12,regle!$G$11,
IF(AX104=regle!$H$12,regle!$H$11,
IF(AX104=regle!$I$12,regle!$I$11,""))))))))))</f>
        <v/>
      </c>
      <c r="AE104" s="14">
        <f>IF($A104,$M104*(IF(U104=regle!$B$11,regle!$B$23,IF(U104=regle!$C$11,regle!$C$23,IF(U104=regle!$D$11,regle!$D$23,IF(U104=regle!$E$11,regle!$E$23,IF(U104=regle!$F$11,regle!$F$23,IF(U104=regle!$G$11,regle!$G$23,IF(U104=regle!$H$11,regle!$H$23,IF(U104=regle!$I$11,regle!$I$23,IF(U104=regle!$J$11,regle!$J$23,0)))))))))))</f>
        <v>0</v>
      </c>
      <c r="AF104" s="14">
        <f>IF($A104,$M104*(IF(V104=regle!$B$11,regle!$B$23,IF(V104=regle!$C$11,regle!$C$23,IF(V104=regle!$D$11,regle!$D$23,IF(V104=regle!$E$11,regle!$E$23,IF(V104=regle!$F$11,regle!$F$23,IF(V104=regle!$G$11,regle!$G$23,IF(V104=regle!$H$11,regle!$H$23,IF(V104=regle!$I$11,regle!$I$23,IF(V104=regle!$J$11,regle!$J$23,0)))))))))))</f>
        <v>0</v>
      </c>
      <c r="AG104" s="14">
        <f>IF($A104,$M104*(IF(W104=regle!$B$11,regle!$B$23,IF(W104=regle!$C$11,regle!$C$23,IF(W104=regle!$D$11,regle!$D$23,IF(W104=regle!$E$11,regle!$E$23,IF(W104=regle!$F$11,regle!$F$23,IF(W104=regle!$G$11,regle!$G$23,IF(W104=regle!$H$11,regle!$H$23,IF(W104=regle!$I$11,regle!$I$23,IF(W104=regle!$J$11,regle!$J$23,0)))))))))))</f>
        <v>-692.18100000000004</v>
      </c>
      <c r="AH104" s="14">
        <f>IF($A104,$M104*(IF(X104=regle!$B$11,regle!$B$23,IF(X104=regle!$C$11,regle!$C$23,IF(X104=regle!$D$11,regle!$D$23,IF(X104=regle!$E$11,regle!$E$23,IF(X104=regle!$F$11,regle!$F$23,IF(X104=regle!$G$11,regle!$G$23,IF(X104=regle!$H$11,regle!$H$23,IF(X104=regle!$I$11,regle!$I$23,IF(X104=regle!$J$11,regle!$J$23,0)))))))))))</f>
        <v>0</v>
      </c>
      <c r="AI104" s="14">
        <f>IF($A104,$M104*(IF(Y104=regle!$B$11,regle!$B$23,IF(Y104=regle!$C$11,regle!$C$23,IF(Y104=regle!$D$11,regle!$D$23,IF(Y104=regle!$E$11,regle!$E$23,IF(Y104=regle!$F$11,regle!$F$23,IF(Y104=regle!$G$11,regle!$G$23,IF(Y104=regle!$H$11,regle!$H$23,IF(Y104=regle!$I$11,regle!$I$23,IF(Y104=regle!$J$11,regle!$J$23,0)))))))))))</f>
        <v>0</v>
      </c>
      <c r="AJ104" s="14">
        <f>IF($A104,$M104*(IF(Z104=regle!$B$11,regle!$B$23,IF(Z104=regle!$C$11,regle!$C$23,IF(Z104=regle!$D$11,regle!$D$23,IF(Z104=regle!$E$11,regle!$E$23,IF(Z104=regle!$F$11,regle!$F$23,IF(Z104=regle!$G$11,regle!$G$23,IF(Z104=regle!$H$11,regle!$H$23,IF(Z104=regle!$I$11,regle!$I$23,IF(Z104=regle!$J$11,regle!$J$23,0)))))))))))</f>
        <v>0</v>
      </c>
      <c r="AK104" s="14">
        <f>IF($A104,$M104*(IF(AA104=regle!$B$11,regle!$B$23,IF(AA104=regle!$C$11,regle!$C$23,IF(AA104=regle!$D$11,regle!$D$23,IF(AA104=regle!$E$11,regle!$E$23,IF(AA104=regle!$F$11,regle!$F$23,IF(AA104=regle!$G$11,regle!$G$23,IF(AA104=regle!$H$11,regle!$H$23,IF(AA104=regle!$I$11,regle!$I$23,IF(AA104=regle!$J$11,regle!$J$23,0)))))))))))</f>
        <v>0</v>
      </c>
      <c r="AL104" s="14">
        <f>IF($A104,$M104*(IF(AB104=regle!$B$11,regle!$B$23,IF(AB104=regle!$C$11,regle!$C$23,IF(AB104=regle!$D$11,regle!$D$23,IF(AB104=regle!$E$11,regle!$E$23,IF(AB104=regle!$F$11,regle!$F$23,IF(AB104=regle!$G$11,regle!$G$23,IF(AB104=regle!$H$11,regle!$H$23,IF(AB104=regle!$I$11,regle!$I$23,IF(AB104=regle!$J$11,regle!$J$23,0)))))))))))</f>
        <v>4429.9584000000004</v>
      </c>
      <c r="AM104" s="14">
        <f>IF($A104,$M104*(IF(AC104=regle!$B$11,regle!$B$23,IF(AC104=regle!$C$11,regle!$C$23,IF(AC104=regle!$D$11,regle!$D$23,IF(AC104=regle!$E$11,regle!$E$23,IF(AC104=regle!$F$11,regle!$F$23,IF(AC104=regle!$G$11,regle!$G$23,IF(AC104=regle!$H$11,regle!$H$23,IF(AC104=regle!$I$11,regle!$I$23,IF(AC104=regle!$J$11,regle!$J$23,0)))))))))))</f>
        <v>0</v>
      </c>
      <c r="AN104" s="14">
        <f>IF($A104,$M104*(IF(AD104=regle!$B$11,regle!$B$23,IF(AD104=regle!$C$11,regle!$C$23,IF(AD104=regle!$D$11,regle!$D$23,IF(AD104=regle!$E$11,regle!$E$23,IF(AD104=regle!$F$11,regle!$F$23,IF(AD104=regle!$G$11,regle!$G$23,IF(AD104=regle!$H$11,regle!$H$23,IF(AD104=regle!$I$11,regle!$I$23,IF(AD104=regle!$J$11,regle!$J$23,0)))))))))))</f>
        <v>0</v>
      </c>
      <c r="AO104">
        <f>IF(AO$1=$AO$1,IF(regle!B$2-$Q104&gt;=regle!$J$12,-2,IF($S104,IF(regle!$B$2-$Q104&gt;=2,0,-1),regle!B$2-$Q104)),IF(AN104+1&gt;=regle!$J$12,-2,AN104+1))</f>
        <v>6</v>
      </c>
      <c r="AP104">
        <f>IF(AP$1=$AO$1,IF(regle!C$2-$Q104&gt;=regle!$J$12,-2,IF($S104,IF(regle!$B$2-$Q104&gt;=2,0,-1),regle!C$2-$Q104)),IF(AO104+1&gt;=regle!$J$12,-2,AO104+1))</f>
        <v>7</v>
      </c>
      <c r="AQ104">
        <f>IF(AQ$1=$AO$1,IF(regle!D$2-$Q104&gt;=regle!$J$12,-2,IF($S104,IF(regle!$B$2-$Q104&gt;=2,0,-1),regle!D$2-$Q104)),IF(AP104+1&gt;=regle!$J$12,-2,AP104+1))</f>
        <v>8</v>
      </c>
      <c r="AR104">
        <f>IF(AR$1=$AO$1,IF(regle!E$2-$Q104&gt;=regle!$J$12,-2,IF($S104,IF(regle!$B$2-$Q104&gt;=2,0,-1),regle!E$2-$Q104)),IF(AQ104+1&gt;=regle!$J$12,-2,AQ104+1))</f>
        <v>9</v>
      </c>
      <c r="AS104">
        <f>IF(AS$1=$AO$1,IF(regle!F$2-$Q104&gt;=regle!$J$12,-2,IF($S104,IF(regle!$B$2-$Q104&gt;=2,0,-1),regle!F$2-$Q104)),IF(AR104+1&gt;=regle!$J$12,-2,AR104+1))</f>
        <v>10</v>
      </c>
      <c r="AT104">
        <f>IF(AT$1=$AO$1,IF(regle!G$2-$Q104&gt;=regle!$J$12,-2,IF($S104,IF(regle!$B$2-$Q104&gt;=2,0,-1),regle!G$2-$Q104)),IF(AS104+1&gt;=regle!$J$12,-2,AS104+1))</f>
        <v>11</v>
      </c>
      <c r="AU104">
        <f>IF(AU$1=$AO$1,IF(regle!H$2-$Q104&gt;=regle!$J$12,-2,IF($S104,IF(regle!$B$2-$Q104&gt;=2,0,-1),regle!H$2-$Q104)),IF(AT104+1&gt;=regle!$J$12,-2,AT104+1))</f>
        <v>12</v>
      </c>
      <c r="AV104">
        <f>IF(AV$1=$AO$1,IF(regle!I$2-$Q104&gt;=regle!$J$12,-2,IF($S104,IF(regle!$B$2-$Q104&gt;=2,0,-1),regle!I$2-$Q104)),IF(AU104+1&gt;=regle!$J$12,-2,AU104+1))</f>
        <v>13</v>
      </c>
      <c r="AW104">
        <f>IF(AW$1=$AO$1,IF(regle!J$2-$Q104&gt;=regle!$J$12,-2,IF($S104,IF(regle!$B$2-$Q104&gt;=2,0,-1),regle!J$2-$Q104)),IF(AV104+1&gt;=regle!$J$12,-2,AV104+1))</f>
        <v>14</v>
      </c>
      <c r="AX104">
        <f>IF(AX$1=$AO$1,IF(regle!K$2-$Q104&gt;=regle!$J$12,-2,IF($S104,IF(regle!$B$2-$Q104&gt;=2,0,-1),regle!K$2-$Q104)),IF(AW104+1&gt;=regle!$J$12,-2,AW104+1))</f>
        <v>15</v>
      </c>
    </row>
    <row r="105" spans="1:50" x14ac:dyDescent="0.25">
      <c r="A105" t="b">
        <f>AND(modif0[[#This Row],[cdstr]]&lt;&gt;0,OR(regle!$H$27=FALSE,modif0[[#This Row],[essnc]]="PM"))</f>
        <v>1</v>
      </c>
      <c r="B105">
        <f>ROW(objet!A131)</f>
        <v>131</v>
      </c>
      <c r="C105" s="10" t="str">
        <f>objet!D131</f>
        <v>2020000B1141</v>
      </c>
      <c r="D105" t="str">
        <f>LEFT(modif0[[#This Row],[cdstr]],3)</f>
        <v>202</v>
      </c>
      <c r="E105" s="10" t="str">
        <f>objet!G131</f>
        <v>HOSTENS</v>
      </c>
      <c r="F105">
        <f>LEN(modif0[[#This Row],[l_dt]])</f>
        <v>11</v>
      </c>
      <c r="G105" s="10" t="str">
        <f>objet!H131</f>
        <v>LES CAZALAS</v>
      </c>
      <c r="H105" s="10" t="str">
        <f>objet!C131</f>
        <v>B1141j</v>
      </c>
      <c r="I105" t="str">
        <f>IF(ISNUMBER(VALUE(RIGHT(LEFT(modif0[[#This Row],[idntfn]],2),1))),_xlfn.CONCAT(0,LEFT(modif0[[#This Row],[idntfn]],1)),LEFT(modif0[[#This Row],[idntfn]],2))</f>
        <v>0B</v>
      </c>
      <c r="J105">
        <f>VALUE(LEFT(RIGHT(modif0[[#This Row],[idntfn]],LEN(modif0[[#This Row],[idntfn]])-IF(LEFT(modif0[[#This Row],[sctn]],1)="0",1,2)),LEN(modif0[[#This Row],[idntfn]])-IF(LEFT(modif0[[#This Row],[sctn]],1)="0",1,2)-LEN(modif0[[#This Row],[lttr]])))</f>
        <v>1141</v>
      </c>
      <c r="K105" t="str">
        <f>IF(ISNUMBER(VALUE(RIGHT(modif0[[#This Row],[idntfn]],1))),"",IF(ISNUMBER(VALUE(LEFT(RIGHT(modif0[[#This Row],[idntfn]],2),1))),RIGHT(modif0[[#This Row],[idntfn]],1),RIGHT(modif0[[#This Row],[idntfn]],2)))</f>
        <v>j</v>
      </c>
      <c r="L105" s="10">
        <f>objet!I131</f>
        <v>11156</v>
      </c>
      <c r="M105" s="11">
        <f>modif0[[#This Row],[srfc]]/10000</f>
        <v>1.1155999999999999</v>
      </c>
      <c r="N105" s="10" t="str">
        <f>objet!Z131</f>
        <v>PM</v>
      </c>
      <c r="O105" s="10" t="str">
        <f>objet!AA131</f>
        <v>PLA2004</v>
      </c>
      <c r="P105" t="str">
        <f>IF(ISNUMBER(modif0[[#This Row],[trvx]]),"",LEFT(modif0[[#This Row],[trvx]],LEN(modif0[[#This Row],[trvx]])-4))</f>
        <v>PLA</v>
      </c>
      <c r="Q105">
        <f>VALUE(RIGHT(modif0[[#This Row],[trvx]],4))</f>
        <v>2004</v>
      </c>
      <c r="R105" t="str">
        <f>_xlfn.CONCAT(modif0[[#This Row],[tp]],"-",modif0[[#This Row],[essnc]],"_",modif0[[#This Row],[anns]])</f>
        <v>PLA-PM_2004</v>
      </c>
      <c r="S105" t="b">
        <f>modif0[[#This Row],[tp]]="CR"</f>
        <v>0</v>
      </c>
      <c r="T105">
        <v>40</v>
      </c>
      <c r="U105" t="str">
        <f>IF(NOT($A105),"",
IF(AO105=-2,regle!$J$11,
IF(AO105=regle!$B$12,regle!$B$11,
IF(AO105=regle!$C$12,regle!$C$11,
IF(AO105=regle!$D$12,regle!$D$11,
IF(AO105=regle!$E$12,regle!$E$11,
IF(AO105=regle!$F$12,regle!$F$11,
IF(AO105=regle!$G$12,regle!$G$11,
IF(AO105=regle!$H$12,regle!$H$11,
IF(AO105=regle!$I$12,regle!$I$11,""))))))))))</f>
        <v/>
      </c>
      <c r="V105" t="str">
        <f>IF(NOT($A105),"",
IF(AP105=-2,regle!$J$11,
IF(AP105=regle!$B$12,regle!$B$11,
IF(AP105=regle!$C$12,regle!$C$11,
IF(AP105=regle!$D$12,regle!$D$11,
IF(AP105=regle!$E$12,regle!$E$11,
IF(AP105=regle!$F$12,regle!$F$11,
IF(AP105=regle!$G$12,regle!$G$11,
IF(AP105=regle!$H$12,regle!$H$11,
IF(AP105=regle!$I$12,regle!$I$11,""))))))))))</f>
        <v/>
      </c>
      <c r="W105" t="str">
        <f>IF(NOT($A105),"",
IF(AQ105=-2,regle!$J$11,
IF(AQ105=regle!$B$12,regle!$B$11,
IF(AQ105=regle!$C$12,regle!$C$11,
IF(AQ105=regle!$D$12,regle!$D$11,
IF(AQ105=regle!$E$12,regle!$E$11,
IF(AQ105=regle!$F$12,regle!$F$11,
IF(AQ105=regle!$G$12,regle!$G$11,
IF(AQ105=regle!$H$12,regle!$H$11,
IF(AQ105=regle!$I$12,regle!$I$11,""))))))))))</f>
        <v/>
      </c>
      <c r="X105" t="str">
        <f>IF(NOT($A105),"",
IF(AR105=-2,regle!$J$11,
IF(AR105=regle!$B$12,regle!$B$11,
IF(AR105=regle!$C$12,regle!$C$11,
IF(AR105=regle!$D$12,regle!$D$11,
IF(AR105=regle!$E$12,regle!$E$11,
IF(AR105=regle!$F$12,regle!$F$11,
IF(AR105=regle!$G$12,regle!$G$11,
IF(AR105=regle!$H$12,regle!$H$11,
IF(AR105=regle!$I$12,regle!$I$11,""))))))))))</f>
        <v>EC3</v>
      </c>
      <c r="Y105" t="str">
        <f>IF(NOT($A105),"",
IF(AS105=-2,regle!$J$11,
IF(AS105=regle!$B$12,regle!$B$11,
IF(AS105=regle!$C$12,regle!$C$11,
IF(AS105=regle!$D$12,regle!$D$11,
IF(AS105=regle!$E$12,regle!$E$11,
IF(AS105=regle!$F$12,regle!$F$11,
IF(AS105=regle!$G$12,regle!$G$11,
IF(AS105=regle!$H$12,regle!$H$11,
IF(AS105=regle!$I$12,regle!$I$11,""))))))))))</f>
        <v/>
      </c>
      <c r="Z105" t="str">
        <f>IF(NOT($A105),"",
IF(AT105=-2,regle!$J$11,
IF(AT105=regle!$B$12,regle!$B$11,
IF(AT105=regle!$C$12,regle!$C$11,
IF(AT105=regle!$D$12,regle!$D$11,
IF(AT105=regle!$E$12,regle!$E$11,
IF(AT105=regle!$F$12,regle!$F$11,
IF(AT105=regle!$G$12,regle!$G$11,
IF(AT105=regle!$H$12,regle!$H$11,
IF(AT105=regle!$I$12,regle!$I$11,""))))))))))</f>
        <v/>
      </c>
      <c r="AA105" t="str">
        <f>IF(NOT($A105),"",
IF(AU105=-2,regle!$J$11,
IF(AU105=regle!$B$12,regle!$B$11,
IF(AU105=regle!$C$12,regle!$C$11,
IF(AU105=regle!$D$12,regle!$D$11,
IF(AU105=regle!$E$12,regle!$E$11,
IF(AU105=regle!$F$12,regle!$F$11,
IF(AU105=regle!$G$12,regle!$G$11,
IF(AU105=regle!$H$12,regle!$H$11,
IF(AU105=regle!$I$12,regle!$I$11,""))))))))))</f>
        <v/>
      </c>
      <c r="AB105" t="str">
        <f>IF(NOT($A105),"",
IF(AV105=-2,regle!$J$11,
IF(AV105=regle!$B$12,regle!$B$11,
IF(AV105=regle!$C$12,regle!$C$11,
IF(AV105=regle!$D$12,regle!$D$11,
IF(AV105=regle!$E$12,regle!$E$11,
IF(AV105=regle!$F$12,regle!$F$11,
IF(AV105=regle!$G$12,regle!$G$11,
IF(AV105=regle!$H$12,regle!$H$11,
IF(AV105=regle!$I$12,regle!$I$11,""))))))))))</f>
        <v/>
      </c>
      <c r="AC105" t="str">
        <f>IF(NOT($A105),"",
IF(AW105=-2,regle!$J$11,
IF(AW105=regle!$B$12,regle!$B$11,
IF(AW105=regle!$C$12,regle!$C$11,
IF(AW105=regle!$D$12,regle!$D$11,
IF(AW105=regle!$E$12,regle!$E$11,
IF(AW105=regle!$F$12,regle!$F$11,
IF(AW105=regle!$G$12,regle!$G$11,
IF(AW105=regle!$H$12,regle!$H$11,
IF(AW105=regle!$I$12,regle!$I$11,""))))))))))</f>
        <v>EC4</v>
      </c>
      <c r="AD105" t="str">
        <f>IF(NOT($A105),"",
IF(AX105=-2,regle!$J$11,
IF(AX105=regle!$B$12,regle!$B$11,
IF(AX105=regle!$C$12,regle!$C$11,
IF(AX105=regle!$D$12,regle!$D$11,
IF(AX105=regle!$E$12,regle!$E$11,
IF(AX105=regle!$F$12,regle!$F$11,
IF(AX105=regle!$G$12,regle!$G$11,
IF(AX105=regle!$H$12,regle!$H$11,
IF(AX105=regle!$I$12,regle!$I$11,""))))))))))</f>
        <v/>
      </c>
      <c r="AE105" s="14">
        <f>IF($A105,$M105*(IF(U105=regle!$B$11,regle!$B$23,IF(U105=regle!$C$11,regle!$C$23,IF(U105=regle!$D$11,regle!$D$23,IF(U105=regle!$E$11,regle!$E$23,IF(U105=regle!$F$11,regle!$F$23,IF(U105=regle!$G$11,regle!$G$23,IF(U105=regle!$H$11,regle!$H$23,IF(U105=regle!$I$11,regle!$I$23,IF(U105=regle!$J$11,regle!$J$23,0)))))))))))</f>
        <v>0</v>
      </c>
      <c r="AF105" s="14">
        <f>IF($A105,$M105*(IF(V105=regle!$B$11,regle!$B$23,IF(V105=regle!$C$11,regle!$C$23,IF(V105=regle!$D$11,regle!$D$23,IF(V105=regle!$E$11,regle!$E$23,IF(V105=regle!$F$11,regle!$F$23,IF(V105=regle!$G$11,regle!$G$23,IF(V105=regle!$H$11,regle!$H$23,IF(V105=regle!$I$11,regle!$I$23,IF(V105=regle!$J$11,regle!$J$23,0)))))))))))</f>
        <v>0</v>
      </c>
      <c r="AG105" s="14">
        <f>IF($A105,$M105*(IF(W105=regle!$B$11,regle!$B$23,IF(W105=regle!$C$11,regle!$C$23,IF(W105=regle!$D$11,regle!$D$23,IF(W105=regle!$E$11,regle!$E$23,IF(W105=regle!$F$11,regle!$F$23,IF(W105=regle!$G$11,regle!$G$23,IF(W105=regle!$H$11,regle!$H$23,IF(W105=regle!$I$11,regle!$I$23,IF(W105=regle!$J$11,regle!$J$23,0)))))))))))</f>
        <v>0</v>
      </c>
      <c r="AH105" s="14">
        <f>IF($A105,$M105*(IF(X105=regle!$B$11,regle!$B$23,IF(X105=regle!$C$11,regle!$C$23,IF(X105=regle!$D$11,regle!$D$23,IF(X105=regle!$E$11,regle!$E$23,IF(X105=regle!$F$11,regle!$F$23,IF(X105=regle!$G$11,regle!$G$23,IF(X105=regle!$H$11,regle!$H$23,IF(X105=regle!$I$11,regle!$I$23,IF(X105=regle!$J$11,regle!$J$23,0)))))))))))</f>
        <v>1570.7647999999999</v>
      </c>
      <c r="AI105" s="14">
        <f>IF($A105,$M105*(IF(Y105=regle!$B$11,regle!$B$23,IF(Y105=regle!$C$11,regle!$C$23,IF(Y105=regle!$D$11,regle!$D$23,IF(Y105=regle!$E$11,regle!$E$23,IF(Y105=regle!$F$11,regle!$F$23,IF(Y105=regle!$G$11,regle!$G$23,IF(Y105=regle!$H$11,regle!$H$23,IF(Y105=regle!$I$11,regle!$I$23,IF(Y105=regle!$J$11,regle!$J$23,0)))))))))))</f>
        <v>0</v>
      </c>
      <c r="AJ105" s="14">
        <f>IF($A105,$M105*(IF(Z105=regle!$B$11,regle!$B$23,IF(Z105=regle!$C$11,regle!$C$23,IF(Z105=regle!$D$11,regle!$D$23,IF(Z105=regle!$E$11,regle!$E$23,IF(Z105=regle!$F$11,regle!$F$23,IF(Z105=regle!$G$11,regle!$G$23,IF(Z105=regle!$H$11,regle!$H$23,IF(Z105=regle!$I$11,regle!$I$23,IF(Z105=regle!$J$11,regle!$J$23,0)))))))))))</f>
        <v>0</v>
      </c>
      <c r="AK105" s="14">
        <f>IF($A105,$M105*(IF(AA105=regle!$B$11,regle!$B$23,IF(AA105=regle!$C$11,regle!$C$23,IF(AA105=regle!$D$11,regle!$D$23,IF(AA105=regle!$E$11,regle!$E$23,IF(AA105=regle!$F$11,regle!$F$23,IF(AA105=regle!$G$11,regle!$G$23,IF(AA105=regle!$H$11,regle!$H$23,IF(AA105=regle!$I$11,regle!$I$23,IF(AA105=regle!$J$11,regle!$J$23,0)))))))))))</f>
        <v>0</v>
      </c>
      <c r="AL105" s="14">
        <f>IF($A105,$M105*(IF(AB105=regle!$B$11,regle!$B$23,IF(AB105=regle!$C$11,regle!$C$23,IF(AB105=regle!$D$11,regle!$D$23,IF(AB105=regle!$E$11,regle!$E$23,IF(AB105=regle!$F$11,regle!$F$23,IF(AB105=regle!$G$11,regle!$G$23,IF(AB105=regle!$H$11,regle!$H$23,IF(AB105=regle!$I$11,regle!$I$23,IF(AB105=regle!$J$11,regle!$J$23,0)))))))))))</f>
        <v>0</v>
      </c>
      <c r="AM105" s="14">
        <f>IF($A105,$M105*(IF(AC105=regle!$B$11,regle!$B$23,IF(AC105=regle!$C$11,regle!$C$23,IF(AC105=regle!$D$11,regle!$D$23,IF(AC105=regle!$E$11,regle!$E$23,IF(AC105=regle!$F$11,regle!$F$23,IF(AC105=regle!$G$11,regle!$G$23,IF(AC105=regle!$H$11,regle!$H$23,IF(AC105=regle!$I$11,regle!$I$23,IF(AC105=regle!$J$11,regle!$J$23,0)))))))))))</f>
        <v>1427.9679999999998</v>
      </c>
      <c r="AN105" s="14">
        <f>IF($A105,$M105*(IF(AD105=regle!$B$11,regle!$B$23,IF(AD105=regle!$C$11,regle!$C$23,IF(AD105=regle!$D$11,regle!$D$23,IF(AD105=regle!$E$11,regle!$E$23,IF(AD105=regle!$F$11,regle!$F$23,IF(AD105=regle!$G$11,regle!$G$23,IF(AD105=regle!$H$11,regle!$H$23,IF(AD105=regle!$I$11,regle!$I$23,IF(AD105=regle!$J$11,regle!$J$23,0)))))))))))</f>
        <v>0</v>
      </c>
      <c r="AO105">
        <f>IF(AO$1=$AO$1,IF(regle!B$2-$Q105&gt;=regle!$J$12,-2,IF($S105,IF(regle!$B$2-$Q105&gt;=2,0,-1),regle!B$2-$Q105)),IF(AN105+1&gt;=regle!$J$12,-2,AN105+1))</f>
        <v>20</v>
      </c>
      <c r="AP105">
        <f>IF(AP$1=$AO$1,IF(regle!C$2-$Q105&gt;=regle!$J$12,-2,IF($S105,IF(regle!$B$2-$Q105&gt;=2,0,-1),regle!C$2-$Q105)),IF(AO105+1&gt;=regle!$J$12,-2,AO105+1))</f>
        <v>21</v>
      </c>
      <c r="AQ105">
        <f>IF(AQ$1=$AO$1,IF(regle!D$2-$Q105&gt;=regle!$J$12,-2,IF($S105,IF(regle!$B$2-$Q105&gt;=2,0,-1),regle!D$2-$Q105)),IF(AP105+1&gt;=regle!$J$12,-2,AP105+1))</f>
        <v>22</v>
      </c>
      <c r="AR105">
        <f>IF(AR$1=$AO$1,IF(regle!E$2-$Q105&gt;=regle!$J$12,-2,IF($S105,IF(regle!$B$2-$Q105&gt;=2,0,-1),regle!E$2-$Q105)),IF(AQ105+1&gt;=regle!$J$12,-2,AQ105+1))</f>
        <v>23</v>
      </c>
      <c r="AS105">
        <f>IF(AS$1=$AO$1,IF(regle!F$2-$Q105&gt;=regle!$J$12,-2,IF($S105,IF(regle!$B$2-$Q105&gt;=2,0,-1),regle!F$2-$Q105)),IF(AR105+1&gt;=regle!$J$12,-2,AR105+1))</f>
        <v>24</v>
      </c>
      <c r="AT105">
        <f>IF(AT$1=$AO$1,IF(regle!G$2-$Q105&gt;=regle!$J$12,-2,IF($S105,IF(regle!$B$2-$Q105&gt;=2,0,-1),regle!G$2-$Q105)),IF(AS105+1&gt;=regle!$J$12,-2,AS105+1))</f>
        <v>25</v>
      </c>
      <c r="AU105">
        <f>IF(AU$1=$AO$1,IF(regle!H$2-$Q105&gt;=regle!$J$12,-2,IF($S105,IF(regle!$B$2-$Q105&gt;=2,0,-1),regle!H$2-$Q105)),IF(AT105+1&gt;=regle!$J$12,-2,AT105+1))</f>
        <v>26</v>
      </c>
      <c r="AV105">
        <f>IF(AV$1=$AO$1,IF(regle!I$2-$Q105&gt;=regle!$J$12,-2,IF($S105,IF(regle!$B$2-$Q105&gt;=2,0,-1),regle!I$2-$Q105)),IF(AU105+1&gt;=regle!$J$12,-2,AU105+1))</f>
        <v>27</v>
      </c>
      <c r="AW105">
        <f>IF(AW$1=$AO$1,IF(regle!J$2-$Q105&gt;=regle!$J$12,-2,IF($S105,IF(regle!$B$2-$Q105&gt;=2,0,-1),regle!J$2-$Q105)),IF(AV105+1&gt;=regle!$J$12,-2,AV105+1))</f>
        <v>28</v>
      </c>
      <c r="AX105">
        <f>IF(AX$1=$AO$1,IF(regle!K$2-$Q105&gt;=regle!$J$12,-2,IF($S105,IF(regle!$B$2-$Q105&gt;=2,0,-1),regle!K$2-$Q105)),IF(AW105+1&gt;=regle!$J$12,-2,AW105+1))</f>
        <v>29</v>
      </c>
    </row>
    <row r="106" spans="1:50" x14ac:dyDescent="0.25">
      <c r="A106" t="b">
        <f>AND(modif0[[#This Row],[cdstr]]&lt;&gt;0,OR(regle!$H$27=FALSE,modif0[[#This Row],[essnc]]="PM"))</f>
        <v>1</v>
      </c>
      <c r="B106">
        <f>ROW(objet!A132)</f>
        <v>132</v>
      </c>
      <c r="C106" s="10" t="str">
        <f>objet!D132</f>
        <v>2020000B1141</v>
      </c>
      <c r="D106" t="str">
        <f>LEFT(modif0[[#This Row],[cdstr]],3)</f>
        <v>202</v>
      </c>
      <c r="E106" s="10" t="str">
        <f>objet!G132</f>
        <v>HOSTENS</v>
      </c>
      <c r="F106">
        <f>LEN(modif0[[#This Row],[l_dt]])</f>
        <v>11</v>
      </c>
      <c r="G106" s="10" t="str">
        <f>objet!H132</f>
        <v>LES CAZALAS</v>
      </c>
      <c r="H106" s="10" t="str">
        <f>objet!C132</f>
        <v>B1141k</v>
      </c>
      <c r="I106" t="str">
        <f>IF(ISNUMBER(VALUE(RIGHT(LEFT(modif0[[#This Row],[idntfn]],2),1))),_xlfn.CONCAT(0,LEFT(modif0[[#This Row],[idntfn]],1)),LEFT(modif0[[#This Row],[idntfn]],2))</f>
        <v>0B</v>
      </c>
      <c r="J106">
        <f>VALUE(LEFT(RIGHT(modif0[[#This Row],[idntfn]],LEN(modif0[[#This Row],[idntfn]])-IF(LEFT(modif0[[#This Row],[sctn]],1)="0",1,2)),LEN(modif0[[#This Row],[idntfn]])-IF(LEFT(modif0[[#This Row],[sctn]],1)="0",1,2)-LEN(modif0[[#This Row],[lttr]])))</f>
        <v>1141</v>
      </c>
      <c r="K106" t="str">
        <f>IF(ISNUMBER(VALUE(RIGHT(modif0[[#This Row],[idntfn]],1))),"",IF(ISNUMBER(VALUE(LEFT(RIGHT(modif0[[#This Row],[idntfn]],2),1))),RIGHT(modif0[[#This Row],[idntfn]],1),RIGHT(modif0[[#This Row],[idntfn]],2)))</f>
        <v>k</v>
      </c>
      <c r="L106" s="10">
        <f>objet!I132</f>
        <v>15398</v>
      </c>
      <c r="M106" s="11">
        <f>modif0[[#This Row],[srfc]]/10000</f>
        <v>1.5398000000000001</v>
      </c>
      <c r="N106" s="10" t="str">
        <f>objet!Z132</f>
        <v>PM</v>
      </c>
      <c r="O106" s="10" t="str">
        <f>objet!AA132</f>
        <v>PLA2018</v>
      </c>
      <c r="P106" t="str">
        <f>IF(ISNUMBER(modif0[[#This Row],[trvx]]),"",LEFT(modif0[[#This Row],[trvx]],LEN(modif0[[#This Row],[trvx]])-4))</f>
        <v>PLA</v>
      </c>
      <c r="Q106">
        <f>VALUE(RIGHT(modif0[[#This Row],[trvx]],4))</f>
        <v>2018</v>
      </c>
      <c r="R106" t="str">
        <f>_xlfn.CONCAT(modif0[[#This Row],[tp]],"-",modif0[[#This Row],[essnc]],"_",modif0[[#This Row],[anns]])</f>
        <v>PLA-PM_2018</v>
      </c>
      <c r="S106" t="b">
        <f>modif0[[#This Row],[tp]]="CR"</f>
        <v>0</v>
      </c>
      <c r="T106">
        <v>40</v>
      </c>
      <c r="U106" t="str">
        <f>IF(NOT($A106),"",
IF(AO106=-2,regle!$J$11,
IF(AO106=regle!$B$12,regle!$B$11,
IF(AO106=regle!$C$12,regle!$C$11,
IF(AO106=regle!$D$12,regle!$D$11,
IF(AO106=regle!$E$12,regle!$E$11,
IF(AO106=regle!$F$12,regle!$F$11,
IF(AO106=regle!$G$12,regle!$G$11,
IF(AO106=regle!$H$12,regle!$H$11,
IF(AO106=regle!$I$12,regle!$I$11,""))))))))))</f>
        <v/>
      </c>
      <c r="V106" t="str">
        <f>IF(NOT($A106),"",
IF(AP106=-2,regle!$J$11,
IF(AP106=regle!$B$12,regle!$B$11,
IF(AP106=regle!$C$12,regle!$C$11,
IF(AP106=regle!$D$12,regle!$D$11,
IF(AP106=regle!$E$12,regle!$E$11,
IF(AP106=regle!$F$12,regle!$F$11,
IF(AP106=regle!$G$12,regle!$G$11,
IF(AP106=regle!$H$12,regle!$H$11,
IF(AP106=regle!$I$12,regle!$I$11,""))))))))))</f>
        <v/>
      </c>
      <c r="W106" t="str">
        <f>IF(NOT($A106),"",
IF(AQ106=-2,regle!$J$11,
IF(AQ106=regle!$B$12,regle!$B$11,
IF(AQ106=regle!$C$12,regle!$C$11,
IF(AQ106=regle!$D$12,regle!$D$11,
IF(AQ106=regle!$E$12,regle!$E$11,
IF(AQ106=regle!$F$12,regle!$F$11,
IF(AQ106=regle!$G$12,regle!$G$11,
IF(AQ106=regle!$H$12,regle!$H$11,
IF(AQ106=regle!$I$12,regle!$I$11,""))))))))))</f>
        <v>ENT2</v>
      </c>
      <c r="X106" t="str">
        <f>IF(NOT($A106),"",
IF(AR106=-2,regle!$J$11,
IF(AR106=regle!$B$12,regle!$B$11,
IF(AR106=regle!$C$12,regle!$C$11,
IF(AR106=regle!$D$12,regle!$D$11,
IF(AR106=regle!$E$12,regle!$E$11,
IF(AR106=regle!$F$12,regle!$F$11,
IF(AR106=regle!$G$12,regle!$G$11,
IF(AR106=regle!$H$12,regle!$H$11,
IF(AR106=regle!$I$12,regle!$I$11,""))))))))))</f>
        <v/>
      </c>
      <c r="Y106" t="str">
        <f>IF(NOT($A106),"",
IF(AS106=-2,regle!$J$11,
IF(AS106=regle!$B$12,regle!$B$11,
IF(AS106=regle!$C$12,regle!$C$11,
IF(AS106=regle!$D$12,regle!$D$11,
IF(AS106=regle!$E$12,regle!$E$11,
IF(AS106=regle!$F$12,regle!$F$11,
IF(AS106=regle!$G$12,regle!$G$11,
IF(AS106=regle!$H$12,regle!$H$11,
IF(AS106=regle!$I$12,regle!$I$11,""))))))))))</f>
        <v/>
      </c>
      <c r="Z106" t="str">
        <f>IF(NOT($A106),"",
IF(AT106=-2,regle!$J$11,
IF(AT106=regle!$B$12,regle!$B$11,
IF(AT106=regle!$C$12,regle!$C$11,
IF(AT106=regle!$D$12,regle!$D$11,
IF(AT106=regle!$E$12,regle!$E$11,
IF(AT106=regle!$F$12,regle!$F$11,
IF(AT106=regle!$G$12,regle!$G$11,
IF(AT106=regle!$H$12,regle!$H$11,
IF(AT106=regle!$I$12,regle!$I$11,""))))))))))</f>
        <v/>
      </c>
      <c r="AA106" t="str">
        <f>IF(NOT($A106),"",
IF(AU106=-2,regle!$J$11,
IF(AU106=regle!$B$12,regle!$B$11,
IF(AU106=regle!$C$12,regle!$C$11,
IF(AU106=regle!$D$12,regle!$D$11,
IF(AU106=regle!$E$12,regle!$E$11,
IF(AU106=regle!$F$12,regle!$F$11,
IF(AU106=regle!$G$12,regle!$G$11,
IF(AU106=regle!$H$12,regle!$H$11,
IF(AU106=regle!$I$12,regle!$I$11,""))))))))))</f>
        <v/>
      </c>
      <c r="AB106" t="str">
        <f>IF(NOT($A106),"",
IF(AV106=-2,regle!$J$11,
IF(AV106=regle!$B$12,regle!$B$11,
IF(AV106=regle!$C$12,regle!$C$11,
IF(AV106=regle!$D$12,regle!$D$11,
IF(AV106=regle!$E$12,regle!$E$11,
IF(AV106=regle!$F$12,regle!$F$11,
IF(AV106=regle!$G$12,regle!$G$11,
IF(AV106=regle!$H$12,regle!$H$11,
IF(AV106=regle!$I$12,regle!$I$11,""))))))))))</f>
        <v>EC1</v>
      </c>
      <c r="AC106" t="str">
        <f>IF(NOT($A106),"",
IF(AW106=-2,regle!$J$11,
IF(AW106=regle!$B$12,regle!$B$11,
IF(AW106=regle!$C$12,regle!$C$11,
IF(AW106=regle!$D$12,regle!$D$11,
IF(AW106=regle!$E$12,regle!$E$11,
IF(AW106=regle!$F$12,regle!$F$11,
IF(AW106=regle!$G$12,regle!$G$11,
IF(AW106=regle!$H$12,regle!$H$11,
IF(AW106=regle!$I$12,regle!$I$11,""))))))))))</f>
        <v/>
      </c>
      <c r="AD106" t="str">
        <f>IF(NOT($A106),"",
IF(AX106=-2,regle!$J$11,
IF(AX106=regle!$B$12,regle!$B$11,
IF(AX106=regle!$C$12,regle!$C$11,
IF(AX106=regle!$D$12,regle!$D$11,
IF(AX106=regle!$E$12,regle!$E$11,
IF(AX106=regle!$F$12,regle!$F$11,
IF(AX106=regle!$G$12,regle!$G$11,
IF(AX106=regle!$H$12,regle!$H$11,
IF(AX106=regle!$I$12,regle!$I$11,""))))))))))</f>
        <v/>
      </c>
      <c r="AE106" s="14">
        <f>IF($A106,$M106*(IF(U106=regle!$B$11,regle!$B$23,IF(U106=regle!$C$11,regle!$C$23,IF(U106=regle!$D$11,regle!$D$23,IF(U106=regle!$E$11,regle!$E$23,IF(U106=regle!$F$11,regle!$F$23,IF(U106=regle!$G$11,regle!$G$23,IF(U106=regle!$H$11,regle!$H$23,IF(U106=regle!$I$11,regle!$I$23,IF(U106=regle!$J$11,regle!$J$23,0)))))))))))</f>
        <v>0</v>
      </c>
      <c r="AF106" s="14">
        <f>IF($A106,$M106*(IF(V106=regle!$B$11,regle!$B$23,IF(V106=regle!$C$11,regle!$C$23,IF(V106=regle!$D$11,regle!$D$23,IF(V106=regle!$E$11,regle!$E$23,IF(V106=regle!$F$11,regle!$F$23,IF(V106=regle!$G$11,regle!$G$23,IF(V106=regle!$H$11,regle!$H$23,IF(V106=regle!$I$11,regle!$I$23,IF(V106=regle!$J$11,regle!$J$23,0)))))))))))</f>
        <v>0</v>
      </c>
      <c r="AG106" s="14">
        <f>IF($A106,$M106*(IF(W106=regle!$B$11,regle!$B$23,IF(W106=regle!$C$11,regle!$C$23,IF(W106=regle!$D$11,regle!$D$23,IF(W106=regle!$E$11,regle!$E$23,IF(W106=regle!$F$11,regle!$F$23,IF(W106=regle!$G$11,regle!$G$23,IF(W106=regle!$H$11,regle!$H$23,IF(W106=regle!$I$11,regle!$I$23,IF(W106=regle!$J$11,regle!$J$23,0)))))))))))</f>
        <v>-138.58199999999999</v>
      </c>
      <c r="AH106" s="14">
        <f>IF($A106,$M106*(IF(X106=regle!$B$11,regle!$B$23,IF(X106=regle!$C$11,regle!$C$23,IF(X106=regle!$D$11,regle!$D$23,IF(X106=regle!$E$11,regle!$E$23,IF(X106=regle!$F$11,regle!$F$23,IF(X106=regle!$G$11,regle!$G$23,IF(X106=regle!$H$11,regle!$H$23,IF(X106=regle!$I$11,regle!$I$23,IF(X106=regle!$J$11,regle!$J$23,0)))))))))))</f>
        <v>0</v>
      </c>
      <c r="AI106" s="14">
        <f>IF($A106,$M106*(IF(Y106=regle!$B$11,regle!$B$23,IF(Y106=regle!$C$11,regle!$C$23,IF(Y106=regle!$D$11,regle!$D$23,IF(Y106=regle!$E$11,regle!$E$23,IF(Y106=regle!$F$11,regle!$F$23,IF(Y106=regle!$G$11,regle!$G$23,IF(Y106=regle!$H$11,regle!$H$23,IF(Y106=regle!$I$11,regle!$I$23,IF(Y106=regle!$J$11,regle!$J$23,0)))))))))))</f>
        <v>0</v>
      </c>
      <c r="AJ106" s="14">
        <f>IF($A106,$M106*(IF(Z106=regle!$B$11,regle!$B$23,IF(Z106=regle!$C$11,regle!$C$23,IF(Z106=regle!$D$11,regle!$D$23,IF(Z106=regle!$E$11,regle!$E$23,IF(Z106=regle!$F$11,regle!$F$23,IF(Z106=regle!$G$11,regle!$G$23,IF(Z106=regle!$H$11,regle!$H$23,IF(Z106=regle!$I$11,regle!$I$23,IF(Z106=regle!$J$11,regle!$J$23,0)))))))))))</f>
        <v>0</v>
      </c>
      <c r="AK106" s="14">
        <f>IF($A106,$M106*(IF(AA106=regle!$B$11,regle!$B$23,IF(AA106=regle!$C$11,regle!$C$23,IF(AA106=regle!$D$11,regle!$D$23,IF(AA106=regle!$E$11,regle!$E$23,IF(AA106=regle!$F$11,regle!$F$23,IF(AA106=regle!$G$11,regle!$G$23,IF(AA106=regle!$H$11,regle!$H$23,IF(AA106=regle!$I$11,regle!$I$23,IF(AA106=regle!$J$11,regle!$J$23,0)))))))))))</f>
        <v>0</v>
      </c>
      <c r="AL106" s="14">
        <f>IF($A106,$M106*(IF(AB106=regle!$B$11,regle!$B$23,IF(AB106=regle!$C$11,regle!$C$23,IF(AB106=regle!$D$11,regle!$D$23,IF(AB106=regle!$E$11,regle!$E$23,IF(AB106=regle!$F$11,regle!$F$23,IF(AB106=regle!$G$11,regle!$G$23,IF(AB106=regle!$H$11,regle!$H$23,IF(AB106=regle!$I$11,regle!$I$23,IF(AB106=regle!$J$11,regle!$J$23,0)))))))))))</f>
        <v>886.9248</v>
      </c>
      <c r="AM106" s="14">
        <f>IF($A106,$M106*(IF(AC106=regle!$B$11,regle!$B$23,IF(AC106=regle!$C$11,regle!$C$23,IF(AC106=regle!$D$11,regle!$D$23,IF(AC106=regle!$E$11,regle!$E$23,IF(AC106=regle!$F$11,regle!$F$23,IF(AC106=regle!$G$11,regle!$G$23,IF(AC106=regle!$H$11,regle!$H$23,IF(AC106=regle!$I$11,regle!$I$23,IF(AC106=regle!$J$11,regle!$J$23,0)))))))))))</f>
        <v>0</v>
      </c>
      <c r="AN106" s="14">
        <f>IF($A106,$M106*(IF(AD106=regle!$B$11,regle!$B$23,IF(AD106=regle!$C$11,regle!$C$23,IF(AD106=regle!$D$11,regle!$D$23,IF(AD106=regle!$E$11,regle!$E$23,IF(AD106=regle!$F$11,regle!$F$23,IF(AD106=regle!$G$11,regle!$G$23,IF(AD106=regle!$H$11,regle!$H$23,IF(AD106=regle!$I$11,regle!$I$23,IF(AD106=regle!$J$11,regle!$J$23,0)))))))))))</f>
        <v>0</v>
      </c>
      <c r="AO106">
        <f>IF(AO$1=$AO$1,IF(regle!B$2-$Q106&gt;=regle!$J$12,-2,IF($S106,IF(regle!$B$2-$Q106&gt;=2,0,-1),regle!B$2-$Q106)),IF(AN106+1&gt;=regle!$J$12,-2,AN106+1))</f>
        <v>6</v>
      </c>
      <c r="AP106">
        <f>IF(AP$1=$AO$1,IF(regle!C$2-$Q106&gt;=regle!$J$12,-2,IF($S106,IF(regle!$B$2-$Q106&gt;=2,0,-1),regle!C$2-$Q106)),IF(AO106+1&gt;=regle!$J$12,-2,AO106+1))</f>
        <v>7</v>
      </c>
      <c r="AQ106">
        <f>IF(AQ$1=$AO$1,IF(regle!D$2-$Q106&gt;=regle!$J$12,-2,IF($S106,IF(regle!$B$2-$Q106&gt;=2,0,-1),regle!D$2-$Q106)),IF(AP106+1&gt;=regle!$J$12,-2,AP106+1))</f>
        <v>8</v>
      </c>
      <c r="AR106">
        <f>IF(AR$1=$AO$1,IF(regle!E$2-$Q106&gt;=regle!$J$12,-2,IF($S106,IF(regle!$B$2-$Q106&gt;=2,0,-1),regle!E$2-$Q106)),IF(AQ106+1&gt;=regle!$J$12,-2,AQ106+1))</f>
        <v>9</v>
      </c>
      <c r="AS106">
        <f>IF(AS$1=$AO$1,IF(regle!F$2-$Q106&gt;=regle!$J$12,-2,IF($S106,IF(regle!$B$2-$Q106&gt;=2,0,-1),regle!F$2-$Q106)),IF(AR106+1&gt;=regle!$J$12,-2,AR106+1))</f>
        <v>10</v>
      </c>
      <c r="AT106">
        <f>IF(AT$1=$AO$1,IF(regle!G$2-$Q106&gt;=regle!$J$12,-2,IF($S106,IF(regle!$B$2-$Q106&gt;=2,0,-1),regle!G$2-$Q106)),IF(AS106+1&gt;=regle!$J$12,-2,AS106+1))</f>
        <v>11</v>
      </c>
      <c r="AU106">
        <f>IF(AU$1=$AO$1,IF(regle!H$2-$Q106&gt;=regle!$J$12,-2,IF($S106,IF(regle!$B$2-$Q106&gt;=2,0,-1),regle!H$2-$Q106)),IF(AT106+1&gt;=regle!$J$12,-2,AT106+1))</f>
        <v>12</v>
      </c>
      <c r="AV106">
        <f>IF(AV$1=$AO$1,IF(regle!I$2-$Q106&gt;=regle!$J$12,-2,IF($S106,IF(regle!$B$2-$Q106&gt;=2,0,-1),regle!I$2-$Q106)),IF(AU106+1&gt;=regle!$J$12,-2,AU106+1))</f>
        <v>13</v>
      </c>
      <c r="AW106">
        <f>IF(AW$1=$AO$1,IF(regle!J$2-$Q106&gt;=regle!$J$12,-2,IF($S106,IF(regle!$B$2-$Q106&gt;=2,0,-1),regle!J$2-$Q106)),IF(AV106+1&gt;=regle!$J$12,-2,AV106+1))</f>
        <v>14</v>
      </c>
      <c r="AX106">
        <f>IF(AX$1=$AO$1,IF(regle!K$2-$Q106&gt;=regle!$J$12,-2,IF($S106,IF(regle!$B$2-$Q106&gt;=2,0,-1),regle!K$2-$Q106)),IF(AW106+1&gt;=regle!$J$12,-2,AW106+1))</f>
        <v>15</v>
      </c>
    </row>
    <row r="107" spans="1:50" x14ac:dyDescent="0.25">
      <c r="A107" t="b">
        <f>AND(modif0[[#This Row],[cdstr]]&lt;&gt;0,OR(regle!$H$27=FALSE,modif0[[#This Row],[essnc]]="PM"))</f>
        <v>1</v>
      </c>
      <c r="B107">
        <f>ROW(objet!A133)</f>
        <v>133</v>
      </c>
      <c r="C107" s="10" t="str">
        <f>objet!D133</f>
        <v>2020000B1141</v>
      </c>
      <c r="D107" t="str">
        <f>LEFT(modif0[[#This Row],[cdstr]],3)</f>
        <v>202</v>
      </c>
      <c r="E107" s="10" t="str">
        <f>objet!G133</f>
        <v>HOSTENS</v>
      </c>
      <c r="F107">
        <f>LEN(modif0[[#This Row],[l_dt]])</f>
        <v>11</v>
      </c>
      <c r="G107" s="10" t="str">
        <f>objet!H133</f>
        <v>LES CAZALAS</v>
      </c>
      <c r="H107" s="10" t="str">
        <f>objet!C133</f>
        <v>B1141l</v>
      </c>
      <c r="I107" t="str">
        <f>IF(ISNUMBER(VALUE(RIGHT(LEFT(modif0[[#This Row],[idntfn]],2),1))),_xlfn.CONCAT(0,LEFT(modif0[[#This Row],[idntfn]],1)),LEFT(modif0[[#This Row],[idntfn]],2))</f>
        <v>0B</v>
      </c>
      <c r="J107">
        <f>VALUE(LEFT(RIGHT(modif0[[#This Row],[idntfn]],LEN(modif0[[#This Row],[idntfn]])-IF(LEFT(modif0[[#This Row],[sctn]],1)="0",1,2)),LEN(modif0[[#This Row],[idntfn]])-IF(LEFT(modif0[[#This Row],[sctn]],1)="0",1,2)-LEN(modif0[[#This Row],[lttr]])))</f>
        <v>1141</v>
      </c>
      <c r="K107" t="str">
        <f>IF(ISNUMBER(VALUE(RIGHT(modif0[[#This Row],[idntfn]],1))),"",IF(ISNUMBER(VALUE(LEFT(RIGHT(modif0[[#This Row],[idntfn]],2),1))),RIGHT(modif0[[#This Row],[idntfn]],1),RIGHT(modif0[[#This Row],[idntfn]],2)))</f>
        <v>l</v>
      </c>
      <c r="L107" s="10">
        <f>objet!I133</f>
        <v>8171</v>
      </c>
      <c r="M107" s="11">
        <f>modif0[[#This Row],[srfc]]/10000</f>
        <v>0.81710000000000005</v>
      </c>
      <c r="N107" s="10" t="str">
        <f>objet!Z133</f>
        <v>PM</v>
      </c>
      <c r="O107" s="10" t="str">
        <f>objet!AA133</f>
        <v>PLA2019</v>
      </c>
      <c r="P107" t="str">
        <f>IF(ISNUMBER(modif0[[#This Row],[trvx]]),"",LEFT(modif0[[#This Row],[trvx]],LEN(modif0[[#This Row],[trvx]])-4))</f>
        <v>PLA</v>
      </c>
      <c r="Q107">
        <f>VALUE(RIGHT(modif0[[#This Row],[trvx]],4))</f>
        <v>2019</v>
      </c>
      <c r="R107" t="str">
        <f>_xlfn.CONCAT(modif0[[#This Row],[tp]],"-",modif0[[#This Row],[essnc]],"_",modif0[[#This Row],[anns]])</f>
        <v>PLA-PM_2019</v>
      </c>
      <c r="S107" t="b">
        <f>modif0[[#This Row],[tp]]="CR"</f>
        <v>0</v>
      </c>
      <c r="T107">
        <v>40</v>
      </c>
      <c r="U107" t="str">
        <f>IF(NOT($A107),"",
IF(AO107=-2,regle!$J$11,
IF(AO107=regle!$B$12,regle!$B$11,
IF(AO107=regle!$C$12,regle!$C$11,
IF(AO107=regle!$D$12,regle!$D$11,
IF(AO107=regle!$E$12,regle!$E$11,
IF(AO107=regle!$F$12,regle!$F$11,
IF(AO107=regle!$G$12,regle!$G$11,
IF(AO107=regle!$H$12,regle!$H$11,
IF(AO107=regle!$I$12,regle!$I$11,""))))))))))</f>
        <v>ENT1</v>
      </c>
      <c r="V107" t="str">
        <f>IF(NOT($A107),"",
IF(AP107=-2,regle!$J$11,
IF(AP107=regle!$B$12,regle!$B$11,
IF(AP107=regle!$C$12,regle!$C$11,
IF(AP107=regle!$D$12,regle!$D$11,
IF(AP107=regle!$E$12,regle!$E$11,
IF(AP107=regle!$F$12,regle!$F$11,
IF(AP107=regle!$G$12,regle!$G$11,
IF(AP107=regle!$H$12,regle!$H$11,
IF(AP107=regle!$I$12,regle!$I$11,""))))))))))</f>
        <v/>
      </c>
      <c r="W107" t="str">
        <f>IF(NOT($A107),"",
IF(AQ107=-2,regle!$J$11,
IF(AQ107=regle!$B$12,regle!$B$11,
IF(AQ107=regle!$C$12,regle!$C$11,
IF(AQ107=regle!$D$12,regle!$D$11,
IF(AQ107=regle!$E$12,regle!$E$11,
IF(AQ107=regle!$F$12,regle!$F$11,
IF(AQ107=regle!$G$12,regle!$G$11,
IF(AQ107=regle!$H$12,regle!$H$11,
IF(AQ107=regle!$I$12,regle!$I$11,""))))))))))</f>
        <v/>
      </c>
      <c r="X107" t="str">
        <f>IF(NOT($A107),"",
IF(AR107=-2,regle!$J$11,
IF(AR107=regle!$B$12,regle!$B$11,
IF(AR107=regle!$C$12,regle!$C$11,
IF(AR107=regle!$D$12,regle!$D$11,
IF(AR107=regle!$E$12,regle!$E$11,
IF(AR107=regle!$F$12,regle!$F$11,
IF(AR107=regle!$G$12,regle!$G$11,
IF(AR107=regle!$H$12,regle!$H$11,
IF(AR107=regle!$I$12,regle!$I$11,""))))))))))</f>
        <v>ENT2</v>
      </c>
      <c r="Y107" t="str">
        <f>IF(NOT($A107),"",
IF(AS107=-2,regle!$J$11,
IF(AS107=regle!$B$12,regle!$B$11,
IF(AS107=regle!$C$12,regle!$C$11,
IF(AS107=regle!$D$12,regle!$D$11,
IF(AS107=regle!$E$12,regle!$E$11,
IF(AS107=regle!$F$12,regle!$F$11,
IF(AS107=regle!$G$12,regle!$G$11,
IF(AS107=regle!$H$12,regle!$H$11,
IF(AS107=regle!$I$12,regle!$I$11,""))))))))))</f>
        <v/>
      </c>
      <c r="Z107" t="str">
        <f>IF(NOT($A107),"",
IF(AT107=-2,regle!$J$11,
IF(AT107=regle!$B$12,regle!$B$11,
IF(AT107=regle!$C$12,regle!$C$11,
IF(AT107=regle!$D$12,regle!$D$11,
IF(AT107=regle!$E$12,regle!$E$11,
IF(AT107=regle!$F$12,regle!$F$11,
IF(AT107=regle!$G$12,regle!$G$11,
IF(AT107=regle!$H$12,regle!$H$11,
IF(AT107=regle!$I$12,regle!$I$11,""))))))))))</f>
        <v/>
      </c>
      <c r="AA107" t="str">
        <f>IF(NOT($A107),"",
IF(AU107=-2,regle!$J$11,
IF(AU107=regle!$B$12,regle!$B$11,
IF(AU107=regle!$C$12,regle!$C$11,
IF(AU107=regle!$D$12,regle!$D$11,
IF(AU107=regle!$E$12,regle!$E$11,
IF(AU107=regle!$F$12,regle!$F$11,
IF(AU107=regle!$G$12,regle!$G$11,
IF(AU107=regle!$H$12,regle!$H$11,
IF(AU107=regle!$I$12,regle!$I$11,""))))))))))</f>
        <v/>
      </c>
      <c r="AB107" t="str">
        <f>IF(NOT($A107),"",
IF(AV107=-2,regle!$J$11,
IF(AV107=regle!$B$12,regle!$B$11,
IF(AV107=regle!$C$12,regle!$C$11,
IF(AV107=regle!$D$12,regle!$D$11,
IF(AV107=regle!$E$12,regle!$E$11,
IF(AV107=regle!$F$12,regle!$F$11,
IF(AV107=regle!$G$12,regle!$G$11,
IF(AV107=regle!$H$12,regle!$H$11,
IF(AV107=regle!$I$12,regle!$I$11,""))))))))))</f>
        <v/>
      </c>
      <c r="AC107" t="str">
        <f>IF(NOT($A107),"",
IF(AW107=-2,regle!$J$11,
IF(AW107=regle!$B$12,regle!$B$11,
IF(AW107=regle!$C$12,regle!$C$11,
IF(AW107=regle!$D$12,regle!$D$11,
IF(AW107=regle!$E$12,regle!$E$11,
IF(AW107=regle!$F$12,regle!$F$11,
IF(AW107=regle!$G$12,regle!$G$11,
IF(AW107=regle!$H$12,regle!$H$11,
IF(AW107=regle!$I$12,regle!$I$11,""))))))))))</f>
        <v>EC1</v>
      </c>
      <c r="AD107" t="str">
        <f>IF(NOT($A107),"",
IF(AX107=-2,regle!$J$11,
IF(AX107=regle!$B$12,regle!$B$11,
IF(AX107=regle!$C$12,regle!$C$11,
IF(AX107=regle!$D$12,regle!$D$11,
IF(AX107=regle!$E$12,regle!$E$11,
IF(AX107=regle!$F$12,regle!$F$11,
IF(AX107=regle!$G$12,regle!$G$11,
IF(AX107=regle!$H$12,regle!$H$11,
IF(AX107=regle!$I$12,regle!$I$11,""))))))))))</f>
        <v/>
      </c>
      <c r="AE107" s="14">
        <f>IF($A107,$M107*(IF(U107=regle!$B$11,regle!$B$23,IF(U107=regle!$C$11,regle!$C$23,IF(U107=regle!$D$11,regle!$D$23,IF(U107=regle!$E$11,regle!$E$23,IF(U107=regle!$F$11,regle!$F$23,IF(U107=regle!$G$11,regle!$G$23,IF(U107=regle!$H$11,regle!$H$23,IF(U107=regle!$I$11,regle!$I$23,IF(U107=regle!$J$11,regle!$J$23,0)))))))))))</f>
        <v>-73.539000000000001</v>
      </c>
      <c r="AF107" s="14">
        <f>IF($A107,$M107*(IF(V107=regle!$B$11,regle!$B$23,IF(V107=regle!$C$11,regle!$C$23,IF(V107=regle!$D$11,regle!$D$23,IF(V107=regle!$E$11,regle!$E$23,IF(V107=regle!$F$11,regle!$F$23,IF(V107=regle!$G$11,regle!$G$23,IF(V107=regle!$H$11,regle!$H$23,IF(V107=regle!$I$11,regle!$I$23,IF(V107=regle!$J$11,regle!$J$23,0)))))))))))</f>
        <v>0</v>
      </c>
      <c r="AG107" s="14">
        <f>IF($A107,$M107*(IF(W107=regle!$B$11,regle!$B$23,IF(W107=regle!$C$11,regle!$C$23,IF(W107=regle!$D$11,regle!$D$23,IF(W107=regle!$E$11,regle!$E$23,IF(W107=regle!$F$11,regle!$F$23,IF(W107=regle!$G$11,regle!$G$23,IF(W107=regle!$H$11,regle!$H$23,IF(W107=regle!$I$11,regle!$I$23,IF(W107=regle!$J$11,regle!$J$23,0)))))))))))</f>
        <v>0</v>
      </c>
      <c r="AH107" s="14">
        <f>IF($A107,$M107*(IF(X107=regle!$B$11,regle!$B$23,IF(X107=regle!$C$11,regle!$C$23,IF(X107=regle!$D$11,regle!$D$23,IF(X107=regle!$E$11,regle!$E$23,IF(X107=regle!$F$11,regle!$F$23,IF(X107=regle!$G$11,regle!$G$23,IF(X107=regle!$H$11,regle!$H$23,IF(X107=regle!$I$11,regle!$I$23,IF(X107=regle!$J$11,regle!$J$23,0)))))))))))</f>
        <v>-73.539000000000001</v>
      </c>
      <c r="AI107" s="14">
        <f>IF($A107,$M107*(IF(Y107=regle!$B$11,regle!$B$23,IF(Y107=regle!$C$11,regle!$C$23,IF(Y107=regle!$D$11,regle!$D$23,IF(Y107=regle!$E$11,regle!$E$23,IF(Y107=regle!$F$11,regle!$F$23,IF(Y107=regle!$G$11,regle!$G$23,IF(Y107=regle!$H$11,regle!$H$23,IF(Y107=regle!$I$11,regle!$I$23,IF(Y107=regle!$J$11,regle!$J$23,0)))))))))))</f>
        <v>0</v>
      </c>
      <c r="AJ107" s="14">
        <f>IF($A107,$M107*(IF(Z107=regle!$B$11,regle!$B$23,IF(Z107=regle!$C$11,regle!$C$23,IF(Z107=regle!$D$11,regle!$D$23,IF(Z107=regle!$E$11,regle!$E$23,IF(Z107=regle!$F$11,regle!$F$23,IF(Z107=regle!$G$11,regle!$G$23,IF(Z107=regle!$H$11,regle!$H$23,IF(Z107=regle!$I$11,regle!$I$23,IF(Z107=regle!$J$11,regle!$J$23,0)))))))))))</f>
        <v>0</v>
      </c>
      <c r="AK107" s="14">
        <f>IF($A107,$M107*(IF(AA107=regle!$B$11,regle!$B$23,IF(AA107=regle!$C$11,regle!$C$23,IF(AA107=regle!$D$11,regle!$D$23,IF(AA107=regle!$E$11,regle!$E$23,IF(AA107=regle!$F$11,regle!$F$23,IF(AA107=regle!$G$11,regle!$G$23,IF(AA107=regle!$H$11,regle!$H$23,IF(AA107=regle!$I$11,regle!$I$23,IF(AA107=regle!$J$11,regle!$J$23,0)))))))))))</f>
        <v>0</v>
      </c>
      <c r="AL107" s="14">
        <f>IF($A107,$M107*(IF(AB107=regle!$B$11,regle!$B$23,IF(AB107=regle!$C$11,regle!$C$23,IF(AB107=regle!$D$11,regle!$D$23,IF(AB107=regle!$E$11,regle!$E$23,IF(AB107=regle!$F$11,regle!$F$23,IF(AB107=regle!$G$11,regle!$G$23,IF(AB107=regle!$H$11,regle!$H$23,IF(AB107=regle!$I$11,regle!$I$23,IF(AB107=regle!$J$11,regle!$J$23,0)))))))))))</f>
        <v>0</v>
      </c>
      <c r="AM107" s="14">
        <f>IF($A107,$M107*(IF(AC107=regle!$B$11,regle!$B$23,IF(AC107=regle!$C$11,regle!$C$23,IF(AC107=regle!$D$11,regle!$D$23,IF(AC107=regle!$E$11,regle!$E$23,IF(AC107=regle!$F$11,regle!$F$23,IF(AC107=regle!$G$11,regle!$G$23,IF(AC107=regle!$H$11,regle!$H$23,IF(AC107=regle!$I$11,regle!$I$23,IF(AC107=regle!$J$11,regle!$J$23,0)))))))))))</f>
        <v>470.64960000000002</v>
      </c>
      <c r="AN107" s="14">
        <f>IF($A107,$M107*(IF(AD107=regle!$B$11,regle!$B$23,IF(AD107=regle!$C$11,regle!$C$23,IF(AD107=regle!$D$11,regle!$D$23,IF(AD107=regle!$E$11,regle!$E$23,IF(AD107=regle!$F$11,regle!$F$23,IF(AD107=regle!$G$11,regle!$G$23,IF(AD107=regle!$H$11,regle!$H$23,IF(AD107=regle!$I$11,regle!$I$23,IF(AD107=regle!$J$11,regle!$J$23,0)))))))))))</f>
        <v>0</v>
      </c>
      <c r="AO107">
        <f>IF(AO$1=$AO$1,IF(regle!B$2-$Q107&gt;=regle!$J$12,-2,IF($S107,IF(regle!$B$2-$Q107&gt;=2,0,-1),regle!B$2-$Q107)),IF(AN107+1&gt;=regle!$J$12,-2,AN107+1))</f>
        <v>5</v>
      </c>
      <c r="AP107">
        <f>IF(AP$1=$AO$1,IF(regle!C$2-$Q107&gt;=regle!$J$12,-2,IF($S107,IF(regle!$B$2-$Q107&gt;=2,0,-1),regle!C$2-$Q107)),IF(AO107+1&gt;=regle!$J$12,-2,AO107+1))</f>
        <v>6</v>
      </c>
      <c r="AQ107">
        <f>IF(AQ$1=$AO$1,IF(regle!D$2-$Q107&gt;=regle!$J$12,-2,IF($S107,IF(regle!$B$2-$Q107&gt;=2,0,-1),regle!D$2-$Q107)),IF(AP107+1&gt;=regle!$J$12,-2,AP107+1))</f>
        <v>7</v>
      </c>
      <c r="AR107">
        <f>IF(AR$1=$AO$1,IF(regle!E$2-$Q107&gt;=regle!$J$12,-2,IF($S107,IF(regle!$B$2-$Q107&gt;=2,0,-1),regle!E$2-$Q107)),IF(AQ107+1&gt;=regle!$J$12,-2,AQ107+1))</f>
        <v>8</v>
      </c>
      <c r="AS107">
        <f>IF(AS$1=$AO$1,IF(regle!F$2-$Q107&gt;=regle!$J$12,-2,IF($S107,IF(regle!$B$2-$Q107&gt;=2,0,-1),regle!F$2-$Q107)),IF(AR107+1&gt;=regle!$J$12,-2,AR107+1))</f>
        <v>9</v>
      </c>
      <c r="AT107">
        <f>IF(AT$1=$AO$1,IF(regle!G$2-$Q107&gt;=regle!$J$12,-2,IF($S107,IF(regle!$B$2-$Q107&gt;=2,0,-1),regle!G$2-$Q107)),IF(AS107+1&gt;=regle!$J$12,-2,AS107+1))</f>
        <v>10</v>
      </c>
      <c r="AU107">
        <f>IF(AU$1=$AO$1,IF(regle!H$2-$Q107&gt;=regle!$J$12,-2,IF($S107,IF(regle!$B$2-$Q107&gt;=2,0,-1),regle!H$2-$Q107)),IF(AT107+1&gt;=regle!$J$12,-2,AT107+1))</f>
        <v>11</v>
      </c>
      <c r="AV107">
        <f>IF(AV$1=$AO$1,IF(regle!I$2-$Q107&gt;=regle!$J$12,-2,IF($S107,IF(regle!$B$2-$Q107&gt;=2,0,-1),regle!I$2-$Q107)),IF(AU107+1&gt;=regle!$J$12,-2,AU107+1))</f>
        <v>12</v>
      </c>
      <c r="AW107">
        <f>IF(AW$1=$AO$1,IF(regle!J$2-$Q107&gt;=regle!$J$12,-2,IF($S107,IF(regle!$B$2-$Q107&gt;=2,0,-1),regle!J$2-$Q107)),IF(AV107+1&gt;=regle!$J$12,-2,AV107+1))</f>
        <v>13</v>
      </c>
      <c r="AX107">
        <f>IF(AX$1=$AO$1,IF(regle!K$2-$Q107&gt;=regle!$J$12,-2,IF($S107,IF(regle!$B$2-$Q107&gt;=2,0,-1),regle!K$2-$Q107)),IF(AW107+1&gt;=regle!$J$12,-2,AW107+1))</f>
        <v>14</v>
      </c>
    </row>
    <row r="108" spans="1:50" x14ac:dyDescent="0.25">
      <c r="A108" t="b">
        <f>AND(modif0[[#This Row],[cdstr]]&lt;&gt;0,OR(regle!$H$27=FALSE,modif0[[#This Row],[essnc]]="PM"))</f>
        <v>1</v>
      </c>
      <c r="B108">
        <f>ROW(objet!A134)</f>
        <v>134</v>
      </c>
      <c r="C108" s="10" t="str">
        <f>objet!D134</f>
        <v>2020000B1142</v>
      </c>
      <c r="D108" t="str">
        <f>LEFT(modif0[[#This Row],[cdstr]],3)</f>
        <v>202</v>
      </c>
      <c r="E108" s="10" t="str">
        <f>objet!G134</f>
        <v>HOSTENS</v>
      </c>
      <c r="F108">
        <f>LEN(modif0[[#This Row],[l_dt]])</f>
        <v>11</v>
      </c>
      <c r="G108" s="10" t="str">
        <f>objet!H134</f>
        <v>LES CAZALAS</v>
      </c>
      <c r="H108" s="10" t="str">
        <f>objet!C134</f>
        <v>B1142j</v>
      </c>
      <c r="I108" t="str">
        <f>IF(ISNUMBER(VALUE(RIGHT(LEFT(modif0[[#This Row],[idntfn]],2),1))),_xlfn.CONCAT(0,LEFT(modif0[[#This Row],[idntfn]],1)),LEFT(modif0[[#This Row],[idntfn]],2))</f>
        <v>0B</v>
      </c>
      <c r="J108">
        <f>VALUE(LEFT(RIGHT(modif0[[#This Row],[idntfn]],LEN(modif0[[#This Row],[idntfn]])-IF(LEFT(modif0[[#This Row],[sctn]],1)="0",1,2)),LEN(modif0[[#This Row],[idntfn]])-IF(LEFT(modif0[[#This Row],[sctn]],1)="0",1,2)-LEN(modif0[[#This Row],[lttr]])))</f>
        <v>1142</v>
      </c>
      <c r="K108" t="str">
        <f>IF(ISNUMBER(VALUE(RIGHT(modif0[[#This Row],[idntfn]],1))),"",IF(ISNUMBER(VALUE(LEFT(RIGHT(modif0[[#This Row],[idntfn]],2),1))),RIGHT(modif0[[#This Row],[idntfn]],1),RIGHT(modif0[[#This Row],[idntfn]],2)))</f>
        <v>j</v>
      </c>
      <c r="L108" s="10">
        <f>objet!I134</f>
        <v>2386</v>
      </c>
      <c r="M108" s="11">
        <f>modif0[[#This Row],[srfc]]/10000</f>
        <v>0.23860000000000001</v>
      </c>
      <c r="N108" s="10" t="str">
        <f>objet!Z134</f>
        <v>PM</v>
      </c>
      <c r="O108" s="10" t="str">
        <f>objet!AA134</f>
        <v>PLA2004</v>
      </c>
      <c r="P108" t="str">
        <f>IF(ISNUMBER(modif0[[#This Row],[trvx]]),"",LEFT(modif0[[#This Row],[trvx]],LEN(modif0[[#This Row],[trvx]])-4))</f>
        <v>PLA</v>
      </c>
      <c r="Q108">
        <f>VALUE(RIGHT(modif0[[#This Row],[trvx]],4))</f>
        <v>2004</v>
      </c>
      <c r="R108" t="str">
        <f>_xlfn.CONCAT(modif0[[#This Row],[tp]],"-",modif0[[#This Row],[essnc]],"_",modif0[[#This Row],[anns]])</f>
        <v>PLA-PM_2004</v>
      </c>
      <c r="S108" t="b">
        <f>modif0[[#This Row],[tp]]="CR"</f>
        <v>0</v>
      </c>
      <c r="T108">
        <v>40</v>
      </c>
      <c r="U108" t="str">
        <f>IF(NOT($A108),"",
IF(AO108=-2,regle!$J$11,
IF(AO108=regle!$B$12,regle!$B$11,
IF(AO108=regle!$C$12,regle!$C$11,
IF(AO108=regle!$D$12,regle!$D$11,
IF(AO108=regle!$E$12,regle!$E$11,
IF(AO108=regle!$F$12,regle!$F$11,
IF(AO108=regle!$G$12,regle!$G$11,
IF(AO108=regle!$H$12,regle!$H$11,
IF(AO108=regle!$I$12,regle!$I$11,""))))))))))</f>
        <v/>
      </c>
      <c r="V108" t="str">
        <f>IF(NOT($A108),"",
IF(AP108=-2,regle!$J$11,
IF(AP108=regle!$B$12,regle!$B$11,
IF(AP108=regle!$C$12,regle!$C$11,
IF(AP108=regle!$D$12,regle!$D$11,
IF(AP108=regle!$E$12,regle!$E$11,
IF(AP108=regle!$F$12,regle!$F$11,
IF(AP108=regle!$G$12,regle!$G$11,
IF(AP108=regle!$H$12,regle!$H$11,
IF(AP108=regle!$I$12,regle!$I$11,""))))))))))</f>
        <v/>
      </c>
      <c r="W108" t="str">
        <f>IF(NOT($A108),"",
IF(AQ108=-2,regle!$J$11,
IF(AQ108=regle!$B$12,regle!$B$11,
IF(AQ108=regle!$C$12,regle!$C$11,
IF(AQ108=regle!$D$12,regle!$D$11,
IF(AQ108=regle!$E$12,regle!$E$11,
IF(AQ108=regle!$F$12,regle!$F$11,
IF(AQ108=regle!$G$12,regle!$G$11,
IF(AQ108=regle!$H$12,regle!$H$11,
IF(AQ108=regle!$I$12,regle!$I$11,""))))))))))</f>
        <v/>
      </c>
      <c r="X108" t="str">
        <f>IF(NOT($A108),"",
IF(AR108=-2,regle!$J$11,
IF(AR108=regle!$B$12,regle!$B$11,
IF(AR108=regle!$C$12,regle!$C$11,
IF(AR108=regle!$D$12,regle!$D$11,
IF(AR108=regle!$E$12,regle!$E$11,
IF(AR108=regle!$F$12,regle!$F$11,
IF(AR108=regle!$G$12,regle!$G$11,
IF(AR108=regle!$H$12,regle!$H$11,
IF(AR108=regle!$I$12,regle!$I$11,""))))))))))</f>
        <v>EC3</v>
      </c>
      <c r="Y108" t="str">
        <f>IF(NOT($A108),"",
IF(AS108=-2,regle!$J$11,
IF(AS108=regle!$B$12,regle!$B$11,
IF(AS108=regle!$C$12,regle!$C$11,
IF(AS108=regle!$D$12,regle!$D$11,
IF(AS108=regle!$E$12,regle!$E$11,
IF(AS108=regle!$F$12,regle!$F$11,
IF(AS108=regle!$G$12,regle!$G$11,
IF(AS108=regle!$H$12,regle!$H$11,
IF(AS108=regle!$I$12,regle!$I$11,""))))))))))</f>
        <v/>
      </c>
      <c r="Z108" t="str">
        <f>IF(NOT($A108),"",
IF(AT108=-2,regle!$J$11,
IF(AT108=regle!$B$12,regle!$B$11,
IF(AT108=regle!$C$12,regle!$C$11,
IF(AT108=regle!$D$12,regle!$D$11,
IF(AT108=regle!$E$12,regle!$E$11,
IF(AT108=regle!$F$12,regle!$F$11,
IF(AT108=regle!$G$12,regle!$G$11,
IF(AT108=regle!$H$12,regle!$H$11,
IF(AT108=regle!$I$12,regle!$I$11,""))))))))))</f>
        <v/>
      </c>
      <c r="AA108" t="str">
        <f>IF(NOT($A108),"",
IF(AU108=-2,regle!$J$11,
IF(AU108=regle!$B$12,regle!$B$11,
IF(AU108=regle!$C$12,regle!$C$11,
IF(AU108=regle!$D$12,regle!$D$11,
IF(AU108=regle!$E$12,regle!$E$11,
IF(AU108=regle!$F$12,regle!$F$11,
IF(AU108=regle!$G$12,regle!$G$11,
IF(AU108=regle!$H$12,regle!$H$11,
IF(AU108=regle!$I$12,regle!$I$11,""))))))))))</f>
        <v/>
      </c>
      <c r="AB108" t="str">
        <f>IF(NOT($A108),"",
IF(AV108=-2,regle!$J$11,
IF(AV108=regle!$B$12,regle!$B$11,
IF(AV108=regle!$C$12,regle!$C$11,
IF(AV108=regle!$D$12,regle!$D$11,
IF(AV108=regle!$E$12,regle!$E$11,
IF(AV108=regle!$F$12,regle!$F$11,
IF(AV108=regle!$G$12,regle!$G$11,
IF(AV108=regle!$H$12,regle!$H$11,
IF(AV108=regle!$I$12,regle!$I$11,""))))))))))</f>
        <v/>
      </c>
      <c r="AC108" t="str">
        <f>IF(NOT($A108),"",
IF(AW108=-2,regle!$J$11,
IF(AW108=regle!$B$12,regle!$B$11,
IF(AW108=regle!$C$12,regle!$C$11,
IF(AW108=regle!$D$12,regle!$D$11,
IF(AW108=regle!$E$12,regle!$E$11,
IF(AW108=regle!$F$12,regle!$F$11,
IF(AW108=regle!$G$12,regle!$G$11,
IF(AW108=regle!$H$12,regle!$H$11,
IF(AW108=regle!$I$12,regle!$I$11,""))))))))))</f>
        <v>EC4</v>
      </c>
      <c r="AD108" t="str">
        <f>IF(NOT($A108),"",
IF(AX108=-2,regle!$J$11,
IF(AX108=regle!$B$12,regle!$B$11,
IF(AX108=regle!$C$12,regle!$C$11,
IF(AX108=regle!$D$12,regle!$D$11,
IF(AX108=regle!$E$12,regle!$E$11,
IF(AX108=regle!$F$12,regle!$F$11,
IF(AX108=regle!$G$12,regle!$G$11,
IF(AX108=regle!$H$12,regle!$H$11,
IF(AX108=regle!$I$12,regle!$I$11,""))))))))))</f>
        <v/>
      </c>
      <c r="AE108" s="14">
        <f>IF($A108,$M108*(IF(U108=regle!$B$11,regle!$B$23,IF(U108=regle!$C$11,regle!$C$23,IF(U108=regle!$D$11,regle!$D$23,IF(U108=regle!$E$11,regle!$E$23,IF(U108=regle!$F$11,regle!$F$23,IF(U108=regle!$G$11,regle!$G$23,IF(U108=regle!$H$11,regle!$H$23,IF(U108=regle!$I$11,regle!$I$23,IF(U108=regle!$J$11,regle!$J$23,0)))))))))))</f>
        <v>0</v>
      </c>
      <c r="AF108" s="14">
        <f>IF($A108,$M108*(IF(V108=regle!$B$11,regle!$B$23,IF(V108=regle!$C$11,regle!$C$23,IF(V108=regle!$D$11,regle!$D$23,IF(V108=regle!$E$11,regle!$E$23,IF(V108=regle!$F$11,regle!$F$23,IF(V108=regle!$G$11,regle!$G$23,IF(V108=regle!$H$11,regle!$H$23,IF(V108=regle!$I$11,regle!$I$23,IF(V108=regle!$J$11,regle!$J$23,0)))))))))))</f>
        <v>0</v>
      </c>
      <c r="AG108" s="14">
        <f>IF($A108,$M108*(IF(W108=regle!$B$11,regle!$B$23,IF(W108=regle!$C$11,regle!$C$23,IF(W108=regle!$D$11,regle!$D$23,IF(W108=regle!$E$11,regle!$E$23,IF(W108=regle!$F$11,regle!$F$23,IF(W108=regle!$G$11,regle!$G$23,IF(W108=regle!$H$11,regle!$H$23,IF(W108=regle!$I$11,regle!$I$23,IF(W108=regle!$J$11,regle!$J$23,0)))))))))))</f>
        <v>0</v>
      </c>
      <c r="AH108" s="14">
        <f>IF($A108,$M108*(IF(X108=regle!$B$11,regle!$B$23,IF(X108=regle!$C$11,regle!$C$23,IF(X108=regle!$D$11,regle!$D$23,IF(X108=regle!$E$11,regle!$E$23,IF(X108=regle!$F$11,regle!$F$23,IF(X108=regle!$G$11,regle!$G$23,IF(X108=regle!$H$11,regle!$H$23,IF(X108=regle!$I$11,regle!$I$23,IF(X108=regle!$J$11,regle!$J$23,0)))))))))))</f>
        <v>335.94880000000001</v>
      </c>
      <c r="AI108" s="14">
        <f>IF($A108,$M108*(IF(Y108=regle!$B$11,regle!$B$23,IF(Y108=regle!$C$11,regle!$C$23,IF(Y108=regle!$D$11,regle!$D$23,IF(Y108=regle!$E$11,regle!$E$23,IF(Y108=regle!$F$11,regle!$F$23,IF(Y108=regle!$G$11,regle!$G$23,IF(Y108=regle!$H$11,regle!$H$23,IF(Y108=regle!$I$11,regle!$I$23,IF(Y108=regle!$J$11,regle!$J$23,0)))))))))))</f>
        <v>0</v>
      </c>
      <c r="AJ108" s="14">
        <f>IF($A108,$M108*(IF(Z108=regle!$B$11,regle!$B$23,IF(Z108=regle!$C$11,regle!$C$23,IF(Z108=regle!$D$11,regle!$D$23,IF(Z108=regle!$E$11,regle!$E$23,IF(Z108=regle!$F$11,regle!$F$23,IF(Z108=regle!$G$11,regle!$G$23,IF(Z108=regle!$H$11,regle!$H$23,IF(Z108=regle!$I$11,regle!$I$23,IF(Z108=regle!$J$11,regle!$J$23,0)))))))))))</f>
        <v>0</v>
      </c>
      <c r="AK108" s="14">
        <f>IF($A108,$M108*(IF(AA108=regle!$B$11,regle!$B$23,IF(AA108=regle!$C$11,regle!$C$23,IF(AA108=regle!$D$11,regle!$D$23,IF(AA108=regle!$E$11,regle!$E$23,IF(AA108=regle!$F$11,regle!$F$23,IF(AA108=regle!$G$11,regle!$G$23,IF(AA108=regle!$H$11,regle!$H$23,IF(AA108=regle!$I$11,regle!$I$23,IF(AA108=regle!$J$11,regle!$J$23,0)))))))))))</f>
        <v>0</v>
      </c>
      <c r="AL108" s="14">
        <f>IF($A108,$M108*(IF(AB108=regle!$B$11,regle!$B$23,IF(AB108=regle!$C$11,regle!$C$23,IF(AB108=regle!$D$11,regle!$D$23,IF(AB108=regle!$E$11,regle!$E$23,IF(AB108=regle!$F$11,regle!$F$23,IF(AB108=regle!$G$11,regle!$G$23,IF(AB108=regle!$H$11,regle!$H$23,IF(AB108=regle!$I$11,regle!$I$23,IF(AB108=regle!$J$11,regle!$J$23,0)))))))))))</f>
        <v>0</v>
      </c>
      <c r="AM108" s="14">
        <f>IF($A108,$M108*(IF(AC108=regle!$B$11,regle!$B$23,IF(AC108=regle!$C$11,regle!$C$23,IF(AC108=regle!$D$11,regle!$D$23,IF(AC108=regle!$E$11,regle!$E$23,IF(AC108=regle!$F$11,regle!$F$23,IF(AC108=regle!$G$11,regle!$G$23,IF(AC108=regle!$H$11,regle!$H$23,IF(AC108=regle!$I$11,regle!$I$23,IF(AC108=regle!$J$11,regle!$J$23,0)))))))))))</f>
        <v>305.40800000000002</v>
      </c>
      <c r="AN108" s="14">
        <f>IF($A108,$M108*(IF(AD108=regle!$B$11,regle!$B$23,IF(AD108=regle!$C$11,regle!$C$23,IF(AD108=regle!$D$11,regle!$D$23,IF(AD108=regle!$E$11,regle!$E$23,IF(AD108=regle!$F$11,regle!$F$23,IF(AD108=regle!$G$11,regle!$G$23,IF(AD108=regle!$H$11,regle!$H$23,IF(AD108=regle!$I$11,regle!$I$23,IF(AD108=regle!$J$11,regle!$J$23,0)))))))))))</f>
        <v>0</v>
      </c>
      <c r="AO108">
        <f>IF(AO$1=$AO$1,IF(regle!B$2-$Q108&gt;=regle!$J$12,-2,IF($S108,IF(regle!$B$2-$Q108&gt;=2,0,-1),regle!B$2-$Q108)),IF(AN108+1&gt;=regle!$J$12,-2,AN108+1))</f>
        <v>20</v>
      </c>
      <c r="AP108">
        <f>IF(AP$1=$AO$1,IF(regle!C$2-$Q108&gt;=regle!$J$12,-2,IF($S108,IF(regle!$B$2-$Q108&gt;=2,0,-1),regle!C$2-$Q108)),IF(AO108+1&gt;=regle!$J$12,-2,AO108+1))</f>
        <v>21</v>
      </c>
      <c r="AQ108">
        <f>IF(AQ$1=$AO$1,IF(regle!D$2-$Q108&gt;=regle!$J$12,-2,IF($S108,IF(regle!$B$2-$Q108&gt;=2,0,-1),regle!D$2-$Q108)),IF(AP108+1&gt;=regle!$J$12,-2,AP108+1))</f>
        <v>22</v>
      </c>
      <c r="AR108">
        <f>IF(AR$1=$AO$1,IF(regle!E$2-$Q108&gt;=regle!$J$12,-2,IF($S108,IF(regle!$B$2-$Q108&gt;=2,0,-1),regle!E$2-$Q108)),IF(AQ108+1&gt;=regle!$J$12,-2,AQ108+1))</f>
        <v>23</v>
      </c>
      <c r="AS108">
        <f>IF(AS$1=$AO$1,IF(regle!F$2-$Q108&gt;=regle!$J$12,-2,IF($S108,IF(regle!$B$2-$Q108&gt;=2,0,-1),regle!F$2-$Q108)),IF(AR108+1&gt;=regle!$J$12,-2,AR108+1))</f>
        <v>24</v>
      </c>
      <c r="AT108">
        <f>IF(AT$1=$AO$1,IF(regle!G$2-$Q108&gt;=regle!$J$12,-2,IF($S108,IF(regle!$B$2-$Q108&gt;=2,0,-1),regle!G$2-$Q108)),IF(AS108+1&gt;=regle!$J$12,-2,AS108+1))</f>
        <v>25</v>
      </c>
      <c r="AU108">
        <f>IF(AU$1=$AO$1,IF(regle!H$2-$Q108&gt;=regle!$J$12,-2,IF($S108,IF(regle!$B$2-$Q108&gt;=2,0,-1),regle!H$2-$Q108)),IF(AT108+1&gt;=regle!$J$12,-2,AT108+1))</f>
        <v>26</v>
      </c>
      <c r="AV108">
        <f>IF(AV$1=$AO$1,IF(regle!I$2-$Q108&gt;=regle!$J$12,-2,IF($S108,IF(regle!$B$2-$Q108&gt;=2,0,-1),regle!I$2-$Q108)),IF(AU108+1&gt;=regle!$J$12,-2,AU108+1))</f>
        <v>27</v>
      </c>
      <c r="AW108">
        <f>IF(AW$1=$AO$1,IF(regle!J$2-$Q108&gt;=regle!$J$12,-2,IF($S108,IF(regle!$B$2-$Q108&gt;=2,0,-1),regle!J$2-$Q108)),IF(AV108+1&gt;=regle!$J$12,-2,AV108+1))</f>
        <v>28</v>
      </c>
      <c r="AX108">
        <f>IF(AX$1=$AO$1,IF(regle!K$2-$Q108&gt;=regle!$J$12,-2,IF($S108,IF(regle!$B$2-$Q108&gt;=2,0,-1),regle!K$2-$Q108)),IF(AW108+1&gt;=regle!$J$12,-2,AW108+1))</f>
        <v>29</v>
      </c>
    </row>
    <row r="109" spans="1:50" x14ac:dyDescent="0.25">
      <c r="A109" t="b">
        <f>AND(modif0[[#This Row],[cdstr]]&lt;&gt;0,OR(regle!$H$27=FALSE,modif0[[#This Row],[essnc]]="PM"))</f>
        <v>1</v>
      </c>
      <c r="B109">
        <f>ROW(objet!A135)</f>
        <v>135</v>
      </c>
      <c r="C109" s="10" t="str">
        <f>objet!D135</f>
        <v>2020000B1142</v>
      </c>
      <c r="D109" t="str">
        <f>LEFT(modif0[[#This Row],[cdstr]],3)</f>
        <v>202</v>
      </c>
      <c r="E109" s="10" t="str">
        <f>objet!G135</f>
        <v>HOSTENS</v>
      </c>
      <c r="F109">
        <f>LEN(modif0[[#This Row],[l_dt]])</f>
        <v>11</v>
      </c>
      <c r="G109" s="10" t="str">
        <f>objet!H135</f>
        <v>LES CAZALAS</v>
      </c>
      <c r="H109" s="10" t="str">
        <f>objet!C135</f>
        <v>B1142k</v>
      </c>
      <c r="I109" t="str">
        <f>IF(ISNUMBER(VALUE(RIGHT(LEFT(modif0[[#This Row],[idntfn]],2),1))),_xlfn.CONCAT(0,LEFT(modif0[[#This Row],[idntfn]],1)),LEFT(modif0[[#This Row],[idntfn]],2))</f>
        <v>0B</v>
      </c>
      <c r="J109">
        <f>VALUE(LEFT(RIGHT(modif0[[#This Row],[idntfn]],LEN(modif0[[#This Row],[idntfn]])-IF(LEFT(modif0[[#This Row],[sctn]],1)="0",1,2)),LEN(modif0[[#This Row],[idntfn]])-IF(LEFT(modif0[[#This Row],[sctn]],1)="0",1,2)-LEN(modif0[[#This Row],[lttr]])))</f>
        <v>1142</v>
      </c>
      <c r="K109" t="str">
        <f>IF(ISNUMBER(VALUE(RIGHT(modif0[[#This Row],[idntfn]],1))),"",IF(ISNUMBER(VALUE(LEFT(RIGHT(modif0[[#This Row],[idntfn]],2),1))),RIGHT(modif0[[#This Row],[idntfn]],1),RIGHT(modif0[[#This Row],[idntfn]],2)))</f>
        <v>k</v>
      </c>
      <c r="L109" s="10">
        <f>objet!I135</f>
        <v>5099</v>
      </c>
      <c r="M109" s="11">
        <f>modif0[[#This Row],[srfc]]/10000</f>
        <v>0.50990000000000002</v>
      </c>
      <c r="N109" s="10" t="str">
        <f>objet!Z135</f>
        <v>PM</v>
      </c>
      <c r="O109" s="10" t="str">
        <f>objet!AA135</f>
        <v>PLA2018</v>
      </c>
      <c r="P109" t="str">
        <f>IF(ISNUMBER(modif0[[#This Row],[trvx]]),"",LEFT(modif0[[#This Row],[trvx]],LEN(modif0[[#This Row],[trvx]])-4))</f>
        <v>PLA</v>
      </c>
      <c r="Q109">
        <f>VALUE(RIGHT(modif0[[#This Row],[trvx]],4))</f>
        <v>2018</v>
      </c>
      <c r="R109" t="str">
        <f>_xlfn.CONCAT(modif0[[#This Row],[tp]],"-",modif0[[#This Row],[essnc]],"_",modif0[[#This Row],[anns]])</f>
        <v>PLA-PM_2018</v>
      </c>
      <c r="S109" t="b">
        <f>modif0[[#This Row],[tp]]="CR"</f>
        <v>0</v>
      </c>
      <c r="T109">
        <v>40</v>
      </c>
      <c r="U109" t="str">
        <f>IF(NOT($A109),"",
IF(AO109=-2,regle!$J$11,
IF(AO109=regle!$B$12,regle!$B$11,
IF(AO109=regle!$C$12,regle!$C$11,
IF(AO109=regle!$D$12,regle!$D$11,
IF(AO109=regle!$E$12,regle!$E$11,
IF(AO109=regle!$F$12,regle!$F$11,
IF(AO109=regle!$G$12,regle!$G$11,
IF(AO109=regle!$H$12,regle!$H$11,
IF(AO109=regle!$I$12,regle!$I$11,""))))))))))</f>
        <v/>
      </c>
      <c r="V109" t="str">
        <f>IF(NOT($A109),"",
IF(AP109=-2,regle!$J$11,
IF(AP109=regle!$B$12,regle!$B$11,
IF(AP109=regle!$C$12,regle!$C$11,
IF(AP109=regle!$D$12,regle!$D$11,
IF(AP109=regle!$E$12,regle!$E$11,
IF(AP109=regle!$F$12,regle!$F$11,
IF(AP109=regle!$G$12,regle!$G$11,
IF(AP109=regle!$H$12,regle!$H$11,
IF(AP109=regle!$I$12,regle!$I$11,""))))))))))</f>
        <v/>
      </c>
      <c r="W109" t="str">
        <f>IF(NOT($A109),"",
IF(AQ109=-2,regle!$J$11,
IF(AQ109=regle!$B$12,regle!$B$11,
IF(AQ109=regle!$C$12,regle!$C$11,
IF(AQ109=regle!$D$12,regle!$D$11,
IF(AQ109=regle!$E$12,regle!$E$11,
IF(AQ109=regle!$F$12,regle!$F$11,
IF(AQ109=regle!$G$12,regle!$G$11,
IF(AQ109=regle!$H$12,regle!$H$11,
IF(AQ109=regle!$I$12,regle!$I$11,""))))))))))</f>
        <v>ENT2</v>
      </c>
      <c r="X109" t="str">
        <f>IF(NOT($A109),"",
IF(AR109=-2,regle!$J$11,
IF(AR109=regle!$B$12,regle!$B$11,
IF(AR109=regle!$C$12,regle!$C$11,
IF(AR109=regle!$D$12,regle!$D$11,
IF(AR109=regle!$E$12,regle!$E$11,
IF(AR109=regle!$F$12,regle!$F$11,
IF(AR109=regle!$G$12,regle!$G$11,
IF(AR109=regle!$H$12,regle!$H$11,
IF(AR109=regle!$I$12,regle!$I$11,""))))))))))</f>
        <v/>
      </c>
      <c r="Y109" t="str">
        <f>IF(NOT($A109),"",
IF(AS109=-2,regle!$J$11,
IF(AS109=regle!$B$12,regle!$B$11,
IF(AS109=regle!$C$12,regle!$C$11,
IF(AS109=regle!$D$12,regle!$D$11,
IF(AS109=regle!$E$12,regle!$E$11,
IF(AS109=regle!$F$12,regle!$F$11,
IF(AS109=regle!$G$12,regle!$G$11,
IF(AS109=regle!$H$12,regle!$H$11,
IF(AS109=regle!$I$12,regle!$I$11,""))))))))))</f>
        <v/>
      </c>
      <c r="Z109" t="str">
        <f>IF(NOT($A109),"",
IF(AT109=-2,regle!$J$11,
IF(AT109=regle!$B$12,regle!$B$11,
IF(AT109=regle!$C$12,regle!$C$11,
IF(AT109=regle!$D$12,regle!$D$11,
IF(AT109=regle!$E$12,regle!$E$11,
IF(AT109=regle!$F$12,regle!$F$11,
IF(AT109=regle!$G$12,regle!$G$11,
IF(AT109=regle!$H$12,regle!$H$11,
IF(AT109=regle!$I$12,regle!$I$11,""))))))))))</f>
        <v/>
      </c>
      <c r="AA109" t="str">
        <f>IF(NOT($A109),"",
IF(AU109=-2,regle!$J$11,
IF(AU109=regle!$B$12,regle!$B$11,
IF(AU109=regle!$C$12,regle!$C$11,
IF(AU109=regle!$D$12,regle!$D$11,
IF(AU109=regle!$E$12,regle!$E$11,
IF(AU109=regle!$F$12,regle!$F$11,
IF(AU109=regle!$G$12,regle!$G$11,
IF(AU109=regle!$H$12,regle!$H$11,
IF(AU109=regle!$I$12,regle!$I$11,""))))))))))</f>
        <v/>
      </c>
      <c r="AB109" t="str">
        <f>IF(NOT($A109),"",
IF(AV109=-2,regle!$J$11,
IF(AV109=regle!$B$12,regle!$B$11,
IF(AV109=regle!$C$12,regle!$C$11,
IF(AV109=regle!$D$12,regle!$D$11,
IF(AV109=regle!$E$12,regle!$E$11,
IF(AV109=regle!$F$12,regle!$F$11,
IF(AV109=regle!$G$12,regle!$G$11,
IF(AV109=regle!$H$12,regle!$H$11,
IF(AV109=regle!$I$12,regle!$I$11,""))))))))))</f>
        <v>EC1</v>
      </c>
      <c r="AC109" t="str">
        <f>IF(NOT($A109),"",
IF(AW109=-2,regle!$J$11,
IF(AW109=regle!$B$12,regle!$B$11,
IF(AW109=regle!$C$12,regle!$C$11,
IF(AW109=regle!$D$12,regle!$D$11,
IF(AW109=regle!$E$12,regle!$E$11,
IF(AW109=regle!$F$12,regle!$F$11,
IF(AW109=regle!$G$12,regle!$G$11,
IF(AW109=regle!$H$12,regle!$H$11,
IF(AW109=regle!$I$12,regle!$I$11,""))))))))))</f>
        <v/>
      </c>
      <c r="AD109" t="str">
        <f>IF(NOT($A109),"",
IF(AX109=-2,regle!$J$11,
IF(AX109=regle!$B$12,regle!$B$11,
IF(AX109=regle!$C$12,regle!$C$11,
IF(AX109=regle!$D$12,regle!$D$11,
IF(AX109=regle!$E$12,regle!$E$11,
IF(AX109=regle!$F$12,regle!$F$11,
IF(AX109=regle!$G$12,regle!$G$11,
IF(AX109=regle!$H$12,regle!$H$11,
IF(AX109=regle!$I$12,regle!$I$11,""))))))))))</f>
        <v/>
      </c>
      <c r="AE109" s="14">
        <f>IF($A109,$M109*(IF(U109=regle!$B$11,regle!$B$23,IF(U109=regle!$C$11,regle!$C$23,IF(U109=regle!$D$11,regle!$D$23,IF(U109=regle!$E$11,regle!$E$23,IF(U109=regle!$F$11,regle!$F$23,IF(U109=regle!$G$11,regle!$G$23,IF(U109=regle!$H$11,regle!$H$23,IF(U109=regle!$I$11,regle!$I$23,IF(U109=regle!$J$11,regle!$J$23,0)))))))))))</f>
        <v>0</v>
      </c>
      <c r="AF109" s="14">
        <f>IF($A109,$M109*(IF(V109=regle!$B$11,regle!$B$23,IF(V109=regle!$C$11,regle!$C$23,IF(V109=regle!$D$11,regle!$D$23,IF(V109=regle!$E$11,regle!$E$23,IF(V109=regle!$F$11,regle!$F$23,IF(V109=regle!$G$11,regle!$G$23,IF(V109=regle!$H$11,regle!$H$23,IF(V109=regle!$I$11,regle!$I$23,IF(V109=regle!$J$11,regle!$J$23,0)))))))))))</f>
        <v>0</v>
      </c>
      <c r="AG109" s="14">
        <f>IF($A109,$M109*(IF(W109=regle!$B$11,regle!$B$23,IF(W109=regle!$C$11,regle!$C$23,IF(W109=regle!$D$11,regle!$D$23,IF(W109=regle!$E$11,regle!$E$23,IF(W109=regle!$F$11,regle!$F$23,IF(W109=regle!$G$11,regle!$G$23,IF(W109=regle!$H$11,regle!$H$23,IF(W109=regle!$I$11,regle!$I$23,IF(W109=regle!$J$11,regle!$J$23,0)))))))))))</f>
        <v>-45.891000000000005</v>
      </c>
      <c r="AH109" s="14">
        <f>IF($A109,$M109*(IF(X109=regle!$B$11,regle!$B$23,IF(X109=regle!$C$11,regle!$C$23,IF(X109=regle!$D$11,regle!$D$23,IF(X109=regle!$E$11,regle!$E$23,IF(X109=regle!$F$11,regle!$F$23,IF(X109=regle!$G$11,regle!$G$23,IF(X109=regle!$H$11,regle!$H$23,IF(X109=regle!$I$11,regle!$I$23,IF(X109=regle!$J$11,regle!$J$23,0)))))))))))</f>
        <v>0</v>
      </c>
      <c r="AI109" s="14">
        <f>IF($A109,$M109*(IF(Y109=regle!$B$11,regle!$B$23,IF(Y109=regle!$C$11,regle!$C$23,IF(Y109=regle!$D$11,regle!$D$23,IF(Y109=regle!$E$11,regle!$E$23,IF(Y109=regle!$F$11,regle!$F$23,IF(Y109=regle!$G$11,regle!$G$23,IF(Y109=regle!$H$11,regle!$H$23,IF(Y109=regle!$I$11,regle!$I$23,IF(Y109=regle!$J$11,regle!$J$23,0)))))))))))</f>
        <v>0</v>
      </c>
      <c r="AJ109" s="14">
        <f>IF($A109,$M109*(IF(Z109=regle!$B$11,regle!$B$23,IF(Z109=regle!$C$11,regle!$C$23,IF(Z109=regle!$D$11,regle!$D$23,IF(Z109=regle!$E$11,regle!$E$23,IF(Z109=regle!$F$11,regle!$F$23,IF(Z109=regle!$G$11,regle!$G$23,IF(Z109=regle!$H$11,regle!$H$23,IF(Z109=regle!$I$11,regle!$I$23,IF(Z109=regle!$J$11,regle!$J$23,0)))))))))))</f>
        <v>0</v>
      </c>
      <c r="AK109" s="14">
        <f>IF($A109,$M109*(IF(AA109=regle!$B$11,regle!$B$23,IF(AA109=regle!$C$11,regle!$C$23,IF(AA109=regle!$D$11,regle!$D$23,IF(AA109=regle!$E$11,regle!$E$23,IF(AA109=regle!$F$11,regle!$F$23,IF(AA109=regle!$G$11,regle!$G$23,IF(AA109=regle!$H$11,regle!$H$23,IF(AA109=regle!$I$11,regle!$I$23,IF(AA109=regle!$J$11,regle!$J$23,0)))))))))))</f>
        <v>0</v>
      </c>
      <c r="AL109" s="14">
        <f>IF($A109,$M109*(IF(AB109=regle!$B$11,regle!$B$23,IF(AB109=regle!$C$11,regle!$C$23,IF(AB109=regle!$D$11,regle!$D$23,IF(AB109=regle!$E$11,regle!$E$23,IF(AB109=regle!$F$11,regle!$F$23,IF(AB109=regle!$G$11,regle!$G$23,IF(AB109=regle!$H$11,regle!$H$23,IF(AB109=regle!$I$11,regle!$I$23,IF(AB109=regle!$J$11,regle!$J$23,0)))))))))))</f>
        <v>293.70240000000001</v>
      </c>
      <c r="AM109" s="14">
        <f>IF($A109,$M109*(IF(AC109=regle!$B$11,regle!$B$23,IF(AC109=regle!$C$11,regle!$C$23,IF(AC109=regle!$D$11,regle!$D$23,IF(AC109=regle!$E$11,regle!$E$23,IF(AC109=regle!$F$11,regle!$F$23,IF(AC109=regle!$G$11,regle!$G$23,IF(AC109=regle!$H$11,regle!$H$23,IF(AC109=regle!$I$11,regle!$I$23,IF(AC109=regle!$J$11,regle!$J$23,0)))))))))))</f>
        <v>0</v>
      </c>
      <c r="AN109" s="14">
        <f>IF($A109,$M109*(IF(AD109=regle!$B$11,regle!$B$23,IF(AD109=regle!$C$11,regle!$C$23,IF(AD109=regle!$D$11,regle!$D$23,IF(AD109=regle!$E$11,regle!$E$23,IF(AD109=regle!$F$11,regle!$F$23,IF(AD109=regle!$G$11,regle!$G$23,IF(AD109=regle!$H$11,regle!$H$23,IF(AD109=regle!$I$11,regle!$I$23,IF(AD109=regle!$J$11,regle!$J$23,0)))))))))))</f>
        <v>0</v>
      </c>
      <c r="AO109">
        <f>IF(AO$1=$AO$1,IF(regle!B$2-$Q109&gt;=regle!$J$12,-2,IF($S109,IF(regle!$B$2-$Q109&gt;=2,0,-1),regle!B$2-$Q109)),IF(AN109+1&gt;=regle!$J$12,-2,AN109+1))</f>
        <v>6</v>
      </c>
      <c r="AP109">
        <f>IF(AP$1=$AO$1,IF(regle!C$2-$Q109&gt;=regle!$J$12,-2,IF($S109,IF(regle!$B$2-$Q109&gt;=2,0,-1),regle!C$2-$Q109)),IF(AO109+1&gt;=regle!$J$12,-2,AO109+1))</f>
        <v>7</v>
      </c>
      <c r="AQ109">
        <f>IF(AQ$1=$AO$1,IF(regle!D$2-$Q109&gt;=regle!$J$12,-2,IF($S109,IF(regle!$B$2-$Q109&gt;=2,0,-1),regle!D$2-$Q109)),IF(AP109+1&gt;=regle!$J$12,-2,AP109+1))</f>
        <v>8</v>
      </c>
      <c r="AR109">
        <f>IF(AR$1=$AO$1,IF(regle!E$2-$Q109&gt;=regle!$J$12,-2,IF($S109,IF(regle!$B$2-$Q109&gt;=2,0,-1),regle!E$2-$Q109)),IF(AQ109+1&gt;=regle!$J$12,-2,AQ109+1))</f>
        <v>9</v>
      </c>
      <c r="AS109">
        <f>IF(AS$1=$AO$1,IF(regle!F$2-$Q109&gt;=regle!$J$12,-2,IF($S109,IF(regle!$B$2-$Q109&gt;=2,0,-1),regle!F$2-$Q109)),IF(AR109+1&gt;=regle!$J$12,-2,AR109+1))</f>
        <v>10</v>
      </c>
      <c r="AT109">
        <f>IF(AT$1=$AO$1,IF(regle!G$2-$Q109&gt;=regle!$J$12,-2,IF($S109,IF(regle!$B$2-$Q109&gt;=2,0,-1),regle!G$2-$Q109)),IF(AS109+1&gt;=regle!$J$12,-2,AS109+1))</f>
        <v>11</v>
      </c>
      <c r="AU109">
        <f>IF(AU$1=$AO$1,IF(regle!H$2-$Q109&gt;=regle!$J$12,-2,IF($S109,IF(regle!$B$2-$Q109&gt;=2,0,-1),regle!H$2-$Q109)),IF(AT109+1&gt;=regle!$J$12,-2,AT109+1))</f>
        <v>12</v>
      </c>
      <c r="AV109">
        <f>IF(AV$1=$AO$1,IF(regle!I$2-$Q109&gt;=regle!$J$12,-2,IF($S109,IF(regle!$B$2-$Q109&gt;=2,0,-1),regle!I$2-$Q109)),IF(AU109+1&gt;=regle!$J$12,-2,AU109+1))</f>
        <v>13</v>
      </c>
      <c r="AW109">
        <f>IF(AW$1=$AO$1,IF(regle!J$2-$Q109&gt;=regle!$J$12,-2,IF($S109,IF(regle!$B$2-$Q109&gt;=2,0,-1),regle!J$2-$Q109)),IF(AV109+1&gt;=regle!$J$12,-2,AV109+1))</f>
        <v>14</v>
      </c>
      <c r="AX109">
        <f>IF(AX$1=$AO$1,IF(regle!K$2-$Q109&gt;=regle!$J$12,-2,IF($S109,IF(regle!$B$2-$Q109&gt;=2,0,-1),regle!K$2-$Q109)),IF(AW109+1&gt;=regle!$J$12,-2,AW109+1))</f>
        <v>15</v>
      </c>
    </row>
    <row r="110" spans="1:50" x14ac:dyDescent="0.25">
      <c r="A110" t="b">
        <f>AND(modif0[[#This Row],[cdstr]]&lt;&gt;0,OR(regle!$H$27=FALSE,modif0[[#This Row],[essnc]]="PM"))</f>
        <v>1</v>
      </c>
      <c r="B110">
        <f>ROW(objet!A136)</f>
        <v>136</v>
      </c>
      <c r="C110" s="10" t="str">
        <f>objet!D136</f>
        <v>2020000B1143</v>
      </c>
      <c r="D110" t="str">
        <f>LEFT(modif0[[#This Row],[cdstr]],3)</f>
        <v>202</v>
      </c>
      <c r="E110" s="10" t="str">
        <f>objet!G136</f>
        <v>HOSTENS</v>
      </c>
      <c r="F110">
        <f>LEN(modif0[[#This Row],[l_dt]])</f>
        <v>11</v>
      </c>
      <c r="G110" s="10" t="str">
        <f>objet!H136</f>
        <v>LES CAZALAS</v>
      </c>
      <c r="H110" s="10" t="str">
        <f>objet!C136</f>
        <v>B1143</v>
      </c>
      <c r="I110" t="str">
        <f>IF(ISNUMBER(VALUE(RIGHT(LEFT(modif0[[#This Row],[idntfn]],2),1))),_xlfn.CONCAT(0,LEFT(modif0[[#This Row],[idntfn]],1)),LEFT(modif0[[#This Row],[idntfn]],2))</f>
        <v>0B</v>
      </c>
      <c r="J110">
        <f>VALUE(LEFT(RIGHT(modif0[[#This Row],[idntfn]],LEN(modif0[[#This Row],[idntfn]])-IF(LEFT(modif0[[#This Row],[sctn]],1)="0",1,2)),LEN(modif0[[#This Row],[idntfn]])-IF(LEFT(modif0[[#This Row],[sctn]],1)="0",1,2)-LEN(modif0[[#This Row],[lttr]])))</f>
        <v>1143</v>
      </c>
      <c r="K110" t="str">
        <f>IF(ISNUMBER(VALUE(RIGHT(modif0[[#This Row],[idntfn]],1))),"",IF(ISNUMBER(VALUE(LEFT(RIGHT(modif0[[#This Row],[idntfn]],2),1))),RIGHT(modif0[[#This Row],[idntfn]],1),RIGHT(modif0[[#This Row],[idntfn]],2)))</f>
        <v/>
      </c>
      <c r="L110" s="10">
        <f>objet!I136</f>
        <v>7335</v>
      </c>
      <c r="M110" s="11">
        <f>modif0[[#This Row],[srfc]]/10000</f>
        <v>0.73350000000000004</v>
      </c>
      <c r="N110" s="10" t="str">
        <f>objet!Z136</f>
        <v>PM</v>
      </c>
      <c r="O110" s="10" t="str">
        <f>objet!AA136</f>
        <v>PLA2004</v>
      </c>
      <c r="P110" t="str">
        <f>IF(ISNUMBER(modif0[[#This Row],[trvx]]),"",LEFT(modif0[[#This Row],[trvx]],LEN(modif0[[#This Row],[trvx]])-4))</f>
        <v>PLA</v>
      </c>
      <c r="Q110">
        <f>VALUE(RIGHT(modif0[[#This Row],[trvx]],4))</f>
        <v>2004</v>
      </c>
      <c r="R110" t="str">
        <f>_xlfn.CONCAT(modif0[[#This Row],[tp]],"-",modif0[[#This Row],[essnc]],"_",modif0[[#This Row],[anns]])</f>
        <v>PLA-PM_2004</v>
      </c>
      <c r="S110" t="b">
        <f>modif0[[#This Row],[tp]]="CR"</f>
        <v>0</v>
      </c>
      <c r="T110">
        <v>40</v>
      </c>
      <c r="U110" t="str">
        <f>IF(NOT($A110),"",
IF(AO110=-2,regle!$J$11,
IF(AO110=regle!$B$12,regle!$B$11,
IF(AO110=regle!$C$12,regle!$C$11,
IF(AO110=regle!$D$12,regle!$D$11,
IF(AO110=regle!$E$12,regle!$E$11,
IF(AO110=regle!$F$12,regle!$F$11,
IF(AO110=regle!$G$12,regle!$G$11,
IF(AO110=regle!$H$12,regle!$H$11,
IF(AO110=regle!$I$12,regle!$I$11,""))))))))))</f>
        <v/>
      </c>
      <c r="V110" t="str">
        <f>IF(NOT($A110),"",
IF(AP110=-2,regle!$J$11,
IF(AP110=regle!$B$12,regle!$B$11,
IF(AP110=regle!$C$12,regle!$C$11,
IF(AP110=regle!$D$12,regle!$D$11,
IF(AP110=regle!$E$12,regle!$E$11,
IF(AP110=regle!$F$12,regle!$F$11,
IF(AP110=regle!$G$12,regle!$G$11,
IF(AP110=regle!$H$12,regle!$H$11,
IF(AP110=regle!$I$12,regle!$I$11,""))))))))))</f>
        <v/>
      </c>
      <c r="W110" t="str">
        <f>IF(NOT($A110),"",
IF(AQ110=-2,regle!$J$11,
IF(AQ110=regle!$B$12,regle!$B$11,
IF(AQ110=regle!$C$12,regle!$C$11,
IF(AQ110=regle!$D$12,regle!$D$11,
IF(AQ110=regle!$E$12,regle!$E$11,
IF(AQ110=regle!$F$12,regle!$F$11,
IF(AQ110=regle!$G$12,regle!$G$11,
IF(AQ110=regle!$H$12,regle!$H$11,
IF(AQ110=regle!$I$12,regle!$I$11,""))))))))))</f>
        <v/>
      </c>
      <c r="X110" t="str">
        <f>IF(NOT($A110),"",
IF(AR110=-2,regle!$J$11,
IF(AR110=regle!$B$12,regle!$B$11,
IF(AR110=regle!$C$12,regle!$C$11,
IF(AR110=regle!$D$12,regle!$D$11,
IF(AR110=regle!$E$12,regle!$E$11,
IF(AR110=regle!$F$12,regle!$F$11,
IF(AR110=regle!$G$12,regle!$G$11,
IF(AR110=regle!$H$12,regle!$H$11,
IF(AR110=regle!$I$12,regle!$I$11,""))))))))))</f>
        <v>EC3</v>
      </c>
      <c r="Y110" t="str">
        <f>IF(NOT($A110),"",
IF(AS110=-2,regle!$J$11,
IF(AS110=regle!$B$12,regle!$B$11,
IF(AS110=regle!$C$12,regle!$C$11,
IF(AS110=regle!$D$12,regle!$D$11,
IF(AS110=regle!$E$12,regle!$E$11,
IF(AS110=regle!$F$12,regle!$F$11,
IF(AS110=regle!$G$12,regle!$G$11,
IF(AS110=regle!$H$12,regle!$H$11,
IF(AS110=regle!$I$12,regle!$I$11,""))))))))))</f>
        <v/>
      </c>
      <c r="Z110" t="str">
        <f>IF(NOT($A110),"",
IF(AT110=-2,regle!$J$11,
IF(AT110=regle!$B$12,regle!$B$11,
IF(AT110=regle!$C$12,regle!$C$11,
IF(AT110=regle!$D$12,regle!$D$11,
IF(AT110=regle!$E$12,regle!$E$11,
IF(AT110=regle!$F$12,regle!$F$11,
IF(AT110=regle!$G$12,regle!$G$11,
IF(AT110=regle!$H$12,regle!$H$11,
IF(AT110=regle!$I$12,regle!$I$11,""))))))))))</f>
        <v/>
      </c>
      <c r="AA110" t="str">
        <f>IF(NOT($A110),"",
IF(AU110=-2,regle!$J$11,
IF(AU110=regle!$B$12,regle!$B$11,
IF(AU110=regle!$C$12,regle!$C$11,
IF(AU110=regle!$D$12,regle!$D$11,
IF(AU110=regle!$E$12,regle!$E$11,
IF(AU110=regle!$F$12,regle!$F$11,
IF(AU110=regle!$G$12,regle!$G$11,
IF(AU110=regle!$H$12,regle!$H$11,
IF(AU110=regle!$I$12,regle!$I$11,""))))))))))</f>
        <v/>
      </c>
      <c r="AB110" t="str">
        <f>IF(NOT($A110),"",
IF(AV110=-2,regle!$J$11,
IF(AV110=regle!$B$12,regle!$B$11,
IF(AV110=regle!$C$12,regle!$C$11,
IF(AV110=regle!$D$12,regle!$D$11,
IF(AV110=regle!$E$12,regle!$E$11,
IF(AV110=regle!$F$12,regle!$F$11,
IF(AV110=regle!$G$12,regle!$G$11,
IF(AV110=regle!$H$12,regle!$H$11,
IF(AV110=regle!$I$12,regle!$I$11,""))))))))))</f>
        <v/>
      </c>
      <c r="AC110" t="str">
        <f>IF(NOT($A110),"",
IF(AW110=-2,regle!$J$11,
IF(AW110=regle!$B$12,regle!$B$11,
IF(AW110=regle!$C$12,regle!$C$11,
IF(AW110=regle!$D$12,regle!$D$11,
IF(AW110=regle!$E$12,regle!$E$11,
IF(AW110=regle!$F$12,regle!$F$11,
IF(AW110=regle!$G$12,regle!$G$11,
IF(AW110=regle!$H$12,regle!$H$11,
IF(AW110=regle!$I$12,regle!$I$11,""))))))))))</f>
        <v>EC4</v>
      </c>
      <c r="AD110" t="str">
        <f>IF(NOT($A110),"",
IF(AX110=-2,regle!$J$11,
IF(AX110=regle!$B$12,regle!$B$11,
IF(AX110=regle!$C$12,regle!$C$11,
IF(AX110=regle!$D$12,regle!$D$11,
IF(AX110=regle!$E$12,regle!$E$11,
IF(AX110=regle!$F$12,regle!$F$11,
IF(AX110=regle!$G$12,regle!$G$11,
IF(AX110=regle!$H$12,regle!$H$11,
IF(AX110=regle!$I$12,regle!$I$11,""))))))))))</f>
        <v/>
      </c>
      <c r="AE110" s="14">
        <f>IF($A110,$M110*(IF(U110=regle!$B$11,regle!$B$23,IF(U110=regle!$C$11,regle!$C$23,IF(U110=regle!$D$11,regle!$D$23,IF(U110=regle!$E$11,regle!$E$23,IF(U110=regle!$F$11,regle!$F$23,IF(U110=regle!$G$11,regle!$G$23,IF(U110=regle!$H$11,regle!$H$23,IF(U110=regle!$I$11,regle!$I$23,IF(U110=regle!$J$11,regle!$J$23,0)))))))))))</f>
        <v>0</v>
      </c>
      <c r="AF110" s="14">
        <f>IF($A110,$M110*(IF(V110=regle!$B$11,regle!$B$23,IF(V110=regle!$C$11,regle!$C$23,IF(V110=regle!$D$11,regle!$D$23,IF(V110=regle!$E$11,regle!$E$23,IF(V110=regle!$F$11,regle!$F$23,IF(V110=regle!$G$11,regle!$G$23,IF(V110=regle!$H$11,regle!$H$23,IF(V110=regle!$I$11,regle!$I$23,IF(V110=regle!$J$11,regle!$J$23,0)))))))))))</f>
        <v>0</v>
      </c>
      <c r="AG110" s="14">
        <f>IF($A110,$M110*(IF(W110=regle!$B$11,regle!$B$23,IF(W110=regle!$C$11,regle!$C$23,IF(W110=regle!$D$11,regle!$D$23,IF(W110=regle!$E$11,regle!$E$23,IF(W110=regle!$F$11,regle!$F$23,IF(W110=regle!$G$11,regle!$G$23,IF(W110=regle!$H$11,regle!$H$23,IF(W110=regle!$I$11,regle!$I$23,IF(W110=regle!$J$11,regle!$J$23,0)))))))))))</f>
        <v>0</v>
      </c>
      <c r="AH110" s="14">
        <f>IF($A110,$M110*(IF(X110=regle!$B$11,regle!$B$23,IF(X110=regle!$C$11,regle!$C$23,IF(X110=regle!$D$11,regle!$D$23,IF(X110=regle!$E$11,regle!$E$23,IF(X110=regle!$F$11,regle!$F$23,IF(X110=regle!$G$11,regle!$G$23,IF(X110=regle!$H$11,regle!$H$23,IF(X110=regle!$I$11,regle!$I$23,IF(X110=regle!$J$11,regle!$J$23,0)))))))))))</f>
        <v>1032.768</v>
      </c>
      <c r="AI110" s="14">
        <f>IF($A110,$M110*(IF(Y110=regle!$B$11,regle!$B$23,IF(Y110=regle!$C$11,regle!$C$23,IF(Y110=regle!$D$11,regle!$D$23,IF(Y110=regle!$E$11,regle!$E$23,IF(Y110=regle!$F$11,regle!$F$23,IF(Y110=regle!$G$11,regle!$G$23,IF(Y110=regle!$H$11,regle!$H$23,IF(Y110=regle!$I$11,regle!$I$23,IF(Y110=regle!$J$11,regle!$J$23,0)))))))))))</f>
        <v>0</v>
      </c>
      <c r="AJ110" s="14">
        <f>IF($A110,$M110*(IF(Z110=regle!$B$11,regle!$B$23,IF(Z110=regle!$C$11,regle!$C$23,IF(Z110=regle!$D$11,regle!$D$23,IF(Z110=regle!$E$11,regle!$E$23,IF(Z110=regle!$F$11,regle!$F$23,IF(Z110=regle!$G$11,regle!$G$23,IF(Z110=regle!$H$11,regle!$H$23,IF(Z110=regle!$I$11,regle!$I$23,IF(Z110=regle!$J$11,regle!$J$23,0)))))))))))</f>
        <v>0</v>
      </c>
      <c r="AK110" s="14">
        <f>IF($A110,$M110*(IF(AA110=regle!$B$11,regle!$B$23,IF(AA110=regle!$C$11,regle!$C$23,IF(AA110=regle!$D$11,regle!$D$23,IF(AA110=regle!$E$11,regle!$E$23,IF(AA110=regle!$F$11,regle!$F$23,IF(AA110=regle!$G$11,regle!$G$23,IF(AA110=regle!$H$11,regle!$H$23,IF(AA110=regle!$I$11,regle!$I$23,IF(AA110=regle!$J$11,regle!$J$23,0)))))))))))</f>
        <v>0</v>
      </c>
      <c r="AL110" s="14">
        <f>IF($A110,$M110*(IF(AB110=regle!$B$11,regle!$B$23,IF(AB110=regle!$C$11,regle!$C$23,IF(AB110=regle!$D$11,regle!$D$23,IF(AB110=regle!$E$11,regle!$E$23,IF(AB110=regle!$F$11,regle!$F$23,IF(AB110=regle!$G$11,regle!$G$23,IF(AB110=regle!$H$11,regle!$H$23,IF(AB110=regle!$I$11,regle!$I$23,IF(AB110=regle!$J$11,regle!$J$23,0)))))))))))</f>
        <v>0</v>
      </c>
      <c r="AM110" s="14">
        <f>IF($A110,$M110*(IF(AC110=regle!$B$11,regle!$B$23,IF(AC110=regle!$C$11,regle!$C$23,IF(AC110=regle!$D$11,regle!$D$23,IF(AC110=regle!$E$11,regle!$E$23,IF(AC110=regle!$F$11,regle!$F$23,IF(AC110=regle!$G$11,regle!$G$23,IF(AC110=regle!$H$11,regle!$H$23,IF(AC110=regle!$I$11,regle!$I$23,IF(AC110=regle!$J$11,regle!$J$23,0)))))))))))</f>
        <v>938.88000000000011</v>
      </c>
      <c r="AN110" s="14">
        <f>IF($A110,$M110*(IF(AD110=regle!$B$11,regle!$B$23,IF(AD110=regle!$C$11,regle!$C$23,IF(AD110=regle!$D$11,regle!$D$23,IF(AD110=regle!$E$11,regle!$E$23,IF(AD110=regle!$F$11,regle!$F$23,IF(AD110=regle!$G$11,regle!$G$23,IF(AD110=regle!$H$11,regle!$H$23,IF(AD110=regle!$I$11,regle!$I$23,IF(AD110=regle!$J$11,regle!$J$23,0)))))))))))</f>
        <v>0</v>
      </c>
      <c r="AO110">
        <f>IF(AO$1=$AO$1,IF(regle!B$2-$Q110&gt;=regle!$J$12,-2,IF($S110,IF(regle!$B$2-$Q110&gt;=2,0,-1),regle!B$2-$Q110)),IF(AN110+1&gt;=regle!$J$12,-2,AN110+1))</f>
        <v>20</v>
      </c>
      <c r="AP110">
        <f>IF(AP$1=$AO$1,IF(regle!C$2-$Q110&gt;=regle!$J$12,-2,IF($S110,IF(regle!$B$2-$Q110&gt;=2,0,-1),regle!C$2-$Q110)),IF(AO110+1&gt;=regle!$J$12,-2,AO110+1))</f>
        <v>21</v>
      </c>
      <c r="AQ110">
        <f>IF(AQ$1=$AO$1,IF(regle!D$2-$Q110&gt;=regle!$J$12,-2,IF($S110,IF(regle!$B$2-$Q110&gt;=2,0,-1),regle!D$2-$Q110)),IF(AP110+1&gt;=regle!$J$12,-2,AP110+1))</f>
        <v>22</v>
      </c>
      <c r="AR110">
        <f>IF(AR$1=$AO$1,IF(regle!E$2-$Q110&gt;=regle!$J$12,-2,IF($S110,IF(regle!$B$2-$Q110&gt;=2,0,-1),regle!E$2-$Q110)),IF(AQ110+1&gt;=regle!$J$12,-2,AQ110+1))</f>
        <v>23</v>
      </c>
      <c r="AS110">
        <f>IF(AS$1=$AO$1,IF(regle!F$2-$Q110&gt;=regle!$J$12,-2,IF($S110,IF(regle!$B$2-$Q110&gt;=2,0,-1),regle!F$2-$Q110)),IF(AR110+1&gt;=regle!$J$12,-2,AR110+1))</f>
        <v>24</v>
      </c>
      <c r="AT110">
        <f>IF(AT$1=$AO$1,IF(regle!G$2-$Q110&gt;=regle!$J$12,-2,IF($S110,IF(regle!$B$2-$Q110&gt;=2,0,-1),regle!G$2-$Q110)),IF(AS110+1&gt;=regle!$J$12,-2,AS110+1))</f>
        <v>25</v>
      </c>
      <c r="AU110">
        <f>IF(AU$1=$AO$1,IF(regle!H$2-$Q110&gt;=regle!$J$12,-2,IF($S110,IF(regle!$B$2-$Q110&gt;=2,0,-1),regle!H$2-$Q110)),IF(AT110+1&gt;=regle!$J$12,-2,AT110+1))</f>
        <v>26</v>
      </c>
      <c r="AV110">
        <f>IF(AV$1=$AO$1,IF(regle!I$2-$Q110&gt;=regle!$J$12,-2,IF($S110,IF(regle!$B$2-$Q110&gt;=2,0,-1),regle!I$2-$Q110)),IF(AU110+1&gt;=regle!$J$12,-2,AU110+1))</f>
        <v>27</v>
      </c>
      <c r="AW110">
        <f>IF(AW$1=$AO$1,IF(regle!J$2-$Q110&gt;=regle!$J$12,-2,IF($S110,IF(regle!$B$2-$Q110&gt;=2,0,-1),regle!J$2-$Q110)),IF(AV110+1&gt;=regle!$J$12,-2,AV110+1))</f>
        <v>28</v>
      </c>
      <c r="AX110">
        <f>IF(AX$1=$AO$1,IF(regle!K$2-$Q110&gt;=regle!$J$12,-2,IF($S110,IF(regle!$B$2-$Q110&gt;=2,0,-1),regle!K$2-$Q110)),IF(AW110+1&gt;=regle!$J$12,-2,AW110+1))</f>
        <v>29</v>
      </c>
    </row>
    <row r="111" spans="1:50" x14ac:dyDescent="0.25">
      <c r="A111" t="b">
        <f>AND(modif0[[#This Row],[cdstr]]&lt;&gt;0,OR(regle!$H$27=FALSE,modif0[[#This Row],[essnc]]="PM"))</f>
        <v>1</v>
      </c>
      <c r="B111">
        <f>ROW(objet!A137)</f>
        <v>137</v>
      </c>
      <c r="C111" s="10" t="str">
        <f>objet!D137</f>
        <v>2020000B1144</v>
      </c>
      <c r="D111" t="str">
        <f>LEFT(modif0[[#This Row],[cdstr]],3)</f>
        <v>202</v>
      </c>
      <c r="E111" s="10" t="str">
        <f>objet!G137</f>
        <v>HOSTENS</v>
      </c>
      <c r="F111">
        <f>LEN(modif0[[#This Row],[l_dt]])</f>
        <v>11</v>
      </c>
      <c r="G111" s="10" t="str">
        <f>objet!H137</f>
        <v>LES CAZALAS</v>
      </c>
      <c r="H111" s="10" t="str">
        <f>objet!C137</f>
        <v>B1144</v>
      </c>
      <c r="I111" t="str">
        <f>IF(ISNUMBER(VALUE(RIGHT(LEFT(modif0[[#This Row],[idntfn]],2),1))),_xlfn.CONCAT(0,LEFT(modif0[[#This Row],[idntfn]],1)),LEFT(modif0[[#This Row],[idntfn]],2))</f>
        <v>0B</v>
      </c>
      <c r="J111">
        <f>VALUE(LEFT(RIGHT(modif0[[#This Row],[idntfn]],LEN(modif0[[#This Row],[idntfn]])-IF(LEFT(modif0[[#This Row],[sctn]],1)="0",1,2)),LEN(modif0[[#This Row],[idntfn]])-IF(LEFT(modif0[[#This Row],[sctn]],1)="0",1,2)-LEN(modif0[[#This Row],[lttr]])))</f>
        <v>1144</v>
      </c>
      <c r="K111" t="str">
        <f>IF(ISNUMBER(VALUE(RIGHT(modif0[[#This Row],[idntfn]],1))),"",IF(ISNUMBER(VALUE(LEFT(RIGHT(modif0[[#This Row],[idntfn]],2),1))),RIGHT(modif0[[#This Row],[idntfn]],1),RIGHT(modif0[[#This Row],[idntfn]],2)))</f>
        <v/>
      </c>
      <c r="L111" s="10">
        <f>objet!I137</f>
        <v>14510</v>
      </c>
      <c r="M111" s="11">
        <f>modif0[[#This Row],[srfc]]/10000</f>
        <v>1.4510000000000001</v>
      </c>
      <c r="N111" s="10" t="str">
        <f>objet!Z137</f>
        <v>PM</v>
      </c>
      <c r="O111" s="10" t="str">
        <f>objet!AA137</f>
        <v>PLA2004</v>
      </c>
      <c r="P111" t="str">
        <f>IF(ISNUMBER(modif0[[#This Row],[trvx]]),"",LEFT(modif0[[#This Row],[trvx]],LEN(modif0[[#This Row],[trvx]])-4))</f>
        <v>PLA</v>
      </c>
      <c r="Q111">
        <f>VALUE(RIGHT(modif0[[#This Row],[trvx]],4))</f>
        <v>2004</v>
      </c>
      <c r="R111" t="str">
        <f>_xlfn.CONCAT(modif0[[#This Row],[tp]],"-",modif0[[#This Row],[essnc]],"_",modif0[[#This Row],[anns]])</f>
        <v>PLA-PM_2004</v>
      </c>
      <c r="S111" t="b">
        <f>modif0[[#This Row],[tp]]="CR"</f>
        <v>0</v>
      </c>
      <c r="T111">
        <v>40</v>
      </c>
      <c r="U111" t="str">
        <f>IF(NOT($A111),"",
IF(AO111=-2,regle!$J$11,
IF(AO111=regle!$B$12,regle!$B$11,
IF(AO111=regle!$C$12,regle!$C$11,
IF(AO111=regle!$D$12,regle!$D$11,
IF(AO111=regle!$E$12,regle!$E$11,
IF(AO111=regle!$F$12,regle!$F$11,
IF(AO111=regle!$G$12,regle!$G$11,
IF(AO111=regle!$H$12,regle!$H$11,
IF(AO111=regle!$I$12,regle!$I$11,""))))))))))</f>
        <v/>
      </c>
      <c r="V111" t="str">
        <f>IF(NOT($A111),"",
IF(AP111=-2,regle!$J$11,
IF(AP111=regle!$B$12,regle!$B$11,
IF(AP111=regle!$C$12,regle!$C$11,
IF(AP111=regle!$D$12,regle!$D$11,
IF(AP111=regle!$E$12,regle!$E$11,
IF(AP111=regle!$F$12,regle!$F$11,
IF(AP111=regle!$G$12,regle!$G$11,
IF(AP111=regle!$H$12,regle!$H$11,
IF(AP111=regle!$I$12,regle!$I$11,""))))))))))</f>
        <v/>
      </c>
      <c r="W111" t="str">
        <f>IF(NOT($A111),"",
IF(AQ111=-2,regle!$J$11,
IF(AQ111=regle!$B$12,regle!$B$11,
IF(AQ111=regle!$C$12,regle!$C$11,
IF(AQ111=regle!$D$12,regle!$D$11,
IF(AQ111=regle!$E$12,regle!$E$11,
IF(AQ111=regle!$F$12,regle!$F$11,
IF(AQ111=regle!$G$12,regle!$G$11,
IF(AQ111=regle!$H$12,regle!$H$11,
IF(AQ111=regle!$I$12,regle!$I$11,""))))))))))</f>
        <v/>
      </c>
      <c r="X111" t="str">
        <f>IF(NOT($A111),"",
IF(AR111=-2,regle!$J$11,
IF(AR111=regle!$B$12,regle!$B$11,
IF(AR111=regle!$C$12,regle!$C$11,
IF(AR111=regle!$D$12,regle!$D$11,
IF(AR111=regle!$E$12,regle!$E$11,
IF(AR111=regle!$F$12,regle!$F$11,
IF(AR111=regle!$G$12,regle!$G$11,
IF(AR111=regle!$H$12,regle!$H$11,
IF(AR111=regle!$I$12,regle!$I$11,""))))))))))</f>
        <v>EC3</v>
      </c>
      <c r="Y111" t="str">
        <f>IF(NOT($A111),"",
IF(AS111=-2,regle!$J$11,
IF(AS111=regle!$B$12,regle!$B$11,
IF(AS111=regle!$C$12,regle!$C$11,
IF(AS111=regle!$D$12,regle!$D$11,
IF(AS111=regle!$E$12,regle!$E$11,
IF(AS111=regle!$F$12,regle!$F$11,
IF(AS111=regle!$G$12,regle!$G$11,
IF(AS111=regle!$H$12,regle!$H$11,
IF(AS111=regle!$I$12,regle!$I$11,""))))))))))</f>
        <v/>
      </c>
      <c r="Z111" t="str">
        <f>IF(NOT($A111),"",
IF(AT111=-2,regle!$J$11,
IF(AT111=regle!$B$12,regle!$B$11,
IF(AT111=regle!$C$12,regle!$C$11,
IF(AT111=regle!$D$12,regle!$D$11,
IF(AT111=regle!$E$12,regle!$E$11,
IF(AT111=regle!$F$12,regle!$F$11,
IF(AT111=regle!$G$12,regle!$G$11,
IF(AT111=regle!$H$12,regle!$H$11,
IF(AT111=regle!$I$12,regle!$I$11,""))))))))))</f>
        <v/>
      </c>
      <c r="AA111" t="str">
        <f>IF(NOT($A111),"",
IF(AU111=-2,regle!$J$11,
IF(AU111=regle!$B$12,regle!$B$11,
IF(AU111=regle!$C$12,regle!$C$11,
IF(AU111=regle!$D$12,regle!$D$11,
IF(AU111=regle!$E$12,regle!$E$11,
IF(AU111=regle!$F$12,regle!$F$11,
IF(AU111=regle!$G$12,regle!$G$11,
IF(AU111=regle!$H$12,regle!$H$11,
IF(AU111=regle!$I$12,regle!$I$11,""))))))))))</f>
        <v/>
      </c>
      <c r="AB111" t="str">
        <f>IF(NOT($A111),"",
IF(AV111=-2,regle!$J$11,
IF(AV111=regle!$B$12,regle!$B$11,
IF(AV111=regle!$C$12,regle!$C$11,
IF(AV111=regle!$D$12,regle!$D$11,
IF(AV111=regle!$E$12,regle!$E$11,
IF(AV111=regle!$F$12,regle!$F$11,
IF(AV111=regle!$G$12,regle!$G$11,
IF(AV111=regle!$H$12,regle!$H$11,
IF(AV111=regle!$I$12,regle!$I$11,""))))))))))</f>
        <v/>
      </c>
      <c r="AC111" t="str">
        <f>IF(NOT($A111),"",
IF(AW111=-2,regle!$J$11,
IF(AW111=regle!$B$12,regle!$B$11,
IF(AW111=regle!$C$12,regle!$C$11,
IF(AW111=regle!$D$12,regle!$D$11,
IF(AW111=regle!$E$12,regle!$E$11,
IF(AW111=regle!$F$12,regle!$F$11,
IF(AW111=regle!$G$12,regle!$G$11,
IF(AW111=regle!$H$12,regle!$H$11,
IF(AW111=regle!$I$12,regle!$I$11,""))))))))))</f>
        <v>EC4</v>
      </c>
      <c r="AD111" t="str">
        <f>IF(NOT($A111),"",
IF(AX111=-2,regle!$J$11,
IF(AX111=regle!$B$12,regle!$B$11,
IF(AX111=regle!$C$12,regle!$C$11,
IF(AX111=regle!$D$12,regle!$D$11,
IF(AX111=regle!$E$12,regle!$E$11,
IF(AX111=regle!$F$12,regle!$F$11,
IF(AX111=regle!$G$12,regle!$G$11,
IF(AX111=regle!$H$12,regle!$H$11,
IF(AX111=regle!$I$12,regle!$I$11,""))))))))))</f>
        <v/>
      </c>
      <c r="AE111" s="14">
        <f>IF($A111,$M111*(IF(U111=regle!$B$11,regle!$B$23,IF(U111=regle!$C$11,regle!$C$23,IF(U111=regle!$D$11,regle!$D$23,IF(U111=regle!$E$11,regle!$E$23,IF(U111=regle!$F$11,regle!$F$23,IF(U111=regle!$G$11,regle!$G$23,IF(U111=regle!$H$11,regle!$H$23,IF(U111=regle!$I$11,regle!$I$23,IF(U111=regle!$J$11,regle!$J$23,0)))))))))))</f>
        <v>0</v>
      </c>
      <c r="AF111" s="14">
        <f>IF($A111,$M111*(IF(V111=regle!$B$11,regle!$B$23,IF(V111=regle!$C$11,regle!$C$23,IF(V111=regle!$D$11,regle!$D$23,IF(V111=regle!$E$11,regle!$E$23,IF(V111=regle!$F$11,regle!$F$23,IF(V111=regle!$G$11,regle!$G$23,IF(V111=regle!$H$11,regle!$H$23,IF(V111=regle!$I$11,regle!$I$23,IF(V111=regle!$J$11,regle!$J$23,0)))))))))))</f>
        <v>0</v>
      </c>
      <c r="AG111" s="14">
        <f>IF($A111,$M111*(IF(W111=regle!$B$11,regle!$B$23,IF(W111=regle!$C$11,regle!$C$23,IF(W111=regle!$D$11,regle!$D$23,IF(W111=regle!$E$11,regle!$E$23,IF(W111=regle!$F$11,regle!$F$23,IF(W111=regle!$G$11,regle!$G$23,IF(W111=regle!$H$11,regle!$H$23,IF(W111=regle!$I$11,regle!$I$23,IF(W111=regle!$J$11,regle!$J$23,0)))))))))))</f>
        <v>0</v>
      </c>
      <c r="AH111" s="14">
        <f>IF($A111,$M111*(IF(X111=regle!$B$11,regle!$B$23,IF(X111=regle!$C$11,regle!$C$23,IF(X111=regle!$D$11,regle!$D$23,IF(X111=regle!$E$11,regle!$E$23,IF(X111=regle!$F$11,regle!$F$23,IF(X111=regle!$G$11,regle!$G$23,IF(X111=regle!$H$11,regle!$H$23,IF(X111=regle!$I$11,regle!$I$23,IF(X111=regle!$J$11,regle!$J$23,0)))))))))))</f>
        <v>2043.008</v>
      </c>
      <c r="AI111" s="14">
        <f>IF($A111,$M111*(IF(Y111=regle!$B$11,regle!$B$23,IF(Y111=regle!$C$11,regle!$C$23,IF(Y111=regle!$D$11,regle!$D$23,IF(Y111=regle!$E$11,regle!$E$23,IF(Y111=regle!$F$11,regle!$F$23,IF(Y111=regle!$G$11,regle!$G$23,IF(Y111=regle!$H$11,regle!$H$23,IF(Y111=regle!$I$11,regle!$I$23,IF(Y111=regle!$J$11,regle!$J$23,0)))))))))))</f>
        <v>0</v>
      </c>
      <c r="AJ111" s="14">
        <f>IF($A111,$M111*(IF(Z111=regle!$B$11,regle!$B$23,IF(Z111=regle!$C$11,regle!$C$23,IF(Z111=regle!$D$11,regle!$D$23,IF(Z111=regle!$E$11,regle!$E$23,IF(Z111=regle!$F$11,regle!$F$23,IF(Z111=regle!$G$11,regle!$G$23,IF(Z111=regle!$H$11,regle!$H$23,IF(Z111=regle!$I$11,regle!$I$23,IF(Z111=regle!$J$11,regle!$J$23,0)))))))))))</f>
        <v>0</v>
      </c>
      <c r="AK111" s="14">
        <f>IF($A111,$M111*(IF(AA111=regle!$B$11,regle!$B$23,IF(AA111=regle!$C$11,regle!$C$23,IF(AA111=regle!$D$11,regle!$D$23,IF(AA111=regle!$E$11,regle!$E$23,IF(AA111=regle!$F$11,regle!$F$23,IF(AA111=regle!$G$11,regle!$G$23,IF(AA111=regle!$H$11,regle!$H$23,IF(AA111=regle!$I$11,regle!$I$23,IF(AA111=regle!$J$11,regle!$J$23,0)))))))))))</f>
        <v>0</v>
      </c>
      <c r="AL111" s="14">
        <f>IF($A111,$M111*(IF(AB111=regle!$B$11,regle!$B$23,IF(AB111=regle!$C$11,regle!$C$23,IF(AB111=regle!$D$11,regle!$D$23,IF(AB111=regle!$E$11,regle!$E$23,IF(AB111=regle!$F$11,regle!$F$23,IF(AB111=regle!$G$11,regle!$G$23,IF(AB111=regle!$H$11,regle!$H$23,IF(AB111=regle!$I$11,regle!$I$23,IF(AB111=regle!$J$11,regle!$J$23,0)))))))))))</f>
        <v>0</v>
      </c>
      <c r="AM111" s="14">
        <f>IF($A111,$M111*(IF(AC111=regle!$B$11,regle!$B$23,IF(AC111=regle!$C$11,regle!$C$23,IF(AC111=regle!$D$11,regle!$D$23,IF(AC111=regle!$E$11,regle!$E$23,IF(AC111=regle!$F$11,regle!$F$23,IF(AC111=regle!$G$11,regle!$G$23,IF(AC111=regle!$H$11,regle!$H$23,IF(AC111=regle!$I$11,regle!$I$23,IF(AC111=regle!$J$11,regle!$J$23,0)))))))))))</f>
        <v>1857.2800000000002</v>
      </c>
      <c r="AN111" s="14">
        <f>IF($A111,$M111*(IF(AD111=regle!$B$11,regle!$B$23,IF(AD111=regle!$C$11,regle!$C$23,IF(AD111=regle!$D$11,regle!$D$23,IF(AD111=regle!$E$11,regle!$E$23,IF(AD111=regle!$F$11,regle!$F$23,IF(AD111=regle!$G$11,regle!$G$23,IF(AD111=regle!$H$11,regle!$H$23,IF(AD111=regle!$I$11,regle!$I$23,IF(AD111=regle!$J$11,regle!$J$23,0)))))))))))</f>
        <v>0</v>
      </c>
      <c r="AO111">
        <f>IF(AO$1=$AO$1,IF(regle!B$2-$Q111&gt;=regle!$J$12,-2,IF($S111,IF(regle!$B$2-$Q111&gt;=2,0,-1),regle!B$2-$Q111)),IF(AN111+1&gt;=regle!$J$12,-2,AN111+1))</f>
        <v>20</v>
      </c>
      <c r="AP111">
        <f>IF(AP$1=$AO$1,IF(regle!C$2-$Q111&gt;=regle!$J$12,-2,IF($S111,IF(regle!$B$2-$Q111&gt;=2,0,-1),regle!C$2-$Q111)),IF(AO111+1&gt;=regle!$J$12,-2,AO111+1))</f>
        <v>21</v>
      </c>
      <c r="AQ111">
        <f>IF(AQ$1=$AO$1,IF(regle!D$2-$Q111&gt;=regle!$J$12,-2,IF($S111,IF(regle!$B$2-$Q111&gt;=2,0,-1),regle!D$2-$Q111)),IF(AP111+1&gt;=regle!$J$12,-2,AP111+1))</f>
        <v>22</v>
      </c>
      <c r="AR111">
        <f>IF(AR$1=$AO$1,IF(regle!E$2-$Q111&gt;=regle!$J$12,-2,IF($S111,IF(regle!$B$2-$Q111&gt;=2,0,-1),regle!E$2-$Q111)),IF(AQ111+1&gt;=regle!$J$12,-2,AQ111+1))</f>
        <v>23</v>
      </c>
      <c r="AS111">
        <f>IF(AS$1=$AO$1,IF(regle!F$2-$Q111&gt;=regle!$J$12,-2,IF($S111,IF(regle!$B$2-$Q111&gt;=2,0,-1),regle!F$2-$Q111)),IF(AR111+1&gt;=regle!$J$12,-2,AR111+1))</f>
        <v>24</v>
      </c>
      <c r="AT111">
        <f>IF(AT$1=$AO$1,IF(regle!G$2-$Q111&gt;=regle!$J$12,-2,IF($S111,IF(regle!$B$2-$Q111&gt;=2,0,-1),regle!G$2-$Q111)),IF(AS111+1&gt;=regle!$J$12,-2,AS111+1))</f>
        <v>25</v>
      </c>
      <c r="AU111">
        <f>IF(AU$1=$AO$1,IF(regle!H$2-$Q111&gt;=regle!$J$12,-2,IF($S111,IF(regle!$B$2-$Q111&gt;=2,0,-1),regle!H$2-$Q111)),IF(AT111+1&gt;=regle!$J$12,-2,AT111+1))</f>
        <v>26</v>
      </c>
      <c r="AV111">
        <f>IF(AV$1=$AO$1,IF(regle!I$2-$Q111&gt;=regle!$J$12,-2,IF($S111,IF(regle!$B$2-$Q111&gt;=2,0,-1),regle!I$2-$Q111)),IF(AU111+1&gt;=regle!$J$12,-2,AU111+1))</f>
        <v>27</v>
      </c>
      <c r="AW111">
        <f>IF(AW$1=$AO$1,IF(regle!J$2-$Q111&gt;=regle!$J$12,-2,IF($S111,IF(regle!$B$2-$Q111&gt;=2,0,-1),regle!J$2-$Q111)),IF(AV111+1&gt;=regle!$J$12,-2,AV111+1))</f>
        <v>28</v>
      </c>
      <c r="AX111">
        <f>IF(AX$1=$AO$1,IF(regle!K$2-$Q111&gt;=regle!$J$12,-2,IF($S111,IF(regle!$B$2-$Q111&gt;=2,0,-1),regle!K$2-$Q111)),IF(AW111+1&gt;=regle!$J$12,-2,AW111+1))</f>
        <v>29</v>
      </c>
    </row>
    <row r="112" spans="1:50" x14ac:dyDescent="0.25">
      <c r="A112" t="b">
        <f>AND(modif0[[#This Row],[cdstr]]&lt;&gt;0,OR(regle!$H$27=FALSE,modif0[[#This Row],[essnc]]="PM"))</f>
        <v>1</v>
      </c>
      <c r="B112">
        <f>ROW(objet!A138)</f>
        <v>138</v>
      </c>
      <c r="C112" s="10" t="str">
        <f>objet!D138</f>
        <v>2020000B1145</v>
      </c>
      <c r="D112" t="str">
        <f>LEFT(modif0[[#This Row],[cdstr]],3)</f>
        <v>202</v>
      </c>
      <c r="E112" s="10" t="str">
        <f>objet!G138</f>
        <v>HOSTENS</v>
      </c>
      <c r="F112">
        <f>LEN(modif0[[#This Row],[l_dt]])</f>
        <v>11</v>
      </c>
      <c r="G112" s="10" t="str">
        <f>objet!H138</f>
        <v>LES CAZALAS</v>
      </c>
      <c r="H112" s="10" t="str">
        <f>objet!C138</f>
        <v>B1145j</v>
      </c>
      <c r="I112" t="str">
        <f>IF(ISNUMBER(VALUE(RIGHT(LEFT(modif0[[#This Row],[idntfn]],2),1))),_xlfn.CONCAT(0,LEFT(modif0[[#This Row],[idntfn]],1)),LEFT(modif0[[#This Row],[idntfn]],2))</f>
        <v>0B</v>
      </c>
      <c r="J112">
        <f>VALUE(LEFT(RIGHT(modif0[[#This Row],[idntfn]],LEN(modif0[[#This Row],[idntfn]])-IF(LEFT(modif0[[#This Row],[sctn]],1)="0",1,2)),LEN(modif0[[#This Row],[idntfn]])-IF(LEFT(modif0[[#This Row],[sctn]],1)="0",1,2)-LEN(modif0[[#This Row],[lttr]])))</f>
        <v>1145</v>
      </c>
      <c r="K112" t="str">
        <f>IF(ISNUMBER(VALUE(RIGHT(modif0[[#This Row],[idntfn]],1))),"",IF(ISNUMBER(VALUE(LEFT(RIGHT(modif0[[#This Row],[idntfn]],2),1))),RIGHT(modif0[[#This Row],[idntfn]],1),RIGHT(modif0[[#This Row],[idntfn]],2)))</f>
        <v>j</v>
      </c>
      <c r="L112" s="10">
        <f>objet!I138</f>
        <v>11646</v>
      </c>
      <c r="M112" s="11">
        <f>modif0[[#This Row],[srfc]]/10000</f>
        <v>1.1646000000000001</v>
      </c>
      <c r="N112" s="10" t="str">
        <f>objet!Z138</f>
        <v>PM</v>
      </c>
      <c r="O112" s="10" t="str">
        <f>objet!AA138</f>
        <v>SN2010</v>
      </c>
      <c r="P112" t="str">
        <f>IF(ISNUMBER(modif0[[#This Row],[trvx]]),"",LEFT(modif0[[#This Row],[trvx]],LEN(modif0[[#This Row],[trvx]])-4))</f>
        <v>SN</v>
      </c>
      <c r="Q112">
        <f>VALUE(RIGHT(modif0[[#This Row],[trvx]],4))</f>
        <v>2010</v>
      </c>
      <c r="R112" t="str">
        <f>_xlfn.CONCAT(modif0[[#This Row],[tp]],"-",modif0[[#This Row],[essnc]],"_",modif0[[#This Row],[anns]])</f>
        <v>SN-PM_2010</v>
      </c>
      <c r="S112" t="b">
        <f>modif0[[#This Row],[tp]]="CR"</f>
        <v>0</v>
      </c>
      <c r="T112">
        <v>40</v>
      </c>
      <c r="U112" t="str">
        <f>IF(NOT($A112),"",
IF(AO112=-2,regle!$J$11,
IF(AO112=regle!$B$12,regle!$B$11,
IF(AO112=regle!$C$12,regle!$C$11,
IF(AO112=regle!$D$12,regle!$D$11,
IF(AO112=regle!$E$12,regle!$E$11,
IF(AO112=regle!$F$12,regle!$F$11,
IF(AO112=regle!$G$12,regle!$G$11,
IF(AO112=regle!$H$12,regle!$H$11,
IF(AO112=regle!$I$12,regle!$I$11,""))))))))))</f>
        <v/>
      </c>
      <c r="V112" t="str">
        <f>IF(NOT($A112),"",
IF(AP112=-2,regle!$J$11,
IF(AP112=regle!$B$12,regle!$B$11,
IF(AP112=regle!$C$12,regle!$C$11,
IF(AP112=regle!$D$12,regle!$D$11,
IF(AP112=regle!$E$12,regle!$E$11,
IF(AP112=regle!$F$12,regle!$F$11,
IF(AP112=regle!$G$12,regle!$G$11,
IF(AP112=regle!$H$12,regle!$H$11,
IF(AP112=regle!$I$12,regle!$I$11,""))))))))))</f>
        <v/>
      </c>
      <c r="W112" t="str">
        <f>IF(NOT($A112),"",
IF(AQ112=-2,regle!$J$11,
IF(AQ112=regle!$B$12,regle!$B$11,
IF(AQ112=regle!$C$12,regle!$C$11,
IF(AQ112=regle!$D$12,regle!$D$11,
IF(AQ112=regle!$E$12,regle!$E$11,
IF(AQ112=regle!$F$12,regle!$F$11,
IF(AQ112=regle!$G$12,regle!$G$11,
IF(AQ112=regle!$H$12,regle!$H$11,
IF(AQ112=regle!$I$12,regle!$I$11,""))))))))))</f>
        <v/>
      </c>
      <c r="X112" t="str">
        <f>IF(NOT($A112),"",
IF(AR112=-2,regle!$J$11,
IF(AR112=regle!$B$12,regle!$B$11,
IF(AR112=regle!$C$12,regle!$C$11,
IF(AR112=regle!$D$12,regle!$D$11,
IF(AR112=regle!$E$12,regle!$E$11,
IF(AR112=regle!$F$12,regle!$F$11,
IF(AR112=regle!$G$12,regle!$G$11,
IF(AR112=regle!$H$12,regle!$H$11,
IF(AR112=regle!$I$12,regle!$I$11,""))))))))))</f>
        <v/>
      </c>
      <c r="Y112" t="str">
        <f>IF(NOT($A112),"",
IF(AS112=-2,regle!$J$11,
IF(AS112=regle!$B$12,regle!$B$11,
IF(AS112=regle!$C$12,regle!$C$11,
IF(AS112=regle!$D$12,regle!$D$11,
IF(AS112=regle!$E$12,regle!$E$11,
IF(AS112=regle!$F$12,regle!$F$11,
IF(AS112=regle!$G$12,regle!$G$11,
IF(AS112=regle!$H$12,regle!$H$11,
IF(AS112=regle!$I$12,regle!$I$11,""))))))))))</f>
        <v>EC2</v>
      </c>
      <c r="Z112" t="str">
        <f>IF(NOT($A112),"",
IF(AT112=-2,regle!$J$11,
IF(AT112=regle!$B$12,regle!$B$11,
IF(AT112=regle!$C$12,regle!$C$11,
IF(AT112=regle!$D$12,regle!$D$11,
IF(AT112=regle!$E$12,regle!$E$11,
IF(AT112=regle!$F$12,regle!$F$11,
IF(AT112=regle!$G$12,regle!$G$11,
IF(AT112=regle!$H$12,regle!$H$11,
IF(AT112=regle!$I$12,regle!$I$11,""))))))))))</f>
        <v/>
      </c>
      <c r="AA112" t="str">
        <f>IF(NOT($A112),"",
IF(AU112=-2,regle!$J$11,
IF(AU112=regle!$B$12,regle!$B$11,
IF(AU112=regle!$C$12,regle!$C$11,
IF(AU112=regle!$D$12,regle!$D$11,
IF(AU112=regle!$E$12,regle!$E$11,
IF(AU112=regle!$F$12,regle!$F$11,
IF(AU112=regle!$G$12,regle!$G$11,
IF(AU112=regle!$H$12,regle!$H$11,
IF(AU112=regle!$I$12,regle!$I$11,""))))))))))</f>
        <v/>
      </c>
      <c r="AB112" t="str">
        <f>IF(NOT($A112),"",
IF(AV112=-2,regle!$J$11,
IF(AV112=regle!$B$12,regle!$B$11,
IF(AV112=regle!$C$12,regle!$C$11,
IF(AV112=regle!$D$12,regle!$D$11,
IF(AV112=regle!$E$12,regle!$E$11,
IF(AV112=regle!$F$12,regle!$F$11,
IF(AV112=regle!$G$12,regle!$G$11,
IF(AV112=regle!$H$12,regle!$H$11,
IF(AV112=regle!$I$12,regle!$I$11,""))))))))))</f>
        <v/>
      </c>
      <c r="AC112" t="str">
        <f>IF(NOT($A112),"",
IF(AW112=-2,regle!$J$11,
IF(AW112=regle!$B$12,regle!$B$11,
IF(AW112=regle!$C$12,regle!$C$11,
IF(AW112=regle!$D$12,regle!$D$11,
IF(AW112=regle!$E$12,regle!$E$11,
IF(AW112=regle!$F$12,regle!$F$11,
IF(AW112=regle!$G$12,regle!$G$11,
IF(AW112=regle!$H$12,regle!$H$11,
IF(AW112=regle!$I$12,regle!$I$11,""))))))))))</f>
        <v/>
      </c>
      <c r="AD112" t="str">
        <f>IF(NOT($A112),"",
IF(AX112=-2,regle!$J$11,
IF(AX112=regle!$B$12,regle!$B$11,
IF(AX112=regle!$C$12,regle!$C$11,
IF(AX112=regle!$D$12,regle!$D$11,
IF(AX112=regle!$E$12,regle!$E$11,
IF(AX112=regle!$F$12,regle!$F$11,
IF(AX112=regle!$G$12,regle!$G$11,
IF(AX112=regle!$H$12,regle!$H$11,
IF(AX112=regle!$I$12,regle!$I$11,""))))))))))</f>
        <v>EC3</v>
      </c>
      <c r="AE112" s="14">
        <f>IF($A112,$M112*(IF(U112=regle!$B$11,regle!$B$23,IF(U112=regle!$C$11,regle!$C$23,IF(U112=regle!$D$11,regle!$D$23,IF(U112=regle!$E$11,regle!$E$23,IF(U112=regle!$F$11,regle!$F$23,IF(U112=regle!$G$11,regle!$G$23,IF(U112=regle!$H$11,regle!$H$23,IF(U112=regle!$I$11,regle!$I$23,IF(U112=regle!$J$11,regle!$J$23,0)))))))))))</f>
        <v>0</v>
      </c>
      <c r="AF112" s="14">
        <f>IF($A112,$M112*(IF(V112=regle!$B$11,regle!$B$23,IF(V112=regle!$C$11,regle!$C$23,IF(V112=regle!$D$11,regle!$D$23,IF(V112=regle!$E$11,regle!$E$23,IF(V112=regle!$F$11,regle!$F$23,IF(V112=regle!$G$11,regle!$G$23,IF(V112=regle!$H$11,regle!$H$23,IF(V112=regle!$I$11,regle!$I$23,IF(V112=regle!$J$11,regle!$J$23,0)))))))))))</f>
        <v>0</v>
      </c>
      <c r="AG112" s="14">
        <f>IF($A112,$M112*(IF(W112=regle!$B$11,regle!$B$23,IF(W112=regle!$C$11,regle!$C$23,IF(W112=regle!$D$11,regle!$D$23,IF(W112=regle!$E$11,regle!$E$23,IF(W112=regle!$F$11,regle!$F$23,IF(W112=regle!$G$11,regle!$G$23,IF(W112=regle!$H$11,regle!$H$23,IF(W112=regle!$I$11,regle!$I$23,IF(W112=regle!$J$11,regle!$J$23,0)))))))))))</f>
        <v>0</v>
      </c>
      <c r="AH112" s="14">
        <f>IF($A112,$M112*(IF(X112=regle!$B$11,regle!$B$23,IF(X112=regle!$C$11,regle!$C$23,IF(X112=regle!$D$11,regle!$D$23,IF(X112=regle!$E$11,regle!$E$23,IF(X112=regle!$F$11,regle!$F$23,IF(X112=regle!$G$11,regle!$G$23,IF(X112=regle!$H$11,regle!$H$23,IF(X112=regle!$I$11,regle!$I$23,IF(X112=regle!$J$11,regle!$J$23,0)))))))))))</f>
        <v>0</v>
      </c>
      <c r="AI112" s="14">
        <f>IF($A112,$M112*(IF(Y112=regle!$B$11,regle!$B$23,IF(Y112=regle!$C$11,regle!$C$23,IF(Y112=regle!$D$11,regle!$D$23,IF(Y112=regle!$E$11,regle!$E$23,IF(Y112=regle!$F$11,regle!$F$23,IF(Y112=regle!$G$11,regle!$G$23,IF(Y112=regle!$H$11,regle!$H$23,IF(Y112=regle!$I$11,regle!$I$23,IF(Y112=regle!$J$11,regle!$J$23,0)))))))))))</f>
        <v>978.26400000000012</v>
      </c>
      <c r="AJ112" s="14">
        <f>IF($A112,$M112*(IF(Z112=regle!$B$11,regle!$B$23,IF(Z112=regle!$C$11,regle!$C$23,IF(Z112=regle!$D$11,regle!$D$23,IF(Z112=regle!$E$11,regle!$E$23,IF(Z112=regle!$F$11,regle!$F$23,IF(Z112=regle!$G$11,regle!$G$23,IF(Z112=regle!$H$11,regle!$H$23,IF(Z112=regle!$I$11,regle!$I$23,IF(Z112=regle!$J$11,regle!$J$23,0)))))))))))</f>
        <v>0</v>
      </c>
      <c r="AK112" s="14">
        <f>IF($A112,$M112*(IF(AA112=regle!$B$11,regle!$B$23,IF(AA112=regle!$C$11,regle!$C$23,IF(AA112=regle!$D$11,regle!$D$23,IF(AA112=regle!$E$11,regle!$E$23,IF(AA112=regle!$F$11,regle!$F$23,IF(AA112=regle!$G$11,regle!$G$23,IF(AA112=regle!$H$11,regle!$H$23,IF(AA112=regle!$I$11,regle!$I$23,IF(AA112=regle!$J$11,regle!$J$23,0)))))))))))</f>
        <v>0</v>
      </c>
      <c r="AL112" s="14">
        <f>IF($A112,$M112*(IF(AB112=regle!$B$11,regle!$B$23,IF(AB112=regle!$C$11,regle!$C$23,IF(AB112=regle!$D$11,regle!$D$23,IF(AB112=regle!$E$11,regle!$E$23,IF(AB112=regle!$F$11,regle!$F$23,IF(AB112=regle!$G$11,regle!$G$23,IF(AB112=regle!$H$11,regle!$H$23,IF(AB112=regle!$I$11,regle!$I$23,IF(AB112=regle!$J$11,regle!$J$23,0)))))))))))</f>
        <v>0</v>
      </c>
      <c r="AM112" s="14">
        <f>IF($A112,$M112*(IF(AC112=regle!$B$11,regle!$B$23,IF(AC112=regle!$C$11,regle!$C$23,IF(AC112=regle!$D$11,regle!$D$23,IF(AC112=regle!$E$11,regle!$E$23,IF(AC112=regle!$F$11,regle!$F$23,IF(AC112=regle!$G$11,regle!$G$23,IF(AC112=regle!$H$11,regle!$H$23,IF(AC112=regle!$I$11,regle!$I$23,IF(AC112=regle!$J$11,regle!$J$23,0)))))))))))</f>
        <v>0</v>
      </c>
      <c r="AN112" s="14">
        <f>IF($A112,$M112*(IF(AD112=regle!$B$11,regle!$B$23,IF(AD112=regle!$C$11,regle!$C$23,IF(AD112=regle!$D$11,regle!$D$23,IF(AD112=regle!$E$11,regle!$E$23,IF(AD112=regle!$F$11,regle!$F$23,IF(AD112=regle!$G$11,regle!$G$23,IF(AD112=regle!$H$11,regle!$H$23,IF(AD112=regle!$I$11,regle!$I$23,IF(AD112=regle!$J$11,regle!$J$23,0)))))))))))</f>
        <v>1639.7568000000001</v>
      </c>
      <c r="AO112">
        <f>IF(AO$1=$AO$1,IF(regle!B$2-$Q112&gt;=regle!$J$12,-2,IF($S112,IF(regle!$B$2-$Q112&gt;=2,0,-1),regle!B$2-$Q112)),IF(AN112+1&gt;=regle!$J$12,-2,AN112+1))</f>
        <v>14</v>
      </c>
      <c r="AP112">
        <f>IF(AP$1=$AO$1,IF(regle!C$2-$Q112&gt;=regle!$J$12,-2,IF($S112,IF(regle!$B$2-$Q112&gt;=2,0,-1),regle!C$2-$Q112)),IF(AO112+1&gt;=regle!$J$12,-2,AO112+1))</f>
        <v>15</v>
      </c>
      <c r="AQ112">
        <f>IF(AQ$1=$AO$1,IF(regle!D$2-$Q112&gt;=regle!$J$12,-2,IF($S112,IF(regle!$B$2-$Q112&gt;=2,0,-1),regle!D$2-$Q112)),IF(AP112+1&gt;=regle!$J$12,-2,AP112+1))</f>
        <v>16</v>
      </c>
      <c r="AR112">
        <f>IF(AR$1=$AO$1,IF(regle!E$2-$Q112&gt;=regle!$J$12,-2,IF($S112,IF(regle!$B$2-$Q112&gt;=2,0,-1),regle!E$2-$Q112)),IF(AQ112+1&gt;=regle!$J$12,-2,AQ112+1))</f>
        <v>17</v>
      </c>
      <c r="AS112">
        <f>IF(AS$1=$AO$1,IF(regle!F$2-$Q112&gt;=regle!$J$12,-2,IF($S112,IF(regle!$B$2-$Q112&gt;=2,0,-1),regle!F$2-$Q112)),IF(AR112+1&gt;=regle!$J$12,-2,AR112+1))</f>
        <v>18</v>
      </c>
      <c r="AT112">
        <f>IF(AT$1=$AO$1,IF(regle!G$2-$Q112&gt;=regle!$J$12,-2,IF($S112,IF(regle!$B$2-$Q112&gt;=2,0,-1),regle!G$2-$Q112)),IF(AS112+1&gt;=regle!$J$12,-2,AS112+1))</f>
        <v>19</v>
      </c>
      <c r="AU112">
        <f>IF(AU$1=$AO$1,IF(regle!H$2-$Q112&gt;=regle!$J$12,-2,IF($S112,IF(regle!$B$2-$Q112&gt;=2,0,-1),regle!H$2-$Q112)),IF(AT112+1&gt;=regle!$J$12,-2,AT112+1))</f>
        <v>20</v>
      </c>
      <c r="AV112">
        <f>IF(AV$1=$AO$1,IF(regle!I$2-$Q112&gt;=regle!$J$12,-2,IF($S112,IF(regle!$B$2-$Q112&gt;=2,0,-1),regle!I$2-$Q112)),IF(AU112+1&gt;=regle!$J$12,-2,AU112+1))</f>
        <v>21</v>
      </c>
      <c r="AW112">
        <f>IF(AW$1=$AO$1,IF(regle!J$2-$Q112&gt;=regle!$J$12,-2,IF($S112,IF(regle!$B$2-$Q112&gt;=2,0,-1),regle!J$2-$Q112)),IF(AV112+1&gt;=regle!$J$12,-2,AV112+1))</f>
        <v>22</v>
      </c>
      <c r="AX112">
        <f>IF(AX$1=$AO$1,IF(regle!K$2-$Q112&gt;=regle!$J$12,-2,IF($S112,IF(regle!$B$2-$Q112&gt;=2,0,-1),regle!K$2-$Q112)),IF(AW112+1&gt;=regle!$J$12,-2,AW112+1))</f>
        <v>23</v>
      </c>
    </row>
    <row r="113" spans="1:50" x14ac:dyDescent="0.25">
      <c r="A113" t="b">
        <f>AND(modif0[[#This Row],[cdstr]]&lt;&gt;0,OR(regle!$H$27=FALSE,modif0[[#This Row],[essnc]]="PM"))</f>
        <v>1</v>
      </c>
      <c r="B113">
        <f>ROW(objet!A139)</f>
        <v>139</v>
      </c>
      <c r="C113" s="10" t="str">
        <f>objet!D139</f>
        <v>2020000B1145</v>
      </c>
      <c r="D113" t="str">
        <f>LEFT(modif0[[#This Row],[cdstr]],3)</f>
        <v>202</v>
      </c>
      <c r="E113" s="10" t="str">
        <f>objet!G139</f>
        <v>HOSTENS</v>
      </c>
      <c r="F113">
        <f>LEN(modif0[[#This Row],[l_dt]])</f>
        <v>11</v>
      </c>
      <c r="G113" s="10" t="str">
        <f>objet!H139</f>
        <v>LES CAZALAS</v>
      </c>
      <c r="H113" s="10" t="str">
        <f>objet!C139</f>
        <v>B1145k</v>
      </c>
      <c r="I113" t="str">
        <f>IF(ISNUMBER(VALUE(RIGHT(LEFT(modif0[[#This Row],[idntfn]],2),1))),_xlfn.CONCAT(0,LEFT(modif0[[#This Row],[idntfn]],1)),LEFT(modif0[[#This Row],[idntfn]],2))</f>
        <v>0B</v>
      </c>
      <c r="J113">
        <f>VALUE(LEFT(RIGHT(modif0[[#This Row],[idntfn]],LEN(modif0[[#This Row],[idntfn]])-IF(LEFT(modif0[[#This Row],[sctn]],1)="0",1,2)),LEN(modif0[[#This Row],[idntfn]])-IF(LEFT(modif0[[#This Row],[sctn]],1)="0",1,2)-LEN(modif0[[#This Row],[lttr]])))</f>
        <v>1145</v>
      </c>
      <c r="K113" t="str">
        <f>IF(ISNUMBER(VALUE(RIGHT(modif0[[#This Row],[idntfn]],1))),"",IF(ISNUMBER(VALUE(LEFT(RIGHT(modif0[[#This Row],[idntfn]],2),1))),RIGHT(modif0[[#This Row],[idntfn]],1),RIGHT(modif0[[#This Row],[idntfn]],2)))</f>
        <v>k</v>
      </c>
      <c r="L113" s="10">
        <f>objet!I139</f>
        <v>6979</v>
      </c>
      <c r="M113" s="11">
        <f>modif0[[#This Row],[srfc]]/10000</f>
        <v>0.69789999999999996</v>
      </c>
      <c r="N113" s="10" t="str">
        <f>objet!Z139</f>
        <v>PM</v>
      </c>
      <c r="O113" s="10" t="str">
        <f>objet!AA139</f>
        <v>PLA2004</v>
      </c>
      <c r="P113" t="str">
        <f>IF(ISNUMBER(modif0[[#This Row],[trvx]]),"",LEFT(modif0[[#This Row],[trvx]],LEN(modif0[[#This Row],[trvx]])-4))</f>
        <v>PLA</v>
      </c>
      <c r="Q113">
        <f>VALUE(RIGHT(modif0[[#This Row],[trvx]],4))</f>
        <v>2004</v>
      </c>
      <c r="R113" t="str">
        <f>_xlfn.CONCAT(modif0[[#This Row],[tp]],"-",modif0[[#This Row],[essnc]],"_",modif0[[#This Row],[anns]])</f>
        <v>PLA-PM_2004</v>
      </c>
      <c r="S113" t="b">
        <f>modif0[[#This Row],[tp]]="CR"</f>
        <v>0</v>
      </c>
      <c r="T113">
        <v>40</v>
      </c>
      <c r="U113" t="str">
        <f>IF(NOT($A113),"",
IF(AO113=-2,regle!$J$11,
IF(AO113=regle!$B$12,regle!$B$11,
IF(AO113=regle!$C$12,regle!$C$11,
IF(AO113=regle!$D$12,regle!$D$11,
IF(AO113=regle!$E$12,regle!$E$11,
IF(AO113=regle!$F$12,regle!$F$11,
IF(AO113=regle!$G$12,regle!$G$11,
IF(AO113=regle!$H$12,regle!$H$11,
IF(AO113=regle!$I$12,regle!$I$11,""))))))))))</f>
        <v/>
      </c>
      <c r="V113" t="str">
        <f>IF(NOT($A113),"",
IF(AP113=-2,regle!$J$11,
IF(AP113=regle!$B$12,regle!$B$11,
IF(AP113=regle!$C$12,regle!$C$11,
IF(AP113=regle!$D$12,regle!$D$11,
IF(AP113=regle!$E$12,regle!$E$11,
IF(AP113=regle!$F$12,regle!$F$11,
IF(AP113=regle!$G$12,regle!$G$11,
IF(AP113=regle!$H$12,regle!$H$11,
IF(AP113=regle!$I$12,regle!$I$11,""))))))))))</f>
        <v/>
      </c>
      <c r="W113" t="str">
        <f>IF(NOT($A113),"",
IF(AQ113=-2,regle!$J$11,
IF(AQ113=regle!$B$12,regle!$B$11,
IF(AQ113=regle!$C$12,regle!$C$11,
IF(AQ113=regle!$D$12,regle!$D$11,
IF(AQ113=regle!$E$12,regle!$E$11,
IF(AQ113=regle!$F$12,regle!$F$11,
IF(AQ113=regle!$G$12,regle!$G$11,
IF(AQ113=regle!$H$12,regle!$H$11,
IF(AQ113=regle!$I$12,regle!$I$11,""))))))))))</f>
        <v/>
      </c>
      <c r="X113" t="str">
        <f>IF(NOT($A113),"",
IF(AR113=-2,regle!$J$11,
IF(AR113=regle!$B$12,regle!$B$11,
IF(AR113=regle!$C$12,regle!$C$11,
IF(AR113=regle!$D$12,regle!$D$11,
IF(AR113=regle!$E$12,regle!$E$11,
IF(AR113=regle!$F$12,regle!$F$11,
IF(AR113=regle!$G$12,regle!$G$11,
IF(AR113=regle!$H$12,regle!$H$11,
IF(AR113=regle!$I$12,regle!$I$11,""))))))))))</f>
        <v>EC3</v>
      </c>
      <c r="Y113" t="str">
        <f>IF(NOT($A113),"",
IF(AS113=-2,regle!$J$11,
IF(AS113=regle!$B$12,regle!$B$11,
IF(AS113=regle!$C$12,regle!$C$11,
IF(AS113=regle!$D$12,regle!$D$11,
IF(AS113=regle!$E$12,regle!$E$11,
IF(AS113=regle!$F$12,regle!$F$11,
IF(AS113=regle!$G$12,regle!$G$11,
IF(AS113=regle!$H$12,regle!$H$11,
IF(AS113=regle!$I$12,regle!$I$11,""))))))))))</f>
        <v/>
      </c>
      <c r="Z113" t="str">
        <f>IF(NOT($A113),"",
IF(AT113=-2,regle!$J$11,
IF(AT113=regle!$B$12,regle!$B$11,
IF(AT113=regle!$C$12,regle!$C$11,
IF(AT113=regle!$D$12,regle!$D$11,
IF(AT113=regle!$E$12,regle!$E$11,
IF(AT113=regle!$F$12,regle!$F$11,
IF(AT113=regle!$G$12,regle!$G$11,
IF(AT113=regle!$H$12,regle!$H$11,
IF(AT113=regle!$I$12,regle!$I$11,""))))))))))</f>
        <v/>
      </c>
      <c r="AA113" t="str">
        <f>IF(NOT($A113),"",
IF(AU113=-2,regle!$J$11,
IF(AU113=regle!$B$12,regle!$B$11,
IF(AU113=regle!$C$12,regle!$C$11,
IF(AU113=regle!$D$12,regle!$D$11,
IF(AU113=regle!$E$12,regle!$E$11,
IF(AU113=regle!$F$12,regle!$F$11,
IF(AU113=regle!$G$12,regle!$G$11,
IF(AU113=regle!$H$12,regle!$H$11,
IF(AU113=regle!$I$12,regle!$I$11,""))))))))))</f>
        <v/>
      </c>
      <c r="AB113" t="str">
        <f>IF(NOT($A113),"",
IF(AV113=-2,regle!$J$11,
IF(AV113=regle!$B$12,regle!$B$11,
IF(AV113=regle!$C$12,regle!$C$11,
IF(AV113=regle!$D$12,regle!$D$11,
IF(AV113=regle!$E$12,regle!$E$11,
IF(AV113=regle!$F$12,regle!$F$11,
IF(AV113=regle!$G$12,regle!$G$11,
IF(AV113=regle!$H$12,regle!$H$11,
IF(AV113=regle!$I$12,regle!$I$11,""))))))))))</f>
        <v/>
      </c>
      <c r="AC113" t="str">
        <f>IF(NOT($A113),"",
IF(AW113=-2,regle!$J$11,
IF(AW113=regle!$B$12,regle!$B$11,
IF(AW113=regle!$C$12,regle!$C$11,
IF(AW113=regle!$D$12,regle!$D$11,
IF(AW113=regle!$E$12,regle!$E$11,
IF(AW113=regle!$F$12,regle!$F$11,
IF(AW113=regle!$G$12,regle!$G$11,
IF(AW113=regle!$H$12,regle!$H$11,
IF(AW113=regle!$I$12,regle!$I$11,""))))))))))</f>
        <v>EC4</v>
      </c>
      <c r="AD113" t="str">
        <f>IF(NOT($A113),"",
IF(AX113=-2,regle!$J$11,
IF(AX113=regle!$B$12,regle!$B$11,
IF(AX113=regle!$C$12,regle!$C$11,
IF(AX113=regle!$D$12,regle!$D$11,
IF(AX113=regle!$E$12,regle!$E$11,
IF(AX113=regle!$F$12,regle!$F$11,
IF(AX113=regle!$G$12,regle!$G$11,
IF(AX113=regle!$H$12,regle!$H$11,
IF(AX113=regle!$I$12,regle!$I$11,""))))))))))</f>
        <v/>
      </c>
      <c r="AE113" s="14">
        <f>IF($A113,$M113*(IF(U113=regle!$B$11,regle!$B$23,IF(U113=regle!$C$11,regle!$C$23,IF(U113=regle!$D$11,regle!$D$23,IF(U113=regle!$E$11,regle!$E$23,IF(U113=regle!$F$11,regle!$F$23,IF(U113=regle!$G$11,regle!$G$23,IF(U113=regle!$H$11,regle!$H$23,IF(U113=regle!$I$11,regle!$I$23,IF(U113=regle!$J$11,regle!$J$23,0)))))))))))</f>
        <v>0</v>
      </c>
      <c r="AF113" s="14">
        <f>IF($A113,$M113*(IF(V113=regle!$B$11,regle!$B$23,IF(V113=regle!$C$11,regle!$C$23,IF(V113=regle!$D$11,regle!$D$23,IF(V113=regle!$E$11,regle!$E$23,IF(V113=regle!$F$11,regle!$F$23,IF(V113=regle!$G$11,regle!$G$23,IF(V113=regle!$H$11,regle!$H$23,IF(V113=regle!$I$11,regle!$I$23,IF(V113=regle!$J$11,regle!$J$23,0)))))))))))</f>
        <v>0</v>
      </c>
      <c r="AG113" s="14">
        <f>IF($A113,$M113*(IF(W113=regle!$B$11,regle!$B$23,IF(W113=regle!$C$11,regle!$C$23,IF(W113=regle!$D$11,regle!$D$23,IF(W113=regle!$E$11,regle!$E$23,IF(W113=regle!$F$11,regle!$F$23,IF(W113=regle!$G$11,regle!$G$23,IF(W113=regle!$H$11,regle!$H$23,IF(W113=regle!$I$11,regle!$I$23,IF(W113=regle!$J$11,regle!$J$23,0)))))))))))</f>
        <v>0</v>
      </c>
      <c r="AH113" s="14">
        <f>IF($A113,$M113*(IF(X113=regle!$B$11,regle!$B$23,IF(X113=regle!$C$11,regle!$C$23,IF(X113=regle!$D$11,regle!$D$23,IF(X113=regle!$E$11,regle!$E$23,IF(X113=regle!$F$11,regle!$F$23,IF(X113=regle!$G$11,regle!$G$23,IF(X113=regle!$H$11,regle!$H$23,IF(X113=regle!$I$11,regle!$I$23,IF(X113=regle!$J$11,regle!$J$23,0)))))))))))</f>
        <v>982.64319999999998</v>
      </c>
      <c r="AI113" s="14">
        <f>IF($A113,$M113*(IF(Y113=regle!$B$11,regle!$B$23,IF(Y113=regle!$C$11,regle!$C$23,IF(Y113=regle!$D$11,regle!$D$23,IF(Y113=regle!$E$11,regle!$E$23,IF(Y113=regle!$F$11,regle!$F$23,IF(Y113=regle!$G$11,regle!$G$23,IF(Y113=regle!$H$11,regle!$H$23,IF(Y113=regle!$I$11,regle!$I$23,IF(Y113=regle!$J$11,regle!$J$23,0)))))))))))</f>
        <v>0</v>
      </c>
      <c r="AJ113" s="14">
        <f>IF($A113,$M113*(IF(Z113=regle!$B$11,regle!$B$23,IF(Z113=regle!$C$11,regle!$C$23,IF(Z113=regle!$D$11,regle!$D$23,IF(Z113=regle!$E$11,regle!$E$23,IF(Z113=regle!$F$11,regle!$F$23,IF(Z113=regle!$G$11,regle!$G$23,IF(Z113=regle!$H$11,regle!$H$23,IF(Z113=regle!$I$11,regle!$I$23,IF(Z113=regle!$J$11,regle!$J$23,0)))))))))))</f>
        <v>0</v>
      </c>
      <c r="AK113" s="14">
        <f>IF($A113,$M113*(IF(AA113=regle!$B$11,regle!$B$23,IF(AA113=regle!$C$11,regle!$C$23,IF(AA113=regle!$D$11,regle!$D$23,IF(AA113=regle!$E$11,regle!$E$23,IF(AA113=regle!$F$11,regle!$F$23,IF(AA113=regle!$G$11,regle!$G$23,IF(AA113=regle!$H$11,regle!$H$23,IF(AA113=regle!$I$11,regle!$I$23,IF(AA113=regle!$J$11,regle!$J$23,0)))))))))))</f>
        <v>0</v>
      </c>
      <c r="AL113" s="14">
        <f>IF($A113,$M113*(IF(AB113=regle!$B$11,regle!$B$23,IF(AB113=regle!$C$11,regle!$C$23,IF(AB113=regle!$D$11,regle!$D$23,IF(AB113=regle!$E$11,regle!$E$23,IF(AB113=regle!$F$11,regle!$F$23,IF(AB113=regle!$G$11,regle!$G$23,IF(AB113=regle!$H$11,regle!$H$23,IF(AB113=regle!$I$11,regle!$I$23,IF(AB113=regle!$J$11,regle!$J$23,0)))))))))))</f>
        <v>0</v>
      </c>
      <c r="AM113" s="14">
        <f>IF($A113,$M113*(IF(AC113=regle!$B$11,regle!$B$23,IF(AC113=regle!$C$11,regle!$C$23,IF(AC113=regle!$D$11,regle!$D$23,IF(AC113=regle!$E$11,regle!$E$23,IF(AC113=regle!$F$11,regle!$F$23,IF(AC113=regle!$G$11,regle!$G$23,IF(AC113=regle!$H$11,regle!$H$23,IF(AC113=regle!$I$11,regle!$I$23,IF(AC113=regle!$J$11,regle!$J$23,0)))))))))))</f>
        <v>893.3119999999999</v>
      </c>
      <c r="AN113" s="14">
        <f>IF($A113,$M113*(IF(AD113=regle!$B$11,regle!$B$23,IF(AD113=regle!$C$11,regle!$C$23,IF(AD113=regle!$D$11,regle!$D$23,IF(AD113=regle!$E$11,regle!$E$23,IF(AD113=regle!$F$11,regle!$F$23,IF(AD113=regle!$G$11,regle!$G$23,IF(AD113=regle!$H$11,regle!$H$23,IF(AD113=regle!$I$11,regle!$I$23,IF(AD113=regle!$J$11,regle!$J$23,0)))))))))))</f>
        <v>0</v>
      </c>
      <c r="AO113">
        <f>IF(AO$1=$AO$1,IF(regle!B$2-$Q113&gt;=regle!$J$12,-2,IF($S113,IF(regle!$B$2-$Q113&gt;=2,0,-1),regle!B$2-$Q113)),IF(AN113+1&gt;=regle!$J$12,-2,AN113+1))</f>
        <v>20</v>
      </c>
      <c r="AP113">
        <f>IF(AP$1=$AO$1,IF(regle!C$2-$Q113&gt;=regle!$J$12,-2,IF($S113,IF(regle!$B$2-$Q113&gt;=2,0,-1),regle!C$2-$Q113)),IF(AO113+1&gt;=regle!$J$12,-2,AO113+1))</f>
        <v>21</v>
      </c>
      <c r="AQ113">
        <f>IF(AQ$1=$AO$1,IF(regle!D$2-$Q113&gt;=regle!$J$12,-2,IF($S113,IF(regle!$B$2-$Q113&gt;=2,0,-1),regle!D$2-$Q113)),IF(AP113+1&gt;=regle!$J$12,-2,AP113+1))</f>
        <v>22</v>
      </c>
      <c r="AR113">
        <f>IF(AR$1=$AO$1,IF(regle!E$2-$Q113&gt;=regle!$J$12,-2,IF($S113,IF(regle!$B$2-$Q113&gt;=2,0,-1),regle!E$2-$Q113)),IF(AQ113+1&gt;=regle!$J$12,-2,AQ113+1))</f>
        <v>23</v>
      </c>
      <c r="AS113">
        <f>IF(AS$1=$AO$1,IF(regle!F$2-$Q113&gt;=regle!$J$12,-2,IF($S113,IF(regle!$B$2-$Q113&gt;=2,0,-1),regle!F$2-$Q113)),IF(AR113+1&gt;=regle!$J$12,-2,AR113+1))</f>
        <v>24</v>
      </c>
      <c r="AT113">
        <f>IF(AT$1=$AO$1,IF(regle!G$2-$Q113&gt;=regle!$J$12,-2,IF($S113,IF(regle!$B$2-$Q113&gt;=2,0,-1),regle!G$2-$Q113)),IF(AS113+1&gt;=regle!$J$12,-2,AS113+1))</f>
        <v>25</v>
      </c>
      <c r="AU113">
        <f>IF(AU$1=$AO$1,IF(regle!H$2-$Q113&gt;=regle!$J$12,-2,IF($S113,IF(regle!$B$2-$Q113&gt;=2,0,-1),regle!H$2-$Q113)),IF(AT113+1&gt;=regle!$J$12,-2,AT113+1))</f>
        <v>26</v>
      </c>
      <c r="AV113">
        <f>IF(AV$1=$AO$1,IF(regle!I$2-$Q113&gt;=regle!$J$12,-2,IF($S113,IF(regle!$B$2-$Q113&gt;=2,0,-1),regle!I$2-$Q113)),IF(AU113+1&gt;=regle!$J$12,-2,AU113+1))</f>
        <v>27</v>
      </c>
      <c r="AW113">
        <f>IF(AW$1=$AO$1,IF(regle!J$2-$Q113&gt;=regle!$J$12,-2,IF($S113,IF(regle!$B$2-$Q113&gt;=2,0,-1),regle!J$2-$Q113)),IF(AV113+1&gt;=regle!$J$12,-2,AV113+1))</f>
        <v>28</v>
      </c>
      <c r="AX113">
        <f>IF(AX$1=$AO$1,IF(regle!K$2-$Q113&gt;=regle!$J$12,-2,IF($S113,IF(regle!$B$2-$Q113&gt;=2,0,-1),regle!K$2-$Q113)),IF(AW113+1&gt;=regle!$J$12,-2,AW113+1))</f>
        <v>29</v>
      </c>
    </row>
    <row r="114" spans="1:50" x14ac:dyDescent="0.25">
      <c r="A114" t="b">
        <f>AND(modif0[[#This Row],[cdstr]]&lt;&gt;0,OR(regle!$H$27=FALSE,modif0[[#This Row],[essnc]]="PM"))</f>
        <v>1</v>
      </c>
      <c r="B114">
        <f>ROW(objet!A140)</f>
        <v>140</v>
      </c>
      <c r="C114" s="10" t="str">
        <f>objet!D140</f>
        <v>2020000B1146</v>
      </c>
      <c r="D114" t="str">
        <f>LEFT(modif0[[#This Row],[cdstr]],3)</f>
        <v>202</v>
      </c>
      <c r="E114" s="10" t="str">
        <f>objet!G140</f>
        <v>HOSTENS</v>
      </c>
      <c r="F114">
        <f>LEN(modif0[[#This Row],[l_dt]])</f>
        <v>11</v>
      </c>
      <c r="G114" s="10" t="str">
        <f>objet!H140</f>
        <v>LES CAZALAS</v>
      </c>
      <c r="H114" s="10" t="str">
        <f>objet!C140</f>
        <v>B1146</v>
      </c>
      <c r="I114" t="str">
        <f>IF(ISNUMBER(VALUE(RIGHT(LEFT(modif0[[#This Row],[idntfn]],2),1))),_xlfn.CONCAT(0,LEFT(modif0[[#This Row],[idntfn]],1)),LEFT(modif0[[#This Row],[idntfn]],2))</f>
        <v>0B</v>
      </c>
      <c r="J114">
        <f>VALUE(LEFT(RIGHT(modif0[[#This Row],[idntfn]],LEN(modif0[[#This Row],[idntfn]])-IF(LEFT(modif0[[#This Row],[sctn]],1)="0",1,2)),LEN(modif0[[#This Row],[idntfn]])-IF(LEFT(modif0[[#This Row],[sctn]],1)="0",1,2)-LEN(modif0[[#This Row],[lttr]])))</f>
        <v>1146</v>
      </c>
      <c r="K114" t="str">
        <f>IF(ISNUMBER(VALUE(RIGHT(modif0[[#This Row],[idntfn]],1))),"",IF(ISNUMBER(VALUE(LEFT(RIGHT(modif0[[#This Row],[idntfn]],2),1))),RIGHT(modif0[[#This Row],[idntfn]],1),RIGHT(modif0[[#This Row],[idntfn]],2)))</f>
        <v/>
      </c>
      <c r="L114" s="10">
        <f>objet!I140</f>
        <v>24320</v>
      </c>
      <c r="M114" s="11">
        <f>modif0[[#This Row],[srfc]]/10000</f>
        <v>2.4319999999999999</v>
      </c>
      <c r="N114" s="10" t="str">
        <f>objet!Z140</f>
        <v>PM</v>
      </c>
      <c r="O114" s="10" t="str">
        <f>objet!AA140</f>
        <v>PLA2006</v>
      </c>
      <c r="P114" t="str">
        <f>IF(ISNUMBER(modif0[[#This Row],[trvx]]),"",LEFT(modif0[[#This Row],[trvx]],LEN(modif0[[#This Row],[trvx]])-4))</f>
        <v>PLA</v>
      </c>
      <c r="Q114">
        <f>VALUE(RIGHT(modif0[[#This Row],[trvx]],4))</f>
        <v>2006</v>
      </c>
      <c r="R114" t="str">
        <f>_xlfn.CONCAT(modif0[[#This Row],[tp]],"-",modif0[[#This Row],[essnc]],"_",modif0[[#This Row],[anns]])</f>
        <v>PLA-PM_2006</v>
      </c>
      <c r="S114" t="b">
        <f>modif0[[#This Row],[tp]]="CR"</f>
        <v>0</v>
      </c>
      <c r="T114">
        <v>40</v>
      </c>
      <c r="U114" t="str">
        <f>IF(NOT($A114),"",
IF(AO114=-2,regle!$J$11,
IF(AO114=regle!$B$12,regle!$B$11,
IF(AO114=regle!$C$12,regle!$C$11,
IF(AO114=regle!$D$12,regle!$D$11,
IF(AO114=regle!$E$12,regle!$E$11,
IF(AO114=regle!$F$12,regle!$F$11,
IF(AO114=regle!$G$12,regle!$G$11,
IF(AO114=regle!$H$12,regle!$H$11,
IF(AO114=regle!$I$12,regle!$I$11,""))))))))))</f>
        <v>EC2</v>
      </c>
      <c r="V114" t="str">
        <f>IF(NOT($A114),"",
IF(AP114=-2,regle!$J$11,
IF(AP114=regle!$B$12,regle!$B$11,
IF(AP114=regle!$C$12,regle!$C$11,
IF(AP114=regle!$D$12,regle!$D$11,
IF(AP114=regle!$E$12,regle!$E$11,
IF(AP114=regle!$F$12,regle!$F$11,
IF(AP114=regle!$G$12,regle!$G$11,
IF(AP114=regle!$H$12,regle!$H$11,
IF(AP114=regle!$I$12,regle!$I$11,""))))))))))</f>
        <v/>
      </c>
      <c r="W114" t="str">
        <f>IF(NOT($A114),"",
IF(AQ114=-2,regle!$J$11,
IF(AQ114=regle!$B$12,regle!$B$11,
IF(AQ114=regle!$C$12,regle!$C$11,
IF(AQ114=regle!$D$12,regle!$D$11,
IF(AQ114=regle!$E$12,regle!$E$11,
IF(AQ114=regle!$F$12,regle!$F$11,
IF(AQ114=regle!$G$12,regle!$G$11,
IF(AQ114=regle!$H$12,regle!$H$11,
IF(AQ114=regle!$I$12,regle!$I$11,""))))))))))</f>
        <v/>
      </c>
      <c r="X114" t="str">
        <f>IF(NOT($A114),"",
IF(AR114=-2,regle!$J$11,
IF(AR114=regle!$B$12,regle!$B$11,
IF(AR114=regle!$C$12,regle!$C$11,
IF(AR114=regle!$D$12,regle!$D$11,
IF(AR114=regle!$E$12,regle!$E$11,
IF(AR114=regle!$F$12,regle!$F$11,
IF(AR114=regle!$G$12,regle!$G$11,
IF(AR114=regle!$H$12,regle!$H$11,
IF(AR114=regle!$I$12,regle!$I$11,""))))))))))</f>
        <v/>
      </c>
      <c r="Y114" t="str">
        <f>IF(NOT($A114),"",
IF(AS114=-2,regle!$J$11,
IF(AS114=regle!$B$12,regle!$B$11,
IF(AS114=regle!$C$12,regle!$C$11,
IF(AS114=regle!$D$12,regle!$D$11,
IF(AS114=regle!$E$12,regle!$E$11,
IF(AS114=regle!$F$12,regle!$F$11,
IF(AS114=regle!$G$12,regle!$G$11,
IF(AS114=regle!$H$12,regle!$H$11,
IF(AS114=regle!$I$12,regle!$I$11,""))))))))))</f>
        <v/>
      </c>
      <c r="Z114" t="str">
        <f>IF(NOT($A114),"",
IF(AT114=-2,regle!$J$11,
IF(AT114=regle!$B$12,regle!$B$11,
IF(AT114=regle!$C$12,regle!$C$11,
IF(AT114=regle!$D$12,regle!$D$11,
IF(AT114=regle!$E$12,regle!$E$11,
IF(AT114=regle!$F$12,regle!$F$11,
IF(AT114=regle!$G$12,regle!$G$11,
IF(AT114=regle!$H$12,regle!$H$11,
IF(AT114=regle!$I$12,regle!$I$11,""))))))))))</f>
        <v>EC3</v>
      </c>
      <c r="AA114" t="str">
        <f>IF(NOT($A114),"",
IF(AU114=-2,regle!$J$11,
IF(AU114=regle!$B$12,regle!$B$11,
IF(AU114=regle!$C$12,regle!$C$11,
IF(AU114=regle!$D$12,regle!$D$11,
IF(AU114=regle!$E$12,regle!$E$11,
IF(AU114=regle!$F$12,regle!$F$11,
IF(AU114=regle!$G$12,regle!$G$11,
IF(AU114=regle!$H$12,regle!$H$11,
IF(AU114=regle!$I$12,regle!$I$11,""))))))))))</f>
        <v/>
      </c>
      <c r="AB114" t="str">
        <f>IF(NOT($A114),"",
IF(AV114=-2,regle!$J$11,
IF(AV114=regle!$B$12,regle!$B$11,
IF(AV114=regle!$C$12,regle!$C$11,
IF(AV114=regle!$D$12,regle!$D$11,
IF(AV114=regle!$E$12,regle!$E$11,
IF(AV114=regle!$F$12,regle!$F$11,
IF(AV114=regle!$G$12,regle!$G$11,
IF(AV114=regle!$H$12,regle!$H$11,
IF(AV114=regle!$I$12,regle!$I$11,""))))))))))</f>
        <v/>
      </c>
      <c r="AC114" t="str">
        <f>IF(NOT($A114),"",
IF(AW114=-2,regle!$J$11,
IF(AW114=regle!$B$12,regle!$B$11,
IF(AW114=regle!$C$12,regle!$C$11,
IF(AW114=regle!$D$12,regle!$D$11,
IF(AW114=regle!$E$12,regle!$E$11,
IF(AW114=regle!$F$12,regle!$F$11,
IF(AW114=regle!$G$12,regle!$G$11,
IF(AW114=regle!$H$12,regle!$H$11,
IF(AW114=regle!$I$12,regle!$I$11,""))))))))))</f>
        <v/>
      </c>
      <c r="AD114" t="str">
        <f>IF(NOT($A114),"",
IF(AX114=-2,regle!$J$11,
IF(AX114=regle!$B$12,regle!$B$11,
IF(AX114=regle!$C$12,regle!$C$11,
IF(AX114=regle!$D$12,regle!$D$11,
IF(AX114=regle!$E$12,regle!$E$11,
IF(AX114=regle!$F$12,regle!$F$11,
IF(AX114=regle!$G$12,regle!$G$11,
IF(AX114=regle!$H$12,regle!$H$11,
IF(AX114=regle!$I$12,regle!$I$11,""))))))))))</f>
        <v/>
      </c>
      <c r="AE114" s="14">
        <f>IF($A114,$M114*(IF(U114=regle!$B$11,regle!$B$23,IF(U114=regle!$C$11,regle!$C$23,IF(U114=regle!$D$11,regle!$D$23,IF(U114=regle!$E$11,regle!$E$23,IF(U114=regle!$F$11,regle!$F$23,IF(U114=regle!$G$11,regle!$G$23,IF(U114=regle!$H$11,regle!$H$23,IF(U114=regle!$I$11,regle!$I$23,IF(U114=regle!$J$11,regle!$J$23,0)))))))))))</f>
        <v>2042.8799999999999</v>
      </c>
      <c r="AF114" s="14">
        <f>IF($A114,$M114*(IF(V114=regle!$B$11,regle!$B$23,IF(V114=regle!$C$11,regle!$C$23,IF(V114=regle!$D$11,regle!$D$23,IF(V114=regle!$E$11,regle!$E$23,IF(V114=regle!$F$11,regle!$F$23,IF(V114=regle!$G$11,regle!$G$23,IF(V114=regle!$H$11,regle!$H$23,IF(V114=regle!$I$11,regle!$I$23,IF(V114=regle!$J$11,regle!$J$23,0)))))))))))</f>
        <v>0</v>
      </c>
      <c r="AG114" s="14">
        <f>IF($A114,$M114*(IF(W114=regle!$B$11,regle!$B$23,IF(W114=regle!$C$11,regle!$C$23,IF(W114=regle!$D$11,regle!$D$23,IF(W114=regle!$E$11,regle!$E$23,IF(W114=regle!$F$11,regle!$F$23,IF(W114=regle!$G$11,regle!$G$23,IF(W114=regle!$H$11,regle!$H$23,IF(W114=regle!$I$11,regle!$I$23,IF(W114=regle!$J$11,regle!$J$23,0)))))))))))</f>
        <v>0</v>
      </c>
      <c r="AH114" s="14">
        <f>IF($A114,$M114*(IF(X114=regle!$B$11,regle!$B$23,IF(X114=regle!$C$11,regle!$C$23,IF(X114=regle!$D$11,regle!$D$23,IF(X114=regle!$E$11,regle!$E$23,IF(X114=regle!$F$11,regle!$F$23,IF(X114=regle!$G$11,regle!$G$23,IF(X114=regle!$H$11,regle!$H$23,IF(X114=regle!$I$11,regle!$I$23,IF(X114=regle!$J$11,regle!$J$23,0)))))))))))</f>
        <v>0</v>
      </c>
      <c r="AI114" s="14">
        <f>IF($A114,$M114*(IF(Y114=regle!$B$11,regle!$B$23,IF(Y114=regle!$C$11,regle!$C$23,IF(Y114=regle!$D$11,regle!$D$23,IF(Y114=regle!$E$11,regle!$E$23,IF(Y114=regle!$F$11,regle!$F$23,IF(Y114=regle!$G$11,regle!$G$23,IF(Y114=regle!$H$11,regle!$H$23,IF(Y114=regle!$I$11,regle!$I$23,IF(Y114=regle!$J$11,regle!$J$23,0)))))))))))</f>
        <v>0</v>
      </c>
      <c r="AJ114" s="14">
        <f>IF($A114,$M114*(IF(Z114=regle!$B$11,regle!$B$23,IF(Z114=regle!$C$11,regle!$C$23,IF(Z114=regle!$D$11,regle!$D$23,IF(Z114=regle!$E$11,regle!$E$23,IF(Z114=regle!$F$11,regle!$F$23,IF(Z114=regle!$G$11,regle!$G$23,IF(Z114=regle!$H$11,regle!$H$23,IF(Z114=regle!$I$11,regle!$I$23,IF(Z114=regle!$J$11,regle!$J$23,0)))))))))))</f>
        <v>3424.2559999999999</v>
      </c>
      <c r="AK114" s="14">
        <f>IF($A114,$M114*(IF(AA114=regle!$B$11,regle!$B$23,IF(AA114=regle!$C$11,regle!$C$23,IF(AA114=regle!$D$11,regle!$D$23,IF(AA114=regle!$E$11,regle!$E$23,IF(AA114=regle!$F$11,regle!$F$23,IF(AA114=regle!$G$11,regle!$G$23,IF(AA114=regle!$H$11,regle!$H$23,IF(AA114=regle!$I$11,regle!$I$23,IF(AA114=regle!$J$11,regle!$J$23,0)))))))))))</f>
        <v>0</v>
      </c>
      <c r="AL114" s="14">
        <f>IF($A114,$M114*(IF(AB114=regle!$B$11,regle!$B$23,IF(AB114=regle!$C$11,regle!$C$23,IF(AB114=regle!$D$11,regle!$D$23,IF(AB114=regle!$E$11,regle!$E$23,IF(AB114=regle!$F$11,regle!$F$23,IF(AB114=regle!$G$11,regle!$G$23,IF(AB114=regle!$H$11,regle!$H$23,IF(AB114=regle!$I$11,regle!$I$23,IF(AB114=regle!$J$11,regle!$J$23,0)))))))))))</f>
        <v>0</v>
      </c>
      <c r="AM114" s="14">
        <f>IF($A114,$M114*(IF(AC114=regle!$B$11,regle!$B$23,IF(AC114=regle!$C$11,regle!$C$23,IF(AC114=regle!$D$11,regle!$D$23,IF(AC114=regle!$E$11,regle!$E$23,IF(AC114=regle!$F$11,regle!$F$23,IF(AC114=regle!$G$11,regle!$G$23,IF(AC114=regle!$H$11,regle!$H$23,IF(AC114=regle!$I$11,regle!$I$23,IF(AC114=regle!$J$11,regle!$J$23,0)))))))))))</f>
        <v>0</v>
      </c>
      <c r="AN114" s="14">
        <f>IF($A114,$M114*(IF(AD114=regle!$B$11,regle!$B$23,IF(AD114=regle!$C$11,regle!$C$23,IF(AD114=regle!$D$11,regle!$D$23,IF(AD114=regle!$E$11,regle!$E$23,IF(AD114=regle!$F$11,regle!$F$23,IF(AD114=regle!$G$11,regle!$G$23,IF(AD114=regle!$H$11,regle!$H$23,IF(AD114=regle!$I$11,regle!$I$23,IF(AD114=regle!$J$11,regle!$J$23,0)))))))))))</f>
        <v>0</v>
      </c>
      <c r="AO114">
        <f>IF(AO$1=$AO$1,IF(regle!B$2-$Q114&gt;=regle!$J$12,-2,IF($S114,IF(regle!$B$2-$Q114&gt;=2,0,-1),regle!B$2-$Q114)),IF(AN114+1&gt;=regle!$J$12,-2,AN114+1))</f>
        <v>18</v>
      </c>
      <c r="AP114">
        <f>IF(AP$1=$AO$1,IF(regle!C$2-$Q114&gt;=regle!$J$12,-2,IF($S114,IF(regle!$B$2-$Q114&gt;=2,0,-1),regle!C$2-$Q114)),IF(AO114+1&gt;=regle!$J$12,-2,AO114+1))</f>
        <v>19</v>
      </c>
      <c r="AQ114">
        <f>IF(AQ$1=$AO$1,IF(regle!D$2-$Q114&gt;=regle!$J$12,-2,IF($S114,IF(regle!$B$2-$Q114&gt;=2,0,-1),regle!D$2-$Q114)),IF(AP114+1&gt;=regle!$J$12,-2,AP114+1))</f>
        <v>20</v>
      </c>
      <c r="AR114">
        <f>IF(AR$1=$AO$1,IF(regle!E$2-$Q114&gt;=regle!$J$12,-2,IF($S114,IF(regle!$B$2-$Q114&gt;=2,0,-1),regle!E$2-$Q114)),IF(AQ114+1&gt;=regle!$J$12,-2,AQ114+1))</f>
        <v>21</v>
      </c>
      <c r="AS114">
        <f>IF(AS$1=$AO$1,IF(regle!F$2-$Q114&gt;=regle!$J$12,-2,IF($S114,IF(regle!$B$2-$Q114&gt;=2,0,-1),regle!F$2-$Q114)),IF(AR114+1&gt;=regle!$J$12,-2,AR114+1))</f>
        <v>22</v>
      </c>
      <c r="AT114">
        <f>IF(AT$1=$AO$1,IF(regle!G$2-$Q114&gt;=regle!$J$12,-2,IF($S114,IF(regle!$B$2-$Q114&gt;=2,0,-1),regle!G$2-$Q114)),IF(AS114+1&gt;=regle!$J$12,-2,AS114+1))</f>
        <v>23</v>
      </c>
      <c r="AU114">
        <f>IF(AU$1=$AO$1,IF(regle!H$2-$Q114&gt;=regle!$J$12,-2,IF($S114,IF(regle!$B$2-$Q114&gt;=2,0,-1),regle!H$2-$Q114)),IF(AT114+1&gt;=regle!$J$12,-2,AT114+1))</f>
        <v>24</v>
      </c>
      <c r="AV114">
        <f>IF(AV$1=$AO$1,IF(regle!I$2-$Q114&gt;=regle!$J$12,-2,IF($S114,IF(regle!$B$2-$Q114&gt;=2,0,-1),regle!I$2-$Q114)),IF(AU114+1&gt;=regle!$J$12,-2,AU114+1))</f>
        <v>25</v>
      </c>
      <c r="AW114">
        <f>IF(AW$1=$AO$1,IF(regle!J$2-$Q114&gt;=regle!$J$12,-2,IF($S114,IF(regle!$B$2-$Q114&gt;=2,0,-1),regle!J$2-$Q114)),IF(AV114+1&gt;=regle!$J$12,-2,AV114+1))</f>
        <v>26</v>
      </c>
      <c r="AX114">
        <f>IF(AX$1=$AO$1,IF(regle!K$2-$Q114&gt;=regle!$J$12,-2,IF($S114,IF(regle!$B$2-$Q114&gt;=2,0,-1),regle!K$2-$Q114)),IF(AW114+1&gt;=regle!$J$12,-2,AW114+1))</f>
        <v>27</v>
      </c>
    </row>
    <row r="115" spans="1:50" x14ac:dyDescent="0.25">
      <c r="A115" t="b">
        <f>AND(modif0[[#This Row],[cdstr]]&lt;&gt;0,OR(regle!$H$27=FALSE,modif0[[#This Row],[essnc]]="PM"))</f>
        <v>1</v>
      </c>
      <c r="B115">
        <f>ROW(objet!A141)</f>
        <v>141</v>
      </c>
      <c r="C115" s="10" t="str">
        <f>objet!D141</f>
        <v>2020000B1147</v>
      </c>
      <c r="D115" t="str">
        <f>LEFT(modif0[[#This Row],[cdstr]],3)</f>
        <v>202</v>
      </c>
      <c r="E115" s="10" t="str">
        <f>objet!G141</f>
        <v>HOSTENS</v>
      </c>
      <c r="F115">
        <f>LEN(modif0[[#This Row],[l_dt]])</f>
        <v>11</v>
      </c>
      <c r="G115" s="10" t="str">
        <f>objet!H141</f>
        <v>LES CAZALAS</v>
      </c>
      <c r="H115" s="10" t="str">
        <f>objet!C141</f>
        <v>B1147</v>
      </c>
      <c r="I115" t="str">
        <f>IF(ISNUMBER(VALUE(RIGHT(LEFT(modif0[[#This Row],[idntfn]],2),1))),_xlfn.CONCAT(0,LEFT(modif0[[#This Row],[idntfn]],1)),LEFT(modif0[[#This Row],[idntfn]],2))</f>
        <v>0B</v>
      </c>
      <c r="J115">
        <f>VALUE(LEFT(RIGHT(modif0[[#This Row],[idntfn]],LEN(modif0[[#This Row],[idntfn]])-IF(LEFT(modif0[[#This Row],[sctn]],1)="0",1,2)),LEN(modif0[[#This Row],[idntfn]])-IF(LEFT(modif0[[#This Row],[sctn]],1)="0",1,2)-LEN(modif0[[#This Row],[lttr]])))</f>
        <v>1147</v>
      </c>
      <c r="K115" t="str">
        <f>IF(ISNUMBER(VALUE(RIGHT(modif0[[#This Row],[idntfn]],1))),"",IF(ISNUMBER(VALUE(LEFT(RIGHT(modif0[[#This Row],[idntfn]],2),1))),RIGHT(modif0[[#This Row],[idntfn]],1),RIGHT(modif0[[#This Row],[idntfn]],2)))</f>
        <v/>
      </c>
      <c r="L115" s="10">
        <f>objet!I141</f>
        <v>21000</v>
      </c>
      <c r="M115" s="11">
        <f>modif0[[#This Row],[srfc]]/10000</f>
        <v>2.1</v>
      </c>
      <c r="N115" s="10" t="str">
        <f>objet!Z141</f>
        <v>PM</v>
      </c>
      <c r="O115" s="10" t="str">
        <f>objet!AA141</f>
        <v>PLA2006</v>
      </c>
      <c r="P115" t="str">
        <f>IF(ISNUMBER(modif0[[#This Row],[trvx]]),"",LEFT(modif0[[#This Row],[trvx]],LEN(modif0[[#This Row],[trvx]])-4))</f>
        <v>PLA</v>
      </c>
      <c r="Q115">
        <f>VALUE(RIGHT(modif0[[#This Row],[trvx]],4))</f>
        <v>2006</v>
      </c>
      <c r="R115" t="str">
        <f>_xlfn.CONCAT(modif0[[#This Row],[tp]],"-",modif0[[#This Row],[essnc]],"_",modif0[[#This Row],[anns]])</f>
        <v>PLA-PM_2006</v>
      </c>
      <c r="S115" t="b">
        <f>modif0[[#This Row],[tp]]="CR"</f>
        <v>0</v>
      </c>
      <c r="T115">
        <v>40</v>
      </c>
      <c r="U115" t="str">
        <f>IF(NOT($A115),"",
IF(AO115=-2,regle!$J$11,
IF(AO115=regle!$B$12,regle!$B$11,
IF(AO115=regle!$C$12,regle!$C$11,
IF(AO115=regle!$D$12,regle!$D$11,
IF(AO115=regle!$E$12,regle!$E$11,
IF(AO115=regle!$F$12,regle!$F$11,
IF(AO115=regle!$G$12,regle!$G$11,
IF(AO115=regle!$H$12,regle!$H$11,
IF(AO115=regle!$I$12,regle!$I$11,""))))))))))</f>
        <v>EC2</v>
      </c>
      <c r="V115" t="str">
        <f>IF(NOT($A115),"",
IF(AP115=-2,regle!$J$11,
IF(AP115=regle!$B$12,regle!$B$11,
IF(AP115=regle!$C$12,regle!$C$11,
IF(AP115=regle!$D$12,regle!$D$11,
IF(AP115=regle!$E$12,regle!$E$11,
IF(AP115=regle!$F$12,regle!$F$11,
IF(AP115=regle!$G$12,regle!$G$11,
IF(AP115=regle!$H$12,regle!$H$11,
IF(AP115=regle!$I$12,regle!$I$11,""))))))))))</f>
        <v/>
      </c>
      <c r="W115" t="str">
        <f>IF(NOT($A115),"",
IF(AQ115=-2,regle!$J$11,
IF(AQ115=regle!$B$12,regle!$B$11,
IF(AQ115=regle!$C$12,regle!$C$11,
IF(AQ115=regle!$D$12,regle!$D$11,
IF(AQ115=regle!$E$12,regle!$E$11,
IF(AQ115=regle!$F$12,regle!$F$11,
IF(AQ115=regle!$G$12,regle!$G$11,
IF(AQ115=regle!$H$12,regle!$H$11,
IF(AQ115=regle!$I$12,regle!$I$11,""))))))))))</f>
        <v/>
      </c>
      <c r="X115" t="str">
        <f>IF(NOT($A115),"",
IF(AR115=-2,regle!$J$11,
IF(AR115=regle!$B$12,regle!$B$11,
IF(AR115=regle!$C$12,regle!$C$11,
IF(AR115=regle!$D$12,regle!$D$11,
IF(AR115=regle!$E$12,regle!$E$11,
IF(AR115=regle!$F$12,regle!$F$11,
IF(AR115=regle!$G$12,regle!$G$11,
IF(AR115=regle!$H$12,regle!$H$11,
IF(AR115=regle!$I$12,regle!$I$11,""))))))))))</f>
        <v/>
      </c>
      <c r="Y115" t="str">
        <f>IF(NOT($A115),"",
IF(AS115=-2,regle!$J$11,
IF(AS115=regle!$B$12,regle!$B$11,
IF(AS115=regle!$C$12,regle!$C$11,
IF(AS115=regle!$D$12,regle!$D$11,
IF(AS115=regle!$E$12,regle!$E$11,
IF(AS115=regle!$F$12,regle!$F$11,
IF(AS115=regle!$G$12,regle!$G$11,
IF(AS115=regle!$H$12,regle!$H$11,
IF(AS115=regle!$I$12,regle!$I$11,""))))))))))</f>
        <v/>
      </c>
      <c r="Z115" t="str">
        <f>IF(NOT($A115),"",
IF(AT115=-2,regle!$J$11,
IF(AT115=regle!$B$12,regle!$B$11,
IF(AT115=regle!$C$12,regle!$C$11,
IF(AT115=regle!$D$12,regle!$D$11,
IF(AT115=regle!$E$12,regle!$E$11,
IF(AT115=regle!$F$12,regle!$F$11,
IF(AT115=regle!$G$12,regle!$G$11,
IF(AT115=regle!$H$12,regle!$H$11,
IF(AT115=regle!$I$12,regle!$I$11,""))))))))))</f>
        <v>EC3</v>
      </c>
      <c r="AA115" t="str">
        <f>IF(NOT($A115),"",
IF(AU115=-2,regle!$J$11,
IF(AU115=regle!$B$12,regle!$B$11,
IF(AU115=regle!$C$12,regle!$C$11,
IF(AU115=regle!$D$12,regle!$D$11,
IF(AU115=regle!$E$12,regle!$E$11,
IF(AU115=regle!$F$12,regle!$F$11,
IF(AU115=regle!$G$12,regle!$G$11,
IF(AU115=regle!$H$12,regle!$H$11,
IF(AU115=regle!$I$12,regle!$I$11,""))))))))))</f>
        <v/>
      </c>
      <c r="AB115" t="str">
        <f>IF(NOT($A115),"",
IF(AV115=-2,regle!$J$11,
IF(AV115=regle!$B$12,regle!$B$11,
IF(AV115=regle!$C$12,regle!$C$11,
IF(AV115=regle!$D$12,regle!$D$11,
IF(AV115=regle!$E$12,regle!$E$11,
IF(AV115=regle!$F$12,regle!$F$11,
IF(AV115=regle!$G$12,regle!$G$11,
IF(AV115=regle!$H$12,regle!$H$11,
IF(AV115=regle!$I$12,regle!$I$11,""))))))))))</f>
        <v/>
      </c>
      <c r="AC115" t="str">
        <f>IF(NOT($A115),"",
IF(AW115=-2,regle!$J$11,
IF(AW115=regle!$B$12,regle!$B$11,
IF(AW115=regle!$C$12,regle!$C$11,
IF(AW115=regle!$D$12,regle!$D$11,
IF(AW115=regle!$E$12,regle!$E$11,
IF(AW115=regle!$F$12,regle!$F$11,
IF(AW115=regle!$G$12,regle!$G$11,
IF(AW115=regle!$H$12,regle!$H$11,
IF(AW115=regle!$I$12,regle!$I$11,""))))))))))</f>
        <v/>
      </c>
      <c r="AD115" t="str">
        <f>IF(NOT($A115),"",
IF(AX115=-2,regle!$J$11,
IF(AX115=regle!$B$12,regle!$B$11,
IF(AX115=regle!$C$12,regle!$C$11,
IF(AX115=regle!$D$12,regle!$D$11,
IF(AX115=regle!$E$12,regle!$E$11,
IF(AX115=regle!$F$12,regle!$F$11,
IF(AX115=regle!$G$12,regle!$G$11,
IF(AX115=regle!$H$12,regle!$H$11,
IF(AX115=regle!$I$12,regle!$I$11,""))))))))))</f>
        <v/>
      </c>
      <c r="AE115" s="14">
        <f>IF($A115,$M115*(IF(U115=regle!$B$11,regle!$B$23,IF(U115=regle!$C$11,regle!$C$23,IF(U115=regle!$D$11,regle!$D$23,IF(U115=regle!$E$11,regle!$E$23,IF(U115=regle!$F$11,regle!$F$23,IF(U115=regle!$G$11,regle!$G$23,IF(U115=regle!$H$11,regle!$H$23,IF(U115=regle!$I$11,regle!$I$23,IF(U115=regle!$J$11,regle!$J$23,0)))))))))))</f>
        <v>1764</v>
      </c>
      <c r="AF115" s="14">
        <f>IF($A115,$M115*(IF(V115=regle!$B$11,regle!$B$23,IF(V115=regle!$C$11,regle!$C$23,IF(V115=regle!$D$11,regle!$D$23,IF(V115=regle!$E$11,regle!$E$23,IF(V115=regle!$F$11,regle!$F$23,IF(V115=regle!$G$11,regle!$G$23,IF(V115=regle!$H$11,regle!$H$23,IF(V115=regle!$I$11,regle!$I$23,IF(V115=regle!$J$11,regle!$J$23,0)))))))))))</f>
        <v>0</v>
      </c>
      <c r="AG115" s="14">
        <f>IF($A115,$M115*(IF(W115=regle!$B$11,regle!$B$23,IF(W115=regle!$C$11,regle!$C$23,IF(W115=regle!$D$11,regle!$D$23,IF(W115=regle!$E$11,regle!$E$23,IF(W115=regle!$F$11,regle!$F$23,IF(W115=regle!$G$11,regle!$G$23,IF(W115=regle!$H$11,regle!$H$23,IF(W115=regle!$I$11,regle!$I$23,IF(W115=regle!$J$11,regle!$J$23,0)))))))))))</f>
        <v>0</v>
      </c>
      <c r="AH115" s="14">
        <f>IF($A115,$M115*(IF(X115=regle!$B$11,regle!$B$23,IF(X115=regle!$C$11,regle!$C$23,IF(X115=regle!$D$11,regle!$D$23,IF(X115=regle!$E$11,regle!$E$23,IF(X115=regle!$F$11,regle!$F$23,IF(X115=regle!$G$11,regle!$G$23,IF(X115=regle!$H$11,regle!$H$23,IF(X115=regle!$I$11,regle!$I$23,IF(X115=regle!$J$11,regle!$J$23,0)))))))))))</f>
        <v>0</v>
      </c>
      <c r="AI115" s="14">
        <f>IF($A115,$M115*(IF(Y115=regle!$B$11,regle!$B$23,IF(Y115=regle!$C$11,regle!$C$23,IF(Y115=regle!$D$11,regle!$D$23,IF(Y115=regle!$E$11,regle!$E$23,IF(Y115=regle!$F$11,regle!$F$23,IF(Y115=regle!$G$11,regle!$G$23,IF(Y115=regle!$H$11,regle!$H$23,IF(Y115=regle!$I$11,regle!$I$23,IF(Y115=regle!$J$11,regle!$J$23,0)))))))))))</f>
        <v>0</v>
      </c>
      <c r="AJ115" s="14">
        <f>IF($A115,$M115*(IF(Z115=regle!$B$11,regle!$B$23,IF(Z115=regle!$C$11,regle!$C$23,IF(Z115=regle!$D$11,regle!$D$23,IF(Z115=regle!$E$11,regle!$E$23,IF(Z115=regle!$F$11,regle!$F$23,IF(Z115=regle!$G$11,regle!$G$23,IF(Z115=regle!$H$11,regle!$H$23,IF(Z115=regle!$I$11,regle!$I$23,IF(Z115=regle!$J$11,regle!$J$23,0)))))))))))</f>
        <v>2956.8</v>
      </c>
      <c r="AK115" s="14">
        <f>IF($A115,$M115*(IF(AA115=regle!$B$11,regle!$B$23,IF(AA115=regle!$C$11,regle!$C$23,IF(AA115=regle!$D$11,regle!$D$23,IF(AA115=regle!$E$11,regle!$E$23,IF(AA115=regle!$F$11,regle!$F$23,IF(AA115=regle!$G$11,regle!$G$23,IF(AA115=regle!$H$11,regle!$H$23,IF(AA115=regle!$I$11,regle!$I$23,IF(AA115=regle!$J$11,regle!$J$23,0)))))))))))</f>
        <v>0</v>
      </c>
      <c r="AL115" s="14">
        <f>IF($A115,$M115*(IF(AB115=regle!$B$11,regle!$B$23,IF(AB115=regle!$C$11,regle!$C$23,IF(AB115=regle!$D$11,regle!$D$23,IF(AB115=regle!$E$11,regle!$E$23,IF(AB115=regle!$F$11,regle!$F$23,IF(AB115=regle!$G$11,regle!$G$23,IF(AB115=regle!$H$11,regle!$H$23,IF(AB115=regle!$I$11,regle!$I$23,IF(AB115=regle!$J$11,regle!$J$23,0)))))))))))</f>
        <v>0</v>
      </c>
      <c r="AM115" s="14">
        <f>IF($A115,$M115*(IF(AC115=regle!$B$11,regle!$B$23,IF(AC115=regle!$C$11,regle!$C$23,IF(AC115=regle!$D$11,regle!$D$23,IF(AC115=regle!$E$11,regle!$E$23,IF(AC115=regle!$F$11,regle!$F$23,IF(AC115=regle!$G$11,regle!$G$23,IF(AC115=regle!$H$11,regle!$H$23,IF(AC115=regle!$I$11,regle!$I$23,IF(AC115=regle!$J$11,regle!$J$23,0)))))))))))</f>
        <v>0</v>
      </c>
      <c r="AN115" s="14">
        <f>IF($A115,$M115*(IF(AD115=regle!$B$11,regle!$B$23,IF(AD115=regle!$C$11,regle!$C$23,IF(AD115=regle!$D$11,regle!$D$23,IF(AD115=regle!$E$11,regle!$E$23,IF(AD115=regle!$F$11,regle!$F$23,IF(AD115=regle!$G$11,regle!$G$23,IF(AD115=regle!$H$11,regle!$H$23,IF(AD115=regle!$I$11,regle!$I$23,IF(AD115=regle!$J$11,regle!$J$23,0)))))))))))</f>
        <v>0</v>
      </c>
      <c r="AO115">
        <f>IF(AO$1=$AO$1,IF(regle!B$2-$Q115&gt;=regle!$J$12,-2,IF($S115,IF(regle!$B$2-$Q115&gt;=2,0,-1),regle!B$2-$Q115)),IF(AN115+1&gt;=regle!$J$12,-2,AN115+1))</f>
        <v>18</v>
      </c>
      <c r="AP115">
        <f>IF(AP$1=$AO$1,IF(regle!C$2-$Q115&gt;=regle!$J$12,-2,IF($S115,IF(regle!$B$2-$Q115&gt;=2,0,-1),regle!C$2-$Q115)),IF(AO115+1&gt;=regle!$J$12,-2,AO115+1))</f>
        <v>19</v>
      </c>
      <c r="AQ115">
        <f>IF(AQ$1=$AO$1,IF(regle!D$2-$Q115&gt;=regle!$J$12,-2,IF($S115,IF(regle!$B$2-$Q115&gt;=2,0,-1),regle!D$2-$Q115)),IF(AP115+1&gt;=regle!$J$12,-2,AP115+1))</f>
        <v>20</v>
      </c>
      <c r="AR115">
        <f>IF(AR$1=$AO$1,IF(regle!E$2-$Q115&gt;=regle!$J$12,-2,IF($S115,IF(regle!$B$2-$Q115&gt;=2,0,-1),regle!E$2-$Q115)),IF(AQ115+1&gt;=regle!$J$12,-2,AQ115+1))</f>
        <v>21</v>
      </c>
      <c r="AS115">
        <f>IF(AS$1=$AO$1,IF(regle!F$2-$Q115&gt;=regle!$J$12,-2,IF($S115,IF(regle!$B$2-$Q115&gt;=2,0,-1),regle!F$2-$Q115)),IF(AR115+1&gt;=regle!$J$12,-2,AR115+1))</f>
        <v>22</v>
      </c>
      <c r="AT115">
        <f>IF(AT$1=$AO$1,IF(regle!G$2-$Q115&gt;=regle!$J$12,-2,IF($S115,IF(regle!$B$2-$Q115&gt;=2,0,-1),regle!G$2-$Q115)),IF(AS115+1&gt;=regle!$J$12,-2,AS115+1))</f>
        <v>23</v>
      </c>
      <c r="AU115">
        <f>IF(AU$1=$AO$1,IF(regle!H$2-$Q115&gt;=regle!$J$12,-2,IF($S115,IF(regle!$B$2-$Q115&gt;=2,0,-1),regle!H$2-$Q115)),IF(AT115+1&gt;=regle!$J$12,-2,AT115+1))</f>
        <v>24</v>
      </c>
      <c r="AV115">
        <f>IF(AV$1=$AO$1,IF(regle!I$2-$Q115&gt;=regle!$J$12,-2,IF($S115,IF(regle!$B$2-$Q115&gt;=2,0,-1),regle!I$2-$Q115)),IF(AU115+1&gt;=regle!$J$12,-2,AU115+1))</f>
        <v>25</v>
      </c>
      <c r="AW115">
        <f>IF(AW$1=$AO$1,IF(regle!J$2-$Q115&gt;=regle!$J$12,-2,IF($S115,IF(regle!$B$2-$Q115&gt;=2,0,-1),regle!J$2-$Q115)),IF(AV115+1&gt;=regle!$J$12,-2,AV115+1))</f>
        <v>26</v>
      </c>
      <c r="AX115">
        <f>IF(AX$1=$AO$1,IF(regle!K$2-$Q115&gt;=regle!$J$12,-2,IF($S115,IF(regle!$B$2-$Q115&gt;=2,0,-1),regle!K$2-$Q115)),IF(AW115+1&gt;=regle!$J$12,-2,AW115+1))</f>
        <v>27</v>
      </c>
    </row>
    <row r="116" spans="1:50" x14ac:dyDescent="0.25">
      <c r="A116" t="b">
        <f>AND(modif0[[#This Row],[cdstr]]&lt;&gt;0,OR(regle!$H$27=FALSE,modif0[[#This Row],[essnc]]="PM"))</f>
        <v>1</v>
      </c>
      <c r="B116">
        <f>ROW(objet!A142)</f>
        <v>142</v>
      </c>
      <c r="C116" s="10" t="str">
        <f>objet!D142</f>
        <v>2020000B1148</v>
      </c>
      <c r="D116" t="str">
        <f>LEFT(modif0[[#This Row],[cdstr]],3)</f>
        <v>202</v>
      </c>
      <c r="E116" s="10" t="str">
        <f>objet!G142</f>
        <v>HOSTENS</v>
      </c>
      <c r="F116">
        <f>LEN(modif0[[#This Row],[l_dt]])</f>
        <v>11</v>
      </c>
      <c r="G116" s="10" t="str">
        <f>objet!H142</f>
        <v>LES CAZALAS</v>
      </c>
      <c r="H116" s="10" t="str">
        <f>objet!C142</f>
        <v>B1148</v>
      </c>
      <c r="I116" t="str">
        <f>IF(ISNUMBER(VALUE(RIGHT(LEFT(modif0[[#This Row],[idntfn]],2),1))),_xlfn.CONCAT(0,LEFT(modif0[[#This Row],[idntfn]],1)),LEFT(modif0[[#This Row],[idntfn]],2))</f>
        <v>0B</v>
      </c>
      <c r="J116">
        <f>VALUE(LEFT(RIGHT(modif0[[#This Row],[idntfn]],LEN(modif0[[#This Row],[idntfn]])-IF(LEFT(modif0[[#This Row],[sctn]],1)="0",1,2)),LEN(modif0[[#This Row],[idntfn]])-IF(LEFT(modif0[[#This Row],[sctn]],1)="0",1,2)-LEN(modif0[[#This Row],[lttr]])))</f>
        <v>1148</v>
      </c>
      <c r="K116" t="str">
        <f>IF(ISNUMBER(VALUE(RIGHT(modif0[[#This Row],[idntfn]],1))),"",IF(ISNUMBER(VALUE(LEFT(RIGHT(modif0[[#This Row],[idntfn]],2),1))),RIGHT(modif0[[#This Row],[idntfn]],1),RIGHT(modif0[[#This Row],[idntfn]],2)))</f>
        <v/>
      </c>
      <c r="L116" s="10">
        <f>objet!I142</f>
        <v>3715</v>
      </c>
      <c r="M116" s="11">
        <f>modif0[[#This Row],[srfc]]/10000</f>
        <v>0.3715</v>
      </c>
      <c r="N116" s="10" t="str">
        <f>objet!Z142</f>
        <v>PM</v>
      </c>
      <c r="O116" s="10" t="str">
        <f>objet!AA142</f>
        <v>PLA2004</v>
      </c>
      <c r="P116" t="str">
        <f>IF(ISNUMBER(modif0[[#This Row],[trvx]]),"",LEFT(modif0[[#This Row],[trvx]],LEN(modif0[[#This Row],[trvx]])-4))</f>
        <v>PLA</v>
      </c>
      <c r="Q116">
        <f>VALUE(RIGHT(modif0[[#This Row],[trvx]],4))</f>
        <v>2004</v>
      </c>
      <c r="R116" t="str">
        <f>_xlfn.CONCAT(modif0[[#This Row],[tp]],"-",modif0[[#This Row],[essnc]],"_",modif0[[#This Row],[anns]])</f>
        <v>PLA-PM_2004</v>
      </c>
      <c r="S116" t="b">
        <f>modif0[[#This Row],[tp]]="CR"</f>
        <v>0</v>
      </c>
      <c r="T116">
        <v>40</v>
      </c>
      <c r="U116" t="str">
        <f>IF(NOT($A116),"",
IF(AO116=-2,regle!$J$11,
IF(AO116=regle!$B$12,regle!$B$11,
IF(AO116=regle!$C$12,regle!$C$11,
IF(AO116=regle!$D$12,regle!$D$11,
IF(AO116=regle!$E$12,regle!$E$11,
IF(AO116=regle!$F$12,regle!$F$11,
IF(AO116=regle!$G$12,regle!$G$11,
IF(AO116=regle!$H$12,regle!$H$11,
IF(AO116=regle!$I$12,regle!$I$11,""))))))))))</f>
        <v/>
      </c>
      <c r="V116" t="str">
        <f>IF(NOT($A116),"",
IF(AP116=-2,regle!$J$11,
IF(AP116=regle!$B$12,regle!$B$11,
IF(AP116=regle!$C$12,regle!$C$11,
IF(AP116=regle!$D$12,regle!$D$11,
IF(AP116=regle!$E$12,regle!$E$11,
IF(AP116=regle!$F$12,regle!$F$11,
IF(AP116=regle!$G$12,regle!$G$11,
IF(AP116=regle!$H$12,regle!$H$11,
IF(AP116=regle!$I$12,regle!$I$11,""))))))))))</f>
        <v/>
      </c>
      <c r="W116" t="str">
        <f>IF(NOT($A116),"",
IF(AQ116=-2,regle!$J$11,
IF(AQ116=regle!$B$12,regle!$B$11,
IF(AQ116=regle!$C$12,regle!$C$11,
IF(AQ116=regle!$D$12,regle!$D$11,
IF(AQ116=regle!$E$12,regle!$E$11,
IF(AQ116=regle!$F$12,regle!$F$11,
IF(AQ116=regle!$G$12,regle!$G$11,
IF(AQ116=regle!$H$12,regle!$H$11,
IF(AQ116=regle!$I$12,regle!$I$11,""))))))))))</f>
        <v/>
      </c>
      <c r="X116" t="str">
        <f>IF(NOT($A116),"",
IF(AR116=-2,regle!$J$11,
IF(AR116=regle!$B$12,regle!$B$11,
IF(AR116=regle!$C$12,regle!$C$11,
IF(AR116=regle!$D$12,regle!$D$11,
IF(AR116=regle!$E$12,regle!$E$11,
IF(AR116=regle!$F$12,regle!$F$11,
IF(AR116=regle!$G$12,regle!$G$11,
IF(AR116=regle!$H$12,regle!$H$11,
IF(AR116=regle!$I$12,regle!$I$11,""))))))))))</f>
        <v>EC3</v>
      </c>
      <c r="Y116" t="str">
        <f>IF(NOT($A116),"",
IF(AS116=-2,regle!$J$11,
IF(AS116=regle!$B$12,regle!$B$11,
IF(AS116=regle!$C$12,regle!$C$11,
IF(AS116=regle!$D$12,regle!$D$11,
IF(AS116=regle!$E$12,regle!$E$11,
IF(AS116=regle!$F$12,regle!$F$11,
IF(AS116=regle!$G$12,regle!$G$11,
IF(AS116=regle!$H$12,regle!$H$11,
IF(AS116=regle!$I$12,regle!$I$11,""))))))))))</f>
        <v/>
      </c>
      <c r="Z116" t="str">
        <f>IF(NOT($A116),"",
IF(AT116=-2,regle!$J$11,
IF(AT116=regle!$B$12,regle!$B$11,
IF(AT116=regle!$C$12,regle!$C$11,
IF(AT116=regle!$D$12,regle!$D$11,
IF(AT116=regle!$E$12,regle!$E$11,
IF(AT116=regle!$F$12,regle!$F$11,
IF(AT116=regle!$G$12,regle!$G$11,
IF(AT116=regle!$H$12,regle!$H$11,
IF(AT116=regle!$I$12,regle!$I$11,""))))))))))</f>
        <v/>
      </c>
      <c r="AA116" t="str">
        <f>IF(NOT($A116),"",
IF(AU116=-2,regle!$J$11,
IF(AU116=regle!$B$12,regle!$B$11,
IF(AU116=regle!$C$12,regle!$C$11,
IF(AU116=regle!$D$12,regle!$D$11,
IF(AU116=regle!$E$12,regle!$E$11,
IF(AU116=regle!$F$12,regle!$F$11,
IF(AU116=regle!$G$12,regle!$G$11,
IF(AU116=regle!$H$12,regle!$H$11,
IF(AU116=regle!$I$12,regle!$I$11,""))))))))))</f>
        <v/>
      </c>
      <c r="AB116" t="str">
        <f>IF(NOT($A116),"",
IF(AV116=-2,regle!$J$11,
IF(AV116=regle!$B$12,regle!$B$11,
IF(AV116=regle!$C$12,regle!$C$11,
IF(AV116=regle!$D$12,regle!$D$11,
IF(AV116=regle!$E$12,regle!$E$11,
IF(AV116=regle!$F$12,regle!$F$11,
IF(AV116=regle!$G$12,regle!$G$11,
IF(AV116=regle!$H$12,regle!$H$11,
IF(AV116=regle!$I$12,regle!$I$11,""))))))))))</f>
        <v/>
      </c>
      <c r="AC116" t="str">
        <f>IF(NOT($A116),"",
IF(AW116=-2,regle!$J$11,
IF(AW116=regle!$B$12,regle!$B$11,
IF(AW116=regle!$C$12,regle!$C$11,
IF(AW116=regle!$D$12,regle!$D$11,
IF(AW116=regle!$E$12,regle!$E$11,
IF(AW116=regle!$F$12,regle!$F$11,
IF(AW116=regle!$G$12,regle!$G$11,
IF(AW116=regle!$H$12,regle!$H$11,
IF(AW116=regle!$I$12,regle!$I$11,""))))))))))</f>
        <v>EC4</v>
      </c>
      <c r="AD116" t="str">
        <f>IF(NOT($A116),"",
IF(AX116=-2,regle!$J$11,
IF(AX116=regle!$B$12,regle!$B$11,
IF(AX116=regle!$C$12,regle!$C$11,
IF(AX116=regle!$D$12,regle!$D$11,
IF(AX116=regle!$E$12,regle!$E$11,
IF(AX116=regle!$F$12,regle!$F$11,
IF(AX116=regle!$G$12,regle!$G$11,
IF(AX116=regle!$H$12,regle!$H$11,
IF(AX116=regle!$I$12,regle!$I$11,""))))))))))</f>
        <v/>
      </c>
      <c r="AE116" s="14">
        <f>IF($A116,$M116*(IF(U116=regle!$B$11,regle!$B$23,IF(U116=regle!$C$11,regle!$C$23,IF(U116=regle!$D$11,regle!$D$23,IF(U116=regle!$E$11,regle!$E$23,IF(U116=regle!$F$11,regle!$F$23,IF(U116=regle!$G$11,regle!$G$23,IF(U116=regle!$H$11,regle!$H$23,IF(U116=regle!$I$11,regle!$I$23,IF(U116=regle!$J$11,regle!$J$23,0)))))))))))</f>
        <v>0</v>
      </c>
      <c r="AF116" s="14">
        <f>IF($A116,$M116*(IF(V116=regle!$B$11,regle!$B$23,IF(V116=regle!$C$11,regle!$C$23,IF(V116=regle!$D$11,regle!$D$23,IF(V116=regle!$E$11,regle!$E$23,IF(V116=regle!$F$11,regle!$F$23,IF(V116=regle!$G$11,regle!$G$23,IF(V116=regle!$H$11,regle!$H$23,IF(V116=regle!$I$11,regle!$I$23,IF(V116=regle!$J$11,regle!$J$23,0)))))))))))</f>
        <v>0</v>
      </c>
      <c r="AG116" s="14">
        <f>IF($A116,$M116*(IF(W116=regle!$B$11,regle!$B$23,IF(W116=regle!$C$11,regle!$C$23,IF(W116=regle!$D$11,regle!$D$23,IF(W116=regle!$E$11,regle!$E$23,IF(W116=regle!$F$11,regle!$F$23,IF(W116=regle!$G$11,regle!$G$23,IF(W116=regle!$H$11,regle!$H$23,IF(W116=regle!$I$11,regle!$I$23,IF(W116=regle!$J$11,regle!$J$23,0)))))))))))</f>
        <v>0</v>
      </c>
      <c r="AH116" s="14">
        <f>IF($A116,$M116*(IF(X116=regle!$B$11,regle!$B$23,IF(X116=regle!$C$11,regle!$C$23,IF(X116=regle!$D$11,regle!$D$23,IF(X116=regle!$E$11,regle!$E$23,IF(X116=regle!$F$11,regle!$F$23,IF(X116=regle!$G$11,regle!$G$23,IF(X116=regle!$H$11,regle!$H$23,IF(X116=regle!$I$11,regle!$I$23,IF(X116=regle!$J$11,regle!$J$23,0)))))))))))</f>
        <v>523.072</v>
      </c>
      <c r="AI116" s="14">
        <f>IF($A116,$M116*(IF(Y116=regle!$B$11,regle!$B$23,IF(Y116=regle!$C$11,regle!$C$23,IF(Y116=regle!$D$11,regle!$D$23,IF(Y116=regle!$E$11,regle!$E$23,IF(Y116=regle!$F$11,regle!$F$23,IF(Y116=regle!$G$11,regle!$G$23,IF(Y116=regle!$H$11,regle!$H$23,IF(Y116=regle!$I$11,regle!$I$23,IF(Y116=regle!$J$11,regle!$J$23,0)))))))))))</f>
        <v>0</v>
      </c>
      <c r="AJ116" s="14">
        <f>IF($A116,$M116*(IF(Z116=regle!$B$11,regle!$B$23,IF(Z116=regle!$C$11,regle!$C$23,IF(Z116=regle!$D$11,regle!$D$23,IF(Z116=regle!$E$11,regle!$E$23,IF(Z116=regle!$F$11,regle!$F$23,IF(Z116=regle!$G$11,regle!$G$23,IF(Z116=regle!$H$11,regle!$H$23,IF(Z116=regle!$I$11,regle!$I$23,IF(Z116=regle!$J$11,regle!$J$23,0)))))))))))</f>
        <v>0</v>
      </c>
      <c r="AK116" s="14">
        <f>IF($A116,$M116*(IF(AA116=regle!$B$11,regle!$B$23,IF(AA116=regle!$C$11,regle!$C$23,IF(AA116=regle!$D$11,regle!$D$23,IF(AA116=regle!$E$11,regle!$E$23,IF(AA116=regle!$F$11,regle!$F$23,IF(AA116=regle!$G$11,regle!$G$23,IF(AA116=regle!$H$11,regle!$H$23,IF(AA116=regle!$I$11,regle!$I$23,IF(AA116=regle!$J$11,regle!$J$23,0)))))))))))</f>
        <v>0</v>
      </c>
      <c r="AL116" s="14">
        <f>IF($A116,$M116*(IF(AB116=regle!$B$11,regle!$B$23,IF(AB116=regle!$C$11,regle!$C$23,IF(AB116=regle!$D$11,regle!$D$23,IF(AB116=regle!$E$11,regle!$E$23,IF(AB116=regle!$F$11,regle!$F$23,IF(AB116=regle!$G$11,regle!$G$23,IF(AB116=regle!$H$11,regle!$H$23,IF(AB116=regle!$I$11,regle!$I$23,IF(AB116=regle!$J$11,regle!$J$23,0)))))))))))</f>
        <v>0</v>
      </c>
      <c r="AM116" s="14">
        <f>IF($A116,$M116*(IF(AC116=regle!$B$11,regle!$B$23,IF(AC116=regle!$C$11,regle!$C$23,IF(AC116=regle!$D$11,regle!$D$23,IF(AC116=regle!$E$11,regle!$E$23,IF(AC116=regle!$F$11,regle!$F$23,IF(AC116=regle!$G$11,regle!$G$23,IF(AC116=regle!$H$11,regle!$H$23,IF(AC116=regle!$I$11,regle!$I$23,IF(AC116=regle!$J$11,regle!$J$23,0)))))))))))</f>
        <v>475.52</v>
      </c>
      <c r="AN116" s="14">
        <f>IF($A116,$M116*(IF(AD116=regle!$B$11,regle!$B$23,IF(AD116=regle!$C$11,regle!$C$23,IF(AD116=regle!$D$11,regle!$D$23,IF(AD116=regle!$E$11,regle!$E$23,IF(AD116=regle!$F$11,regle!$F$23,IF(AD116=regle!$G$11,regle!$G$23,IF(AD116=regle!$H$11,regle!$H$23,IF(AD116=regle!$I$11,regle!$I$23,IF(AD116=regle!$J$11,regle!$J$23,0)))))))))))</f>
        <v>0</v>
      </c>
      <c r="AO116">
        <f>IF(AO$1=$AO$1,IF(regle!B$2-$Q116&gt;=regle!$J$12,-2,IF($S116,IF(regle!$B$2-$Q116&gt;=2,0,-1),regle!B$2-$Q116)),IF(AN116+1&gt;=regle!$J$12,-2,AN116+1))</f>
        <v>20</v>
      </c>
      <c r="AP116">
        <f>IF(AP$1=$AO$1,IF(regle!C$2-$Q116&gt;=regle!$J$12,-2,IF($S116,IF(regle!$B$2-$Q116&gt;=2,0,-1),regle!C$2-$Q116)),IF(AO116+1&gt;=regle!$J$12,-2,AO116+1))</f>
        <v>21</v>
      </c>
      <c r="AQ116">
        <f>IF(AQ$1=$AO$1,IF(regle!D$2-$Q116&gt;=regle!$J$12,-2,IF($S116,IF(regle!$B$2-$Q116&gt;=2,0,-1),regle!D$2-$Q116)),IF(AP116+1&gt;=regle!$J$12,-2,AP116+1))</f>
        <v>22</v>
      </c>
      <c r="AR116">
        <f>IF(AR$1=$AO$1,IF(regle!E$2-$Q116&gt;=regle!$J$12,-2,IF($S116,IF(regle!$B$2-$Q116&gt;=2,0,-1),regle!E$2-$Q116)),IF(AQ116+1&gt;=regle!$J$12,-2,AQ116+1))</f>
        <v>23</v>
      </c>
      <c r="AS116">
        <f>IF(AS$1=$AO$1,IF(regle!F$2-$Q116&gt;=regle!$J$12,-2,IF($S116,IF(regle!$B$2-$Q116&gt;=2,0,-1),regle!F$2-$Q116)),IF(AR116+1&gt;=regle!$J$12,-2,AR116+1))</f>
        <v>24</v>
      </c>
      <c r="AT116">
        <f>IF(AT$1=$AO$1,IF(regle!G$2-$Q116&gt;=regle!$J$12,-2,IF($S116,IF(regle!$B$2-$Q116&gt;=2,0,-1),regle!G$2-$Q116)),IF(AS116+1&gt;=regle!$J$12,-2,AS116+1))</f>
        <v>25</v>
      </c>
      <c r="AU116">
        <f>IF(AU$1=$AO$1,IF(regle!H$2-$Q116&gt;=regle!$J$12,-2,IF($S116,IF(regle!$B$2-$Q116&gt;=2,0,-1),regle!H$2-$Q116)),IF(AT116+1&gt;=regle!$J$12,-2,AT116+1))</f>
        <v>26</v>
      </c>
      <c r="AV116">
        <f>IF(AV$1=$AO$1,IF(regle!I$2-$Q116&gt;=regle!$J$12,-2,IF($S116,IF(regle!$B$2-$Q116&gt;=2,0,-1),regle!I$2-$Q116)),IF(AU116+1&gt;=regle!$J$12,-2,AU116+1))</f>
        <v>27</v>
      </c>
      <c r="AW116">
        <f>IF(AW$1=$AO$1,IF(regle!J$2-$Q116&gt;=regle!$J$12,-2,IF($S116,IF(regle!$B$2-$Q116&gt;=2,0,-1),regle!J$2-$Q116)),IF(AV116+1&gt;=regle!$J$12,-2,AV116+1))</f>
        <v>28</v>
      </c>
      <c r="AX116">
        <f>IF(AX$1=$AO$1,IF(regle!K$2-$Q116&gt;=regle!$J$12,-2,IF($S116,IF(regle!$B$2-$Q116&gt;=2,0,-1),regle!K$2-$Q116)),IF(AW116+1&gt;=regle!$J$12,-2,AW116+1))</f>
        <v>29</v>
      </c>
    </row>
    <row r="117" spans="1:50" x14ac:dyDescent="0.25">
      <c r="A117" t="b">
        <f>AND(modif0[[#This Row],[cdstr]]&lt;&gt;0,OR(regle!$H$27=FALSE,modif0[[#This Row],[essnc]]="PM"))</f>
        <v>1</v>
      </c>
      <c r="B117">
        <f>ROW(objet!A143)</f>
        <v>143</v>
      </c>
      <c r="C117" s="10" t="str">
        <f>objet!D143</f>
        <v>2020000B1149</v>
      </c>
      <c r="D117" t="str">
        <f>LEFT(modif0[[#This Row],[cdstr]],3)</f>
        <v>202</v>
      </c>
      <c r="E117" s="10" t="str">
        <f>objet!G143</f>
        <v>HOSTENS</v>
      </c>
      <c r="F117">
        <f>LEN(modif0[[#This Row],[l_dt]])</f>
        <v>11</v>
      </c>
      <c r="G117" s="10" t="str">
        <f>objet!H143</f>
        <v>LES CAZALAS</v>
      </c>
      <c r="H117" s="10" t="str">
        <f>objet!C143</f>
        <v>B1149j</v>
      </c>
      <c r="I117" t="str">
        <f>IF(ISNUMBER(VALUE(RIGHT(LEFT(modif0[[#This Row],[idntfn]],2),1))),_xlfn.CONCAT(0,LEFT(modif0[[#This Row],[idntfn]],1)),LEFT(modif0[[#This Row],[idntfn]],2))</f>
        <v>0B</v>
      </c>
      <c r="J117">
        <f>VALUE(LEFT(RIGHT(modif0[[#This Row],[idntfn]],LEN(modif0[[#This Row],[idntfn]])-IF(LEFT(modif0[[#This Row],[sctn]],1)="0",1,2)),LEN(modif0[[#This Row],[idntfn]])-IF(LEFT(modif0[[#This Row],[sctn]],1)="0",1,2)-LEN(modif0[[#This Row],[lttr]])))</f>
        <v>1149</v>
      </c>
      <c r="K117" t="str">
        <f>IF(ISNUMBER(VALUE(RIGHT(modif0[[#This Row],[idntfn]],1))),"",IF(ISNUMBER(VALUE(LEFT(RIGHT(modif0[[#This Row],[idntfn]],2),1))),RIGHT(modif0[[#This Row],[idntfn]],1),RIGHT(modif0[[#This Row],[idntfn]],2)))</f>
        <v>j</v>
      </c>
      <c r="L117" s="10">
        <f>objet!I143</f>
        <v>1508</v>
      </c>
      <c r="M117" s="11">
        <f>modif0[[#This Row],[srfc]]/10000</f>
        <v>0.15079999999999999</v>
      </c>
      <c r="N117" s="10" t="str">
        <f>objet!Z143</f>
        <v>PM</v>
      </c>
      <c r="O117" s="10" t="str">
        <f>objet!AA143</f>
        <v>PLA2006</v>
      </c>
      <c r="P117" t="str">
        <f>IF(ISNUMBER(modif0[[#This Row],[trvx]]),"",LEFT(modif0[[#This Row],[trvx]],LEN(modif0[[#This Row],[trvx]])-4))</f>
        <v>PLA</v>
      </c>
      <c r="Q117">
        <f>VALUE(RIGHT(modif0[[#This Row],[trvx]],4))</f>
        <v>2006</v>
      </c>
      <c r="R117" t="str">
        <f>_xlfn.CONCAT(modif0[[#This Row],[tp]],"-",modif0[[#This Row],[essnc]],"_",modif0[[#This Row],[anns]])</f>
        <v>PLA-PM_2006</v>
      </c>
      <c r="S117" t="b">
        <f>modif0[[#This Row],[tp]]="CR"</f>
        <v>0</v>
      </c>
      <c r="T117">
        <v>40</v>
      </c>
      <c r="U117" t="str">
        <f>IF(NOT($A117),"",
IF(AO117=-2,regle!$J$11,
IF(AO117=regle!$B$12,regle!$B$11,
IF(AO117=regle!$C$12,regle!$C$11,
IF(AO117=regle!$D$12,regle!$D$11,
IF(AO117=regle!$E$12,regle!$E$11,
IF(AO117=regle!$F$12,regle!$F$11,
IF(AO117=regle!$G$12,regle!$G$11,
IF(AO117=regle!$H$12,regle!$H$11,
IF(AO117=regle!$I$12,regle!$I$11,""))))))))))</f>
        <v>EC2</v>
      </c>
      <c r="V117" t="str">
        <f>IF(NOT($A117),"",
IF(AP117=-2,regle!$J$11,
IF(AP117=regle!$B$12,regle!$B$11,
IF(AP117=regle!$C$12,regle!$C$11,
IF(AP117=regle!$D$12,regle!$D$11,
IF(AP117=regle!$E$12,regle!$E$11,
IF(AP117=regle!$F$12,regle!$F$11,
IF(AP117=regle!$G$12,regle!$G$11,
IF(AP117=regle!$H$12,regle!$H$11,
IF(AP117=regle!$I$12,regle!$I$11,""))))))))))</f>
        <v/>
      </c>
      <c r="W117" t="str">
        <f>IF(NOT($A117),"",
IF(AQ117=-2,regle!$J$11,
IF(AQ117=regle!$B$12,regle!$B$11,
IF(AQ117=regle!$C$12,regle!$C$11,
IF(AQ117=regle!$D$12,regle!$D$11,
IF(AQ117=regle!$E$12,regle!$E$11,
IF(AQ117=regle!$F$12,regle!$F$11,
IF(AQ117=regle!$G$12,regle!$G$11,
IF(AQ117=regle!$H$12,regle!$H$11,
IF(AQ117=regle!$I$12,regle!$I$11,""))))))))))</f>
        <v/>
      </c>
      <c r="X117" t="str">
        <f>IF(NOT($A117),"",
IF(AR117=-2,regle!$J$11,
IF(AR117=regle!$B$12,regle!$B$11,
IF(AR117=regle!$C$12,regle!$C$11,
IF(AR117=regle!$D$12,regle!$D$11,
IF(AR117=regle!$E$12,regle!$E$11,
IF(AR117=regle!$F$12,regle!$F$11,
IF(AR117=regle!$G$12,regle!$G$11,
IF(AR117=regle!$H$12,regle!$H$11,
IF(AR117=regle!$I$12,regle!$I$11,""))))))))))</f>
        <v/>
      </c>
      <c r="Y117" t="str">
        <f>IF(NOT($A117),"",
IF(AS117=-2,regle!$J$11,
IF(AS117=regle!$B$12,regle!$B$11,
IF(AS117=regle!$C$12,regle!$C$11,
IF(AS117=regle!$D$12,regle!$D$11,
IF(AS117=regle!$E$12,regle!$E$11,
IF(AS117=regle!$F$12,regle!$F$11,
IF(AS117=regle!$G$12,regle!$G$11,
IF(AS117=regle!$H$12,regle!$H$11,
IF(AS117=regle!$I$12,regle!$I$11,""))))))))))</f>
        <v/>
      </c>
      <c r="Z117" t="str">
        <f>IF(NOT($A117),"",
IF(AT117=-2,regle!$J$11,
IF(AT117=regle!$B$12,regle!$B$11,
IF(AT117=regle!$C$12,regle!$C$11,
IF(AT117=regle!$D$12,regle!$D$11,
IF(AT117=regle!$E$12,regle!$E$11,
IF(AT117=regle!$F$12,regle!$F$11,
IF(AT117=regle!$G$12,regle!$G$11,
IF(AT117=regle!$H$12,regle!$H$11,
IF(AT117=regle!$I$12,regle!$I$11,""))))))))))</f>
        <v>EC3</v>
      </c>
      <c r="AA117" t="str">
        <f>IF(NOT($A117),"",
IF(AU117=-2,regle!$J$11,
IF(AU117=regle!$B$12,regle!$B$11,
IF(AU117=regle!$C$12,regle!$C$11,
IF(AU117=regle!$D$12,regle!$D$11,
IF(AU117=regle!$E$12,regle!$E$11,
IF(AU117=regle!$F$12,regle!$F$11,
IF(AU117=regle!$G$12,regle!$G$11,
IF(AU117=regle!$H$12,regle!$H$11,
IF(AU117=regle!$I$12,regle!$I$11,""))))))))))</f>
        <v/>
      </c>
      <c r="AB117" t="str">
        <f>IF(NOT($A117),"",
IF(AV117=-2,regle!$J$11,
IF(AV117=regle!$B$12,regle!$B$11,
IF(AV117=regle!$C$12,regle!$C$11,
IF(AV117=regle!$D$12,regle!$D$11,
IF(AV117=regle!$E$12,regle!$E$11,
IF(AV117=regle!$F$12,regle!$F$11,
IF(AV117=regle!$G$12,regle!$G$11,
IF(AV117=regle!$H$12,regle!$H$11,
IF(AV117=regle!$I$12,regle!$I$11,""))))))))))</f>
        <v/>
      </c>
      <c r="AC117" t="str">
        <f>IF(NOT($A117),"",
IF(AW117=-2,regle!$J$11,
IF(AW117=regle!$B$12,regle!$B$11,
IF(AW117=regle!$C$12,regle!$C$11,
IF(AW117=regle!$D$12,regle!$D$11,
IF(AW117=regle!$E$12,regle!$E$11,
IF(AW117=regle!$F$12,regle!$F$11,
IF(AW117=regle!$G$12,regle!$G$11,
IF(AW117=regle!$H$12,regle!$H$11,
IF(AW117=regle!$I$12,regle!$I$11,""))))))))))</f>
        <v/>
      </c>
      <c r="AD117" t="str">
        <f>IF(NOT($A117),"",
IF(AX117=-2,regle!$J$11,
IF(AX117=regle!$B$12,regle!$B$11,
IF(AX117=regle!$C$12,regle!$C$11,
IF(AX117=regle!$D$12,regle!$D$11,
IF(AX117=regle!$E$12,regle!$E$11,
IF(AX117=regle!$F$12,regle!$F$11,
IF(AX117=regle!$G$12,regle!$G$11,
IF(AX117=regle!$H$12,regle!$H$11,
IF(AX117=regle!$I$12,regle!$I$11,""))))))))))</f>
        <v/>
      </c>
      <c r="AE117" s="14">
        <f>IF($A117,$M117*(IF(U117=regle!$B$11,regle!$B$23,IF(U117=regle!$C$11,regle!$C$23,IF(U117=regle!$D$11,regle!$D$23,IF(U117=regle!$E$11,regle!$E$23,IF(U117=regle!$F$11,regle!$F$23,IF(U117=regle!$G$11,regle!$G$23,IF(U117=regle!$H$11,regle!$H$23,IF(U117=regle!$I$11,regle!$I$23,IF(U117=regle!$J$11,regle!$J$23,0)))))))))))</f>
        <v>126.672</v>
      </c>
      <c r="AF117" s="14">
        <f>IF($A117,$M117*(IF(V117=regle!$B$11,regle!$B$23,IF(V117=regle!$C$11,regle!$C$23,IF(V117=regle!$D$11,regle!$D$23,IF(V117=regle!$E$11,regle!$E$23,IF(V117=regle!$F$11,regle!$F$23,IF(V117=regle!$G$11,regle!$G$23,IF(V117=regle!$H$11,regle!$H$23,IF(V117=regle!$I$11,regle!$I$23,IF(V117=regle!$J$11,regle!$J$23,0)))))))))))</f>
        <v>0</v>
      </c>
      <c r="AG117" s="14">
        <f>IF($A117,$M117*(IF(W117=regle!$B$11,regle!$B$23,IF(W117=regle!$C$11,regle!$C$23,IF(W117=regle!$D$11,regle!$D$23,IF(W117=regle!$E$11,regle!$E$23,IF(W117=regle!$F$11,regle!$F$23,IF(W117=regle!$G$11,regle!$G$23,IF(W117=regle!$H$11,regle!$H$23,IF(W117=regle!$I$11,regle!$I$23,IF(W117=regle!$J$11,regle!$J$23,0)))))))))))</f>
        <v>0</v>
      </c>
      <c r="AH117" s="14">
        <f>IF($A117,$M117*(IF(X117=regle!$B$11,regle!$B$23,IF(X117=regle!$C$11,regle!$C$23,IF(X117=regle!$D$11,regle!$D$23,IF(X117=regle!$E$11,regle!$E$23,IF(X117=regle!$F$11,regle!$F$23,IF(X117=regle!$G$11,regle!$G$23,IF(X117=regle!$H$11,regle!$H$23,IF(X117=regle!$I$11,regle!$I$23,IF(X117=regle!$J$11,regle!$J$23,0)))))))))))</f>
        <v>0</v>
      </c>
      <c r="AI117" s="14">
        <f>IF($A117,$M117*(IF(Y117=regle!$B$11,regle!$B$23,IF(Y117=regle!$C$11,regle!$C$23,IF(Y117=regle!$D$11,regle!$D$23,IF(Y117=regle!$E$11,regle!$E$23,IF(Y117=regle!$F$11,regle!$F$23,IF(Y117=regle!$G$11,regle!$G$23,IF(Y117=regle!$H$11,regle!$H$23,IF(Y117=regle!$I$11,regle!$I$23,IF(Y117=regle!$J$11,regle!$J$23,0)))))))))))</f>
        <v>0</v>
      </c>
      <c r="AJ117" s="14">
        <f>IF($A117,$M117*(IF(Z117=regle!$B$11,regle!$B$23,IF(Z117=regle!$C$11,regle!$C$23,IF(Z117=regle!$D$11,regle!$D$23,IF(Z117=regle!$E$11,regle!$E$23,IF(Z117=regle!$F$11,regle!$F$23,IF(Z117=regle!$G$11,regle!$G$23,IF(Z117=regle!$H$11,regle!$H$23,IF(Z117=regle!$I$11,regle!$I$23,IF(Z117=regle!$J$11,regle!$J$23,0)))))))))))</f>
        <v>212.32639999999998</v>
      </c>
      <c r="AK117" s="14">
        <f>IF($A117,$M117*(IF(AA117=regle!$B$11,regle!$B$23,IF(AA117=regle!$C$11,regle!$C$23,IF(AA117=regle!$D$11,regle!$D$23,IF(AA117=regle!$E$11,regle!$E$23,IF(AA117=regle!$F$11,regle!$F$23,IF(AA117=regle!$G$11,regle!$G$23,IF(AA117=regle!$H$11,regle!$H$23,IF(AA117=regle!$I$11,regle!$I$23,IF(AA117=regle!$J$11,regle!$J$23,0)))))))))))</f>
        <v>0</v>
      </c>
      <c r="AL117" s="14">
        <f>IF($A117,$M117*(IF(AB117=regle!$B$11,regle!$B$23,IF(AB117=regle!$C$11,regle!$C$23,IF(AB117=regle!$D$11,regle!$D$23,IF(AB117=regle!$E$11,regle!$E$23,IF(AB117=regle!$F$11,regle!$F$23,IF(AB117=regle!$G$11,regle!$G$23,IF(AB117=regle!$H$11,regle!$H$23,IF(AB117=regle!$I$11,regle!$I$23,IF(AB117=regle!$J$11,regle!$J$23,0)))))))))))</f>
        <v>0</v>
      </c>
      <c r="AM117" s="14">
        <f>IF($A117,$M117*(IF(AC117=regle!$B$11,regle!$B$23,IF(AC117=regle!$C$11,regle!$C$23,IF(AC117=regle!$D$11,regle!$D$23,IF(AC117=regle!$E$11,regle!$E$23,IF(AC117=regle!$F$11,regle!$F$23,IF(AC117=regle!$G$11,regle!$G$23,IF(AC117=regle!$H$11,regle!$H$23,IF(AC117=regle!$I$11,regle!$I$23,IF(AC117=regle!$J$11,regle!$J$23,0)))))))))))</f>
        <v>0</v>
      </c>
      <c r="AN117" s="14">
        <f>IF($A117,$M117*(IF(AD117=regle!$B$11,regle!$B$23,IF(AD117=regle!$C$11,regle!$C$23,IF(AD117=regle!$D$11,regle!$D$23,IF(AD117=regle!$E$11,regle!$E$23,IF(AD117=regle!$F$11,regle!$F$23,IF(AD117=regle!$G$11,regle!$G$23,IF(AD117=regle!$H$11,regle!$H$23,IF(AD117=regle!$I$11,regle!$I$23,IF(AD117=regle!$J$11,regle!$J$23,0)))))))))))</f>
        <v>0</v>
      </c>
      <c r="AO117">
        <f>IF(AO$1=$AO$1,IF(regle!B$2-$Q117&gt;=regle!$J$12,-2,IF($S117,IF(regle!$B$2-$Q117&gt;=2,0,-1),regle!B$2-$Q117)),IF(AN117+1&gt;=regle!$J$12,-2,AN117+1))</f>
        <v>18</v>
      </c>
      <c r="AP117">
        <f>IF(AP$1=$AO$1,IF(regle!C$2-$Q117&gt;=regle!$J$12,-2,IF($S117,IF(regle!$B$2-$Q117&gt;=2,0,-1),regle!C$2-$Q117)),IF(AO117+1&gt;=regle!$J$12,-2,AO117+1))</f>
        <v>19</v>
      </c>
      <c r="AQ117">
        <f>IF(AQ$1=$AO$1,IF(regle!D$2-$Q117&gt;=regle!$J$12,-2,IF($S117,IF(regle!$B$2-$Q117&gt;=2,0,-1),regle!D$2-$Q117)),IF(AP117+1&gt;=regle!$J$12,-2,AP117+1))</f>
        <v>20</v>
      </c>
      <c r="AR117">
        <f>IF(AR$1=$AO$1,IF(regle!E$2-$Q117&gt;=regle!$J$12,-2,IF($S117,IF(regle!$B$2-$Q117&gt;=2,0,-1),regle!E$2-$Q117)),IF(AQ117+1&gt;=regle!$J$12,-2,AQ117+1))</f>
        <v>21</v>
      </c>
      <c r="AS117">
        <f>IF(AS$1=$AO$1,IF(regle!F$2-$Q117&gt;=regle!$J$12,-2,IF($S117,IF(regle!$B$2-$Q117&gt;=2,0,-1),regle!F$2-$Q117)),IF(AR117+1&gt;=regle!$J$12,-2,AR117+1))</f>
        <v>22</v>
      </c>
      <c r="AT117">
        <f>IF(AT$1=$AO$1,IF(regle!G$2-$Q117&gt;=regle!$J$12,-2,IF($S117,IF(regle!$B$2-$Q117&gt;=2,0,-1),regle!G$2-$Q117)),IF(AS117+1&gt;=regle!$J$12,-2,AS117+1))</f>
        <v>23</v>
      </c>
      <c r="AU117">
        <f>IF(AU$1=$AO$1,IF(regle!H$2-$Q117&gt;=regle!$J$12,-2,IF($S117,IF(regle!$B$2-$Q117&gt;=2,0,-1),regle!H$2-$Q117)),IF(AT117+1&gt;=regle!$J$12,-2,AT117+1))</f>
        <v>24</v>
      </c>
      <c r="AV117">
        <f>IF(AV$1=$AO$1,IF(regle!I$2-$Q117&gt;=regle!$J$12,-2,IF($S117,IF(regle!$B$2-$Q117&gt;=2,0,-1),regle!I$2-$Q117)),IF(AU117+1&gt;=regle!$J$12,-2,AU117+1))</f>
        <v>25</v>
      </c>
      <c r="AW117">
        <f>IF(AW$1=$AO$1,IF(regle!J$2-$Q117&gt;=regle!$J$12,-2,IF($S117,IF(regle!$B$2-$Q117&gt;=2,0,-1),regle!J$2-$Q117)),IF(AV117+1&gt;=regle!$J$12,-2,AV117+1))</f>
        <v>26</v>
      </c>
      <c r="AX117">
        <f>IF(AX$1=$AO$1,IF(regle!K$2-$Q117&gt;=regle!$J$12,-2,IF($S117,IF(regle!$B$2-$Q117&gt;=2,0,-1),regle!K$2-$Q117)),IF(AW117+1&gt;=regle!$J$12,-2,AW117+1))</f>
        <v>27</v>
      </c>
    </row>
    <row r="118" spans="1:50" x14ac:dyDescent="0.25">
      <c r="A118" t="b">
        <f>AND(modif0[[#This Row],[cdstr]]&lt;&gt;0,OR(regle!$H$27=FALSE,modif0[[#This Row],[essnc]]="PM"))</f>
        <v>1</v>
      </c>
      <c r="B118">
        <f>ROW(objet!A144)</f>
        <v>144</v>
      </c>
      <c r="C118" s="10" t="str">
        <f>objet!D144</f>
        <v>2020000B1149</v>
      </c>
      <c r="D118" t="str">
        <f>LEFT(modif0[[#This Row],[cdstr]],3)</f>
        <v>202</v>
      </c>
      <c r="E118" s="10" t="str">
        <f>objet!G144</f>
        <v>HOSTENS</v>
      </c>
      <c r="F118">
        <f>LEN(modif0[[#This Row],[l_dt]])</f>
        <v>11</v>
      </c>
      <c r="G118" s="10" t="str">
        <f>objet!H144</f>
        <v>LES CAZALAS</v>
      </c>
      <c r="H118" s="10" t="str">
        <f>objet!C144</f>
        <v>B1149k</v>
      </c>
      <c r="I118" t="str">
        <f>IF(ISNUMBER(VALUE(RIGHT(LEFT(modif0[[#This Row],[idntfn]],2),1))),_xlfn.CONCAT(0,LEFT(modif0[[#This Row],[idntfn]],1)),LEFT(modif0[[#This Row],[idntfn]],2))</f>
        <v>0B</v>
      </c>
      <c r="J118">
        <f>VALUE(LEFT(RIGHT(modif0[[#This Row],[idntfn]],LEN(modif0[[#This Row],[idntfn]])-IF(LEFT(modif0[[#This Row],[sctn]],1)="0",1,2)),LEN(modif0[[#This Row],[idntfn]])-IF(LEFT(modif0[[#This Row],[sctn]],1)="0",1,2)-LEN(modif0[[#This Row],[lttr]])))</f>
        <v>1149</v>
      </c>
      <c r="K118" t="str">
        <f>IF(ISNUMBER(VALUE(RIGHT(modif0[[#This Row],[idntfn]],1))),"",IF(ISNUMBER(VALUE(LEFT(RIGHT(modif0[[#This Row],[idntfn]],2),1))),RIGHT(modif0[[#This Row],[idntfn]],1),RIGHT(modif0[[#This Row],[idntfn]],2)))</f>
        <v>k</v>
      </c>
      <c r="L118" s="10">
        <f>objet!I144</f>
        <v>3237</v>
      </c>
      <c r="M118" s="11">
        <f>modif0[[#This Row],[srfc]]/10000</f>
        <v>0.32369999999999999</v>
      </c>
      <c r="N118" s="10" t="str">
        <f>objet!Z144</f>
        <v>PM</v>
      </c>
      <c r="O118" s="10" t="str">
        <f>objet!AA144</f>
        <v>PLA2004</v>
      </c>
      <c r="P118" t="str">
        <f>IF(ISNUMBER(modif0[[#This Row],[trvx]]),"",LEFT(modif0[[#This Row],[trvx]],LEN(modif0[[#This Row],[trvx]])-4))</f>
        <v>PLA</v>
      </c>
      <c r="Q118">
        <f>VALUE(RIGHT(modif0[[#This Row],[trvx]],4))</f>
        <v>2004</v>
      </c>
      <c r="R118" t="str">
        <f>_xlfn.CONCAT(modif0[[#This Row],[tp]],"-",modif0[[#This Row],[essnc]],"_",modif0[[#This Row],[anns]])</f>
        <v>PLA-PM_2004</v>
      </c>
      <c r="S118" t="b">
        <f>modif0[[#This Row],[tp]]="CR"</f>
        <v>0</v>
      </c>
      <c r="T118">
        <v>40</v>
      </c>
      <c r="U118" t="str">
        <f>IF(NOT($A118),"",
IF(AO118=-2,regle!$J$11,
IF(AO118=regle!$B$12,regle!$B$11,
IF(AO118=regle!$C$12,regle!$C$11,
IF(AO118=regle!$D$12,regle!$D$11,
IF(AO118=regle!$E$12,regle!$E$11,
IF(AO118=regle!$F$12,regle!$F$11,
IF(AO118=regle!$G$12,regle!$G$11,
IF(AO118=regle!$H$12,regle!$H$11,
IF(AO118=regle!$I$12,regle!$I$11,""))))))))))</f>
        <v/>
      </c>
      <c r="V118" t="str">
        <f>IF(NOT($A118),"",
IF(AP118=-2,regle!$J$11,
IF(AP118=regle!$B$12,regle!$B$11,
IF(AP118=regle!$C$12,regle!$C$11,
IF(AP118=regle!$D$12,regle!$D$11,
IF(AP118=regle!$E$12,regle!$E$11,
IF(AP118=regle!$F$12,regle!$F$11,
IF(AP118=regle!$G$12,regle!$G$11,
IF(AP118=regle!$H$12,regle!$H$11,
IF(AP118=regle!$I$12,regle!$I$11,""))))))))))</f>
        <v/>
      </c>
      <c r="W118" t="str">
        <f>IF(NOT($A118),"",
IF(AQ118=-2,regle!$J$11,
IF(AQ118=regle!$B$12,regle!$B$11,
IF(AQ118=regle!$C$12,regle!$C$11,
IF(AQ118=regle!$D$12,regle!$D$11,
IF(AQ118=regle!$E$12,regle!$E$11,
IF(AQ118=regle!$F$12,regle!$F$11,
IF(AQ118=regle!$G$12,regle!$G$11,
IF(AQ118=regle!$H$12,regle!$H$11,
IF(AQ118=regle!$I$12,regle!$I$11,""))))))))))</f>
        <v/>
      </c>
      <c r="X118" t="str">
        <f>IF(NOT($A118),"",
IF(AR118=-2,regle!$J$11,
IF(AR118=regle!$B$12,regle!$B$11,
IF(AR118=regle!$C$12,regle!$C$11,
IF(AR118=regle!$D$12,regle!$D$11,
IF(AR118=regle!$E$12,regle!$E$11,
IF(AR118=regle!$F$12,regle!$F$11,
IF(AR118=regle!$G$12,regle!$G$11,
IF(AR118=regle!$H$12,regle!$H$11,
IF(AR118=regle!$I$12,regle!$I$11,""))))))))))</f>
        <v>EC3</v>
      </c>
      <c r="Y118" t="str">
        <f>IF(NOT($A118),"",
IF(AS118=-2,regle!$J$11,
IF(AS118=regle!$B$12,regle!$B$11,
IF(AS118=regle!$C$12,regle!$C$11,
IF(AS118=regle!$D$12,regle!$D$11,
IF(AS118=regle!$E$12,regle!$E$11,
IF(AS118=regle!$F$12,regle!$F$11,
IF(AS118=regle!$G$12,regle!$G$11,
IF(AS118=regle!$H$12,regle!$H$11,
IF(AS118=regle!$I$12,regle!$I$11,""))))))))))</f>
        <v/>
      </c>
      <c r="Z118" t="str">
        <f>IF(NOT($A118),"",
IF(AT118=-2,regle!$J$11,
IF(AT118=regle!$B$12,regle!$B$11,
IF(AT118=regle!$C$12,regle!$C$11,
IF(AT118=regle!$D$12,regle!$D$11,
IF(AT118=regle!$E$12,regle!$E$11,
IF(AT118=regle!$F$12,regle!$F$11,
IF(AT118=regle!$G$12,regle!$G$11,
IF(AT118=regle!$H$12,regle!$H$11,
IF(AT118=regle!$I$12,regle!$I$11,""))))))))))</f>
        <v/>
      </c>
      <c r="AA118" t="str">
        <f>IF(NOT($A118),"",
IF(AU118=-2,regle!$J$11,
IF(AU118=regle!$B$12,regle!$B$11,
IF(AU118=regle!$C$12,regle!$C$11,
IF(AU118=regle!$D$12,regle!$D$11,
IF(AU118=regle!$E$12,regle!$E$11,
IF(AU118=regle!$F$12,regle!$F$11,
IF(AU118=regle!$G$12,regle!$G$11,
IF(AU118=regle!$H$12,regle!$H$11,
IF(AU118=regle!$I$12,regle!$I$11,""))))))))))</f>
        <v/>
      </c>
      <c r="AB118" t="str">
        <f>IF(NOT($A118),"",
IF(AV118=-2,regle!$J$11,
IF(AV118=regle!$B$12,regle!$B$11,
IF(AV118=regle!$C$12,regle!$C$11,
IF(AV118=regle!$D$12,regle!$D$11,
IF(AV118=regle!$E$12,regle!$E$11,
IF(AV118=regle!$F$12,regle!$F$11,
IF(AV118=regle!$G$12,regle!$G$11,
IF(AV118=regle!$H$12,regle!$H$11,
IF(AV118=regle!$I$12,regle!$I$11,""))))))))))</f>
        <v/>
      </c>
      <c r="AC118" t="str">
        <f>IF(NOT($A118),"",
IF(AW118=-2,regle!$J$11,
IF(AW118=regle!$B$12,regle!$B$11,
IF(AW118=regle!$C$12,regle!$C$11,
IF(AW118=regle!$D$12,regle!$D$11,
IF(AW118=regle!$E$12,regle!$E$11,
IF(AW118=regle!$F$12,regle!$F$11,
IF(AW118=regle!$G$12,regle!$G$11,
IF(AW118=regle!$H$12,regle!$H$11,
IF(AW118=regle!$I$12,regle!$I$11,""))))))))))</f>
        <v>EC4</v>
      </c>
      <c r="AD118" t="str">
        <f>IF(NOT($A118),"",
IF(AX118=-2,regle!$J$11,
IF(AX118=regle!$B$12,regle!$B$11,
IF(AX118=regle!$C$12,regle!$C$11,
IF(AX118=regle!$D$12,regle!$D$11,
IF(AX118=regle!$E$12,regle!$E$11,
IF(AX118=regle!$F$12,regle!$F$11,
IF(AX118=regle!$G$12,regle!$G$11,
IF(AX118=regle!$H$12,regle!$H$11,
IF(AX118=regle!$I$12,regle!$I$11,""))))))))))</f>
        <v/>
      </c>
      <c r="AE118" s="14">
        <f>IF($A118,$M118*(IF(U118=regle!$B$11,regle!$B$23,IF(U118=regle!$C$11,regle!$C$23,IF(U118=regle!$D$11,regle!$D$23,IF(U118=regle!$E$11,regle!$E$23,IF(U118=regle!$F$11,regle!$F$23,IF(U118=regle!$G$11,regle!$G$23,IF(U118=regle!$H$11,regle!$H$23,IF(U118=regle!$I$11,regle!$I$23,IF(U118=regle!$J$11,regle!$J$23,0)))))))))))</f>
        <v>0</v>
      </c>
      <c r="AF118" s="14">
        <f>IF($A118,$M118*(IF(V118=regle!$B$11,regle!$B$23,IF(V118=regle!$C$11,regle!$C$23,IF(V118=regle!$D$11,regle!$D$23,IF(V118=regle!$E$11,regle!$E$23,IF(V118=regle!$F$11,regle!$F$23,IF(V118=regle!$G$11,regle!$G$23,IF(V118=regle!$H$11,regle!$H$23,IF(V118=regle!$I$11,regle!$I$23,IF(V118=regle!$J$11,regle!$J$23,0)))))))))))</f>
        <v>0</v>
      </c>
      <c r="AG118" s="14">
        <f>IF($A118,$M118*(IF(W118=regle!$B$11,regle!$B$23,IF(W118=regle!$C$11,regle!$C$23,IF(W118=regle!$D$11,regle!$D$23,IF(W118=regle!$E$11,regle!$E$23,IF(W118=regle!$F$11,regle!$F$23,IF(W118=regle!$G$11,regle!$G$23,IF(W118=regle!$H$11,regle!$H$23,IF(W118=regle!$I$11,regle!$I$23,IF(W118=regle!$J$11,regle!$J$23,0)))))))))))</f>
        <v>0</v>
      </c>
      <c r="AH118" s="14">
        <f>IF($A118,$M118*(IF(X118=regle!$B$11,regle!$B$23,IF(X118=regle!$C$11,regle!$C$23,IF(X118=regle!$D$11,regle!$D$23,IF(X118=regle!$E$11,regle!$E$23,IF(X118=regle!$F$11,regle!$F$23,IF(X118=regle!$G$11,regle!$G$23,IF(X118=regle!$H$11,regle!$H$23,IF(X118=regle!$I$11,regle!$I$23,IF(X118=regle!$J$11,regle!$J$23,0)))))))))))</f>
        <v>455.76959999999997</v>
      </c>
      <c r="AI118" s="14">
        <f>IF($A118,$M118*(IF(Y118=regle!$B$11,regle!$B$23,IF(Y118=regle!$C$11,regle!$C$23,IF(Y118=regle!$D$11,regle!$D$23,IF(Y118=regle!$E$11,regle!$E$23,IF(Y118=regle!$F$11,regle!$F$23,IF(Y118=regle!$G$11,regle!$G$23,IF(Y118=regle!$H$11,regle!$H$23,IF(Y118=regle!$I$11,regle!$I$23,IF(Y118=regle!$J$11,regle!$J$23,0)))))))))))</f>
        <v>0</v>
      </c>
      <c r="AJ118" s="14">
        <f>IF($A118,$M118*(IF(Z118=regle!$B$11,regle!$B$23,IF(Z118=regle!$C$11,regle!$C$23,IF(Z118=regle!$D$11,regle!$D$23,IF(Z118=regle!$E$11,regle!$E$23,IF(Z118=regle!$F$11,regle!$F$23,IF(Z118=regle!$G$11,regle!$G$23,IF(Z118=regle!$H$11,regle!$H$23,IF(Z118=regle!$I$11,regle!$I$23,IF(Z118=regle!$J$11,regle!$J$23,0)))))))))))</f>
        <v>0</v>
      </c>
      <c r="AK118" s="14">
        <f>IF($A118,$M118*(IF(AA118=regle!$B$11,regle!$B$23,IF(AA118=regle!$C$11,regle!$C$23,IF(AA118=regle!$D$11,regle!$D$23,IF(AA118=regle!$E$11,regle!$E$23,IF(AA118=regle!$F$11,regle!$F$23,IF(AA118=regle!$G$11,regle!$G$23,IF(AA118=regle!$H$11,regle!$H$23,IF(AA118=regle!$I$11,regle!$I$23,IF(AA118=regle!$J$11,regle!$J$23,0)))))))))))</f>
        <v>0</v>
      </c>
      <c r="AL118" s="14">
        <f>IF($A118,$M118*(IF(AB118=regle!$B$11,regle!$B$23,IF(AB118=regle!$C$11,regle!$C$23,IF(AB118=regle!$D$11,regle!$D$23,IF(AB118=regle!$E$11,regle!$E$23,IF(AB118=regle!$F$11,regle!$F$23,IF(AB118=regle!$G$11,regle!$G$23,IF(AB118=regle!$H$11,regle!$H$23,IF(AB118=regle!$I$11,regle!$I$23,IF(AB118=regle!$J$11,regle!$J$23,0)))))))))))</f>
        <v>0</v>
      </c>
      <c r="AM118" s="14">
        <f>IF($A118,$M118*(IF(AC118=regle!$B$11,regle!$B$23,IF(AC118=regle!$C$11,regle!$C$23,IF(AC118=regle!$D$11,regle!$D$23,IF(AC118=regle!$E$11,regle!$E$23,IF(AC118=regle!$F$11,regle!$F$23,IF(AC118=regle!$G$11,regle!$G$23,IF(AC118=regle!$H$11,regle!$H$23,IF(AC118=regle!$I$11,regle!$I$23,IF(AC118=regle!$J$11,regle!$J$23,0)))))))))))</f>
        <v>414.33600000000001</v>
      </c>
      <c r="AN118" s="14">
        <f>IF($A118,$M118*(IF(AD118=regle!$B$11,regle!$B$23,IF(AD118=regle!$C$11,regle!$C$23,IF(AD118=regle!$D$11,regle!$D$23,IF(AD118=regle!$E$11,regle!$E$23,IF(AD118=regle!$F$11,regle!$F$23,IF(AD118=regle!$G$11,regle!$G$23,IF(AD118=regle!$H$11,regle!$H$23,IF(AD118=regle!$I$11,regle!$I$23,IF(AD118=regle!$J$11,regle!$J$23,0)))))))))))</f>
        <v>0</v>
      </c>
      <c r="AO118">
        <f>IF(AO$1=$AO$1,IF(regle!B$2-$Q118&gt;=regle!$J$12,-2,IF($S118,IF(regle!$B$2-$Q118&gt;=2,0,-1),regle!B$2-$Q118)),IF(AN118+1&gt;=regle!$J$12,-2,AN118+1))</f>
        <v>20</v>
      </c>
      <c r="AP118">
        <f>IF(AP$1=$AO$1,IF(regle!C$2-$Q118&gt;=regle!$J$12,-2,IF($S118,IF(regle!$B$2-$Q118&gt;=2,0,-1),regle!C$2-$Q118)),IF(AO118+1&gt;=regle!$J$12,-2,AO118+1))</f>
        <v>21</v>
      </c>
      <c r="AQ118">
        <f>IF(AQ$1=$AO$1,IF(regle!D$2-$Q118&gt;=regle!$J$12,-2,IF($S118,IF(regle!$B$2-$Q118&gt;=2,0,-1),regle!D$2-$Q118)),IF(AP118+1&gt;=regle!$J$12,-2,AP118+1))</f>
        <v>22</v>
      </c>
      <c r="AR118">
        <f>IF(AR$1=$AO$1,IF(regle!E$2-$Q118&gt;=regle!$J$12,-2,IF($S118,IF(regle!$B$2-$Q118&gt;=2,0,-1),regle!E$2-$Q118)),IF(AQ118+1&gt;=regle!$J$12,-2,AQ118+1))</f>
        <v>23</v>
      </c>
      <c r="AS118">
        <f>IF(AS$1=$AO$1,IF(regle!F$2-$Q118&gt;=regle!$J$12,-2,IF($S118,IF(regle!$B$2-$Q118&gt;=2,0,-1),regle!F$2-$Q118)),IF(AR118+1&gt;=regle!$J$12,-2,AR118+1))</f>
        <v>24</v>
      </c>
      <c r="AT118">
        <f>IF(AT$1=$AO$1,IF(regle!G$2-$Q118&gt;=regle!$J$12,-2,IF($S118,IF(regle!$B$2-$Q118&gt;=2,0,-1),regle!G$2-$Q118)),IF(AS118+1&gt;=regle!$J$12,-2,AS118+1))</f>
        <v>25</v>
      </c>
      <c r="AU118">
        <f>IF(AU$1=$AO$1,IF(regle!H$2-$Q118&gt;=regle!$J$12,-2,IF($S118,IF(regle!$B$2-$Q118&gt;=2,0,-1),regle!H$2-$Q118)),IF(AT118+1&gt;=regle!$J$12,-2,AT118+1))</f>
        <v>26</v>
      </c>
      <c r="AV118">
        <f>IF(AV$1=$AO$1,IF(regle!I$2-$Q118&gt;=regle!$J$12,-2,IF($S118,IF(regle!$B$2-$Q118&gt;=2,0,-1),regle!I$2-$Q118)),IF(AU118+1&gt;=regle!$J$12,-2,AU118+1))</f>
        <v>27</v>
      </c>
      <c r="AW118">
        <f>IF(AW$1=$AO$1,IF(regle!J$2-$Q118&gt;=regle!$J$12,-2,IF($S118,IF(regle!$B$2-$Q118&gt;=2,0,-1),regle!J$2-$Q118)),IF(AV118+1&gt;=regle!$J$12,-2,AV118+1))</f>
        <v>28</v>
      </c>
      <c r="AX118">
        <f>IF(AX$1=$AO$1,IF(regle!K$2-$Q118&gt;=regle!$J$12,-2,IF($S118,IF(regle!$B$2-$Q118&gt;=2,0,-1),regle!K$2-$Q118)),IF(AW118+1&gt;=regle!$J$12,-2,AW118+1))</f>
        <v>29</v>
      </c>
    </row>
    <row r="119" spans="1:50" x14ac:dyDescent="0.25">
      <c r="A119" t="b">
        <f>AND(modif0[[#This Row],[cdstr]]&lt;&gt;0,OR(regle!$H$27=FALSE,modif0[[#This Row],[essnc]]="PM"))</f>
        <v>1</v>
      </c>
      <c r="B119">
        <f>ROW(objet!A145)</f>
        <v>145</v>
      </c>
      <c r="C119" s="10" t="str">
        <f>objet!D145</f>
        <v>2020000B1150</v>
      </c>
      <c r="D119" t="str">
        <f>LEFT(modif0[[#This Row],[cdstr]],3)</f>
        <v>202</v>
      </c>
      <c r="E119" s="10" t="str">
        <f>objet!G145</f>
        <v>HOSTENS</v>
      </c>
      <c r="F119">
        <f>LEN(modif0[[#This Row],[l_dt]])</f>
        <v>11</v>
      </c>
      <c r="G119" s="10" t="str">
        <f>objet!H145</f>
        <v>LES CAZALAS</v>
      </c>
      <c r="H119" s="10" t="str">
        <f>objet!C145</f>
        <v>B1150j</v>
      </c>
      <c r="I119" t="str">
        <f>IF(ISNUMBER(VALUE(RIGHT(LEFT(modif0[[#This Row],[idntfn]],2),1))),_xlfn.CONCAT(0,LEFT(modif0[[#This Row],[idntfn]],1)),LEFT(modif0[[#This Row],[idntfn]],2))</f>
        <v>0B</v>
      </c>
      <c r="J119">
        <f>VALUE(LEFT(RIGHT(modif0[[#This Row],[idntfn]],LEN(modif0[[#This Row],[idntfn]])-IF(LEFT(modif0[[#This Row],[sctn]],1)="0",1,2)),LEN(modif0[[#This Row],[idntfn]])-IF(LEFT(modif0[[#This Row],[sctn]],1)="0",1,2)-LEN(modif0[[#This Row],[lttr]])))</f>
        <v>1150</v>
      </c>
      <c r="K119" t="str">
        <f>IF(ISNUMBER(VALUE(RIGHT(modif0[[#This Row],[idntfn]],1))),"",IF(ISNUMBER(VALUE(LEFT(RIGHT(modif0[[#This Row],[idntfn]],2),1))),RIGHT(modif0[[#This Row],[idntfn]],1),RIGHT(modif0[[#This Row],[idntfn]],2)))</f>
        <v>j</v>
      </c>
      <c r="L119" s="10">
        <f>objet!I145</f>
        <v>7217</v>
      </c>
      <c r="M119" s="11">
        <f>modif0[[#This Row],[srfc]]/10000</f>
        <v>0.72170000000000001</v>
      </c>
      <c r="N119" s="10" t="str">
        <f>objet!Z145</f>
        <v>PM</v>
      </c>
      <c r="O119" s="10" t="str">
        <f>objet!AA145</f>
        <v>PLA2006</v>
      </c>
      <c r="P119" t="str">
        <f>IF(ISNUMBER(modif0[[#This Row],[trvx]]),"",LEFT(modif0[[#This Row],[trvx]],LEN(modif0[[#This Row],[trvx]])-4))</f>
        <v>PLA</v>
      </c>
      <c r="Q119">
        <f>VALUE(RIGHT(modif0[[#This Row],[trvx]],4))</f>
        <v>2006</v>
      </c>
      <c r="R119" t="str">
        <f>_xlfn.CONCAT(modif0[[#This Row],[tp]],"-",modif0[[#This Row],[essnc]],"_",modif0[[#This Row],[anns]])</f>
        <v>PLA-PM_2006</v>
      </c>
      <c r="S119" t="b">
        <f>modif0[[#This Row],[tp]]="CR"</f>
        <v>0</v>
      </c>
      <c r="T119">
        <v>40</v>
      </c>
      <c r="U119" t="str">
        <f>IF(NOT($A119),"",
IF(AO119=-2,regle!$J$11,
IF(AO119=regle!$B$12,regle!$B$11,
IF(AO119=regle!$C$12,regle!$C$11,
IF(AO119=regle!$D$12,regle!$D$11,
IF(AO119=regle!$E$12,regle!$E$11,
IF(AO119=regle!$F$12,regle!$F$11,
IF(AO119=regle!$G$12,regle!$G$11,
IF(AO119=regle!$H$12,regle!$H$11,
IF(AO119=regle!$I$12,regle!$I$11,""))))))))))</f>
        <v>EC2</v>
      </c>
      <c r="V119" t="str">
        <f>IF(NOT($A119),"",
IF(AP119=-2,regle!$J$11,
IF(AP119=regle!$B$12,regle!$B$11,
IF(AP119=regle!$C$12,regle!$C$11,
IF(AP119=regle!$D$12,regle!$D$11,
IF(AP119=regle!$E$12,regle!$E$11,
IF(AP119=regle!$F$12,regle!$F$11,
IF(AP119=regle!$G$12,regle!$G$11,
IF(AP119=regle!$H$12,regle!$H$11,
IF(AP119=regle!$I$12,regle!$I$11,""))))))))))</f>
        <v/>
      </c>
      <c r="W119" t="str">
        <f>IF(NOT($A119),"",
IF(AQ119=-2,regle!$J$11,
IF(AQ119=regle!$B$12,regle!$B$11,
IF(AQ119=regle!$C$12,regle!$C$11,
IF(AQ119=regle!$D$12,regle!$D$11,
IF(AQ119=regle!$E$12,regle!$E$11,
IF(AQ119=regle!$F$12,regle!$F$11,
IF(AQ119=regle!$G$12,regle!$G$11,
IF(AQ119=regle!$H$12,regle!$H$11,
IF(AQ119=regle!$I$12,regle!$I$11,""))))))))))</f>
        <v/>
      </c>
      <c r="X119" t="str">
        <f>IF(NOT($A119),"",
IF(AR119=-2,regle!$J$11,
IF(AR119=regle!$B$12,regle!$B$11,
IF(AR119=regle!$C$12,regle!$C$11,
IF(AR119=regle!$D$12,regle!$D$11,
IF(AR119=regle!$E$12,regle!$E$11,
IF(AR119=regle!$F$12,regle!$F$11,
IF(AR119=regle!$G$12,regle!$G$11,
IF(AR119=regle!$H$12,regle!$H$11,
IF(AR119=regle!$I$12,regle!$I$11,""))))))))))</f>
        <v/>
      </c>
      <c r="Y119" t="str">
        <f>IF(NOT($A119),"",
IF(AS119=-2,regle!$J$11,
IF(AS119=regle!$B$12,regle!$B$11,
IF(AS119=regle!$C$12,regle!$C$11,
IF(AS119=regle!$D$12,regle!$D$11,
IF(AS119=regle!$E$12,regle!$E$11,
IF(AS119=regle!$F$12,regle!$F$11,
IF(AS119=regle!$G$12,regle!$G$11,
IF(AS119=regle!$H$12,regle!$H$11,
IF(AS119=regle!$I$12,regle!$I$11,""))))))))))</f>
        <v/>
      </c>
      <c r="Z119" t="str">
        <f>IF(NOT($A119),"",
IF(AT119=-2,regle!$J$11,
IF(AT119=regle!$B$12,regle!$B$11,
IF(AT119=regle!$C$12,regle!$C$11,
IF(AT119=regle!$D$12,regle!$D$11,
IF(AT119=regle!$E$12,regle!$E$11,
IF(AT119=regle!$F$12,regle!$F$11,
IF(AT119=regle!$G$12,regle!$G$11,
IF(AT119=regle!$H$12,regle!$H$11,
IF(AT119=regle!$I$12,regle!$I$11,""))))))))))</f>
        <v>EC3</v>
      </c>
      <c r="AA119" t="str">
        <f>IF(NOT($A119),"",
IF(AU119=-2,regle!$J$11,
IF(AU119=regle!$B$12,regle!$B$11,
IF(AU119=regle!$C$12,regle!$C$11,
IF(AU119=regle!$D$12,regle!$D$11,
IF(AU119=regle!$E$12,regle!$E$11,
IF(AU119=regle!$F$12,regle!$F$11,
IF(AU119=regle!$G$12,regle!$G$11,
IF(AU119=regle!$H$12,regle!$H$11,
IF(AU119=regle!$I$12,regle!$I$11,""))))))))))</f>
        <v/>
      </c>
      <c r="AB119" t="str">
        <f>IF(NOT($A119),"",
IF(AV119=-2,regle!$J$11,
IF(AV119=regle!$B$12,regle!$B$11,
IF(AV119=regle!$C$12,regle!$C$11,
IF(AV119=regle!$D$12,regle!$D$11,
IF(AV119=regle!$E$12,regle!$E$11,
IF(AV119=regle!$F$12,regle!$F$11,
IF(AV119=regle!$G$12,regle!$G$11,
IF(AV119=regle!$H$12,regle!$H$11,
IF(AV119=regle!$I$12,regle!$I$11,""))))))))))</f>
        <v/>
      </c>
      <c r="AC119" t="str">
        <f>IF(NOT($A119),"",
IF(AW119=-2,regle!$J$11,
IF(AW119=regle!$B$12,regle!$B$11,
IF(AW119=regle!$C$12,regle!$C$11,
IF(AW119=regle!$D$12,regle!$D$11,
IF(AW119=regle!$E$12,regle!$E$11,
IF(AW119=regle!$F$12,regle!$F$11,
IF(AW119=regle!$G$12,regle!$G$11,
IF(AW119=regle!$H$12,regle!$H$11,
IF(AW119=regle!$I$12,regle!$I$11,""))))))))))</f>
        <v/>
      </c>
      <c r="AD119" t="str">
        <f>IF(NOT($A119),"",
IF(AX119=-2,regle!$J$11,
IF(AX119=regle!$B$12,regle!$B$11,
IF(AX119=regle!$C$12,regle!$C$11,
IF(AX119=regle!$D$12,regle!$D$11,
IF(AX119=regle!$E$12,regle!$E$11,
IF(AX119=regle!$F$12,regle!$F$11,
IF(AX119=regle!$G$12,regle!$G$11,
IF(AX119=regle!$H$12,regle!$H$11,
IF(AX119=regle!$I$12,regle!$I$11,""))))))))))</f>
        <v/>
      </c>
      <c r="AE119" s="14">
        <f>IF($A119,$M119*(IF(U119=regle!$B$11,regle!$B$23,IF(U119=regle!$C$11,regle!$C$23,IF(U119=regle!$D$11,regle!$D$23,IF(U119=regle!$E$11,regle!$E$23,IF(U119=regle!$F$11,regle!$F$23,IF(U119=regle!$G$11,regle!$G$23,IF(U119=regle!$H$11,regle!$H$23,IF(U119=regle!$I$11,regle!$I$23,IF(U119=regle!$J$11,regle!$J$23,0)))))))))))</f>
        <v>606.22799999999995</v>
      </c>
      <c r="AF119" s="14">
        <f>IF($A119,$M119*(IF(V119=regle!$B$11,regle!$B$23,IF(V119=regle!$C$11,regle!$C$23,IF(V119=regle!$D$11,regle!$D$23,IF(V119=regle!$E$11,regle!$E$23,IF(V119=regle!$F$11,regle!$F$23,IF(V119=regle!$G$11,regle!$G$23,IF(V119=regle!$H$11,regle!$H$23,IF(V119=regle!$I$11,regle!$I$23,IF(V119=regle!$J$11,regle!$J$23,0)))))))))))</f>
        <v>0</v>
      </c>
      <c r="AG119" s="14">
        <f>IF($A119,$M119*(IF(W119=regle!$B$11,regle!$B$23,IF(W119=regle!$C$11,regle!$C$23,IF(W119=regle!$D$11,regle!$D$23,IF(W119=regle!$E$11,regle!$E$23,IF(W119=regle!$F$11,regle!$F$23,IF(W119=regle!$G$11,regle!$G$23,IF(W119=regle!$H$11,regle!$H$23,IF(W119=regle!$I$11,regle!$I$23,IF(W119=regle!$J$11,regle!$J$23,0)))))))))))</f>
        <v>0</v>
      </c>
      <c r="AH119" s="14">
        <f>IF($A119,$M119*(IF(X119=regle!$B$11,regle!$B$23,IF(X119=regle!$C$11,regle!$C$23,IF(X119=regle!$D$11,regle!$D$23,IF(X119=regle!$E$11,regle!$E$23,IF(X119=regle!$F$11,regle!$F$23,IF(X119=regle!$G$11,regle!$G$23,IF(X119=regle!$H$11,regle!$H$23,IF(X119=regle!$I$11,regle!$I$23,IF(X119=regle!$J$11,regle!$J$23,0)))))))))))</f>
        <v>0</v>
      </c>
      <c r="AI119" s="14">
        <f>IF($A119,$M119*(IF(Y119=regle!$B$11,regle!$B$23,IF(Y119=regle!$C$11,regle!$C$23,IF(Y119=regle!$D$11,regle!$D$23,IF(Y119=regle!$E$11,regle!$E$23,IF(Y119=regle!$F$11,regle!$F$23,IF(Y119=regle!$G$11,regle!$G$23,IF(Y119=regle!$H$11,regle!$H$23,IF(Y119=regle!$I$11,regle!$I$23,IF(Y119=regle!$J$11,regle!$J$23,0)))))))))))</f>
        <v>0</v>
      </c>
      <c r="AJ119" s="14">
        <f>IF($A119,$M119*(IF(Z119=regle!$B$11,regle!$B$23,IF(Z119=regle!$C$11,regle!$C$23,IF(Z119=regle!$D$11,regle!$D$23,IF(Z119=regle!$E$11,regle!$E$23,IF(Z119=regle!$F$11,regle!$F$23,IF(Z119=regle!$G$11,regle!$G$23,IF(Z119=regle!$H$11,regle!$H$23,IF(Z119=regle!$I$11,regle!$I$23,IF(Z119=regle!$J$11,regle!$J$23,0)))))))))))</f>
        <v>1016.1536</v>
      </c>
      <c r="AK119" s="14">
        <f>IF($A119,$M119*(IF(AA119=regle!$B$11,regle!$B$23,IF(AA119=regle!$C$11,regle!$C$23,IF(AA119=regle!$D$11,regle!$D$23,IF(AA119=regle!$E$11,regle!$E$23,IF(AA119=regle!$F$11,regle!$F$23,IF(AA119=regle!$G$11,regle!$G$23,IF(AA119=regle!$H$11,regle!$H$23,IF(AA119=regle!$I$11,regle!$I$23,IF(AA119=regle!$J$11,regle!$J$23,0)))))))))))</f>
        <v>0</v>
      </c>
      <c r="AL119" s="14">
        <f>IF($A119,$M119*(IF(AB119=regle!$B$11,regle!$B$23,IF(AB119=regle!$C$11,regle!$C$23,IF(AB119=regle!$D$11,regle!$D$23,IF(AB119=regle!$E$11,regle!$E$23,IF(AB119=regle!$F$11,regle!$F$23,IF(AB119=regle!$G$11,regle!$G$23,IF(AB119=regle!$H$11,regle!$H$23,IF(AB119=regle!$I$11,regle!$I$23,IF(AB119=regle!$J$11,regle!$J$23,0)))))))))))</f>
        <v>0</v>
      </c>
      <c r="AM119" s="14">
        <f>IF($A119,$M119*(IF(AC119=regle!$B$11,regle!$B$23,IF(AC119=regle!$C$11,regle!$C$23,IF(AC119=regle!$D$11,regle!$D$23,IF(AC119=regle!$E$11,regle!$E$23,IF(AC119=regle!$F$11,regle!$F$23,IF(AC119=regle!$G$11,regle!$G$23,IF(AC119=regle!$H$11,regle!$H$23,IF(AC119=regle!$I$11,regle!$I$23,IF(AC119=regle!$J$11,regle!$J$23,0)))))))))))</f>
        <v>0</v>
      </c>
      <c r="AN119" s="14">
        <f>IF($A119,$M119*(IF(AD119=regle!$B$11,regle!$B$23,IF(AD119=regle!$C$11,regle!$C$23,IF(AD119=regle!$D$11,regle!$D$23,IF(AD119=regle!$E$11,regle!$E$23,IF(AD119=regle!$F$11,regle!$F$23,IF(AD119=regle!$G$11,regle!$G$23,IF(AD119=regle!$H$11,regle!$H$23,IF(AD119=regle!$I$11,regle!$I$23,IF(AD119=regle!$J$11,regle!$J$23,0)))))))))))</f>
        <v>0</v>
      </c>
      <c r="AO119">
        <f>IF(AO$1=$AO$1,IF(regle!B$2-$Q119&gt;=regle!$J$12,-2,IF($S119,IF(regle!$B$2-$Q119&gt;=2,0,-1),regle!B$2-$Q119)),IF(AN119+1&gt;=regle!$J$12,-2,AN119+1))</f>
        <v>18</v>
      </c>
      <c r="AP119">
        <f>IF(AP$1=$AO$1,IF(regle!C$2-$Q119&gt;=regle!$J$12,-2,IF($S119,IF(regle!$B$2-$Q119&gt;=2,0,-1),regle!C$2-$Q119)),IF(AO119+1&gt;=regle!$J$12,-2,AO119+1))</f>
        <v>19</v>
      </c>
      <c r="AQ119">
        <f>IF(AQ$1=$AO$1,IF(regle!D$2-$Q119&gt;=regle!$J$12,-2,IF($S119,IF(regle!$B$2-$Q119&gt;=2,0,-1),regle!D$2-$Q119)),IF(AP119+1&gt;=regle!$J$12,-2,AP119+1))</f>
        <v>20</v>
      </c>
      <c r="AR119">
        <f>IF(AR$1=$AO$1,IF(regle!E$2-$Q119&gt;=regle!$J$12,-2,IF($S119,IF(regle!$B$2-$Q119&gt;=2,0,-1),regle!E$2-$Q119)),IF(AQ119+1&gt;=regle!$J$12,-2,AQ119+1))</f>
        <v>21</v>
      </c>
      <c r="AS119">
        <f>IF(AS$1=$AO$1,IF(regle!F$2-$Q119&gt;=regle!$J$12,-2,IF($S119,IF(regle!$B$2-$Q119&gt;=2,0,-1),regle!F$2-$Q119)),IF(AR119+1&gt;=regle!$J$12,-2,AR119+1))</f>
        <v>22</v>
      </c>
      <c r="AT119">
        <f>IF(AT$1=$AO$1,IF(regle!G$2-$Q119&gt;=regle!$J$12,-2,IF($S119,IF(regle!$B$2-$Q119&gt;=2,0,-1),regle!G$2-$Q119)),IF(AS119+1&gt;=regle!$J$12,-2,AS119+1))</f>
        <v>23</v>
      </c>
      <c r="AU119">
        <f>IF(AU$1=$AO$1,IF(regle!H$2-$Q119&gt;=regle!$J$12,-2,IF($S119,IF(regle!$B$2-$Q119&gt;=2,0,-1),regle!H$2-$Q119)),IF(AT119+1&gt;=regle!$J$12,-2,AT119+1))</f>
        <v>24</v>
      </c>
      <c r="AV119">
        <f>IF(AV$1=$AO$1,IF(regle!I$2-$Q119&gt;=regle!$J$12,-2,IF($S119,IF(regle!$B$2-$Q119&gt;=2,0,-1),regle!I$2-$Q119)),IF(AU119+1&gt;=regle!$J$12,-2,AU119+1))</f>
        <v>25</v>
      </c>
      <c r="AW119">
        <f>IF(AW$1=$AO$1,IF(regle!J$2-$Q119&gt;=regle!$J$12,-2,IF($S119,IF(regle!$B$2-$Q119&gt;=2,0,-1),regle!J$2-$Q119)),IF(AV119+1&gt;=regle!$J$12,-2,AV119+1))</f>
        <v>26</v>
      </c>
      <c r="AX119">
        <f>IF(AX$1=$AO$1,IF(regle!K$2-$Q119&gt;=regle!$J$12,-2,IF($S119,IF(regle!$B$2-$Q119&gt;=2,0,-1),regle!K$2-$Q119)),IF(AW119+1&gt;=regle!$J$12,-2,AW119+1))</f>
        <v>27</v>
      </c>
    </row>
    <row r="120" spans="1:50" x14ac:dyDescent="0.25">
      <c r="A120" t="b">
        <f>AND(modif0[[#This Row],[cdstr]]&lt;&gt;0,OR(regle!$H$27=FALSE,modif0[[#This Row],[essnc]]="PM"))</f>
        <v>1</v>
      </c>
      <c r="B120">
        <f>ROW(objet!A146)</f>
        <v>146</v>
      </c>
      <c r="C120" s="10" t="str">
        <f>objet!D146</f>
        <v>2020000B1150</v>
      </c>
      <c r="D120" t="str">
        <f>LEFT(modif0[[#This Row],[cdstr]],3)</f>
        <v>202</v>
      </c>
      <c r="E120" s="10" t="str">
        <f>objet!G146</f>
        <v>HOSTENS</v>
      </c>
      <c r="F120">
        <f>LEN(modif0[[#This Row],[l_dt]])</f>
        <v>11</v>
      </c>
      <c r="G120" s="10" t="str">
        <f>objet!H146</f>
        <v>LES CAZALAS</v>
      </c>
      <c r="H120" s="10" t="str">
        <f>objet!C146</f>
        <v>B1150k</v>
      </c>
      <c r="I120" t="str">
        <f>IF(ISNUMBER(VALUE(RIGHT(LEFT(modif0[[#This Row],[idntfn]],2),1))),_xlfn.CONCAT(0,LEFT(modif0[[#This Row],[idntfn]],1)),LEFT(modif0[[#This Row],[idntfn]],2))</f>
        <v>0B</v>
      </c>
      <c r="J120">
        <f>VALUE(LEFT(RIGHT(modif0[[#This Row],[idntfn]],LEN(modif0[[#This Row],[idntfn]])-IF(LEFT(modif0[[#This Row],[sctn]],1)="0",1,2)),LEN(modif0[[#This Row],[idntfn]])-IF(LEFT(modif0[[#This Row],[sctn]],1)="0",1,2)-LEN(modif0[[#This Row],[lttr]])))</f>
        <v>1150</v>
      </c>
      <c r="K120" t="str">
        <f>IF(ISNUMBER(VALUE(RIGHT(modif0[[#This Row],[idntfn]],1))),"",IF(ISNUMBER(VALUE(LEFT(RIGHT(modif0[[#This Row],[idntfn]],2),1))),RIGHT(modif0[[#This Row],[idntfn]],1),RIGHT(modif0[[#This Row],[idntfn]],2)))</f>
        <v>k</v>
      </c>
      <c r="L120" s="10">
        <f>objet!I146</f>
        <v>2041</v>
      </c>
      <c r="M120" s="11">
        <f>modif0[[#This Row],[srfc]]/10000</f>
        <v>0.2041</v>
      </c>
      <c r="N120" s="10" t="str">
        <f>objet!Z146</f>
        <v>PM</v>
      </c>
      <c r="O120" s="10" t="str">
        <f>objet!AA146</f>
        <v>PLA2019</v>
      </c>
      <c r="P120" t="str">
        <f>IF(ISNUMBER(modif0[[#This Row],[trvx]]),"",LEFT(modif0[[#This Row],[trvx]],LEN(modif0[[#This Row],[trvx]])-4))</f>
        <v>PLA</v>
      </c>
      <c r="Q120">
        <f>VALUE(RIGHT(modif0[[#This Row],[trvx]],4))</f>
        <v>2019</v>
      </c>
      <c r="R120" t="str">
        <f>_xlfn.CONCAT(modif0[[#This Row],[tp]],"-",modif0[[#This Row],[essnc]],"_",modif0[[#This Row],[anns]])</f>
        <v>PLA-PM_2019</v>
      </c>
      <c r="S120" t="b">
        <f>modif0[[#This Row],[tp]]="CR"</f>
        <v>0</v>
      </c>
      <c r="T120">
        <v>40</v>
      </c>
      <c r="U120" t="str">
        <f>IF(NOT($A120),"",
IF(AO120=-2,regle!$J$11,
IF(AO120=regle!$B$12,regle!$B$11,
IF(AO120=regle!$C$12,regle!$C$11,
IF(AO120=regle!$D$12,regle!$D$11,
IF(AO120=regle!$E$12,regle!$E$11,
IF(AO120=regle!$F$12,regle!$F$11,
IF(AO120=regle!$G$12,regle!$G$11,
IF(AO120=regle!$H$12,regle!$H$11,
IF(AO120=regle!$I$12,regle!$I$11,""))))))))))</f>
        <v>ENT1</v>
      </c>
      <c r="V120" t="str">
        <f>IF(NOT($A120),"",
IF(AP120=-2,regle!$J$11,
IF(AP120=regle!$B$12,regle!$B$11,
IF(AP120=regle!$C$12,regle!$C$11,
IF(AP120=regle!$D$12,regle!$D$11,
IF(AP120=regle!$E$12,regle!$E$11,
IF(AP120=regle!$F$12,regle!$F$11,
IF(AP120=regle!$G$12,regle!$G$11,
IF(AP120=regle!$H$12,regle!$H$11,
IF(AP120=regle!$I$12,regle!$I$11,""))))))))))</f>
        <v/>
      </c>
      <c r="W120" t="str">
        <f>IF(NOT($A120),"",
IF(AQ120=-2,regle!$J$11,
IF(AQ120=regle!$B$12,regle!$B$11,
IF(AQ120=regle!$C$12,regle!$C$11,
IF(AQ120=regle!$D$12,regle!$D$11,
IF(AQ120=regle!$E$12,regle!$E$11,
IF(AQ120=regle!$F$12,regle!$F$11,
IF(AQ120=regle!$G$12,regle!$G$11,
IF(AQ120=regle!$H$12,regle!$H$11,
IF(AQ120=regle!$I$12,regle!$I$11,""))))))))))</f>
        <v/>
      </c>
      <c r="X120" t="str">
        <f>IF(NOT($A120),"",
IF(AR120=-2,regle!$J$11,
IF(AR120=regle!$B$12,regle!$B$11,
IF(AR120=regle!$C$12,regle!$C$11,
IF(AR120=regle!$D$12,regle!$D$11,
IF(AR120=regle!$E$12,regle!$E$11,
IF(AR120=regle!$F$12,regle!$F$11,
IF(AR120=regle!$G$12,regle!$G$11,
IF(AR120=regle!$H$12,regle!$H$11,
IF(AR120=regle!$I$12,regle!$I$11,""))))))))))</f>
        <v>ENT2</v>
      </c>
      <c r="Y120" t="str">
        <f>IF(NOT($A120),"",
IF(AS120=-2,regle!$J$11,
IF(AS120=regle!$B$12,regle!$B$11,
IF(AS120=regle!$C$12,regle!$C$11,
IF(AS120=regle!$D$12,regle!$D$11,
IF(AS120=regle!$E$12,regle!$E$11,
IF(AS120=regle!$F$12,regle!$F$11,
IF(AS120=regle!$G$12,regle!$G$11,
IF(AS120=regle!$H$12,regle!$H$11,
IF(AS120=regle!$I$12,regle!$I$11,""))))))))))</f>
        <v/>
      </c>
      <c r="Z120" t="str">
        <f>IF(NOT($A120),"",
IF(AT120=-2,regle!$J$11,
IF(AT120=regle!$B$12,regle!$B$11,
IF(AT120=regle!$C$12,regle!$C$11,
IF(AT120=regle!$D$12,regle!$D$11,
IF(AT120=regle!$E$12,regle!$E$11,
IF(AT120=regle!$F$12,regle!$F$11,
IF(AT120=regle!$G$12,regle!$G$11,
IF(AT120=regle!$H$12,regle!$H$11,
IF(AT120=regle!$I$12,regle!$I$11,""))))))))))</f>
        <v/>
      </c>
      <c r="AA120" t="str">
        <f>IF(NOT($A120),"",
IF(AU120=-2,regle!$J$11,
IF(AU120=regle!$B$12,regle!$B$11,
IF(AU120=regle!$C$12,regle!$C$11,
IF(AU120=regle!$D$12,regle!$D$11,
IF(AU120=regle!$E$12,regle!$E$11,
IF(AU120=regle!$F$12,regle!$F$11,
IF(AU120=regle!$G$12,regle!$G$11,
IF(AU120=regle!$H$12,regle!$H$11,
IF(AU120=regle!$I$12,regle!$I$11,""))))))))))</f>
        <v/>
      </c>
      <c r="AB120" t="str">
        <f>IF(NOT($A120),"",
IF(AV120=-2,regle!$J$11,
IF(AV120=regle!$B$12,regle!$B$11,
IF(AV120=regle!$C$12,regle!$C$11,
IF(AV120=regle!$D$12,regle!$D$11,
IF(AV120=regle!$E$12,regle!$E$11,
IF(AV120=regle!$F$12,regle!$F$11,
IF(AV120=regle!$G$12,regle!$G$11,
IF(AV120=regle!$H$12,regle!$H$11,
IF(AV120=regle!$I$12,regle!$I$11,""))))))))))</f>
        <v/>
      </c>
      <c r="AC120" t="str">
        <f>IF(NOT($A120),"",
IF(AW120=-2,regle!$J$11,
IF(AW120=regle!$B$12,regle!$B$11,
IF(AW120=regle!$C$12,regle!$C$11,
IF(AW120=regle!$D$12,regle!$D$11,
IF(AW120=regle!$E$12,regle!$E$11,
IF(AW120=regle!$F$12,regle!$F$11,
IF(AW120=regle!$G$12,regle!$G$11,
IF(AW120=regle!$H$12,regle!$H$11,
IF(AW120=regle!$I$12,regle!$I$11,""))))))))))</f>
        <v>EC1</v>
      </c>
      <c r="AD120" t="str">
        <f>IF(NOT($A120),"",
IF(AX120=-2,regle!$J$11,
IF(AX120=regle!$B$12,regle!$B$11,
IF(AX120=regle!$C$12,regle!$C$11,
IF(AX120=regle!$D$12,regle!$D$11,
IF(AX120=regle!$E$12,regle!$E$11,
IF(AX120=regle!$F$12,regle!$F$11,
IF(AX120=regle!$G$12,regle!$G$11,
IF(AX120=regle!$H$12,regle!$H$11,
IF(AX120=regle!$I$12,regle!$I$11,""))))))))))</f>
        <v/>
      </c>
      <c r="AE120" s="14">
        <f>IF($A120,$M120*(IF(U120=regle!$B$11,regle!$B$23,IF(U120=regle!$C$11,regle!$C$23,IF(U120=regle!$D$11,regle!$D$23,IF(U120=regle!$E$11,regle!$E$23,IF(U120=regle!$F$11,regle!$F$23,IF(U120=regle!$G$11,regle!$G$23,IF(U120=regle!$H$11,regle!$H$23,IF(U120=regle!$I$11,regle!$I$23,IF(U120=regle!$J$11,regle!$J$23,0)))))))))))</f>
        <v>-18.369</v>
      </c>
      <c r="AF120" s="14">
        <f>IF($A120,$M120*(IF(V120=regle!$B$11,regle!$B$23,IF(V120=regle!$C$11,regle!$C$23,IF(V120=regle!$D$11,regle!$D$23,IF(V120=regle!$E$11,regle!$E$23,IF(V120=regle!$F$11,regle!$F$23,IF(V120=regle!$G$11,regle!$G$23,IF(V120=regle!$H$11,regle!$H$23,IF(V120=regle!$I$11,regle!$I$23,IF(V120=regle!$J$11,regle!$J$23,0)))))))))))</f>
        <v>0</v>
      </c>
      <c r="AG120" s="14">
        <f>IF($A120,$M120*(IF(W120=regle!$B$11,regle!$B$23,IF(W120=regle!$C$11,regle!$C$23,IF(W120=regle!$D$11,regle!$D$23,IF(W120=regle!$E$11,regle!$E$23,IF(W120=regle!$F$11,regle!$F$23,IF(W120=regle!$G$11,regle!$G$23,IF(W120=regle!$H$11,regle!$H$23,IF(W120=regle!$I$11,regle!$I$23,IF(W120=regle!$J$11,regle!$J$23,0)))))))))))</f>
        <v>0</v>
      </c>
      <c r="AH120" s="14">
        <f>IF($A120,$M120*(IF(X120=regle!$B$11,regle!$B$23,IF(X120=regle!$C$11,regle!$C$23,IF(X120=regle!$D$11,regle!$D$23,IF(X120=regle!$E$11,regle!$E$23,IF(X120=regle!$F$11,regle!$F$23,IF(X120=regle!$G$11,regle!$G$23,IF(X120=regle!$H$11,regle!$H$23,IF(X120=regle!$I$11,regle!$I$23,IF(X120=regle!$J$11,regle!$J$23,0)))))))))))</f>
        <v>-18.369</v>
      </c>
      <c r="AI120" s="14">
        <f>IF($A120,$M120*(IF(Y120=regle!$B$11,regle!$B$23,IF(Y120=regle!$C$11,regle!$C$23,IF(Y120=regle!$D$11,regle!$D$23,IF(Y120=regle!$E$11,regle!$E$23,IF(Y120=regle!$F$11,regle!$F$23,IF(Y120=regle!$G$11,regle!$G$23,IF(Y120=regle!$H$11,regle!$H$23,IF(Y120=regle!$I$11,regle!$I$23,IF(Y120=regle!$J$11,regle!$J$23,0)))))))))))</f>
        <v>0</v>
      </c>
      <c r="AJ120" s="14">
        <f>IF($A120,$M120*(IF(Z120=regle!$B$11,regle!$B$23,IF(Z120=regle!$C$11,regle!$C$23,IF(Z120=regle!$D$11,regle!$D$23,IF(Z120=regle!$E$11,regle!$E$23,IF(Z120=regle!$F$11,regle!$F$23,IF(Z120=regle!$G$11,regle!$G$23,IF(Z120=regle!$H$11,regle!$H$23,IF(Z120=regle!$I$11,regle!$I$23,IF(Z120=regle!$J$11,regle!$J$23,0)))))))))))</f>
        <v>0</v>
      </c>
      <c r="AK120" s="14">
        <f>IF($A120,$M120*(IF(AA120=regle!$B$11,regle!$B$23,IF(AA120=regle!$C$11,regle!$C$23,IF(AA120=regle!$D$11,regle!$D$23,IF(AA120=regle!$E$11,regle!$E$23,IF(AA120=regle!$F$11,regle!$F$23,IF(AA120=regle!$G$11,regle!$G$23,IF(AA120=regle!$H$11,regle!$H$23,IF(AA120=regle!$I$11,regle!$I$23,IF(AA120=regle!$J$11,regle!$J$23,0)))))))))))</f>
        <v>0</v>
      </c>
      <c r="AL120" s="14">
        <f>IF($A120,$M120*(IF(AB120=regle!$B$11,regle!$B$23,IF(AB120=regle!$C$11,regle!$C$23,IF(AB120=regle!$D$11,regle!$D$23,IF(AB120=regle!$E$11,regle!$E$23,IF(AB120=regle!$F$11,regle!$F$23,IF(AB120=regle!$G$11,regle!$G$23,IF(AB120=regle!$H$11,regle!$H$23,IF(AB120=regle!$I$11,regle!$I$23,IF(AB120=regle!$J$11,regle!$J$23,0)))))))))))</f>
        <v>0</v>
      </c>
      <c r="AM120" s="14">
        <f>IF($A120,$M120*(IF(AC120=regle!$B$11,regle!$B$23,IF(AC120=regle!$C$11,regle!$C$23,IF(AC120=regle!$D$11,regle!$D$23,IF(AC120=regle!$E$11,regle!$E$23,IF(AC120=regle!$F$11,regle!$F$23,IF(AC120=regle!$G$11,regle!$G$23,IF(AC120=regle!$H$11,regle!$H$23,IF(AC120=regle!$I$11,regle!$I$23,IF(AC120=regle!$J$11,regle!$J$23,0)))))))))))</f>
        <v>117.5616</v>
      </c>
      <c r="AN120" s="14">
        <f>IF($A120,$M120*(IF(AD120=regle!$B$11,regle!$B$23,IF(AD120=regle!$C$11,regle!$C$23,IF(AD120=regle!$D$11,regle!$D$23,IF(AD120=regle!$E$11,regle!$E$23,IF(AD120=regle!$F$11,regle!$F$23,IF(AD120=regle!$G$11,regle!$G$23,IF(AD120=regle!$H$11,regle!$H$23,IF(AD120=regle!$I$11,regle!$I$23,IF(AD120=regle!$J$11,regle!$J$23,0)))))))))))</f>
        <v>0</v>
      </c>
      <c r="AO120">
        <f>IF(AO$1=$AO$1,IF(regle!B$2-$Q120&gt;=regle!$J$12,-2,IF($S120,IF(regle!$B$2-$Q120&gt;=2,0,-1),regle!B$2-$Q120)),IF(AN120+1&gt;=regle!$J$12,-2,AN120+1))</f>
        <v>5</v>
      </c>
      <c r="AP120">
        <f>IF(AP$1=$AO$1,IF(regle!C$2-$Q120&gt;=regle!$J$12,-2,IF($S120,IF(regle!$B$2-$Q120&gt;=2,0,-1),regle!C$2-$Q120)),IF(AO120+1&gt;=regle!$J$12,-2,AO120+1))</f>
        <v>6</v>
      </c>
      <c r="AQ120">
        <f>IF(AQ$1=$AO$1,IF(regle!D$2-$Q120&gt;=regle!$J$12,-2,IF($S120,IF(regle!$B$2-$Q120&gt;=2,0,-1),regle!D$2-$Q120)),IF(AP120+1&gt;=regle!$J$12,-2,AP120+1))</f>
        <v>7</v>
      </c>
      <c r="AR120">
        <f>IF(AR$1=$AO$1,IF(regle!E$2-$Q120&gt;=regle!$J$12,-2,IF($S120,IF(regle!$B$2-$Q120&gt;=2,0,-1),regle!E$2-$Q120)),IF(AQ120+1&gt;=regle!$J$12,-2,AQ120+1))</f>
        <v>8</v>
      </c>
      <c r="AS120">
        <f>IF(AS$1=$AO$1,IF(regle!F$2-$Q120&gt;=regle!$J$12,-2,IF($S120,IF(regle!$B$2-$Q120&gt;=2,0,-1),regle!F$2-$Q120)),IF(AR120+1&gt;=regle!$J$12,-2,AR120+1))</f>
        <v>9</v>
      </c>
      <c r="AT120">
        <f>IF(AT$1=$AO$1,IF(regle!G$2-$Q120&gt;=regle!$J$12,-2,IF($S120,IF(regle!$B$2-$Q120&gt;=2,0,-1),regle!G$2-$Q120)),IF(AS120+1&gt;=regle!$J$12,-2,AS120+1))</f>
        <v>10</v>
      </c>
      <c r="AU120">
        <f>IF(AU$1=$AO$1,IF(regle!H$2-$Q120&gt;=regle!$J$12,-2,IF($S120,IF(regle!$B$2-$Q120&gt;=2,0,-1),regle!H$2-$Q120)),IF(AT120+1&gt;=regle!$J$12,-2,AT120+1))</f>
        <v>11</v>
      </c>
      <c r="AV120">
        <f>IF(AV$1=$AO$1,IF(regle!I$2-$Q120&gt;=regle!$J$12,-2,IF($S120,IF(regle!$B$2-$Q120&gt;=2,0,-1),regle!I$2-$Q120)),IF(AU120+1&gt;=regle!$J$12,-2,AU120+1))</f>
        <v>12</v>
      </c>
      <c r="AW120">
        <f>IF(AW$1=$AO$1,IF(regle!J$2-$Q120&gt;=regle!$J$12,-2,IF($S120,IF(regle!$B$2-$Q120&gt;=2,0,-1),regle!J$2-$Q120)),IF(AV120+1&gt;=regle!$J$12,-2,AV120+1))</f>
        <v>13</v>
      </c>
      <c r="AX120">
        <f>IF(AX$1=$AO$1,IF(regle!K$2-$Q120&gt;=regle!$J$12,-2,IF($S120,IF(regle!$B$2-$Q120&gt;=2,0,-1),regle!K$2-$Q120)),IF(AW120+1&gt;=regle!$J$12,-2,AW120+1))</f>
        <v>14</v>
      </c>
    </row>
    <row r="121" spans="1:50" x14ac:dyDescent="0.25">
      <c r="A121" t="b">
        <f>AND(modif0[[#This Row],[cdstr]]&lt;&gt;0,OR(regle!$H$27=FALSE,modif0[[#This Row],[essnc]]="PM"))</f>
        <v>1</v>
      </c>
      <c r="B121">
        <f>ROW(objet!A147)</f>
        <v>147</v>
      </c>
      <c r="C121" s="10" t="str">
        <f>objet!D147</f>
        <v>2020000B1150</v>
      </c>
      <c r="D121" t="str">
        <f>LEFT(modif0[[#This Row],[cdstr]],3)</f>
        <v>202</v>
      </c>
      <c r="E121" s="10" t="str">
        <f>objet!G147</f>
        <v>HOSTENS</v>
      </c>
      <c r="F121">
        <f>LEN(modif0[[#This Row],[l_dt]])</f>
        <v>11</v>
      </c>
      <c r="G121" s="10" t="str">
        <f>objet!H147</f>
        <v>LES CAZALAS</v>
      </c>
      <c r="H121" s="10" t="str">
        <f>objet!C147</f>
        <v>B1150l</v>
      </c>
      <c r="I121" t="str">
        <f>IF(ISNUMBER(VALUE(RIGHT(LEFT(modif0[[#This Row],[idntfn]],2),1))),_xlfn.CONCAT(0,LEFT(modif0[[#This Row],[idntfn]],1)),LEFT(modif0[[#This Row],[idntfn]],2))</f>
        <v>0B</v>
      </c>
      <c r="J121">
        <f>VALUE(LEFT(RIGHT(modif0[[#This Row],[idntfn]],LEN(modif0[[#This Row],[idntfn]])-IF(LEFT(modif0[[#This Row],[sctn]],1)="0",1,2)),LEN(modif0[[#This Row],[idntfn]])-IF(LEFT(modif0[[#This Row],[sctn]],1)="0",1,2)-LEN(modif0[[#This Row],[lttr]])))</f>
        <v>1150</v>
      </c>
      <c r="K121" t="str">
        <f>IF(ISNUMBER(VALUE(RIGHT(modif0[[#This Row],[idntfn]],1))),"",IF(ISNUMBER(VALUE(LEFT(RIGHT(modif0[[#This Row],[idntfn]],2),1))),RIGHT(modif0[[#This Row],[idntfn]],1),RIGHT(modif0[[#This Row],[idntfn]],2)))</f>
        <v>l</v>
      </c>
      <c r="L121" s="10">
        <f>objet!I147</f>
        <v>14842</v>
      </c>
      <c r="M121" s="11">
        <f>modif0[[#This Row],[srfc]]/10000</f>
        <v>1.4842</v>
      </c>
      <c r="N121" s="10" t="str">
        <f>objet!Z147</f>
        <v>PM</v>
      </c>
      <c r="O121" s="10" t="str">
        <f>objet!AA147</f>
        <v>PLA2004</v>
      </c>
      <c r="P121" t="str">
        <f>IF(ISNUMBER(modif0[[#This Row],[trvx]]),"",LEFT(modif0[[#This Row],[trvx]],LEN(modif0[[#This Row],[trvx]])-4))</f>
        <v>PLA</v>
      </c>
      <c r="Q121">
        <f>VALUE(RIGHT(modif0[[#This Row],[trvx]],4))</f>
        <v>2004</v>
      </c>
      <c r="R121" t="str">
        <f>_xlfn.CONCAT(modif0[[#This Row],[tp]],"-",modif0[[#This Row],[essnc]],"_",modif0[[#This Row],[anns]])</f>
        <v>PLA-PM_2004</v>
      </c>
      <c r="S121" t="b">
        <f>modif0[[#This Row],[tp]]="CR"</f>
        <v>0</v>
      </c>
      <c r="T121">
        <v>40</v>
      </c>
      <c r="U121" t="str">
        <f>IF(NOT($A121),"",
IF(AO121=-2,regle!$J$11,
IF(AO121=regle!$B$12,regle!$B$11,
IF(AO121=regle!$C$12,regle!$C$11,
IF(AO121=regle!$D$12,regle!$D$11,
IF(AO121=regle!$E$12,regle!$E$11,
IF(AO121=regle!$F$12,regle!$F$11,
IF(AO121=regle!$G$12,regle!$G$11,
IF(AO121=regle!$H$12,regle!$H$11,
IF(AO121=regle!$I$12,regle!$I$11,""))))))))))</f>
        <v/>
      </c>
      <c r="V121" t="str">
        <f>IF(NOT($A121),"",
IF(AP121=-2,regle!$J$11,
IF(AP121=regle!$B$12,regle!$B$11,
IF(AP121=regle!$C$12,regle!$C$11,
IF(AP121=regle!$D$12,regle!$D$11,
IF(AP121=regle!$E$12,regle!$E$11,
IF(AP121=regle!$F$12,regle!$F$11,
IF(AP121=regle!$G$12,regle!$G$11,
IF(AP121=regle!$H$12,regle!$H$11,
IF(AP121=regle!$I$12,regle!$I$11,""))))))))))</f>
        <v/>
      </c>
      <c r="W121" t="str">
        <f>IF(NOT($A121),"",
IF(AQ121=-2,regle!$J$11,
IF(AQ121=regle!$B$12,regle!$B$11,
IF(AQ121=regle!$C$12,regle!$C$11,
IF(AQ121=regle!$D$12,regle!$D$11,
IF(AQ121=regle!$E$12,regle!$E$11,
IF(AQ121=regle!$F$12,regle!$F$11,
IF(AQ121=regle!$G$12,regle!$G$11,
IF(AQ121=regle!$H$12,regle!$H$11,
IF(AQ121=regle!$I$12,regle!$I$11,""))))))))))</f>
        <v/>
      </c>
      <c r="X121" t="str">
        <f>IF(NOT($A121),"",
IF(AR121=-2,regle!$J$11,
IF(AR121=regle!$B$12,regle!$B$11,
IF(AR121=regle!$C$12,regle!$C$11,
IF(AR121=regle!$D$12,regle!$D$11,
IF(AR121=regle!$E$12,regle!$E$11,
IF(AR121=regle!$F$12,regle!$F$11,
IF(AR121=regle!$G$12,regle!$G$11,
IF(AR121=regle!$H$12,regle!$H$11,
IF(AR121=regle!$I$12,regle!$I$11,""))))))))))</f>
        <v>EC3</v>
      </c>
      <c r="Y121" t="str">
        <f>IF(NOT($A121),"",
IF(AS121=-2,regle!$J$11,
IF(AS121=regle!$B$12,regle!$B$11,
IF(AS121=regle!$C$12,regle!$C$11,
IF(AS121=regle!$D$12,regle!$D$11,
IF(AS121=regle!$E$12,regle!$E$11,
IF(AS121=regle!$F$12,regle!$F$11,
IF(AS121=regle!$G$12,regle!$G$11,
IF(AS121=regle!$H$12,regle!$H$11,
IF(AS121=regle!$I$12,regle!$I$11,""))))))))))</f>
        <v/>
      </c>
      <c r="Z121" t="str">
        <f>IF(NOT($A121),"",
IF(AT121=-2,regle!$J$11,
IF(AT121=regle!$B$12,regle!$B$11,
IF(AT121=regle!$C$12,regle!$C$11,
IF(AT121=regle!$D$12,regle!$D$11,
IF(AT121=regle!$E$12,regle!$E$11,
IF(AT121=regle!$F$12,regle!$F$11,
IF(AT121=regle!$G$12,regle!$G$11,
IF(AT121=regle!$H$12,regle!$H$11,
IF(AT121=regle!$I$12,regle!$I$11,""))))))))))</f>
        <v/>
      </c>
      <c r="AA121" t="str">
        <f>IF(NOT($A121),"",
IF(AU121=-2,regle!$J$11,
IF(AU121=regle!$B$12,regle!$B$11,
IF(AU121=regle!$C$12,regle!$C$11,
IF(AU121=regle!$D$12,regle!$D$11,
IF(AU121=regle!$E$12,regle!$E$11,
IF(AU121=regle!$F$12,regle!$F$11,
IF(AU121=regle!$G$12,regle!$G$11,
IF(AU121=regle!$H$12,regle!$H$11,
IF(AU121=regle!$I$12,regle!$I$11,""))))))))))</f>
        <v/>
      </c>
      <c r="AB121" t="str">
        <f>IF(NOT($A121),"",
IF(AV121=-2,regle!$J$11,
IF(AV121=regle!$B$12,regle!$B$11,
IF(AV121=regle!$C$12,regle!$C$11,
IF(AV121=regle!$D$12,regle!$D$11,
IF(AV121=regle!$E$12,regle!$E$11,
IF(AV121=regle!$F$12,regle!$F$11,
IF(AV121=regle!$G$12,regle!$G$11,
IF(AV121=regle!$H$12,regle!$H$11,
IF(AV121=regle!$I$12,regle!$I$11,""))))))))))</f>
        <v/>
      </c>
      <c r="AC121" t="str">
        <f>IF(NOT($A121),"",
IF(AW121=-2,regle!$J$11,
IF(AW121=regle!$B$12,regle!$B$11,
IF(AW121=regle!$C$12,regle!$C$11,
IF(AW121=regle!$D$12,regle!$D$11,
IF(AW121=regle!$E$12,regle!$E$11,
IF(AW121=regle!$F$12,regle!$F$11,
IF(AW121=regle!$G$12,regle!$G$11,
IF(AW121=regle!$H$12,regle!$H$11,
IF(AW121=regle!$I$12,regle!$I$11,""))))))))))</f>
        <v>EC4</v>
      </c>
      <c r="AD121" t="str">
        <f>IF(NOT($A121),"",
IF(AX121=-2,regle!$J$11,
IF(AX121=regle!$B$12,regle!$B$11,
IF(AX121=regle!$C$12,regle!$C$11,
IF(AX121=regle!$D$12,regle!$D$11,
IF(AX121=regle!$E$12,regle!$E$11,
IF(AX121=regle!$F$12,regle!$F$11,
IF(AX121=regle!$G$12,regle!$G$11,
IF(AX121=regle!$H$12,regle!$H$11,
IF(AX121=regle!$I$12,regle!$I$11,""))))))))))</f>
        <v/>
      </c>
      <c r="AE121" s="14">
        <f>IF($A121,$M121*(IF(U121=regle!$B$11,regle!$B$23,IF(U121=regle!$C$11,regle!$C$23,IF(U121=regle!$D$11,regle!$D$23,IF(U121=regle!$E$11,regle!$E$23,IF(U121=regle!$F$11,regle!$F$23,IF(U121=regle!$G$11,regle!$G$23,IF(U121=regle!$H$11,regle!$H$23,IF(U121=regle!$I$11,regle!$I$23,IF(U121=regle!$J$11,regle!$J$23,0)))))))))))</f>
        <v>0</v>
      </c>
      <c r="AF121" s="14">
        <f>IF($A121,$M121*(IF(V121=regle!$B$11,regle!$B$23,IF(V121=regle!$C$11,regle!$C$23,IF(V121=regle!$D$11,regle!$D$23,IF(V121=regle!$E$11,regle!$E$23,IF(V121=regle!$F$11,regle!$F$23,IF(V121=regle!$G$11,regle!$G$23,IF(V121=regle!$H$11,regle!$H$23,IF(V121=regle!$I$11,regle!$I$23,IF(V121=regle!$J$11,regle!$J$23,0)))))))))))</f>
        <v>0</v>
      </c>
      <c r="AG121" s="14">
        <f>IF($A121,$M121*(IF(W121=regle!$B$11,regle!$B$23,IF(W121=regle!$C$11,regle!$C$23,IF(W121=regle!$D$11,regle!$D$23,IF(W121=regle!$E$11,regle!$E$23,IF(W121=regle!$F$11,regle!$F$23,IF(W121=regle!$G$11,regle!$G$23,IF(W121=regle!$H$11,regle!$H$23,IF(W121=regle!$I$11,regle!$I$23,IF(W121=regle!$J$11,regle!$J$23,0)))))))))))</f>
        <v>0</v>
      </c>
      <c r="AH121" s="14">
        <f>IF($A121,$M121*(IF(X121=regle!$B$11,regle!$B$23,IF(X121=regle!$C$11,regle!$C$23,IF(X121=regle!$D$11,regle!$D$23,IF(X121=regle!$E$11,regle!$E$23,IF(X121=regle!$F$11,regle!$F$23,IF(X121=regle!$G$11,regle!$G$23,IF(X121=regle!$H$11,regle!$H$23,IF(X121=regle!$I$11,regle!$I$23,IF(X121=regle!$J$11,regle!$J$23,0)))))))))))</f>
        <v>2089.7536</v>
      </c>
      <c r="AI121" s="14">
        <f>IF($A121,$M121*(IF(Y121=regle!$B$11,regle!$B$23,IF(Y121=regle!$C$11,regle!$C$23,IF(Y121=regle!$D$11,regle!$D$23,IF(Y121=regle!$E$11,regle!$E$23,IF(Y121=regle!$F$11,regle!$F$23,IF(Y121=regle!$G$11,regle!$G$23,IF(Y121=regle!$H$11,regle!$H$23,IF(Y121=regle!$I$11,regle!$I$23,IF(Y121=regle!$J$11,regle!$J$23,0)))))))))))</f>
        <v>0</v>
      </c>
      <c r="AJ121" s="14">
        <f>IF($A121,$M121*(IF(Z121=regle!$B$11,regle!$B$23,IF(Z121=regle!$C$11,regle!$C$23,IF(Z121=regle!$D$11,regle!$D$23,IF(Z121=regle!$E$11,regle!$E$23,IF(Z121=regle!$F$11,regle!$F$23,IF(Z121=regle!$G$11,regle!$G$23,IF(Z121=regle!$H$11,regle!$H$23,IF(Z121=regle!$I$11,regle!$I$23,IF(Z121=regle!$J$11,regle!$J$23,0)))))))))))</f>
        <v>0</v>
      </c>
      <c r="AK121" s="14">
        <f>IF($A121,$M121*(IF(AA121=regle!$B$11,regle!$B$23,IF(AA121=regle!$C$11,regle!$C$23,IF(AA121=regle!$D$11,regle!$D$23,IF(AA121=regle!$E$11,regle!$E$23,IF(AA121=regle!$F$11,regle!$F$23,IF(AA121=regle!$G$11,regle!$G$23,IF(AA121=regle!$H$11,regle!$H$23,IF(AA121=regle!$I$11,regle!$I$23,IF(AA121=regle!$J$11,regle!$J$23,0)))))))))))</f>
        <v>0</v>
      </c>
      <c r="AL121" s="14">
        <f>IF($A121,$M121*(IF(AB121=regle!$B$11,regle!$B$23,IF(AB121=regle!$C$11,regle!$C$23,IF(AB121=regle!$D$11,regle!$D$23,IF(AB121=regle!$E$11,regle!$E$23,IF(AB121=regle!$F$11,regle!$F$23,IF(AB121=regle!$G$11,regle!$G$23,IF(AB121=regle!$H$11,regle!$H$23,IF(AB121=regle!$I$11,regle!$I$23,IF(AB121=regle!$J$11,regle!$J$23,0)))))))))))</f>
        <v>0</v>
      </c>
      <c r="AM121" s="14">
        <f>IF($A121,$M121*(IF(AC121=regle!$B$11,regle!$B$23,IF(AC121=regle!$C$11,regle!$C$23,IF(AC121=regle!$D$11,regle!$D$23,IF(AC121=regle!$E$11,regle!$E$23,IF(AC121=regle!$F$11,regle!$F$23,IF(AC121=regle!$G$11,regle!$G$23,IF(AC121=regle!$H$11,regle!$H$23,IF(AC121=regle!$I$11,regle!$I$23,IF(AC121=regle!$J$11,regle!$J$23,0)))))))))))</f>
        <v>1899.7759999999998</v>
      </c>
      <c r="AN121" s="14">
        <f>IF($A121,$M121*(IF(AD121=regle!$B$11,regle!$B$23,IF(AD121=regle!$C$11,regle!$C$23,IF(AD121=regle!$D$11,regle!$D$23,IF(AD121=regle!$E$11,regle!$E$23,IF(AD121=regle!$F$11,regle!$F$23,IF(AD121=regle!$G$11,regle!$G$23,IF(AD121=regle!$H$11,regle!$H$23,IF(AD121=regle!$I$11,regle!$I$23,IF(AD121=regle!$J$11,regle!$J$23,0)))))))))))</f>
        <v>0</v>
      </c>
      <c r="AO121">
        <f>IF(AO$1=$AO$1,IF(regle!B$2-$Q121&gt;=regle!$J$12,-2,IF($S121,IF(regle!$B$2-$Q121&gt;=2,0,-1),regle!B$2-$Q121)),IF(AN121+1&gt;=regle!$J$12,-2,AN121+1))</f>
        <v>20</v>
      </c>
      <c r="AP121">
        <f>IF(AP$1=$AO$1,IF(regle!C$2-$Q121&gt;=regle!$J$12,-2,IF($S121,IF(regle!$B$2-$Q121&gt;=2,0,-1),regle!C$2-$Q121)),IF(AO121+1&gt;=regle!$J$12,-2,AO121+1))</f>
        <v>21</v>
      </c>
      <c r="AQ121">
        <f>IF(AQ$1=$AO$1,IF(regle!D$2-$Q121&gt;=regle!$J$12,-2,IF($S121,IF(regle!$B$2-$Q121&gt;=2,0,-1),regle!D$2-$Q121)),IF(AP121+1&gt;=regle!$J$12,-2,AP121+1))</f>
        <v>22</v>
      </c>
      <c r="AR121">
        <f>IF(AR$1=$AO$1,IF(regle!E$2-$Q121&gt;=regle!$J$12,-2,IF($S121,IF(regle!$B$2-$Q121&gt;=2,0,-1),regle!E$2-$Q121)),IF(AQ121+1&gt;=regle!$J$12,-2,AQ121+1))</f>
        <v>23</v>
      </c>
      <c r="AS121">
        <f>IF(AS$1=$AO$1,IF(regle!F$2-$Q121&gt;=regle!$J$12,-2,IF($S121,IF(regle!$B$2-$Q121&gt;=2,0,-1),regle!F$2-$Q121)),IF(AR121+1&gt;=regle!$J$12,-2,AR121+1))</f>
        <v>24</v>
      </c>
      <c r="AT121">
        <f>IF(AT$1=$AO$1,IF(regle!G$2-$Q121&gt;=regle!$J$12,-2,IF($S121,IF(regle!$B$2-$Q121&gt;=2,0,-1),regle!G$2-$Q121)),IF(AS121+1&gt;=regle!$J$12,-2,AS121+1))</f>
        <v>25</v>
      </c>
      <c r="AU121">
        <f>IF(AU$1=$AO$1,IF(regle!H$2-$Q121&gt;=regle!$J$12,-2,IF($S121,IF(regle!$B$2-$Q121&gt;=2,0,-1),regle!H$2-$Q121)),IF(AT121+1&gt;=regle!$J$12,-2,AT121+1))</f>
        <v>26</v>
      </c>
      <c r="AV121">
        <f>IF(AV$1=$AO$1,IF(regle!I$2-$Q121&gt;=regle!$J$12,-2,IF($S121,IF(regle!$B$2-$Q121&gt;=2,0,-1),regle!I$2-$Q121)),IF(AU121+1&gt;=regle!$J$12,-2,AU121+1))</f>
        <v>27</v>
      </c>
      <c r="AW121">
        <f>IF(AW$1=$AO$1,IF(regle!J$2-$Q121&gt;=regle!$J$12,-2,IF($S121,IF(regle!$B$2-$Q121&gt;=2,0,-1),regle!J$2-$Q121)),IF(AV121+1&gt;=regle!$J$12,-2,AV121+1))</f>
        <v>28</v>
      </c>
      <c r="AX121">
        <f>IF(AX$1=$AO$1,IF(regle!K$2-$Q121&gt;=regle!$J$12,-2,IF($S121,IF(regle!$B$2-$Q121&gt;=2,0,-1),regle!K$2-$Q121)),IF(AW121+1&gt;=regle!$J$12,-2,AW121+1))</f>
        <v>29</v>
      </c>
    </row>
    <row r="122" spans="1:50" x14ac:dyDescent="0.25">
      <c r="A122" t="b">
        <f>AND(modif0[[#This Row],[cdstr]]&lt;&gt;0,OR(regle!$H$27=FALSE,modif0[[#This Row],[essnc]]="PM"))</f>
        <v>1</v>
      </c>
      <c r="B122">
        <f>ROW(objet!A148)</f>
        <v>148</v>
      </c>
      <c r="C122" s="10" t="str">
        <f>objet!D148</f>
        <v>2020000B1151</v>
      </c>
      <c r="D122" t="str">
        <f>LEFT(modif0[[#This Row],[cdstr]],3)</f>
        <v>202</v>
      </c>
      <c r="E122" s="10" t="str">
        <f>objet!G148</f>
        <v>HOSTENS</v>
      </c>
      <c r="F122">
        <f>LEN(modif0[[#This Row],[l_dt]])</f>
        <v>11</v>
      </c>
      <c r="G122" s="10" t="str">
        <f>objet!H148</f>
        <v>LES CAZALAS</v>
      </c>
      <c r="H122" s="10" t="str">
        <f>objet!C148</f>
        <v>B1151</v>
      </c>
      <c r="I122" t="str">
        <f>IF(ISNUMBER(VALUE(RIGHT(LEFT(modif0[[#This Row],[idntfn]],2),1))),_xlfn.CONCAT(0,LEFT(modif0[[#This Row],[idntfn]],1)),LEFT(modif0[[#This Row],[idntfn]],2))</f>
        <v>0B</v>
      </c>
      <c r="J122">
        <f>VALUE(LEFT(RIGHT(modif0[[#This Row],[idntfn]],LEN(modif0[[#This Row],[idntfn]])-IF(LEFT(modif0[[#This Row],[sctn]],1)="0",1,2)),LEN(modif0[[#This Row],[idntfn]])-IF(LEFT(modif0[[#This Row],[sctn]],1)="0",1,2)-LEN(modif0[[#This Row],[lttr]])))</f>
        <v>1151</v>
      </c>
      <c r="K122" t="str">
        <f>IF(ISNUMBER(VALUE(RIGHT(modif0[[#This Row],[idntfn]],1))),"",IF(ISNUMBER(VALUE(LEFT(RIGHT(modif0[[#This Row],[idntfn]],2),1))),RIGHT(modif0[[#This Row],[idntfn]],1),RIGHT(modif0[[#This Row],[idntfn]],2)))</f>
        <v/>
      </c>
      <c r="L122" s="10">
        <f>objet!I148</f>
        <v>32465</v>
      </c>
      <c r="M122" s="11">
        <f>modif0[[#This Row],[srfc]]/10000</f>
        <v>3.2465000000000002</v>
      </c>
      <c r="N122" s="10" t="str">
        <f>objet!Z148</f>
        <v>PM</v>
      </c>
      <c r="O122" s="10" t="str">
        <f>objet!AA148</f>
        <v>PLA2019</v>
      </c>
      <c r="P122" t="str">
        <f>IF(ISNUMBER(modif0[[#This Row],[trvx]]),"",LEFT(modif0[[#This Row],[trvx]],LEN(modif0[[#This Row],[trvx]])-4))</f>
        <v>PLA</v>
      </c>
      <c r="Q122">
        <f>VALUE(RIGHT(modif0[[#This Row],[trvx]],4))</f>
        <v>2019</v>
      </c>
      <c r="R122" t="str">
        <f>_xlfn.CONCAT(modif0[[#This Row],[tp]],"-",modif0[[#This Row],[essnc]],"_",modif0[[#This Row],[anns]])</f>
        <v>PLA-PM_2019</v>
      </c>
      <c r="S122" t="b">
        <f>modif0[[#This Row],[tp]]="CR"</f>
        <v>0</v>
      </c>
      <c r="T122">
        <v>40</v>
      </c>
      <c r="U122" t="str">
        <f>IF(NOT($A122),"",
IF(AO122=-2,regle!$J$11,
IF(AO122=regle!$B$12,regle!$B$11,
IF(AO122=regle!$C$12,regle!$C$11,
IF(AO122=regle!$D$12,regle!$D$11,
IF(AO122=regle!$E$12,regle!$E$11,
IF(AO122=regle!$F$12,regle!$F$11,
IF(AO122=regle!$G$12,regle!$G$11,
IF(AO122=regle!$H$12,regle!$H$11,
IF(AO122=regle!$I$12,regle!$I$11,""))))))))))</f>
        <v>ENT1</v>
      </c>
      <c r="V122" t="str">
        <f>IF(NOT($A122),"",
IF(AP122=-2,regle!$J$11,
IF(AP122=regle!$B$12,regle!$B$11,
IF(AP122=regle!$C$12,regle!$C$11,
IF(AP122=regle!$D$12,regle!$D$11,
IF(AP122=regle!$E$12,regle!$E$11,
IF(AP122=regle!$F$12,regle!$F$11,
IF(AP122=regle!$G$12,regle!$G$11,
IF(AP122=regle!$H$12,regle!$H$11,
IF(AP122=regle!$I$12,regle!$I$11,""))))))))))</f>
        <v/>
      </c>
      <c r="W122" t="str">
        <f>IF(NOT($A122),"",
IF(AQ122=-2,regle!$J$11,
IF(AQ122=regle!$B$12,regle!$B$11,
IF(AQ122=regle!$C$12,regle!$C$11,
IF(AQ122=regle!$D$12,regle!$D$11,
IF(AQ122=regle!$E$12,regle!$E$11,
IF(AQ122=regle!$F$12,regle!$F$11,
IF(AQ122=regle!$G$12,regle!$G$11,
IF(AQ122=regle!$H$12,regle!$H$11,
IF(AQ122=regle!$I$12,regle!$I$11,""))))))))))</f>
        <v/>
      </c>
      <c r="X122" t="str">
        <f>IF(NOT($A122),"",
IF(AR122=-2,regle!$J$11,
IF(AR122=regle!$B$12,regle!$B$11,
IF(AR122=regle!$C$12,regle!$C$11,
IF(AR122=regle!$D$12,regle!$D$11,
IF(AR122=regle!$E$12,regle!$E$11,
IF(AR122=regle!$F$12,regle!$F$11,
IF(AR122=regle!$G$12,regle!$G$11,
IF(AR122=regle!$H$12,regle!$H$11,
IF(AR122=regle!$I$12,regle!$I$11,""))))))))))</f>
        <v>ENT2</v>
      </c>
      <c r="Y122" t="str">
        <f>IF(NOT($A122),"",
IF(AS122=-2,regle!$J$11,
IF(AS122=regle!$B$12,regle!$B$11,
IF(AS122=regle!$C$12,regle!$C$11,
IF(AS122=regle!$D$12,regle!$D$11,
IF(AS122=regle!$E$12,regle!$E$11,
IF(AS122=regle!$F$12,regle!$F$11,
IF(AS122=regle!$G$12,regle!$G$11,
IF(AS122=regle!$H$12,regle!$H$11,
IF(AS122=regle!$I$12,regle!$I$11,""))))))))))</f>
        <v/>
      </c>
      <c r="Z122" t="str">
        <f>IF(NOT($A122),"",
IF(AT122=-2,regle!$J$11,
IF(AT122=regle!$B$12,regle!$B$11,
IF(AT122=regle!$C$12,regle!$C$11,
IF(AT122=regle!$D$12,regle!$D$11,
IF(AT122=regle!$E$12,regle!$E$11,
IF(AT122=regle!$F$12,regle!$F$11,
IF(AT122=regle!$G$12,regle!$G$11,
IF(AT122=regle!$H$12,regle!$H$11,
IF(AT122=regle!$I$12,regle!$I$11,""))))))))))</f>
        <v/>
      </c>
      <c r="AA122" t="str">
        <f>IF(NOT($A122),"",
IF(AU122=-2,regle!$J$11,
IF(AU122=regle!$B$12,regle!$B$11,
IF(AU122=regle!$C$12,regle!$C$11,
IF(AU122=regle!$D$12,regle!$D$11,
IF(AU122=regle!$E$12,regle!$E$11,
IF(AU122=regle!$F$12,regle!$F$11,
IF(AU122=regle!$G$12,regle!$G$11,
IF(AU122=regle!$H$12,regle!$H$11,
IF(AU122=regle!$I$12,regle!$I$11,""))))))))))</f>
        <v/>
      </c>
      <c r="AB122" t="str">
        <f>IF(NOT($A122),"",
IF(AV122=-2,regle!$J$11,
IF(AV122=regle!$B$12,regle!$B$11,
IF(AV122=regle!$C$12,regle!$C$11,
IF(AV122=regle!$D$12,regle!$D$11,
IF(AV122=regle!$E$12,regle!$E$11,
IF(AV122=regle!$F$12,regle!$F$11,
IF(AV122=regle!$G$12,regle!$G$11,
IF(AV122=regle!$H$12,regle!$H$11,
IF(AV122=regle!$I$12,regle!$I$11,""))))))))))</f>
        <v/>
      </c>
      <c r="AC122" t="str">
        <f>IF(NOT($A122),"",
IF(AW122=-2,regle!$J$11,
IF(AW122=regle!$B$12,regle!$B$11,
IF(AW122=regle!$C$12,regle!$C$11,
IF(AW122=regle!$D$12,regle!$D$11,
IF(AW122=regle!$E$12,regle!$E$11,
IF(AW122=regle!$F$12,regle!$F$11,
IF(AW122=regle!$G$12,regle!$G$11,
IF(AW122=regle!$H$12,regle!$H$11,
IF(AW122=regle!$I$12,regle!$I$11,""))))))))))</f>
        <v>EC1</v>
      </c>
      <c r="AD122" t="str">
        <f>IF(NOT($A122),"",
IF(AX122=-2,regle!$J$11,
IF(AX122=regle!$B$12,regle!$B$11,
IF(AX122=regle!$C$12,regle!$C$11,
IF(AX122=regle!$D$12,regle!$D$11,
IF(AX122=regle!$E$12,regle!$E$11,
IF(AX122=regle!$F$12,regle!$F$11,
IF(AX122=regle!$G$12,regle!$G$11,
IF(AX122=regle!$H$12,regle!$H$11,
IF(AX122=regle!$I$12,regle!$I$11,""))))))))))</f>
        <v/>
      </c>
      <c r="AE122" s="14">
        <f>IF($A122,$M122*(IF(U122=regle!$B$11,regle!$B$23,IF(U122=regle!$C$11,regle!$C$23,IF(U122=regle!$D$11,regle!$D$23,IF(U122=regle!$E$11,regle!$E$23,IF(U122=regle!$F$11,regle!$F$23,IF(U122=regle!$G$11,regle!$G$23,IF(U122=regle!$H$11,regle!$H$23,IF(U122=regle!$I$11,regle!$I$23,IF(U122=regle!$J$11,regle!$J$23,0)))))))))))</f>
        <v>-292.185</v>
      </c>
      <c r="AF122" s="14">
        <f>IF($A122,$M122*(IF(V122=regle!$B$11,regle!$B$23,IF(V122=regle!$C$11,regle!$C$23,IF(V122=regle!$D$11,regle!$D$23,IF(V122=regle!$E$11,regle!$E$23,IF(V122=regle!$F$11,regle!$F$23,IF(V122=regle!$G$11,regle!$G$23,IF(V122=regle!$H$11,regle!$H$23,IF(V122=regle!$I$11,regle!$I$23,IF(V122=regle!$J$11,regle!$J$23,0)))))))))))</f>
        <v>0</v>
      </c>
      <c r="AG122" s="14">
        <f>IF($A122,$M122*(IF(W122=regle!$B$11,regle!$B$23,IF(W122=regle!$C$11,regle!$C$23,IF(W122=regle!$D$11,regle!$D$23,IF(W122=regle!$E$11,regle!$E$23,IF(W122=regle!$F$11,regle!$F$23,IF(W122=regle!$G$11,regle!$G$23,IF(W122=regle!$H$11,regle!$H$23,IF(W122=regle!$I$11,regle!$I$23,IF(W122=regle!$J$11,regle!$J$23,0)))))))))))</f>
        <v>0</v>
      </c>
      <c r="AH122" s="14">
        <f>IF($A122,$M122*(IF(X122=regle!$B$11,regle!$B$23,IF(X122=regle!$C$11,regle!$C$23,IF(X122=regle!$D$11,regle!$D$23,IF(X122=regle!$E$11,regle!$E$23,IF(X122=regle!$F$11,regle!$F$23,IF(X122=regle!$G$11,regle!$G$23,IF(X122=regle!$H$11,regle!$H$23,IF(X122=regle!$I$11,regle!$I$23,IF(X122=regle!$J$11,regle!$J$23,0)))))))))))</f>
        <v>-292.185</v>
      </c>
      <c r="AI122" s="14">
        <f>IF($A122,$M122*(IF(Y122=regle!$B$11,regle!$B$23,IF(Y122=regle!$C$11,regle!$C$23,IF(Y122=regle!$D$11,regle!$D$23,IF(Y122=regle!$E$11,regle!$E$23,IF(Y122=regle!$F$11,regle!$F$23,IF(Y122=regle!$G$11,regle!$G$23,IF(Y122=regle!$H$11,regle!$H$23,IF(Y122=regle!$I$11,regle!$I$23,IF(Y122=regle!$J$11,regle!$J$23,0)))))))))))</f>
        <v>0</v>
      </c>
      <c r="AJ122" s="14">
        <f>IF($A122,$M122*(IF(Z122=regle!$B$11,regle!$B$23,IF(Z122=regle!$C$11,regle!$C$23,IF(Z122=regle!$D$11,regle!$D$23,IF(Z122=regle!$E$11,regle!$E$23,IF(Z122=regle!$F$11,regle!$F$23,IF(Z122=regle!$G$11,regle!$G$23,IF(Z122=regle!$H$11,regle!$H$23,IF(Z122=regle!$I$11,regle!$I$23,IF(Z122=regle!$J$11,regle!$J$23,0)))))))))))</f>
        <v>0</v>
      </c>
      <c r="AK122" s="14">
        <f>IF($A122,$M122*(IF(AA122=regle!$B$11,regle!$B$23,IF(AA122=regle!$C$11,regle!$C$23,IF(AA122=regle!$D$11,regle!$D$23,IF(AA122=regle!$E$11,regle!$E$23,IF(AA122=regle!$F$11,regle!$F$23,IF(AA122=regle!$G$11,regle!$G$23,IF(AA122=regle!$H$11,regle!$H$23,IF(AA122=regle!$I$11,regle!$I$23,IF(AA122=regle!$J$11,regle!$J$23,0)))))))))))</f>
        <v>0</v>
      </c>
      <c r="AL122" s="14">
        <f>IF($A122,$M122*(IF(AB122=regle!$B$11,regle!$B$23,IF(AB122=regle!$C$11,regle!$C$23,IF(AB122=regle!$D$11,regle!$D$23,IF(AB122=regle!$E$11,regle!$E$23,IF(AB122=regle!$F$11,regle!$F$23,IF(AB122=regle!$G$11,regle!$G$23,IF(AB122=regle!$H$11,regle!$H$23,IF(AB122=regle!$I$11,regle!$I$23,IF(AB122=regle!$J$11,regle!$J$23,0)))))))))))</f>
        <v>0</v>
      </c>
      <c r="AM122" s="14">
        <f>IF($A122,$M122*(IF(AC122=regle!$B$11,regle!$B$23,IF(AC122=regle!$C$11,regle!$C$23,IF(AC122=regle!$D$11,regle!$D$23,IF(AC122=regle!$E$11,regle!$E$23,IF(AC122=regle!$F$11,regle!$F$23,IF(AC122=regle!$G$11,regle!$G$23,IF(AC122=regle!$H$11,regle!$H$23,IF(AC122=regle!$I$11,regle!$I$23,IF(AC122=regle!$J$11,regle!$J$23,0)))))))))))</f>
        <v>1869.9840000000002</v>
      </c>
      <c r="AN122" s="14">
        <f>IF($A122,$M122*(IF(AD122=regle!$B$11,regle!$B$23,IF(AD122=regle!$C$11,regle!$C$23,IF(AD122=regle!$D$11,regle!$D$23,IF(AD122=regle!$E$11,regle!$E$23,IF(AD122=regle!$F$11,regle!$F$23,IF(AD122=regle!$G$11,regle!$G$23,IF(AD122=regle!$H$11,regle!$H$23,IF(AD122=regle!$I$11,regle!$I$23,IF(AD122=regle!$J$11,regle!$J$23,0)))))))))))</f>
        <v>0</v>
      </c>
      <c r="AO122">
        <f>IF(AO$1=$AO$1,IF(regle!B$2-$Q122&gt;=regle!$J$12,-2,IF($S122,IF(regle!$B$2-$Q122&gt;=2,0,-1),regle!B$2-$Q122)),IF(AN122+1&gt;=regle!$J$12,-2,AN122+1))</f>
        <v>5</v>
      </c>
      <c r="AP122">
        <f>IF(AP$1=$AO$1,IF(regle!C$2-$Q122&gt;=regle!$J$12,-2,IF($S122,IF(regle!$B$2-$Q122&gt;=2,0,-1),regle!C$2-$Q122)),IF(AO122+1&gt;=regle!$J$12,-2,AO122+1))</f>
        <v>6</v>
      </c>
      <c r="AQ122">
        <f>IF(AQ$1=$AO$1,IF(regle!D$2-$Q122&gt;=regle!$J$12,-2,IF($S122,IF(regle!$B$2-$Q122&gt;=2,0,-1),regle!D$2-$Q122)),IF(AP122+1&gt;=regle!$J$12,-2,AP122+1))</f>
        <v>7</v>
      </c>
      <c r="AR122">
        <f>IF(AR$1=$AO$1,IF(regle!E$2-$Q122&gt;=regle!$J$12,-2,IF($S122,IF(regle!$B$2-$Q122&gt;=2,0,-1),regle!E$2-$Q122)),IF(AQ122+1&gt;=regle!$J$12,-2,AQ122+1))</f>
        <v>8</v>
      </c>
      <c r="AS122">
        <f>IF(AS$1=$AO$1,IF(regle!F$2-$Q122&gt;=regle!$J$12,-2,IF($S122,IF(regle!$B$2-$Q122&gt;=2,0,-1),regle!F$2-$Q122)),IF(AR122+1&gt;=regle!$J$12,-2,AR122+1))</f>
        <v>9</v>
      </c>
      <c r="AT122">
        <f>IF(AT$1=$AO$1,IF(regle!G$2-$Q122&gt;=regle!$J$12,-2,IF($S122,IF(regle!$B$2-$Q122&gt;=2,0,-1),regle!G$2-$Q122)),IF(AS122+1&gt;=regle!$J$12,-2,AS122+1))</f>
        <v>10</v>
      </c>
      <c r="AU122">
        <f>IF(AU$1=$AO$1,IF(regle!H$2-$Q122&gt;=regle!$J$12,-2,IF($S122,IF(regle!$B$2-$Q122&gt;=2,0,-1),regle!H$2-$Q122)),IF(AT122+1&gt;=regle!$J$12,-2,AT122+1))</f>
        <v>11</v>
      </c>
      <c r="AV122">
        <f>IF(AV$1=$AO$1,IF(regle!I$2-$Q122&gt;=regle!$J$12,-2,IF($S122,IF(regle!$B$2-$Q122&gt;=2,0,-1),regle!I$2-$Q122)),IF(AU122+1&gt;=regle!$J$12,-2,AU122+1))</f>
        <v>12</v>
      </c>
      <c r="AW122">
        <f>IF(AW$1=$AO$1,IF(regle!J$2-$Q122&gt;=regle!$J$12,-2,IF($S122,IF(regle!$B$2-$Q122&gt;=2,0,-1),regle!J$2-$Q122)),IF(AV122+1&gt;=regle!$J$12,-2,AV122+1))</f>
        <v>13</v>
      </c>
      <c r="AX122">
        <f>IF(AX$1=$AO$1,IF(regle!K$2-$Q122&gt;=regle!$J$12,-2,IF($S122,IF(regle!$B$2-$Q122&gt;=2,0,-1),regle!K$2-$Q122)),IF(AW122+1&gt;=regle!$J$12,-2,AW122+1))</f>
        <v>14</v>
      </c>
    </row>
    <row r="123" spans="1:50" x14ac:dyDescent="0.25">
      <c r="A123" t="b">
        <f>AND(modif0[[#This Row],[cdstr]]&lt;&gt;0,OR(regle!$H$27=FALSE,modif0[[#This Row],[essnc]]="PM"))</f>
        <v>1</v>
      </c>
      <c r="B123">
        <f>ROW(objet!A149)</f>
        <v>149</v>
      </c>
      <c r="C123" s="10" t="str">
        <f>objet!D149</f>
        <v>2020000B1152</v>
      </c>
      <c r="D123" t="str">
        <f>LEFT(modif0[[#This Row],[cdstr]],3)</f>
        <v>202</v>
      </c>
      <c r="E123" s="10" t="str">
        <f>objet!G149</f>
        <v>HOSTENS</v>
      </c>
      <c r="F123">
        <f>LEN(modif0[[#This Row],[l_dt]])</f>
        <v>11</v>
      </c>
      <c r="G123" s="10" t="str">
        <f>objet!H149</f>
        <v>LES CAZALAS</v>
      </c>
      <c r="H123" s="10" t="str">
        <f>objet!C149</f>
        <v>B1152j</v>
      </c>
      <c r="I123" t="str">
        <f>IF(ISNUMBER(VALUE(RIGHT(LEFT(modif0[[#This Row],[idntfn]],2),1))),_xlfn.CONCAT(0,LEFT(modif0[[#This Row],[idntfn]],1)),LEFT(modif0[[#This Row],[idntfn]],2))</f>
        <v>0B</v>
      </c>
      <c r="J123">
        <f>VALUE(LEFT(RIGHT(modif0[[#This Row],[idntfn]],LEN(modif0[[#This Row],[idntfn]])-IF(LEFT(modif0[[#This Row],[sctn]],1)="0",1,2)),LEN(modif0[[#This Row],[idntfn]])-IF(LEFT(modif0[[#This Row],[sctn]],1)="0",1,2)-LEN(modif0[[#This Row],[lttr]])))</f>
        <v>1152</v>
      </c>
      <c r="K123" t="str">
        <f>IF(ISNUMBER(VALUE(RIGHT(modif0[[#This Row],[idntfn]],1))),"",IF(ISNUMBER(VALUE(LEFT(RIGHT(modif0[[#This Row],[idntfn]],2),1))),RIGHT(modif0[[#This Row],[idntfn]],1),RIGHT(modif0[[#This Row],[idntfn]],2)))</f>
        <v>j</v>
      </c>
      <c r="L123" s="10">
        <f>objet!I149</f>
        <v>42348</v>
      </c>
      <c r="M123" s="11">
        <f>modif0[[#This Row],[srfc]]/10000</f>
        <v>4.2347999999999999</v>
      </c>
      <c r="N123" s="10" t="str">
        <f>objet!Z149</f>
        <v>PM</v>
      </c>
      <c r="O123" s="10" t="str">
        <f>objet!AA149</f>
        <v>PLA2004</v>
      </c>
      <c r="P123" t="str">
        <f>IF(ISNUMBER(modif0[[#This Row],[trvx]]),"",LEFT(modif0[[#This Row],[trvx]],LEN(modif0[[#This Row],[trvx]])-4))</f>
        <v>PLA</v>
      </c>
      <c r="Q123">
        <f>VALUE(RIGHT(modif0[[#This Row],[trvx]],4))</f>
        <v>2004</v>
      </c>
      <c r="R123" t="str">
        <f>_xlfn.CONCAT(modif0[[#This Row],[tp]],"-",modif0[[#This Row],[essnc]],"_",modif0[[#This Row],[anns]])</f>
        <v>PLA-PM_2004</v>
      </c>
      <c r="S123" t="b">
        <f>modif0[[#This Row],[tp]]="CR"</f>
        <v>0</v>
      </c>
      <c r="T123">
        <v>40</v>
      </c>
      <c r="U123" t="str">
        <f>IF(NOT($A123),"",
IF(AO123=-2,regle!$J$11,
IF(AO123=regle!$B$12,regle!$B$11,
IF(AO123=regle!$C$12,regle!$C$11,
IF(AO123=regle!$D$12,regle!$D$11,
IF(AO123=regle!$E$12,regle!$E$11,
IF(AO123=regle!$F$12,regle!$F$11,
IF(AO123=regle!$G$12,regle!$G$11,
IF(AO123=regle!$H$12,regle!$H$11,
IF(AO123=regle!$I$12,regle!$I$11,""))))))))))</f>
        <v/>
      </c>
      <c r="V123" t="str">
        <f>IF(NOT($A123),"",
IF(AP123=-2,regle!$J$11,
IF(AP123=regle!$B$12,regle!$B$11,
IF(AP123=regle!$C$12,regle!$C$11,
IF(AP123=regle!$D$12,regle!$D$11,
IF(AP123=regle!$E$12,regle!$E$11,
IF(AP123=regle!$F$12,regle!$F$11,
IF(AP123=regle!$G$12,regle!$G$11,
IF(AP123=regle!$H$12,regle!$H$11,
IF(AP123=regle!$I$12,regle!$I$11,""))))))))))</f>
        <v/>
      </c>
      <c r="W123" t="str">
        <f>IF(NOT($A123),"",
IF(AQ123=-2,regle!$J$11,
IF(AQ123=regle!$B$12,regle!$B$11,
IF(AQ123=regle!$C$12,regle!$C$11,
IF(AQ123=regle!$D$12,regle!$D$11,
IF(AQ123=regle!$E$12,regle!$E$11,
IF(AQ123=regle!$F$12,regle!$F$11,
IF(AQ123=regle!$G$12,regle!$G$11,
IF(AQ123=regle!$H$12,regle!$H$11,
IF(AQ123=regle!$I$12,regle!$I$11,""))))))))))</f>
        <v/>
      </c>
      <c r="X123" t="str">
        <f>IF(NOT($A123),"",
IF(AR123=-2,regle!$J$11,
IF(AR123=regle!$B$12,regle!$B$11,
IF(AR123=regle!$C$12,regle!$C$11,
IF(AR123=regle!$D$12,regle!$D$11,
IF(AR123=regle!$E$12,regle!$E$11,
IF(AR123=regle!$F$12,regle!$F$11,
IF(AR123=regle!$G$12,regle!$G$11,
IF(AR123=regle!$H$12,regle!$H$11,
IF(AR123=regle!$I$12,regle!$I$11,""))))))))))</f>
        <v>EC3</v>
      </c>
      <c r="Y123" t="str">
        <f>IF(NOT($A123),"",
IF(AS123=-2,regle!$J$11,
IF(AS123=regle!$B$12,regle!$B$11,
IF(AS123=regle!$C$12,regle!$C$11,
IF(AS123=regle!$D$12,regle!$D$11,
IF(AS123=regle!$E$12,regle!$E$11,
IF(AS123=regle!$F$12,regle!$F$11,
IF(AS123=regle!$G$12,regle!$G$11,
IF(AS123=regle!$H$12,regle!$H$11,
IF(AS123=regle!$I$12,regle!$I$11,""))))))))))</f>
        <v/>
      </c>
      <c r="Z123" t="str">
        <f>IF(NOT($A123),"",
IF(AT123=-2,regle!$J$11,
IF(AT123=regle!$B$12,regle!$B$11,
IF(AT123=regle!$C$12,regle!$C$11,
IF(AT123=regle!$D$12,regle!$D$11,
IF(AT123=regle!$E$12,regle!$E$11,
IF(AT123=regle!$F$12,regle!$F$11,
IF(AT123=regle!$G$12,regle!$G$11,
IF(AT123=regle!$H$12,regle!$H$11,
IF(AT123=regle!$I$12,regle!$I$11,""))))))))))</f>
        <v/>
      </c>
      <c r="AA123" t="str">
        <f>IF(NOT($A123),"",
IF(AU123=-2,regle!$J$11,
IF(AU123=regle!$B$12,regle!$B$11,
IF(AU123=regle!$C$12,regle!$C$11,
IF(AU123=regle!$D$12,regle!$D$11,
IF(AU123=regle!$E$12,regle!$E$11,
IF(AU123=regle!$F$12,regle!$F$11,
IF(AU123=regle!$G$12,regle!$G$11,
IF(AU123=regle!$H$12,regle!$H$11,
IF(AU123=regle!$I$12,regle!$I$11,""))))))))))</f>
        <v/>
      </c>
      <c r="AB123" t="str">
        <f>IF(NOT($A123),"",
IF(AV123=-2,regle!$J$11,
IF(AV123=regle!$B$12,regle!$B$11,
IF(AV123=regle!$C$12,regle!$C$11,
IF(AV123=regle!$D$12,regle!$D$11,
IF(AV123=regle!$E$12,regle!$E$11,
IF(AV123=regle!$F$12,regle!$F$11,
IF(AV123=regle!$G$12,regle!$G$11,
IF(AV123=regle!$H$12,regle!$H$11,
IF(AV123=regle!$I$12,regle!$I$11,""))))))))))</f>
        <v/>
      </c>
      <c r="AC123" t="str">
        <f>IF(NOT($A123),"",
IF(AW123=-2,regle!$J$11,
IF(AW123=regle!$B$12,regle!$B$11,
IF(AW123=regle!$C$12,regle!$C$11,
IF(AW123=regle!$D$12,regle!$D$11,
IF(AW123=regle!$E$12,regle!$E$11,
IF(AW123=regle!$F$12,regle!$F$11,
IF(AW123=regle!$G$12,regle!$G$11,
IF(AW123=regle!$H$12,regle!$H$11,
IF(AW123=regle!$I$12,regle!$I$11,""))))))))))</f>
        <v>EC4</v>
      </c>
      <c r="AD123" t="str">
        <f>IF(NOT($A123),"",
IF(AX123=-2,regle!$J$11,
IF(AX123=regle!$B$12,regle!$B$11,
IF(AX123=regle!$C$12,regle!$C$11,
IF(AX123=regle!$D$12,regle!$D$11,
IF(AX123=regle!$E$12,regle!$E$11,
IF(AX123=regle!$F$12,regle!$F$11,
IF(AX123=regle!$G$12,regle!$G$11,
IF(AX123=regle!$H$12,regle!$H$11,
IF(AX123=regle!$I$12,regle!$I$11,""))))))))))</f>
        <v/>
      </c>
      <c r="AE123" s="14">
        <f>IF($A123,$M123*(IF(U123=regle!$B$11,regle!$B$23,IF(U123=regle!$C$11,regle!$C$23,IF(U123=regle!$D$11,regle!$D$23,IF(U123=regle!$E$11,regle!$E$23,IF(U123=regle!$F$11,regle!$F$23,IF(U123=regle!$G$11,regle!$G$23,IF(U123=regle!$H$11,regle!$H$23,IF(U123=regle!$I$11,regle!$I$23,IF(U123=regle!$J$11,regle!$J$23,0)))))))))))</f>
        <v>0</v>
      </c>
      <c r="AF123" s="14">
        <f>IF($A123,$M123*(IF(V123=regle!$B$11,regle!$B$23,IF(V123=regle!$C$11,regle!$C$23,IF(V123=regle!$D$11,regle!$D$23,IF(V123=regle!$E$11,regle!$E$23,IF(V123=regle!$F$11,regle!$F$23,IF(V123=regle!$G$11,regle!$G$23,IF(V123=regle!$H$11,regle!$H$23,IF(V123=regle!$I$11,regle!$I$23,IF(V123=regle!$J$11,regle!$J$23,0)))))))))))</f>
        <v>0</v>
      </c>
      <c r="AG123" s="14">
        <f>IF($A123,$M123*(IF(W123=regle!$B$11,regle!$B$23,IF(W123=regle!$C$11,regle!$C$23,IF(W123=regle!$D$11,regle!$D$23,IF(W123=regle!$E$11,regle!$E$23,IF(W123=regle!$F$11,regle!$F$23,IF(W123=regle!$G$11,regle!$G$23,IF(W123=regle!$H$11,regle!$H$23,IF(W123=regle!$I$11,regle!$I$23,IF(W123=regle!$J$11,regle!$J$23,0)))))))))))</f>
        <v>0</v>
      </c>
      <c r="AH123" s="14">
        <f>IF($A123,$M123*(IF(X123=regle!$B$11,regle!$B$23,IF(X123=regle!$C$11,regle!$C$23,IF(X123=regle!$D$11,regle!$D$23,IF(X123=regle!$E$11,regle!$E$23,IF(X123=regle!$F$11,regle!$F$23,IF(X123=regle!$G$11,regle!$G$23,IF(X123=regle!$H$11,regle!$H$23,IF(X123=regle!$I$11,regle!$I$23,IF(X123=regle!$J$11,regle!$J$23,0)))))))))))</f>
        <v>5962.5983999999999</v>
      </c>
      <c r="AI123" s="14">
        <f>IF($A123,$M123*(IF(Y123=regle!$B$11,regle!$B$23,IF(Y123=regle!$C$11,regle!$C$23,IF(Y123=regle!$D$11,regle!$D$23,IF(Y123=regle!$E$11,regle!$E$23,IF(Y123=regle!$F$11,regle!$F$23,IF(Y123=regle!$G$11,regle!$G$23,IF(Y123=regle!$H$11,regle!$H$23,IF(Y123=regle!$I$11,regle!$I$23,IF(Y123=regle!$J$11,regle!$J$23,0)))))))))))</f>
        <v>0</v>
      </c>
      <c r="AJ123" s="14">
        <f>IF($A123,$M123*(IF(Z123=regle!$B$11,regle!$B$23,IF(Z123=regle!$C$11,regle!$C$23,IF(Z123=regle!$D$11,regle!$D$23,IF(Z123=regle!$E$11,regle!$E$23,IF(Z123=regle!$F$11,regle!$F$23,IF(Z123=regle!$G$11,regle!$G$23,IF(Z123=regle!$H$11,regle!$H$23,IF(Z123=regle!$I$11,regle!$I$23,IF(Z123=regle!$J$11,regle!$J$23,0)))))))))))</f>
        <v>0</v>
      </c>
      <c r="AK123" s="14">
        <f>IF($A123,$M123*(IF(AA123=regle!$B$11,regle!$B$23,IF(AA123=regle!$C$11,regle!$C$23,IF(AA123=regle!$D$11,regle!$D$23,IF(AA123=regle!$E$11,regle!$E$23,IF(AA123=regle!$F$11,regle!$F$23,IF(AA123=regle!$G$11,regle!$G$23,IF(AA123=regle!$H$11,regle!$H$23,IF(AA123=regle!$I$11,regle!$I$23,IF(AA123=regle!$J$11,regle!$J$23,0)))))))))))</f>
        <v>0</v>
      </c>
      <c r="AL123" s="14">
        <f>IF($A123,$M123*(IF(AB123=regle!$B$11,regle!$B$23,IF(AB123=regle!$C$11,regle!$C$23,IF(AB123=regle!$D$11,regle!$D$23,IF(AB123=regle!$E$11,regle!$E$23,IF(AB123=regle!$F$11,regle!$F$23,IF(AB123=regle!$G$11,regle!$G$23,IF(AB123=regle!$H$11,regle!$H$23,IF(AB123=regle!$I$11,regle!$I$23,IF(AB123=regle!$J$11,regle!$J$23,0)))))))))))</f>
        <v>0</v>
      </c>
      <c r="AM123" s="14">
        <f>IF($A123,$M123*(IF(AC123=regle!$B$11,regle!$B$23,IF(AC123=regle!$C$11,regle!$C$23,IF(AC123=regle!$D$11,regle!$D$23,IF(AC123=regle!$E$11,regle!$E$23,IF(AC123=regle!$F$11,regle!$F$23,IF(AC123=regle!$G$11,regle!$G$23,IF(AC123=regle!$H$11,regle!$H$23,IF(AC123=regle!$I$11,regle!$I$23,IF(AC123=regle!$J$11,regle!$J$23,0)))))))))))</f>
        <v>5420.5439999999999</v>
      </c>
      <c r="AN123" s="14">
        <f>IF($A123,$M123*(IF(AD123=regle!$B$11,regle!$B$23,IF(AD123=regle!$C$11,regle!$C$23,IF(AD123=regle!$D$11,regle!$D$23,IF(AD123=regle!$E$11,regle!$E$23,IF(AD123=regle!$F$11,regle!$F$23,IF(AD123=regle!$G$11,regle!$G$23,IF(AD123=regle!$H$11,regle!$H$23,IF(AD123=regle!$I$11,regle!$I$23,IF(AD123=regle!$J$11,regle!$J$23,0)))))))))))</f>
        <v>0</v>
      </c>
      <c r="AO123">
        <f>IF(AO$1=$AO$1,IF(regle!B$2-$Q123&gt;=regle!$J$12,-2,IF($S123,IF(regle!$B$2-$Q123&gt;=2,0,-1),regle!B$2-$Q123)),IF(AN123+1&gt;=regle!$J$12,-2,AN123+1))</f>
        <v>20</v>
      </c>
      <c r="AP123">
        <f>IF(AP$1=$AO$1,IF(regle!C$2-$Q123&gt;=regle!$J$12,-2,IF($S123,IF(regle!$B$2-$Q123&gt;=2,0,-1),regle!C$2-$Q123)),IF(AO123+1&gt;=regle!$J$12,-2,AO123+1))</f>
        <v>21</v>
      </c>
      <c r="AQ123">
        <f>IF(AQ$1=$AO$1,IF(regle!D$2-$Q123&gt;=regle!$J$12,-2,IF($S123,IF(regle!$B$2-$Q123&gt;=2,0,-1),regle!D$2-$Q123)),IF(AP123+1&gt;=regle!$J$12,-2,AP123+1))</f>
        <v>22</v>
      </c>
      <c r="AR123">
        <f>IF(AR$1=$AO$1,IF(regle!E$2-$Q123&gt;=regle!$J$12,-2,IF($S123,IF(regle!$B$2-$Q123&gt;=2,0,-1),regle!E$2-$Q123)),IF(AQ123+1&gt;=regle!$J$12,-2,AQ123+1))</f>
        <v>23</v>
      </c>
      <c r="AS123">
        <f>IF(AS$1=$AO$1,IF(regle!F$2-$Q123&gt;=regle!$J$12,-2,IF($S123,IF(regle!$B$2-$Q123&gt;=2,0,-1),regle!F$2-$Q123)),IF(AR123+1&gt;=regle!$J$12,-2,AR123+1))</f>
        <v>24</v>
      </c>
      <c r="AT123">
        <f>IF(AT$1=$AO$1,IF(regle!G$2-$Q123&gt;=regle!$J$12,-2,IF($S123,IF(regle!$B$2-$Q123&gt;=2,0,-1),regle!G$2-$Q123)),IF(AS123+1&gt;=regle!$J$12,-2,AS123+1))</f>
        <v>25</v>
      </c>
      <c r="AU123">
        <f>IF(AU$1=$AO$1,IF(regle!H$2-$Q123&gt;=regle!$J$12,-2,IF($S123,IF(regle!$B$2-$Q123&gt;=2,0,-1),regle!H$2-$Q123)),IF(AT123+1&gt;=regle!$J$12,-2,AT123+1))</f>
        <v>26</v>
      </c>
      <c r="AV123">
        <f>IF(AV$1=$AO$1,IF(regle!I$2-$Q123&gt;=regle!$J$12,-2,IF($S123,IF(regle!$B$2-$Q123&gt;=2,0,-1),regle!I$2-$Q123)),IF(AU123+1&gt;=regle!$J$12,-2,AU123+1))</f>
        <v>27</v>
      </c>
      <c r="AW123">
        <f>IF(AW$1=$AO$1,IF(regle!J$2-$Q123&gt;=regle!$J$12,-2,IF($S123,IF(regle!$B$2-$Q123&gt;=2,0,-1),regle!J$2-$Q123)),IF(AV123+1&gt;=regle!$J$12,-2,AV123+1))</f>
        <v>28</v>
      </c>
      <c r="AX123">
        <f>IF(AX$1=$AO$1,IF(regle!K$2-$Q123&gt;=regle!$J$12,-2,IF($S123,IF(regle!$B$2-$Q123&gt;=2,0,-1),regle!K$2-$Q123)),IF(AW123+1&gt;=regle!$J$12,-2,AW123+1))</f>
        <v>29</v>
      </c>
    </row>
    <row r="124" spans="1:50" x14ac:dyDescent="0.25">
      <c r="A124" t="b">
        <f>AND(modif0[[#This Row],[cdstr]]&lt;&gt;0,OR(regle!$H$27=FALSE,modif0[[#This Row],[essnc]]="PM"))</f>
        <v>1</v>
      </c>
      <c r="B124">
        <f>ROW(objet!A150)</f>
        <v>150</v>
      </c>
      <c r="C124" s="10" t="str">
        <f>objet!D150</f>
        <v>2020000B1152</v>
      </c>
      <c r="D124" t="str">
        <f>LEFT(modif0[[#This Row],[cdstr]],3)</f>
        <v>202</v>
      </c>
      <c r="E124" s="10" t="str">
        <f>objet!G150</f>
        <v>HOSTENS</v>
      </c>
      <c r="F124">
        <f>LEN(modif0[[#This Row],[l_dt]])</f>
        <v>11</v>
      </c>
      <c r="G124" s="10" t="str">
        <f>objet!H150</f>
        <v>LES CAZALAS</v>
      </c>
      <c r="H124" s="10" t="str">
        <f>objet!C150</f>
        <v>B1152k</v>
      </c>
      <c r="I124" t="str">
        <f>IF(ISNUMBER(VALUE(RIGHT(LEFT(modif0[[#This Row],[idntfn]],2),1))),_xlfn.CONCAT(0,LEFT(modif0[[#This Row],[idntfn]],1)),LEFT(modif0[[#This Row],[idntfn]],2))</f>
        <v>0B</v>
      </c>
      <c r="J124">
        <f>VALUE(LEFT(RIGHT(modif0[[#This Row],[idntfn]],LEN(modif0[[#This Row],[idntfn]])-IF(LEFT(modif0[[#This Row],[sctn]],1)="0",1,2)),LEN(modif0[[#This Row],[idntfn]])-IF(LEFT(modif0[[#This Row],[sctn]],1)="0",1,2)-LEN(modif0[[#This Row],[lttr]])))</f>
        <v>1152</v>
      </c>
      <c r="K124" t="str">
        <f>IF(ISNUMBER(VALUE(RIGHT(modif0[[#This Row],[idntfn]],1))),"",IF(ISNUMBER(VALUE(LEFT(RIGHT(modif0[[#This Row],[idntfn]],2),1))),RIGHT(modif0[[#This Row],[idntfn]],1),RIGHT(modif0[[#This Row],[idntfn]],2)))</f>
        <v>k</v>
      </c>
      <c r="L124" s="10">
        <f>objet!I150</f>
        <v>12943</v>
      </c>
      <c r="M124" s="11">
        <f>modif0[[#This Row],[srfc]]/10000</f>
        <v>1.2943</v>
      </c>
      <c r="N124" s="10" t="str">
        <f>objet!Z150</f>
        <v>PM</v>
      </c>
      <c r="O124" s="10" t="str">
        <f>objet!AA150</f>
        <v>PLA2019</v>
      </c>
      <c r="P124" t="str">
        <f>IF(ISNUMBER(modif0[[#This Row],[trvx]]),"",LEFT(modif0[[#This Row],[trvx]],LEN(modif0[[#This Row],[trvx]])-4))</f>
        <v>PLA</v>
      </c>
      <c r="Q124">
        <f>VALUE(RIGHT(modif0[[#This Row],[trvx]],4))</f>
        <v>2019</v>
      </c>
      <c r="R124" t="str">
        <f>_xlfn.CONCAT(modif0[[#This Row],[tp]],"-",modif0[[#This Row],[essnc]],"_",modif0[[#This Row],[anns]])</f>
        <v>PLA-PM_2019</v>
      </c>
      <c r="S124" t="b">
        <f>modif0[[#This Row],[tp]]="CR"</f>
        <v>0</v>
      </c>
      <c r="T124">
        <v>40</v>
      </c>
      <c r="U124" t="str">
        <f>IF(NOT($A124),"",
IF(AO124=-2,regle!$J$11,
IF(AO124=regle!$B$12,regle!$B$11,
IF(AO124=regle!$C$12,regle!$C$11,
IF(AO124=regle!$D$12,regle!$D$11,
IF(AO124=regle!$E$12,regle!$E$11,
IF(AO124=regle!$F$12,regle!$F$11,
IF(AO124=regle!$G$12,regle!$G$11,
IF(AO124=regle!$H$12,regle!$H$11,
IF(AO124=regle!$I$12,regle!$I$11,""))))))))))</f>
        <v>ENT1</v>
      </c>
      <c r="V124" t="str">
        <f>IF(NOT($A124),"",
IF(AP124=-2,regle!$J$11,
IF(AP124=regle!$B$12,regle!$B$11,
IF(AP124=regle!$C$12,regle!$C$11,
IF(AP124=regle!$D$12,regle!$D$11,
IF(AP124=regle!$E$12,regle!$E$11,
IF(AP124=regle!$F$12,regle!$F$11,
IF(AP124=regle!$G$12,regle!$G$11,
IF(AP124=regle!$H$12,regle!$H$11,
IF(AP124=regle!$I$12,regle!$I$11,""))))))))))</f>
        <v/>
      </c>
      <c r="W124" t="str">
        <f>IF(NOT($A124),"",
IF(AQ124=-2,regle!$J$11,
IF(AQ124=regle!$B$12,regle!$B$11,
IF(AQ124=regle!$C$12,regle!$C$11,
IF(AQ124=regle!$D$12,regle!$D$11,
IF(AQ124=regle!$E$12,regle!$E$11,
IF(AQ124=regle!$F$12,regle!$F$11,
IF(AQ124=regle!$G$12,regle!$G$11,
IF(AQ124=regle!$H$12,regle!$H$11,
IF(AQ124=regle!$I$12,regle!$I$11,""))))))))))</f>
        <v/>
      </c>
      <c r="X124" t="str">
        <f>IF(NOT($A124),"",
IF(AR124=-2,regle!$J$11,
IF(AR124=regle!$B$12,regle!$B$11,
IF(AR124=regle!$C$12,regle!$C$11,
IF(AR124=regle!$D$12,regle!$D$11,
IF(AR124=regle!$E$12,regle!$E$11,
IF(AR124=regle!$F$12,regle!$F$11,
IF(AR124=regle!$G$12,regle!$G$11,
IF(AR124=regle!$H$12,regle!$H$11,
IF(AR124=regle!$I$12,regle!$I$11,""))))))))))</f>
        <v>ENT2</v>
      </c>
      <c r="Y124" t="str">
        <f>IF(NOT($A124),"",
IF(AS124=-2,regle!$J$11,
IF(AS124=regle!$B$12,regle!$B$11,
IF(AS124=regle!$C$12,regle!$C$11,
IF(AS124=regle!$D$12,regle!$D$11,
IF(AS124=regle!$E$12,regle!$E$11,
IF(AS124=regle!$F$12,regle!$F$11,
IF(AS124=regle!$G$12,regle!$G$11,
IF(AS124=regle!$H$12,regle!$H$11,
IF(AS124=regle!$I$12,regle!$I$11,""))))))))))</f>
        <v/>
      </c>
      <c r="Z124" t="str">
        <f>IF(NOT($A124),"",
IF(AT124=-2,regle!$J$11,
IF(AT124=regle!$B$12,regle!$B$11,
IF(AT124=regle!$C$12,regle!$C$11,
IF(AT124=regle!$D$12,regle!$D$11,
IF(AT124=regle!$E$12,regle!$E$11,
IF(AT124=regle!$F$12,regle!$F$11,
IF(AT124=regle!$G$12,regle!$G$11,
IF(AT124=regle!$H$12,regle!$H$11,
IF(AT124=regle!$I$12,regle!$I$11,""))))))))))</f>
        <v/>
      </c>
      <c r="AA124" t="str">
        <f>IF(NOT($A124),"",
IF(AU124=-2,regle!$J$11,
IF(AU124=regle!$B$12,regle!$B$11,
IF(AU124=regle!$C$12,regle!$C$11,
IF(AU124=regle!$D$12,regle!$D$11,
IF(AU124=regle!$E$12,regle!$E$11,
IF(AU124=regle!$F$12,regle!$F$11,
IF(AU124=regle!$G$12,regle!$G$11,
IF(AU124=regle!$H$12,regle!$H$11,
IF(AU124=regle!$I$12,regle!$I$11,""))))))))))</f>
        <v/>
      </c>
      <c r="AB124" t="str">
        <f>IF(NOT($A124),"",
IF(AV124=-2,regle!$J$11,
IF(AV124=regle!$B$12,regle!$B$11,
IF(AV124=regle!$C$12,regle!$C$11,
IF(AV124=regle!$D$12,regle!$D$11,
IF(AV124=regle!$E$12,regle!$E$11,
IF(AV124=regle!$F$12,regle!$F$11,
IF(AV124=regle!$G$12,regle!$G$11,
IF(AV124=regle!$H$12,regle!$H$11,
IF(AV124=regle!$I$12,regle!$I$11,""))))))))))</f>
        <v/>
      </c>
      <c r="AC124" t="str">
        <f>IF(NOT($A124),"",
IF(AW124=-2,regle!$J$11,
IF(AW124=regle!$B$12,regle!$B$11,
IF(AW124=regle!$C$12,regle!$C$11,
IF(AW124=regle!$D$12,regle!$D$11,
IF(AW124=regle!$E$12,regle!$E$11,
IF(AW124=regle!$F$12,regle!$F$11,
IF(AW124=regle!$G$12,regle!$G$11,
IF(AW124=regle!$H$12,regle!$H$11,
IF(AW124=regle!$I$12,regle!$I$11,""))))))))))</f>
        <v>EC1</v>
      </c>
      <c r="AD124" t="str">
        <f>IF(NOT($A124),"",
IF(AX124=-2,regle!$J$11,
IF(AX124=regle!$B$12,regle!$B$11,
IF(AX124=regle!$C$12,regle!$C$11,
IF(AX124=regle!$D$12,regle!$D$11,
IF(AX124=regle!$E$12,regle!$E$11,
IF(AX124=regle!$F$12,regle!$F$11,
IF(AX124=regle!$G$12,regle!$G$11,
IF(AX124=regle!$H$12,regle!$H$11,
IF(AX124=regle!$I$12,regle!$I$11,""))))))))))</f>
        <v/>
      </c>
      <c r="AE124" s="14">
        <f>IF($A124,$M124*(IF(U124=regle!$B$11,regle!$B$23,IF(U124=regle!$C$11,regle!$C$23,IF(U124=regle!$D$11,regle!$D$23,IF(U124=regle!$E$11,regle!$E$23,IF(U124=regle!$F$11,regle!$F$23,IF(U124=regle!$G$11,regle!$G$23,IF(U124=regle!$H$11,regle!$H$23,IF(U124=regle!$I$11,regle!$I$23,IF(U124=regle!$J$11,regle!$J$23,0)))))))))))</f>
        <v>-116.48699999999999</v>
      </c>
      <c r="AF124" s="14">
        <f>IF($A124,$M124*(IF(V124=regle!$B$11,regle!$B$23,IF(V124=regle!$C$11,regle!$C$23,IF(V124=regle!$D$11,regle!$D$23,IF(V124=regle!$E$11,regle!$E$23,IF(V124=regle!$F$11,regle!$F$23,IF(V124=regle!$G$11,regle!$G$23,IF(V124=regle!$H$11,regle!$H$23,IF(V124=regle!$I$11,regle!$I$23,IF(V124=regle!$J$11,regle!$J$23,0)))))))))))</f>
        <v>0</v>
      </c>
      <c r="AG124" s="14">
        <f>IF($A124,$M124*(IF(W124=regle!$B$11,regle!$B$23,IF(W124=regle!$C$11,regle!$C$23,IF(W124=regle!$D$11,regle!$D$23,IF(W124=regle!$E$11,regle!$E$23,IF(W124=regle!$F$11,regle!$F$23,IF(W124=regle!$G$11,regle!$G$23,IF(W124=regle!$H$11,regle!$H$23,IF(W124=regle!$I$11,regle!$I$23,IF(W124=regle!$J$11,regle!$J$23,0)))))))))))</f>
        <v>0</v>
      </c>
      <c r="AH124" s="14">
        <f>IF($A124,$M124*(IF(X124=regle!$B$11,regle!$B$23,IF(X124=regle!$C$11,regle!$C$23,IF(X124=regle!$D$11,regle!$D$23,IF(X124=regle!$E$11,regle!$E$23,IF(X124=regle!$F$11,regle!$F$23,IF(X124=regle!$G$11,regle!$G$23,IF(X124=regle!$H$11,regle!$H$23,IF(X124=regle!$I$11,regle!$I$23,IF(X124=regle!$J$11,regle!$J$23,0)))))))))))</f>
        <v>-116.48699999999999</v>
      </c>
      <c r="AI124" s="14">
        <f>IF($A124,$M124*(IF(Y124=regle!$B$11,regle!$B$23,IF(Y124=regle!$C$11,regle!$C$23,IF(Y124=regle!$D$11,regle!$D$23,IF(Y124=regle!$E$11,regle!$E$23,IF(Y124=regle!$F$11,regle!$F$23,IF(Y124=regle!$G$11,regle!$G$23,IF(Y124=regle!$H$11,regle!$H$23,IF(Y124=regle!$I$11,regle!$I$23,IF(Y124=regle!$J$11,regle!$J$23,0)))))))))))</f>
        <v>0</v>
      </c>
      <c r="AJ124" s="14">
        <f>IF($A124,$M124*(IF(Z124=regle!$B$11,regle!$B$23,IF(Z124=regle!$C$11,regle!$C$23,IF(Z124=regle!$D$11,regle!$D$23,IF(Z124=regle!$E$11,regle!$E$23,IF(Z124=regle!$F$11,regle!$F$23,IF(Z124=regle!$G$11,regle!$G$23,IF(Z124=regle!$H$11,regle!$H$23,IF(Z124=regle!$I$11,regle!$I$23,IF(Z124=regle!$J$11,regle!$J$23,0)))))))))))</f>
        <v>0</v>
      </c>
      <c r="AK124" s="14">
        <f>IF($A124,$M124*(IF(AA124=regle!$B$11,regle!$B$23,IF(AA124=regle!$C$11,regle!$C$23,IF(AA124=regle!$D$11,regle!$D$23,IF(AA124=regle!$E$11,regle!$E$23,IF(AA124=regle!$F$11,regle!$F$23,IF(AA124=regle!$G$11,regle!$G$23,IF(AA124=regle!$H$11,regle!$H$23,IF(AA124=regle!$I$11,regle!$I$23,IF(AA124=regle!$J$11,regle!$J$23,0)))))))))))</f>
        <v>0</v>
      </c>
      <c r="AL124" s="14">
        <f>IF($A124,$M124*(IF(AB124=regle!$B$11,regle!$B$23,IF(AB124=regle!$C$11,regle!$C$23,IF(AB124=regle!$D$11,regle!$D$23,IF(AB124=regle!$E$11,regle!$E$23,IF(AB124=regle!$F$11,regle!$F$23,IF(AB124=regle!$G$11,regle!$G$23,IF(AB124=regle!$H$11,regle!$H$23,IF(AB124=regle!$I$11,regle!$I$23,IF(AB124=regle!$J$11,regle!$J$23,0)))))))))))</f>
        <v>0</v>
      </c>
      <c r="AM124" s="14">
        <f>IF($A124,$M124*(IF(AC124=regle!$B$11,regle!$B$23,IF(AC124=regle!$C$11,regle!$C$23,IF(AC124=regle!$D$11,regle!$D$23,IF(AC124=regle!$E$11,regle!$E$23,IF(AC124=regle!$F$11,regle!$F$23,IF(AC124=regle!$G$11,regle!$G$23,IF(AC124=regle!$H$11,regle!$H$23,IF(AC124=regle!$I$11,regle!$I$23,IF(AC124=regle!$J$11,regle!$J$23,0)))))))))))</f>
        <v>745.51679999999999</v>
      </c>
      <c r="AN124" s="14">
        <f>IF($A124,$M124*(IF(AD124=regle!$B$11,regle!$B$23,IF(AD124=regle!$C$11,regle!$C$23,IF(AD124=regle!$D$11,regle!$D$23,IF(AD124=regle!$E$11,regle!$E$23,IF(AD124=regle!$F$11,regle!$F$23,IF(AD124=regle!$G$11,regle!$G$23,IF(AD124=regle!$H$11,regle!$H$23,IF(AD124=regle!$I$11,regle!$I$23,IF(AD124=regle!$J$11,regle!$J$23,0)))))))))))</f>
        <v>0</v>
      </c>
      <c r="AO124">
        <f>IF(AO$1=$AO$1,IF(regle!B$2-$Q124&gt;=regle!$J$12,-2,IF($S124,IF(regle!$B$2-$Q124&gt;=2,0,-1),regle!B$2-$Q124)),IF(AN124+1&gt;=regle!$J$12,-2,AN124+1))</f>
        <v>5</v>
      </c>
      <c r="AP124">
        <f>IF(AP$1=$AO$1,IF(regle!C$2-$Q124&gt;=regle!$J$12,-2,IF($S124,IF(regle!$B$2-$Q124&gt;=2,0,-1),regle!C$2-$Q124)),IF(AO124+1&gt;=regle!$J$12,-2,AO124+1))</f>
        <v>6</v>
      </c>
      <c r="AQ124">
        <f>IF(AQ$1=$AO$1,IF(regle!D$2-$Q124&gt;=regle!$J$12,-2,IF($S124,IF(regle!$B$2-$Q124&gt;=2,0,-1),regle!D$2-$Q124)),IF(AP124+1&gt;=regle!$J$12,-2,AP124+1))</f>
        <v>7</v>
      </c>
      <c r="AR124">
        <f>IF(AR$1=$AO$1,IF(regle!E$2-$Q124&gt;=regle!$J$12,-2,IF($S124,IF(regle!$B$2-$Q124&gt;=2,0,-1),regle!E$2-$Q124)),IF(AQ124+1&gt;=regle!$J$12,-2,AQ124+1))</f>
        <v>8</v>
      </c>
      <c r="AS124">
        <f>IF(AS$1=$AO$1,IF(regle!F$2-$Q124&gt;=regle!$J$12,-2,IF($S124,IF(regle!$B$2-$Q124&gt;=2,0,-1),regle!F$2-$Q124)),IF(AR124+1&gt;=regle!$J$12,-2,AR124+1))</f>
        <v>9</v>
      </c>
      <c r="AT124">
        <f>IF(AT$1=$AO$1,IF(regle!G$2-$Q124&gt;=regle!$J$12,-2,IF($S124,IF(regle!$B$2-$Q124&gt;=2,0,-1),regle!G$2-$Q124)),IF(AS124+1&gt;=regle!$J$12,-2,AS124+1))</f>
        <v>10</v>
      </c>
      <c r="AU124">
        <f>IF(AU$1=$AO$1,IF(regle!H$2-$Q124&gt;=regle!$J$12,-2,IF($S124,IF(regle!$B$2-$Q124&gt;=2,0,-1),regle!H$2-$Q124)),IF(AT124+1&gt;=regle!$J$12,-2,AT124+1))</f>
        <v>11</v>
      </c>
      <c r="AV124">
        <f>IF(AV$1=$AO$1,IF(regle!I$2-$Q124&gt;=regle!$J$12,-2,IF($S124,IF(regle!$B$2-$Q124&gt;=2,0,-1),regle!I$2-$Q124)),IF(AU124+1&gt;=regle!$J$12,-2,AU124+1))</f>
        <v>12</v>
      </c>
      <c r="AW124">
        <f>IF(AW$1=$AO$1,IF(regle!J$2-$Q124&gt;=regle!$J$12,-2,IF($S124,IF(regle!$B$2-$Q124&gt;=2,0,-1),regle!J$2-$Q124)),IF(AV124+1&gt;=regle!$J$12,-2,AV124+1))</f>
        <v>13</v>
      </c>
      <c r="AX124">
        <f>IF(AX$1=$AO$1,IF(regle!K$2-$Q124&gt;=regle!$J$12,-2,IF($S124,IF(regle!$B$2-$Q124&gt;=2,0,-1),regle!K$2-$Q124)),IF(AW124+1&gt;=regle!$J$12,-2,AW124+1))</f>
        <v>14</v>
      </c>
    </row>
    <row r="125" spans="1:50" x14ac:dyDescent="0.25">
      <c r="A125" t="b">
        <f>AND(modif0[[#This Row],[cdstr]]&lt;&gt;0,OR(regle!$H$27=FALSE,modif0[[#This Row],[essnc]]="PM"))</f>
        <v>1</v>
      </c>
      <c r="B125">
        <f>ROW(objet!A151)</f>
        <v>151</v>
      </c>
      <c r="C125" s="10" t="str">
        <f>objet!D151</f>
        <v>2020000B1152</v>
      </c>
      <c r="D125" t="str">
        <f>LEFT(modif0[[#This Row],[cdstr]],3)</f>
        <v>202</v>
      </c>
      <c r="E125" s="10" t="str">
        <f>objet!G151</f>
        <v>HOSTENS</v>
      </c>
      <c r="F125">
        <f>LEN(modif0[[#This Row],[l_dt]])</f>
        <v>11</v>
      </c>
      <c r="G125" s="10" t="str">
        <f>objet!H151</f>
        <v>LES CAZALAS</v>
      </c>
      <c r="H125" s="10" t="str">
        <f>objet!C151</f>
        <v>B1152l</v>
      </c>
      <c r="I125" t="str">
        <f>IF(ISNUMBER(VALUE(RIGHT(LEFT(modif0[[#This Row],[idntfn]],2),1))),_xlfn.CONCAT(0,LEFT(modif0[[#This Row],[idntfn]],1)),LEFT(modif0[[#This Row],[idntfn]],2))</f>
        <v>0B</v>
      </c>
      <c r="J125">
        <f>VALUE(LEFT(RIGHT(modif0[[#This Row],[idntfn]],LEN(modif0[[#This Row],[idntfn]])-IF(LEFT(modif0[[#This Row],[sctn]],1)="0",1,2)),LEN(modif0[[#This Row],[idntfn]])-IF(LEFT(modif0[[#This Row],[sctn]],1)="0",1,2)-LEN(modif0[[#This Row],[lttr]])))</f>
        <v>1152</v>
      </c>
      <c r="K125" t="str">
        <f>IF(ISNUMBER(VALUE(RIGHT(modif0[[#This Row],[idntfn]],1))),"",IF(ISNUMBER(VALUE(LEFT(RIGHT(modif0[[#This Row],[idntfn]],2),1))),RIGHT(modif0[[#This Row],[idntfn]],1),RIGHT(modif0[[#This Row],[idntfn]],2)))</f>
        <v>l</v>
      </c>
      <c r="L125" s="10">
        <f>objet!I151</f>
        <v>583</v>
      </c>
      <c r="M125" s="11">
        <f>modif0[[#This Row],[srfc]]/10000</f>
        <v>5.8299999999999998E-2</v>
      </c>
      <c r="N125" s="10" t="str">
        <f>objet!Z151</f>
        <v>PM</v>
      </c>
      <c r="O125" s="10" t="str">
        <f>objet!AA151</f>
        <v>PLA2019</v>
      </c>
      <c r="P125" t="str">
        <f>IF(ISNUMBER(modif0[[#This Row],[trvx]]),"",LEFT(modif0[[#This Row],[trvx]],LEN(modif0[[#This Row],[trvx]])-4))</f>
        <v>PLA</v>
      </c>
      <c r="Q125">
        <f>VALUE(RIGHT(modif0[[#This Row],[trvx]],4))</f>
        <v>2019</v>
      </c>
      <c r="R125" t="str">
        <f>_xlfn.CONCAT(modif0[[#This Row],[tp]],"-",modif0[[#This Row],[essnc]],"_",modif0[[#This Row],[anns]])</f>
        <v>PLA-PM_2019</v>
      </c>
      <c r="S125" t="b">
        <f>modif0[[#This Row],[tp]]="CR"</f>
        <v>0</v>
      </c>
      <c r="T125">
        <v>40</v>
      </c>
      <c r="U125" t="str">
        <f>IF(NOT($A125),"",
IF(AO125=-2,regle!$J$11,
IF(AO125=regle!$B$12,regle!$B$11,
IF(AO125=regle!$C$12,regle!$C$11,
IF(AO125=regle!$D$12,regle!$D$11,
IF(AO125=regle!$E$12,regle!$E$11,
IF(AO125=regle!$F$12,regle!$F$11,
IF(AO125=regle!$G$12,regle!$G$11,
IF(AO125=regle!$H$12,regle!$H$11,
IF(AO125=regle!$I$12,regle!$I$11,""))))))))))</f>
        <v>ENT1</v>
      </c>
      <c r="V125" t="str">
        <f>IF(NOT($A125),"",
IF(AP125=-2,regle!$J$11,
IF(AP125=regle!$B$12,regle!$B$11,
IF(AP125=regle!$C$12,regle!$C$11,
IF(AP125=regle!$D$12,regle!$D$11,
IF(AP125=regle!$E$12,regle!$E$11,
IF(AP125=regle!$F$12,regle!$F$11,
IF(AP125=regle!$G$12,regle!$G$11,
IF(AP125=regle!$H$12,regle!$H$11,
IF(AP125=regle!$I$12,regle!$I$11,""))))))))))</f>
        <v/>
      </c>
      <c r="W125" t="str">
        <f>IF(NOT($A125),"",
IF(AQ125=-2,regle!$J$11,
IF(AQ125=regle!$B$12,regle!$B$11,
IF(AQ125=regle!$C$12,regle!$C$11,
IF(AQ125=regle!$D$12,regle!$D$11,
IF(AQ125=regle!$E$12,regle!$E$11,
IF(AQ125=regle!$F$12,regle!$F$11,
IF(AQ125=regle!$G$12,regle!$G$11,
IF(AQ125=regle!$H$12,regle!$H$11,
IF(AQ125=regle!$I$12,regle!$I$11,""))))))))))</f>
        <v/>
      </c>
      <c r="X125" t="str">
        <f>IF(NOT($A125),"",
IF(AR125=-2,regle!$J$11,
IF(AR125=regle!$B$12,regle!$B$11,
IF(AR125=regle!$C$12,regle!$C$11,
IF(AR125=regle!$D$12,regle!$D$11,
IF(AR125=regle!$E$12,regle!$E$11,
IF(AR125=regle!$F$12,regle!$F$11,
IF(AR125=regle!$G$12,regle!$G$11,
IF(AR125=regle!$H$12,regle!$H$11,
IF(AR125=regle!$I$12,regle!$I$11,""))))))))))</f>
        <v>ENT2</v>
      </c>
      <c r="Y125" t="str">
        <f>IF(NOT($A125),"",
IF(AS125=-2,regle!$J$11,
IF(AS125=regle!$B$12,regle!$B$11,
IF(AS125=regle!$C$12,regle!$C$11,
IF(AS125=regle!$D$12,regle!$D$11,
IF(AS125=regle!$E$12,regle!$E$11,
IF(AS125=regle!$F$12,regle!$F$11,
IF(AS125=regle!$G$12,regle!$G$11,
IF(AS125=regle!$H$12,regle!$H$11,
IF(AS125=regle!$I$12,regle!$I$11,""))))))))))</f>
        <v/>
      </c>
      <c r="Z125" t="str">
        <f>IF(NOT($A125),"",
IF(AT125=-2,regle!$J$11,
IF(AT125=regle!$B$12,regle!$B$11,
IF(AT125=regle!$C$12,regle!$C$11,
IF(AT125=regle!$D$12,regle!$D$11,
IF(AT125=regle!$E$12,regle!$E$11,
IF(AT125=regle!$F$12,regle!$F$11,
IF(AT125=regle!$G$12,regle!$G$11,
IF(AT125=regle!$H$12,regle!$H$11,
IF(AT125=regle!$I$12,regle!$I$11,""))))))))))</f>
        <v/>
      </c>
      <c r="AA125" t="str">
        <f>IF(NOT($A125),"",
IF(AU125=-2,regle!$J$11,
IF(AU125=regle!$B$12,regle!$B$11,
IF(AU125=regle!$C$12,regle!$C$11,
IF(AU125=regle!$D$12,regle!$D$11,
IF(AU125=regle!$E$12,regle!$E$11,
IF(AU125=regle!$F$12,regle!$F$11,
IF(AU125=regle!$G$12,regle!$G$11,
IF(AU125=regle!$H$12,regle!$H$11,
IF(AU125=regle!$I$12,regle!$I$11,""))))))))))</f>
        <v/>
      </c>
      <c r="AB125" t="str">
        <f>IF(NOT($A125),"",
IF(AV125=-2,regle!$J$11,
IF(AV125=regle!$B$12,regle!$B$11,
IF(AV125=regle!$C$12,regle!$C$11,
IF(AV125=regle!$D$12,regle!$D$11,
IF(AV125=regle!$E$12,regle!$E$11,
IF(AV125=regle!$F$12,regle!$F$11,
IF(AV125=regle!$G$12,regle!$G$11,
IF(AV125=regle!$H$12,regle!$H$11,
IF(AV125=regle!$I$12,regle!$I$11,""))))))))))</f>
        <v/>
      </c>
      <c r="AC125" t="str">
        <f>IF(NOT($A125),"",
IF(AW125=-2,regle!$J$11,
IF(AW125=regle!$B$12,regle!$B$11,
IF(AW125=regle!$C$12,regle!$C$11,
IF(AW125=regle!$D$12,regle!$D$11,
IF(AW125=regle!$E$12,regle!$E$11,
IF(AW125=regle!$F$12,regle!$F$11,
IF(AW125=regle!$G$12,regle!$G$11,
IF(AW125=regle!$H$12,regle!$H$11,
IF(AW125=regle!$I$12,regle!$I$11,""))))))))))</f>
        <v>EC1</v>
      </c>
      <c r="AD125" t="str">
        <f>IF(NOT($A125),"",
IF(AX125=-2,regle!$J$11,
IF(AX125=regle!$B$12,regle!$B$11,
IF(AX125=regle!$C$12,regle!$C$11,
IF(AX125=regle!$D$12,regle!$D$11,
IF(AX125=regle!$E$12,regle!$E$11,
IF(AX125=regle!$F$12,regle!$F$11,
IF(AX125=regle!$G$12,regle!$G$11,
IF(AX125=regle!$H$12,regle!$H$11,
IF(AX125=regle!$I$12,regle!$I$11,""))))))))))</f>
        <v/>
      </c>
      <c r="AE125" s="14">
        <f>IF($A125,$M125*(IF(U125=regle!$B$11,regle!$B$23,IF(U125=regle!$C$11,regle!$C$23,IF(U125=regle!$D$11,regle!$D$23,IF(U125=regle!$E$11,regle!$E$23,IF(U125=regle!$F$11,regle!$F$23,IF(U125=regle!$G$11,regle!$G$23,IF(U125=regle!$H$11,regle!$H$23,IF(U125=regle!$I$11,regle!$I$23,IF(U125=regle!$J$11,regle!$J$23,0)))))))))))</f>
        <v>-5.2469999999999999</v>
      </c>
      <c r="AF125" s="14">
        <f>IF($A125,$M125*(IF(V125=regle!$B$11,regle!$B$23,IF(V125=regle!$C$11,regle!$C$23,IF(V125=regle!$D$11,regle!$D$23,IF(V125=regle!$E$11,regle!$E$23,IF(V125=regle!$F$11,regle!$F$23,IF(V125=regle!$G$11,regle!$G$23,IF(V125=regle!$H$11,regle!$H$23,IF(V125=regle!$I$11,regle!$I$23,IF(V125=regle!$J$11,regle!$J$23,0)))))))))))</f>
        <v>0</v>
      </c>
      <c r="AG125" s="14">
        <f>IF($A125,$M125*(IF(W125=regle!$B$11,regle!$B$23,IF(W125=regle!$C$11,regle!$C$23,IF(W125=regle!$D$11,regle!$D$23,IF(W125=regle!$E$11,regle!$E$23,IF(W125=regle!$F$11,regle!$F$23,IF(W125=regle!$G$11,regle!$G$23,IF(W125=regle!$H$11,regle!$H$23,IF(W125=regle!$I$11,regle!$I$23,IF(W125=regle!$J$11,regle!$J$23,0)))))))))))</f>
        <v>0</v>
      </c>
      <c r="AH125" s="14">
        <f>IF($A125,$M125*(IF(X125=regle!$B$11,regle!$B$23,IF(X125=regle!$C$11,regle!$C$23,IF(X125=regle!$D$11,regle!$D$23,IF(X125=regle!$E$11,regle!$E$23,IF(X125=regle!$F$11,regle!$F$23,IF(X125=regle!$G$11,regle!$G$23,IF(X125=regle!$H$11,regle!$H$23,IF(X125=regle!$I$11,regle!$I$23,IF(X125=regle!$J$11,regle!$J$23,0)))))))))))</f>
        <v>-5.2469999999999999</v>
      </c>
      <c r="AI125" s="14">
        <f>IF($A125,$M125*(IF(Y125=regle!$B$11,regle!$B$23,IF(Y125=regle!$C$11,regle!$C$23,IF(Y125=regle!$D$11,regle!$D$23,IF(Y125=regle!$E$11,regle!$E$23,IF(Y125=regle!$F$11,regle!$F$23,IF(Y125=regle!$G$11,regle!$G$23,IF(Y125=regle!$H$11,regle!$H$23,IF(Y125=regle!$I$11,regle!$I$23,IF(Y125=regle!$J$11,regle!$J$23,0)))))))))))</f>
        <v>0</v>
      </c>
      <c r="AJ125" s="14">
        <f>IF($A125,$M125*(IF(Z125=regle!$B$11,regle!$B$23,IF(Z125=regle!$C$11,regle!$C$23,IF(Z125=regle!$D$11,regle!$D$23,IF(Z125=regle!$E$11,regle!$E$23,IF(Z125=regle!$F$11,regle!$F$23,IF(Z125=regle!$G$11,regle!$G$23,IF(Z125=regle!$H$11,regle!$H$23,IF(Z125=regle!$I$11,regle!$I$23,IF(Z125=regle!$J$11,regle!$J$23,0)))))))))))</f>
        <v>0</v>
      </c>
      <c r="AK125" s="14">
        <f>IF($A125,$M125*(IF(AA125=regle!$B$11,regle!$B$23,IF(AA125=regle!$C$11,regle!$C$23,IF(AA125=regle!$D$11,regle!$D$23,IF(AA125=regle!$E$11,regle!$E$23,IF(AA125=regle!$F$11,regle!$F$23,IF(AA125=regle!$G$11,regle!$G$23,IF(AA125=regle!$H$11,regle!$H$23,IF(AA125=regle!$I$11,regle!$I$23,IF(AA125=regle!$J$11,regle!$J$23,0)))))))))))</f>
        <v>0</v>
      </c>
      <c r="AL125" s="14">
        <f>IF($A125,$M125*(IF(AB125=regle!$B$11,regle!$B$23,IF(AB125=regle!$C$11,regle!$C$23,IF(AB125=regle!$D$11,regle!$D$23,IF(AB125=regle!$E$11,regle!$E$23,IF(AB125=regle!$F$11,regle!$F$23,IF(AB125=regle!$G$11,regle!$G$23,IF(AB125=regle!$H$11,regle!$H$23,IF(AB125=regle!$I$11,regle!$I$23,IF(AB125=regle!$J$11,regle!$J$23,0)))))))))))</f>
        <v>0</v>
      </c>
      <c r="AM125" s="14">
        <f>IF($A125,$M125*(IF(AC125=regle!$B$11,regle!$B$23,IF(AC125=regle!$C$11,regle!$C$23,IF(AC125=regle!$D$11,regle!$D$23,IF(AC125=regle!$E$11,regle!$E$23,IF(AC125=regle!$F$11,regle!$F$23,IF(AC125=regle!$G$11,regle!$G$23,IF(AC125=regle!$H$11,regle!$H$23,IF(AC125=regle!$I$11,regle!$I$23,IF(AC125=regle!$J$11,regle!$J$23,0)))))))))))</f>
        <v>33.580799999999996</v>
      </c>
      <c r="AN125" s="14">
        <f>IF($A125,$M125*(IF(AD125=regle!$B$11,regle!$B$23,IF(AD125=regle!$C$11,regle!$C$23,IF(AD125=regle!$D$11,regle!$D$23,IF(AD125=regle!$E$11,regle!$E$23,IF(AD125=regle!$F$11,regle!$F$23,IF(AD125=regle!$G$11,regle!$G$23,IF(AD125=regle!$H$11,regle!$H$23,IF(AD125=regle!$I$11,regle!$I$23,IF(AD125=regle!$J$11,regle!$J$23,0)))))))))))</f>
        <v>0</v>
      </c>
      <c r="AO125">
        <f>IF(AO$1=$AO$1,IF(regle!B$2-$Q125&gt;=regle!$J$12,-2,IF($S125,IF(regle!$B$2-$Q125&gt;=2,0,-1),regle!B$2-$Q125)),IF(AN125+1&gt;=regle!$J$12,-2,AN125+1))</f>
        <v>5</v>
      </c>
      <c r="AP125">
        <f>IF(AP$1=$AO$1,IF(regle!C$2-$Q125&gt;=regle!$J$12,-2,IF($S125,IF(regle!$B$2-$Q125&gt;=2,0,-1),regle!C$2-$Q125)),IF(AO125+1&gt;=regle!$J$12,-2,AO125+1))</f>
        <v>6</v>
      </c>
      <c r="AQ125">
        <f>IF(AQ$1=$AO$1,IF(regle!D$2-$Q125&gt;=regle!$J$12,-2,IF($S125,IF(regle!$B$2-$Q125&gt;=2,0,-1),regle!D$2-$Q125)),IF(AP125+1&gt;=regle!$J$12,-2,AP125+1))</f>
        <v>7</v>
      </c>
      <c r="AR125">
        <f>IF(AR$1=$AO$1,IF(regle!E$2-$Q125&gt;=regle!$J$12,-2,IF($S125,IF(regle!$B$2-$Q125&gt;=2,0,-1),regle!E$2-$Q125)),IF(AQ125+1&gt;=regle!$J$12,-2,AQ125+1))</f>
        <v>8</v>
      </c>
      <c r="AS125">
        <f>IF(AS$1=$AO$1,IF(regle!F$2-$Q125&gt;=regle!$J$12,-2,IF($S125,IF(regle!$B$2-$Q125&gt;=2,0,-1),regle!F$2-$Q125)),IF(AR125+1&gt;=regle!$J$12,-2,AR125+1))</f>
        <v>9</v>
      </c>
      <c r="AT125">
        <f>IF(AT$1=$AO$1,IF(regle!G$2-$Q125&gt;=regle!$J$12,-2,IF($S125,IF(regle!$B$2-$Q125&gt;=2,0,-1),regle!G$2-$Q125)),IF(AS125+1&gt;=regle!$J$12,-2,AS125+1))</f>
        <v>10</v>
      </c>
      <c r="AU125">
        <f>IF(AU$1=$AO$1,IF(regle!H$2-$Q125&gt;=regle!$J$12,-2,IF($S125,IF(regle!$B$2-$Q125&gt;=2,0,-1),regle!H$2-$Q125)),IF(AT125+1&gt;=regle!$J$12,-2,AT125+1))</f>
        <v>11</v>
      </c>
      <c r="AV125">
        <f>IF(AV$1=$AO$1,IF(regle!I$2-$Q125&gt;=regle!$J$12,-2,IF($S125,IF(regle!$B$2-$Q125&gt;=2,0,-1),regle!I$2-$Q125)),IF(AU125+1&gt;=regle!$J$12,-2,AU125+1))</f>
        <v>12</v>
      </c>
      <c r="AW125">
        <f>IF(AW$1=$AO$1,IF(regle!J$2-$Q125&gt;=regle!$J$12,-2,IF($S125,IF(regle!$B$2-$Q125&gt;=2,0,-1),regle!J$2-$Q125)),IF(AV125+1&gt;=regle!$J$12,-2,AV125+1))</f>
        <v>13</v>
      </c>
      <c r="AX125">
        <f>IF(AX$1=$AO$1,IF(regle!K$2-$Q125&gt;=regle!$J$12,-2,IF($S125,IF(regle!$B$2-$Q125&gt;=2,0,-1),regle!K$2-$Q125)),IF(AW125+1&gt;=regle!$J$12,-2,AW125+1))</f>
        <v>14</v>
      </c>
    </row>
    <row r="126" spans="1:50" x14ac:dyDescent="0.25">
      <c r="A126" t="b">
        <f>AND(modif0[[#This Row],[cdstr]]&lt;&gt;0,OR(regle!$H$27=FALSE,modif0[[#This Row],[essnc]]="PM"))</f>
        <v>1</v>
      </c>
      <c r="B126">
        <f>ROW(objet!A152)</f>
        <v>152</v>
      </c>
      <c r="C126" s="10" t="str">
        <f>objet!D152</f>
        <v>2020000B1153</v>
      </c>
      <c r="D126" t="str">
        <f>LEFT(modif0[[#This Row],[cdstr]],3)</f>
        <v>202</v>
      </c>
      <c r="E126" s="10" t="str">
        <f>objet!G152</f>
        <v>HOSTENS</v>
      </c>
      <c r="F126">
        <f>LEN(modif0[[#This Row],[l_dt]])</f>
        <v>11</v>
      </c>
      <c r="G126" s="10" t="str">
        <f>objet!H152</f>
        <v>LES CAZALAS</v>
      </c>
      <c r="H126" s="10" t="str">
        <f>objet!C152</f>
        <v>B1153</v>
      </c>
      <c r="I126" t="str">
        <f>IF(ISNUMBER(VALUE(RIGHT(LEFT(modif0[[#This Row],[idntfn]],2),1))),_xlfn.CONCAT(0,LEFT(modif0[[#This Row],[idntfn]],1)),LEFT(modif0[[#This Row],[idntfn]],2))</f>
        <v>0B</v>
      </c>
      <c r="J126">
        <f>VALUE(LEFT(RIGHT(modif0[[#This Row],[idntfn]],LEN(modif0[[#This Row],[idntfn]])-IF(LEFT(modif0[[#This Row],[sctn]],1)="0",1,2)),LEN(modif0[[#This Row],[idntfn]])-IF(LEFT(modif0[[#This Row],[sctn]],1)="0",1,2)-LEN(modif0[[#This Row],[lttr]])))</f>
        <v>1153</v>
      </c>
      <c r="K126" t="str">
        <f>IF(ISNUMBER(VALUE(RIGHT(modif0[[#This Row],[idntfn]],1))),"",IF(ISNUMBER(VALUE(LEFT(RIGHT(modif0[[#This Row],[idntfn]],2),1))),RIGHT(modif0[[#This Row],[idntfn]],1),RIGHT(modif0[[#This Row],[idntfn]],2)))</f>
        <v/>
      </c>
      <c r="L126" s="10">
        <f>objet!I152</f>
        <v>2120</v>
      </c>
      <c r="M126" s="11">
        <f>modif0[[#This Row],[srfc]]/10000</f>
        <v>0.21199999999999999</v>
      </c>
      <c r="N126" s="10" t="str">
        <f>objet!Z152</f>
        <v>PM</v>
      </c>
      <c r="O126" s="10" t="str">
        <f>objet!AA152</f>
        <v>PLA2019</v>
      </c>
      <c r="P126" t="str">
        <f>IF(ISNUMBER(modif0[[#This Row],[trvx]]),"",LEFT(modif0[[#This Row],[trvx]],LEN(modif0[[#This Row],[trvx]])-4))</f>
        <v>PLA</v>
      </c>
      <c r="Q126">
        <f>VALUE(RIGHT(modif0[[#This Row],[trvx]],4))</f>
        <v>2019</v>
      </c>
      <c r="R126" t="str">
        <f>_xlfn.CONCAT(modif0[[#This Row],[tp]],"-",modif0[[#This Row],[essnc]],"_",modif0[[#This Row],[anns]])</f>
        <v>PLA-PM_2019</v>
      </c>
      <c r="S126" t="b">
        <f>modif0[[#This Row],[tp]]="CR"</f>
        <v>0</v>
      </c>
      <c r="T126">
        <v>40</v>
      </c>
      <c r="U126" t="str">
        <f>IF(NOT($A126),"",
IF(AO126=-2,regle!$J$11,
IF(AO126=regle!$B$12,regle!$B$11,
IF(AO126=regle!$C$12,regle!$C$11,
IF(AO126=regle!$D$12,regle!$D$11,
IF(AO126=regle!$E$12,regle!$E$11,
IF(AO126=regle!$F$12,regle!$F$11,
IF(AO126=regle!$G$12,regle!$G$11,
IF(AO126=regle!$H$12,regle!$H$11,
IF(AO126=regle!$I$12,regle!$I$11,""))))))))))</f>
        <v>ENT1</v>
      </c>
      <c r="V126" t="str">
        <f>IF(NOT($A126),"",
IF(AP126=-2,regle!$J$11,
IF(AP126=regle!$B$12,regle!$B$11,
IF(AP126=regle!$C$12,regle!$C$11,
IF(AP126=regle!$D$12,regle!$D$11,
IF(AP126=regle!$E$12,regle!$E$11,
IF(AP126=regle!$F$12,regle!$F$11,
IF(AP126=regle!$G$12,regle!$G$11,
IF(AP126=regle!$H$12,regle!$H$11,
IF(AP126=regle!$I$12,regle!$I$11,""))))))))))</f>
        <v/>
      </c>
      <c r="W126" t="str">
        <f>IF(NOT($A126),"",
IF(AQ126=-2,regle!$J$11,
IF(AQ126=regle!$B$12,regle!$B$11,
IF(AQ126=regle!$C$12,regle!$C$11,
IF(AQ126=regle!$D$12,regle!$D$11,
IF(AQ126=regle!$E$12,regle!$E$11,
IF(AQ126=regle!$F$12,regle!$F$11,
IF(AQ126=regle!$G$12,regle!$G$11,
IF(AQ126=regle!$H$12,regle!$H$11,
IF(AQ126=regle!$I$12,regle!$I$11,""))))))))))</f>
        <v/>
      </c>
      <c r="X126" t="str">
        <f>IF(NOT($A126),"",
IF(AR126=-2,regle!$J$11,
IF(AR126=regle!$B$12,regle!$B$11,
IF(AR126=regle!$C$12,regle!$C$11,
IF(AR126=regle!$D$12,regle!$D$11,
IF(AR126=regle!$E$12,regle!$E$11,
IF(AR126=regle!$F$12,regle!$F$11,
IF(AR126=regle!$G$12,regle!$G$11,
IF(AR126=regle!$H$12,regle!$H$11,
IF(AR126=regle!$I$12,regle!$I$11,""))))))))))</f>
        <v>ENT2</v>
      </c>
      <c r="Y126" t="str">
        <f>IF(NOT($A126),"",
IF(AS126=-2,regle!$J$11,
IF(AS126=regle!$B$12,regle!$B$11,
IF(AS126=regle!$C$12,regle!$C$11,
IF(AS126=regle!$D$12,regle!$D$11,
IF(AS126=regle!$E$12,regle!$E$11,
IF(AS126=regle!$F$12,regle!$F$11,
IF(AS126=regle!$G$12,regle!$G$11,
IF(AS126=regle!$H$12,regle!$H$11,
IF(AS126=regle!$I$12,regle!$I$11,""))))))))))</f>
        <v/>
      </c>
      <c r="Z126" t="str">
        <f>IF(NOT($A126),"",
IF(AT126=-2,regle!$J$11,
IF(AT126=regle!$B$12,regle!$B$11,
IF(AT126=regle!$C$12,regle!$C$11,
IF(AT126=regle!$D$12,regle!$D$11,
IF(AT126=regle!$E$12,regle!$E$11,
IF(AT126=regle!$F$12,regle!$F$11,
IF(AT126=regle!$G$12,regle!$G$11,
IF(AT126=regle!$H$12,regle!$H$11,
IF(AT126=regle!$I$12,regle!$I$11,""))))))))))</f>
        <v/>
      </c>
      <c r="AA126" t="str">
        <f>IF(NOT($A126),"",
IF(AU126=-2,regle!$J$11,
IF(AU126=regle!$B$12,regle!$B$11,
IF(AU126=regle!$C$12,regle!$C$11,
IF(AU126=regle!$D$12,regle!$D$11,
IF(AU126=regle!$E$12,regle!$E$11,
IF(AU126=regle!$F$12,regle!$F$11,
IF(AU126=regle!$G$12,regle!$G$11,
IF(AU126=regle!$H$12,regle!$H$11,
IF(AU126=regle!$I$12,regle!$I$11,""))))))))))</f>
        <v/>
      </c>
      <c r="AB126" t="str">
        <f>IF(NOT($A126),"",
IF(AV126=-2,regle!$J$11,
IF(AV126=regle!$B$12,regle!$B$11,
IF(AV126=regle!$C$12,regle!$C$11,
IF(AV126=regle!$D$12,regle!$D$11,
IF(AV126=regle!$E$12,regle!$E$11,
IF(AV126=regle!$F$12,regle!$F$11,
IF(AV126=regle!$G$12,regle!$G$11,
IF(AV126=regle!$H$12,regle!$H$11,
IF(AV126=regle!$I$12,regle!$I$11,""))))))))))</f>
        <v/>
      </c>
      <c r="AC126" t="str">
        <f>IF(NOT($A126),"",
IF(AW126=-2,regle!$J$11,
IF(AW126=regle!$B$12,regle!$B$11,
IF(AW126=regle!$C$12,regle!$C$11,
IF(AW126=regle!$D$12,regle!$D$11,
IF(AW126=regle!$E$12,regle!$E$11,
IF(AW126=regle!$F$12,regle!$F$11,
IF(AW126=regle!$G$12,regle!$G$11,
IF(AW126=regle!$H$12,regle!$H$11,
IF(AW126=regle!$I$12,regle!$I$11,""))))))))))</f>
        <v>EC1</v>
      </c>
      <c r="AD126" t="str">
        <f>IF(NOT($A126),"",
IF(AX126=-2,regle!$J$11,
IF(AX126=regle!$B$12,regle!$B$11,
IF(AX126=regle!$C$12,regle!$C$11,
IF(AX126=regle!$D$12,regle!$D$11,
IF(AX126=regle!$E$12,regle!$E$11,
IF(AX126=regle!$F$12,regle!$F$11,
IF(AX126=regle!$G$12,regle!$G$11,
IF(AX126=regle!$H$12,regle!$H$11,
IF(AX126=regle!$I$12,regle!$I$11,""))))))))))</f>
        <v/>
      </c>
      <c r="AE126" s="14">
        <f>IF($A126,$M126*(IF(U126=regle!$B$11,regle!$B$23,IF(U126=regle!$C$11,regle!$C$23,IF(U126=regle!$D$11,regle!$D$23,IF(U126=regle!$E$11,regle!$E$23,IF(U126=regle!$F$11,regle!$F$23,IF(U126=regle!$G$11,regle!$G$23,IF(U126=regle!$H$11,regle!$H$23,IF(U126=regle!$I$11,regle!$I$23,IF(U126=regle!$J$11,regle!$J$23,0)))))))))))</f>
        <v>-19.079999999999998</v>
      </c>
      <c r="AF126" s="14">
        <f>IF($A126,$M126*(IF(V126=regle!$B$11,regle!$B$23,IF(V126=regle!$C$11,regle!$C$23,IF(V126=regle!$D$11,regle!$D$23,IF(V126=regle!$E$11,regle!$E$23,IF(V126=regle!$F$11,regle!$F$23,IF(V126=regle!$G$11,regle!$G$23,IF(V126=regle!$H$11,regle!$H$23,IF(V126=regle!$I$11,regle!$I$23,IF(V126=regle!$J$11,regle!$J$23,0)))))))))))</f>
        <v>0</v>
      </c>
      <c r="AG126" s="14">
        <f>IF($A126,$M126*(IF(W126=regle!$B$11,regle!$B$23,IF(W126=regle!$C$11,regle!$C$23,IF(W126=regle!$D$11,regle!$D$23,IF(W126=regle!$E$11,regle!$E$23,IF(W126=regle!$F$11,regle!$F$23,IF(W126=regle!$G$11,regle!$G$23,IF(W126=regle!$H$11,regle!$H$23,IF(W126=regle!$I$11,regle!$I$23,IF(W126=regle!$J$11,regle!$J$23,0)))))))))))</f>
        <v>0</v>
      </c>
      <c r="AH126" s="14">
        <f>IF($A126,$M126*(IF(X126=regle!$B$11,regle!$B$23,IF(X126=regle!$C$11,regle!$C$23,IF(X126=regle!$D$11,regle!$D$23,IF(X126=regle!$E$11,regle!$E$23,IF(X126=regle!$F$11,regle!$F$23,IF(X126=regle!$G$11,regle!$G$23,IF(X126=regle!$H$11,regle!$H$23,IF(X126=regle!$I$11,regle!$I$23,IF(X126=regle!$J$11,regle!$J$23,0)))))))))))</f>
        <v>-19.079999999999998</v>
      </c>
      <c r="AI126" s="14">
        <f>IF($A126,$M126*(IF(Y126=regle!$B$11,regle!$B$23,IF(Y126=regle!$C$11,regle!$C$23,IF(Y126=regle!$D$11,regle!$D$23,IF(Y126=regle!$E$11,regle!$E$23,IF(Y126=regle!$F$11,regle!$F$23,IF(Y126=regle!$G$11,regle!$G$23,IF(Y126=regle!$H$11,regle!$H$23,IF(Y126=regle!$I$11,regle!$I$23,IF(Y126=regle!$J$11,regle!$J$23,0)))))))))))</f>
        <v>0</v>
      </c>
      <c r="AJ126" s="14">
        <f>IF($A126,$M126*(IF(Z126=regle!$B$11,regle!$B$23,IF(Z126=regle!$C$11,regle!$C$23,IF(Z126=regle!$D$11,regle!$D$23,IF(Z126=regle!$E$11,regle!$E$23,IF(Z126=regle!$F$11,regle!$F$23,IF(Z126=regle!$G$11,regle!$G$23,IF(Z126=regle!$H$11,regle!$H$23,IF(Z126=regle!$I$11,regle!$I$23,IF(Z126=regle!$J$11,regle!$J$23,0)))))))))))</f>
        <v>0</v>
      </c>
      <c r="AK126" s="14">
        <f>IF($A126,$M126*(IF(AA126=regle!$B$11,regle!$B$23,IF(AA126=regle!$C$11,regle!$C$23,IF(AA126=regle!$D$11,regle!$D$23,IF(AA126=regle!$E$11,regle!$E$23,IF(AA126=regle!$F$11,regle!$F$23,IF(AA126=regle!$G$11,regle!$G$23,IF(AA126=regle!$H$11,regle!$H$23,IF(AA126=regle!$I$11,regle!$I$23,IF(AA126=regle!$J$11,regle!$J$23,0)))))))))))</f>
        <v>0</v>
      </c>
      <c r="AL126" s="14">
        <f>IF($A126,$M126*(IF(AB126=regle!$B$11,regle!$B$23,IF(AB126=regle!$C$11,regle!$C$23,IF(AB126=regle!$D$11,regle!$D$23,IF(AB126=regle!$E$11,regle!$E$23,IF(AB126=regle!$F$11,regle!$F$23,IF(AB126=regle!$G$11,regle!$G$23,IF(AB126=regle!$H$11,regle!$H$23,IF(AB126=regle!$I$11,regle!$I$23,IF(AB126=regle!$J$11,regle!$J$23,0)))))))))))</f>
        <v>0</v>
      </c>
      <c r="AM126" s="14">
        <f>IF($A126,$M126*(IF(AC126=regle!$B$11,regle!$B$23,IF(AC126=regle!$C$11,regle!$C$23,IF(AC126=regle!$D$11,regle!$D$23,IF(AC126=regle!$E$11,regle!$E$23,IF(AC126=regle!$F$11,regle!$F$23,IF(AC126=regle!$G$11,regle!$G$23,IF(AC126=regle!$H$11,regle!$H$23,IF(AC126=regle!$I$11,regle!$I$23,IF(AC126=regle!$J$11,regle!$J$23,0)))))))))))</f>
        <v>122.11199999999999</v>
      </c>
      <c r="AN126" s="14">
        <f>IF($A126,$M126*(IF(AD126=regle!$B$11,regle!$B$23,IF(AD126=regle!$C$11,regle!$C$23,IF(AD126=regle!$D$11,regle!$D$23,IF(AD126=regle!$E$11,regle!$E$23,IF(AD126=regle!$F$11,regle!$F$23,IF(AD126=regle!$G$11,regle!$G$23,IF(AD126=regle!$H$11,regle!$H$23,IF(AD126=regle!$I$11,regle!$I$23,IF(AD126=regle!$J$11,regle!$J$23,0)))))))))))</f>
        <v>0</v>
      </c>
      <c r="AO126">
        <f>IF(AO$1=$AO$1,IF(regle!B$2-$Q126&gt;=regle!$J$12,-2,IF($S126,IF(regle!$B$2-$Q126&gt;=2,0,-1),regle!B$2-$Q126)),IF(AN126+1&gt;=regle!$J$12,-2,AN126+1))</f>
        <v>5</v>
      </c>
      <c r="AP126">
        <f>IF(AP$1=$AO$1,IF(regle!C$2-$Q126&gt;=regle!$J$12,-2,IF($S126,IF(regle!$B$2-$Q126&gt;=2,0,-1),regle!C$2-$Q126)),IF(AO126+1&gt;=regle!$J$12,-2,AO126+1))</f>
        <v>6</v>
      </c>
      <c r="AQ126">
        <f>IF(AQ$1=$AO$1,IF(regle!D$2-$Q126&gt;=regle!$J$12,-2,IF($S126,IF(regle!$B$2-$Q126&gt;=2,0,-1),regle!D$2-$Q126)),IF(AP126+1&gt;=regle!$J$12,-2,AP126+1))</f>
        <v>7</v>
      </c>
      <c r="AR126">
        <f>IF(AR$1=$AO$1,IF(regle!E$2-$Q126&gt;=regle!$J$12,-2,IF($S126,IF(regle!$B$2-$Q126&gt;=2,0,-1),regle!E$2-$Q126)),IF(AQ126+1&gt;=regle!$J$12,-2,AQ126+1))</f>
        <v>8</v>
      </c>
      <c r="AS126">
        <f>IF(AS$1=$AO$1,IF(regle!F$2-$Q126&gt;=regle!$J$12,-2,IF($S126,IF(regle!$B$2-$Q126&gt;=2,0,-1),regle!F$2-$Q126)),IF(AR126+1&gt;=regle!$J$12,-2,AR126+1))</f>
        <v>9</v>
      </c>
      <c r="AT126">
        <f>IF(AT$1=$AO$1,IF(regle!G$2-$Q126&gt;=regle!$J$12,-2,IF($S126,IF(regle!$B$2-$Q126&gt;=2,0,-1),regle!G$2-$Q126)),IF(AS126+1&gt;=regle!$J$12,-2,AS126+1))</f>
        <v>10</v>
      </c>
      <c r="AU126">
        <f>IF(AU$1=$AO$1,IF(regle!H$2-$Q126&gt;=regle!$J$12,-2,IF($S126,IF(regle!$B$2-$Q126&gt;=2,0,-1),regle!H$2-$Q126)),IF(AT126+1&gt;=regle!$J$12,-2,AT126+1))</f>
        <v>11</v>
      </c>
      <c r="AV126">
        <f>IF(AV$1=$AO$1,IF(regle!I$2-$Q126&gt;=regle!$J$12,-2,IF($S126,IF(regle!$B$2-$Q126&gt;=2,0,-1),regle!I$2-$Q126)),IF(AU126+1&gt;=regle!$J$12,-2,AU126+1))</f>
        <v>12</v>
      </c>
      <c r="AW126">
        <f>IF(AW$1=$AO$1,IF(regle!J$2-$Q126&gt;=regle!$J$12,-2,IF($S126,IF(regle!$B$2-$Q126&gt;=2,0,-1),regle!J$2-$Q126)),IF(AV126+1&gt;=regle!$J$12,-2,AV126+1))</f>
        <v>13</v>
      </c>
      <c r="AX126">
        <f>IF(AX$1=$AO$1,IF(regle!K$2-$Q126&gt;=regle!$J$12,-2,IF($S126,IF(regle!$B$2-$Q126&gt;=2,0,-1),regle!K$2-$Q126)),IF(AW126+1&gt;=regle!$J$12,-2,AW126+1))</f>
        <v>14</v>
      </c>
    </row>
    <row r="127" spans="1:50" x14ac:dyDescent="0.25">
      <c r="A127" t="b">
        <f>AND(modif0[[#This Row],[cdstr]]&lt;&gt;0,OR(regle!$H$27=FALSE,modif0[[#This Row],[essnc]]="PM"))</f>
        <v>1</v>
      </c>
      <c r="B127">
        <f>ROW(objet!A153)</f>
        <v>153</v>
      </c>
      <c r="C127" s="10" t="str">
        <f>objet!D153</f>
        <v>2020000B1154</v>
      </c>
      <c r="D127" t="str">
        <f>LEFT(modif0[[#This Row],[cdstr]],3)</f>
        <v>202</v>
      </c>
      <c r="E127" s="10" t="str">
        <f>objet!G153</f>
        <v>HOSTENS</v>
      </c>
      <c r="F127">
        <f>LEN(modif0[[#This Row],[l_dt]])</f>
        <v>11</v>
      </c>
      <c r="G127" s="10" t="str">
        <f>objet!H153</f>
        <v>LES CAZALAS</v>
      </c>
      <c r="H127" s="10" t="str">
        <f>objet!C153</f>
        <v>B1154</v>
      </c>
      <c r="I127" t="str">
        <f>IF(ISNUMBER(VALUE(RIGHT(LEFT(modif0[[#This Row],[idntfn]],2),1))),_xlfn.CONCAT(0,LEFT(modif0[[#This Row],[idntfn]],1)),LEFT(modif0[[#This Row],[idntfn]],2))</f>
        <v>0B</v>
      </c>
      <c r="J127">
        <f>VALUE(LEFT(RIGHT(modif0[[#This Row],[idntfn]],LEN(modif0[[#This Row],[idntfn]])-IF(LEFT(modif0[[#This Row],[sctn]],1)="0",1,2)),LEN(modif0[[#This Row],[idntfn]])-IF(LEFT(modif0[[#This Row],[sctn]],1)="0",1,2)-LEN(modif0[[#This Row],[lttr]])))</f>
        <v>1154</v>
      </c>
      <c r="K127" t="str">
        <f>IF(ISNUMBER(VALUE(RIGHT(modif0[[#This Row],[idntfn]],1))),"",IF(ISNUMBER(VALUE(LEFT(RIGHT(modif0[[#This Row],[idntfn]],2),1))),RIGHT(modif0[[#This Row],[idntfn]],1),RIGHT(modif0[[#This Row],[idntfn]],2)))</f>
        <v/>
      </c>
      <c r="L127" s="10">
        <f>objet!I153</f>
        <v>1542</v>
      </c>
      <c r="M127" s="11">
        <f>modif0[[#This Row],[srfc]]/10000</f>
        <v>0.1542</v>
      </c>
      <c r="N127" s="10" t="str">
        <f>objet!Z153</f>
        <v>PM</v>
      </c>
      <c r="O127" s="10" t="str">
        <f>objet!AA153</f>
        <v>PLA2019</v>
      </c>
      <c r="P127" t="str">
        <f>IF(ISNUMBER(modif0[[#This Row],[trvx]]),"",LEFT(modif0[[#This Row],[trvx]],LEN(modif0[[#This Row],[trvx]])-4))</f>
        <v>PLA</v>
      </c>
      <c r="Q127">
        <f>VALUE(RIGHT(modif0[[#This Row],[trvx]],4))</f>
        <v>2019</v>
      </c>
      <c r="R127" t="str">
        <f>_xlfn.CONCAT(modif0[[#This Row],[tp]],"-",modif0[[#This Row],[essnc]],"_",modif0[[#This Row],[anns]])</f>
        <v>PLA-PM_2019</v>
      </c>
      <c r="S127" t="b">
        <f>modif0[[#This Row],[tp]]="CR"</f>
        <v>0</v>
      </c>
      <c r="T127">
        <v>40</v>
      </c>
      <c r="U127" t="str">
        <f>IF(NOT($A127),"",
IF(AO127=-2,regle!$J$11,
IF(AO127=regle!$B$12,regle!$B$11,
IF(AO127=regle!$C$12,regle!$C$11,
IF(AO127=regle!$D$12,regle!$D$11,
IF(AO127=regle!$E$12,regle!$E$11,
IF(AO127=regle!$F$12,regle!$F$11,
IF(AO127=regle!$G$12,regle!$G$11,
IF(AO127=regle!$H$12,regle!$H$11,
IF(AO127=regle!$I$12,regle!$I$11,""))))))))))</f>
        <v>ENT1</v>
      </c>
      <c r="V127" t="str">
        <f>IF(NOT($A127),"",
IF(AP127=-2,regle!$J$11,
IF(AP127=regle!$B$12,regle!$B$11,
IF(AP127=regle!$C$12,regle!$C$11,
IF(AP127=regle!$D$12,regle!$D$11,
IF(AP127=regle!$E$12,regle!$E$11,
IF(AP127=regle!$F$12,regle!$F$11,
IF(AP127=regle!$G$12,regle!$G$11,
IF(AP127=regle!$H$12,regle!$H$11,
IF(AP127=regle!$I$12,regle!$I$11,""))))))))))</f>
        <v/>
      </c>
      <c r="W127" t="str">
        <f>IF(NOT($A127),"",
IF(AQ127=-2,regle!$J$11,
IF(AQ127=regle!$B$12,regle!$B$11,
IF(AQ127=regle!$C$12,regle!$C$11,
IF(AQ127=regle!$D$12,regle!$D$11,
IF(AQ127=regle!$E$12,regle!$E$11,
IF(AQ127=regle!$F$12,regle!$F$11,
IF(AQ127=regle!$G$12,regle!$G$11,
IF(AQ127=regle!$H$12,regle!$H$11,
IF(AQ127=regle!$I$12,regle!$I$11,""))))))))))</f>
        <v/>
      </c>
      <c r="X127" t="str">
        <f>IF(NOT($A127),"",
IF(AR127=-2,regle!$J$11,
IF(AR127=regle!$B$12,regle!$B$11,
IF(AR127=regle!$C$12,regle!$C$11,
IF(AR127=regle!$D$12,regle!$D$11,
IF(AR127=regle!$E$12,regle!$E$11,
IF(AR127=regle!$F$12,regle!$F$11,
IF(AR127=regle!$G$12,regle!$G$11,
IF(AR127=regle!$H$12,regle!$H$11,
IF(AR127=regle!$I$12,regle!$I$11,""))))))))))</f>
        <v>ENT2</v>
      </c>
      <c r="Y127" t="str">
        <f>IF(NOT($A127),"",
IF(AS127=-2,regle!$J$11,
IF(AS127=regle!$B$12,regle!$B$11,
IF(AS127=regle!$C$12,regle!$C$11,
IF(AS127=regle!$D$12,regle!$D$11,
IF(AS127=regle!$E$12,regle!$E$11,
IF(AS127=regle!$F$12,regle!$F$11,
IF(AS127=regle!$G$12,regle!$G$11,
IF(AS127=regle!$H$12,regle!$H$11,
IF(AS127=regle!$I$12,regle!$I$11,""))))))))))</f>
        <v/>
      </c>
      <c r="Z127" t="str">
        <f>IF(NOT($A127),"",
IF(AT127=-2,regle!$J$11,
IF(AT127=regle!$B$12,regle!$B$11,
IF(AT127=regle!$C$12,regle!$C$11,
IF(AT127=regle!$D$12,regle!$D$11,
IF(AT127=regle!$E$12,regle!$E$11,
IF(AT127=regle!$F$12,regle!$F$11,
IF(AT127=regle!$G$12,regle!$G$11,
IF(AT127=regle!$H$12,regle!$H$11,
IF(AT127=regle!$I$12,regle!$I$11,""))))))))))</f>
        <v/>
      </c>
      <c r="AA127" t="str">
        <f>IF(NOT($A127),"",
IF(AU127=-2,regle!$J$11,
IF(AU127=regle!$B$12,regle!$B$11,
IF(AU127=regle!$C$12,regle!$C$11,
IF(AU127=regle!$D$12,regle!$D$11,
IF(AU127=regle!$E$12,regle!$E$11,
IF(AU127=regle!$F$12,regle!$F$11,
IF(AU127=regle!$G$12,regle!$G$11,
IF(AU127=regle!$H$12,regle!$H$11,
IF(AU127=regle!$I$12,regle!$I$11,""))))))))))</f>
        <v/>
      </c>
      <c r="AB127" t="str">
        <f>IF(NOT($A127),"",
IF(AV127=-2,regle!$J$11,
IF(AV127=regle!$B$12,regle!$B$11,
IF(AV127=regle!$C$12,regle!$C$11,
IF(AV127=regle!$D$12,regle!$D$11,
IF(AV127=regle!$E$12,regle!$E$11,
IF(AV127=regle!$F$12,regle!$F$11,
IF(AV127=regle!$G$12,regle!$G$11,
IF(AV127=regle!$H$12,regle!$H$11,
IF(AV127=regle!$I$12,regle!$I$11,""))))))))))</f>
        <v/>
      </c>
      <c r="AC127" t="str">
        <f>IF(NOT($A127),"",
IF(AW127=-2,regle!$J$11,
IF(AW127=regle!$B$12,regle!$B$11,
IF(AW127=regle!$C$12,regle!$C$11,
IF(AW127=regle!$D$12,regle!$D$11,
IF(AW127=regle!$E$12,regle!$E$11,
IF(AW127=regle!$F$12,regle!$F$11,
IF(AW127=regle!$G$12,regle!$G$11,
IF(AW127=regle!$H$12,regle!$H$11,
IF(AW127=regle!$I$12,regle!$I$11,""))))))))))</f>
        <v>EC1</v>
      </c>
      <c r="AD127" t="str">
        <f>IF(NOT($A127),"",
IF(AX127=-2,regle!$J$11,
IF(AX127=regle!$B$12,regle!$B$11,
IF(AX127=regle!$C$12,regle!$C$11,
IF(AX127=regle!$D$12,regle!$D$11,
IF(AX127=regle!$E$12,regle!$E$11,
IF(AX127=regle!$F$12,regle!$F$11,
IF(AX127=regle!$G$12,regle!$G$11,
IF(AX127=regle!$H$12,regle!$H$11,
IF(AX127=regle!$I$12,regle!$I$11,""))))))))))</f>
        <v/>
      </c>
      <c r="AE127" s="14">
        <f>IF($A127,$M127*(IF(U127=regle!$B$11,regle!$B$23,IF(U127=regle!$C$11,regle!$C$23,IF(U127=regle!$D$11,regle!$D$23,IF(U127=regle!$E$11,regle!$E$23,IF(U127=regle!$F$11,regle!$F$23,IF(U127=regle!$G$11,regle!$G$23,IF(U127=regle!$H$11,regle!$H$23,IF(U127=regle!$I$11,regle!$I$23,IF(U127=regle!$J$11,regle!$J$23,0)))))))))))</f>
        <v>-13.878</v>
      </c>
      <c r="AF127" s="14">
        <f>IF($A127,$M127*(IF(V127=regle!$B$11,regle!$B$23,IF(V127=regle!$C$11,regle!$C$23,IF(V127=regle!$D$11,regle!$D$23,IF(V127=regle!$E$11,regle!$E$23,IF(V127=regle!$F$11,regle!$F$23,IF(V127=regle!$G$11,regle!$G$23,IF(V127=regle!$H$11,regle!$H$23,IF(V127=regle!$I$11,regle!$I$23,IF(V127=regle!$J$11,regle!$J$23,0)))))))))))</f>
        <v>0</v>
      </c>
      <c r="AG127" s="14">
        <f>IF($A127,$M127*(IF(W127=regle!$B$11,regle!$B$23,IF(W127=regle!$C$11,regle!$C$23,IF(W127=regle!$D$11,regle!$D$23,IF(W127=regle!$E$11,regle!$E$23,IF(W127=regle!$F$11,regle!$F$23,IF(W127=regle!$G$11,regle!$G$23,IF(W127=regle!$H$11,regle!$H$23,IF(W127=regle!$I$11,regle!$I$23,IF(W127=regle!$J$11,regle!$J$23,0)))))))))))</f>
        <v>0</v>
      </c>
      <c r="AH127" s="14">
        <f>IF($A127,$M127*(IF(X127=regle!$B$11,regle!$B$23,IF(X127=regle!$C$11,regle!$C$23,IF(X127=regle!$D$11,regle!$D$23,IF(X127=regle!$E$11,regle!$E$23,IF(X127=regle!$F$11,regle!$F$23,IF(X127=regle!$G$11,regle!$G$23,IF(X127=regle!$H$11,regle!$H$23,IF(X127=regle!$I$11,regle!$I$23,IF(X127=regle!$J$11,regle!$J$23,0)))))))))))</f>
        <v>-13.878</v>
      </c>
      <c r="AI127" s="14">
        <f>IF($A127,$M127*(IF(Y127=regle!$B$11,regle!$B$23,IF(Y127=regle!$C$11,regle!$C$23,IF(Y127=regle!$D$11,regle!$D$23,IF(Y127=regle!$E$11,regle!$E$23,IF(Y127=regle!$F$11,regle!$F$23,IF(Y127=regle!$G$11,regle!$G$23,IF(Y127=regle!$H$11,regle!$H$23,IF(Y127=regle!$I$11,regle!$I$23,IF(Y127=regle!$J$11,regle!$J$23,0)))))))))))</f>
        <v>0</v>
      </c>
      <c r="AJ127" s="14">
        <f>IF($A127,$M127*(IF(Z127=regle!$B$11,regle!$B$23,IF(Z127=regle!$C$11,regle!$C$23,IF(Z127=regle!$D$11,regle!$D$23,IF(Z127=regle!$E$11,regle!$E$23,IF(Z127=regle!$F$11,regle!$F$23,IF(Z127=regle!$G$11,regle!$G$23,IF(Z127=regle!$H$11,regle!$H$23,IF(Z127=regle!$I$11,regle!$I$23,IF(Z127=regle!$J$11,regle!$J$23,0)))))))))))</f>
        <v>0</v>
      </c>
      <c r="AK127" s="14">
        <f>IF($A127,$M127*(IF(AA127=regle!$B$11,regle!$B$23,IF(AA127=regle!$C$11,regle!$C$23,IF(AA127=regle!$D$11,regle!$D$23,IF(AA127=regle!$E$11,regle!$E$23,IF(AA127=regle!$F$11,regle!$F$23,IF(AA127=regle!$G$11,regle!$G$23,IF(AA127=regle!$H$11,regle!$H$23,IF(AA127=regle!$I$11,regle!$I$23,IF(AA127=regle!$J$11,regle!$J$23,0)))))))))))</f>
        <v>0</v>
      </c>
      <c r="AL127" s="14">
        <f>IF($A127,$M127*(IF(AB127=regle!$B$11,regle!$B$23,IF(AB127=regle!$C$11,regle!$C$23,IF(AB127=regle!$D$11,regle!$D$23,IF(AB127=regle!$E$11,regle!$E$23,IF(AB127=regle!$F$11,regle!$F$23,IF(AB127=regle!$G$11,regle!$G$23,IF(AB127=regle!$H$11,regle!$H$23,IF(AB127=regle!$I$11,regle!$I$23,IF(AB127=regle!$J$11,regle!$J$23,0)))))))))))</f>
        <v>0</v>
      </c>
      <c r="AM127" s="14">
        <f>IF($A127,$M127*(IF(AC127=regle!$B$11,regle!$B$23,IF(AC127=regle!$C$11,regle!$C$23,IF(AC127=regle!$D$11,regle!$D$23,IF(AC127=regle!$E$11,regle!$E$23,IF(AC127=regle!$F$11,regle!$F$23,IF(AC127=regle!$G$11,regle!$G$23,IF(AC127=regle!$H$11,regle!$H$23,IF(AC127=regle!$I$11,regle!$I$23,IF(AC127=regle!$J$11,regle!$J$23,0)))))))))))</f>
        <v>88.819199999999995</v>
      </c>
      <c r="AN127" s="14">
        <f>IF($A127,$M127*(IF(AD127=regle!$B$11,regle!$B$23,IF(AD127=regle!$C$11,regle!$C$23,IF(AD127=regle!$D$11,regle!$D$23,IF(AD127=regle!$E$11,regle!$E$23,IF(AD127=regle!$F$11,regle!$F$23,IF(AD127=regle!$G$11,regle!$G$23,IF(AD127=regle!$H$11,regle!$H$23,IF(AD127=regle!$I$11,regle!$I$23,IF(AD127=regle!$J$11,regle!$J$23,0)))))))))))</f>
        <v>0</v>
      </c>
      <c r="AO127">
        <f>IF(AO$1=$AO$1,IF(regle!B$2-$Q127&gt;=regle!$J$12,-2,IF($S127,IF(regle!$B$2-$Q127&gt;=2,0,-1),regle!B$2-$Q127)),IF(AN127+1&gt;=regle!$J$12,-2,AN127+1))</f>
        <v>5</v>
      </c>
      <c r="AP127">
        <f>IF(AP$1=$AO$1,IF(regle!C$2-$Q127&gt;=regle!$J$12,-2,IF($S127,IF(regle!$B$2-$Q127&gt;=2,0,-1),regle!C$2-$Q127)),IF(AO127+1&gt;=regle!$J$12,-2,AO127+1))</f>
        <v>6</v>
      </c>
      <c r="AQ127">
        <f>IF(AQ$1=$AO$1,IF(regle!D$2-$Q127&gt;=regle!$J$12,-2,IF($S127,IF(regle!$B$2-$Q127&gt;=2,0,-1),regle!D$2-$Q127)),IF(AP127+1&gt;=regle!$J$12,-2,AP127+1))</f>
        <v>7</v>
      </c>
      <c r="AR127">
        <f>IF(AR$1=$AO$1,IF(regle!E$2-$Q127&gt;=regle!$J$12,-2,IF($S127,IF(regle!$B$2-$Q127&gt;=2,0,-1),regle!E$2-$Q127)),IF(AQ127+1&gt;=regle!$J$12,-2,AQ127+1))</f>
        <v>8</v>
      </c>
      <c r="AS127">
        <f>IF(AS$1=$AO$1,IF(regle!F$2-$Q127&gt;=regle!$J$12,-2,IF($S127,IF(regle!$B$2-$Q127&gt;=2,0,-1),regle!F$2-$Q127)),IF(AR127+1&gt;=regle!$J$12,-2,AR127+1))</f>
        <v>9</v>
      </c>
      <c r="AT127">
        <f>IF(AT$1=$AO$1,IF(regle!G$2-$Q127&gt;=regle!$J$12,-2,IF($S127,IF(regle!$B$2-$Q127&gt;=2,0,-1),regle!G$2-$Q127)),IF(AS127+1&gt;=regle!$J$12,-2,AS127+1))</f>
        <v>10</v>
      </c>
      <c r="AU127">
        <f>IF(AU$1=$AO$1,IF(regle!H$2-$Q127&gt;=regle!$J$12,-2,IF($S127,IF(regle!$B$2-$Q127&gt;=2,0,-1),regle!H$2-$Q127)),IF(AT127+1&gt;=regle!$J$12,-2,AT127+1))</f>
        <v>11</v>
      </c>
      <c r="AV127">
        <f>IF(AV$1=$AO$1,IF(regle!I$2-$Q127&gt;=regle!$J$12,-2,IF($S127,IF(regle!$B$2-$Q127&gt;=2,0,-1),regle!I$2-$Q127)),IF(AU127+1&gt;=regle!$J$12,-2,AU127+1))</f>
        <v>12</v>
      </c>
      <c r="AW127">
        <f>IF(AW$1=$AO$1,IF(regle!J$2-$Q127&gt;=regle!$J$12,-2,IF($S127,IF(regle!$B$2-$Q127&gt;=2,0,-1),regle!J$2-$Q127)),IF(AV127+1&gt;=regle!$J$12,-2,AV127+1))</f>
        <v>13</v>
      </c>
      <c r="AX127">
        <f>IF(AX$1=$AO$1,IF(regle!K$2-$Q127&gt;=regle!$J$12,-2,IF($S127,IF(regle!$B$2-$Q127&gt;=2,0,-1),regle!K$2-$Q127)),IF(AW127+1&gt;=regle!$J$12,-2,AW127+1))</f>
        <v>14</v>
      </c>
    </row>
    <row r="128" spans="1:50" x14ac:dyDescent="0.25">
      <c r="A128" t="b">
        <f>AND(modif0[[#This Row],[cdstr]]&lt;&gt;0,OR(regle!$H$27=FALSE,modif0[[#This Row],[essnc]]="PM"))</f>
        <v>1</v>
      </c>
      <c r="B128">
        <f>ROW(objet!A154)</f>
        <v>154</v>
      </c>
      <c r="C128" s="10" t="str">
        <f>objet!D154</f>
        <v>2020000B1155</v>
      </c>
      <c r="D128" t="str">
        <f>LEFT(modif0[[#This Row],[cdstr]],3)</f>
        <v>202</v>
      </c>
      <c r="E128" s="10" t="str">
        <f>objet!G154</f>
        <v>HOSTENS</v>
      </c>
      <c r="F128">
        <f>LEN(modif0[[#This Row],[l_dt]])</f>
        <v>11</v>
      </c>
      <c r="G128" s="10" t="str">
        <f>objet!H154</f>
        <v>LES CAZALAS</v>
      </c>
      <c r="H128" s="10" t="str">
        <f>objet!C154</f>
        <v>B1155j</v>
      </c>
      <c r="I128" t="str">
        <f>IF(ISNUMBER(VALUE(RIGHT(LEFT(modif0[[#This Row],[idntfn]],2),1))),_xlfn.CONCAT(0,LEFT(modif0[[#This Row],[idntfn]],1)),LEFT(modif0[[#This Row],[idntfn]],2))</f>
        <v>0B</v>
      </c>
      <c r="J128">
        <f>VALUE(LEFT(RIGHT(modif0[[#This Row],[idntfn]],LEN(modif0[[#This Row],[idntfn]])-IF(LEFT(modif0[[#This Row],[sctn]],1)="0",1,2)),LEN(modif0[[#This Row],[idntfn]])-IF(LEFT(modif0[[#This Row],[sctn]],1)="0",1,2)-LEN(modif0[[#This Row],[lttr]])))</f>
        <v>1155</v>
      </c>
      <c r="K128" t="str">
        <f>IF(ISNUMBER(VALUE(RIGHT(modif0[[#This Row],[idntfn]],1))),"",IF(ISNUMBER(VALUE(LEFT(RIGHT(modif0[[#This Row],[idntfn]],2),1))),RIGHT(modif0[[#This Row],[idntfn]],1),RIGHT(modif0[[#This Row],[idntfn]],2)))</f>
        <v>j</v>
      </c>
      <c r="L128" s="10">
        <f>objet!I154</f>
        <v>2118</v>
      </c>
      <c r="M128" s="11">
        <f>modif0[[#This Row],[srfc]]/10000</f>
        <v>0.21179999999999999</v>
      </c>
      <c r="N128" s="10" t="str">
        <f>objet!Z154</f>
        <v>PM</v>
      </c>
      <c r="O128" s="10" t="str">
        <f>objet!AA154</f>
        <v>PLA2006</v>
      </c>
      <c r="P128" t="str">
        <f>IF(ISNUMBER(modif0[[#This Row],[trvx]]),"",LEFT(modif0[[#This Row],[trvx]],LEN(modif0[[#This Row],[trvx]])-4))</f>
        <v>PLA</v>
      </c>
      <c r="Q128">
        <f>VALUE(RIGHT(modif0[[#This Row],[trvx]],4))</f>
        <v>2006</v>
      </c>
      <c r="R128" t="str">
        <f>_xlfn.CONCAT(modif0[[#This Row],[tp]],"-",modif0[[#This Row],[essnc]],"_",modif0[[#This Row],[anns]])</f>
        <v>PLA-PM_2006</v>
      </c>
      <c r="S128" t="b">
        <f>modif0[[#This Row],[tp]]="CR"</f>
        <v>0</v>
      </c>
      <c r="T128">
        <v>40</v>
      </c>
      <c r="U128" t="str">
        <f>IF(NOT($A128),"",
IF(AO128=-2,regle!$J$11,
IF(AO128=regle!$B$12,regle!$B$11,
IF(AO128=regle!$C$12,regle!$C$11,
IF(AO128=regle!$D$12,regle!$D$11,
IF(AO128=regle!$E$12,regle!$E$11,
IF(AO128=regle!$F$12,regle!$F$11,
IF(AO128=regle!$G$12,regle!$G$11,
IF(AO128=regle!$H$12,regle!$H$11,
IF(AO128=regle!$I$12,regle!$I$11,""))))))))))</f>
        <v>EC2</v>
      </c>
      <c r="V128" t="str">
        <f>IF(NOT($A128),"",
IF(AP128=-2,regle!$J$11,
IF(AP128=regle!$B$12,regle!$B$11,
IF(AP128=regle!$C$12,regle!$C$11,
IF(AP128=regle!$D$12,regle!$D$11,
IF(AP128=regle!$E$12,regle!$E$11,
IF(AP128=regle!$F$12,regle!$F$11,
IF(AP128=regle!$G$12,regle!$G$11,
IF(AP128=regle!$H$12,regle!$H$11,
IF(AP128=regle!$I$12,regle!$I$11,""))))))))))</f>
        <v/>
      </c>
      <c r="W128" t="str">
        <f>IF(NOT($A128),"",
IF(AQ128=-2,regle!$J$11,
IF(AQ128=regle!$B$12,regle!$B$11,
IF(AQ128=regle!$C$12,regle!$C$11,
IF(AQ128=regle!$D$12,regle!$D$11,
IF(AQ128=regle!$E$12,regle!$E$11,
IF(AQ128=regle!$F$12,regle!$F$11,
IF(AQ128=regle!$G$12,regle!$G$11,
IF(AQ128=regle!$H$12,regle!$H$11,
IF(AQ128=regle!$I$12,regle!$I$11,""))))))))))</f>
        <v/>
      </c>
      <c r="X128" t="str">
        <f>IF(NOT($A128),"",
IF(AR128=-2,regle!$J$11,
IF(AR128=regle!$B$12,regle!$B$11,
IF(AR128=regle!$C$12,regle!$C$11,
IF(AR128=regle!$D$12,regle!$D$11,
IF(AR128=regle!$E$12,regle!$E$11,
IF(AR128=regle!$F$12,regle!$F$11,
IF(AR128=regle!$G$12,regle!$G$11,
IF(AR128=regle!$H$12,regle!$H$11,
IF(AR128=regle!$I$12,regle!$I$11,""))))))))))</f>
        <v/>
      </c>
      <c r="Y128" t="str">
        <f>IF(NOT($A128),"",
IF(AS128=-2,regle!$J$11,
IF(AS128=regle!$B$12,regle!$B$11,
IF(AS128=regle!$C$12,regle!$C$11,
IF(AS128=regle!$D$12,regle!$D$11,
IF(AS128=regle!$E$12,regle!$E$11,
IF(AS128=regle!$F$12,regle!$F$11,
IF(AS128=regle!$G$12,regle!$G$11,
IF(AS128=regle!$H$12,regle!$H$11,
IF(AS128=regle!$I$12,regle!$I$11,""))))))))))</f>
        <v/>
      </c>
      <c r="Z128" t="str">
        <f>IF(NOT($A128),"",
IF(AT128=-2,regle!$J$11,
IF(AT128=regle!$B$12,regle!$B$11,
IF(AT128=regle!$C$12,regle!$C$11,
IF(AT128=regle!$D$12,regle!$D$11,
IF(AT128=regle!$E$12,regle!$E$11,
IF(AT128=regle!$F$12,regle!$F$11,
IF(AT128=regle!$G$12,regle!$G$11,
IF(AT128=regle!$H$12,regle!$H$11,
IF(AT128=regle!$I$12,regle!$I$11,""))))))))))</f>
        <v>EC3</v>
      </c>
      <c r="AA128" t="str">
        <f>IF(NOT($A128),"",
IF(AU128=-2,regle!$J$11,
IF(AU128=regle!$B$12,regle!$B$11,
IF(AU128=regle!$C$12,regle!$C$11,
IF(AU128=regle!$D$12,regle!$D$11,
IF(AU128=regle!$E$12,regle!$E$11,
IF(AU128=regle!$F$12,regle!$F$11,
IF(AU128=regle!$G$12,regle!$G$11,
IF(AU128=regle!$H$12,regle!$H$11,
IF(AU128=regle!$I$12,regle!$I$11,""))))))))))</f>
        <v/>
      </c>
      <c r="AB128" t="str">
        <f>IF(NOT($A128),"",
IF(AV128=-2,regle!$J$11,
IF(AV128=regle!$B$12,regle!$B$11,
IF(AV128=regle!$C$12,regle!$C$11,
IF(AV128=regle!$D$12,regle!$D$11,
IF(AV128=regle!$E$12,regle!$E$11,
IF(AV128=regle!$F$12,regle!$F$11,
IF(AV128=regle!$G$12,regle!$G$11,
IF(AV128=regle!$H$12,regle!$H$11,
IF(AV128=regle!$I$12,regle!$I$11,""))))))))))</f>
        <v/>
      </c>
      <c r="AC128" t="str">
        <f>IF(NOT($A128),"",
IF(AW128=-2,regle!$J$11,
IF(AW128=regle!$B$12,regle!$B$11,
IF(AW128=regle!$C$12,regle!$C$11,
IF(AW128=regle!$D$12,regle!$D$11,
IF(AW128=regle!$E$12,regle!$E$11,
IF(AW128=regle!$F$12,regle!$F$11,
IF(AW128=regle!$G$12,regle!$G$11,
IF(AW128=regle!$H$12,regle!$H$11,
IF(AW128=regle!$I$12,regle!$I$11,""))))))))))</f>
        <v/>
      </c>
      <c r="AD128" t="str">
        <f>IF(NOT($A128),"",
IF(AX128=-2,regle!$J$11,
IF(AX128=regle!$B$12,regle!$B$11,
IF(AX128=regle!$C$12,regle!$C$11,
IF(AX128=regle!$D$12,regle!$D$11,
IF(AX128=regle!$E$12,regle!$E$11,
IF(AX128=regle!$F$12,regle!$F$11,
IF(AX128=regle!$G$12,regle!$G$11,
IF(AX128=regle!$H$12,regle!$H$11,
IF(AX128=regle!$I$12,regle!$I$11,""))))))))))</f>
        <v/>
      </c>
      <c r="AE128" s="14">
        <f>IF($A128,$M128*(IF(U128=regle!$B$11,regle!$B$23,IF(U128=regle!$C$11,regle!$C$23,IF(U128=regle!$D$11,regle!$D$23,IF(U128=regle!$E$11,regle!$E$23,IF(U128=regle!$F$11,regle!$F$23,IF(U128=regle!$G$11,regle!$G$23,IF(U128=regle!$H$11,regle!$H$23,IF(U128=regle!$I$11,regle!$I$23,IF(U128=regle!$J$11,regle!$J$23,0)))))))))))</f>
        <v>177.91199999999998</v>
      </c>
      <c r="AF128" s="14">
        <f>IF($A128,$M128*(IF(V128=regle!$B$11,regle!$B$23,IF(V128=regle!$C$11,regle!$C$23,IF(V128=regle!$D$11,regle!$D$23,IF(V128=regle!$E$11,regle!$E$23,IF(V128=regle!$F$11,regle!$F$23,IF(V128=regle!$G$11,regle!$G$23,IF(V128=regle!$H$11,regle!$H$23,IF(V128=regle!$I$11,regle!$I$23,IF(V128=regle!$J$11,regle!$J$23,0)))))))))))</f>
        <v>0</v>
      </c>
      <c r="AG128" s="14">
        <f>IF($A128,$M128*(IF(W128=regle!$B$11,regle!$B$23,IF(W128=regle!$C$11,regle!$C$23,IF(W128=regle!$D$11,regle!$D$23,IF(W128=regle!$E$11,regle!$E$23,IF(W128=regle!$F$11,regle!$F$23,IF(W128=regle!$G$11,regle!$G$23,IF(W128=regle!$H$11,regle!$H$23,IF(W128=regle!$I$11,regle!$I$23,IF(W128=regle!$J$11,regle!$J$23,0)))))))))))</f>
        <v>0</v>
      </c>
      <c r="AH128" s="14">
        <f>IF($A128,$M128*(IF(X128=regle!$B$11,regle!$B$23,IF(X128=regle!$C$11,regle!$C$23,IF(X128=regle!$D$11,regle!$D$23,IF(X128=regle!$E$11,regle!$E$23,IF(X128=regle!$F$11,regle!$F$23,IF(X128=regle!$G$11,regle!$G$23,IF(X128=regle!$H$11,regle!$H$23,IF(X128=regle!$I$11,regle!$I$23,IF(X128=regle!$J$11,regle!$J$23,0)))))))))))</f>
        <v>0</v>
      </c>
      <c r="AI128" s="14">
        <f>IF($A128,$M128*(IF(Y128=regle!$B$11,regle!$B$23,IF(Y128=regle!$C$11,regle!$C$23,IF(Y128=regle!$D$11,regle!$D$23,IF(Y128=regle!$E$11,regle!$E$23,IF(Y128=regle!$F$11,regle!$F$23,IF(Y128=regle!$G$11,regle!$G$23,IF(Y128=regle!$H$11,regle!$H$23,IF(Y128=regle!$I$11,regle!$I$23,IF(Y128=regle!$J$11,regle!$J$23,0)))))))))))</f>
        <v>0</v>
      </c>
      <c r="AJ128" s="14">
        <f>IF($A128,$M128*(IF(Z128=regle!$B$11,regle!$B$23,IF(Z128=regle!$C$11,regle!$C$23,IF(Z128=regle!$D$11,regle!$D$23,IF(Z128=regle!$E$11,regle!$E$23,IF(Z128=regle!$F$11,regle!$F$23,IF(Z128=regle!$G$11,regle!$G$23,IF(Z128=regle!$H$11,regle!$H$23,IF(Z128=regle!$I$11,regle!$I$23,IF(Z128=regle!$J$11,regle!$J$23,0)))))))))))</f>
        <v>298.21439999999996</v>
      </c>
      <c r="AK128" s="14">
        <f>IF($A128,$M128*(IF(AA128=regle!$B$11,regle!$B$23,IF(AA128=regle!$C$11,regle!$C$23,IF(AA128=regle!$D$11,regle!$D$23,IF(AA128=regle!$E$11,regle!$E$23,IF(AA128=regle!$F$11,regle!$F$23,IF(AA128=regle!$G$11,regle!$G$23,IF(AA128=regle!$H$11,regle!$H$23,IF(AA128=regle!$I$11,regle!$I$23,IF(AA128=regle!$J$11,regle!$J$23,0)))))))))))</f>
        <v>0</v>
      </c>
      <c r="AL128" s="14">
        <f>IF($A128,$M128*(IF(AB128=regle!$B$11,regle!$B$23,IF(AB128=regle!$C$11,regle!$C$23,IF(AB128=regle!$D$11,regle!$D$23,IF(AB128=regle!$E$11,regle!$E$23,IF(AB128=regle!$F$11,regle!$F$23,IF(AB128=regle!$G$11,regle!$G$23,IF(AB128=regle!$H$11,regle!$H$23,IF(AB128=regle!$I$11,regle!$I$23,IF(AB128=regle!$J$11,regle!$J$23,0)))))))))))</f>
        <v>0</v>
      </c>
      <c r="AM128" s="14">
        <f>IF($A128,$M128*(IF(AC128=regle!$B$11,regle!$B$23,IF(AC128=regle!$C$11,regle!$C$23,IF(AC128=regle!$D$11,regle!$D$23,IF(AC128=regle!$E$11,regle!$E$23,IF(AC128=regle!$F$11,regle!$F$23,IF(AC128=regle!$G$11,regle!$G$23,IF(AC128=regle!$H$11,regle!$H$23,IF(AC128=regle!$I$11,regle!$I$23,IF(AC128=regle!$J$11,regle!$J$23,0)))))))))))</f>
        <v>0</v>
      </c>
      <c r="AN128" s="14">
        <f>IF($A128,$M128*(IF(AD128=regle!$B$11,regle!$B$23,IF(AD128=regle!$C$11,regle!$C$23,IF(AD128=regle!$D$11,regle!$D$23,IF(AD128=regle!$E$11,regle!$E$23,IF(AD128=regle!$F$11,regle!$F$23,IF(AD128=regle!$G$11,regle!$G$23,IF(AD128=regle!$H$11,regle!$H$23,IF(AD128=regle!$I$11,regle!$I$23,IF(AD128=regle!$J$11,regle!$J$23,0)))))))))))</f>
        <v>0</v>
      </c>
      <c r="AO128">
        <f>IF(AO$1=$AO$1,IF(regle!B$2-$Q128&gt;=regle!$J$12,-2,IF($S128,IF(regle!$B$2-$Q128&gt;=2,0,-1),regle!B$2-$Q128)),IF(AN128+1&gt;=regle!$J$12,-2,AN128+1))</f>
        <v>18</v>
      </c>
      <c r="AP128">
        <f>IF(AP$1=$AO$1,IF(regle!C$2-$Q128&gt;=regle!$J$12,-2,IF($S128,IF(regle!$B$2-$Q128&gt;=2,0,-1),regle!C$2-$Q128)),IF(AO128+1&gt;=regle!$J$12,-2,AO128+1))</f>
        <v>19</v>
      </c>
      <c r="AQ128">
        <f>IF(AQ$1=$AO$1,IF(regle!D$2-$Q128&gt;=regle!$J$12,-2,IF($S128,IF(regle!$B$2-$Q128&gt;=2,0,-1),regle!D$2-$Q128)),IF(AP128+1&gt;=regle!$J$12,-2,AP128+1))</f>
        <v>20</v>
      </c>
      <c r="AR128">
        <f>IF(AR$1=$AO$1,IF(regle!E$2-$Q128&gt;=regle!$J$12,-2,IF($S128,IF(regle!$B$2-$Q128&gt;=2,0,-1),regle!E$2-$Q128)),IF(AQ128+1&gt;=regle!$J$12,-2,AQ128+1))</f>
        <v>21</v>
      </c>
      <c r="AS128">
        <f>IF(AS$1=$AO$1,IF(regle!F$2-$Q128&gt;=regle!$J$12,-2,IF($S128,IF(regle!$B$2-$Q128&gt;=2,0,-1),regle!F$2-$Q128)),IF(AR128+1&gt;=regle!$J$12,-2,AR128+1))</f>
        <v>22</v>
      </c>
      <c r="AT128">
        <f>IF(AT$1=$AO$1,IF(regle!G$2-$Q128&gt;=regle!$J$12,-2,IF($S128,IF(regle!$B$2-$Q128&gt;=2,0,-1),regle!G$2-$Q128)),IF(AS128+1&gt;=regle!$J$12,-2,AS128+1))</f>
        <v>23</v>
      </c>
      <c r="AU128">
        <f>IF(AU$1=$AO$1,IF(regle!H$2-$Q128&gt;=regle!$J$12,-2,IF($S128,IF(regle!$B$2-$Q128&gt;=2,0,-1),regle!H$2-$Q128)),IF(AT128+1&gt;=regle!$J$12,-2,AT128+1))</f>
        <v>24</v>
      </c>
      <c r="AV128">
        <f>IF(AV$1=$AO$1,IF(regle!I$2-$Q128&gt;=regle!$J$12,-2,IF($S128,IF(regle!$B$2-$Q128&gt;=2,0,-1),regle!I$2-$Q128)),IF(AU128+1&gt;=regle!$J$12,-2,AU128+1))</f>
        <v>25</v>
      </c>
      <c r="AW128">
        <f>IF(AW$1=$AO$1,IF(regle!J$2-$Q128&gt;=regle!$J$12,-2,IF($S128,IF(regle!$B$2-$Q128&gt;=2,0,-1),regle!J$2-$Q128)),IF(AV128+1&gt;=regle!$J$12,-2,AV128+1))</f>
        <v>26</v>
      </c>
      <c r="AX128">
        <f>IF(AX$1=$AO$1,IF(regle!K$2-$Q128&gt;=regle!$J$12,-2,IF($S128,IF(regle!$B$2-$Q128&gt;=2,0,-1),regle!K$2-$Q128)),IF(AW128+1&gt;=regle!$J$12,-2,AW128+1))</f>
        <v>27</v>
      </c>
    </row>
    <row r="129" spans="1:50" x14ac:dyDescent="0.25">
      <c r="A129" t="b">
        <f>AND(modif0[[#This Row],[cdstr]]&lt;&gt;0,OR(regle!$H$27=FALSE,modif0[[#This Row],[essnc]]="PM"))</f>
        <v>1</v>
      </c>
      <c r="B129">
        <f>ROW(objet!A155)</f>
        <v>155</v>
      </c>
      <c r="C129" s="10" t="str">
        <f>objet!D155</f>
        <v>2020000B1155</v>
      </c>
      <c r="D129" t="str">
        <f>LEFT(modif0[[#This Row],[cdstr]],3)</f>
        <v>202</v>
      </c>
      <c r="E129" s="10" t="str">
        <f>objet!G155</f>
        <v>HOSTENS</v>
      </c>
      <c r="F129">
        <f>LEN(modif0[[#This Row],[l_dt]])</f>
        <v>11</v>
      </c>
      <c r="G129" s="10" t="str">
        <f>objet!H155</f>
        <v>LES CAZALAS</v>
      </c>
      <c r="H129" s="10" t="str">
        <f>objet!C155</f>
        <v>B1155k</v>
      </c>
      <c r="I129" t="str">
        <f>IF(ISNUMBER(VALUE(RIGHT(LEFT(modif0[[#This Row],[idntfn]],2),1))),_xlfn.CONCAT(0,LEFT(modif0[[#This Row],[idntfn]],1)),LEFT(modif0[[#This Row],[idntfn]],2))</f>
        <v>0B</v>
      </c>
      <c r="J129">
        <f>VALUE(LEFT(RIGHT(modif0[[#This Row],[idntfn]],LEN(modif0[[#This Row],[idntfn]])-IF(LEFT(modif0[[#This Row],[sctn]],1)="0",1,2)),LEN(modif0[[#This Row],[idntfn]])-IF(LEFT(modif0[[#This Row],[sctn]],1)="0",1,2)-LEN(modif0[[#This Row],[lttr]])))</f>
        <v>1155</v>
      </c>
      <c r="K129" t="str">
        <f>IF(ISNUMBER(VALUE(RIGHT(modif0[[#This Row],[idntfn]],1))),"",IF(ISNUMBER(VALUE(LEFT(RIGHT(modif0[[#This Row],[idntfn]],2),1))),RIGHT(modif0[[#This Row],[idntfn]],1),RIGHT(modif0[[#This Row],[idntfn]],2)))</f>
        <v>k</v>
      </c>
      <c r="L129" s="10">
        <f>objet!I155</f>
        <v>22567</v>
      </c>
      <c r="M129" s="11">
        <f>modif0[[#This Row],[srfc]]/10000</f>
        <v>2.2566999999999999</v>
      </c>
      <c r="N129" s="10" t="str">
        <f>objet!Z155</f>
        <v>PM</v>
      </c>
      <c r="O129" s="10" t="str">
        <f>objet!AA155</f>
        <v>PLA2015</v>
      </c>
      <c r="P129" t="str">
        <f>IF(ISNUMBER(modif0[[#This Row],[trvx]]),"",LEFT(modif0[[#This Row],[trvx]],LEN(modif0[[#This Row],[trvx]])-4))</f>
        <v>PLA</v>
      </c>
      <c r="Q129">
        <f>VALUE(RIGHT(modif0[[#This Row],[trvx]],4))</f>
        <v>2015</v>
      </c>
      <c r="R129" t="str">
        <f>_xlfn.CONCAT(modif0[[#This Row],[tp]],"-",modif0[[#This Row],[essnc]],"_",modif0[[#This Row],[anns]])</f>
        <v>PLA-PM_2015</v>
      </c>
      <c r="S129" t="b">
        <f>modif0[[#This Row],[tp]]="CR"</f>
        <v>0</v>
      </c>
      <c r="T129">
        <v>40</v>
      </c>
      <c r="U129" t="str">
        <f>IF(NOT($A129),"",
IF(AO129=-2,regle!$J$11,
IF(AO129=regle!$B$12,regle!$B$11,
IF(AO129=regle!$C$12,regle!$C$11,
IF(AO129=regle!$D$12,regle!$D$11,
IF(AO129=regle!$E$12,regle!$E$11,
IF(AO129=regle!$F$12,regle!$F$11,
IF(AO129=regle!$G$12,regle!$G$11,
IF(AO129=regle!$H$12,regle!$H$11,
IF(AO129=regle!$I$12,regle!$I$11,""))))))))))</f>
        <v/>
      </c>
      <c r="V129" t="str">
        <f>IF(NOT($A129),"",
IF(AP129=-2,regle!$J$11,
IF(AP129=regle!$B$12,regle!$B$11,
IF(AP129=regle!$C$12,regle!$C$11,
IF(AP129=regle!$D$12,regle!$D$11,
IF(AP129=regle!$E$12,regle!$E$11,
IF(AP129=regle!$F$12,regle!$F$11,
IF(AP129=regle!$G$12,regle!$G$11,
IF(AP129=regle!$H$12,regle!$H$11,
IF(AP129=regle!$I$12,regle!$I$11,""))))))))))</f>
        <v/>
      </c>
      <c r="W129" t="str">
        <f>IF(NOT($A129),"",
IF(AQ129=-2,regle!$J$11,
IF(AQ129=regle!$B$12,regle!$B$11,
IF(AQ129=regle!$C$12,regle!$C$11,
IF(AQ129=regle!$D$12,regle!$D$11,
IF(AQ129=regle!$E$12,regle!$E$11,
IF(AQ129=regle!$F$12,regle!$F$11,
IF(AQ129=regle!$G$12,regle!$G$11,
IF(AQ129=regle!$H$12,regle!$H$11,
IF(AQ129=regle!$I$12,regle!$I$11,""))))))))))</f>
        <v/>
      </c>
      <c r="X129" t="str">
        <f>IF(NOT($A129),"",
IF(AR129=-2,regle!$J$11,
IF(AR129=regle!$B$12,regle!$B$11,
IF(AR129=regle!$C$12,regle!$C$11,
IF(AR129=regle!$D$12,regle!$D$11,
IF(AR129=regle!$E$12,regle!$E$11,
IF(AR129=regle!$F$12,regle!$F$11,
IF(AR129=regle!$G$12,regle!$G$11,
IF(AR129=regle!$H$12,regle!$H$11,
IF(AR129=regle!$I$12,regle!$I$11,""))))))))))</f>
        <v/>
      </c>
      <c r="Y129" t="str">
        <f>IF(NOT($A129),"",
IF(AS129=-2,regle!$J$11,
IF(AS129=regle!$B$12,regle!$B$11,
IF(AS129=regle!$C$12,regle!$C$11,
IF(AS129=regle!$D$12,regle!$D$11,
IF(AS129=regle!$E$12,regle!$E$11,
IF(AS129=regle!$F$12,regle!$F$11,
IF(AS129=regle!$G$12,regle!$G$11,
IF(AS129=regle!$H$12,regle!$H$11,
IF(AS129=regle!$I$12,regle!$I$11,""))))))))))</f>
        <v>EC1</v>
      </c>
      <c r="Z129" t="str">
        <f>IF(NOT($A129),"",
IF(AT129=-2,regle!$J$11,
IF(AT129=regle!$B$12,regle!$B$11,
IF(AT129=regle!$C$12,regle!$C$11,
IF(AT129=regle!$D$12,regle!$D$11,
IF(AT129=regle!$E$12,regle!$E$11,
IF(AT129=regle!$F$12,regle!$F$11,
IF(AT129=regle!$G$12,regle!$G$11,
IF(AT129=regle!$H$12,regle!$H$11,
IF(AT129=regle!$I$12,regle!$I$11,""))))))))))</f>
        <v/>
      </c>
      <c r="AA129" t="str">
        <f>IF(NOT($A129),"",
IF(AU129=-2,regle!$J$11,
IF(AU129=regle!$B$12,regle!$B$11,
IF(AU129=regle!$C$12,regle!$C$11,
IF(AU129=regle!$D$12,regle!$D$11,
IF(AU129=regle!$E$12,regle!$E$11,
IF(AU129=regle!$F$12,regle!$F$11,
IF(AU129=regle!$G$12,regle!$G$11,
IF(AU129=regle!$H$12,regle!$H$11,
IF(AU129=regle!$I$12,regle!$I$11,""))))))))))</f>
        <v/>
      </c>
      <c r="AB129" t="str">
        <f>IF(NOT($A129),"",
IF(AV129=-2,regle!$J$11,
IF(AV129=regle!$B$12,regle!$B$11,
IF(AV129=regle!$C$12,regle!$C$11,
IF(AV129=regle!$D$12,regle!$D$11,
IF(AV129=regle!$E$12,regle!$E$11,
IF(AV129=regle!$F$12,regle!$F$11,
IF(AV129=regle!$G$12,regle!$G$11,
IF(AV129=regle!$H$12,regle!$H$11,
IF(AV129=regle!$I$12,regle!$I$11,""))))))))))</f>
        <v/>
      </c>
      <c r="AC129" t="str">
        <f>IF(NOT($A129),"",
IF(AW129=-2,regle!$J$11,
IF(AW129=regle!$B$12,regle!$B$11,
IF(AW129=regle!$C$12,regle!$C$11,
IF(AW129=regle!$D$12,regle!$D$11,
IF(AW129=regle!$E$12,regle!$E$11,
IF(AW129=regle!$F$12,regle!$F$11,
IF(AW129=regle!$G$12,regle!$G$11,
IF(AW129=regle!$H$12,regle!$H$11,
IF(AW129=regle!$I$12,regle!$I$11,""))))))))))</f>
        <v/>
      </c>
      <c r="AD129" t="str">
        <f>IF(NOT($A129),"",
IF(AX129=-2,regle!$J$11,
IF(AX129=regle!$B$12,regle!$B$11,
IF(AX129=regle!$C$12,regle!$C$11,
IF(AX129=regle!$D$12,regle!$D$11,
IF(AX129=regle!$E$12,regle!$E$11,
IF(AX129=regle!$F$12,regle!$F$11,
IF(AX129=regle!$G$12,regle!$G$11,
IF(AX129=regle!$H$12,regle!$H$11,
IF(AX129=regle!$I$12,regle!$I$11,""))))))))))</f>
        <v>EC2</v>
      </c>
      <c r="AE129" s="14">
        <f>IF($A129,$M129*(IF(U129=regle!$B$11,regle!$B$23,IF(U129=regle!$C$11,regle!$C$23,IF(U129=regle!$D$11,regle!$D$23,IF(U129=regle!$E$11,regle!$E$23,IF(U129=regle!$F$11,regle!$F$23,IF(U129=regle!$G$11,regle!$G$23,IF(U129=regle!$H$11,regle!$H$23,IF(U129=regle!$I$11,regle!$I$23,IF(U129=regle!$J$11,regle!$J$23,0)))))))))))</f>
        <v>0</v>
      </c>
      <c r="AF129" s="14">
        <f>IF($A129,$M129*(IF(V129=regle!$B$11,regle!$B$23,IF(V129=regle!$C$11,regle!$C$23,IF(V129=regle!$D$11,regle!$D$23,IF(V129=regle!$E$11,regle!$E$23,IF(V129=regle!$F$11,regle!$F$23,IF(V129=regle!$G$11,regle!$G$23,IF(V129=regle!$H$11,regle!$H$23,IF(V129=regle!$I$11,regle!$I$23,IF(V129=regle!$J$11,regle!$J$23,0)))))))))))</f>
        <v>0</v>
      </c>
      <c r="AG129" s="14">
        <f>IF($A129,$M129*(IF(W129=regle!$B$11,regle!$B$23,IF(W129=regle!$C$11,regle!$C$23,IF(W129=regle!$D$11,regle!$D$23,IF(W129=regle!$E$11,regle!$E$23,IF(W129=regle!$F$11,regle!$F$23,IF(W129=regle!$G$11,regle!$G$23,IF(W129=regle!$H$11,regle!$H$23,IF(W129=regle!$I$11,regle!$I$23,IF(W129=regle!$J$11,regle!$J$23,0)))))))))))</f>
        <v>0</v>
      </c>
      <c r="AH129" s="14">
        <f>IF($A129,$M129*(IF(X129=regle!$B$11,regle!$B$23,IF(X129=regle!$C$11,regle!$C$23,IF(X129=regle!$D$11,regle!$D$23,IF(X129=regle!$E$11,regle!$E$23,IF(X129=regle!$F$11,regle!$F$23,IF(X129=regle!$G$11,regle!$G$23,IF(X129=regle!$H$11,regle!$H$23,IF(X129=regle!$I$11,regle!$I$23,IF(X129=regle!$J$11,regle!$J$23,0)))))))))))</f>
        <v>0</v>
      </c>
      <c r="AI129" s="14">
        <f>IF($A129,$M129*(IF(Y129=regle!$B$11,regle!$B$23,IF(Y129=regle!$C$11,regle!$C$23,IF(Y129=regle!$D$11,regle!$D$23,IF(Y129=regle!$E$11,regle!$E$23,IF(Y129=regle!$F$11,regle!$F$23,IF(Y129=regle!$G$11,regle!$G$23,IF(Y129=regle!$H$11,regle!$H$23,IF(Y129=regle!$I$11,regle!$I$23,IF(Y129=regle!$J$11,regle!$J$23,0)))))))))))</f>
        <v>1299.8591999999999</v>
      </c>
      <c r="AJ129" s="14">
        <f>IF($A129,$M129*(IF(Z129=regle!$B$11,regle!$B$23,IF(Z129=regle!$C$11,regle!$C$23,IF(Z129=regle!$D$11,regle!$D$23,IF(Z129=regle!$E$11,regle!$E$23,IF(Z129=regle!$F$11,regle!$F$23,IF(Z129=regle!$G$11,regle!$G$23,IF(Z129=regle!$H$11,regle!$H$23,IF(Z129=regle!$I$11,regle!$I$23,IF(Z129=regle!$J$11,regle!$J$23,0)))))))))))</f>
        <v>0</v>
      </c>
      <c r="AK129" s="14">
        <f>IF($A129,$M129*(IF(AA129=regle!$B$11,regle!$B$23,IF(AA129=regle!$C$11,regle!$C$23,IF(AA129=regle!$D$11,regle!$D$23,IF(AA129=regle!$E$11,regle!$E$23,IF(AA129=regle!$F$11,regle!$F$23,IF(AA129=regle!$G$11,regle!$G$23,IF(AA129=regle!$H$11,regle!$H$23,IF(AA129=regle!$I$11,regle!$I$23,IF(AA129=regle!$J$11,regle!$J$23,0)))))))))))</f>
        <v>0</v>
      </c>
      <c r="AL129" s="14">
        <f>IF($A129,$M129*(IF(AB129=regle!$B$11,regle!$B$23,IF(AB129=regle!$C$11,regle!$C$23,IF(AB129=regle!$D$11,regle!$D$23,IF(AB129=regle!$E$11,regle!$E$23,IF(AB129=regle!$F$11,regle!$F$23,IF(AB129=regle!$G$11,regle!$G$23,IF(AB129=regle!$H$11,regle!$H$23,IF(AB129=regle!$I$11,regle!$I$23,IF(AB129=regle!$J$11,regle!$J$23,0)))))))))))</f>
        <v>0</v>
      </c>
      <c r="AM129" s="14">
        <f>IF($A129,$M129*(IF(AC129=regle!$B$11,regle!$B$23,IF(AC129=regle!$C$11,regle!$C$23,IF(AC129=regle!$D$11,regle!$D$23,IF(AC129=regle!$E$11,regle!$E$23,IF(AC129=regle!$F$11,regle!$F$23,IF(AC129=regle!$G$11,regle!$G$23,IF(AC129=regle!$H$11,regle!$H$23,IF(AC129=regle!$I$11,regle!$I$23,IF(AC129=regle!$J$11,regle!$J$23,0)))))))))))</f>
        <v>0</v>
      </c>
      <c r="AN129" s="14">
        <f>IF($A129,$M129*(IF(AD129=regle!$B$11,regle!$B$23,IF(AD129=regle!$C$11,regle!$C$23,IF(AD129=regle!$D$11,regle!$D$23,IF(AD129=regle!$E$11,regle!$E$23,IF(AD129=regle!$F$11,regle!$F$23,IF(AD129=regle!$G$11,regle!$G$23,IF(AD129=regle!$H$11,regle!$H$23,IF(AD129=regle!$I$11,regle!$I$23,IF(AD129=regle!$J$11,regle!$J$23,0)))))))))))</f>
        <v>1895.6279999999999</v>
      </c>
      <c r="AO129">
        <f>IF(AO$1=$AO$1,IF(regle!B$2-$Q129&gt;=regle!$J$12,-2,IF($S129,IF(regle!$B$2-$Q129&gt;=2,0,-1),regle!B$2-$Q129)),IF(AN129+1&gt;=regle!$J$12,-2,AN129+1))</f>
        <v>9</v>
      </c>
      <c r="AP129">
        <f>IF(AP$1=$AO$1,IF(regle!C$2-$Q129&gt;=regle!$J$12,-2,IF($S129,IF(regle!$B$2-$Q129&gt;=2,0,-1),regle!C$2-$Q129)),IF(AO129+1&gt;=regle!$J$12,-2,AO129+1))</f>
        <v>10</v>
      </c>
      <c r="AQ129">
        <f>IF(AQ$1=$AO$1,IF(regle!D$2-$Q129&gt;=regle!$J$12,-2,IF($S129,IF(regle!$B$2-$Q129&gt;=2,0,-1),regle!D$2-$Q129)),IF(AP129+1&gt;=regle!$J$12,-2,AP129+1))</f>
        <v>11</v>
      </c>
      <c r="AR129">
        <f>IF(AR$1=$AO$1,IF(regle!E$2-$Q129&gt;=regle!$J$12,-2,IF($S129,IF(regle!$B$2-$Q129&gt;=2,0,-1),regle!E$2-$Q129)),IF(AQ129+1&gt;=regle!$J$12,-2,AQ129+1))</f>
        <v>12</v>
      </c>
      <c r="AS129">
        <f>IF(AS$1=$AO$1,IF(regle!F$2-$Q129&gt;=regle!$J$12,-2,IF($S129,IF(regle!$B$2-$Q129&gt;=2,0,-1),regle!F$2-$Q129)),IF(AR129+1&gt;=regle!$J$12,-2,AR129+1))</f>
        <v>13</v>
      </c>
      <c r="AT129">
        <f>IF(AT$1=$AO$1,IF(regle!G$2-$Q129&gt;=regle!$J$12,-2,IF($S129,IF(regle!$B$2-$Q129&gt;=2,0,-1),regle!G$2-$Q129)),IF(AS129+1&gt;=regle!$J$12,-2,AS129+1))</f>
        <v>14</v>
      </c>
      <c r="AU129">
        <f>IF(AU$1=$AO$1,IF(regle!H$2-$Q129&gt;=regle!$J$12,-2,IF($S129,IF(regle!$B$2-$Q129&gt;=2,0,-1),regle!H$2-$Q129)),IF(AT129+1&gt;=regle!$J$12,-2,AT129+1))</f>
        <v>15</v>
      </c>
      <c r="AV129">
        <f>IF(AV$1=$AO$1,IF(regle!I$2-$Q129&gt;=regle!$J$12,-2,IF($S129,IF(regle!$B$2-$Q129&gt;=2,0,-1),regle!I$2-$Q129)),IF(AU129+1&gt;=regle!$J$12,-2,AU129+1))</f>
        <v>16</v>
      </c>
      <c r="AW129">
        <f>IF(AW$1=$AO$1,IF(regle!J$2-$Q129&gt;=regle!$J$12,-2,IF($S129,IF(regle!$B$2-$Q129&gt;=2,0,-1),regle!J$2-$Q129)),IF(AV129+1&gt;=regle!$J$12,-2,AV129+1))</f>
        <v>17</v>
      </c>
      <c r="AX129">
        <f>IF(AX$1=$AO$1,IF(regle!K$2-$Q129&gt;=regle!$J$12,-2,IF($S129,IF(regle!$B$2-$Q129&gt;=2,0,-1),regle!K$2-$Q129)),IF(AW129+1&gt;=regle!$J$12,-2,AW129+1))</f>
        <v>18</v>
      </c>
    </row>
    <row r="130" spans="1:50" x14ac:dyDescent="0.25">
      <c r="A130" t="b">
        <f>AND(modif0[[#This Row],[cdstr]]&lt;&gt;0,OR(regle!$H$27=FALSE,modif0[[#This Row],[essnc]]="PM"))</f>
        <v>1</v>
      </c>
      <c r="B130">
        <f>ROW(objet!A156)</f>
        <v>156</v>
      </c>
      <c r="C130" s="10" t="str">
        <f>objet!D156</f>
        <v>2020000B1156</v>
      </c>
      <c r="D130" t="str">
        <f>LEFT(modif0[[#This Row],[cdstr]],3)</f>
        <v>202</v>
      </c>
      <c r="E130" s="10" t="str">
        <f>objet!G156</f>
        <v>HOSTENS</v>
      </c>
      <c r="F130">
        <f>LEN(modif0[[#This Row],[l_dt]])</f>
        <v>11</v>
      </c>
      <c r="G130" s="10" t="str">
        <f>objet!H156</f>
        <v>LES CAZALAS</v>
      </c>
      <c r="H130" s="10" t="str">
        <f>objet!C156</f>
        <v>B1156j</v>
      </c>
      <c r="I130" t="str">
        <f>IF(ISNUMBER(VALUE(RIGHT(LEFT(modif0[[#This Row],[idntfn]],2),1))),_xlfn.CONCAT(0,LEFT(modif0[[#This Row],[idntfn]],1)),LEFT(modif0[[#This Row],[idntfn]],2))</f>
        <v>0B</v>
      </c>
      <c r="J130">
        <f>VALUE(LEFT(RIGHT(modif0[[#This Row],[idntfn]],LEN(modif0[[#This Row],[idntfn]])-IF(LEFT(modif0[[#This Row],[sctn]],1)="0",1,2)),LEN(modif0[[#This Row],[idntfn]])-IF(LEFT(modif0[[#This Row],[sctn]],1)="0",1,2)-LEN(modif0[[#This Row],[lttr]])))</f>
        <v>1156</v>
      </c>
      <c r="K130" t="str">
        <f>IF(ISNUMBER(VALUE(RIGHT(modif0[[#This Row],[idntfn]],1))),"",IF(ISNUMBER(VALUE(LEFT(RIGHT(modif0[[#This Row],[idntfn]],2),1))),RIGHT(modif0[[#This Row],[idntfn]],1),RIGHT(modif0[[#This Row],[idntfn]],2)))</f>
        <v>j</v>
      </c>
      <c r="L130" s="10">
        <f>objet!I156</f>
        <v>6555</v>
      </c>
      <c r="M130" s="11">
        <f>modif0[[#This Row],[srfc]]/10000</f>
        <v>0.65549999999999997</v>
      </c>
      <c r="N130" s="10" t="str">
        <f>objet!Z156</f>
        <v>PM</v>
      </c>
      <c r="O130" s="10" t="str">
        <f>objet!AA156</f>
        <v>PLA2006</v>
      </c>
      <c r="P130" t="str">
        <f>IF(ISNUMBER(modif0[[#This Row],[trvx]]),"",LEFT(modif0[[#This Row],[trvx]],LEN(modif0[[#This Row],[trvx]])-4))</f>
        <v>PLA</v>
      </c>
      <c r="Q130">
        <f>VALUE(RIGHT(modif0[[#This Row],[trvx]],4))</f>
        <v>2006</v>
      </c>
      <c r="R130" t="str">
        <f>_xlfn.CONCAT(modif0[[#This Row],[tp]],"-",modif0[[#This Row],[essnc]],"_",modif0[[#This Row],[anns]])</f>
        <v>PLA-PM_2006</v>
      </c>
      <c r="S130" t="b">
        <f>modif0[[#This Row],[tp]]="CR"</f>
        <v>0</v>
      </c>
      <c r="T130">
        <v>40</v>
      </c>
      <c r="U130" t="str">
        <f>IF(NOT($A130),"",
IF(AO130=-2,regle!$J$11,
IF(AO130=regle!$B$12,regle!$B$11,
IF(AO130=regle!$C$12,regle!$C$11,
IF(AO130=regle!$D$12,regle!$D$11,
IF(AO130=regle!$E$12,regle!$E$11,
IF(AO130=regle!$F$12,regle!$F$11,
IF(AO130=regle!$G$12,regle!$G$11,
IF(AO130=regle!$H$12,regle!$H$11,
IF(AO130=regle!$I$12,regle!$I$11,""))))))))))</f>
        <v>EC2</v>
      </c>
      <c r="V130" t="str">
        <f>IF(NOT($A130),"",
IF(AP130=-2,regle!$J$11,
IF(AP130=regle!$B$12,regle!$B$11,
IF(AP130=regle!$C$12,regle!$C$11,
IF(AP130=regle!$D$12,regle!$D$11,
IF(AP130=regle!$E$12,regle!$E$11,
IF(AP130=regle!$F$12,regle!$F$11,
IF(AP130=regle!$G$12,regle!$G$11,
IF(AP130=regle!$H$12,regle!$H$11,
IF(AP130=regle!$I$12,regle!$I$11,""))))))))))</f>
        <v/>
      </c>
      <c r="W130" t="str">
        <f>IF(NOT($A130),"",
IF(AQ130=-2,regle!$J$11,
IF(AQ130=regle!$B$12,regle!$B$11,
IF(AQ130=regle!$C$12,regle!$C$11,
IF(AQ130=regle!$D$12,regle!$D$11,
IF(AQ130=regle!$E$12,regle!$E$11,
IF(AQ130=regle!$F$12,regle!$F$11,
IF(AQ130=regle!$G$12,regle!$G$11,
IF(AQ130=regle!$H$12,regle!$H$11,
IF(AQ130=regle!$I$12,regle!$I$11,""))))))))))</f>
        <v/>
      </c>
      <c r="X130" t="str">
        <f>IF(NOT($A130),"",
IF(AR130=-2,regle!$J$11,
IF(AR130=regle!$B$12,regle!$B$11,
IF(AR130=regle!$C$12,regle!$C$11,
IF(AR130=regle!$D$12,regle!$D$11,
IF(AR130=regle!$E$12,regle!$E$11,
IF(AR130=regle!$F$12,regle!$F$11,
IF(AR130=regle!$G$12,regle!$G$11,
IF(AR130=regle!$H$12,regle!$H$11,
IF(AR130=regle!$I$12,regle!$I$11,""))))))))))</f>
        <v/>
      </c>
      <c r="Y130" t="str">
        <f>IF(NOT($A130),"",
IF(AS130=-2,regle!$J$11,
IF(AS130=regle!$B$12,regle!$B$11,
IF(AS130=regle!$C$12,regle!$C$11,
IF(AS130=regle!$D$12,regle!$D$11,
IF(AS130=regle!$E$12,regle!$E$11,
IF(AS130=regle!$F$12,regle!$F$11,
IF(AS130=regle!$G$12,regle!$G$11,
IF(AS130=regle!$H$12,regle!$H$11,
IF(AS130=regle!$I$12,regle!$I$11,""))))))))))</f>
        <v/>
      </c>
      <c r="Z130" t="str">
        <f>IF(NOT($A130),"",
IF(AT130=-2,regle!$J$11,
IF(AT130=regle!$B$12,regle!$B$11,
IF(AT130=regle!$C$12,regle!$C$11,
IF(AT130=regle!$D$12,regle!$D$11,
IF(AT130=regle!$E$12,regle!$E$11,
IF(AT130=regle!$F$12,regle!$F$11,
IF(AT130=regle!$G$12,regle!$G$11,
IF(AT130=regle!$H$12,regle!$H$11,
IF(AT130=regle!$I$12,regle!$I$11,""))))))))))</f>
        <v>EC3</v>
      </c>
      <c r="AA130" t="str">
        <f>IF(NOT($A130),"",
IF(AU130=-2,regle!$J$11,
IF(AU130=regle!$B$12,regle!$B$11,
IF(AU130=regle!$C$12,regle!$C$11,
IF(AU130=regle!$D$12,regle!$D$11,
IF(AU130=regle!$E$12,regle!$E$11,
IF(AU130=regle!$F$12,regle!$F$11,
IF(AU130=regle!$G$12,regle!$G$11,
IF(AU130=regle!$H$12,regle!$H$11,
IF(AU130=regle!$I$12,regle!$I$11,""))))))))))</f>
        <v/>
      </c>
      <c r="AB130" t="str">
        <f>IF(NOT($A130),"",
IF(AV130=-2,regle!$J$11,
IF(AV130=regle!$B$12,regle!$B$11,
IF(AV130=regle!$C$12,regle!$C$11,
IF(AV130=regle!$D$12,regle!$D$11,
IF(AV130=regle!$E$12,regle!$E$11,
IF(AV130=regle!$F$12,regle!$F$11,
IF(AV130=regle!$G$12,regle!$G$11,
IF(AV130=regle!$H$12,regle!$H$11,
IF(AV130=regle!$I$12,regle!$I$11,""))))))))))</f>
        <v/>
      </c>
      <c r="AC130" t="str">
        <f>IF(NOT($A130),"",
IF(AW130=-2,regle!$J$11,
IF(AW130=regle!$B$12,regle!$B$11,
IF(AW130=regle!$C$12,regle!$C$11,
IF(AW130=regle!$D$12,regle!$D$11,
IF(AW130=regle!$E$12,regle!$E$11,
IF(AW130=regle!$F$12,regle!$F$11,
IF(AW130=regle!$G$12,regle!$G$11,
IF(AW130=regle!$H$12,regle!$H$11,
IF(AW130=regle!$I$12,regle!$I$11,""))))))))))</f>
        <v/>
      </c>
      <c r="AD130" t="str">
        <f>IF(NOT($A130),"",
IF(AX130=-2,regle!$J$11,
IF(AX130=regle!$B$12,regle!$B$11,
IF(AX130=regle!$C$12,regle!$C$11,
IF(AX130=regle!$D$12,regle!$D$11,
IF(AX130=regle!$E$12,regle!$E$11,
IF(AX130=regle!$F$12,regle!$F$11,
IF(AX130=regle!$G$12,regle!$G$11,
IF(AX130=regle!$H$12,regle!$H$11,
IF(AX130=regle!$I$12,regle!$I$11,""))))))))))</f>
        <v/>
      </c>
      <c r="AE130" s="14">
        <f>IF($A130,$M130*(IF(U130=regle!$B$11,regle!$B$23,IF(U130=regle!$C$11,regle!$C$23,IF(U130=regle!$D$11,regle!$D$23,IF(U130=regle!$E$11,regle!$E$23,IF(U130=regle!$F$11,regle!$F$23,IF(U130=regle!$G$11,regle!$G$23,IF(U130=regle!$H$11,regle!$H$23,IF(U130=regle!$I$11,regle!$I$23,IF(U130=regle!$J$11,regle!$J$23,0)))))))))))</f>
        <v>550.62</v>
      </c>
      <c r="AF130" s="14">
        <f>IF($A130,$M130*(IF(V130=regle!$B$11,regle!$B$23,IF(V130=regle!$C$11,regle!$C$23,IF(V130=regle!$D$11,regle!$D$23,IF(V130=regle!$E$11,regle!$E$23,IF(V130=regle!$F$11,regle!$F$23,IF(V130=regle!$G$11,regle!$G$23,IF(V130=regle!$H$11,regle!$H$23,IF(V130=regle!$I$11,regle!$I$23,IF(V130=regle!$J$11,regle!$J$23,0)))))))))))</f>
        <v>0</v>
      </c>
      <c r="AG130" s="14">
        <f>IF($A130,$M130*(IF(W130=regle!$B$11,regle!$B$23,IF(W130=regle!$C$11,regle!$C$23,IF(W130=regle!$D$11,regle!$D$23,IF(W130=regle!$E$11,regle!$E$23,IF(W130=regle!$F$11,regle!$F$23,IF(W130=regle!$G$11,regle!$G$23,IF(W130=regle!$H$11,regle!$H$23,IF(W130=regle!$I$11,regle!$I$23,IF(W130=regle!$J$11,regle!$J$23,0)))))))))))</f>
        <v>0</v>
      </c>
      <c r="AH130" s="14">
        <f>IF($A130,$M130*(IF(X130=regle!$B$11,regle!$B$23,IF(X130=regle!$C$11,regle!$C$23,IF(X130=regle!$D$11,regle!$D$23,IF(X130=regle!$E$11,regle!$E$23,IF(X130=regle!$F$11,regle!$F$23,IF(X130=regle!$G$11,regle!$G$23,IF(X130=regle!$H$11,regle!$H$23,IF(X130=regle!$I$11,regle!$I$23,IF(X130=regle!$J$11,regle!$J$23,0)))))))))))</f>
        <v>0</v>
      </c>
      <c r="AI130" s="14">
        <f>IF($A130,$M130*(IF(Y130=regle!$B$11,regle!$B$23,IF(Y130=regle!$C$11,regle!$C$23,IF(Y130=regle!$D$11,regle!$D$23,IF(Y130=regle!$E$11,regle!$E$23,IF(Y130=regle!$F$11,regle!$F$23,IF(Y130=regle!$G$11,regle!$G$23,IF(Y130=regle!$H$11,regle!$H$23,IF(Y130=regle!$I$11,regle!$I$23,IF(Y130=regle!$J$11,regle!$J$23,0)))))))))))</f>
        <v>0</v>
      </c>
      <c r="AJ130" s="14">
        <f>IF($A130,$M130*(IF(Z130=regle!$B$11,regle!$B$23,IF(Z130=regle!$C$11,regle!$C$23,IF(Z130=regle!$D$11,regle!$D$23,IF(Z130=regle!$E$11,regle!$E$23,IF(Z130=regle!$F$11,regle!$F$23,IF(Z130=regle!$G$11,regle!$G$23,IF(Z130=regle!$H$11,regle!$H$23,IF(Z130=regle!$I$11,regle!$I$23,IF(Z130=regle!$J$11,regle!$J$23,0)))))))))))</f>
        <v>922.94399999999996</v>
      </c>
      <c r="AK130" s="14">
        <f>IF($A130,$M130*(IF(AA130=regle!$B$11,regle!$B$23,IF(AA130=regle!$C$11,regle!$C$23,IF(AA130=regle!$D$11,regle!$D$23,IF(AA130=regle!$E$11,regle!$E$23,IF(AA130=regle!$F$11,regle!$F$23,IF(AA130=regle!$G$11,regle!$G$23,IF(AA130=regle!$H$11,regle!$H$23,IF(AA130=regle!$I$11,regle!$I$23,IF(AA130=regle!$J$11,regle!$J$23,0)))))))))))</f>
        <v>0</v>
      </c>
      <c r="AL130" s="14">
        <f>IF($A130,$M130*(IF(AB130=regle!$B$11,regle!$B$23,IF(AB130=regle!$C$11,regle!$C$23,IF(AB130=regle!$D$11,regle!$D$23,IF(AB130=regle!$E$11,regle!$E$23,IF(AB130=regle!$F$11,regle!$F$23,IF(AB130=regle!$G$11,regle!$G$23,IF(AB130=regle!$H$11,regle!$H$23,IF(AB130=regle!$I$11,regle!$I$23,IF(AB130=regle!$J$11,regle!$J$23,0)))))))))))</f>
        <v>0</v>
      </c>
      <c r="AM130" s="14">
        <f>IF($A130,$M130*(IF(AC130=regle!$B$11,regle!$B$23,IF(AC130=regle!$C$11,regle!$C$23,IF(AC130=regle!$D$11,regle!$D$23,IF(AC130=regle!$E$11,regle!$E$23,IF(AC130=regle!$F$11,regle!$F$23,IF(AC130=regle!$G$11,regle!$G$23,IF(AC130=regle!$H$11,regle!$H$23,IF(AC130=regle!$I$11,regle!$I$23,IF(AC130=regle!$J$11,regle!$J$23,0)))))))))))</f>
        <v>0</v>
      </c>
      <c r="AN130" s="14">
        <f>IF($A130,$M130*(IF(AD130=regle!$B$11,regle!$B$23,IF(AD130=regle!$C$11,regle!$C$23,IF(AD130=regle!$D$11,regle!$D$23,IF(AD130=regle!$E$11,regle!$E$23,IF(AD130=regle!$F$11,regle!$F$23,IF(AD130=regle!$G$11,regle!$G$23,IF(AD130=regle!$H$11,regle!$H$23,IF(AD130=regle!$I$11,regle!$I$23,IF(AD130=regle!$J$11,regle!$J$23,0)))))))))))</f>
        <v>0</v>
      </c>
      <c r="AO130">
        <f>IF(AO$1=$AO$1,IF(regle!B$2-$Q130&gt;=regle!$J$12,-2,IF($S130,IF(regle!$B$2-$Q130&gt;=2,0,-1),regle!B$2-$Q130)),IF(AN130+1&gt;=regle!$J$12,-2,AN130+1))</f>
        <v>18</v>
      </c>
      <c r="AP130">
        <f>IF(AP$1=$AO$1,IF(regle!C$2-$Q130&gt;=regle!$J$12,-2,IF($S130,IF(regle!$B$2-$Q130&gt;=2,0,-1),regle!C$2-$Q130)),IF(AO130+1&gt;=regle!$J$12,-2,AO130+1))</f>
        <v>19</v>
      </c>
      <c r="AQ130">
        <f>IF(AQ$1=$AO$1,IF(regle!D$2-$Q130&gt;=regle!$J$12,-2,IF($S130,IF(regle!$B$2-$Q130&gt;=2,0,-1),regle!D$2-$Q130)),IF(AP130+1&gt;=regle!$J$12,-2,AP130+1))</f>
        <v>20</v>
      </c>
      <c r="AR130">
        <f>IF(AR$1=$AO$1,IF(regle!E$2-$Q130&gt;=regle!$J$12,-2,IF($S130,IF(regle!$B$2-$Q130&gt;=2,0,-1),regle!E$2-$Q130)),IF(AQ130+1&gt;=regle!$J$12,-2,AQ130+1))</f>
        <v>21</v>
      </c>
      <c r="AS130">
        <f>IF(AS$1=$AO$1,IF(regle!F$2-$Q130&gt;=regle!$J$12,-2,IF($S130,IF(regle!$B$2-$Q130&gt;=2,0,-1),regle!F$2-$Q130)),IF(AR130+1&gt;=regle!$J$12,-2,AR130+1))</f>
        <v>22</v>
      </c>
      <c r="AT130">
        <f>IF(AT$1=$AO$1,IF(regle!G$2-$Q130&gt;=regle!$J$12,-2,IF($S130,IF(regle!$B$2-$Q130&gt;=2,0,-1),regle!G$2-$Q130)),IF(AS130+1&gt;=regle!$J$12,-2,AS130+1))</f>
        <v>23</v>
      </c>
      <c r="AU130">
        <f>IF(AU$1=$AO$1,IF(regle!H$2-$Q130&gt;=regle!$J$12,-2,IF($S130,IF(regle!$B$2-$Q130&gt;=2,0,-1),regle!H$2-$Q130)),IF(AT130+1&gt;=regle!$J$12,-2,AT130+1))</f>
        <v>24</v>
      </c>
      <c r="AV130">
        <f>IF(AV$1=$AO$1,IF(regle!I$2-$Q130&gt;=regle!$J$12,-2,IF($S130,IF(regle!$B$2-$Q130&gt;=2,0,-1),regle!I$2-$Q130)),IF(AU130+1&gt;=regle!$J$12,-2,AU130+1))</f>
        <v>25</v>
      </c>
      <c r="AW130">
        <f>IF(AW$1=$AO$1,IF(regle!J$2-$Q130&gt;=regle!$J$12,-2,IF($S130,IF(regle!$B$2-$Q130&gt;=2,0,-1),regle!J$2-$Q130)),IF(AV130+1&gt;=regle!$J$12,-2,AV130+1))</f>
        <v>26</v>
      </c>
      <c r="AX130">
        <f>IF(AX$1=$AO$1,IF(regle!K$2-$Q130&gt;=regle!$J$12,-2,IF($S130,IF(regle!$B$2-$Q130&gt;=2,0,-1),regle!K$2-$Q130)),IF(AW130+1&gt;=regle!$J$12,-2,AW130+1))</f>
        <v>27</v>
      </c>
    </row>
    <row r="131" spans="1:50" x14ac:dyDescent="0.25">
      <c r="A131" t="b">
        <f>AND(modif0[[#This Row],[cdstr]]&lt;&gt;0,OR(regle!$H$27=FALSE,modif0[[#This Row],[essnc]]="PM"))</f>
        <v>1</v>
      </c>
      <c r="B131">
        <f>ROW(objet!A157)</f>
        <v>157</v>
      </c>
      <c r="C131" s="10" t="str">
        <f>objet!D157</f>
        <v>2020000B1156</v>
      </c>
      <c r="D131" t="str">
        <f>LEFT(modif0[[#This Row],[cdstr]],3)</f>
        <v>202</v>
      </c>
      <c r="E131" s="10" t="str">
        <f>objet!G157</f>
        <v>HOSTENS</v>
      </c>
      <c r="F131">
        <f>LEN(modif0[[#This Row],[l_dt]])</f>
        <v>11</v>
      </c>
      <c r="G131" s="10" t="str">
        <f>objet!H157</f>
        <v>LES CAZALAS</v>
      </c>
      <c r="H131" s="10" t="str">
        <f>objet!C157</f>
        <v>B1156k</v>
      </c>
      <c r="I131" t="str">
        <f>IF(ISNUMBER(VALUE(RIGHT(LEFT(modif0[[#This Row],[idntfn]],2),1))),_xlfn.CONCAT(0,LEFT(modif0[[#This Row],[idntfn]],1)),LEFT(modif0[[#This Row],[idntfn]],2))</f>
        <v>0B</v>
      </c>
      <c r="J131">
        <f>VALUE(LEFT(RIGHT(modif0[[#This Row],[idntfn]],LEN(modif0[[#This Row],[idntfn]])-IF(LEFT(modif0[[#This Row],[sctn]],1)="0",1,2)),LEN(modif0[[#This Row],[idntfn]])-IF(LEFT(modif0[[#This Row],[sctn]],1)="0",1,2)-LEN(modif0[[#This Row],[lttr]])))</f>
        <v>1156</v>
      </c>
      <c r="K131" t="str">
        <f>IF(ISNUMBER(VALUE(RIGHT(modif0[[#This Row],[idntfn]],1))),"",IF(ISNUMBER(VALUE(LEFT(RIGHT(modif0[[#This Row],[idntfn]],2),1))),RIGHT(modif0[[#This Row],[idntfn]],1),RIGHT(modif0[[#This Row],[idntfn]],2)))</f>
        <v>k</v>
      </c>
      <c r="L131" s="10">
        <f>objet!I157</f>
        <v>1095</v>
      </c>
      <c r="M131" s="11">
        <f>modif0[[#This Row],[srfc]]/10000</f>
        <v>0.1095</v>
      </c>
      <c r="N131" s="10" t="str">
        <f>objet!Z157</f>
        <v>PM</v>
      </c>
      <c r="O131" s="10" t="str">
        <f>objet!AA157</f>
        <v>PLA2015</v>
      </c>
      <c r="P131" t="str">
        <f>IF(ISNUMBER(modif0[[#This Row],[trvx]]),"",LEFT(modif0[[#This Row],[trvx]],LEN(modif0[[#This Row],[trvx]])-4))</f>
        <v>PLA</v>
      </c>
      <c r="Q131">
        <f>VALUE(RIGHT(modif0[[#This Row],[trvx]],4))</f>
        <v>2015</v>
      </c>
      <c r="R131" t="str">
        <f>_xlfn.CONCAT(modif0[[#This Row],[tp]],"-",modif0[[#This Row],[essnc]],"_",modif0[[#This Row],[anns]])</f>
        <v>PLA-PM_2015</v>
      </c>
      <c r="S131" t="b">
        <f>modif0[[#This Row],[tp]]="CR"</f>
        <v>0</v>
      </c>
      <c r="T131">
        <v>40</v>
      </c>
      <c r="U131" t="str">
        <f>IF(NOT($A131),"",
IF(AO131=-2,regle!$J$11,
IF(AO131=regle!$B$12,regle!$B$11,
IF(AO131=regle!$C$12,regle!$C$11,
IF(AO131=regle!$D$12,regle!$D$11,
IF(AO131=regle!$E$12,regle!$E$11,
IF(AO131=regle!$F$12,regle!$F$11,
IF(AO131=regle!$G$12,regle!$G$11,
IF(AO131=regle!$H$12,regle!$H$11,
IF(AO131=regle!$I$12,regle!$I$11,""))))))))))</f>
        <v/>
      </c>
      <c r="V131" t="str">
        <f>IF(NOT($A131),"",
IF(AP131=-2,regle!$J$11,
IF(AP131=regle!$B$12,regle!$B$11,
IF(AP131=regle!$C$12,regle!$C$11,
IF(AP131=regle!$D$12,regle!$D$11,
IF(AP131=regle!$E$12,regle!$E$11,
IF(AP131=regle!$F$12,regle!$F$11,
IF(AP131=regle!$G$12,regle!$G$11,
IF(AP131=regle!$H$12,regle!$H$11,
IF(AP131=regle!$I$12,regle!$I$11,""))))))))))</f>
        <v/>
      </c>
      <c r="W131" t="str">
        <f>IF(NOT($A131),"",
IF(AQ131=-2,regle!$J$11,
IF(AQ131=regle!$B$12,regle!$B$11,
IF(AQ131=regle!$C$12,regle!$C$11,
IF(AQ131=regle!$D$12,regle!$D$11,
IF(AQ131=regle!$E$12,regle!$E$11,
IF(AQ131=regle!$F$12,regle!$F$11,
IF(AQ131=regle!$G$12,regle!$G$11,
IF(AQ131=regle!$H$12,regle!$H$11,
IF(AQ131=regle!$I$12,regle!$I$11,""))))))))))</f>
        <v/>
      </c>
      <c r="X131" t="str">
        <f>IF(NOT($A131),"",
IF(AR131=-2,regle!$J$11,
IF(AR131=regle!$B$12,regle!$B$11,
IF(AR131=regle!$C$12,regle!$C$11,
IF(AR131=regle!$D$12,regle!$D$11,
IF(AR131=regle!$E$12,regle!$E$11,
IF(AR131=regle!$F$12,regle!$F$11,
IF(AR131=regle!$G$12,regle!$G$11,
IF(AR131=regle!$H$12,regle!$H$11,
IF(AR131=regle!$I$12,regle!$I$11,""))))))))))</f>
        <v/>
      </c>
      <c r="Y131" t="str">
        <f>IF(NOT($A131),"",
IF(AS131=-2,regle!$J$11,
IF(AS131=regle!$B$12,regle!$B$11,
IF(AS131=regle!$C$12,regle!$C$11,
IF(AS131=regle!$D$12,regle!$D$11,
IF(AS131=regle!$E$12,regle!$E$11,
IF(AS131=regle!$F$12,regle!$F$11,
IF(AS131=regle!$G$12,regle!$G$11,
IF(AS131=regle!$H$12,regle!$H$11,
IF(AS131=regle!$I$12,regle!$I$11,""))))))))))</f>
        <v>EC1</v>
      </c>
      <c r="Z131" t="str">
        <f>IF(NOT($A131),"",
IF(AT131=-2,regle!$J$11,
IF(AT131=regle!$B$12,regle!$B$11,
IF(AT131=regle!$C$12,regle!$C$11,
IF(AT131=regle!$D$12,regle!$D$11,
IF(AT131=regle!$E$12,regle!$E$11,
IF(AT131=regle!$F$12,regle!$F$11,
IF(AT131=regle!$G$12,regle!$G$11,
IF(AT131=regle!$H$12,regle!$H$11,
IF(AT131=regle!$I$12,regle!$I$11,""))))))))))</f>
        <v/>
      </c>
      <c r="AA131" t="str">
        <f>IF(NOT($A131),"",
IF(AU131=-2,regle!$J$11,
IF(AU131=regle!$B$12,regle!$B$11,
IF(AU131=regle!$C$12,regle!$C$11,
IF(AU131=regle!$D$12,regle!$D$11,
IF(AU131=regle!$E$12,regle!$E$11,
IF(AU131=regle!$F$12,regle!$F$11,
IF(AU131=regle!$G$12,regle!$G$11,
IF(AU131=regle!$H$12,regle!$H$11,
IF(AU131=regle!$I$12,regle!$I$11,""))))))))))</f>
        <v/>
      </c>
      <c r="AB131" t="str">
        <f>IF(NOT($A131),"",
IF(AV131=-2,regle!$J$11,
IF(AV131=regle!$B$12,regle!$B$11,
IF(AV131=regle!$C$12,regle!$C$11,
IF(AV131=regle!$D$12,regle!$D$11,
IF(AV131=regle!$E$12,regle!$E$11,
IF(AV131=regle!$F$12,regle!$F$11,
IF(AV131=regle!$G$12,regle!$G$11,
IF(AV131=regle!$H$12,regle!$H$11,
IF(AV131=regle!$I$12,regle!$I$11,""))))))))))</f>
        <v/>
      </c>
      <c r="AC131" t="str">
        <f>IF(NOT($A131),"",
IF(AW131=-2,regle!$J$11,
IF(AW131=regle!$B$12,regle!$B$11,
IF(AW131=regle!$C$12,regle!$C$11,
IF(AW131=regle!$D$12,regle!$D$11,
IF(AW131=regle!$E$12,regle!$E$11,
IF(AW131=regle!$F$12,regle!$F$11,
IF(AW131=regle!$G$12,regle!$G$11,
IF(AW131=regle!$H$12,regle!$H$11,
IF(AW131=regle!$I$12,regle!$I$11,""))))))))))</f>
        <v/>
      </c>
      <c r="AD131" t="str">
        <f>IF(NOT($A131),"",
IF(AX131=-2,regle!$J$11,
IF(AX131=regle!$B$12,regle!$B$11,
IF(AX131=regle!$C$12,regle!$C$11,
IF(AX131=regle!$D$12,regle!$D$11,
IF(AX131=regle!$E$12,regle!$E$11,
IF(AX131=regle!$F$12,regle!$F$11,
IF(AX131=regle!$G$12,regle!$G$11,
IF(AX131=regle!$H$12,regle!$H$11,
IF(AX131=regle!$I$12,regle!$I$11,""))))))))))</f>
        <v>EC2</v>
      </c>
      <c r="AE131" s="14">
        <f>IF($A131,$M131*(IF(U131=regle!$B$11,regle!$B$23,IF(U131=regle!$C$11,regle!$C$23,IF(U131=regle!$D$11,regle!$D$23,IF(U131=regle!$E$11,regle!$E$23,IF(U131=regle!$F$11,regle!$F$23,IF(U131=regle!$G$11,regle!$G$23,IF(U131=regle!$H$11,regle!$H$23,IF(U131=regle!$I$11,regle!$I$23,IF(U131=regle!$J$11,regle!$J$23,0)))))))))))</f>
        <v>0</v>
      </c>
      <c r="AF131" s="14">
        <f>IF($A131,$M131*(IF(V131=regle!$B$11,regle!$B$23,IF(V131=regle!$C$11,regle!$C$23,IF(V131=regle!$D$11,regle!$D$23,IF(V131=regle!$E$11,regle!$E$23,IF(V131=regle!$F$11,regle!$F$23,IF(V131=regle!$G$11,regle!$G$23,IF(V131=regle!$H$11,regle!$H$23,IF(V131=regle!$I$11,regle!$I$23,IF(V131=regle!$J$11,regle!$J$23,0)))))))))))</f>
        <v>0</v>
      </c>
      <c r="AG131" s="14">
        <f>IF($A131,$M131*(IF(W131=regle!$B$11,regle!$B$23,IF(W131=regle!$C$11,regle!$C$23,IF(W131=regle!$D$11,regle!$D$23,IF(W131=regle!$E$11,regle!$E$23,IF(W131=regle!$F$11,regle!$F$23,IF(W131=regle!$G$11,regle!$G$23,IF(W131=regle!$H$11,regle!$H$23,IF(W131=regle!$I$11,regle!$I$23,IF(W131=regle!$J$11,regle!$J$23,0)))))))))))</f>
        <v>0</v>
      </c>
      <c r="AH131" s="14">
        <f>IF($A131,$M131*(IF(X131=regle!$B$11,regle!$B$23,IF(X131=regle!$C$11,regle!$C$23,IF(X131=regle!$D$11,regle!$D$23,IF(X131=regle!$E$11,regle!$E$23,IF(X131=regle!$F$11,regle!$F$23,IF(X131=regle!$G$11,regle!$G$23,IF(X131=regle!$H$11,regle!$H$23,IF(X131=regle!$I$11,regle!$I$23,IF(X131=regle!$J$11,regle!$J$23,0)))))))))))</f>
        <v>0</v>
      </c>
      <c r="AI131" s="14">
        <f>IF($A131,$M131*(IF(Y131=regle!$B$11,regle!$B$23,IF(Y131=regle!$C$11,regle!$C$23,IF(Y131=regle!$D$11,regle!$D$23,IF(Y131=regle!$E$11,regle!$E$23,IF(Y131=regle!$F$11,regle!$F$23,IF(Y131=regle!$G$11,regle!$G$23,IF(Y131=regle!$H$11,regle!$H$23,IF(Y131=regle!$I$11,regle!$I$23,IF(Y131=regle!$J$11,regle!$J$23,0)))))))))))</f>
        <v>63.072000000000003</v>
      </c>
      <c r="AJ131" s="14">
        <f>IF($A131,$M131*(IF(Z131=regle!$B$11,regle!$B$23,IF(Z131=regle!$C$11,regle!$C$23,IF(Z131=regle!$D$11,regle!$D$23,IF(Z131=regle!$E$11,regle!$E$23,IF(Z131=regle!$F$11,regle!$F$23,IF(Z131=regle!$G$11,regle!$G$23,IF(Z131=regle!$H$11,regle!$H$23,IF(Z131=regle!$I$11,regle!$I$23,IF(Z131=regle!$J$11,regle!$J$23,0)))))))))))</f>
        <v>0</v>
      </c>
      <c r="AK131" s="14">
        <f>IF($A131,$M131*(IF(AA131=regle!$B$11,regle!$B$23,IF(AA131=regle!$C$11,regle!$C$23,IF(AA131=regle!$D$11,regle!$D$23,IF(AA131=regle!$E$11,regle!$E$23,IF(AA131=regle!$F$11,regle!$F$23,IF(AA131=regle!$G$11,regle!$G$23,IF(AA131=regle!$H$11,regle!$H$23,IF(AA131=regle!$I$11,regle!$I$23,IF(AA131=regle!$J$11,regle!$J$23,0)))))))))))</f>
        <v>0</v>
      </c>
      <c r="AL131" s="14">
        <f>IF($A131,$M131*(IF(AB131=regle!$B$11,regle!$B$23,IF(AB131=regle!$C$11,regle!$C$23,IF(AB131=regle!$D$11,regle!$D$23,IF(AB131=regle!$E$11,regle!$E$23,IF(AB131=regle!$F$11,regle!$F$23,IF(AB131=regle!$G$11,regle!$G$23,IF(AB131=regle!$H$11,regle!$H$23,IF(AB131=regle!$I$11,regle!$I$23,IF(AB131=regle!$J$11,regle!$J$23,0)))))))))))</f>
        <v>0</v>
      </c>
      <c r="AM131" s="14">
        <f>IF($A131,$M131*(IF(AC131=regle!$B$11,regle!$B$23,IF(AC131=regle!$C$11,regle!$C$23,IF(AC131=regle!$D$11,regle!$D$23,IF(AC131=regle!$E$11,regle!$E$23,IF(AC131=regle!$F$11,regle!$F$23,IF(AC131=regle!$G$11,regle!$G$23,IF(AC131=regle!$H$11,regle!$H$23,IF(AC131=regle!$I$11,regle!$I$23,IF(AC131=regle!$J$11,regle!$J$23,0)))))))))))</f>
        <v>0</v>
      </c>
      <c r="AN131" s="14">
        <f>IF($A131,$M131*(IF(AD131=regle!$B$11,regle!$B$23,IF(AD131=regle!$C$11,regle!$C$23,IF(AD131=regle!$D$11,regle!$D$23,IF(AD131=regle!$E$11,regle!$E$23,IF(AD131=regle!$F$11,regle!$F$23,IF(AD131=regle!$G$11,regle!$G$23,IF(AD131=regle!$H$11,regle!$H$23,IF(AD131=regle!$I$11,regle!$I$23,IF(AD131=regle!$J$11,regle!$J$23,0)))))))))))</f>
        <v>91.98</v>
      </c>
      <c r="AO131">
        <f>IF(AO$1=$AO$1,IF(regle!B$2-$Q131&gt;=regle!$J$12,-2,IF($S131,IF(regle!$B$2-$Q131&gt;=2,0,-1),regle!B$2-$Q131)),IF(AN131+1&gt;=regle!$J$12,-2,AN131+1))</f>
        <v>9</v>
      </c>
      <c r="AP131">
        <f>IF(AP$1=$AO$1,IF(regle!C$2-$Q131&gt;=regle!$J$12,-2,IF($S131,IF(regle!$B$2-$Q131&gt;=2,0,-1),regle!C$2-$Q131)),IF(AO131+1&gt;=regle!$J$12,-2,AO131+1))</f>
        <v>10</v>
      </c>
      <c r="AQ131">
        <f>IF(AQ$1=$AO$1,IF(regle!D$2-$Q131&gt;=regle!$J$12,-2,IF($S131,IF(regle!$B$2-$Q131&gt;=2,0,-1),regle!D$2-$Q131)),IF(AP131+1&gt;=regle!$J$12,-2,AP131+1))</f>
        <v>11</v>
      </c>
      <c r="AR131">
        <f>IF(AR$1=$AO$1,IF(regle!E$2-$Q131&gt;=regle!$J$12,-2,IF($S131,IF(regle!$B$2-$Q131&gt;=2,0,-1),regle!E$2-$Q131)),IF(AQ131+1&gt;=regle!$J$12,-2,AQ131+1))</f>
        <v>12</v>
      </c>
      <c r="AS131">
        <f>IF(AS$1=$AO$1,IF(regle!F$2-$Q131&gt;=regle!$J$12,-2,IF($S131,IF(regle!$B$2-$Q131&gt;=2,0,-1),regle!F$2-$Q131)),IF(AR131+1&gt;=regle!$J$12,-2,AR131+1))</f>
        <v>13</v>
      </c>
      <c r="AT131">
        <f>IF(AT$1=$AO$1,IF(regle!G$2-$Q131&gt;=regle!$J$12,-2,IF($S131,IF(regle!$B$2-$Q131&gt;=2,0,-1),regle!G$2-$Q131)),IF(AS131+1&gt;=regle!$J$12,-2,AS131+1))</f>
        <v>14</v>
      </c>
      <c r="AU131">
        <f>IF(AU$1=$AO$1,IF(regle!H$2-$Q131&gt;=regle!$J$12,-2,IF($S131,IF(regle!$B$2-$Q131&gt;=2,0,-1),regle!H$2-$Q131)),IF(AT131+1&gt;=regle!$J$12,-2,AT131+1))</f>
        <v>15</v>
      </c>
      <c r="AV131">
        <f>IF(AV$1=$AO$1,IF(regle!I$2-$Q131&gt;=regle!$J$12,-2,IF($S131,IF(regle!$B$2-$Q131&gt;=2,0,-1),regle!I$2-$Q131)),IF(AU131+1&gt;=regle!$J$12,-2,AU131+1))</f>
        <v>16</v>
      </c>
      <c r="AW131">
        <f>IF(AW$1=$AO$1,IF(regle!J$2-$Q131&gt;=regle!$J$12,-2,IF($S131,IF(regle!$B$2-$Q131&gt;=2,0,-1),regle!J$2-$Q131)),IF(AV131+1&gt;=regle!$J$12,-2,AV131+1))</f>
        <v>17</v>
      </c>
      <c r="AX131">
        <f>IF(AX$1=$AO$1,IF(regle!K$2-$Q131&gt;=regle!$J$12,-2,IF($S131,IF(regle!$B$2-$Q131&gt;=2,0,-1),regle!K$2-$Q131)),IF(AW131+1&gt;=regle!$J$12,-2,AW131+1))</f>
        <v>18</v>
      </c>
    </row>
    <row r="132" spans="1:50" x14ac:dyDescent="0.25">
      <c r="A132" t="b">
        <f>AND(modif0[[#This Row],[cdstr]]&lt;&gt;0,OR(regle!$H$27=FALSE,modif0[[#This Row],[essnc]]="PM"))</f>
        <v>1</v>
      </c>
      <c r="B132">
        <f>ROW(objet!A158)</f>
        <v>158</v>
      </c>
      <c r="C132" s="10" t="str">
        <f>objet!D158</f>
        <v>2020000B1157</v>
      </c>
      <c r="D132" t="str">
        <f>LEFT(modif0[[#This Row],[cdstr]],3)</f>
        <v>202</v>
      </c>
      <c r="E132" s="10" t="str">
        <f>objet!G158</f>
        <v>HOSTENS</v>
      </c>
      <c r="F132">
        <f>LEN(modif0[[#This Row],[l_dt]])</f>
        <v>11</v>
      </c>
      <c r="G132" s="10" t="str">
        <f>objet!H158</f>
        <v>LES CAZALAS</v>
      </c>
      <c r="H132" s="10" t="str">
        <f>objet!C158</f>
        <v>B1157</v>
      </c>
      <c r="I132" t="str">
        <f>IF(ISNUMBER(VALUE(RIGHT(LEFT(modif0[[#This Row],[idntfn]],2),1))),_xlfn.CONCAT(0,LEFT(modif0[[#This Row],[idntfn]],1)),LEFT(modif0[[#This Row],[idntfn]],2))</f>
        <v>0B</v>
      </c>
      <c r="J132">
        <f>VALUE(LEFT(RIGHT(modif0[[#This Row],[idntfn]],LEN(modif0[[#This Row],[idntfn]])-IF(LEFT(modif0[[#This Row],[sctn]],1)="0",1,2)),LEN(modif0[[#This Row],[idntfn]])-IF(LEFT(modif0[[#This Row],[sctn]],1)="0",1,2)-LEN(modif0[[#This Row],[lttr]])))</f>
        <v>1157</v>
      </c>
      <c r="K132" t="str">
        <f>IF(ISNUMBER(VALUE(RIGHT(modif0[[#This Row],[idntfn]],1))),"",IF(ISNUMBER(VALUE(LEFT(RIGHT(modif0[[#This Row],[idntfn]],2),1))),RIGHT(modif0[[#This Row],[idntfn]],1),RIGHT(modif0[[#This Row],[idntfn]],2)))</f>
        <v/>
      </c>
      <c r="L132" s="10">
        <f>objet!I158</f>
        <v>1800</v>
      </c>
      <c r="M132" s="11">
        <f>modif0[[#This Row],[srfc]]/10000</f>
        <v>0.18</v>
      </c>
      <c r="N132" s="10" t="str">
        <f>objet!Z158</f>
        <v>PM</v>
      </c>
      <c r="O132" s="10" t="str">
        <f>objet!AA158</f>
        <v>PLA2015</v>
      </c>
      <c r="P132" t="str">
        <f>IF(ISNUMBER(modif0[[#This Row],[trvx]]),"",LEFT(modif0[[#This Row],[trvx]],LEN(modif0[[#This Row],[trvx]])-4))</f>
        <v>PLA</v>
      </c>
      <c r="Q132">
        <f>VALUE(RIGHT(modif0[[#This Row],[trvx]],4))</f>
        <v>2015</v>
      </c>
      <c r="R132" t="str">
        <f>_xlfn.CONCAT(modif0[[#This Row],[tp]],"-",modif0[[#This Row],[essnc]],"_",modif0[[#This Row],[anns]])</f>
        <v>PLA-PM_2015</v>
      </c>
      <c r="S132" t="b">
        <f>modif0[[#This Row],[tp]]="CR"</f>
        <v>0</v>
      </c>
      <c r="T132">
        <v>40</v>
      </c>
      <c r="U132" t="str">
        <f>IF(NOT($A132),"",
IF(AO132=-2,regle!$J$11,
IF(AO132=regle!$B$12,regle!$B$11,
IF(AO132=regle!$C$12,regle!$C$11,
IF(AO132=regle!$D$12,regle!$D$11,
IF(AO132=regle!$E$12,regle!$E$11,
IF(AO132=regle!$F$12,regle!$F$11,
IF(AO132=regle!$G$12,regle!$G$11,
IF(AO132=regle!$H$12,regle!$H$11,
IF(AO132=regle!$I$12,regle!$I$11,""))))))))))</f>
        <v/>
      </c>
      <c r="V132" t="str">
        <f>IF(NOT($A132),"",
IF(AP132=-2,regle!$J$11,
IF(AP132=regle!$B$12,regle!$B$11,
IF(AP132=regle!$C$12,regle!$C$11,
IF(AP132=regle!$D$12,regle!$D$11,
IF(AP132=regle!$E$12,regle!$E$11,
IF(AP132=regle!$F$12,regle!$F$11,
IF(AP132=regle!$G$12,regle!$G$11,
IF(AP132=regle!$H$12,regle!$H$11,
IF(AP132=regle!$I$12,regle!$I$11,""))))))))))</f>
        <v/>
      </c>
      <c r="W132" t="str">
        <f>IF(NOT($A132),"",
IF(AQ132=-2,regle!$J$11,
IF(AQ132=regle!$B$12,regle!$B$11,
IF(AQ132=regle!$C$12,regle!$C$11,
IF(AQ132=regle!$D$12,regle!$D$11,
IF(AQ132=regle!$E$12,regle!$E$11,
IF(AQ132=regle!$F$12,regle!$F$11,
IF(AQ132=regle!$G$12,regle!$G$11,
IF(AQ132=regle!$H$12,regle!$H$11,
IF(AQ132=regle!$I$12,regle!$I$11,""))))))))))</f>
        <v/>
      </c>
      <c r="X132" t="str">
        <f>IF(NOT($A132),"",
IF(AR132=-2,regle!$J$11,
IF(AR132=regle!$B$12,regle!$B$11,
IF(AR132=regle!$C$12,regle!$C$11,
IF(AR132=regle!$D$12,regle!$D$11,
IF(AR132=regle!$E$12,regle!$E$11,
IF(AR132=regle!$F$12,regle!$F$11,
IF(AR132=regle!$G$12,regle!$G$11,
IF(AR132=regle!$H$12,regle!$H$11,
IF(AR132=regle!$I$12,regle!$I$11,""))))))))))</f>
        <v/>
      </c>
      <c r="Y132" t="str">
        <f>IF(NOT($A132),"",
IF(AS132=-2,regle!$J$11,
IF(AS132=regle!$B$12,regle!$B$11,
IF(AS132=regle!$C$12,regle!$C$11,
IF(AS132=regle!$D$12,regle!$D$11,
IF(AS132=regle!$E$12,regle!$E$11,
IF(AS132=regle!$F$12,regle!$F$11,
IF(AS132=regle!$G$12,regle!$G$11,
IF(AS132=regle!$H$12,regle!$H$11,
IF(AS132=regle!$I$12,regle!$I$11,""))))))))))</f>
        <v>EC1</v>
      </c>
      <c r="Z132" t="str">
        <f>IF(NOT($A132),"",
IF(AT132=-2,regle!$J$11,
IF(AT132=regle!$B$12,regle!$B$11,
IF(AT132=regle!$C$12,regle!$C$11,
IF(AT132=regle!$D$12,regle!$D$11,
IF(AT132=regle!$E$12,regle!$E$11,
IF(AT132=regle!$F$12,regle!$F$11,
IF(AT132=regle!$G$12,regle!$G$11,
IF(AT132=regle!$H$12,regle!$H$11,
IF(AT132=regle!$I$12,regle!$I$11,""))))))))))</f>
        <v/>
      </c>
      <c r="AA132" t="str">
        <f>IF(NOT($A132),"",
IF(AU132=-2,regle!$J$11,
IF(AU132=regle!$B$12,regle!$B$11,
IF(AU132=regle!$C$12,regle!$C$11,
IF(AU132=regle!$D$12,regle!$D$11,
IF(AU132=regle!$E$12,regle!$E$11,
IF(AU132=regle!$F$12,regle!$F$11,
IF(AU132=regle!$G$12,regle!$G$11,
IF(AU132=regle!$H$12,regle!$H$11,
IF(AU132=regle!$I$12,regle!$I$11,""))))))))))</f>
        <v/>
      </c>
      <c r="AB132" t="str">
        <f>IF(NOT($A132),"",
IF(AV132=-2,regle!$J$11,
IF(AV132=regle!$B$12,regle!$B$11,
IF(AV132=regle!$C$12,regle!$C$11,
IF(AV132=regle!$D$12,regle!$D$11,
IF(AV132=regle!$E$12,regle!$E$11,
IF(AV132=regle!$F$12,regle!$F$11,
IF(AV132=regle!$G$12,regle!$G$11,
IF(AV132=regle!$H$12,regle!$H$11,
IF(AV132=regle!$I$12,regle!$I$11,""))))))))))</f>
        <v/>
      </c>
      <c r="AC132" t="str">
        <f>IF(NOT($A132),"",
IF(AW132=-2,regle!$J$11,
IF(AW132=regle!$B$12,regle!$B$11,
IF(AW132=regle!$C$12,regle!$C$11,
IF(AW132=regle!$D$12,regle!$D$11,
IF(AW132=regle!$E$12,regle!$E$11,
IF(AW132=regle!$F$12,regle!$F$11,
IF(AW132=regle!$G$12,regle!$G$11,
IF(AW132=regle!$H$12,regle!$H$11,
IF(AW132=regle!$I$12,regle!$I$11,""))))))))))</f>
        <v/>
      </c>
      <c r="AD132" t="str">
        <f>IF(NOT($A132),"",
IF(AX132=-2,regle!$J$11,
IF(AX132=regle!$B$12,regle!$B$11,
IF(AX132=regle!$C$12,regle!$C$11,
IF(AX132=regle!$D$12,regle!$D$11,
IF(AX132=regle!$E$12,regle!$E$11,
IF(AX132=regle!$F$12,regle!$F$11,
IF(AX132=regle!$G$12,regle!$G$11,
IF(AX132=regle!$H$12,regle!$H$11,
IF(AX132=regle!$I$12,regle!$I$11,""))))))))))</f>
        <v>EC2</v>
      </c>
      <c r="AE132" s="14">
        <f>IF($A132,$M132*(IF(U132=regle!$B$11,regle!$B$23,IF(U132=regle!$C$11,regle!$C$23,IF(U132=regle!$D$11,regle!$D$23,IF(U132=regle!$E$11,regle!$E$23,IF(U132=regle!$F$11,regle!$F$23,IF(U132=regle!$G$11,regle!$G$23,IF(U132=regle!$H$11,regle!$H$23,IF(U132=regle!$I$11,regle!$I$23,IF(U132=regle!$J$11,regle!$J$23,0)))))))))))</f>
        <v>0</v>
      </c>
      <c r="AF132" s="14">
        <f>IF($A132,$M132*(IF(V132=regle!$B$11,regle!$B$23,IF(V132=regle!$C$11,regle!$C$23,IF(V132=regle!$D$11,regle!$D$23,IF(V132=regle!$E$11,regle!$E$23,IF(V132=regle!$F$11,regle!$F$23,IF(V132=regle!$G$11,regle!$G$23,IF(V132=regle!$H$11,regle!$H$23,IF(V132=regle!$I$11,regle!$I$23,IF(V132=regle!$J$11,regle!$J$23,0)))))))))))</f>
        <v>0</v>
      </c>
      <c r="AG132" s="14">
        <f>IF($A132,$M132*(IF(W132=regle!$B$11,regle!$B$23,IF(W132=regle!$C$11,regle!$C$23,IF(W132=regle!$D$11,regle!$D$23,IF(W132=regle!$E$11,regle!$E$23,IF(W132=regle!$F$11,regle!$F$23,IF(W132=regle!$G$11,regle!$G$23,IF(W132=regle!$H$11,regle!$H$23,IF(W132=regle!$I$11,regle!$I$23,IF(W132=regle!$J$11,regle!$J$23,0)))))))))))</f>
        <v>0</v>
      </c>
      <c r="AH132" s="14">
        <f>IF($A132,$M132*(IF(X132=regle!$B$11,regle!$B$23,IF(X132=regle!$C$11,regle!$C$23,IF(X132=regle!$D$11,regle!$D$23,IF(X132=regle!$E$11,regle!$E$23,IF(X132=regle!$F$11,regle!$F$23,IF(X132=regle!$G$11,regle!$G$23,IF(X132=regle!$H$11,regle!$H$23,IF(X132=regle!$I$11,regle!$I$23,IF(X132=regle!$J$11,regle!$J$23,0)))))))))))</f>
        <v>0</v>
      </c>
      <c r="AI132" s="14">
        <f>IF($A132,$M132*(IF(Y132=regle!$B$11,regle!$B$23,IF(Y132=regle!$C$11,regle!$C$23,IF(Y132=regle!$D$11,regle!$D$23,IF(Y132=regle!$E$11,regle!$E$23,IF(Y132=regle!$F$11,regle!$F$23,IF(Y132=regle!$G$11,regle!$G$23,IF(Y132=regle!$H$11,regle!$H$23,IF(Y132=regle!$I$11,regle!$I$23,IF(Y132=regle!$J$11,regle!$J$23,0)))))))))))</f>
        <v>103.67999999999999</v>
      </c>
      <c r="AJ132" s="14">
        <f>IF($A132,$M132*(IF(Z132=regle!$B$11,regle!$B$23,IF(Z132=regle!$C$11,regle!$C$23,IF(Z132=regle!$D$11,regle!$D$23,IF(Z132=regle!$E$11,regle!$E$23,IF(Z132=regle!$F$11,regle!$F$23,IF(Z132=regle!$G$11,regle!$G$23,IF(Z132=regle!$H$11,regle!$H$23,IF(Z132=regle!$I$11,regle!$I$23,IF(Z132=regle!$J$11,regle!$J$23,0)))))))))))</f>
        <v>0</v>
      </c>
      <c r="AK132" s="14">
        <f>IF($A132,$M132*(IF(AA132=regle!$B$11,regle!$B$23,IF(AA132=regle!$C$11,regle!$C$23,IF(AA132=regle!$D$11,regle!$D$23,IF(AA132=regle!$E$11,regle!$E$23,IF(AA132=regle!$F$11,regle!$F$23,IF(AA132=regle!$G$11,regle!$G$23,IF(AA132=regle!$H$11,regle!$H$23,IF(AA132=regle!$I$11,regle!$I$23,IF(AA132=regle!$J$11,regle!$J$23,0)))))))))))</f>
        <v>0</v>
      </c>
      <c r="AL132" s="14">
        <f>IF($A132,$M132*(IF(AB132=regle!$B$11,regle!$B$23,IF(AB132=regle!$C$11,regle!$C$23,IF(AB132=regle!$D$11,regle!$D$23,IF(AB132=regle!$E$11,regle!$E$23,IF(AB132=regle!$F$11,regle!$F$23,IF(AB132=regle!$G$11,regle!$G$23,IF(AB132=regle!$H$11,regle!$H$23,IF(AB132=regle!$I$11,regle!$I$23,IF(AB132=regle!$J$11,regle!$J$23,0)))))))))))</f>
        <v>0</v>
      </c>
      <c r="AM132" s="14">
        <f>IF($A132,$M132*(IF(AC132=regle!$B$11,regle!$B$23,IF(AC132=regle!$C$11,regle!$C$23,IF(AC132=regle!$D$11,regle!$D$23,IF(AC132=regle!$E$11,regle!$E$23,IF(AC132=regle!$F$11,regle!$F$23,IF(AC132=regle!$G$11,regle!$G$23,IF(AC132=regle!$H$11,regle!$H$23,IF(AC132=regle!$I$11,regle!$I$23,IF(AC132=regle!$J$11,regle!$J$23,0)))))))))))</f>
        <v>0</v>
      </c>
      <c r="AN132" s="14">
        <f>IF($A132,$M132*(IF(AD132=regle!$B$11,regle!$B$23,IF(AD132=regle!$C$11,regle!$C$23,IF(AD132=regle!$D$11,regle!$D$23,IF(AD132=regle!$E$11,regle!$E$23,IF(AD132=regle!$F$11,regle!$F$23,IF(AD132=regle!$G$11,regle!$G$23,IF(AD132=regle!$H$11,regle!$H$23,IF(AD132=regle!$I$11,regle!$I$23,IF(AD132=regle!$J$11,regle!$J$23,0)))))))))))</f>
        <v>151.19999999999999</v>
      </c>
      <c r="AO132">
        <f>IF(AO$1=$AO$1,IF(regle!B$2-$Q132&gt;=regle!$J$12,-2,IF($S132,IF(regle!$B$2-$Q132&gt;=2,0,-1),regle!B$2-$Q132)),IF(AN132+1&gt;=regle!$J$12,-2,AN132+1))</f>
        <v>9</v>
      </c>
      <c r="AP132">
        <f>IF(AP$1=$AO$1,IF(regle!C$2-$Q132&gt;=regle!$J$12,-2,IF($S132,IF(regle!$B$2-$Q132&gt;=2,0,-1),regle!C$2-$Q132)),IF(AO132+1&gt;=regle!$J$12,-2,AO132+1))</f>
        <v>10</v>
      </c>
      <c r="AQ132">
        <f>IF(AQ$1=$AO$1,IF(regle!D$2-$Q132&gt;=regle!$J$12,-2,IF($S132,IF(regle!$B$2-$Q132&gt;=2,0,-1),regle!D$2-$Q132)),IF(AP132+1&gt;=regle!$J$12,-2,AP132+1))</f>
        <v>11</v>
      </c>
      <c r="AR132">
        <f>IF(AR$1=$AO$1,IF(regle!E$2-$Q132&gt;=regle!$J$12,-2,IF($S132,IF(regle!$B$2-$Q132&gt;=2,0,-1),regle!E$2-$Q132)),IF(AQ132+1&gt;=regle!$J$12,-2,AQ132+1))</f>
        <v>12</v>
      </c>
      <c r="AS132">
        <f>IF(AS$1=$AO$1,IF(regle!F$2-$Q132&gt;=regle!$J$12,-2,IF($S132,IF(regle!$B$2-$Q132&gt;=2,0,-1),regle!F$2-$Q132)),IF(AR132+1&gt;=regle!$J$12,-2,AR132+1))</f>
        <v>13</v>
      </c>
      <c r="AT132">
        <f>IF(AT$1=$AO$1,IF(regle!G$2-$Q132&gt;=regle!$J$12,-2,IF($S132,IF(regle!$B$2-$Q132&gt;=2,0,-1),regle!G$2-$Q132)),IF(AS132+1&gt;=regle!$J$12,-2,AS132+1))</f>
        <v>14</v>
      </c>
      <c r="AU132">
        <f>IF(AU$1=$AO$1,IF(regle!H$2-$Q132&gt;=regle!$J$12,-2,IF($S132,IF(regle!$B$2-$Q132&gt;=2,0,-1),regle!H$2-$Q132)),IF(AT132+1&gt;=regle!$J$12,-2,AT132+1))</f>
        <v>15</v>
      </c>
      <c r="AV132">
        <f>IF(AV$1=$AO$1,IF(regle!I$2-$Q132&gt;=regle!$J$12,-2,IF($S132,IF(regle!$B$2-$Q132&gt;=2,0,-1),regle!I$2-$Q132)),IF(AU132+1&gt;=regle!$J$12,-2,AU132+1))</f>
        <v>16</v>
      </c>
      <c r="AW132">
        <f>IF(AW$1=$AO$1,IF(regle!J$2-$Q132&gt;=regle!$J$12,-2,IF($S132,IF(regle!$B$2-$Q132&gt;=2,0,-1),regle!J$2-$Q132)),IF(AV132+1&gt;=regle!$J$12,-2,AV132+1))</f>
        <v>17</v>
      </c>
      <c r="AX132">
        <f>IF(AX$1=$AO$1,IF(regle!K$2-$Q132&gt;=regle!$J$12,-2,IF($S132,IF(regle!$B$2-$Q132&gt;=2,0,-1),regle!K$2-$Q132)),IF(AW132+1&gt;=regle!$J$12,-2,AW132+1))</f>
        <v>18</v>
      </c>
    </row>
    <row r="133" spans="1:50" x14ac:dyDescent="0.25">
      <c r="A133" t="b">
        <f>AND(modif0[[#This Row],[cdstr]]&lt;&gt;0,OR(regle!$H$27=FALSE,modif0[[#This Row],[essnc]]="PM"))</f>
        <v>1</v>
      </c>
      <c r="B133">
        <f>ROW(objet!A159)</f>
        <v>159</v>
      </c>
      <c r="C133" s="10" t="str">
        <f>objet!D159</f>
        <v>2020000B1158</v>
      </c>
      <c r="D133" t="str">
        <f>LEFT(modif0[[#This Row],[cdstr]],3)</f>
        <v>202</v>
      </c>
      <c r="E133" s="10" t="str">
        <f>objet!G159</f>
        <v>HOSTENS</v>
      </c>
      <c r="F133">
        <f>LEN(modif0[[#This Row],[l_dt]])</f>
        <v>11</v>
      </c>
      <c r="G133" s="10" t="str">
        <f>objet!H159</f>
        <v>LES CAZALAS</v>
      </c>
      <c r="H133" s="10" t="str">
        <f>objet!C159</f>
        <v>B1158j</v>
      </c>
      <c r="I133" t="str">
        <f>IF(ISNUMBER(VALUE(RIGHT(LEFT(modif0[[#This Row],[idntfn]],2),1))),_xlfn.CONCAT(0,LEFT(modif0[[#This Row],[idntfn]],1)),LEFT(modif0[[#This Row],[idntfn]],2))</f>
        <v>0B</v>
      </c>
      <c r="J133">
        <f>VALUE(LEFT(RIGHT(modif0[[#This Row],[idntfn]],LEN(modif0[[#This Row],[idntfn]])-IF(LEFT(modif0[[#This Row],[sctn]],1)="0",1,2)),LEN(modif0[[#This Row],[idntfn]])-IF(LEFT(modif0[[#This Row],[sctn]],1)="0",1,2)-LEN(modif0[[#This Row],[lttr]])))</f>
        <v>1158</v>
      </c>
      <c r="K133" t="str">
        <f>IF(ISNUMBER(VALUE(RIGHT(modif0[[#This Row],[idntfn]],1))),"",IF(ISNUMBER(VALUE(LEFT(RIGHT(modif0[[#This Row],[idntfn]],2),1))),RIGHT(modif0[[#This Row],[idntfn]],1),RIGHT(modif0[[#This Row],[idntfn]],2)))</f>
        <v>j</v>
      </c>
      <c r="L133" s="10">
        <f>objet!I159</f>
        <v>1246</v>
      </c>
      <c r="M133" s="11">
        <f>modif0[[#This Row],[srfc]]/10000</f>
        <v>0.1246</v>
      </c>
      <c r="N133" s="10" t="str">
        <f>objet!Z159</f>
        <v>PM</v>
      </c>
      <c r="O133" s="10" t="str">
        <f>objet!AA159</f>
        <v>PLA2015</v>
      </c>
      <c r="P133" t="str">
        <f>IF(ISNUMBER(modif0[[#This Row],[trvx]]),"",LEFT(modif0[[#This Row],[trvx]],LEN(modif0[[#This Row],[trvx]])-4))</f>
        <v>PLA</v>
      </c>
      <c r="Q133">
        <f>VALUE(RIGHT(modif0[[#This Row],[trvx]],4))</f>
        <v>2015</v>
      </c>
      <c r="R133" t="str">
        <f>_xlfn.CONCAT(modif0[[#This Row],[tp]],"-",modif0[[#This Row],[essnc]],"_",modif0[[#This Row],[anns]])</f>
        <v>PLA-PM_2015</v>
      </c>
      <c r="S133" t="b">
        <f>modif0[[#This Row],[tp]]="CR"</f>
        <v>0</v>
      </c>
      <c r="T133">
        <v>40</v>
      </c>
      <c r="U133" t="str">
        <f>IF(NOT($A133),"",
IF(AO133=-2,regle!$J$11,
IF(AO133=regle!$B$12,regle!$B$11,
IF(AO133=regle!$C$12,regle!$C$11,
IF(AO133=regle!$D$12,regle!$D$11,
IF(AO133=regle!$E$12,regle!$E$11,
IF(AO133=regle!$F$12,regle!$F$11,
IF(AO133=regle!$G$12,regle!$G$11,
IF(AO133=regle!$H$12,regle!$H$11,
IF(AO133=regle!$I$12,regle!$I$11,""))))))))))</f>
        <v/>
      </c>
      <c r="V133" t="str">
        <f>IF(NOT($A133),"",
IF(AP133=-2,regle!$J$11,
IF(AP133=regle!$B$12,regle!$B$11,
IF(AP133=regle!$C$12,regle!$C$11,
IF(AP133=regle!$D$12,regle!$D$11,
IF(AP133=regle!$E$12,regle!$E$11,
IF(AP133=regle!$F$12,regle!$F$11,
IF(AP133=regle!$G$12,regle!$G$11,
IF(AP133=regle!$H$12,regle!$H$11,
IF(AP133=regle!$I$12,regle!$I$11,""))))))))))</f>
        <v/>
      </c>
      <c r="W133" t="str">
        <f>IF(NOT($A133),"",
IF(AQ133=-2,regle!$J$11,
IF(AQ133=regle!$B$12,regle!$B$11,
IF(AQ133=regle!$C$12,regle!$C$11,
IF(AQ133=regle!$D$12,regle!$D$11,
IF(AQ133=regle!$E$12,regle!$E$11,
IF(AQ133=regle!$F$12,regle!$F$11,
IF(AQ133=regle!$G$12,regle!$G$11,
IF(AQ133=regle!$H$12,regle!$H$11,
IF(AQ133=regle!$I$12,regle!$I$11,""))))))))))</f>
        <v/>
      </c>
      <c r="X133" t="str">
        <f>IF(NOT($A133),"",
IF(AR133=-2,regle!$J$11,
IF(AR133=regle!$B$12,regle!$B$11,
IF(AR133=regle!$C$12,regle!$C$11,
IF(AR133=regle!$D$12,regle!$D$11,
IF(AR133=regle!$E$12,regle!$E$11,
IF(AR133=regle!$F$12,regle!$F$11,
IF(AR133=regle!$G$12,regle!$G$11,
IF(AR133=regle!$H$12,regle!$H$11,
IF(AR133=regle!$I$12,regle!$I$11,""))))))))))</f>
        <v/>
      </c>
      <c r="Y133" t="str">
        <f>IF(NOT($A133),"",
IF(AS133=-2,regle!$J$11,
IF(AS133=regle!$B$12,regle!$B$11,
IF(AS133=regle!$C$12,regle!$C$11,
IF(AS133=regle!$D$12,regle!$D$11,
IF(AS133=regle!$E$12,regle!$E$11,
IF(AS133=regle!$F$12,regle!$F$11,
IF(AS133=regle!$G$12,regle!$G$11,
IF(AS133=regle!$H$12,regle!$H$11,
IF(AS133=regle!$I$12,regle!$I$11,""))))))))))</f>
        <v>EC1</v>
      </c>
      <c r="Z133" t="str">
        <f>IF(NOT($A133),"",
IF(AT133=-2,regle!$J$11,
IF(AT133=regle!$B$12,regle!$B$11,
IF(AT133=regle!$C$12,regle!$C$11,
IF(AT133=regle!$D$12,regle!$D$11,
IF(AT133=regle!$E$12,regle!$E$11,
IF(AT133=regle!$F$12,regle!$F$11,
IF(AT133=regle!$G$12,regle!$G$11,
IF(AT133=regle!$H$12,regle!$H$11,
IF(AT133=regle!$I$12,regle!$I$11,""))))))))))</f>
        <v/>
      </c>
      <c r="AA133" t="str">
        <f>IF(NOT($A133),"",
IF(AU133=-2,regle!$J$11,
IF(AU133=regle!$B$12,regle!$B$11,
IF(AU133=regle!$C$12,regle!$C$11,
IF(AU133=regle!$D$12,regle!$D$11,
IF(AU133=regle!$E$12,regle!$E$11,
IF(AU133=regle!$F$12,regle!$F$11,
IF(AU133=regle!$G$12,regle!$G$11,
IF(AU133=regle!$H$12,regle!$H$11,
IF(AU133=regle!$I$12,regle!$I$11,""))))))))))</f>
        <v/>
      </c>
      <c r="AB133" t="str">
        <f>IF(NOT($A133),"",
IF(AV133=-2,regle!$J$11,
IF(AV133=regle!$B$12,regle!$B$11,
IF(AV133=regle!$C$12,regle!$C$11,
IF(AV133=regle!$D$12,regle!$D$11,
IF(AV133=regle!$E$12,regle!$E$11,
IF(AV133=regle!$F$12,regle!$F$11,
IF(AV133=regle!$G$12,regle!$G$11,
IF(AV133=regle!$H$12,regle!$H$11,
IF(AV133=regle!$I$12,regle!$I$11,""))))))))))</f>
        <v/>
      </c>
      <c r="AC133" t="str">
        <f>IF(NOT($A133),"",
IF(AW133=-2,regle!$J$11,
IF(AW133=regle!$B$12,regle!$B$11,
IF(AW133=regle!$C$12,regle!$C$11,
IF(AW133=regle!$D$12,regle!$D$11,
IF(AW133=regle!$E$12,regle!$E$11,
IF(AW133=regle!$F$12,regle!$F$11,
IF(AW133=regle!$G$12,regle!$G$11,
IF(AW133=regle!$H$12,regle!$H$11,
IF(AW133=regle!$I$12,regle!$I$11,""))))))))))</f>
        <v/>
      </c>
      <c r="AD133" t="str">
        <f>IF(NOT($A133),"",
IF(AX133=-2,regle!$J$11,
IF(AX133=regle!$B$12,regle!$B$11,
IF(AX133=regle!$C$12,regle!$C$11,
IF(AX133=regle!$D$12,regle!$D$11,
IF(AX133=regle!$E$12,regle!$E$11,
IF(AX133=regle!$F$12,regle!$F$11,
IF(AX133=regle!$G$12,regle!$G$11,
IF(AX133=regle!$H$12,regle!$H$11,
IF(AX133=regle!$I$12,regle!$I$11,""))))))))))</f>
        <v>EC2</v>
      </c>
      <c r="AE133" s="14">
        <f>IF($A133,$M133*(IF(U133=regle!$B$11,regle!$B$23,IF(U133=regle!$C$11,regle!$C$23,IF(U133=regle!$D$11,regle!$D$23,IF(U133=regle!$E$11,regle!$E$23,IF(U133=regle!$F$11,regle!$F$23,IF(U133=regle!$G$11,regle!$G$23,IF(U133=regle!$H$11,regle!$H$23,IF(U133=regle!$I$11,regle!$I$23,IF(U133=regle!$J$11,regle!$J$23,0)))))))))))</f>
        <v>0</v>
      </c>
      <c r="AF133" s="14">
        <f>IF($A133,$M133*(IF(V133=regle!$B$11,regle!$B$23,IF(V133=regle!$C$11,regle!$C$23,IF(V133=regle!$D$11,regle!$D$23,IF(V133=regle!$E$11,regle!$E$23,IF(V133=regle!$F$11,regle!$F$23,IF(V133=regle!$G$11,regle!$G$23,IF(V133=regle!$H$11,regle!$H$23,IF(V133=regle!$I$11,regle!$I$23,IF(V133=regle!$J$11,regle!$J$23,0)))))))))))</f>
        <v>0</v>
      </c>
      <c r="AG133" s="14">
        <f>IF($A133,$M133*(IF(W133=regle!$B$11,regle!$B$23,IF(W133=regle!$C$11,regle!$C$23,IF(W133=regle!$D$11,regle!$D$23,IF(W133=regle!$E$11,regle!$E$23,IF(W133=regle!$F$11,regle!$F$23,IF(W133=regle!$G$11,regle!$G$23,IF(W133=regle!$H$11,regle!$H$23,IF(W133=regle!$I$11,regle!$I$23,IF(W133=regle!$J$11,regle!$J$23,0)))))))))))</f>
        <v>0</v>
      </c>
      <c r="AH133" s="14">
        <f>IF($A133,$M133*(IF(X133=regle!$B$11,regle!$B$23,IF(X133=regle!$C$11,regle!$C$23,IF(X133=regle!$D$11,regle!$D$23,IF(X133=regle!$E$11,regle!$E$23,IF(X133=regle!$F$11,regle!$F$23,IF(X133=regle!$G$11,regle!$G$23,IF(X133=regle!$H$11,regle!$H$23,IF(X133=regle!$I$11,regle!$I$23,IF(X133=regle!$J$11,regle!$J$23,0)))))))))))</f>
        <v>0</v>
      </c>
      <c r="AI133" s="14">
        <f>IF($A133,$M133*(IF(Y133=regle!$B$11,regle!$B$23,IF(Y133=regle!$C$11,regle!$C$23,IF(Y133=regle!$D$11,regle!$D$23,IF(Y133=regle!$E$11,regle!$E$23,IF(Y133=regle!$F$11,regle!$F$23,IF(Y133=regle!$G$11,regle!$G$23,IF(Y133=regle!$H$11,regle!$H$23,IF(Y133=regle!$I$11,regle!$I$23,IF(Y133=regle!$J$11,regle!$J$23,0)))))))))))</f>
        <v>71.769599999999997</v>
      </c>
      <c r="AJ133" s="14">
        <f>IF($A133,$M133*(IF(Z133=regle!$B$11,regle!$B$23,IF(Z133=regle!$C$11,regle!$C$23,IF(Z133=regle!$D$11,regle!$D$23,IF(Z133=regle!$E$11,regle!$E$23,IF(Z133=regle!$F$11,regle!$F$23,IF(Z133=regle!$G$11,regle!$G$23,IF(Z133=regle!$H$11,regle!$H$23,IF(Z133=regle!$I$11,regle!$I$23,IF(Z133=regle!$J$11,regle!$J$23,0)))))))))))</f>
        <v>0</v>
      </c>
      <c r="AK133" s="14">
        <f>IF($A133,$M133*(IF(AA133=regle!$B$11,regle!$B$23,IF(AA133=regle!$C$11,regle!$C$23,IF(AA133=regle!$D$11,regle!$D$23,IF(AA133=regle!$E$11,regle!$E$23,IF(AA133=regle!$F$11,regle!$F$23,IF(AA133=regle!$G$11,regle!$G$23,IF(AA133=regle!$H$11,regle!$H$23,IF(AA133=regle!$I$11,regle!$I$23,IF(AA133=regle!$J$11,regle!$J$23,0)))))))))))</f>
        <v>0</v>
      </c>
      <c r="AL133" s="14">
        <f>IF($A133,$M133*(IF(AB133=regle!$B$11,regle!$B$23,IF(AB133=regle!$C$11,regle!$C$23,IF(AB133=regle!$D$11,regle!$D$23,IF(AB133=regle!$E$11,regle!$E$23,IF(AB133=regle!$F$11,regle!$F$23,IF(AB133=regle!$G$11,regle!$G$23,IF(AB133=regle!$H$11,regle!$H$23,IF(AB133=regle!$I$11,regle!$I$23,IF(AB133=regle!$J$11,regle!$J$23,0)))))))))))</f>
        <v>0</v>
      </c>
      <c r="AM133" s="14">
        <f>IF($A133,$M133*(IF(AC133=regle!$B$11,regle!$B$23,IF(AC133=regle!$C$11,regle!$C$23,IF(AC133=regle!$D$11,regle!$D$23,IF(AC133=regle!$E$11,regle!$E$23,IF(AC133=regle!$F$11,regle!$F$23,IF(AC133=regle!$G$11,regle!$G$23,IF(AC133=regle!$H$11,regle!$H$23,IF(AC133=regle!$I$11,regle!$I$23,IF(AC133=regle!$J$11,regle!$J$23,0)))))))))))</f>
        <v>0</v>
      </c>
      <c r="AN133" s="14">
        <f>IF($A133,$M133*(IF(AD133=regle!$B$11,regle!$B$23,IF(AD133=regle!$C$11,regle!$C$23,IF(AD133=regle!$D$11,regle!$D$23,IF(AD133=regle!$E$11,regle!$E$23,IF(AD133=regle!$F$11,regle!$F$23,IF(AD133=regle!$G$11,regle!$G$23,IF(AD133=regle!$H$11,regle!$H$23,IF(AD133=regle!$I$11,regle!$I$23,IF(AD133=regle!$J$11,regle!$J$23,0)))))))))))</f>
        <v>104.664</v>
      </c>
      <c r="AO133">
        <f>IF(AO$1=$AO$1,IF(regle!B$2-$Q133&gt;=regle!$J$12,-2,IF($S133,IF(regle!$B$2-$Q133&gt;=2,0,-1),regle!B$2-$Q133)),IF(AN133+1&gt;=regle!$J$12,-2,AN133+1))</f>
        <v>9</v>
      </c>
      <c r="AP133">
        <f>IF(AP$1=$AO$1,IF(regle!C$2-$Q133&gt;=regle!$J$12,-2,IF($S133,IF(regle!$B$2-$Q133&gt;=2,0,-1),regle!C$2-$Q133)),IF(AO133+1&gt;=regle!$J$12,-2,AO133+1))</f>
        <v>10</v>
      </c>
      <c r="AQ133">
        <f>IF(AQ$1=$AO$1,IF(regle!D$2-$Q133&gt;=regle!$J$12,-2,IF($S133,IF(regle!$B$2-$Q133&gt;=2,0,-1),regle!D$2-$Q133)),IF(AP133+1&gt;=regle!$J$12,-2,AP133+1))</f>
        <v>11</v>
      </c>
      <c r="AR133">
        <f>IF(AR$1=$AO$1,IF(regle!E$2-$Q133&gt;=regle!$J$12,-2,IF($S133,IF(regle!$B$2-$Q133&gt;=2,0,-1),regle!E$2-$Q133)),IF(AQ133+1&gt;=regle!$J$12,-2,AQ133+1))</f>
        <v>12</v>
      </c>
      <c r="AS133">
        <f>IF(AS$1=$AO$1,IF(regle!F$2-$Q133&gt;=regle!$J$12,-2,IF($S133,IF(regle!$B$2-$Q133&gt;=2,0,-1),regle!F$2-$Q133)),IF(AR133+1&gt;=regle!$J$12,-2,AR133+1))</f>
        <v>13</v>
      </c>
      <c r="AT133">
        <f>IF(AT$1=$AO$1,IF(regle!G$2-$Q133&gt;=regle!$J$12,-2,IF($S133,IF(regle!$B$2-$Q133&gt;=2,0,-1),regle!G$2-$Q133)),IF(AS133+1&gt;=regle!$J$12,-2,AS133+1))</f>
        <v>14</v>
      </c>
      <c r="AU133">
        <f>IF(AU$1=$AO$1,IF(regle!H$2-$Q133&gt;=regle!$J$12,-2,IF($S133,IF(regle!$B$2-$Q133&gt;=2,0,-1),regle!H$2-$Q133)),IF(AT133+1&gt;=regle!$J$12,-2,AT133+1))</f>
        <v>15</v>
      </c>
      <c r="AV133">
        <f>IF(AV$1=$AO$1,IF(regle!I$2-$Q133&gt;=regle!$J$12,-2,IF($S133,IF(regle!$B$2-$Q133&gt;=2,0,-1),regle!I$2-$Q133)),IF(AU133+1&gt;=regle!$J$12,-2,AU133+1))</f>
        <v>16</v>
      </c>
      <c r="AW133">
        <f>IF(AW$1=$AO$1,IF(regle!J$2-$Q133&gt;=regle!$J$12,-2,IF($S133,IF(regle!$B$2-$Q133&gt;=2,0,-1),regle!J$2-$Q133)),IF(AV133+1&gt;=regle!$J$12,-2,AV133+1))</f>
        <v>17</v>
      </c>
      <c r="AX133">
        <f>IF(AX$1=$AO$1,IF(regle!K$2-$Q133&gt;=regle!$J$12,-2,IF($S133,IF(regle!$B$2-$Q133&gt;=2,0,-1),regle!K$2-$Q133)),IF(AW133+1&gt;=regle!$J$12,-2,AW133+1))</f>
        <v>18</v>
      </c>
    </row>
    <row r="134" spans="1:50" x14ac:dyDescent="0.25">
      <c r="A134" t="b">
        <f>AND(modif0[[#This Row],[cdstr]]&lt;&gt;0,OR(regle!$H$27=FALSE,modif0[[#This Row],[essnc]]="PM"))</f>
        <v>1</v>
      </c>
      <c r="B134">
        <f>ROW(objet!A160)</f>
        <v>160</v>
      </c>
      <c r="C134" s="10" t="str">
        <f>objet!D160</f>
        <v>2020000B1158</v>
      </c>
      <c r="D134" t="str">
        <f>LEFT(modif0[[#This Row],[cdstr]],3)</f>
        <v>202</v>
      </c>
      <c r="E134" s="10" t="str">
        <f>objet!G160</f>
        <v>HOSTENS</v>
      </c>
      <c r="F134">
        <f>LEN(modif0[[#This Row],[l_dt]])</f>
        <v>11</v>
      </c>
      <c r="G134" s="10" t="str">
        <f>objet!H160</f>
        <v>LES CAZALAS</v>
      </c>
      <c r="H134" s="10" t="str">
        <f>objet!C160</f>
        <v>B1158k</v>
      </c>
      <c r="I134" t="str">
        <f>IF(ISNUMBER(VALUE(RIGHT(LEFT(modif0[[#This Row],[idntfn]],2),1))),_xlfn.CONCAT(0,LEFT(modif0[[#This Row],[idntfn]],1)),LEFT(modif0[[#This Row],[idntfn]],2))</f>
        <v>0B</v>
      </c>
      <c r="J134">
        <f>VALUE(LEFT(RIGHT(modif0[[#This Row],[idntfn]],LEN(modif0[[#This Row],[idntfn]])-IF(LEFT(modif0[[#This Row],[sctn]],1)="0",1,2)),LEN(modif0[[#This Row],[idntfn]])-IF(LEFT(modif0[[#This Row],[sctn]],1)="0",1,2)-LEN(modif0[[#This Row],[lttr]])))</f>
        <v>1158</v>
      </c>
      <c r="K134" t="str">
        <f>IF(ISNUMBER(VALUE(RIGHT(modif0[[#This Row],[idntfn]],1))),"",IF(ISNUMBER(VALUE(LEFT(RIGHT(modif0[[#This Row],[idntfn]],2),1))),RIGHT(modif0[[#This Row],[idntfn]],1),RIGHT(modif0[[#This Row],[idntfn]],2)))</f>
        <v>k</v>
      </c>
      <c r="L134" s="10">
        <f>objet!I160</f>
        <v>10414</v>
      </c>
      <c r="M134" s="11">
        <f>modif0[[#This Row],[srfc]]/10000</f>
        <v>1.0414000000000001</v>
      </c>
      <c r="N134" s="10" t="str">
        <f>objet!Z160</f>
        <v>PM</v>
      </c>
      <c r="O134" s="10" t="str">
        <f>objet!AA160</f>
        <v>PLA2015</v>
      </c>
      <c r="P134" t="str">
        <f>IF(ISNUMBER(modif0[[#This Row],[trvx]]),"",LEFT(modif0[[#This Row],[trvx]],LEN(modif0[[#This Row],[trvx]])-4))</f>
        <v>PLA</v>
      </c>
      <c r="Q134">
        <f>VALUE(RIGHT(modif0[[#This Row],[trvx]],4))</f>
        <v>2015</v>
      </c>
      <c r="R134" t="str">
        <f>_xlfn.CONCAT(modif0[[#This Row],[tp]],"-",modif0[[#This Row],[essnc]],"_",modif0[[#This Row],[anns]])</f>
        <v>PLA-PM_2015</v>
      </c>
      <c r="S134" t="b">
        <f>modif0[[#This Row],[tp]]="CR"</f>
        <v>0</v>
      </c>
      <c r="T134">
        <v>40</v>
      </c>
      <c r="U134" t="str">
        <f>IF(NOT($A134),"",
IF(AO134=-2,regle!$J$11,
IF(AO134=regle!$B$12,regle!$B$11,
IF(AO134=regle!$C$12,regle!$C$11,
IF(AO134=regle!$D$12,regle!$D$11,
IF(AO134=regle!$E$12,regle!$E$11,
IF(AO134=regle!$F$12,regle!$F$11,
IF(AO134=regle!$G$12,regle!$G$11,
IF(AO134=regle!$H$12,regle!$H$11,
IF(AO134=regle!$I$12,regle!$I$11,""))))))))))</f>
        <v/>
      </c>
      <c r="V134" t="str">
        <f>IF(NOT($A134),"",
IF(AP134=-2,regle!$J$11,
IF(AP134=regle!$B$12,regle!$B$11,
IF(AP134=regle!$C$12,regle!$C$11,
IF(AP134=regle!$D$12,regle!$D$11,
IF(AP134=regle!$E$12,regle!$E$11,
IF(AP134=regle!$F$12,regle!$F$11,
IF(AP134=regle!$G$12,regle!$G$11,
IF(AP134=regle!$H$12,regle!$H$11,
IF(AP134=regle!$I$12,regle!$I$11,""))))))))))</f>
        <v/>
      </c>
      <c r="W134" t="str">
        <f>IF(NOT($A134),"",
IF(AQ134=-2,regle!$J$11,
IF(AQ134=regle!$B$12,regle!$B$11,
IF(AQ134=regle!$C$12,regle!$C$11,
IF(AQ134=regle!$D$12,regle!$D$11,
IF(AQ134=regle!$E$12,regle!$E$11,
IF(AQ134=regle!$F$12,regle!$F$11,
IF(AQ134=regle!$G$12,regle!$G$11,
IF(AQ134=regle!$H$12,regle!$H$11,
IF(AQ134=regle!$I$12,regle!$I$11,""))))))))))</f>
        <v/>
      </c>
      <c r="X134" t="str">
        <f>IF(NOT($A134),"",
IF(AR134=-2,regle!$J$11,
IF(AR134=regle!$B$12,regle!$B$11,
IF(AR134=regle!$C$12,regle!$C$11,
IF(AR134=regle!$D$12,regle!$D$11,
IF(AR134=regle!$E$12,regle!$E$11,
IF(AR134=regle!$F$12,regle!$F$11,
IF(AR134=regle!$G$12,regle!$G$11,
IF(AR134=regle!$H$12,regle!$H$11,
IF(AR134=regle!$I$12,regle!$I$11,""))))))))))</f>
        <v/>
      </c>
      <c r="Y134" t="str">
        <f>IF(NOT($A134),"",
IF(AS134=-2,regle!$J$11,
IF(AS134=regle!$B$12,regle!$B$11,
IF(AS134=regle!$C$12,regle!$C$11,
IF(AS134=regle!$D$12,regle!$D$11,
IF(AS134=regle!$E$12,regle!$E$11,
IF(AS134=regle!$F$12,regle!$F$11,
IF(AS134=regle!$G$12,regle!$G$11,
IF(AS134=regle!$H$12,regle!$H$11,
IF(AS134=regle!$I$12,regle!$I$11,""))))))))))</f>
        <v>EC1</v>
      </c>
      <c r="Z134" t="str">
        <f>IF(NOT($A134),"",
IF(AT134=-2,regle!$J$11,
IF(AT134=regle!$B$12,regle!$B$11,
IF(AT134=regle!$C$12,regle!$C$11,
IF(AT134=regle!$D$12,regle!$D$11,
IF(AT134=regle!$E$12,regle!$E$11,
IF(AT134=regle!$F$12,regle!$F$11,
IF(AT134=regle!$G$12,regle!$G$11,
IF(AT134=regle!$H$12,regle!$H$11,
IF(AT134=regle!$I$12,regle!$I$11,""))))))))))</f>
        <v/>
      </c>
      <c r="AA134" t="str">
        <f>IF(NOT($A134),"",
IF(AU134=-2,regle!$J$11,
IF(AU134=regle!$B$12,regle!$B$11,
IF(AU134=regle!$C$12,regle!$C$11,
IF(AU134=regle!$D$12,regle!$D$11,
IF(AU134=regle!$E$12,regle!$E$11,
IF(AU134=regle!$F$12,regle!$F$11,
IF(AU134=regle!$G$12,regle!$G$11,
IF(AU134=regle!$H$12,regle!$H$11,
IF(AU134=regle!$I$12,regle!$I$11,""))))))))))</f>
        <v/>
      </c>
      <c r="AB134" t="str">
        <f>IF(NOT($A134),"",
IF(AV134=-2,regle!$J$11,
IF(AV134=regle!$B$12,regle!$B$11,
IF(AV134=regle!$C$12,regle!$C$11,
IF(AV134=regle!$D$12,regle!$D$11,
IF(AV134=regle!$E$12,regle!$E$11,
IF(AV134=regle!$F$12,regle!$F$11,
IF(AV134=regle!$G$12,regle!$G$11,
IF(AV134=regle!$H$12,regle!$H$11,
IF(AV134=regle!$I$12,regle!$I$11,""))))))))))</f>
        <v/>
      </c>
      <c r="AC134" t="str">
        <f>IF(NOT($A134),"",
IF(AW134=-2,regle!$J$11,
IF(AW134=regle!$B$12,regle!$B$11,
IF(AW134=regle!$C$12,regle!$C$11,
IF(AW134=regle!$D$12,regle!$D$11,
IF(AW134=regle!$E$12,regle!$E$11,
IF(AW134=regle!$F$12,regle!$F$11,
IF(AW134=regle!$G$12,regle!$G$11,
IF(AW134=regle!$H$12,regle!$H$11,
IF(AW134=regle!$I$12,regle!$I$11,""))))))))))</f>
        <v/>
      </c>
      <c r="AD134" t="str">
        <f>IF(NOT($A134),"",
IF(AX134=-2,regle!$J$11,
IF(AX134=regle!$B$12,regle!$B$11,
IF(AX134=regle!$C$12,regle!$C$11,
IF(AX134=regle!$D$12,regle!$D$11,
IF(AX134=regle!$E$12,regle!$E$11,
IF(AX134=regle!$F$12,regle!$F$11,
IF(AX134=regle!$G$12,regle!$G$11,
IF(AX134=regle!$H$12,regle!$H$11,
IF(AX134=regle!$I$12,regle!$I$11,""))))))))))</f>
        <v>EC2</v>
      </c>
      <c r="AE134" s="14">
        <f>IF($A134,$M134*(IF(U134=regle!$B$11,regle!$B$23,IF(U134=regle!$C$11,regle!$C$23,IF(U134=regle!$D$11,regle!$D$23,IF(U134=regle!$E$11,regle!$E$23,IF(U134=regle!$F$11,regle!$F$23,IF(U134=regle!$G$11,regle!$G$23,IF(U134=regle!$H$11,regle!$H$23,IF(U134=regle!$I$11,regle!$I$23,IF(U134=regle!$J$11,regle!$J$23,0)))))))))))</f>
        <v>0</v>
      </c>
      <c r="AF134" s="14">
        <f>IF($A134,$M134*(IF(V134=regle!$B$11,regle!$B$23,IF(V134=regle!$C$11,regle!$C$23,IF(V134=regle!$D$11,regle!$D$23,IF(V134=regle!$E$11,regle!$E$23,IF(V134=regle!$F$11,regle!$F$23,IF(V134=regle!$G$11,regle!$G$23,IF(V134=regle!$H$11,regle!$H$23,IF(V134=regle!$I$11,regle!$I$23,IF(V134=regle!$J$11,regle!$J$23,0)))))))))))</f>
        <v>0</v>
      </c>
      <c r="AG134" s="14">
        <f>IF($A134,$M134*(IF(W134=regle!$B$11,regle!$B$23,IF(W134=regle!$C$11,regle!$C$23,IF(W134=regle!$D$11,regle!$D$23,IF(W134=regle!$E$11,regle!$E$23,IF(W134=regle!$F$11,regle!$F$23,IF(W134=regle!$G$11,regle!$G$23,IF(W134=regle!$H$11,regle!$H$23,IF(W134=regle!$I$11,regle!$I$23,IF(W134=regle!$J$11,regle!$J$23,0)))))))))))</f>
        <v>0</v>
      </c>
      <c r="AH134" s="14">
        <f>IF($A134,$M134*(IF(X134=regle!$B$11,regle!$B$23,IF(X134=regle!$C$11,regle!$C$23,IF(X134=regle!$D$11,regle!$D$23,IF(X134=regle!$E$11,regle!$E$23,IF(X134=regle!$F$11,regle!$F$23,IF(X134=regle!$G$11,regle!$G$23,IF(X134=regle!$H$11,regle!$H$23,IF(X134=regle!$I$11,regle!$I$23,IF(X134=regle!$J$11,regle!$J$23,0)))))))))))</f>
        <v>0</v>
      </c>
      <c r="AI134" s="14">
        <f>IF($A134,$M134*(IF(Y134=regle!$B$11,regle!$B$23,IF(Y134=regle!$C$11,regle!$C$23,IF(Y134=regle!$D$11,regle!$D$23,IF(Y134=regle!$E$11,regle!$E$23,IF(Y134=regle!$F$11,regle!$F$23,IF(Y134=regle!$G$11,regle!$G$23,IF(Y134=regle!$H$11,regle!$H$23,IF(Y134=regle!$I$11,regle!$I$23,IF(Y134=regle!$J$11,regle!$J$23,0)))))))))))</f>
        <v>599.84640000000002</v>
      </c>
      <c r="AJ134" s="14">
        <f>IF($A134,$M134*(IF(Z134=regle!$B$11,regle!$B$23,IF(Z134=regle!$C$11,regle!$C$23,IF(Z134=regle!$D$11,regle!$D$23,IF(Z134=regle!$E$11,regle!$E$23,IF(Z134=regle!$F$11,regle!$F$23,IF(Z134=regle!$G$11,regle!$G$23,IF(Z134=regle!$H$11,regle!$H$23,IF(Z134=regle!$I$11,regle!$I$23,IF(Z134=regle!$J$11,regle!$J$23,0)))))))))))</f>
        <v>0</v>
      </c>
      <c r="AK134" s="14">
        <f>IF($A134,$M134*(IF(AA134=regle!$B$11,regle!$B$23,IF(AA134=regle!$C$11,regle!$C$23,IF(AA134=regle!$D$11,regle!$D$23,IF(AA134=regle!$E$11,regle!$E$23,IF(AA134=regle!$F$11,regle!$F$23,IF(AA134=regle!$G$11,regle!$G$23,IF(AA134=regle!$H$11,regle!$H$23,IF(AA134=regle!$I$11,regle!$I$23,IF(AA134=regle!$J$11,regle!$J$23,0)))))))))))</f>
        <v>0</v>
      </c>
      <c r="AL134" s="14">
        <f>IF($A134,$M134*(IF(AB134=regle!$B$11,regle!$B$23,IF(AB134=regle!$C$11,regle!$C$23,IF(AB134=regle!$D$11,regle!$D$23,IF(AB134=regle!$E$11,regle!$E$23,IF(AB134=regle!$F$11,regle!$F$23,IF(AB134=regle!$G$11,regle!$G$23,IF(AB134=regle!$H$11,regle!$H$23,IF(AB134=regle!$I$11,regle!$I$23,IF(AB134=regle!$J$11,regle!$J$23,0)))))))))))</f>
        <v>0</v>
      </c>
      <c r="AM134" s="14">
        <f>IF($A134,$M134*(IF(AC134=regle!$B$11,regle!$B$23,IF(AC134=regle!$C$11,regle!$C$23,IF(AC134=regle!$D$11,regle!$D$23,IF(AC134=regle!$E$11,regle!$E$23,IF(AC134=regle!$F$11,regle!$F$23,IF(AC134=regle!$G$11,regle!$G$23,IF(AC134=regle!$H$11,regle!$H$23,IF(AC134=regle!$I$11,regle!$I$23,IF(AC134=regle!$J$11,regle!$J$23,0)))))))))))</f>
        <v>0</v>
      </c>
      <c r="AN134" s="14">
        <f>IF($A134,$M134*(IF(AD134=regle!$B$11,regle!$B$23,IF(AD134=regle!$C$11,regle!$C$23,IF(AD134=regle!$D$11,regle!$D$23,IF(AD134=regle!$E$11,regle!$E$23,IF(AD134=regle!$F$11,regle!$F$23,IF(AD134=regle!$G$11,regle!$G$23,IF(AD134=regle!$H$11,regle!$H$23,IF(AD134=regle!$I$11,regle!$I$23,IF(AD134=regle!$J$11,regle!$J$23,0)))))))))))</f>
        <v>874.77600000000007</v>
      </c>
      <c r="AO134">
        <f>IF(AO$1=$AO$1,IF(regle!B$2-$Q134&gt;=regle!$J$12,-2,IF($S134,IF(regle!$B$2-$Q134&gt;=2,0,-1),regle!B$2-$Q134)),IF(AN134+1&gt;=regle!$J$12,-2,AN134+1))</f>
        <v>9</v>
      </c>
      <c r="AP134">
        <f>IF(AP$1=$AO$1,IF(regle!C$2-$Q134&gt;=regle!$J$12,-2,IF($S134,IF(regle!$B$2-$Q134&gt;=2,0,-1),regle!C$2-$Q134)),IF(AO134+1&gt;=regle!$J$12,-2,AO134+1))</f>
        <v>10</v>
      </c>
      <c r="AQ134">
        <f>IF(AQ$1=$AO$1,IF(regle!D$2-$Q134&gt;=regle!$J$12,-2,IF($S134,IF(regle!$B$2-$Q134&gt;=2,0,-1),regle!D$2-$Q134)),IF(AP134+1&gt;=regle!$J$12,-2,AP134+1))</f>
        <v>11</v>
      </c>
      <c r="AR134">
        <f>IF(AR$1=$AO$1,IF(regle!E$2-$Q134&gt;=regle!$J$12,-2,IF($S134,IF(regle!$B$2-$Q134&gt;=2,0,-1),regle!E$2-$Q134)),IF(AQ134+1&gt;=regle!$J$12,-2,AQ134+1))</f>
        <v>12</v>
      </c>
      <c r="AS134">
        <f>IF(AS$1=$AO$1,IF(regle!F$2-$Q134&gt;=regle!$J$12,-2,IF($S134,IF(regle!$B$2-$Q134&gt;=2,0,-1),regle!F$2-$Q134)),IF(AR134+1&gt;=regle!$J$12,-2,AR134+1))</f>
        <v>13</v>
      </c>
      <c r="AT134">
        <f>IF(AT$1=$AO$1,IF(regle!G$2-$Q134&gt;=regle!$J$12,-2,IF($S134,IF(regle!$B$2-$Q134&gt;=2,0,-1),regle!G$2-$Q134)),IF(AS134+1&gt;=regle!$J$12,-2,AS134+1))</f>
        <v>14</v>
      </c>
      <c r="AU134">
        <f>IF(AU$1=$AO$1,IF(regle!H$2-$Q134&gt;=regle!$J$12,-2,IF($S134,IF(regle!$B$2-$Q134&gt;=2,0,-1),regle!H$2-$Q134)),IF(AT134+1&gt;=regle!$J$12,-2,AT134+1))</f>
        <v>15</v>
      </c>
      <c r="AV134">
        <f>IF(AV$1=$AO$1,IF(regle!I$2-$Q134&gt;=regle!$J$12,-2,IF($S134,IF(regle!$B$2-$Q134&gt;=2,0,-1),regle!I$2-$Q134)),IF(AU134+1&gt;=regle!$J$12,-2,AU134+1))</f>
        <v>16</v>
      </c>
      <c r="AW134">
        <f>IF(AW$1=$AO$1,IF(regle!J$2-$Q134&gt;=regle!$J$12,-2,IF($S134,IF(regle!$B$2-$Q134&gt;=2,0,-1),regle!J$2-$Q134)),IF(AV134+1&gt;=regle!$J$12,-2,AV134+1))</f>
        <v>17</v>
      </c>
      <c r="AX134">
        <f>IF(AX$1=$AO$1,IF(regle!K$2-$Q134&gt;=regle!$J$12,-2,IF($S134,IF(regle!$B$2-$Q134&gt;=2,0,-1),regle!K$2-$Q134)),IF(AW134+1&gt;=regle!$J$12,-2,AW134+1))</f>
        <v>18</v>
      </c>
    </row>
    <row r="135" spans="1:50" x14ac:dyDescent="0.25">
      <c r="A135" t="b">
        <f>AND(modif0[[#This Row],[cdstr]]&lt;&gt;0,OR(regle!$H$27=FALSE,modif0[[#This Row],[essnc]]="PM"))</f>
        <v>1</v>
      </c>
      <c r="B135">
        <f>ROW(objet!A161)</f>
        <v>161</v>
      </c>
      <c r="C135" s="10" t="str">
        <f>objet!D161</f>
        <v>2020000B1159</v>
      </c>
      <c r="D135" t="str">
        <f>LEFT(modif0[[#This Row],[cdstr]],3)</f>
        <v>202</v>
      </c>
      <c r="E135" s="10" t="str">
        <f>objet!G161</f>
        <v>HOSTENS</v>
      </c>
      <c r="F135">
        <f>LEN(modif0[[#This Row],[l_dt]])</f>
        <v>11</v>
      </c>
      <c r="G135" s="10" t="str">
        <f>objet!H161</f>
        <v>LES CAZALAS</v>
      </c>
      <c r="H135" s="10" t="str">
        <f>objet!C161</f>
        <v>B1159</v>
      </c>
      <c r="I135" t="str">
        <f>IF(ISNUMBER(VALUE(RIGHT(LEFT(modif0[[#This Row],[idntfn]],2),1))),_xlfn.CONCAT(0,LEFT(modif0[[#This Row],[idntfn]],1)),LEFT(modif0[[#This Row],[idntfn]],2))</f>
        <v>0B</v>
      </c>
      <c r="J135">
        <f>VALUE(LEFT(RIGHT(modif0[[#This Row],[idntfn]],LEN(modif0[[#This Row],[idntfn]])-IF(LEFT(modif0[[#This Row],[sctn]],1)="0",1,2)),LEN(modif0[[#This Row],[idntfn]])-IF(LEFT(modif0[[#This Row],[sctn]],1)="0",1,2)-LEN(modif0[[#This Row],[lttr]])))</f>
        <v>1159</v>
      </c>
      <c r="K135" t="str">
        <f>IF(ISNUMBER(VALUE(RIGHT(modif0[[#This Row],[idntfn]],1))),"",IF(ISNUMBER(VALUE(LEFT(RIGHT(modif0[[#This Row],[idntfn]],2),1))),RIGHT(modif0[[#This Row],[idntfn]],1),RIGHT(modif0[[#This Row],[idntfn]],2)))</f>
        <v/>
      </c>
      <c r="L135" s="10">
        <f>objet!I161</f>
        <v>3500</v>
      </c>
      <c r="M135" s="11">
        <f>modif0[[#This Row],[srfc]]/10000</f>
        <v>0.35</v>
      </c>
      <c r="N135" s="10" t="str">
        <f>objet!Z161</f>
        <v>PM</v>
      </c>
      <c r="O135" s="10" t="str">
        <f>objet!AA161</f>
        <v>PLA2015</v>
      </c>
      <c r="P135" t="str">
        <f>IF(ISNUMBER(modif0[[#This Row],[trvx]]),"",LEFT(modif0[[#This Row],[trvx]],LEN(modif0[[#This Row],[trvx]])-4))</f>
        <v>PLA</v>
      </c>
      <c r="Q135">
        <f>VALUE(RIGHT(modif0[[#This Row],[trvx]],4))</f>
        <v>2015</v>
      </c>
      <c r="R135" t="str">
        <f>_xlfn.CONCAT(modif0[[#This Row],[tp]],"-",modif0[[#This Row],[essnc]],"_",modif0[[#This Row],[anns]])</f>
        <v>PLA-PM_2015</v>
      </c>
      <c r="S135" t="b">
        <f>modif0[[#This Row],[tp]]="CR"</f>
        <v>0</v>
      </c>
      <c r="T135">
        <v>40</v>
      </c>
      <c r="U135" t="str">
        <f>IF(NOT($A135),"",
IF(AO135=-2,regle!$J$11,
IF(AO135=regle!$B$12,regle!$B$11,
IF(AO135=regle!$C$12,regle!$C$11,
IF(AO135=regle!$D$12,regle!$D$11,
IF(AO135=regle!$E$12,regle!$E$11,
IF(AO135=regle!$F$12,regle!$F$11,
IF(AO135=regle!$G$12,regle!$G$11,
IF(AO135=regle!$H$12,regle!$H$11,
IF(AO135=regle!$I$12,regle!$I$11,""))))))))))</f>
        <v/>
      </c>
      <c r="V135" t="str">
        <f>IF(NOT($A135),"",
IF(AP135=-2,regle!$J$11,
IF(AP135=regle!$B$12,regle!$B$11,
IF(AP135=regle!$C$12,regle!$C$11,
IF(AP135=regle!$D$12,regle!$D$11,
IF(AP135=regle!$E$12,regle!$E$11,
IF(AP135=regle!$F$12,regle!$F$11,
IF(AP135=regle!$G$12,regle!$G$11,
IF(AP135=regle!$H$12,regle!$H$11,
IF(AP135=regle!$I$12,regle!$I$11,""))))))))))</f>
        <v/>
      </c>
      <c r="W135" t="str">
        <f>IF(NOT($A135),"",
IF(AQ135=-2,regle!$J$11,
IF(AQ135=regle!$B$12,regle!$B$11,
IF(AQ135=regle!$C$12,regle!$C$11,
IF(AQ135=regle!$D$12,regle!$D$11,
IF(AQ135=regle!$E$12,regle!$E$11,
IF(AQ135=regle!$F$12,regle!$F$11,
IF(AQ135=regle!$G$12,regle!$G$11,
IF(AQ135=regle!$H$12,regle!$H$11,
IF(AQ135=regle!$I$12,regle!$I$11,""))))))))))</f>
        <v/>
      </c>
      <c r="X135" t="str">
        <f>IF(NOT($A135),"",
IF(AR135=-2,regle!$J$11,
IF(AR135=regle!$B$12,regle!$B$11,
IF(AR135=regle!$C$12,regle!$C$11,
IF(AR135=regle!$D$12,regle!$D$11,
IF(AR135=regle!$E$12,regle!$E$11,
IF(AR135=regle!$F$12,regle!$F$11,
IF(AR135=regle!$G$12,regle!$G$11,
IF(AR135=regle!$H$12,regle!$H$11,
IF(AR135=regle!$I$12,regle!$I$11,""))))))))))</f>
        <v/>
      </c>
      <c r="Y135" t="str">
        <f>IF(NOT($A135),"",
IF(AS135=-2,regle!$J$11,
IF(AS135=regle!$B$12,regle!$B$11,
IF(AS135=regle!$C$12,regle!$C$11,
IF(AS135=regle!$D$12,regle!$D$11,
IF(AS135=regle!$E$12,regle!$E$11,
IF(AS135=regle!$F$12,regle!$F$11,
IF(AS135=regle!$G$12,regle!$G$11,
IF(AS135=regle!$H$12,regle!$H$11,
IF(AS135=regle!$I$12,regle!$I$11,""))))))))))</f>
        <v>EC1</v>
      </c>
      <c r="Z135" t="str">
        <f>IF(NOT($A135),"",
IF(AT135=-2,regle!$J$11,
IF(AT135=regle!$B$12,regle!$B$11,
IF(AT135=regle!$C$12,regle!$C$11,
IF(AT135=regle!$D$12,regle!$D$11,
IF(AT135=regle!$E$12,regle!$E$11,
IF(AT135=regle!$F$12,regle!$F$11,
IF(AT135=regle!$G$12,regle!$G$11,
IF(AT135=regle!$H$12,regle!$H$11,
IF(AT135=regle!$I$12,regle!$I$11,""))))))))))</f>
        <v/>
      </c>
      <c r="AA135" t="str">
        <f>IF(NOT($A135),"",
IF(AU135=-2,regle!$J$11,
IF(AU135=regle!$B$12,regle!$B$11,
IF(AU135=regle!$C$12,regle!$C$11,
IF(AU135=regle!$D$12,regle!$D$11,
IF(AU135=regle!$E$12,regle!$E$11,
IF(AU135=regle!$F$12,regle!$F$11,
IF(AU135=regle!$G$12,regle!$G$11,
IF(AU135=regle!$H$12,regle!$H$11,
IF(AU135=regle!$I$12,regle!$I$11,""))))))))))</f>
        <v/>
      </c>
      <c r="AB135" t="str">
        <f>IF(NOT($A135),"",
IF(AV135=-2,regle!$J$11,
IF(AV135=regle!$B$12,regle!$B$11,
IF(AV135=regle!$C$12,regle!$C$11,
IF(AV135=regle!$D$12,regle!$D$11,
IF(AV135=regle!$E$12,regle!$E$11,
IF(AV135=regle!$F$12,regle!$F$11,
IF(AV135=regle!$G$12,regle!$G$11,
IF(AV135=regle!$H$12,regle!$H$11,
IF(AV135=regle!$I$12,regle!$I$11,""))))))))))</f>
        <v/>
      </c>
      <c r="AC135" t="str">
        <f>IF(NOT($A135),"",
IF(AW135=-2,regle!$J$11,
IF(AW135=regle!$B$12,regle!$B$11,
IF(AW135=regle!$C$12,regle!$C$11,
IF(AW135=regle!$D$12,regle!$D$11,
IF(AW135=regle!$E$12,regle!$E$11,
IF(AW135=regle!$F$12,regle!$F$11,
IF(AW135=regle!$G$12,regle!$G$11,
IF(AW135=regle!$H$12,regle!$H$11,
IF(AW135=regle!$I$12,regle!$I$11,""))))))))))</f>
        <v/>
      </c>
      <c r="AD135" t="str">
        <f>IF(NOT($A135),"",
IF(AX135=-2,regle!$J$11,
IF(AX135=regle!$B$12,regle!$B$11,
IF(AX135=regle!$C$12,regle!$C$11,
IF(AX135=regle!$D$12,regle!$D$11,
IF(AX135=regle!$E$12,regle!$E$11,
IF(AX135=regle!$F$12,regle!$F$11,
IF(AX135=regle!$G$12,regle!$G$11,
IF(AX135=regle!$H$12,regle!$H$11,
IF(AX135=regle!$I$12,regle!$I$11,""))))))))))</f>
        <v>EC2</v>
      </c>
      <c r="AE135" s="14">
        <f>IF($A135,$M135*(IF(U135=regle!$B$11,regle!$B$23,IF(U135=regle!$C$11,regle!$C$23,IF(U135=regle!$D$11,regle!$D$23,IF(U135=regle!$E$11,regle!$E$23,IF(U135=regle!$F$11,regle!$F$23,IF(U135=regle!$G$11,regle!$G$23,IF(U135=regle!$H$11,regle!$H$23,IF(U135=regle!$I$11,regle!$I$23,IF(U135=regle!$J$11,regle!$J$23,0)))))))))))</f>
        <v>0</v>
      </c>
      <c r="AF135" s="14">
        <f>IF($A135,$M135*(IF(V135=regle!$B$11,regle!$B$23,IF(V135=regle!$C$11,regle!$C$23,IF(V135=regle!$D$11,regle!$D$23,IF(V135=regle!$E$11,regle!$E$23,IF(V135=regle!$F$11,regle!$F$23,IF(V135=regle!$G$11,regle!$G$23,IF(V135=regle!$H$11,regle!$H$23,IF(V135=regle!$I$11,regle!$I$23,IF(V135=regle!$J$11,regle!$J$23,0)))))))))))</f>
        <v>0</v>
      </c>
      <c r="AG135" s="14">
        <f>IF($A135,$M135*(IF(W135=regle!$B$11,regle!$B$23,IF(W135=regle!$C$11,regle!$C$23,IF(W135=regle!$D$11,regle!$D$23,IF(W135=regle!$E$11,regle!$E$23,IF(W135=regle!$F$11,regle!$F$23,IF(W135=regle!$G$11,regle!$G$23,IF(W135=regle!$H$11,regle!$H$23,IF(W135=regle!$I$11,regle!$I$23,IF(W135=regle!$J$11,regle!$J$23,0)))))))))))</f>
        <v>0</v>
      </c>
      <c r="AH135" s="14">
        <f>IF($A135,$M135*(IF(X135=regle!$B$11,regle!$B$23,IF(X135=regle!$C$11,regle!$C$23,IF(X135=regle!$D$11,regle!$D$23,IF(X135=regle!$E$11,regle!$E$23,IF(X135=regle!$F$11,regle!$F$23,IF(X135=regle!$G$11,regle!$G$23,IF(X135=regle!$H$11,regle!$H$23,IF(X135=regle!$I$11,regle!$I$23,IF(X135=regle!$J$11,regle!$J$23,0)))))))))))</f>
        <v>0</v>
      </c>
      <c r="AI135" s="14">
        <f>IF($A135,$M135*(IF(Y135=regle!$B$11,regle!$B$23,IF(Y135=regle!$C$11,regle!$C$23,IF(Y135=regle!$D$11,regle!$D$23,IF(Y135=regle!$E$11,regle!$E$23,IF(Y135=regle!$F$11,regle!$F$23,IF(Y135=regle!$G$11,regle!$G$23,IF(Y135=regle!$H$11,regle!$H$23,IF(Y135=regle!$I$11,regle!$I$23,IF(Y135=regle!$J$11,regle!$J$23,0)))))))))))</f>
        <v>201.6</v>
      </c>
      <c r="AJ135" s="14">
        <f>IF($A135,$M135*(IF(Z135=regle!$B$11,regle!$B$23,IF(Z135=regle!$C$11,regle!$C$23,IF(Z135=regle!$D$11,regle!$D$23,IF(Z135=regle!$E$11,regle!$E$23,IF(Z135=regle!$F$11,regle!$F$23,IF(Z135=regle!$G$11,regle!$G$23,IF(Z135=regle!$H$11,regle!$H$23,IF(Z135=regle!$I$11,regle!$I$23,IF(Z135=regle!$J$11,regle!$J$23,0)))))))))))</f>
        <v>0</v>
      </c>
      <c r="AK135" s="14">
        <f>IF($A135,$M135*(IF(AA135=regle!$B$11,regle!$B$23,IF(AA135=regle!$C$11,regle!$C$23,IF(AA135=regle!$D$11,regle!$D$23,IF(AA135=regle!$E$11,regle!$E$23,IF(AA135=regle!$F$11,regle!$F$23,IF(AA135=regle!$G$11,regle!$G$23,IF(AA135=regle!$H$11,regle!$H$23,IF(AA135=regle!$I$11,regle!$I$23,IF(AA135=regle!$J$11,regle!$J$23,0)))))))))))</f>
        <v>0</v>
      </c>
      <c r="AL135" s="14">
        <f>IF($A135,$M135*(IF(AB135=regle!$B$11,regle!$B$23,IF(AB135=regle!$C$11,regle!$C$23,IF(AB135=regle!$D$11,regle!$D$23,IF(AB135=regle!$E$11,regle!$E$23,IF(AB135=regle!$F$11,regle!$F$23,IF(AB135=regle!$G$11,regle!$G$23,IF(AB135=regle!$H$11,regle!$H$23,IF(AB135=regle!$I$11,regle!$I$23,IF(AB135=regle!$J$11,regle!$J$23,0)))))))))))</f>
        <v>0</v>
      </c>
      <c r="AM135" s="14">
        <f>IF($A135,$M135*(IF(AC135=regle!$B$11,regle!$B$23,IF(AC135=regle!$C$11,regle!$C$23,IF(AC135=regle!$D$11,regle!$D$23,IF(AC135=regle!$E$11,regle!$E$23,IF(AC135=regle!$F$11,regle!$F$23,IF(AC135=regle!$G$11,regle!$G$23,IF(AC135=regle!$H$11,regle!$H$23,IF(AC135=regle!$I$11,regle!$I$23,IF(AC135=regle!$J$11,regle!$J$23,0)))))))))))</f>
        <v>0</v>
      </c>
      <c r="AN135" s="14">
        <f>IF($A135,$M135*(IF(AD135=regle!$B$11,regle!$B$23,IF(AD135=regle!$C$11,regle!$C$23,IF(AD135=regle!$D$11,regle!$D$23,IF(AD135=regle!$E$11,regle!$E$23,IF(AD135=regle!$F$11,regle!$F$23,IF(AD135=regle!$G$11,regle!$G$23,IF(AD135=regle!$H$11,regle!$H$23,IF(AD135=regle!$I$11,regle!$I$23,IF(AD135=regle!$J$11,regle!$J$23,0)))))))))))</f>
        <v>294</v>
      </c>
      <c r="AO135">
        <f>IF(AO$1=$AO$1,IF(regle!B$2-$Q135&gt;=regle!$J$12,-2,IF($S135,IF(regle!$B$2-$Q135&gt;=2,0,-1),regle!B$2-$Q135)),IF(AN135+1&gt;=regle!$J$12,-2,AN135+1))</f>
        <v>9</v>
      </c>
      <c r="AP135">
        <f>IF(AP$1=$AO$1,IF(regle!C$2-$Q135&gt;=regle!$J$12,-2,IF($S135,IF(regle!$B$2-$Q135&gt;=2,0,-1),regle!C$2-$Q135)),IF(AO135+1&gt;=regle!$J$12,-2,AO135+1))</f>
        <v>10</v>
      </c>
      <c r="AQ135">
        <f>IF(AQ$1=$AO$1,IF(regle!D$2-$Q135&gt;=regle!$J$12,-2,IF($S135,IF(regle!$B$2-$Q135&gt;=2,0,-1),regle!D$2-$Q135)),IF(AP135+1&gt;=regle!$J$12,-2,AP135+1))</f>
        <v>11</v>
      </c>
      <c r="AR135">
        <f>IF(AR$1=$AO$1,IF(regle!E$2-$Q135&gt;=regle!$J$12,-2,IF($S135,IF(regle!$B$2-$Q135&gt;=2,0,-1),regle!E$2-$Q135)),IF(AQ135+1&gt;=regle!$J$12,-2,AQ135+1))</f>
        <v>12</v>
      </c>
      <c r="AS135">
        <f>IF(AS$1=$AO$1,IF(regle!F$2-$Q135&gt;=regle!$J$12,-2,IF($S135,IF(regle!$B$2-$Q135&gt;=2,0,-1),regle!F$2-$Q135)),IF(AR135+1&gt;=regle!$J$12,-2,AR135+1))</f>
        <v>13</v>
      </c>
      <c r="AT135">
        <f>IF(AT$1=$AO$1,IF(regle!G$2-$Q135&gt;=regle!$J$12,-2,IF($S135,IF(regle!$B$2-$Q135&gt;=2,0,-1),regle!G$2-$Q135)),IF(AS135+1&gt;=regle!$J$12,-2,AS135+1))</f>
        <v>14</v>
      </c>
      <c r="AU135">
        <f>IF(AU$1=$AO$1,IF(regle!H$2-$Q135&gt;=regle!$J$12,-2,IF($S135,IF(regle!$B$2-$Q135&gt;=2,0,-1),regle!H$2-$Q135)),IF(AT135+1&gt;=regle!$J$12,-2,AT135+1))</f>
        <v>15</v>
      </c>
      <c r="AV135">
        <f>IF(AV$1=$AO$1,IF(regle!I$2-$Q135&gt;=regle!$J$12,-2,IF($S135,IF(regle!$B$2-$Q135&gt;=2,0,-1),regle!I$2-$Q135)),IF(AU135+1&gt;=regle!$J$12,-2,AU135+1))</f>
        <v>16</v>
      </c>
      <c r="AW135">
        <f>IF(AW$1=$AO$1,IF(regle!J$2-$Q135&gt;=regle!$J$12,-2,IF($S135,IF(regle!$B$2-$Q135&gt;=2,0,-1),regle!J$2-$Q135)),IF(AV135+1&gt;=regle!$J$12,-2,AV135+1))</f>
        <v>17</v>
      </c>
      <c r="AX135">
        <f>IF(AX$1=$AO$1,IF(regle!K$2-$Q135&gt;=regle!$J$12,-2,IF($S135,IF(regle!$B$2-$Q135&gt;=2,0,-1),regle!K$2-$Q135)),IF(AW135+1&gt;=regle!$J$12,-2,AW135+1))</f>
        <v>18</v>
      </c>
    </row>
    <row r="136" spans="1:50" x14ac:dyDescent="0.25">
      <c r="A136" t="b">
        <f>AND(modif0[[#This Row],[cdstr]]&lt;&gt;0,OR(regle!$H$27=FALSE,modif0[[#This Row],[essnc]]="PM"))</f>
        <v>1</v>
      </c>
      <c r="B136">
        <f>ROW(objet!A162)</f>
        <v>162</v>
      </c>
      <c r="C136" s="10" t="str">
        <f>objet!D162</f>
        <v>2020000B1160</v>
      </c>
      <c r="D136" t="str">
        <f>LEFT(modif0[[#This Row],[cdstr]],3)</f>
        <v>202</v>
      </c>
      <c r="E136" s="10" t="str">
        <f>objet!G162</f>
        <v>HOSTENS</v>
      </c>
      <c r="F136">
        <f>LEN(modif0[[#This Row],[l_dt]])</f>
        <v>11</v>
      </c>
      <c r="G136" s="10" t="str">
        <f>objet!H162</f>
        <v>LES CAZALAS</v>
      </c>
      <c r="H136" s="10" t="str">
        <f>objet!C162</f>
        <v>B1160j</v>
      </c>
      <c r="I136" t="str">
        <f>IF(ISNUMBER(VALUE(RIGHT(LEFT(modif0[[#This Row],[idntfn]],2),1))),_xlfn.CONCAT(0,LEFT(modif0[[#This Row],[idntfn]],1)),LEFT(modif0[[#This Row],[idntfn]],2))</f>
        <v>0B</v>
      </c>
      <c r="J136">
        <f>VALUE(LEFT(RIGHT(modif0[[#This Row],[idntfn]],LEN(modif0[[#This Row],[idntfn]])-IF(LEFT(modif0[[#This Row],[sctn]],1)="0",1,2)),LEN(modif0[[#This Row],[idntfn]])-IF(LEFT(modif0[[#This Row],[sctn]],1)="0",1,2)-LEN(modif0[[#This Row],[lttr]])))</f>
        <v>1160</v>
      </c>
      <c r="K136" t="str">
        <f>IF(ISNUMBER(VALUE(RIGHT(modif0[[#This Row],[idntfn]],1))),"",IF(ISNUMBER(VALUE(LEFT(RIGHT(modif0[[#This Row],[idntfn]],2),1))),RIGHT(modif0[[#This Row],[idntfn]],1),RIGHT(modif0[[#This Row],[idntfn]],2)))</f>
        <v>j</v>
      </c>
      <c r="L136" s="10">
        <f>objet!I162</f>
        <v>3079</v>
      </c>
      <c r="M136" s="11">
        <f>modif0[[#This Row],[srfc]]/10000</f>
        <v>0.30790000000000001</v>
      </c>
      <c r="N136" s="10" t="str">
        <f>objet!Z162</f>
        <v>PM</v>
      </c>
      <c r="O136" s="10" t="str">
        <f>objet!AA162</f>
        <v>PLA2006</v>
      </c>
      <c r="P136" t="str">
        <f>IF(ISNUMBER(modif0[[#This Row],[trvx]]),"",LEFT(modif0[[#This Row],[trvx]],LEN(modif0[[#This Row],[trvx]])-4))</f>
        <v>PLA</v>
      </c>
      <c r="Q136">
        <f>VALUE(RIGHT(modif0[[#This Row],[trvx]],4))</f>
        <v>2006</v>
      </c>
      <c r="R136" t="str">
        <f>_xlfn.CONCAT(modif0[[#This Row],[tp]],"-",modif0[[#This Row],[essnc]],"_",modif0[[#This Row],[anns]])</f>
        <v>PLA-PM_2006</v>
      </c>
      <c r="S136" t="b">
        <f>modif0[[#This Row],[tp]]="CR"</f>
        <v>0</v>
      </c>
      <c r="T136">
        <v>40</v>
      </c>
      <c r="U136" t="str">
        <f>IF(NOT($A136),"",
IF(AO136=-2,regle!$J$11,
IF(AO136=regle!$B$12,regle!$B$11,
IF(AO136=regle!$C$12,regle!$C$11,
IF(AO136=regle!$D$12,regle!$D$11,
IF(AO136=regle!$E$12,regle!$E$11,
IF(AO136=regle!$F$12,regle!$F$11,
IF(AO136=regle!$G$12,regle!$G$11,
IF(AO136=regle!$H$12,regle!$H$11,
IF(AO136=regle!$I$12,regle!$I$11,""))))))))))</f>
        <v>EC2</v>
      </c>
      <c r="V136" t="str">
        <f>IF(NOT($A136),"",
IF(AP136=-2,regle!$J$11,
IF(AP136=regle!$B$12,regle!$B$11,
IF(AP136=regle!$C$12,regle!$C$11,
IF(AP136=regle!$D$12,regle!$D$11,
IF(AP136=regle!$E$12,regle!$E$11,
IF(AP136=regle!$F$12,regle!$F$11,
IF(AP136=regle!$G$12,regle!$G$11,
IF(AP136=regle!$H$12,regle!$H$11,
IF(AP136=regle!$I$12,regle!$I$11,""))))))))))</f>
        <v/>
      </c>
      <c r="W136" t="str">
        <f>IF(NOT($A136),"",
IF(AQ136=-2,regle!$J$11,
IF(AQ136=regle!$B$12,regle!$B$11,
IF(AQ136=regle!$C$12,regle!$C$11,
IF(AQ136=regle!$D$12,regle!$D$11,
IF(AQ136=regle!$E$12,regle!$E$11,
IF(AQ136=regle!$F$12,regle!$F$11,
IF(AQ136=regle!$G$12,regle!$G$11,
IF(AQ136=regle!$H$12,regle!$H$11,
IF(AQ136=regle!$I$12,regle!$I$11,""))))))))))</f>
        <v/>
      </c>
      <c r="X136" t="str">
        <f>IF(NOT($A136),"",
IF(AR136=-2,regle!$J$11,
IF(AR136=regle!$B$12,regle!$B$11,
IF(AR136=regle!$C$12,regle!$C$11,
IF(AR136=regle!$D$12,regle!$D$11,
IF(AR136=regle!$E$12,regle!$E$11,
IF(AR136=regle!$F$12,regle!$F$11,
IF(AR136=regle!$G$12,regle!$G$11,
IF(AR136=regle!$H$12,regle!$H$11,
IF(AR136=regle!$I$12,regle!$I$11,""))))))))))</f>
        <v/>
      </c>
      <c r="Y136" t="str">
        <f>IF(NOT($A136),"",
IF(AS136=-2,regle!$J$11,
IF(AS136=regle!$B$12,regle!$B$11,
IF(AS136=regle!$C$12,regle!$C$11,
IF(AS136=regle!$D$12,regle!$D$11,
IF(AS136=regle!$E$12,regle!$E$11,
IF(AS136=regle!$F$12,regle!$F$11,
IF(AS136=regle!$G$12,regle!$G$11,
IF(AS136=regle!$H$12,regle!$H$11,
IF(AS136=regle!$I$12,regle!$I$11,""))))))))))</f>
        <v/>
      </c>
      <c r="Z136" t="str">
        <f>IF(NOT($A136),"",
IF(AT136=-2,regle!$J$11,
IF(AT136=regle!$B$12,regle!$B$11,
IF(AT136=regle!$C$12,regle!$C$11,
IF(AT136=regle!$D$12,regle!$D$11,
IF(AT136=regle!$E$12,regle!$E$11,
IF(AT136=regle!$F$12,regle!$F$11,
IF(AT136=regle!$G$12,regle!$G$11,
IF(AT136=regle!$H$12,regle!$H$11,
IF(AT136=regle!$I$12,regle!$I$11,""))))))))))</f>
        <v>EC3</v>
      </c>
      <c r="AA136" t="str">
        <f>IF(NOT($A136),"",
IF(AU136=-2,regle!$J$11,
IF(AU136=regle!$B$12,regle!$B$11,
IF(AU136=regle!$C$12,regle!$C$11,
IF(AU136=regle!$D$12,regle!$D$11,
IF(AU136=regle!$E$12,regle!$E$11,
IF(AU136=regle!$F$12,regle!$F$11,
IF(AU136=regle!$G$12,regle!$G$11,
IF(AU136=regle!$H$12,regle!$H$11,
IF(AU136=regle!$I$12,regle!$I$11,""))))))))))</f>
        <v/>
      </c>
      <c r="AB136" t="str">
        <f>IF(NOT($A136),"",
IF(AV136=-2,regle!$J$11,
IF(AV136=regle!$B$12,regle!$B$11,
IF(AV136=regle!$C$12,regle!$C$11,
IF(AV136=regle!$D$12,regle!$D$11,
IF(AV136=regle!$E$12,regle!$E$11,
IF(AV136=regle!$F$12,regle!$F$11,
IF(AV136=regle!$G$12,regle!$G$11,
IF(AV136=regle!$H$12,regle!$H$11,
IF(AV136=regle!$I$12,regle!$I$11,""))))))))))</f>
        <v/>
      </c>
      <c r="AC136" t="str">
        <f>IF(NOT($A136),"",
IF(AW136=-2,regle!$J$11,
IF(AW136=regle!$B$12,regle!$B$11,
IF(AW136=regle!$C$12,regle!$C$11,
IF(AW136=regle!$D$12,regle!$D$11,
IF(AW136=regle!$E$12,regle!$E$11,
IF(AW136=regle!$F$12,regle!$F$11,
IF(AW136=regle!$G$12,regle!$G$11,
IF(AW136=regle!$H$12,regle!$H$11,
IF(AW136=regle!$I$12,regle!$I$11,""))))))))))</f>
        <v/>
      </c>
      <c r="AD136" t="str">
        <f>IF(NOT($A136),"",
IF(AX136=-2,regle!$J$11,
IF(AX136=regle!$B$12,regle!$B$11,
IF(AX136=regle!$C$12,regle!$C$11,
IF(AX136=regle!$D$12,regle!$D$11,
IF(AX136=regle!$E$12,regle!$E$11,
IF(AX136=regle!$F$12,regle!$F$11,
IF(AX136=regle!$G$12,regle!$G$11,
IF(AX136=regle!$H$12,regle!$H$11,
IF(AX136=regle!$I$12,regle!$I$11,""))))))))))</f>
        <v/>
      </c>
      <c r="AE136" s="14">
        <f>IF($A136,$M136*(IF(U136=regle!$B$11,regle!$B$23,IF(U136=regle!$C$11,regle!$C$23,IF(U136=regle!$D$11,regle!$D$23,IF(U136=regle!$E$11,regle!$E$23,IF(U136=regle!$F$11,regle!$F$23,IF(U136=regle!$G$11,regle!$G$23,IF(U136=regle!$H$11,regle!$H$23,IF(U136=regle!$I$11,regle!$I$23,IF(U136=regle!$J$11,regle!$J$23,0)))))))))))</f>
        <v>258.63600000000002</v>
      </c>
      <c r="AF136" s="14">
        <f>IF($A136,$M136*(IF(V136=regle!$B$11,regle!$B$23,IF(V136=regle!$C$11,regle!$C$23,IF(V136=regle!$D$11,regle!$D$23,IF(V136=regle!$E$11,regle!$E$23,IF(V136=regle!$F$11,regle!$F$23,IF(V136=regle!$G$11,regle!$G$23,IF(V136=regle!$H$11,regle!$H$23,IF(V136=regle!$I$11,regle!$I$23,IF(V136=regle!$J$11,regle!$J$23,0)))))))))))</f>
        <v>0</v>
      </c>
      <c r="AG136" s="14">
        <f>IF($A136,$M136*(IF(W136=regle!$B$11,regle!$B$23,IF(W136=regle!$C$11,regle!$C$23,IF(W136=regle!$D$11,regle!$D$23,IF(W136=regle!$E$11,regle!$E$23,IF(W136=regle!$F$11,regle!$F$23,IF(W136=regle!$G$11,regle!$G$23,IF(W136=regle!$H$11,regle!$H$23,IF(W136=regle!$I$11,regle!$I$23,IF(W136=regle!$J$11,regle!$J$23,0)))))))))))</f>
        <v>0</v>
      </c>
      <c r="AH136" s="14">
        <f>IF($A136,$M136*(IF(X136=regle!$B$11,regle!$B$23,IF(X136=regle!$C$11,regle!$C$23,IF(X136=regle!$D$11,regle!$D$23,IF(X136=regle!$E$11,regle!$E$23,IF(X136=regle!$F$11,regle!$F$23,IF(X136=regle!$G$11,regle!$G$23,IF(X136=regle!$H$11,regle!$H$23,IF(X136=regle!$I$11,regle!$I$23,IF(X136=regle!$J$11,regle!$J$23,0)))))))))))</f>
        <v>0</v>
      </c>
      <c r="AI136" s="14">
        <f>IF($A136,$M136*(IF(Y136=regle!$B$11,regle!$B$23,IF(Y136=regle!$C$11,regle!$C$23,IF(Y136=regle!$D$11,regle!$D$23,IF(Y136=regle!$E$11,regle!$E$23,IF(Y136=regle!$F$11,regle!$F$23,IF(Y136=regle!$G$11,regle!$G$23,IF(Y136=regle!$H$11,regle!$H$23,IF(Y136=regle!$I$11,regle!$I$23,IF(Y136=regle!$J$11,regle!$J$23,0)))))))))))</f>
        <v>0</v>
      </c>
      <c r="AJ136" s="14">
        <f>IF($A136,$M136*(IF(Z136=regle!$B$11,regle!$B$23,IF(Z136=regle!$C$11,regle!$C$23,IF(Z136=regle!$D$11,regle!$D$23,IF(Z136=regle!$E$11,regle!$E$23,IF(Z136=regle!$F$11,regle!$F$23,IF(Z136=regle!$G$11,regle!$G$23,IF(Z136=regle!$H$11,regle!$H$23,IF(Z136=regle!$I$11,regle!$I$23,IF(Z136=regle!$J$11,regle!$J$23,0)))))))))))</f>
        <v>433.52320000000003</v>
      </c>
      <c r="AK136" s="14">
        <f>IF($A136,$M136*(IF(AA136=regle!$B$11,regle!$B$23,IF(AA136=regle!$C$11,regle!$C$23,IF(AA136=regle!$D$11,regle!$D$23,IF(AA136=regle!$E$11,regle!$E$23,IF(AA136=regle!$F$11,regle!$F$23,IF(AA136=regle!$G$11,regle!$G$23,IF(AA136=regle!$H$11,regle!$H$23,IF(AA136=regle!$I$11,regle!$I$23,IF(AA136=regle!$J$11,regle!$J$23,0)))))))))))</f>
        <v>0</v>
      </c>
      <c r="AL136" s="14">
        <f>IF($A136,$M136*(IF(AB136=regle!$B$11,regle!$B$23,IF(AB136=regle!$C$11,regle!$C$23,IF(AB136=regle!$D$11,regle!$D$23,IF(AB136=regle!$E$11,regle!$E$23,IF(AB136=regle!$F$11,regle!$F$23,IF(AB136=regle!$G$11,regle!$G$23,IF(AB136=regle!$H$11,regle!$H$23,IF(AB136=regle!$I$11,regle!$I$23,IF(AB136=regle!$J$11,regle!$J$23,0)))))))))))</f>
        <v>0</v>
      </c>
      <c r="AM136" s="14">
        <f>IF($A136,$M136*(IF(AC136=regle!$B$11,regle!$B$23,IF(AC136=regle!$C$11,regle!$C$23,IF(AC136=regle!$D$11,regle!$D$23,IF(AC136=regle!$E$11,regle!$E$23,IF(AC136=regle!$F$11,regle!$F$23,IF(AC136=regle!$G$11,regle!$G$23,IF(AC136=regle!$H$11,regle!$H$23,IF(AC136=regle!$I$11,regle!$I$23,IF(AC136=regle!$J$11,regle!$J$23,0)))))))))))</f>
        <v>0</v>
      </c>
      <c r="AN136" s="14">
        <f>IF($A136,$M136*(IF(AD136=regle!$B$11,regle!$B$23,IF(AD136=regle!$C$11,regle!$C$23,IF(AD136=regle!$D$11,regle!$D$23,IF(AD136=regle!$E$11,regle!$E$23,IF(AD136=regle!$F$11,regle!$F$23,IF(AD136=regle!$G$11,regle!$G$23,IF(AD136=regle!$H$11,regle!$H$23,IF(AD136=regle!$I$11,regle!$I$23,IF(AD136=regle!$J$11,regle!$J$23,0)))))))))))</f>
        <v>0</v>
      </c>
      <c r="AO136">
        <f>IF(AO$1=$AO$1,IF(regle!B$2-$Q136&gt;=regle!$J$12,-2,IF($S136,IF(regle!$B$2-$Q136&gt;=2,0,-1),regle!B$2-$Q136)),IF(AN136+1&gt;=regle!$J$12,-2,AN136+1))</f>
        <v>18</v>
      </c>
      <c r="AP136">
        <f>IF(AP$1=$AO$1,IF(regle!C$2-$Q136&gt;=regle!$J$12,-2,IF($S136,IF(regle!$B$2-$Q136&gt;=2,0,-1),regle!C$2-$Q136)),IF(AO136+1&gt;=regle!$J$12,-2,AO136+1))</f>
        <v>19</v>
      </c>
      <c r="AQ136">
        <f>IF(AQ$1=$AO$1,IF(regle!D$2-$Q136&gt;=regle!$J$12,-2,IF($S136,IF(regle!$B$2-$Q136&gt;=2,0,-1),regle!D$2-$Q136)),IF(AP136+1&gt;=regle!$J$12,-2,AP136+1))</f>
        <v>20</v>
      </c>
      <c r="AR136">
        <f>IF(AR$1=$AO$1,IF(regle!E$2-$Q136&gt;=regle!$J$12,-2,IF($S136,IF(regle!$B$2-$Q136&gt;=2,0,-1),regle!E$2-$Q136)),IF(AQ136+1&gt;=regle!$J$12,-2,AQ136+1))</f>
        <v>21</v>
      </c>
      <c r="AS136">
        <f>IF(AS$1=$AO$1,IF(regle!F$2-$Q136&gt;=regle!$J$12,-2,IF($S136,IF(regle!$B$2-$Q136&gt;=2,0,-1),regle!F$2-$Q136)),IF(AR136+1&gt;=regle!$J$12,-2,AR136+1))</f>
        <v>22</v>
      </c>
      <c r="AT136">
        <f>IF(AT$1=$AO$1,IF(regle!G$2-$Q136&gt;=regle!$J$12,-2,IF($S136,IF(regle!$B$2-$Q136&gt;=2,0,-1),regle!G$2-$Q136)),IF(AS136+1&gt;=regle!$J$12,-2,AS136+1))</f>
        <v>23</v>
      </c>
      <c r="AU136">
        <f>IF(AU$1=$AO$1,IF(regle!H$2-$Q136&gt;=regle!$J$12,-2,IF($S136,IF(regle!$B$2-$Q136&gt;=2,0,-1),regle!H$2-$Q136)),IF(AT136+1&gt;=regle!$J$12,-2,AT136+1))</f>
        <v>24</v>
      </c>
      <c r="AV136">
        <f>IF(AV$1=$AO$1,IF(regle!I$2-$Q136&gt;=regle!$J$12,-2,IF($S136,IF(regle!$B$2-$Q136&gt;=2,0,-1),regle!I$2-$Q136)),IF(AU136+1&gt;=regle!$J$12,-2,AU136+1))</f>
        <v>25</v>
      </c>
      <c r="AW136">
        <f>IF(AW$1=$AO$1,IF(regle!J$2-$Q136&gt;=regle!$J$12,-2,IF($S136,IF(regle!$B$2-$Q136&gt;=2,0,-1),regle!J$2-$Q136)),IF(AV136+1&gt;=regle!$J$12,-2,AV136+1))</f>
        <v>26</v>
      </c>
      <c r="AX136">
        <f>IF(AX$1=$AO$1,IF(regle!K$2-$Q136&gt;=regle!$J$12,-2,IF($S136,IF(regle!$B$2-$Q136&gt;=2,0,-1),regle!K$2-$Q136)),IF(AW136+1&gt;=regle!$J$12,-2,AW136+1))</f>
        <v>27</v>
      </c>
    </row>
    <row r="137" spans="1:50" x14ac:dyDescent="0.25">
      <c r="A137" t="b">
        <f>AND(modif0[[#This Row],[cdstr]]&lt;&gt;0,OR(regle!$H$27=FALSE,modif0[[#This Row],[essnc]]="PM"))</f>
        <v>1</v>
      </c>
      <c r="B137">
        <f>ROW(objet!A163)</f>
        <v>163</v>
      </c>
      <c r="C137" s="10" t="str">
        <f>objet!D163</f>
        <v>2020000B1160</v>
      </c>
      <c r="D137" t="str">
        <f>LEFT(modif0[[#This Row],[cdstr]],3)</f>
        <v>202</v>
      </c>
      <c r="E137" s="10" t="str">
        <f>objet!G163</f>
        <v>HOSTENS</v>
      </c>
      <c r="F137">
        <f>LEN(modif0[[#This Row],[l_dt]])</f>
        <v>11</v>
      </c>
      <c r="G137" s="10" t="str">
        <f>objet!H163</f>
        <v>LES CAZALAS</v>
      </c>
      <c r="H137" s="10" t="str">
        <f>objet!C163</f>
        <v>B1160k</v>
      </c>
      <c r="I137" t="str">
        <f>IF(ISNUMBER(VALUE(RIGHT(LEFT(modif0[[#This Row],[idntfn]],2),1))),_xlfn.CONCAT(0,LEFT(modif0[[#This Row],[idntfn]],1)),LEFT(modif0[[#This Row],[idntfn]],2))</f>
        <v>0B</v>
      </c>
      <c r="J137">
        <f>VALUE(LEFT(RIGHT(modif0[[#This Row],[idntfn]],LEN(modif0[[#This Row],[idntfn]])-IF(LEFT(modif0[[#This Row],[sctn]],1)="0",1,2)),LEN(modif0[[#This Row],[idntfn]])-IF(LEFT(modif0[[#This Row],[sctn]],1)="0",1,2)-LEN(modif0[[#This Row],[lttr]])))</f>
        <v>1160</v>
      </c>
      <c r="K137" t="str">
        <f>IF(ISNUMBER(VALUE(RIGHT(modif0[[#This Row],[idntfn]],1))),"",IF(ISNUMBER(VALUE(LEFT(RIGHT(modif0[[#This Row],[idntfn]],2),1))),RIGHT(modif0[[#This Row],[idntfn]],1),RIGHT(modif0[[#This Row],[idntfn]],2)))</f>
        <v>k</v>
      </c>
      <c r="L137" s="10">
        <f>objet!I163</f>
        <v>2101</v>
      </c>
      <c r="M137" s="11">
        <f>modif0[[#This Row],[srfc]]/10000</f>
        <v>0.21010000000000001</v>
      </c>
      <c r="N137" s="10" t="str">
        <f>objet!Z163</f>
        <v>PM</v>
      </c>
      <c r="O137" s="10" t="str">
        <f>objet!AA163</f>
        <v>PLA2015</v>
      </c>
      <c r="P137" t="str">
        <f>IF(ISNUMBER(modif0[[#This Row],[trvx]]),"",LEFT(modif0[[#This Row],[trvx]],LEN(modif0[[#This Row],[trvx]])-4))</f>
        <v>PLA</v>
      </c>
      <c r="Q137">
        <f>VALUE(RIGHT(modif0[[#This Row],[trvx]],4))</f>
        <v>2015</v>
      </c>
      <c r="R137" t="str">
        <f>_xlfn.CONCAT(modif0[[#This Row],[tp]],"-",modif0[[#This Row],[essnc]],"_",modif0[[#This Row],[anns]])</f>
        <v>PLA-PM_2015</v>
      </c>
      <c r="S137" t="b">
        <f>modif0[[#This Row],[tp]]="CR"</f>
        <v>0</v>
      </c>
      <c r="T137">
        <v>40</v>
      </c>
      <c r="U137" t="str">
        <f>IF(NOT($A137),"",
IF(AO137=-2,regle!$J$11,
IF(AO137=regle!$B$12,regle!$B$11,
IF(AO137=regle!$C$12,regle!$C$11,
IF(AO137=regle!$D$12,regle!$D$11,
IF(AO137=regle!$E$12,regle!$E$11,
IF(AO137=regle!$F$12,regle!$F$11,
IF(AO137=regle!$G$12,regle!$G$11,
IF(AO137=regle!$H$12,regle!$H$11,
IF(AO137=regle!$I$12,regle!$I$11,""))))))))))</f>
        <v/>
      </c>
      <c r="V137" t="str">
        <f>IF(NOT($A137),"",
IF(AP137=-2,regle!$J$11,
IF(AP137=regle!$B$12,regle!$B$11,
IF(AP137=regle!$C$12,regle!$C$11,
IF(AP137=regle!$D$12,regle!$D$11,
IF(AP137=regle!$E$12,regle!$E$11,
IF(AP137=regle!$F$12,regle!$F$11,
IF(AP137=regle!$G$12,regle!$G$11,
IF(AP137=regle!$H$12,regle!$H$11,
IF(AP137=regle!$I$12,regle!$I$11,""))))))))))</f>
        <v/>
      </c>
      <c r="W137" t="str">
        <f>IF(NOT($A137),"",
IF(AQ137=-2,regle!$J$11,
IF(AQ137=regle!$B$12,regle!$B$11,
IF(AQ137=regle!$C$12,regle!$C$11,
IF(AQ137=regle!$D$12,regle!$D$11,
IF(AQ137=regle!$E$12,regle!$E$11,
IF(AQ137=regle!$F$12,regle!$F$11,
IF(AQ137=regle!$G$12,regle!$G$11,
IF(AQ137=regle!$H$12,regle!$H$11,
IF(AQ137=regle!$I$12,regle!$I$11,""))))))))))</f>
        <v/>
      </c>
      <c r="X137" t="str">
        <f>IF(NOT($A137),"",
IF(AR137=-2,regle!$J$11,
IF(AR137=regle!$B$12,regle!$B$11,
IF(AR137=regle!$C$12,regle!$C$11,
IF(AR137=regle!$D$12,regle!$D$11,
IF(AR137=regle!$E$12,regle!$E$11,
IF(AR137=regle!$F$12,regle!$F$11,
IF(AR137=regle!$G$12,regle!$G$11,
IF(AR137=regle!$H$12,regle!$H$11,
IF(AR137=regle!$I$12,regle!$I$11,""))))))))))</f>
        <v/>
      </c>
      <c r="Y137" t="str">
        <f>IF(NOT($A137),"",
IF(AS137=-2,regle!$J$11,
IF(AS137=regle!$B$12,regle!$B$11,
IF(AS137=regle!$C$12,regle!$C$11,
IF(AS137=regle!$D$12,regle!$D$11,
IF(AS137=regle!$E$12,regle!$E$11,
IF(AS137=regle!$F$12,regle!$F$11,
IF(AS137=regle!$G$12,regle!$G$11,
IF(AS137=regle!$H$12,regle!$H$11,
IF(AS137=regle!$I$12,regle!$I$11,""))))))))))</f>
        <v>EC1</v>
      </c>
      <c r="Z137" t="str">
        <f>IF(NOT($A137),"",
IF(AT137=-2,regle!$J$11,
IF(AT137=regle!$B$12,regle!$B$11,
IF(AT137=regle!$C$12,regle!$C$11,
IF(AT137=regle!$D$12,regle!$D$11,
IF(AT137=regle!$E$12,regle!$E$11,
IF(AT137=regle!$F$12,regle!$F$11,
IF(AT137=regle!$G$12,regle!$G$11,
IF(AT137=regle!$H$12,regle!$H$11,
IF(AT137=regle!$I$12,regle!$I$11,""))))))))))</f>
        <v/>
      </c>
      <c r="AA137" t="str">
        <f>IF(NOT($A137),"",
IF(AU137=-2,regle!$J$11,
IF(AU137=regle!$B$12,regle!$B$11,
IF(AU137=regle!$C$12,regle!$C$11,
IF(AU137=regle!$D$12,regle!$D$11,
IF(AU137=regle!$E$12,regle!$E$11,
IF(AU137=regle!$F$12,regle!$F$11,
IF(AU137=regle!$G$12,regle!$G$11,
IF(AU137=regle!$H$12,regle!$H$11,
IF(AU137=regle!$I$12,regle!$I$11,""))))))))))</f>
        <v/>
      </c>
      <c r="AB137" t="str">
        <f>IF(NOT($A137),"",
IF(AV137=-2,regle!$J$11,
IF(AV137=regle!$B$12,regle!$B$11,
IF(AV137=regle!$C$12,regle!$C$11,
IF(AV137=regle!$D$12,regle!$D$11,
IF(AV137=regle!$E$12,regle!$E$11,
IF(AV137=regle!$F$12,regle!$F$11,
IF(AV137=regle!$G$12,regle!$G$11,
IF(AV137=regle!$H$12,regle!$H$11,
IF(AV137=regle!$I$12,regle!$I$11,""))))))))))</f>
        <v/>
      </c>
      <c r="AC137" t="str">
        <f>IF(NOT($A137),"",
IF(AW137=-2,regle!$J$11,
IF(AW137=regle!$B$12,regle!$B$11,
IF(AW137=regle!$C$12,regle!$C$11,
IF(AW137=regle!$D$12,regle!$D$11,
IF(AW137=regle!$E$12,regle!$E$11,
IF(AW137=regle!$F$12,regle!$F$11,
IF(AW137=regle!$G$12,regle!$G$11,
IF(AW137=regle!$H$12,regle!$H$11,
IF(AW137=regle!$I$12,regle!$I$11,""))))))))))</f>
        <v/>
      </c>
      <c r="AD137" t="str">
        <f>IF(NOT($A137),"",
IF(AX137=-2,regle!$J$11,
IF(AX137=regle!$B$12,regle!$B$11,
IF(AX137=regle!$C$12,regle!$C$11,
IF(AX137=regle!$D$12,regle!$D$11,
IF(AX137=regle!$E$12,regle!$E$11,
IF(AX137=regle!$F$12,regle!$F$11,
IF(AX137=regle!$G$12,regle!$G$11,
IF(AX137=regle!$H$12,regle!$H$11,
IF(AX137=regle!$I$12,regle!$I$11,""))))))))))</f>
        <v>EC2</v>
      </c>
      <c r="AE137" s="14">
        <f>IF($A137,$M137*(IF(U137=regle!$B$11,regle!$B$23,IF(U137=regle!$C$11,regle!$C$23,IF(U137=regle!$D$11,regle!$D$23,IF(U137=regle!$E$11,regle!$E$23,IF(U137=regle!$F$11,regle!$F$23,IF(U137=regle!$G$11,regle!$G$23,IF(U137=regle!$H$11,regle!$H$23,IF(U137=regle!$I$11,regle!$I$23,IF(U137=regle!$J$11,regle!$J$23,0)))))))))))</f>
        <v>0</v>
      </c>
      <c r="AF137" s="14">
        <f>IF($A137,$M137*(IF(V137=regle!$B$11,regle!$B$23,IF(V137=regle!$C$11,regle!$C$23,IF(V137=regle!$D$11,regle!$D$23,IF(V137=regle!$E$11,regle!$E$23,IF(V137=regle!$F$11,regle!$F$23,IF(V137=regle!$G$11,regle!$G$23,IF(V137=regle!$H$11,regle!$H$23,IF(V137=regle!$I$11,regle!$I$23,IF(V137=regle!$J$11,regle!$J$23,0)))))))))))</f>
        <v>0</v>
      </c>
      <c r="AG137" s="14">
        <f>IF($A137,$M137*(IF(W137=regle!$B$11,regle!$B$23,IF(W137=regle!$C$11,regle!$C$23,IF(W137=regle!$D$11,regle!$D$23,IF(W137=regle!$E$11,regle!$E$23,IF(W137=regle!$F$11,regle!$F$23,IF(W137=regle!$G$11,regle!$G$23,IF(W137=regle!$H$11,regle!$H$23,IF(W137=regle!$I$11,regle!$I$23,IF(W137=regle!$J$11,regle!$J$23,0)))))))))))</f>
        <v>0</v>
      </c>
      <c r="AH137" s="14">
        <f>IF($A137,$M137*(IF(X137=regle!$B$11,regle!$B$23,IF(X137=regle!$C$11,regle!$C$23,IF(X137=regle!$D$11,regle!$D$23,IF(X137=regle!$E$11,regle!$E$23,IF(X137=regle!$F$11,regle!$F$23,IF(X137=regle!$G$11,regle!$G$23,IF(X137=regle!$H$11,regle!$H$23,IF(X137=regle!$I$11,regle!$I$23,IF(X137=regle!$J$11,regle!$J$23,0)))))))))))</f>
        <v>0</v>
      </c>
      <c r="AI137" s="14">
        <f>IF($A137,$M137*(IF(Y137=regle!$B$11,regle!$B$23,IF(Y137=regle!$C$11,regle!$C$23,IF(Y137=regle!$D$11,regle!$D$23,IF(Y137=regle!$E$11,regle!$E$23,IF(Y137=regle!$F$11,regle!$F$23,IF(Y137=regle!$G$11,regle!$G$23,IF(Y137=regle!$H$11,regle!$H$23,IF(Y137=regle!$I$11,regle!$I$23,IF(Y137=regle!$J$11,regle!$J$23,0)))))))))))</f>
        <v>121.0176</v>
      </c>
      <c r="AJ137" s="14">
        <f>IF($A137,$M137*(IF(Z137=regle!$B$11,regle!$B$23,IF(Z137=regle!$C$11,regle!$C$23,IF(Z137=regle!$D$11,regle!$D$23,IF(Z137=regle!$E$11,regle!$E$23,IF(Z137=regle!$F$11,regle!$F$23,IF(Z137=regle!$G$11,regle!$G$23,IF(Z137=regle!$H$11,regle!$H$23,IF(Z137=regle!$I$11,regle!$I$23,IF(Z137=regle!$J$11,regle!$J$23,0)))))))))))</f>
        <v>0</v>
      </c>
      <c r="AK137" s="14">
        <f>IF($A137,$M137*(IF(AA137=regle!$B$11,regle!$B$23,IF(AA137=regle!$C$11,regle!$C$23,IF(AA137=regle!$D$11,regle!$D$23,IF(AA137=regle!$E$11,regle!$E$23,IF(AA137=regle!$F$11,regle!$F$23,IF(AA137=regle!$G$11,regle!$G$23,IF(AA137=regle!$H$11,regle!$H$23,IF(AA137=regle!$I$11,regle!$I$23,IF(AA137=regle!$J$11,regle!$J$23,0)))))))))))</f>
        <v>0</v>
      </c>
      <c r="AL137" s="14">
        <f>IF($A137,$M137*(IF(AB137=regle!$B$11,regle!$B$23,IF(AB137=regle!$C$11,regle!$C$23,IF(AB137=regle!$D$11,regle!$D$23,IF(AB137=regle!$E$11,regle!$E$23,IF(AB137=regle!$F$11,regle!$F$23,IF(AB137=regle!$G$11,regle!$G$23,IF(AB137=regle!$H$11,regle!$H$23,IF(AB137=regle!$I$11,regle!$I$23,IF(AB137=regle!$J$11,regle!$J$23,0)))))))))))</f>
        <v>0</v>
      </c>
      <c r="AM137" s="14">
        <f>IF($A137,$M137*(IF(AC137=regle!$B$11,regle!$B$23,IF(AC137=regle!$C$11,regle!$C$23,IF(AC137=regle!$D$11,regle!$D$23,IF(AC137=regle!$E$11,regle!$E$23,IF(AC137=regle!$F$11,regle!$F$23,IF(AC137=regle!$G$11,regle!$G$23,IF(AC137=regle!$H$11,regle!$H$23,IF(AC137=regle!$I$11,regle!$I$23,IF(AC137=regle!$J$11,regle!$J$23,0)))))))))))</f>
        <v>0</v>
      </c>
      <c r="AN137" s="14">
        <f>IF($A137,$M137*(IF(AD137=regle!$B$11,regle!$B$23,IF(AD137=regle!$C$11,regle!$C$23,IF(AD137=regle!$D$11,regle!$D$23,IF(AD137=regle!$E$11,regle!$E$23,IF(AD137=regle!$F$11,regle!$F$23,IF(AD137=regle!$G$11,regle!$G$23,IF(AD137=regle!$H$11,regle!$H$23,IF(AD137=regle!$I$11,regle!$I$23,IF(AD137=regle!$J$11,regle!$J$23,0)))))))))))</f>
        <v>176.48400000000001</v>
      </c>
      <c r="AO137">
        <f>IF(AO$1=$AO$1,IF(regle!B$2-$Q137&gt;=regle!$J$12,-2,IF($S137,IF(regle!$B$2-$Q137&gt;=2,0,-1),regle!B$2-$Q137)),IF(AN137+1&gt;=regle!$J$12,-2,AN137+1))</f>
        <v>9</v>
      </c>
      <c r="AP137">
        <f>IF(AP$1=$AO$1,IF(regle!C$2-$Q137&gt;=regle!$J$12,-2,IF($S137,IF(regle!$B$2-$Q137&gt;=2,0,-1),regle!C$2-$Q137)),IF(AO137+1&gt;=regle!$J$12,-2,AO137+1))</f>
        <v>10</v>
      </c>
      <c r="AQ137">
        <f>IF(AQ$1=$AO$1,IF(regle!D$2-$Q137&gt;=regle!$J$12,-2,IF($S137,IF(regle!$B$2-$Q137&gt;=2,0,-1),regle!D$2-$Q137)),IF(AP137+1&gt;=regle!$J$12,-2,AP137+1))</f>
        <v>11</v>
      </c>
      <c r="AR137">
        <f>IF(AR$1=$AO$1,IF(regle!E$2-$Q137&gt;=regle!$J$12,-2,IF($S137,IF(regle!$B$2-$Q137&gt;=2,0,-1),regle!E$2-$Q137)),IF(AQ137+1&gt;=regle!$J$12,-2,AQ137+1))</f>
        <v>12</v>
      </c>
      <c r="AS137">
        <f>IF(AS$1=$AO$1,IF(regle!F$2-$Q137&gt;=regle!$J$12,-2,IF($S137,IF(regle!$B$2-$Q137&gt;=2,0,-1),regle!F$2-$Q137)),IF(AR137+1&gt;=regle!$J$12,-2,AR137+1))</f>
        <v>13</v>
      </c>
      <c r="AT137">
        <f>IF(AT$1=$AO$1,IF(regle!G$2-$Q137&gt;=regle!$J$12,-2,IF($S137,IF(regle!$B$2-$Q137&gt;=2,0,-1),regle!G$2-$Q137)),IF(AS137+1&gt;=regle!$J$12,-2,AS137+1))</f>
        <v>14</v>
      </c>
      <c r="AU137">
        <f>IF(AU$1=$AO$1,IF(regle!H$2-$Q137&gt;=regle!$J$12,-2,IF($S137,IF(regle!$B$2-$Q137&gt;=2,0,-1),regle!H$2-$Q137)),IF(AT137+1&gt;=regle!$J$12,-2,AT137+1))</f>
        <v>15</v>
      </c>
      <c r="AV137">
        <f>IF(AV$1=$AO$1,IF(regle!I$2-$Q137&gt;=regle!$J$12,-2,IF($S137,IF(regle!$B$2-$Q137&gt;=2,0,-1),regle!I$2-$Q137)),IF(AU137+1&gt;=regle!$J$12,-2,AU137+1))</f>
        <v>16</v>
      </c>
      <c r="AW137">
        <f>IF(AW$1=$AO$1,IF(regle!J$2-$Q137&gt;=regle!$J$12,-2,IF($S137,IF(regle!$B$2-$Q137&gt;=2,0,-1),regle!J$2-$Q137)),IF(AV137+1&gt;=regle!$J$12,-2,AV137+1))</f>
        <v>17</v>
      </c>
      <c r="AX137">
        <f>IF(AX$1=$AO$1,IF(regle!K$2-$Q137&gt;=regle!$J$12,-2,IF($S137,IF(regle!$B$2-$Q137&gt;=2,0,-1),regle!K$2-$Q137)),IF(AW137+1&gt;=regle!$J$12,-2,AW137+1))</f>
        <v>18</v>
      </c>
    </row>
    <row r="138" spans="1:50" x14ac:dyDescent="0.25">
      <c r="A138" t="b">
        <f>AND(modif0[[#This Row],[cdstr]]&lt;&gt;0,OR(regle!$H$27=FALSE,modif0[[#This Row],[essnc]]="PM"))</f>
        <v>1</v>
      </c>
      <c r="B138">
        <f>ROW(objet!A164)</f>
        <v>164</v>
      </c>
      <c r="C138" s="10" t="str">
        <f>objet!D164</f>
        <v>2020000B1161</v>
      </c>
      <c r="D138" t="str">
        <f>LEFT(modif0[[#This Row],[cdstr]],3)</f>
        <v>202</v>
      </c>
      <c r="E138" s="10" t="str">
        <f>objet!G164</f>
        <v>HOSTENS</v>
      </c>
      <c r="F138">
        <f>LEN(modif0[[#This Row],[l_dt]])</f>
        <v>11</v>
      </c>
      <c r="G138" s="10" t="str">
        <f>objet!H164</f>
        <v>LES CAZALAS</v>
      </c>
      <c r="H138" s="10" t="str">
        <f>objet!C164</f>
        <v>B1161</v>
      </c>
      <c r="I138" t="str">
        <f>IF(ISNUMBER(VALUE(RIGHT(LEFT(modif0[[#This Row],[idntfn]],2),1))),_xlfn.CONCAT(0,LEFT(modif0[[#This Row],[idntfn]],1)),LEFT(modif0[[#This Row],[idntfn]],2))</f>
        <v>0B</v>
      </c>
      <c r="J138">
        <f>VALUE(LEFT(RIGHT(modif0[[#This Row],[idntfn]],LEN(modif0[[#This Row],[idntfn]])-IF(LEFT(modif0[[#This Row],[sctn]],1)="0",1,2)),LEN(modif0[[#This Row],[idntfn]])-IF(LEFT(modif0[[#This Row],[sctn]],1)="0",1,2)-LEN(modif0[[#This Row],[lttr]])))</f>
        <v>1161</v>
      </c>
      <c r="K138" t="str">
        <f>IF(ISNUMBER(VALUE(RIGHT(modif0[[#This Row],[idntfn]],1))),"",IF(ISNUMBER(VALUE(LEFT(RIGHT(modif0[[#This Row],[idntfn]],2),1))),RIGHT(modif0[[#This Row],[idntfn]],1),RIGHT(modif0[[#This Row],[idntfn]],2)))</f>
        <v/>
      </c>
      <c r="L138" s="10">
        <f>objet!I164</f>
        <v>29110</v>
      </c>
      <c r="M138" s="11">
        <f>modif0[[#This Row],[srfc]]/10000</f>
        <v>2.911</v>
      </c>
      <c r="N138" s="10" t="str">
        <f>objet!Z164</f>
        <v>PM</v>
      </c>
      <c r="O138" s="10" t="str">
        <f>objet!AA164</f>
        <v>PLA2006</v>
      </c>
      <c r="P138" t="str">
        <f>IF(ISNUMBER(modif0[[#This Row],[trvx]]),"",LEFT(modif0[[#This Row],[trvx]],LEN(modif0[[#This Row],[trvx]])-4))</f>
        <v>PLA</v>
      </c>
      <c r="Q138">
        <f>VALUE(RIGHT(modif0[[#This Row],[trvx]],4))</f>
        <v>2006</v>
      </c>
      <c r="R138" t="str">
        <f>_xlfn.CONCAT(modif0[[#This Row],[tp]],"-",modif0[[#This Row],[essnc]],"_",modif0[[#This Row],[anns]])</f>
        <v>PLA-PM_2006</v>
      </c>
      <c r="S138" t="b">
        <f>modif0[[#This Row],[tp]]="CR"</f>
        <v>0</v>
      </c>
      <c r="T138">
        <v>40</v>
      </c>
      <c r="U138" t="str">
        <f>IF(NOT($A138),"",
IF(AO138=-2,regle!$J$11,
IF(AO138=regle!$B$12,regle!$B$11,
IF(AO138=regle!$C$12,regle!$C$11,
IF(AO138=regle!$D$12,regle!$D$11,
IF(AO138=regle!$E$12,regle!$E$11,
IF(AO138=regle!$F$12,regle!$F$11,
IF(AO138=regle!$G$12,regle!$G$11,
IF(AO138=regle!$H$12,regle!$H$11,
IF(AO138=regle!$I$12,regle!$I$11,""))))))))))</f>
        <v>EC2</v>
      </c>
      <c r="V138" t="str">
        <f>IF(NOT($A138),"",
IF(AP138=-2,regle!$J$11,
IF(AP138=regle!$B$12,regle!$B$11,
IF(AP138=regle!$C$12,regle!$C$11,
IF(AP138=regle!$D$12,regle!$D$11,
IF(AP138=regle!$E$12,regle!$E$11,
IF(AP138=regle!$F$12,regle!$F$11,
IF(AP138=regle!$G$12,regle!$G$11,
IF(AP138=regle!$H$12,regle!$H$11,
IF(AP138=regle!$I$12,regle!$I$11,""))))))))))</f>
        <v/>
      </c>
      <c r="W138" t="str">
        <f>IF(NOT($A138),"",
IF(AQ138=-2,regle!$J$11,
IF(AQ138=regle!$B$12,regle!$B$11,
IF(AQ138=regle!$C$12,regle!$C$11,
IF(AQ138=regle!$D$12,regle!$D$11,
IF(AQ138=regle!$E$12,regle!$E$11,
IF(AQ138=regle!$F$12,regle!$F$11,
IF(AQ138=regle!$G$12,regle!$G$11,
IF(AQ138=regle!$H$12,regle!$H$11,
IF(AQ138=regle!$I$12,regle!$I$11,""))))))))))</f>
        <v/>
      </c>
      <c r="X138" t="str">
        <f>IF(NOT($A138),"",
IF(AR138=-2,regle!$J$11,
IF(AR138=regle!$B$12,regle!$B$11,
IF(AR138=regle!$C$12,regle!$C$11,
IF(AR138=regle!$D$12,regle!$D$11,
IF(AR138=regle!$E$12,regle!$E$11,
IF(AR138=regle!$F$12,regle!$F$11,
IF(AR138=regle!$G$12,regle!$G$11,
IF(AR138=regle!$H$12,regle!$H$11,
IF(AR138=regle!$I$12,regle!$I$11,""))))))))))</f>
        <v/>
      </c>
      <c r="Y138" t="str">
        <f>IF(NOT($A138),"",
IF(AS138=-2,regle!$J$11,
IF(AS138=regle!$B$12,regle!$B$11,
IF(AS138=regle!$C$12,regle!$C$11,
IF(AS138=regle!$D$12,regle!$D$11,
IF(AS138=regle!$E$12,regle!$E$11,
IF(AS138=regle!$F$12,regle!$F$11,
IF(AS138=regle!$G$12,regle!$G$11,
IF(AS138=regle!$H$12,regle!$H$11,
IF(AS138=regle!$I$12,regle!$I$11,""))))))))))</f>
        <v/>
      </c>
      <c r="Z138" t="str">
        <f>IF(NOT($A138),"",
IF(AT138=-2,regle!$J$11,
IF(AT138=regle!$B$12,regle!$B$11,
IF(AT138=regle!$C$12,regle!$C$11,
IF(AT138=regle!$D$12,regle!$D$11,
IF(AT138=regle!$E$12,regle!$E$11,
IF(AT138=regle!$F$12,regle!$F$11,
IF(AT138=regle!$G$12,regle!$G$11,
IF(AT138=regle!$H$12,regle!$H$11,
IF(AT138=regle!$I$12,regle!$I$11,""))))))))))</f>
        <v>EC3</v>
      </c>
      <c r="AA138" t="str">
        <f>IF(NOT($A138),"",
IF(AU138=-2,regle!$J$11,
IF(AU138=regle!$B$12,regle!$B$11,
IF(AU138=regle!$C$12,regle!$C$11,
IF(AU138=regle!$D$12,regle!$D$11,
IF(AU138=regle!$E$12,regle!$E$11,
IF(AU138=regle!$F$12,regle!$F$11,
IF(AU138=regle!$G$12,regle!$G$11,
IF(AU138=regle!$H$12,regle!$H$11,
IF(AU138=regle!$I$12,regle!$I$11,""))))))))))</f>
        <v/>
      </c>
      <c r="AB138" t="str">
        <f>IF(NOT($A138),"",
IF(AV138=-2,regle!$J$11,
IF(AV138=regle!$B$12,regle!$B$11,
IF(AV138=regle!$C$12,regle!$C$11,
IF(AV138=regle!$D$12,regle!$D$11,
IF(AV138=regle!$E$12,regle!$E$11,
IF(AV138=regle!$F$12,regle!$F$11,
IF(AV138=regle!$G$12,regle!$G$11,
IF(AV138=regle!$H$12,regle!$H$11,
IF(AV138=regle!$I$12,regle!$I$11,""))))))))))</f>
        <v/>
      </c>
      <c r="AC138" t="str">
        <f>IF(NOT($A138),"",
IF(AW138=-2,regle!$J$11,
IF(AW138=regle!$B$12,regle!$B$11,
IF(AW138=regle!$C$12,regle!$C$11,
IF(AW138=regle!$D$12,regle!$D$11,
IF(AW138=regle!$E$12,regle!$E$11,
IF(AW138=regle!$F$12,regle!$F$11,
IF(AW138=regle!$G$12,regle!$G$11,
IF(AW138=regle!$H$12,regle!$H$11,
IF(AW138=regle!$I$12,regle!$I$11,""))))))))))</f>
        <v/>
      </c>
      <c r="AD138" t="str">
        <f>IF(NOT($A138),"",
IF(AX138=-2,regle!$J$11,
IF(AX138=regle!$B$12,regle!$B$11,
IF(AX138=regle!$C$12,regle!$C$11,
IF(AX138=regle!$D$12,regle!$D$11,
IF(AX138=regle!$E$12,regle!$E$11,
IF(AX138=regle!$F$12,regle!$F$11,
IF(AX138=regle!$G$12,regle!$G$11,
IF(AX138=regle!$H$12,regle!$H$11,
IF(AX138=regle!$I$12,regle!$I$11,""))))))))))</f>
        <v/>
      </c>
      <c r="AE138" s="14">
        <f>IF($A138,$M138*(IF(U138=regle!$B$11,regle!$B$23,IF(U138=regle!$C$11,regle!$C$23,IF(U138=regle!$D$11,regle!$D$23,IF(U138=regle!$E$11,regle!$E$23,IF(U138=regle!$F$11,regle!$F$23,IF(U138=regle!$G$11,regle!$G$23,IF(U138=regle!$H$11,regle!$H$23,IF(U138=regle!$I$11,regle!$I$23,IF(U138=regle!$J$11,regle!$J$23,0)))))))))))</f>
        <v>2445.2400000000002</v>
      </c>
      <c r="AF138" s="14">
        <f>IF($A138,$M138*(IF(V138=regle!$B$11,regle!$B$23,IF(V138=regle!$C$11,regle!$C$23,IF(V138=regle!$D$11,regle!$D$23,IF(V138=regle!$E$11,regle!$E$23,IF(V138=regle!$F$11,regle!$F$23,IF(V138=regle!$G$11,regle!$G$23,IF(V138=regle!$H$11,regle!$H$23,IF(V138=regle!$I$11,regle!$I$23,IF(V138=regle!$J$11,regle!$J$23,0)))))))))))</f>
        <v>0</v>
      </c>
      <c r="AG138" s="14">
        <f>IF($A138,$M138*(IF(W138=regle!$B$11,regle!$B$23,IF(W138=regle!$C$11,regle!$C$23,IF(W138=regle!$D$11,regle!$D$23,IF(W138=regle!$E$11,regle!$E$23,IF(W138=regle!$F$11,regle!$F$23,IF(W138=regle!$G$11,regle!$G$23,IF(W138=regle!$H$11,regle!$H$23,IF(W138=regle!$I$11,regle!$I$23,IF(W138=regle!$J$11,regle!$J$23,0)))))))))))</f>
        <v>0</v>
      </c>
      <c r="AH138" s="14">
        <f>IF($A138,$M138*(IF(X138=regle!$B$11,regle!$B$23,IF(X138=regle!$C$11,regle!$C$23,IF(X138=regle!$D$11,regle!$D$23,IF(X138=regle!$E$11,regle!$E$23,IF(X138=regle!$F$11,regle!$F$23,IF(X138=regle!$G$11,regle!$G$23,IF(X138=regle!$H$11,regle!$H$23,IF(X138=regle!$I$11,regle!$I$23,IF(X138=regle!$J$11,regle!$J$23,0)))))))))))</f>
        <v>0</v>
      </c>
      <c r="AI138" s="14">
        <f>IF($A138,$M138*(IF(Y138=regle!$B$11,regle!$B$23,IF(Y138=regle!$C$11,regle!$C$23,IF(Y138=regle!$D$11,regle!$D$23,IF(Y138=regle!$E$11,regle!$E$23,IF(Y138=regle!$F$11,regle!$F$23,IF(Y138=regle!$G$11,regle!$G$23,IF(Y138=regle!$H$11,regle!$H$23,IF(Y138=regle!$I$11,regle!$I$23,IF(Y138=regle!$J$11,regle!$J$23,0)))))))))))</f>
        <v>0</v>
      </c>
      <c r="AJ138" s="14">
        <f>IF($A138,$M138*(IF(Z138=regle!$B$11,regle!$B$23,IF(Z138=regle!$C$11,regle!$C$23,IF(Z138=regle!$D$11,regle!$D$23,IF(Z138=regle!$E$11,regle!$E$23,IF(Z138=regle!$F$11,regle!$F$23,IF(Z138=regle!$G$11,regle!$G$23,IF(Z138=regle!$H$11,regle!$H$23,IF(Z138=regle!$I$11,regle!$I$23,IF(Z138=regle!$J$11,regle!$J$23,0)))))))))))</f>
        <v>4098.6880000000001</v>
      </c>
      <c r="AK138" s="14">
        <f>IF($A138,$M138*(IF(AA138=regle!$B$11,regle!$B$23,IF(AA138=regle!$C$11,regle!$C$23,IF(AA138=regle!$D$11,regle!$D$23,IF(AA138=regle!$E$11,regle!$E$23,IF(AA138=regle!$F$11,regle!$F$23,IF(AA138=regle!$G$11,regle!$G$23,IF(AA138=regle!$H$11,regle!$H$23,IF(AA138=regle!$I$11,regle!$I$23,IF(AA138=regle!$J$11,regle!$J$23,0)))))))))))</f>
        <v>0</v>
      </c>
      <c r="AL138" s="14">
        <f>IF($A138,$M138*(IF(AB138=regle!$B$11,regle!$B$23,IF(AB138=regle!$C$11,regle!$C$23,IF(AB138=regle!$D$11,regle!$D$23,IF(AB138=regle!$E$11,regle!$E$23,IF(AB138=regle!$F$11,regle!$F$23,IF(AB138=regle!$G$11,regle!$G$23,IF(AB138=regle!$H$11,regle!$H$23,IF(AB138=regle!$I$11,regle!$I$23,IF(AB138=regle!$J$11,regle!$J$23,0)))))))))))</f>
        <v>0</v>
      </c>
      <c r="AM138" s="14">
        <f>IF($A138,$M138*(IF(AC138=regle!$B$11,regle!$B$23,IF(AC138=regle!$C$11,regle!$C$23,IF(AC138=regle!$D$11,regle!$D$23,IF(AC138=regle!$E$11,regle!$E$23,IF(AC138=regle!$F$11,regle!$F$23,IF(AC138=regle!$G$11,regle!$G$23,IF(AC138=regle!$H$11,regle!$H$23,IF(AC138=regle!$I$11,regle!$I$23,IF(AC138=regle!$J$11,regle!$J$23,0)))))))))))</f>
        <v>0</v>
      </c>
      <c r="AN138" s="14">
        <f>IF($A138,$M138*(IF(AD138=regle!$B$11,regle!$B$23,IF(AD138=regle!$C$11,regle!$C$23,IF(AD138=regle!$D$11,regle!$D$23,IF(AD138=regle!$E$11,regle!$E$23,IF(AD138=regle!$F$11,regle!$F$23,IF(AD138=regle!$G$11,regle!$G$23,IF(AD138=regle!$H$11,regle!$H$23,IF(AD138=regle!$I$11,regle!$I$23,IF(AD138=regle!$J$11,regle!$J$23,0)))))))))))</f>
        <v>0</v>
      </c>
      <c r="AO138">
        <f>IF(AO$1=$AO$1,IF(regle!B$2-$Q138&gt;=regle!$J$12,-2,IF($S138,IF(regle!$B$2-$Q138&gt;=2,0,-1),regle!B$2-$Q138)),IF(AN138+1&gt;=regle!$J$12,-2,AN138+1))</f>
        <v>18</v>
      </c>
      <c r="AP138">
        <f>IF(AP$1=$AO$1,IF(regle!C$2-$Q138&gt;=regle!$J$12,-2,IF($S138,IF(regle!$B$2-$Q138&gt;=2,0,-1),regle!C$2-$Q138)),IF(AO138+1&gt;=regle!$J$12,-2,AO138+1))</f>
        <v>19</v>
      </c>
      <c r="AQ138">
        <f>IF(AQ$1=$AO$1,IF(regle!D$2-$Q138&gt;=regle!$J$12,-2,IF($S138,IF(regle!$B$2-$Q138&gt;=2,0,-1),regle!D$2-$Q138)),IF(AP138+1&gt;=regle!$J$12,-2,AP138+1))</f>
        <v>20</v>
      </c>
      <c r="AR138">
        <f>IF(AR$1=$AO$1,IF(regle!E$2-$Q138&gt;=regle!$J$12,-2,IF($S138,IF(regle!$B$2-$Q138&gt;=2,0,-1),regle!E$2-$Q138)),IF(AQ138+1&gt;=regle!$J$12,-2,AQ138+1))</f>
        <v>21</v>
      </c>
      <c r="AS138">
        <f>IF(AS$1=$AO$1,IF(regle!F$2-$Q138&gt;=regle!$J$12,-2,IF($S138,IF(regle!$B$2-$Q138&gt;=2,0,-1),regle!F$2-$Q138)),IF(AR138+1&gt;=regle!$J$12,-2,AR138+1))</f>
        <v>22</v>
      </c>
      <c r="AT138">
        <f>IF(AT$1=$AO$1,IF(regle!G$2-$Q138&gt;=regle!$J$12,-2,IF($S138,IF(regle!$B$2-$Q138&gt;=2,0,-1),regle!G$2-$Q138)),IF(AS138+1&gt;=regle!$J$12,-2,AS138+1))</f>
        <v>23</v>
      </c>
      <c r="AU138">
        <f>IF(AU$1=$AO$1,IF(regle!H$2-$Q138&gt;=regle!$J$12,-2,IF($S138,IF(regle!$B$2-$Q138&gt;=2,0,-1),regle!H$2-$Q138)),IF(AT138+1&gt;=regle!$J$12,-2,AT138+1))</f>
        <v>24</v>
      </c>
      <c r="AV138">
        <f>IF(AV$1=$AO$1,IF(regle!I$2-$Q138&gt;=regle!$J$12,-2,IF($S138,IF(regle!$B$2-$Q138&gt;=2,0,-1),regle!I$2-$Q138)),IF(AU138+1&gt;=regle!$J$12,-2,AU138+1))</f>
        <v>25</v>
      </c>
      <c r="AW138">
        <f>IF(AW$1=$AO$1,IF(regle!J$2-$Q138&gt;=regle!$J$12,-2,IF($S138,IF(regle!$B$2-$Q138&gt;=2,0,-1),regle!J$2-$Q138)),IF(AV138+1&gt;=regle!$J$12,-2,AV138+1))</f>
        <v>26</v>
      </c>
      <c r="AX138">
        <f>IF(AX$1=$AO$1,IF(regle!K$2-$Q138&gt;=regle!$J$12,-2,IF($S138,IF(regle!$B$2-$Q138&gt;=2,0,-1),regle!K$2-$Q138)),IF(AW138+1&gt;=regle!$J$12,-2,AW138+1))</f>
        <v>27</v>
      </c>
    </row>
    <row r="139" spans="1:50" x14ac:dyDescent="0.25">
      <c r="A139" t="b">
        <f>AND(modif0[[#This Row],[cdstr]]&lt;&gt;0,OR(regle!$H$27=FALSE,modif0[[#This Row],[essnc]]="PM"))</f>
        <v>1</v>
      </c>
      <c r="B139">
        <f>ROW(objet!A165)</f>
        <v>165</v>
      </c>
      <c r="C139" s="10" t="str">
        <f>objet!D165</f>
        <v>2020000B1162</v>
      </c>
      <c r="D139" t="str">
        <f>LEFT(modif0[[#This Row],[cdstr]],3)</f>
        <v>202</v>
      </c>
      <c r="E139" s="10" t="str">
        <f>objet!G165</f>
        <v>HOSTENS</v>
      </c>
      <c r="F139">
        <f>LEN(modif0[[#This Row],[l_dt]])</f>
        <v>11</v>
      </c>
      <c r="G139" s="10" t="str">
        <f>objet!H165</f>
        <v>LES CAZALAS</v>
      </c>
      <c r="H139" s="10" t="str">
        <f>objet!C165</f>
        <v>B1162</v>
      </c>
      <c r="I139" t="str">
        <f>IF(ISNUMBER(VALUE(RIGHT(LEFT(modif0[[#This Row],[idntfn]],2),1))),_xlfn.CONCAT(0,LEFT(modif0[[#This Row],[idntfn]],1)),LEFT(modif0[[#This Row],[idntfn]],2))</f>
        <v>0B</v>
      </c>
      <c r="J139">
        <f>VALUE(LEFT(RIGHT(modif0[[#This Row],[idntfn]],LEN(modif0[[#This Row],[idntfn]])-IF(LEFT(modif0[[#This Row],[sctn]],1)="0",1,2)),LEN(modif0[[#This Row],[idntfn]])-IF(LEFT(modif0[[#This Row],[sctn]],1)="0",1,2)-LEN(modif0[[#This Row],[lttr]])))</f>
        <v>1162</v>
      </c>
      <c r="K139" t="str">
        <f>IF(ISNUMBER(VALUE(RIGHT(modif0[[#This Row],[idntfn]],1))),"",IF(ISNUMBER(VALUE(LEFT(RIGHT(modif0[[#This Row],[idntfn]],2),1))),RIGHT(modif0[[#This Row],[idntfn]],1),RIGHT(modif0[[#This Row],[idntfn]],2)))</f>
        <v/>
      </c>
      <c r="L139" s="10">
        <f>objet!I165</f>
        <v>1680</v>
      </c>
      <c r="M139" s="11">
        <f>modif0[[#This Row],[srfc]]/10000</f>
        <v>0.16800000000000001</v>
      </c>
      <c r="N139" s="10" t="str">
        <f>objet!Z165</f>
        <v>PM</v>
      </c>
      <c r="O139" s="10" t="str">
        <f>objet!AA165</f>
        <v>PLA2006</v>
      </c>
      <c r="P139" t="str">
        <f>IF(ISNUMBER(modif0[[#This Row],[trvx]]),"",LEFT(modif0[[#This Row],[trvx]],LEN(modif0[[#This Row],[trvx]])-4))</f>
        <v>PLA</v>
      </c>
      <c r="Q139">
        <f>VALUE(RIGHT(modif0[[#This Row],[trvx]],4))</f>
        <v>2006</v>
      </c>
      <c r="R139" t="str">
        <f>_xlfn.CONCAT(modif0[[#This Row],[tp]],"-",modif0[[#This Row],[essnc]],"_",modif0[[#This Row],[anns]])</f>
        <v>PLA-PM_2006</v>
      </c>
      <c r="S139" t="b">
        <f>modif0[[#This Row],[tp]]="CR"</f>
        <v>0</v>
      </c>
      <c r="T139">
        <v>40</v>
      </c>
      <c r="U139" t="str">
        <f>IF(NOT($A139),"",
IF(AO139=-2,regle!$J$11,
IF(AO139=regle!$B$12,regle!$B$11,
IF(AO139=regle!$C$12,regle!$C$11,
IF(AO139=regle!$D$12,regle!$D$11,
IF(AO139=regle!$E$12,regle!$E$11,
IF(AO139=regle!$F$12,regle!$F$11,
IF(AO139=regle!$G$12,regle!$G$11,
IF(AO139=regle!$H$12,regle!$H$11,
IF(AO139=regle!$I$12,regle!$I$11,""))))))))))</f>
        <v>EC2</v>
      </c>
      <c r="V139" t="str">
        <f>IF(NOT($A139),"",
IF(AP139=-2,regle!$J$11,
IF(AP139=regle!$B$12,regle!$B$11,
IF(AP139=regle!$C$12,regle!$C$11,
IF(AP139=regle!$D$12,regle!$D$11,
IF(AP139=regle!$E$12,regle!$E$11,
IF(AP139=regle!$F$12,regle!$F$11,
IF(AP139=regle!$G$12,regle!$G$11,
IF(AP139=regle!$H$12,regle!$H$11,
IF(AP139=regle!$I$12,regle!$I$11,""))))))))))</f>
        <v/>
      </c>
      <c r="W139" t="str">
        <f>IF(NOT($A139),"",
IF(AQ139=-2,regle!$J$11,
IF(AQ139=regle!$B$12,regle!$B$11,
IF(AQ139=regle!$C$12,regle!$C$11,
IF(AQ139=regle!$D$12,regle!$D$11,
IF(AQ139=regle!$E$12,regle!$E$11,
IF(AQ139=regle!$F$12,regle!$F$11,
IF(AQ139=regle!$G$12,regle!$G$11,
IF(AQ139=regle!$H$12,regle!$H$11,
IF(AQ139=regle!$I$12,regle!$I$11,""))))))))))</f>
        <v/>
      </c>
      <c r="X139" t="str">
        <f>IF(NOT($A139),"",
IF(AR139=-2,regle!$J$11,
IF(AR139=regle!$B$12,regle!$B$11,
IF(AR139=regle!$C$12,regle!$C$11,
IF(AR139=regle!$D$12,regle!$D$11,
IF(AR139=regle!$E$12,regle!$E$11,
IF(AR139=regle!$F$12,regle!$F$11,
IF(AR139=regle!$G$12,regle!$G$11,
IF(AR139=regle!$H$12,regle!$H$11,
IF(AR139=regle!$I$12,regle!$I$11,""))))))))))</f>
        <v/>
      </c>
      <c r="Y139" t="str">
        <f>IF(NOT($A139),"",
IF(AS139=-2,regle!$J$11,
IF(AS139=regle!$B$12,regle!$B$11,
IF(AS139=regle!$C$12,regle!$C$11,
IF(AS139=regle!$D$12,regle!$D$11,
IF(AS139=regle!$E$12,regle!$E$11,
IF(AS139=regle!$F$12,regle!$F$11,
IF(AS139=regle!$G$12,regle!$G$11,
IF(AS139=regle!$H$12,regle!$H$11,
IF(AS139=regle!$I$12,regle!$I$11,""))))))))))</f>
        <v/>
      </c>
      <c r="Z139" t="str">
        <f>IF(NOT($A139),"",
IF(AT139=-2,regle!$J$11,
IF(AT139=regle!$B$12,regle!$B$11,
IF(AT139=regle!$C$12,regle!$C$11,
IF(AT139=regle!$D$12,regle!$D$11,
IF(AT139=regle!$E$12,regle!$E$11,
IF(AT139=regle!$F$12,regle!$F$11,
IF(AT139=regle!$G$12,regle!$G$11,
IF(AT139=regle!$H$12,regle!$H$11,
IF(AT139=regle!$I$12,regle!$I$11,""))))))))))</f>
        <v>EC3</v>
      </c>
      <c r="AA139" t="str">
        <f>IF(NOT($A139),"",
IF(AU139=-2,regle!$J$11,
IF(AU139=regle!$B$12,regle!$B$11,
IF(AU139=regle!$C$12,regle!$C$11,
IF(AU139=regle!$D$12,regle!$D$11,
IF(AU139=regle!$E$12,regle!$E$11,
IF(AU139=regle!$F$12,regle!$F$11,
IF(AU139=regle!$G$12,regle!$G$11,
IF(AU139=regle!$H$12,regle!$H$11,
IF(AU139=regle!$I$12,regle!$I$11,""))))))))))</f>
        <v/>
      </c>
      <c r="AB139" t="str">
        <f>IF(NOT($A139),"",
IF(AV139=-2,regle!$J$11,
IF(AV139=regle!$B$12,regle!$B$11,
IF(AV139=regle!$C$12,regle!$C$11,
IF(AV139=regle!$D$12,regle!$D$11,
IF(AV139=regle!$E$12,regle!$E$11,
IF(AV139=regle!$F$12,regle!$F$11,
IF(AV139=regle!$G$12,regle!$G$11,
IF(AV139=regle!$H$12,regle!$H$11,
IF(AV139=regle!$I$12,regle!$I$11,""))))))))))</f>
        <v/>
      </c>
      <c r="AC139" t="str">
        <f>IF(NOT($A139),"",
IF(AW139=-2,regle!$J$11,
IF(AW139=regle!$B$12,regle!$B$11,
IF(AW139=regle!$C$12,regle!$C$11,
IF(AW139=regle!$D$12,regle!$D$11,
IF(AW139=regle!$E$12,regle!$E$11,
IF(AW139=regle!$F$12,regle!$F$11,
IF(AW139=regle!$G$12,regle!$G$11,
IF(AW139=regle!$H$12,regle!$H$11,
IF(AW139=regle!$I$12,regle!$I$11,""))))))))))</f>
        <v/>
      </c>
      <c r="AD139" t="str">
        <f>IF(NOT($A139),"",
IF(AX139=-2,regle!$J$11,
IF(AX139=regle!$B$12,regle!$B$11,
IF(AX139=regle!$C$12,regle!$C$11,
IF(AX139=regle!$D$12,regle!$D$11,
IF(AX139=regle!$E$12,regle!$E$11,
IF(AX139=regle!$F$12,regle!$F$11,
IF(AX139=regle!$G$12,regle!$G$11,
IF(AX139=regle!$H$12,regle!$H$11,
IF(AX139=regle!$I$12,regle!$I$11,""))))))))))</f>
        <v/>
      </c>
      <c r="AE139" s="14">
        <f>IF($A139,$M139*(IF(U139=regle!$B$11,regle!$B$23,IF(U139=regle!$C$11,regle!$C$23,IF(U139=regle!$D$11,regle!$D$23,IF(U139=regle!$E$11,regle!$E$23,IF(U139=regle!$F$11,regle!$F$23,IF(U139=regle!$G$11,regle!$G$23,IF(U139=regle!$H$11,regle!$H$23,IF(U139=regle!$I$11,regle!$I$23,IF(U139=regle!$J$11,regle!$J$23,0)))))))))))</f>
        <v>141.12</v>
      </c>
      <c r="AF139" s="14">
        <f>IF($A139,$M139*(IF(V139=regle!$B$11,regle!$B$23,IF(V139=regle!$C$11,regle!$C$23,IF(V139=regle!$D$11,regle!$D$23,IF(V139=regle!$E$11,regle!$E$23,IF(V139=regle!$F$11,regle!$F$23,IF(V139=regle!$G$11,regle!$G$23,IF(V139=regle!$H$11,regle!$H$23,IF(V139=regle!$I$11,regle!$I$23,IF(V139=regle!$J$11,regle!$J$23,0)))))))))))</f>
        <v>0</v>
      </c>
      <c r="AG139" s="14">
        <f>IF($A139,$M139*(IF(W139=regle!$B$11,regle!$B$23,IF(W139=regle!$C$11,regle!$C$23,IF(W139=regle!$D$11,regle!$D$23,IF(W139=regle!$E$11,regle!$E$23,IF(W139=regle!$F$11,regle!$F$23,IF(W139=regle!$G$11,regle!$G$23,IF(W139=regle!$H$11,regle!$H$23,IF(W139=regle!$I$11,regle!$I$23,IF(W139=regle!$J$11,regle!$J$23,0)))))))))))</f>
        <v>0</v>
      </c>
      <c r="AH139" s="14">
        <f>IF($A139,$M139*(IF(X139=regle!$B$11,regle!$B$23,IF(X139=regle!$C$11,regle!$C$23,IF(X139=regle!$D$11,regle!$D$23,IF(X139=regle!$E$11,regle!$E$23,IF(X139=regle!$F$11,regle!$F$23,IF(X139=regle!$G$11,regle!$G$23,IF(X139=regle!$H$11,regle!$H$23,IF(X139=regle!$I$11,regle!$I$23,IF(X139=regle!$J$11,regle!$J$23,0)))))))))))</f>
        <v>0</v>
      </c>
      <c r="AI139" s="14">
        <f>IF($A139,$M139*(IF(Y139=regle!$B$11,regle!$B$23,IF(Y139=regle!$C$11,regle!$C$23,IF(Y139=regle!$D$11,regle!$D$23,IF(Y139=regle!$E$11,regle!$E$23,IF(Y139=regle!$F$11,regle!$F$23,IF(Y139=regle!$G$11,regle!$G$23,IF(Y139=regle!$H$11,regle!$H$23,IF(Y139=regle!$I$11,regle!$I$23,IF(Y139=regle!$J$11,regle!$J$23,0)))))))))))</f>
        <v>0</v>
      </c>
      <c r="AJ139" s="14">
        <f>IF($A139,$M139*(IF(Z139=regle!$B$11,regle!$B$23,IF(Z139=regle!$C$11,regle!$C$23,IF(Z139=regle!$D$11,regle!$D$23,IF(Z139=regle!$E$11,regle!$E$23,IF(Z139=regle!$F$11,regle!$F$23,IF(Z139=regle!$G$11,regle!$G$23,IF(Z139=regle!$H$11,regle!$H$23,IF(Z139=regle!$I$11,regle!$I$23,IF(Z139=regle!$J$11,regle!$J$23,0)))))))))))</f>
        <v>236.54400000000001</v>
      </c>
      <c r="AK139" s="14">
        <f>IF($A139,$M139*(IF(AA139=regle!$B$11,regle!$B$23,IF(AA139=regle!$C$11,regle!$C$23,IF(AA139=regle!$D$11,regle!$D$23,IF(AA139=regle!$E$11,regle!$E$23,IF(AA139=regle!$F$11,regle!$F$23,IF(AA139=regle!$G$11,regle!$G$23,IF(AA139=regle!$H$11,regle!$H$23,IF(AA139=regle!$I$11,regle!$I$23,IF(AA139=regle!$J$11,regle!$J$23,0)))))))))))</f>
        <v>0</v>
      </c>
      <c r="AL139" s="14">
        <f>IF($A139,$M139*(IF(AB139=regle!$B$11,regle!$B$23,IF(AB139=regle!$C$11,regle!$C$23,IF(AB139=regle!$D$11,regle!$D$23,IF(AB139=regle!$E$11,regle!$E$23,IF(AB139=regle!$F$11,regle!$F$23,IF(AB139=regle!$G$11,regle!$G$23,IF(AB139=regle!$H$11,regle!$H$23,IF(AB139=regle!$I$11,regle!$I$23,IF(AB139=regle!$J$11,regle!$J$23,0)))))))))))</f>
        <v>0</v>
      </c>
      <c r="AM139" s="14">
        <f>IF($A139,$M139*(IF(AC139=regle!$B$11,regle!$B$23,IF(AC139=regle!$C$11,regle!$C$23,IF(AC139=regle!$D$11,regle!$D$23,IF(AC139=regle!$E$11,regle!$E$23,IF(AC139=regle!$F$11,regle!$F$23,IF(AC139=regle!$G$11,regle!$G$23,IF(AC139=regle!$H$11,regle!$H$23,IF(AC139=regle!$I$11,regle!$I$23,IF(AC139=regle!$J$11,regle!$J$23,0)))))))))))</f>
        <v>0</v>
      </c>
      <c r="AN139" s="14">
        <f>IF($A139,$M139*(IF(AD139=regle!$B$11,regle!$B$23,IF(AD139=regle!$C$11,regle!$C$23,IF(AD139=regle!$D$11,regle!$D$23,IF(AD139=regle!$E$11,regle!$E$23,IF(AD139=regle!$F$11,regle!$F$23,IF(AD139=regle!$G$11,regle!$G$23,IF(AD139=regle!$H$11,regle!$H$23,IF(AD139=regle!$I$11,regle!$I$23,IF(AD139=regle!$J$11,regle!$J$23,0)))))))))))</f>
        <v>0</v>
      </c>
      <c r="AO139">
        <f>IF(AO$1=$AO$1,IF(regle!B$2-$Q139&gt;=regle!$J$12,-2,IF($S139,IF(regle!$B$2-$Q139&gt;=2,0,-1),regle!B$2-$Q139)),IF(AN139+1&gt;=regle!$J$12,-2,AN139+1))</f>
        <v>18</v>
      </c>
      <c r="AP139">
        <f>IF(AP$1=$AO$1,IF(regle!C$2-$Q139&gt;=regle!$J$12,-2,IF($S139,IF(regle!$B$2-$Q139&gt;=2,0,-1),regle!C$2-$Q139)),IF(AO139+1&gt;=regle!$J$12,-2,AO139+1))</f>
        <v>19</v>
      </c>
      <c r="AQ139">
        <f>IF(AQ$1=$AO$1,IF(regle!D$2-$Q139&gt;=regle!$J$12,-2,IF($S139,IF(regle!$B$2-$Q139&gt;=2,0,-1),regle!D$2-$Q139)),IF(AP139+1&gt;=regle!$J$12,-2,AP139+1))</f>
        <v>20</v>
      </c>
      <c r="AR139">
        <f>IF(AR$1=$AO$1,IF(regle!E$2-$Q139&gt;=regle!$J$12,-2,IF($S139,IF(regle!$B$2-$Q139&gt;=2,0,-1),regle!E$2-$Q139)),IF(AQ139+1&gt;=regle!$J$12,-2,AQ139+1))</f>
        <v>21</v>
      </c>
      <c r="AS139">
        <f>IF(AS$1=$AO$1,IF(regle!F$2-$Q139&gt;=regle!$J$12,-2,IF($S139,IF(regle!$B$2-$Q139&gt;=2,0,-1),regle!F$2-$Q139)),IF(AR139+1&gt;=regle!$J$12,-2,AR139+1))</f>
        <v>22</v>
      </c>
      <c r="AT139">
        <f>IF(AT$1=$AO$1,IF(regle!G$2-$Q139&gt;=regle!$J$12,-2,IF($S139,IF(regle!$B$2-$Q139&gt;=2,0,-1),regle!G$2-$Q139)),IF(AS139+1&gt;=regle!$J$12,-2,AS139+1))</f>
        <v>23</v>
      </c>
      <c r="AU139">
        <f>IF(AU$1=$AO$1,IF(regle!H$2-$Q139&gt;=regle!$J$12,-2,IF($S139,IF(regle!$B$2-$Q139&gt;=2,0,-1),regle!H$2-$Q139)),IF(AT139+1&gt;=regle!$J$12,-2,AT139+1))</f>
        <v>24</v>
      </c>
      <c r="AV139">
        <f>IF(AV$1=$AO$1,IF(regle!I$2-$Q139&gt;=regle!$J$12,-2,IF($S139,IF(regle!$B$2-$Q139&gt;=2,0,-1),regle!I$2-$Q139)),IF(AU139+1&gt;=regle!$J$12,-2,AU139+1))</f>
        <v>25</v>
      </c>
      <c r="AW139">
        <f>IF(AW$1=$AO$1,IF(regle!J$2-$Q139&gt;=regle!$J$12,-2,IF($S139,IF(regle!$B$2-$Q139&gt;=2,0,-1),regle!J$2-$Q139)),IF(AV139+1&gt;=regle!$J$12,-2,AV139+1))</f>
        <v>26</v>
      </c>
      <c r="AX139">
        <f>IF(AX$1=$AO$1,IF(regle!K$2-$Q139&gt;=regle!$J$12,-2,IF($S139,IF(regle!$B$2-$Q139&gt;=2,0,-1),regle!K$2-$Q139)),IF(AW139+1&gt;=regle!$J$12,-2,AW139+1))</f>
        <v>27</v>
      </c>
    </row>
    <row r="140" spans="1:50" x14ac:dyDescent="0.25">
      <c r="A140" t="b">
        <f>AND(modif0[[#This Row],[cdstr]]&lt;&gt;0,OR(regle!$H$27=FALSE,modif0[[#This Row],[essnc]]="PM"))</f>
        <v>1</v>
      </c>
      <c r="B140">
        <f>ROW(objet!A166)</f>
        <v>166</v>
      </c>
      <c r="C140" s="10" t="str">
        <f>objet!D166</f>
        <v>2020000B1163</v>
      </c>
      <c r="D140" t="str">
        <f>LEFT(modif0[[#This Row],[cdstr]],3)</f>
        <v>202</v>
      </c>
      <c r="E140" s="10" t="str">
        <f>objet!G166</f>
        <v>HOSTENS</v>
      </c>
      <c r="F140">
        <f>LEN(modif0[[#This Row],[l_dt]])</f>
        <v>11</v>
      </c>
      <c r="G140" s="10" t="str">
        <f>objet!H166</f>
        <v>LES CAZALAS</v>
      </c>
      <c r="H140" s="10" t="str">
        <f>objet!C166</f>
        <v>B1163</v>
      </c>
      <c r="I140" t="str">
        <f>IF(ISNUMBER(VALUE(RIGHT(LEFT(modif0[[#This Row],[idntfn]],2),1))),_xlfn.CONCAT(0,LEFT(modif0[[#This Row],[idntfn]],1)),LEFT(modif0[[#This Row],[idntfn]],2))</f>
        <v>0B</v>
      </c>
      <c r="J140">
        <f>VALUE(LEFT(RIGHT(modif0[[#This Row],[idntfn]],LEN(modif0[[#This Row],[idntfn]])-IF(LEFT(modif0[[#This Row],[sctn]],1)="0",1,2)),LEN(modif0[[#This Row],[idntfn]])-IF(LEFT(modif0[[#This Row],[sctn]],1)="0",1,2)-LEN(modif0[[#This Row],[lttr]])))</f>
        <v>1163</v>
      </c>
      <c r="K140" t="str">
        <f>IF(ISNUMBER(VALUE(RIGHT(modif0[[#This Row],[idntfn]],1))),"",IF(ISNUMBER(VALUE(LEFT(RIGHT(modif0[[#This Row],[idntfn]],2),1))),RIGHT(modif0[[#This Row],[idntfn]],1),RIGHT(modif0[[#This Row],[idntfn]],2)))</f>
        <v/>
      </c>
      <c r="L140" s="10">
        <f>objet!I166</f>
        <v>1400</v>
      </c>
      <c r="M140" s="11">
        <f>modif0[[#This Row],[srfc]]/10000</f>
        <v>0.14000000000000001</v>
      </c>
      <c r="N140" s="10" t="str">
        <f>objet!Z166</f>
        <v>PM</v>
      </c>
      <c r="O140" s="10" t="str">
        <f>objet!AA166</f>
        <v>PLA2015</v>
      </c>
      <c r="P140" t="str">
        <f>IF(ISNUMBER(modif0[[#This Row],[trvx]]),"",LEFT(modif0[[#This Row],[trvx]],LEN(modif0[[#This Row],[trvx]])-4))</f>
        <v>PLA</v>
      </c>
      <c r="Q140">
        <f>VALUE(RIGHT(modif0[[#This Row],[trvx]],4))</f>
        <v>2015</v>
      </c>
      <c r="R140" t="str">
        <f>_xlfn.CONCAT(modif0[[#This Row],[tp]],"-",modif0[[#This Row],[essnc]],"_",modif0[[#This Row],[anns]])</f>
        <v>PLA-PM_2015</v>
      </c>
      <c r="S140" t="b">
        <f>modif0[[#This Row],[tp]]="CR"</f>
        <v>0</v>
      </c>
      <c r="T140">
        <v>40</v>
      </c>
      <c r="U140" t="str">
        <f>IF(NOT($A140),"",
IF(AO140=-2,regle!$J$11,
IF(AO140=regle!$B$12,regle!$B$11,
IF(AO140=regle!$C$12,regle!$C$11,
IF(AO140=regle!$D$12,regle!$D$11,
IF(AO140=regle!$E$12,regle!$E$11,
IF(AO140=regle!$F$12,regle!$F$11,
IF(AO140=regle!$G$12,regle!$G$11,
IF(AO140=regle!$H$12,regle!$H$11,
IF(AO140=regle!$I$12,regle!$I$11,""))))))))))</f>
        <v/>
      </c>
      <c r="V140" t="str">
        <f>IF(NOT($A140),"",
IF(AP140=-2,regle!$J$11,
IF(AP140=regle!$B$12,regle!$B$11,
IF(AP140=regle!$C$12,regle!$C$11,
IF(AP140=regle!$D$12,regle!$D$11,
IF(AP140=regle!$E$12,regle!$E$11,
IF(AP140=regle!$F$12,regle!$F$11,
IF(AP140=regle!$G$12,regle!$G$11,
IF(AP140=regle!$H$12,regle!$H$11,
IF(AP140=regle!$I$12,regle!$I$11,""))))))))))</f>
        <v/>
      </c>
      <c r="W140" t="str">
        <f>IF(NOT($A140),"",
IF(AQ140=-2,regle!$J$11,
IF(AQ140=regle!$B$12,regle!$B$11,
IF(AQ140=regle!$C$12,regle!$C$11,
IF(AQ140=regle!$D$12,regle!$D$11,
IF(AQ140=regle!$E$12,regle!$E$11,
IF(AQ140=regle!$F$12,regle!$F$11,
IF(AQ140=regle!$G$12,regle!$G$11,
IF(AQ140=regle!$H$12,regle!$H$11,
IF(AQ140=regle!$I$12,regle!$I$11,""))))))))))</f>
        <v/>
      </c>
      <c r="X140" t="str">
        <f>IF(NOT($A140),"",
IF(AR140=-2,regle!$J$11,
IF(AR140=regle!$B$12,regle!$B$11,
IF(AR140=regle!$C$12,regle!$C$11,
IF(AR140=regle!$D$12,regle!$D$11,
IF(AR140=regle!$E$12,regle!$E$11,
IF(AR140=regle!$F$12,regle!$F$11,
IF(AR140=regle!$G$12,regle!$G$11,
IF(AR140=regle!$H$12,regle!$H$11,
IF(AR140=regle!$I$12,regle!$I$11,""))))))))))</f>
        <v/>
      </c>
      <c r="Y140" t="str">
        <f>IF(NOT($A140),"",
IF(AS140=-2,regle!$J$11,
IF(AS140=regle!$B$12,regle!$B$11,
IF(AS140=regle!$C$12,regle!$C$11,
IF(AS140=regle!$D$12,regle!$D$11,
IF(AS140=regle!$E$12,regle!$E$11,
IF(AS140=regle!$F$12,regle!$F$11,
IF(AS140=regle!$G$12,regle!$G$11,
IF(AS140=regle!$H$12,regle!$H$11,
IF(AS140=regle!$I$12,regle!$I$11,""))))))))))</f>
        <v>EC1</v>
      </c>
      <c r="Z140" t="str">
        <f>IF(NOT($A140),"",
IF(AT140=-2,regle!$J$11,
IF(AT140=regle!$B$12,regle!$B$11,
IF(AT140=regle!$C$12,regle!$C$11,
IF(AT140=regle!$D$12,regle!$D$11,
IF(AT140=regle!$E$12,regle!$E$11,
IF(AT140=regle!$F$12,regle!$F$11,
IF(AT140=regle!$G$12,regle!$G$11,
IF(AT140=regle!$H$12,regle!$H$11,
IF(AT140=regle!$I$12,regle!$I$11,""))))))))))</f>
        <v/>
      </c>
      <c r="AA140" t="str">
        <f>IF(NOT($A140),"",
IF(AU140=-2,regle!$J$11,
IF(AU140=regle!$B$12,regle!$B$11,
IF(AU140=regle!$C$12,regle!$C$11,
IF(AU140=regle!$D$12,regle!$D$11,
IF(AU140=regle!$E$12,regle!$E$11,
IF(AU140=regle!$F$12,regle!$F$11,
IF(AU140=regle!$G$12,regle!$G$11,
IF(AU140=regle!$H$12,regle!$H$11,
IF(AU140=regle!$I$12,regle!$I$11,""))))))))))</f>
        <v/>
      </c>
      <c r="AB140" t="str">
        <f>IF(NOT($A140),"",
IF(AV140=-2,regle!$J$11,
IF(AV140=regle!$B$12,regle!$B$11,
IF(AV140=regle!$C$12,regle!$C$11,
IF(AV140=regle!$D$12,regle!$D$11,
IF(AV140=regle!$E$12,regle!$E$11,
IF(AV140=regle!$F$12,regle!$F$11,
IF(AV140=regle!$G$12,regle!$G$11,
IF(AV140=regle!$H$12,regle!$H$11,
IF(AV140=regle!$I$12,regle!$I$11,""))))))))))</f>
        <v/>
      </c>
      <c r="AC140" t="str">
        <f>IF(NOT($A140),"",
IF(AW140=-2,regle!$J$11,
IF(AW140=regle!$B$12,regle!$B$11,
IF(AW140=regle!$C$12,regle!$C$11,
IF(AW140=regle!$D$12,regle!$D$11,
IF(AW140=regle!$E$12,regle!$E$11,
IF(AW140=regle!$F$12,regle!$F$11,
IF(AW140=regle!$G$12,regle!$G$11,
IF(AW140=regle!$H$12,regle!$H$11,
IF(AW140=regle!$I$12,regle!$I$11,""))))))))))</f>
        <v/>
      </c>
      <c r="AD140" t="str">
        <f>IF(NOT($A140),"",
IF(AX140=-2,regle!$J$11,
IF(AX140=regle!$B$12,regle!$B$11,
IF(AX140=regle!$C$12,regle!$C$11,
IF(AX140=regle!$D$12,regle!$D$11,
IF(AX140=regle!$E$12,regle!$E$11,
IF(AX140=regle!$F$12,regle!$F$11,
IF(AX140=regle!$G$12,regle!$G$11,
IF(AX140=regle!$H$12,regle!$H$11,
IF(AX140=regle!$I$12,regle!$I$11,""))))))))))</f>
        <v>EC2</v>
      </c>
      <c r="AE140" s="14">
        <f>IF($A140,$M140*(IF(U140=regle!$B$11,regle!$B$23,IF(U140=regle!$C$11,regle!$C$23,IF(U140=regle!$D$11,regle!$D$23,IF(U140=regle!$E$11,regle!$E$23,IF(U140=regle!$F$11,regle!$F$23,IF(U140=regle!$G$11,regle!$G$23,IF(U140=regle!$H$11,regle!$H$23,IF(U140=regle!$I$11,regle!$I$23,IF(U140=regle!$J$11,regle!$J$23,0)))))))))))</f>
        <v>0</v>
      </c>
      <c r="AF140" s="14">
        <f>IF($A140,$M140*(IF(V140=regle!$B$11,regle!$B$23,IF(V140=regle!$C$11,regle!$C$23,IF(V140=regle!$D$11,regle!$D$23,IF(V140=regle!$E$11,regle!$E$23,IF(V140=regle!$F$11,regle!$F$23,IF(V140=regle!$G$11,regle!$G$23,IF(V140=regle!$H$11,regle!$H$23,IF(V140=regle!$I$11,regle!$I$23,IF(V140=regle!$J$11,regle!$J$23,0)))))))))))</f>
        <v>0</v>
      </c>
      <c r="AG140" s="14">
        <f>IF($A140,$M140*(IF(W140=regle!$B$11,regle!$B$23,IF(W140=regle!$C$11,regle!$C$23,IF(W140=regle!$D$11,regle!$D$23,IF(W140=regle!$E$11,regle!$E$23,IF(W140=regle!$F$11,regle!$F$23,IF(W140=regle!$G$11,regle!$G$23,IF(W140=regle!$H$11,regle!$H$23,IF(W140=regle!$I$11,regle!$I$23,IF(W140=regle!$J$11,regle!$J$23,0)))))))))))</f>
        <v>0</v>
      </c>
      <c r="AH140" s="14">
        <f>IF($A140,$M140*(IF(X140=regle!$B$11,regle!$B$23,IF(X140=regle!$C$11,regle!$C$23,IF(X140=regle!$D$11,regle!$D$23,IF(X140=regle!$E$11,regle!$E$23,IF(X140=regle!$F$11,regle!$F$23,IF(X140=regle!$G$11,regle!$G$23,IF(X140=regle!$H$11,regle!$H$23,IF(X140=regle!$I$11,regle!$I$23,IF(X140=regle!$J$11,regle!$J$23,0)))))))))))</f>
        <v>0</v>
      </c>
      <c r="AI140" s="14">
        <f>IF($A140,$M140*(IF(Y140=regle!$B$11,regle!$B$23,IF(Y140=regle!$C$11,regle!$C$23,IF(Y140=regle!$D$11,regle!$D$23,IF(Y140=regle!$E$11,regle!$E$23,IF(Y140=regle!$F$11,regle!$F$23,IF(Y140=regle!$G$11,regle!$G$23,IF(Y140=regle!$H$11,regle!$H$23,IF(Y140=regle!$I$11,regle!$I$23,IF(Y140=regle!$J$11,regle!$J$23,0)))))))))))</f>
        <v>80.640000000000015</v>
      </c>
      <c r="AJ140" s="14">
        <f>IF($A140,$M140*(IF(Z140=regle!$B$11,regle!$B$23,IF(Z140=regle!$C$11,regle!$C$23,IF(Z140=regle!$D$11,regle!$D$23,IF(Z140=regle!$E$11,regle!$E$23,IF(Z140=regle!$F$11,regle!$F$23,IF(Z140=regle!$G$11,regle!$G$23,IF(Z140=regle!$H$11,regle!$H$23,IF(Z140=regle!$I$11,regle!$I$23,IF(Z140=regle!$J$11,regle!$J$23,0)))))))))))</f>
        <v>0</v>
      </c>
      <c r="AK140" s="14">
        <f>IF($A140,$M140*(IF(AA140=regle!$B$11,regle!$B$23,IF(AA140=regle!$C$11,regle!$C$23,IF(AA140=regle!$D$11,regle!$D$23,IF(AA140=regle!$E$11,regle!$E$23,IF(AA140=regle!$F$11,regle!$F$23,IF(AA140=regle!$G$11,regle!$G$23,IF(AA140=regle!$H$11,regle!$H$23,IF(AA140=regle!$I$11,regle!$I$23,IF(AA140=regle!$J$11,regle!$J$23,0)))))))))))</f>
        <v>0</v>
      </c>
      <c r="AL140" s="14">
        <f>IF($A140,$M140*(IF(AB140=regle!$B$11,regle!$B$23,IF(AB140=regle!$C$11,regle!$C$23,IF(AB140=regle!$D$11,regle!$D$23,IF(AB140=regle!$E$11,regle!$E$23,IF(AB140=regle!$F$11,regle!$F$23,IF(AB140=regle!$G$11,regle!$G$23,IF(AB140=regle!$H$11,regle!$H$23,IF(AB140=regle!$I$11,regle!$I$23,IF(AB140=regle!$J$11,regle!$J$23,0)))))))))))</f>
        <v>0</v>
      </c>
      <c r="AM140" s="14">
        <f>IF($A140,$M140*(IF(AC140=regle!$B$11,regle!$B$23,IF(AC140=regle!$C$11,regle!$C$23,IF(AC140=regle!$D$11,regle!$D$23,IF(AC140=regle!$E$11,regle!$E$23,IF(AC140=regle!$F$11,regle!$F$23,IF(AC140=regle!$G$11,regle!$G$23,IF(AC140=regle!$H$11,regle!$H$23,IF(AC140=regle!$I$11,regle!$I$23,IF(AC140=regle!$J$11,regle!$J$23,0)))))))))))</f>
        <v>0</v>
      </c>
      <c r="AN140" s="14">
        <f>IF($A140,$M140*(IF(AD140=regle!$B$11,regle!$B$23,IF(AD140=regle!$C$11,regle!$C$23,IF(AD140=regle!$D$11,regle!$D$23,IF(AD140=regle!$E$11,regle!$E$23,IF(AD140=regle!$F$11,regle!$F$23,IF(AD140=regle!$G$11,regle!$G$23,IF(AD140=regle!$H$11,regle!$H$23,IF(AD140=regle!$I$11,regle!$I$23,IF(AD140=regle!$J$11,regle!$J$23,0)))))))))))</f>
        <v>117.60000000000001</v>
      </c>
      <c r="AO140">
        <f>IF(AO$1=$AO$1,IF(regle!B$2-$Q140&gt;=regle!$J$12,-2,IF($S140,IF(regle!$B$2-$Q140&gt;=2,0,-1),regle!B$2-$Q140)),IF(AN140+1&gt;=regle!$J$12,-2,AN140+1))</f>
        <v>9</v>
      </c>
      <c r="AP140">
        <f>IF(AP$1=$AO$1,IF(regle!C$2-$Q140&gt;=regle!$J$12,-2,IF($S140,IF(regle!$B$2-$Q140&gt;=2,0,-1),regle!C$2-$Q140)),IF(AO140+1&gt;=regle!$J$12,-2,AO140+1))</f>
        <v>10</v>
      </c>
      <c r="AQ140">
        <f>IF(AQ$1=$AO$1,IF(regle!D$2-$Q140&gt;=regle!$J$12,-2,IF($S140,IF(regle!$B$2-$Q140&gt;=2,0,-1),regle!D$2-$Q140)),IF(AP140+1&gt;=regle!$J$12,-2,AP140+1))</f>
        <v>11</v>
      </c>
      <c r="AR140">
        <f>IF(AR$1=$AO$1,IF(regle!E$2-$Q140&gt;=regle!$J$12,-2,IF($S140,IF(regle!$B$2-$Q140&gt;=2,0,-1),regle!E$2-$Q140)),IF(AQ140+1&gt;=regle!$J$12,-2,AQ140+1))</f>
        <v>12</v>
      </c>
      <c r="AS140">
        <f>IF(AS$1=$AO$1,IF(regle!F$2-$Q140&gt;=regle!$J$12,-2,IF($S140,IF(regle!$B$2-$Q140&gt;=2,0,-1),regle!F$2-$Q140)),IF(AR140+1&gt;=regle!$J$12,-2,AR140+1))</f>
        <v>13</v>
      </c>
      <c r="AT140">
        <f>IF(AT$1=$AO$1,IF(regle!G$2-$Q140&gt;=regle!$J$12,-2,IF($S140,IF(regle!$B$2-$Q140&gt;=2,0,-1),regle!G$2-$Q140)),IF(AS140+1&gt;=regle!$J$12,-2,AS140+1))</f>
        <v>14</v>
      </c>
      <c r="AU140">
        <f>IF(AU$1=$AO$1,IF(regle!H$2-$Q140&gt;=regle!$J$12,-2,IF($S140,IF(regle!$B$2-$Q140&gt;=2,0,-1),regle!H$2-$Q140)),IF(AT140+1&gt;=regle!$J$12,-2,AT140+1))</f>
        <v>15</v>
      </c>
      <c r="AV140">
        <f>IF(AV$1=$AO$1,IF(regle!I$2-$Q140&gt;=regle!$J$12,-2,IF($S140,IF(regle!$B$2-$Q140&gt;=2,0,-1),regle!I$2-$Q140)),IF(AU140+1&gt;=regle!$J$12,-2,AU140+1))</f>
        <v>16</v>
      </c>
      <c r="AW140">
        <f>IF(AW$1=$AO$1,IF(regle!J$2-$Q140&gt;=regle!$J$12,-2,IF($S140,IF(regle!$B$2-$Q140&gt;=2,0,-1),regle!J$2-$Q140)),IF(AV140+1&gt;=regle!$J$12,-2,AV140+1))</f>
        <v>17</v>
      </c>
      <c r="AX140">
        <f>IF(AX$1=$AO$1,IF(regle!K$2-$Q140&gt;=regle!$J$12,-2,IF($S140,IF(regle!$B$2-$Q140&gt;=2,0,-1),regle!K$2-$Q140)),IF(AW140+1&gt;=regle!$J$12,-2,AW140+1))</f>
        <v>18</v>
      </c>
    </row>
    <row r="141" spans="1:50" x14ac:dyDescent="0.25">
      <c r="A141" t="b">
        <f>AND(modif0[[#This Row],[cdstr]]&lt;&gt;0,OR(regle!$H$27=FALSE,modif0[[#This Row],[essnc]]="PM"))</f>
        <v>1</v>
      </c>
      <c r="B141">
        <f>ROW(objet!A167)</f>
        <v>167</v>
      </c>
      <c r="C141" s="10" t="str">
        <f>objet!D167</f>
        <v>2020000B1164</v>
      </c>
      <c r="D141" t="str">
        <f>LEFT(modif0[[#This Row],[cdstr]],3)</f>
        <v>202</v>
      </c>
      <c r="E141" s="10" t="str">
        <f>objet!G167</f>
        <v>HOSTENS</v>
      </c>
      <c r="F141">
        <f>LEN(modif0[[#This Row],[l_dt]])</f>
        <v>11</v>
      </c>
      <c r="G141" s="10" t="str">
        <f>objet!H167</f>
        <v>LES CAZALAS</v>
      </c>
      <c r="H141" s="10" t="str">
        <f>objet!C167</f>
        <v>B1164</v>
      </c>
      <c r="I141" t="str">
        <f>IF(ISNUMBER(VALUE(RIGHT(LEFT(modif0[[#This Row],[idntfn]],2),1))),_xlfn.CONCAT(0,LEFT(modif0[[#This Row],[idntfn]],1)),LEFT(modif0[[#This Row],[idntfn]],2))</f>
        <v>0B</v>
      </c>
      <c r="J141">
        <f>VALUE(LEFT(RIGHT(modif0[[#This Row],[idntfn]],LEN(modif0[[#This Row],[idntfn]])-IF(LEFT(modif0[[#This Row],[sctn]],1)="0",1,2)),LEN(modif0[[#This Row],[idntfn]])-IF(LEFT(modif0[[#This Row],[sctn]],1)="0",1,2)-LEN(modif0[[#This Row],[lttr]])))</f>
        <v>1164</v>
      </c>
      <c r="K141" t="str">
        <f>IF(ISNUMBER(VALUE(RIGHT(modif0[[#This Row],[idntfn]],1))),"",IF(ISNUMBER(VALUE(LEFT(RIGHT(modif0[[#This Row],[idntfn]],2),1))),RIGHT(modif0[[#This Row],[idntfn]],1),RIGHT(modif0[[#This Row],[idntfn]],2)))</f>
        <v/>
      </c>
      <c r="L141" s="10">
        <f>objet!I167</f>
        <v>7690</v>
      </c>
      <c r="M141" s="11">
        <f>modif0[[#This Row],[srfc]]/10000</f>
        <v>0.76900000000000002</v>
      </c>
      <c r="N141" s="10" t="str">
        <f>objet!Z167</f>
        <v>PM</v>
      </c>
      <c r="O141" s="10" t="str">
        <f>objet!AA167</f>
        <v>PLA2015</v>
      </c>
      <c r="P141" t="str">
        <f>IF(ISNUMBER(modif0[[#This Row],[trvx]]),"",LEFT(modif0[[#This Row],[trvx]],LEN(modif0[[#This Row],[trvx]])-4))</f>
        <v>PLA</v>
      </c>
      <c r="Q141">
        <f>VALUE(RIGHT(modif0[[#This Row],[trvx]],4))</f>
        <v>2015</v>
      </c>
      <c r="R141" t="str">
        <f>_xlfn.CONCAT(modif0[[#This Row],[tp]],"-",modif0[[#This Row],[essnc]],"_",modif0[[#This Row],[anns]])</f>
        <v>PLA-PM_2015</v>
      </c>
      <c r="S141" t="b">
        <f>modif0[[#This Row],[tp]]="CR"</f>
        <v>0</v>
      </c>
      <c r="T141">
        <v>40</v>
      </c>
      <c r="U141" t="str">
        <f>IF(NOT($A141),"",
IF(AO141=-2,regle!$J$11,
IF(AO141=regle!$B$12,regle!$B$11,
IF(AO141=regle!$C$12,regle!$C$11,
IF(AO141=regle!$D$12,regle!$D$11,
IF(AO141=regle!$E$12,regle!$E$11,
IF(AO141=regle!$F$12,regle!$F$11,
IF(AO141=regle!$G$12,regle!$G$11,
IF(AO141=regle!$H$12,regle!$H$11,
IF(AO141=regle!$I$12,regle!$I$11,""))))))))))</f>
        <v/>
      </c>
      <c r="V141" t="str">
        <f>IF(NOT($A141),"",
IF(AP141=-2,regle!$J$11,
IF(AP141=regle!$B$12,regle!$B$11,
IF(AP141=regle!$C$12,regle!$C$11,
IF(AP141=regle!$D$12,regle!$D$11,
IF(AP141=regle!$E$12,regle!$E$11,
IF(AP141=regle!$F$12,regle!$F$11,
IF(AP141=regle!$G$12,regle!$G$11,
IF(AP141=regle!$H$12,regle!$H$11,
IF(AP141=regle!$I$12,regle!$I$11,""))))))))))</f>
        <v/>
      </c>
      <c r="W141" t="str">
        <f>IF(NOT($A141),"",
IF(AQ141=-2,regle!$J$11,
IF(AQ141=regle!$B$12,regle!$B$11,
IF(AQ141=regle!$C$12,regle!$C$11,
IF(AQ141=regle!$D$12,regle!$D$11,
IF(AQ141=regle!$E$12,regle!$E$11,
IF(AQ141=regle!$F$12,regle!$F$11,
IF(AQ141=regle!$G$12,regle!$G$11,
IF(AQ141=regle!$H$12,regle!$H$11,
IF(AQ141=regle!$I$12,regle!$I$11,""))))))))))</f>
        <v/>
      </c>
      <c r="X141" t="str">
        <f>IF(NOT($A141),"",
IF(AR141=-2,regle!$J$11,
IF(AR141=regle!$B$12,regle!$B$11,
IF(AR141=regle!$C$12,regle!$C$11,
IF(AR141=regle!$D$12,regle!$D$11,
IF(AR141=regle!$E$12,regle!$E$11,
IF(AR141=regle!$F$12,regle!$F$11,
IF(AR141=regle!$G$12,regle!$G$11,
IF(AR141=regle!$H$12,regle!$H$11,
IF(AR141=regle!$I$12,regle!$I$11,""))))))))))</f>
        <v/>
      </c>
      <c r="Y141" t="str">
        <f>IF(NOT($A141),"",
IF(AS141=-2,regle!$J$11,
IF(AS141=regle!$B$12,regle!$B$11,
IF(AS141=regle!$C$12,regle!$C$11,
IF(AS141=regle!$D$12,regle!$D$11,
IF(AS141=regle!$E$12,regle!$E$11,
IF(AS141=regle!$F$12,regle!$F$11,
IF(AS141=regle!$G$12,regle!$G$11,
IF(AS141=regle!$H$12,regle!$H$11,
IF(AS141=regle!$I$12,regle!$I$11,""))))))))))</f>
        <v>EC1</v>
      </c>
      <c r="Z141" t="str">
        <f>IF(NOT($A141),"",
IF(AT141=-2,regle!$J$11,
IF(AT141=regle!$B$12,regle!$B$11,
IF(AT141=regle!$C$12,regle!$C$11,
IF(AT141=regle!$D$12,regle!$D$11,
IF(AT141=regle!$E$12,regle!$E$11,
IF(AT141=regle!$F$12,regle!$F$11,
IF(AT141=regle!$G$12,regle!$G$11,
IF(AT141=regle!$H$12,regle!$H$11,
IF(AT141=regle!$I$12,regle!$I$11,""))))))))))</f>
        <v/>
      </c>
      <c r="AA141" t="str">
        <f>IF(NOT($A141),"",
IF(AU141=-2,regle!$J$11,
IF(AU141=regle!$B$12,regle!$B$11,
IF(AU141=regle!$C$12,regle!$C$11,
IF(AU141=regle!$D$12,regle!$D$11,
IF(AU141=regle!$E$12,regle!$E$11,
IF(AU141=regle!$F$12,regle!$F$11,
IF(AU141=regle!$G$12,regle!$G$11,
IF(AU141=regle!$H$12,regle!$H$11,
IF(AU141=regle!$I$12,regle!$I$11,""))))))))))</f>
        <v/>
      </c>
      <c r="AB141" t="str">
        <f>IF(NOT($A141),"",
IF(AV141=-2,regle!$J$11,
IF(AV141=regle!$B$12,regle!$B$11,
IF(AV141=regle!$C$12,regle!$C$11,
IF(AV141=regle!$D$12,regle!$D$11,
IF(AV141=regle!$E$12,regle!$E$11,
IF(AV141=regle!$F$12,regle!$F$11,
IF(AV141=regle!$G$12,regle!$G$11,
IF(AV141=regle!$H$12,regle!$H$11,
IF(AV141=regle!$I$12,regle!$I$11,""))))))))))</f>
        <v/>
      </c>
      <c r="AC141" t="str">
        <f>IF(NOT($A141),"",
IF(AW141=-2,regle!$J$11,
IF(AW141=regle!$B$12,regle!$B$11,
IF(AW141=regle!$C$12,regle!$C$11,
IF(AW141=regle!$D$12,regle!$D$11,
IF(AW141=regle!$E$12,regle!$E$11,
IF(AW141=regle!$F$12,regle!$F$11,
IF(AW141=regle!$G$12,regle!$G$11,
IF(AW141=regle!$H$12,regle!$H$11,
IF(AW141=regle!$I$12,regle!$I$11,""))))))))))</f>
        <v/>
      </c>
      <c r="AD141" t="str">
        <f>IF(NOT($A141),"",
IF(AX141=-2,regle!$J$11,
IF(AX141=regle!$B$12,regle!$B$11,
IF(AX141=regle!$C$12,regle!$C$11,
IF(AX141=regle!$D$12,regle!$D$11,
IF(AX141=regle!$E$12,regle!$E$11,
IF(AX141=regle!$F$12,regle!$F$11,
IF(AX141=regle!$G$12,regle!$G$11,
IF(AX141=regle!$H$12,regle!$H$11,
IF(AX141=regle!$I$12,regle!$I$11,""))))))))))</f>
        <v>EC2</v>
      </c>
      <c r="AE141" s="14">
        <f>IF($A141,$M141*(IF(U141=regle!$B$11,regle!$B$23,IF(U141=regle!$C$11,regle!$C$23,IF(U141=regle!$D$11,regle!$D$23,IF(U141=regle!$E$11,regle!$E$23,IF(U141=regle!$F$11,regle!$F$23,IF(U141=regle!$G$11,regle!$G$23,IF(U141=regle!$H$11,regle!$H$23,IF(U141=regle!$I$11,regle!$I$23,IF(U141=regle!$J$11,regle!$J$23,0)))))))))))</f>
        <v>0</v>
      </c>
      <c r="AF141" s="14">
        <f>IF($A141,$M141*(IF(V141=regle!$B$11,regle!$B$23,IF(V141=regle!$C$11,regle!$C$23,IF(V141=regle!$D$11,regle!$D$23,IF(V141=regle!$E$11,regle!$E$23,IF(V141=regle!$F$11,regle!$F$23,IF(V141=regle!$G$11,regle!$G$23,IF(V141=regle!$H$11,regle!$H$23,IF(V141=regle!$I$11,regle!$I$23,IF(V141=regle!$J$11,regle!$J$23,0)))))))))))</f>
        <v>0</v>
      </c>
      <c r="AG141" s="14">
        <f>IF($A141,$M141*(IF(W141=regle!$B$11,regle!$B$23,IF(W141=regle!$C$11,regle!$C$23,IF(W141=regle!$D$11,regle!$D$23,IF(W141=regle!$E$11,regle!$E$23,IF(W141=regle!$F$11,regle!$F$23,IF(W141=regle!$G$11,regle!$G$23,IF(W141=regle!$H$11,regle!$H$23,IF(W141=regle!$I$11,regle!$I$23,IF(W141=regle!$J$11,regle!$J$23,0)))))))))))</f>
        <v>0</v>
      </c>
      <c r="AH141" s="14">
        <f>IF($A141,$M141*(IF(X141=regle!$B$11,regle!$B$23,IF(X141=regle!$C$11,regle!$C$23,IF(X141=regle!$D$11,regle!$D$23,IF(X141=regle!$E$11,regle!$E$23,IF(X141=regle!$F$11,regle!$F$23,IF(X141=regle!$G$11,regle!$G$23,IF(X141=regle!$H$11,regle!$H$23,IF(X141=regle!$I$11,regle!$I$23,IF(X141=regle!$J$11,regle!$J$23,0)))))))))))</f>
        <v>0</v>
      </c>
      <c r="AI141" s="14">
        <f>IF($A141,$M141*(IF(Y141=regle!$B$11,regle!$B$23,IF(Y141=regle!$C$11,regle!$C$23,IF(Y141=regle!$D$11,regle!$D$23,IF(Y141=regle!$E$11,regle!$E$23,IF(Y141=regle!$F$11,regle!$F$23,IF(Y141=regle!$G$11,regle!$G$23,IF(Y141=regle!$H$11,regle!$H$23,IF(Y141=regle!$I$11,regle!$I$23,IF(Y141=regle!$J$11,regle!$J$23,0)))))))))))</f>
        <v>442.94400000000002</v>
      </c>
      <c r="AJ141" s="14">
        <f>IF($A141,$M141*(IF(Z141=regle!$B$11,regle!$B$23,IF(Z141=regle!$C$11,regle!$C$23,IF(Z141=regle!$D$11,regle!$D$23,IF(Z141=regle!$E$11,regle!$E$23,IF(Z141=regle!$F$11,regle!$F$23,IF(Z141=regle!$G$11,regle!$G$23,IF(Z141=regle!$H$11,regle!$H$23,IF(Z141=regle!$I$11,regle!$I$23,IF(Z141=regle!$J$11,regle!$J$23,0)))))))))))</f>
        <v>0</v>
      </c>
      <c r="AK141" s="14">
        <f>IF($A141,$M141*(IF(AA141=regle!$B$11,regle!$B$23,IF(AA141=regle!$C$11,regle!$C$23,IF(AA141=regle!$D$11,regle!$D$23,IF(AA141=regle!$E$11,regle!$E$23,IF(AA141=regle!$F$11,regle!$F$23,IF(AA141=regle!$G$11,regle!$G$23,IF(AA141=regle!$H$11,regle!$H$23,IF(AA141=regle!$I$11,regle!$I$23,IF(AA141=regle!$J$11,regle!$J$23,0)))))))))))</f>
        <v>0</v>
      </c>
      <c r="AL141" s="14">
        <f>IF($A141,$M141*(IF(AB141=regle!$B$11,regle!$B$23,IF(AB141=regle!$C$11,regle!$C$23,IF(AB141=regle!$D$11,regle!$D$23,IF(AB141=regle!$E$11,regle!$E$23,IF(AB141=regle!$F$11,regle!$F$23,IF(AB141=regle!$G$11,regle!$G$23,IF(AB141=regle!$H$11,regle!$H$23,IF(AB141=regle!$I$11,regle!$I$23,IF(AB141=regle!$J$11,regle!$J$23,0)))))))))))</f>
        <v>0</v>
      </c>
      <c r="AM141" s="14">
        <f>IF($A141,$M141*(IF(AC141=regle!$B$11,regle!$B$23,IF(AC141=regle!$C$11,regle!$C$23,IF(AC141=regle!$D$11,regle!$D$23,IF(AC141=regle!$E$11,regle!$E$23,IF(AC141=regle!$F$11,regle!$F$23,IF(AC141=regle!$G$11,regle!$G$23,IF(AC141=regle!$H$11,regle!$H$23,IF(AC141=regle!$I$11,regle!$I$23,IF(AC141=regle!$J$11,regle!$J$23,0)))))))))))</f>
        <v>0</v>
      </c>
      <c r="AN141" s="14">
        <f>IF($A141,$M141*(IF(AD141=regle!$B$11,regle!$B$23,IF(AD141=regle!$C$11,regle!$C$23,IF(AD141=regle!$D$11,regle!$D$23,IF(AD141=regle!$E$11,regle!$E$23,IF(AD141=regle!$F$11,regle!$F$23,IF(AD141=regle!$G$11,regle!$G$23,IF(AD141=regle!$H$11,regle!$H$23,IF(AD141=regle!$I$11,regle!$I$23,IF(AD141=regle!$J$11,regle!$J$23,0)))))))))))</f>
        <v>645.96</v>
      </c>
      <c r="AO141">
        <f>IF(AO$1=$AO$1,IF(regle!B$2-$Q141&gt;=regle!$J$12,-2,IF($S141,IF(regle!$B$2-$Q141&gt;=2,0,-1),regle!B$2-$Q141)),IF(AN141+1&gt;=regle!$J$12,-2,AN141+1))</f>
        <v>9</v>
      </c>
      <c r="AP141">
        <f>IF(AP$1=$AO$1,IF(regle!C$2-$Q141&gt;=regle!$J$12,-2,IF($S141,IF(regle!$B$2-$Q141&gt;=2,0,-1),regle!C$2-$Q141)),IF(AO141+1&gt;=regle!$J$12,-2,AO141+1))</f>
        <v>10</v>
      </c>
      <c r="AQ141">
        <f>IF(AQ$1=$AO$1,IF(regle!D$2-$Q141&gt;=regle!$J$12,-2,IF($S141,IF(regle!$B$2-$Q141&gt;=2,0,-1),regle!D$2-$Q141)),IF(AP141+1&gt;=regle!$J$12,-2,AP141+1))</f>
        <v>11</v>
      </c>
      <c r="AR141">
        <f>IF(AR$1=$AO$1,IF(regle!E$2-$Q141&gt;=regle!$J$12,-2,IF($S141,IF(regle!$B$2-$Q141&gt;=2,0,-1),regle!E$2-$Q141)),IF(AQ141+1&gt;=regle!$J$12,-2,AQ141+1))</f>
        <v>12</v>
      </c>
      <c r="AS141">
        <f>IF(AS$1=$AO$1,IF(regle!F$2-$Q141&gt;=regle!$J$12,-2,IF($S141,IF(regle!$B$2-$Q141&gt;=2,0,-1),regle!F$2-$Q141)),IF(AR141+1&gt;=regle!$J$12,-2,AR141+1))</f>
        <v>13</v>
      </c>
      <c r="AT141">
        <f>IF(AT$1=$AO$1,IF(regle!G$2-$Q141&gt;=regle!$J$12,-2,IF($S141,IF(regle!$B$2-$Q141&gt;=2,0,-1),regle!G$2-$Q141)),IF(AS141+1&gt;=regle!$J$12,-2,AS141+1))</f>
        <v>14</v>
      </c>
      <c r="AU141">
        <f>IF(AU$1=$AO$1,IF(regle!H$2-$Q141&gt;=regle!$J$12,-2,IF($S141,IF(regle!$B$2-$Q141&gt;=2,0,-1),regle!H$2-$Q141)),IF(AT141+1&gt;=regle!$J$12,-2,AT141+1))</f>
        <v>15</v>
      </c>
      <c r="AV141">
        <f>IF(AV$1=$AO$1,IF(regle!I$2-$Q141&gt;=regle!$J$12,-2,IF($S141,IF(regle!$B$2-$Q141&gt;=2,0,-1),regle!I$2-$Q141)),IF(AU141+1&gt;=regle!$J$12,-2,AU141+1))</f>
        <v>16</v>
      </c>
      <c r="AW141">
        <f>IF(AW$1=$AO$1,IF(regle!J$2-$Q141&gt;=regle!$J$12,-2,IF($S141,IF(regle!$B$2-$Q141&gt;=2,0,-1),regle!J$2-$Q141)),IF(AV141+1&gt;=regle!$J$12,-2,AV141+1))</f>
        <v>17</v>
      </c>
      <c r="AX141">
        <f>IF(AX$1=$AO$1,IF(regle!K$2-$Q141&gt;=regle!$J$12,-2,IF($S141,IF(regle!$B$2-$Q141&gt;=2,0,-1),regle!K$2-$Q141)),IF(AW141+1&gt;=regle!$J$12,-2,AW141+1))</f>
        <v>18</v>
      </c>
    </row>
    <row r="142" spans="1:50" x14ac:dyDescent="0.25">
      <c r="A142" t="b">
        <f>AND(modif0[[#This Row],[cdstr]]&lt;&gt;0,OR(regle!$H$27=FALSE,modif0[[#This Row],[essnc]]="PM"))</f>
        <v>1</v>
      </c>
      <c r="B142">
        <f>ROW(objet!A168)</f>
        <v>168</v>
      </c>
      <c r="C142" s="10" t="str">
        <f>objet!D168</f>
        <v>2020000B1166</v>
      </c>
      <c r="D142" t="str">
        <f>LEFT(modif0[[#This Row],[cdstr]],3)</f>
        <v>202</v>
      </c>
      <c r="E142" s="10" t="str">
        <f>objet!G168</f>
        <v>HOSTENS</v>
      </c>
      <c r="F142">
        <f>LEN(modif0[[#This Row],[l_dt]])</f>
        <v>11</v>
      </c>
      <c r="G142" s="10" t="str">
        <f>objet!H168</f>
        <v>LES CAZALAS</v>
      </c>
      <c r="H142" s="10" t="str">
        <f>objet!C168</f>
        <v>B1166</v>
      </c>
      <c r="I142" t="str">
        <f>IF(ISNUMBER(VALUE(RIGHT(LEFT(modif0[[#This Row],[idntfn]],2),1))),_xlfn.CONCAT(0,LEFT(modif0[[#This Row],[idntfn]],1)),LEFT(modif0[[#This Row],[idntfn]],2))</f>
        <v>0B</v>
      </c>
      <c r="J142">
        <f>VALUE(LEFT(RIGHT(modif0[[#This Row],[idntfn]],LEN(modif0[[#This Row],[idntfn]])-IF(LEFT(modif0[[#This Row],[sctn]],1)="0",1,2)),LEN(modif0[[#This Row],[idntfn]])-IF(LEFT(modif0[[#This Row],[sctn]],1)="0",1,2)-LEN(modif0[[#This Row],[lttr]])))</f>
        <v>1166</v>
      </c>
      <c r="K142" t="str">
        <f>IF(ISNUMBER(VALUE(RIGHT(modif0[[#This Row],[idntfn]],1))),"",IF(ISNUMBER(VALUE(LEFT(RIGHT(modif0[[#This Row],[idntfn]],2),1))),RIGHT(modif0[[#This Row],[idntfn]],1),RIGHT(modif0[[#This Row],[idntfn]],2)))</f>
        <v/>
      </c>
      <c r="L142" s="10">
        <f>objet!I168</f>
        <v>2400</v>
      </c>
      <c r="M142" s="11">
        <f>modif0[[#This Row],[srfc]]/10000</f>
        <v>0.24</v>
      </c>
      <c r="N142" s="10" t="str">
        <f>objet!Z168</f>
        <v>PM</v>
      </c>
      <c r="O142" s="10" t="str">
        <f>objet!AA168</f>
        <v>PLA2006</v>
      </c>
      <c r="P142" t="str">
        <f>IF(ISNUMBER(modif0[[#This Row],[trvx]]),"",LEFT(modif0[[#This Row],[trvx]],LEN(modif0[[#This Row],[trvx]])-4))</f>
        <v>PLA</v>
      </c>
      <c r="Q142">
        <f>VALUE(RIGHT(modif0[[#This Row],[trvx]],4))</f>
        <v>2006</v>
      </c>
      <c r="R142" t="str">
        <f>_xlfn.CONCAT(modif0[[#This Row],[tp]],"-",modif0[[#This Row],[essnc]],"_",modif0[[#This Row],[anns]])</f>
        <v>PLA-PM_2006</v>
      </c>
      <c r="S142" t="b">
        <f>modif0[[#This Row],[tp]]="CR"</f>
        <v>0</v>
      </c>
      <c r="T142">
        <v>40</v>
      </c>
      <c r="U142" t="str">
        <f>IF(NOT($A142),"",
IF(AO142=-2,regle!$J$11,
IF(AO142=regle!$B$12,regle!$B$11,
IF(AO142=regle!$C$12,regle!$C$11,
IF(AO142=regle!$D$12,regle!$D$11,
IF(AO142=regle!$E$12,regle!$E$11,
IF(AO142=regle!$F$12,regle!$F$11,
IF(AO142=regle!$G$12,regle!$G$11,
IF(AO142=regle!$H$12,regle!$H$11,
IF(AO142=regle!$I$12,regle!$I$11,""))))))))))</f>
        <v>EC2</v>
      </c>
      <c r="V142" t="str">
        <f>IF(NOT($A142),"",
IF(AP142=-2,regle!$J$11,
IF(AP142=regle!$B$12,regle!$B$11,
IF(AP142=regle!$C$12,regle!$C$11,
IF(AP142=regle!$D$12,regle!$D$11,
IF(AP142=regle!$E$12,regle!$E$11,
IF(AP142=regle!$F$12,regle!$F$11,
IF(AP142=regle!$G$12,regle!$G$11,
IF(AP142=regle!$H$12,regle!$H$11,
IF(AP142=regle!$I$12,regle!$I$11,""))))))))))</f>
        <v/>
      </c>
      <c r="W142" t="str">
        <f>IF(NOT($A142),"",
IF(AQ142=-2,regle!$J$11,
IF(AQ142=regle!$B$12,regle!$B$11,
IF(AQ142=regle!$C$12,regle!$C$11,
IF(AQ142=regle!$D$12,regle!$D$11,
IF(AQ142=regle!$E$12,regle!$E$11,
IF(AQ142=regle!$F$12,regle!$F$11,
IF(AQ142=regle!$G$12,regle!$G$11,
IF(AQ142=regle!$H$12,regle!$H$11,
IF(AQ142=regle!$I$12,regle!$I$11,""))))))))))</f>
        <v/>
      </c>
      <c r="X142" t="str">
        <f>IF(NOT($A142),"",
IF(AR142=-2,regle!$J$11,
IF(AR142=regle!$B$12,regle!$B$11,
IF(AR142=regle!$C$12,regle!$C$11,
IF(AR142=regle!$D$12,regle!$D$11,
IF(AR142=regle!$E$12,regle!$E$11,
IF(AR142=regle!$F$12,regle!$F$11,
IF(AR142=regle!$G$12,regle!$G$11,
IF(AR142=regle!$H$12,regle!$H$11,
IF(AR142=regle!$I$12,regle!$I$11,""))))))))))</f>
        <v/>
      </c>
      <c r="Y142" t="str">
        <f>IF(NOT($A142),"",
IF(AS142=-2,regle!$J$11,
IF(AS142=regle!$B$12,regle!$B$11,
IF(AS142=regle!$C$12,regle!$C$11,
IF(AS142=regle!$D$12,regle!$D$11,
IF(AS142=regle!$E$12,regle!$E$11,
IF(AS142=regle!$F$12,regle!$F$11,
IF(AS142=regle!$G$12,regle!$G$11,
IF(AS142=regle!$H$12,regle!$H$11,
IF(AS142=regle!$I$12,regle!$I$11,""))))))))))</f>
        <v/>
      </c>
      <c r="Z142" t="str">
        <f>IF(NOT($A142),"",
IF(AT142=-2,regle!$J$11,
IF(AT142=regle!$B$12,regle!$B$11,
IF(AT142=regle!$C$12,regle!$C$11,
IF(AT142=regle!$D$12,regle!$D$11,
IF(AT142=regle!$E$12,regle!$E$11,
IF(AT142=regle!$F$12,regle!$F$11,
IF(AT142=regle!$G$12,regle!$G$11,
IF(AT142=regle!$H$12,regle!$H$11,
IF(AT142=regle!$I$12,regle!$I$11,""))))))))))</f>
        <v>EC3</v>
      </c>
      <c r="AA142" t="str">
        <f>IF(NOT($A142),"",
IF(AU142=-2,regle!$J$11,
IF(AU142=regle!$B$12,regle!$B$11,
IF(AU142=regle!$C$12,regle!$C$11,
IF(AU142=regle!$D$12,regle!$D$11,
IF(AU142=regle!$E$12,regle!$E$11,
IF(AU142=regle!$F$12,regle!$F$11,
IF(AU142=regle!$G$12,regle!$G$11,
IF(AU142=regle!$H$12,regle!$H$11,
IF(AU142=regle!$I$12,regle!$I$11,""))))))))))</f>
        <v/>
      </c>
      <c r="AB142" t="str">
        <f>IF(NOT($A142),"",
IF(AV142=-2,regle!$J$11,
IF(AV142=regle!$B$12,regle!$B$11,
IF(AV142=regle!$C$12,regle!$C$11,
IF(AV142=regle!$D$12,regle!$D$11,
IF(AV142=regle!$E$12,regle!$E$11,
IF(AV142=regle!$F$12,regle!$F$11,
IF(AV142=regle!$G$12,regle!$G$11,
IF(AV142=regle!$H$12,regle!$H$11,
IF(AV142=regle!$I$12,regle!$I$11,""))))))))))</f>
        <v/>
      </c>
      <c r="AC142" t="str">
        <f>IF(NOT($A142),"",
IF(AW142=-2,regle!$J$11,
IF(AW142=regle!$B$12,regle!$B$11,
IF(AW142=regle!$C$12,regle!$C$11,
IF(AW142=regle!$D$12,regle!$D$11,
IF(AW142=regle!$E$12,regle!$E$11,
IF(AW142=regle!$F$12,regle!$F$11,
IF(AW142=regle!$G$12,regle!$G$11,
IF(AW142=regle!$H$12,regle!$H$11,
IF(AW142=regle!$I$12,regle!$I$11,""))))))))))</f>
        <v/>
      </c>
      <c r="AD142" t="str">
        <f>IF(NOT($A142),"",
IF(AX142=-2,regle!$J$11,
IF(AX142=regle!$B$12,regle!$B$11,
IF(AX142=regle!$C$12,regle!$C$11,
IF(AX142=regle!$D$12,regle!$D$11,
IF(AX142=regle!$E$12,regle!$E$11,
IF(AX142=regle!$F$12,regle!$F$11,
IF(AX142=regle!$G$12,regle!$G$11,
IF(AX142=regle!$H$12,regle!$H$11,
IF(AX142=regle!$I$12,regle!$I$11,""))))))))))</f>
        <v/>
      </c>
      <c r="AE142" s="14">
        <f>IF($A142,$M142*(IF(U142=regle!$B$11,regle!$B$23,IF(U142=regle!$C$11,regle!$C$23,IF(U142=regle!$D$11,regle!$D$23,IF(U142=regle!$E$11,regle!$E$23,IF(U142=regle!$F$11,regle!$F$23,IF(U142=regle!$G$11,regle!$G$23,IF(U142=regle!$H$11,regle!$H$23,IF(U142=regle!$I$11,regle!$I$23,IF(U142=regle!$J$11,regle!$J$23,0)))))))))))</f>
        <v>201.6</v>
      </c>
      <c r="AF142" s="14">
        <f>IF($A142,$M142*(IF(V142=regle!$B$11,regle!$B$23,IF(V142=regle!$C$11,regle!$C$23,IF(V142=regle!$D$11,regle!$D$23,IF(V142=regle!$E$11,regle!$E$23,IF(V142=regle!$F$11,regle!$F$23,IF(V142=regle!$G$11,regle!$G$23,IF(V142=regle!$H$11,regle!$H$23,IF(V142=regle!$I$11,regle!$I$23,IF(V142=regle!$J$11,regle!$J$23,0)))))))))))</f>
        <v>0</v>
      </c>
      <c r="AG142" s="14">
        <f>IF($A142,$M142*(IF(W142=regle!$B$11,regle!$B$23,IF(W142=regle!$C$11,regle!$C$23,IF(W142=regle!$D$11,regle!$D$23,IF(W142=regle!$E$11,regle!$E$23,IF(W142=regle!$F$11,regle!$F$23,IF(W142=regle!$G$11,regle!$G$23,IF(W142=regle!$H$11,regle!$H$23,IF(W142=regle!$I$11,regle!$I$23,IF(W142=regle!$J$11,regle!$J$23,0)))))))))))</f>
        <v>0</v>
      </c>
      <c r="AH142" s="14">
        <f>IF($A142,$M142*(IF(X142=regle!$B$11,regle!$B$23,IF(X142=regle!$C$11,regle!$C$23,IF(X142=regle!$D$11,regle!$D$23,IF(X142=regle!$E$11,regle!$E$23,IF(X142=regle!$F$11,regle!$F$23,IF(X142=regle!$G$11,regle!$G$23,IF(X142=regle!$H$11,regle!$H$23,IF(X142=regle!$I$11,regle!$I$23,IF(X142=regle!$J$11,regle!$J$23,0)))))))))))</f>
        <v>0</v>
      </c>
      <c r="AI142" s="14">
        <f>IF($A142,$M142*(IF(Y142=regle!$B$11,regle!$B$23,IF(Y142=regle!$C$11,regle!$C$23,IF(Y142=regle!$D$11,regle!$D$23,IF(Y142=regle!$E$11,regle!$E$23,IF(Y142=regle!$F$11,regle!$F$23,IF(Y142=regle!$G$11,regle!$G$23,IF(Y142=regle!$H$11,regle!$H$23,IF(Y142=regle!$I$11,regle!$I$23,IF(Y142=regle!$J$11,regle!$J$23,0)))))))))))</f>
        <v>0</v>
      </c>
      <c r="AJ142" s="14">
        <f>IF($A142,$M142*(IF(Z142=regle!$B$11,regle!$B$23,IF(Z142=regle!$C$11,regle!$C$23,IF(Z142=regle!$D$11,regle!$D$23,IF(Z142=regle!$E$11,regle!$E$23,IF(Z142=regle!$F$11,regle!$F$23,IF(Z142=regle!$G$11,regle!$G$23,IF(Z142=regle!$H$11,regle!$H$23,IF(Z142=regle!$I$11,regle!$I$23,IF(Z142=regle!$J$11,regle!$J$23,0)))))))))))</f>
        <v>337.91999999999996</v>
      </c>
      <c r="AK142" s="14">
        <f>IF($A142,$M142*(IF(AA142=regle!$B$11,regle!$B$23,IF(AA142=regle!$C$11,regle!$C$23,IF(AA142=regle!$D$11,regle!$D$23,IF(AA142=regle!$E$11,regle!$E$23,IF(AA142=regle!$F$11,regle!$F$23,IF(AA142=regle!$G$11,regle!$G$23,IF(AA142=regle!$H$11,regle!$H$23,IF(AA142=regle!$I$11,regle!$I$23,IF(AA142=regle!$J$11,regle!$J$23,0)))))))))))</f>
        <v>0</v>
      </c>
      <c r="AL142" s="14">
        <f>IF($A142,$M142*(IF(AB142=regle!$B$11,regle!$B$23,IF(AB142=regle!$C$11,regle!$C$23,IF(AB142=regle!$D$11,regle!$D$23,IF(AB142=regle!$E$11,regle!$E$23,IF(AB142=regle!$F$11,regle!$F$23,IF(AB142=regle!$G$11,regle!$G$23,IF(AB142=regle!$H$11,regle!$H$23,IF(AB142=regle!$I$11,regle!$I$23,IF(AB142=regle!$J$11,regle!$J$23,0)))))))))))</f>
        <v>0</v>
      </c>
      <c r="AM142" s="14">
        <f>IF($A142,$M142*(IF(AC142=regle!$B$11,regle!$B$23,IF(AC142=regle!$C$11,regle!$C$23,IF(AC142=regle!$D$11,regle!$D$23,IF(AC142=regle!$E$11,regle!$E$23,IF(AC142=regle!$F$11,regle!$F$23,IF(AC142=regle!$G$11,regle!$G$23,IF(AC142=regle!$H$11,regle!$H$23,IF(AC142=regle!$I$11,regle!$I$23,IF(AC142=regle!$J$11,regle!$J$23,0)))))))))))</f>
        <v>0</v>
      </c>
      <c r="AN142" s="14">
        <f>IF($A142,$M142*(IF(AD142=regle!$B$11,regle!$B$23,IF(AD142=regle!$C$11,regle!$C$23,IF(AD142=regle!$D$11,regle!$D$23,IF(AD142=regle!$E$11,regle!$E$23,IF(AD142=regle!$F$11,regle!$F$23,IF(AD142=regle!$G$11,regle!$G$23,IF(AD142=regle!$H$11,regle!$H$23,IF(AD142=regle!$I$11,regle!$I$23,IF(AD142=regle!$J$11,regle!$J$23,0)))))))))))</f>
        <v>0</v>
      </c>
      <c r="AO142">
        <f>IF(AO$1=$AO$1,IF(regle!B$2-$Q142&gt;=regle!$J$12,-2,IF($S142,IF(regle!$B$2-$Q142&gt;=2,0,-1),regle!B$2-$Q142)),IF(AN142+1&gt;=regle!$J$12,-2,AN142+1))</f>
        <v>18</v>
      </c>
      <c r="AP142">
        <f>IF(AP$1=$AO$1,IF(regle!C$2-$Q142&gt;=regle!$J$12,-2,IF($S142,IF(regle!$B$2-$Q142&gt;=2,0,-1),regle!C$2-$Q142)),IF(AO142+1&gt;=regle!$J$12,-2,AO142+1))</f>
        <v>19</v>
      </c>
      <c r="AQ142">
        <f>IF(AQ$1=$AO$1,IF(regle!D$2-$Q142&gt;=regle!$J$12,-2,IF($S142,IF(regle!$B$2-$Q142&gt;=2,0,-1),regle!D$2-$Q142)),IF(AP142+1&gt;=regle!$J$12,-2,AP142+1))</f>
        <v>20</v>
      </c>
      <c r="AR142">
        <f>IF(AR$1=$AO$1,IF(regle!E$2-$Q142&gt;=regle!$J$12,-2,IF($S142,IF(regle!$B$2-$Q142&gt;=2,0,-1),regle!E$2-$Q142)),IF(AQ142+1&gt;=regle!$J$12,-2,AQ142+1))</f>
        <v>21</v>
      </c>
      <c r="AS142">
        <f>IF(AS$1=$AO$1,IF(regle!F$2-$Q142&gt;=regle!$J$12,-2,IF($S142,IF(regle!$B$2-$Q142&gt;=2,0,-1),regle!F$2-$Q142)),IF(AR142+1&gt;=regle!$J$12,-2,AR142+1))</f>
        <v>22</v>
      </c>
      <c r="AT142">
        <f>IF(AT$1=$AO$1,IF(regle!G$2-$Q142&gt;=regle!$J$12,-2,IF($S142,IF(regle!$B$2-$Q142&gt;=2,0,-1),regle!G$2-$Q142)),IF(AS142+1&gt;=regle!$J$12,-2,AS142+1))</f>
        <v>23</v>
      </c>
      <c r="AU142">
        <f>IF(AU$1=$AO$1,IF(regle!H$2-$Q142&gt;=regle!$J$12,-2,IF($S142,IF(regle!$B$2-$Q142&gt;=2,0,-1),regle!H$2-$Q142)),IF(AT142+1&gt;=regle!$J$12,-2,AT142+1))</f>
        <v>24</v>
      </c>
      <c r="AV142">
        <f>IF(AV$1=$AO$1,IF(regle!I$2-$Q142&gt;=regle!$J$12,-2,IF($S142,IF(regle!$B$2-$Q142&gt;=2,0,-1),regle!I$2-$Q142)),IF(AU142+1&gt;=regle!$J$12,-2,AU142+1))</f>
        <v>25</v>
      </c>
      <c r="AW142">
        <f>IF(AW$1=$AO$1,IF(regle!J$2-$Q142&gt;=regle!$J$12,-2,IF($S142,IF(regle!$B$2-$Q142&gt;=2,0,-1),regle!J$2-$Q142)),IF(AV142+1&gt;=regle!$J$12,-2,AV142+1))</f>
        <v>26</v>
      </c>
      <c r="AX142">
        <f>IF(AX$1=$AO$1,IF(regle!K$2-$Q142&gt;=regle!$J$12,-2,IF($S142,IF(regle!$B$2-$Q142&gt;=2,0,-1),regle!K$2-$Q142)),IF(AW142+1&gt;=regle!$J$12,-2,AW142+1))</f>
        <v>27</v>
      </c>
    </row>
    <row r="143" spans="1:50" x14ac:dyDescent="0.25">
      <c r="A143" t="b">
        <f>AND(modif0[[#This Row],[cdstr]]&lt;&gt;0,OR(regle!$H$27=FALSE,modif0[[#This Row],[essnc]]="PM"))</f>
        <v>1</v>
      </c>
      <c r="B143">
        <f>ROW(objet!A169)</f>
        <v>169</v>
      </c>
      <c r="C143" s="10" t="str">
        <f>objet!D169</f>
        <v>2020000B1167</v>
      </c>
      <c r="D143" t="str">
        <f>LEFT(modif0[[#This Row],[cdstr]],3)</f>
        <v>202</v>
      </c>
      <c r="E143" s="10" t="str">
        <f>objet!G169</f>
        <v>HOSTENS</v>
      </c>
      <c r="F143">
        <f>LEN(modif0[[#This Row],[l_dt]])</f>
        <v>11</v>
      </c>
      <c r="G143" s="10" t="str">
        <f>objet!H169</f>
        <v>LES CAZALAS</v>
      </c>
      <c r="H143" s="10" t="str">
        <f>objet!C169</f>
        <v>B1167</v>
      </c>
      <c r="I143" t="str">
        <f>IF(ISNUMBER(VALUE(RIGHT(LEFT(modif0[[#This Row],[idntfn]],2),1))),_xlfn.CONCAT(0,LEFT(modif0[[#This Row],[idntfn]],1)),LEFT(modif0[[#This Row],[idntfn]],2))</f>
        <v>0B</v>
      </c>
      <c r="J143">
        <f>VALUE(LEFT(RIGHT(modif0[[#This Row],[idntfn]],LEN(modif0[[#This Row],[idntfn]])-IF(LEFT(modif0[[#This Row],[sctn]],1)="0",1,2)),LEN(modif0[[#This Row],[idntfn]])-IF(LEFT(modif0[[#This Row],[sctn]],1)="0",1,2)-LEN(modif0[[#This Row],[lttr]])))</f>
        <v>1167</v>
      </c>
      <c r="K143" t="str">
        <f>IF(ISNUMBER(VALUE(RIGHT(modif0[[#This Row],[idntfn]],1))),"",IF(ISNUMBER(VALUE(LEFT(RIGHT(modif0[[#This Row],[idntfn]],2),1))),RIGHT(modif0[[#This Row],[idntfn]],1),RIGHT(modif0[[#This Row],[idntfn]],2)))</f>
        <v/>
      </c>
      <c r="L143" s="10">
        <f>objet!I169</f>
        <v>1560</v>
      </c>
      <c r="M143" s="11">
        <f>modif0[[#This Row],[srfc]]/10000</f>
        <v>0.156</v>
      </c>
      <c r="N143" s="10" t="str">
        <f>objet!Z169</f>
        <v>PM</v>
      </c>
      <c r="O143" s="10" t="str">
        <f>objet!AA169</f>
        <v>PLA2006</v>
      </c>
      <c r="P143" t="str">
        <f>IF(ISNUMBER(modif0[[#This Row],[trvx]]),"",LEFT(modif0[[#This Row],[trvx]],LEN(modif0[[#This Row],[trvx]])-4))</f>
        <v>PLA</v>
      </c>
      <c r="Q143">
        <f>VALUE(RIGHT(modif0[[#This Row],[trvx]],4))</f>
        <v>2006</v>
      </c>
      <c r="R143" t="str">
        <f>_xlfn.CONCAT(modif0[[#This Row],[tp]],"-",modif0[[#This Row],[essnc]],"_",modif0[[#This Row],[anns]])</f>
        <v>PLA-PM_2006</v>
      </c>
      <c r="S143" t="b">
        <f>modif0[[#This Row],[tp]]="CR"</f>
        <v>0</v>
      </c>
      <c r="T143">
        <v>40</v>
      </c>
      <c r="U143" t="str">
        <f>IF(NOT($A143),"",
IF(AO143=-2,regle!$J$11,
IF(AO143=regle!$B$12,regle!$B$11,
IF(AO143=regle!$C$12,regle!$C$11,
IF(AO143=regle!$D$12,regle!$D$11,
IF(AO143=regle!$E$12,regle!$E$11,
IF(AO143=regle!$F$12,regle!$F$11,
IF(AO143=regle!$G$12,regle!$G$11,
IF(AO143=regle!$H$12,regle!$H$11,
IF(AO143=regle!$I$12,regle!$I$11,""))))))))))</f>
        <v>EC2</v>
      </c>
      <c r="V143" t="str">
        <f>IF(NOT($A143),"",
IF(AP143=-2,regle!$J$11,
IF(AP143=regle!$B$12,regle!$B$11,
IF(AP143=regle!$C$12,regle!$C$11,
IF(AP143=regle!$D$12,regle!$D$11,
IF(AP143=regle!$E$12,regle!$E$11,
IF(AP143=regle!$F$12,regle!$F$11,
IF(AP143=regle!$G$12,regle!$G$11,
IF(AP143=regle!$H$12,regle!$H$11,
IF(AP143=regle!$I$12,regle!$I$11,""))))))))))</f>
        <v/>
      </c>
      <c r="W143" t="str">
        <f>IF(NOT($A143),"",
IF(AQ143=-2,regle!$J$11,
IF(AQ143=regle!$B$12,regle!$B$11,
IF(AQ143=regle!$C$12,regle!$C$11,
IF(AQ143=regle!$D$12,regle!$D$11,
IF(AQ143=regle!$E$12,regle!$E$11,
IF(AQ143=regle!$F$12,regle!$F$11,
IF(AQ143=regle!$G$12,regle!$G$11,
IF(AQ143=regle!$H$12,regle!$H$11,
IF(AQ143=regle!$I$12,regle!$I$11,""))))))))))</f>
        <v/>
      </c>
      <c r="X143" t="str">
        <f>IF(NOT($A143),"",
IF(AR143=-2,regle!$J$11,
IF(AR143=regle!$B$12,regle!$B$11,
IF(AR143=regle!$C$12,regle!$C$11,
IF(AR143=regle!$D$12,regle!$D$11,
IF(AR143=regle!$E$12,regle!$E$11,
IF(AR143=regle!$F$12,regle!$F$11,
IF(AR143=regle!$G$12,regle!$G$11,
IF(AR143=regle!$H$12,regle!$H$11,
IF(AR143=regle!$I$12,regle!$I$11,""))))))))))</f>
        <v/>
      </c>
      <c r="Y143" t="str">
        <f>IF(NOT($A143),"",
IF(AS143=-2,regle!$J$11,
IF(AS143=regle!$B$12,regle!$B$11,
IF(AS143=regle!$C$12,regle!$C$11,
IF(AS143=regle!$D$12,regle!$D$11,
IF(AS143=regle!$E$12,regle!$E$11,
IF(AS143=regle!$F$12,regle!$F$11,
IF(AS143=regle!$G$12,regle!$G$11,
IF(AS143=regle!$H$12,regle!$H$11,
IF(AS143=regle!$I$12,regle!$I$11,""))))))))))</f>
        <v/>
      </c>
      <c r="Z143" t="str">
        <f>IF(NOT($A143),"",
IF(AT143=-2,regle!$J$11,
IF(AT143=regle!$B$12,regle!$B$11,
IF(AT143=regle!$C$12,regle!$C$11,
IF(AT143=regle!$D$12,regle!$D$11,
IF(AT143=regle!$E$12,regle!$E$11,
IF(AT143=regle!$F$12,regle!$F$11,
IF(AT143=regle!$G$12,regle!$G$11,
IF(AT143=regle!$H$12,regle!$H$11,
IF(AT143=regle!$I$12,regle!$I$11,""))))))))))</f>
        <v>EC3</v>
      </c>
      <c r="AA143" t="str">
        <f>IF(NOT($A143),"",
IF(AU143=-2,regle!$J$11,
IF(AU143=regle!$B$12,regle!$B$11,
IF(AU143=regle!$C$12,regle!$C$11,
IF(AU143=regle!$D$12,regle!$D$11,
IF(AU143=regle!$E$12,regle!$E$11,
IF(AU143=regle!$F$12,regle!$F$11,
IF(AU143=regle!$G$12,regle!$G$11,
IF(AU143=regle!$H$12,regle!$H$11,
IF(AU143=regle!$I$12,regle!$I$11,""))))))))))</f>
        <v/>
      </c>
      <c r="AB143" t="str">
        <f>IF(NOT($A143),"",
IF(AV143=-2,regle!$J$11,
IF(AV143=regle!$B$12,regle!$B$11,
IF(AV143=regle!$C$12,regle!$C$11,
IF(AV143=regle!$D$12,regle!$D$11,
IF(AV143=regle!$E$12,regle!$E$11,
IF(AV143=regle!$F$12,regle!$F$11,
IF(AV143=regle!$G$12,regle!$G$11,
IF(AV143=regle!$H$12,regle!$H$11,
IF(AV143=regle!$I$12,regle!$I$11,""))))))))))</f>
        <v/>
      </c>
      <c r="AC143" t="str">
        <f>IF(NOT($A143),"",
IF(AW143=-2,regle!$J$11,
IF(AW143=regle!$B$12,regle!$B$11,
IF(AW143=regle!$C$12,regle!$C$11,
IF(AW143=regle!$D$12,regle!$D$11,
IF(AW143=regle!$E$12,regle!$E$11,
IF(AW143=regle!$F$12,regle!$F$11,
IF(AW143=regle!$G$12,regle!$G$11,
IF(AW143=regle!$H$12,regle!$H$11,
IF(AW143=regle!$I$12,regle!$I$11,""))))))))))</f>
        <v/>
      </c>
      <c r="AD143" t="str">
        <f>IF(NOT($A143),"",
IF(AX143=-2,regle!$J$11,
IF(AX143=regle!$B$12,regle!$B$11,
IF(AX143=regle!$C$12,regle!$C$11,
IF(AX143=regle!$D$12,regle!$D$11,
IF(AX143=regle!$E$12,regle!$E$11,
IF(AX143=regle!$F$12,regle!$F$11,
IF(AX143=regle!$G$12,regle!$G$11,
IF(AX143=regle!$H$12,regle!$H$11,
IF(AX143=regle!$I$12,regle!$I$11,""))))))))))</f>
        <v/>
      </c>
      <c r="AE143" s="14">
        <f>IF($A143,$M143*(IF(U143=regle!$B$11,regle!$B$23,IF(U143=regle!$C$11,regle!$C$23,IF(U143=regle!$D$11,regle!$D$23,IF(U143=regle!$E$11,regle!$E$23,IF(U143=regle!$F$11,regle!$F$23,IF(U143=regle!$G$11,regle!$G$23,IF(U143=regle!$H$11,regle!$H$23,IF(U143=regle!$I$11,regle!$I$23,IF(U143=regle!$J$11,regle!$J$23,0)))))))))))</f>
        <v>131.04</v>
      </c>
      <c r="AF143" s="14">
        <f>IF($A143,$M143*(IF(V143=regle!$B$11,regle!$B$23,IF(V143=regle!$C$11,regle!$C$23,IF(V143=regle!$D$11,regle!$D$23,IF(V143=regle!$E$11,regle!$E$23,IF(V143=regle!$F$11,regle!$F$23,IF(V143=regle!$G$11,regle!$G$23,IF(V143=regle!$H$11,regle!$H$23,IF(V143=regle!$I$11,regle!$I$23,IF(V143=regle!$J$11,regle!$J$23,0)))))))))))</f>
        <v>0</v>
      </c>
      <c r="AG143" s="14">
        <f>IF($A143,$M143*(IF(W143=regle!$B$11,regle!$B$23,IF(W143=regle!$C$11,regle!$C$23,IF(W143=regle!$D$11,regle!$D$23,IF(W143=regle!$E$11,regle!$E$23,IF(W143=regle!$F$11,regle!$F$23,IF(W143=regle!$G$11,regle!$G$23,IF(W143=regle!$H$11,regle!$H$23,IF(W143=regle!$I$11,regle!$I$23,IF(W143=regle!$J$11,regle!$J$23,0)))))))))))</f>
        <v>0</v>
      </c>
      <c r="AH143" s="14">
        <f>IF($A143,$M143*(IF(X143=regle!$B$11,regle!$B$23,IF(X143=regle!$C$11,regle!$C$23,IF(X143=regle!$D$11,regle!$D$23,IF(X143=regle!$E$11,regle!$E$23,IF(X143=regle!$F$11,regle!$F$23,IF(X143=regle!$G$11,regle!$G$23,IF(X143=regle!$H$11,regle!$H$23,IF(X143=regle!$I$11,regle!$I$23,IF(X143=regle!$J$11,regle!$J$23,0)))))))))))</f>
        <v>0</v>
      </c>
      <c r="AI143" s="14">
        <f>IF($A143,$M143*(IF(Y143=regle!$B$11,regle!$B$23,IF(Y143=regle!$C$11,regle!$C$23,IF(Y143=regle!$D$11,regle!$D$23,IF(Y143=regle!$E$11,regle!$E$23,IF(Y143=regle!$F$11,regle!$F$23,IF(Y143=regle!$G$11,regle!$G$23,IF(Y143=regle!$H$11,regle!$H$23,IF(Y143=regle!$I$11,regle!$I$23,IF(Y143=regle!$J$11,regle!$J$23,0)))))))))))</f>
        <v>0</v>
      </c>
      <c r="AJ143" s="14">
        <f>IF($A143,$M143*(IF(Z143=regle!$B$11,regle!$B$23,IF(Z143=regle!$C$11,regle!$C$23,IF(Z143=regle!$D$11,regle!$D$23,IF(Z143=regle!$E$11,regle!$E$23,IF(Z143=regle!$F$11,regle!$F$23,IF(Z143=regle!$G$11,regle!$G$23,IF(Z143=regle!$H$11,regle!$H$23,IF(Z143=regle!$I$11,regle!$I$23,IF(Z143=regle!$J$11,regle!$J$23,0)))))))))))</f>
        <v>219.648</v>
      </c>
      <c r="AK143" s="14">
        <f>IF($A143,$M143*(IF(AA143=regle!$B$11,regle!$B$23,IF(AA143=regle!$C$11,regle!$C$23,IF(AA143=regle!$D$11,regle!$D$23,IF(AA143=regle!$E$11,regle!$E$23,IF(AA143=regle!$F$11,regle!$F$23,IF(AA143=regle!$G$11,regle!$G$23,IF(AA143=regle!$H$11,regle!$H$23,IF(AA143=regle!$I$11,regle!$I$23,IF(AA143=regle!$J$11,regle!$J$23,0)))))))))))</f>
        <v>0</v>
      </c>
      <c r="AL143" s="14">
        <f>IF($A143,$M143*(IF(AB143=regle!$B$11,regle!$B$23,IF(AB143=regle!$C$11,regle!$C$23,IF(AB143=regle!$D$11,regle!$D$23,IF(AB143=regle!$E$11,regle!$E$23,IF(AB143=regle!$F$11,regle!$F$23,IF(AB143=regle!$G$11,regle!$G$23,IF(AB143=regle!$H$11,regle!$H$23,IF(AB143=regle!$I$11,regle!$I$23,IF(AB143=regle!$J$11,regle!$J$23,0)))))))))))</f>
        <v>0</v>
      </c>
      <c r="AM143" s="14">
        <f>IF($A143,$M143*(IF(AC143=regle!$B$11,regle!$B$23,IF(AC143=regle!$C$11,regle!$C$23,IF(AC143=regle!$D$11,regle!$D$23,IF(AC143=regle!$E$11,regle!$E$23,IF(AC143=regle!$F$11,regle!$F$23,IF(AC143=regle!$G$11,regle!$G$23,IF(AC143=regle!$H$11,regle!$H$23,IF(AC143=regle!$I$11,regle!$I$23,IF(AC143=regle!$J$11,regle!$J$23,0)))))))))))</f>
        <v>0</v>
      </c>
      <c r="AN143" s="14">
        <f>IF($A143,$M143*(IF(AD143=regle!$B$11,regle!$B$23,IF(AD143=regle!$C$11,regle!$C$23,IF(AD143=regle!$D$11,regle!$D$23,IF(AD143=regle!$E$11,regle!$E$23,IF(AD143=regle!$F$11,regle!$F$23,IF(AD143=regle!$G$11,regle!$G$23,IF(AD143=regle!$H$11,regle!$H$23,IF(AD143=regle!$I$11,regle!$I$23,IF(AD143=regle!$J$11,regle!$J$23,0)))))))))))</f>
        <v>0</v>
      </c>
      <c r="AO143">
        <f>IF(AO$1=$AO$1,IF(regle!B$2-$Q143&gt;=regle!$J$12,-2,IF($S143,IF(regle!$B$2-$Q143&gt;=2,0,-1),regle!B$2-$Q143)),IF(AN143+1&gt;=regle!$J$12,-2,AN143+1))</f>
        <v>18</v>
      </c>
      <c r="AP143">
        <f>IF(AP$1=$AO$1,IF(regle!C$2-$Q143&gt;=regle!$J$12,-2,IF($S143,IF(regle!$B$2-$Q143&gt;=2,0,-1),regle!C$2-$Q143)),IF(AO143+1&gt;=regle!$J$12,-2,AO143+1))</f>
        <v>19</v>
      </c>
      <c r="AQ143">
        <f>IF(AQ$1=$AO$1,IF(regle!D$2-$Q143&gt;=regle!$J$12,-2,IF($S143,IF(regle!$B$2-$Q143&gt;=2,0,-1),regle!D$2-$Q143)),IF(AP143+1&gt;=regle!$J$12,-2,AP143+1))</f>
        <v>20</v>
      </c>
      <c r="AR143">
        <f>IF(AR$1=$AO$1,IF(regle!E$2-$Q143&gt;=regle!$J$12,-2,IF($S143,IF(regle!$B$2-$Q143&gt;=2,0,-1),regle!E$2-$Q143)),IF(AQ143+1&gt;=regle!$J$12,-2,AQ143+1))</f>
        <v>21</v>
      </c>
      <c r="AS143">
        <f>IF(AS$1=$AO$1,IF(regle!F$2-$Q143&gt;=regle!$J$12,-2,IF($S143,IF(regle!$B$2-$Q143&gt;=2,0,-1),regle!F$2-$Q143)),IF(AR143+1&gt;=regle!$J$12,-2,AR143+1))</f>
        <v>22</v>
      </c>
      <c r="AT143">
        <f>IF(AT$1=$AO$1,IF(regle!G$2-$Q143&gt;=regle!$J$12,-2,IF($S143,IF(regle!$B$2-$Q143&gt;=2,0,-1),regle!G$2-$Q143)),IF(AS143+1&gt;=regle!$J$12,-2,AS143+1))</f>
        <v>23</v>
      </c>
      <c r="AU143">
        <f>IF(AU$1=$AO$1,IF(regle!H$2-$Q143&gt;=regle!$J$12,-2,IF($S143,IF(regle!$B$2-$Q143&gt;=2,0,-1),regle!H$2-$Q143)),IF(AT143+1&gt;=regle!$J$12,-2,AT143+1))</f>
        <v>24</v>
      </c>
      <c r="AV143">
        <f>IF(AV$1=$AO$1,IF(regle!I$2-$Q143&gt;=regle!$J$12,-2,IF($S143,IF(regle!$B$2-$Q143&gt;=2,0,-1),regle!I$2-$Q143)),IF(AU143+1&gt;=regle!$J$12,-2,AU143+1))</f>
        <v>25</v>
      </c>
      <c r="AW143">
        <f>IF(AW$1=$AO$1,IF(regle!J$2-$Q143&gt;=regle!$J$12,-2,IF($S143,IF(regle!$B$2-$Q143&gt;=2,0,-1),regle!J$2-$Q143)),IF(AV143+1&gt;=regle!$J$12,-2,AV143+1))</f>
        <v>26</v>
      </c>
      <c r="AX143">
        <f>IF(AX$1=$AO$1,IF(regle!K$2-$Q143&gt;=regle!$J$12,-2,IF($S143,IF(regle!$B$2-$Q143&gt;=2,0,-1),regle!K$2-$Q143)),IF(AW143+1&gt;=regle!$J$12,-2,AW143+1))</f>
        <v>27</v>
      </c>
    </row>
    <row r="144" spans="1:50" x14ac:dyDescent="0.25">
      <c r="A144" t="b">
        <f>AND(modif0[[#This Row],[cdstr]]&lt;&gt;0,OR(regle!$H$27=FALSE,modif0[[#This Row],[essnc]]="PM"))</f>
        <v>1</v>
      </c>
      <c r="B144">
        <f>ROW(objet!A170)</f>
        <v>170</v>
      </c>
      <c r="C144" s="10" t="str">
        <f>objet!D170</f>
        <v>2020000B1168</v>
      </c>
      <c r="D144" t="str">
        <f>LEFT(modif0[[#This Row],[cdstr]],3)</f>
        <v>202</v>
      </c>
      <c r="E144" s="10" t="str">
        <f>objet!G170</f>
        <v>HOSTENS</v>
      </c>
      <c r="F144">
        <f>LEN(modif0[[#This Row],[l_dt]])</f>
        <v>11</v>
      </c>
      <c r="G144" s="10" t="str">
        <f>objet!H170</f>
        <v>LES CAZALAS</v>
      </c>
      <c r="H144" s="10" t="str">
        <f>objet!C170</f>
        <v>B1168</v>
      </c>
      <c r="I144" t="str">
        <f>IF(ISNUMBER(VALUE(RIGHT(LEFT(modif0[[#This Row],[idntfn]],2),1))),_xlfn.CONCAT(0,LEFT(modif0[[#This Row],[idntfn]],1)),LEFT(modif0[[#This Row],[idntfn]],2))</f>
        <v>0B</v>
      </c>
      <c r="J144">
        <f>VALUE(LEFT(RIGHT(modif0[[#This Row],[idntfn]],LEN(modif0[[#This Row],[idntfn]])-IF(LEFT(modif0[[#This Row],[sctn]],1)="0",1,2)),LEN(modif0[[#This Row],[idntfn]])-IF(LEFT(modif0[[#This Row],[sctn]],1)="0",1,2)-LEN(modif0[[#This Row],[lttr]])))</f>
        <v>1168</v>
      </c>
      <c r="K144" t="str">
        <f>IF(ISNUMBER(VALUE(RIGHT(modif0[[#This Row],[idntfn]],1))),"",IF(ISNUMBER(VALUE(LEFT(RIGHT(modif0[[#This Row],[idntfn]],2),1))),RIGHT(modif0[[#This Row],[idntfn]],1),RIGHT(modif0[[#This Row],[idntfn]],2)))</f>
        <v/>
      </c>
      <c r="L144" s="10">
        <f>objet!I170</f>
        <v>4080</v>
      </c>
      <c r="M144" s="11">
        <f>modif0[[#This Row],[srfc]]/10000</f>
        <v>0.40799999999999997</v>
      </c>
      <c r="N144" s="10" t="str">
        <f>objet!Z170</f>
        <v>PM</v>
      </c>
      <c r="O144" s="10" t="str">
        <f>objet!AA170</f>
        <v>PLA2006</v>
      </c>
      <c r="P144" t="str">
        <f>IF(ISNUMBER(modif0[[#This Row],[trvx]]),"",LEFT(modif0[[#This Row],[trvx]],LEN(modif0[[#This Row],[trvx]])-4))</f>
        <v>PLA</v>
      </c>
      <c r="Q144">
        <f>VALUE(RIGHT(modif0[[#This Row],[trvx]],4))</f>
        <v>2006</v>
      </c>
      <c r="R144" t="str">
        <f>_xlfn.CONCAT(modif0[[#This Row],[tp]],"-",modif0[[#This Row],[essnc]],"_",modif0[[#This Row],[anns]])</f>
        <v>PLA-PM_2006</v>
      </c>
      <c r="S144" t="b">
        <f>modif0[[#This Row],[tp]]="CR"</f>
        <v>0</v>
      </c>
      <c r="T144">
        <v>40</v>
      </c>
      <c r="U144" t="str">
        <f>IF(NOT($A144),"",
IF(AO144=-2,regle!$J$11,
IF(AO144=regle!$B$12,regle!$B$11,
IF(AO144=regle!$C$12,regle!$C$11,
IF(AO144=regle!$D$12,regle!$D$11,
IF(AO144=regle!$E$12,regle!$E$11,
IF(AO144=regle!$F$12,regle!$F$11,
IF(AO144=regle!$G$12,regle!$G$11,
IF(AO144=regle!$H$12,regle!$H$11,
IF(AO144=regle!$I$12,regle!$I$11,""))))))))))</f>
        <v>EC2</v>
      </c>
      <c r="V144" t="str">
        <f>IF(NOT($A144),"",
IF(AP144=-2,regle!$J$11,
IF(AP144=regle!$B$12,regle!$B$11,
IF(AP144=regle!$C$12,regle!$C$11,
IF(AP144=regle!$D$12,regle!$D$11,
IF(AP144=regle!$E$12,regle!$E$11,
IF(AP144=regle!$F$12,regle!$F$11,
IF(AP144=regle!$G$12,regle!$G$11,
IF(AP144=regle!$H$12,regle!$H$11,
IF(AP144=regle!$I$12,regle!$I$11,""))))))))))</f>
        <v/>
      </c>
      <c r="W144" t="str">
        <f>IF(NOT($A144),"",
IF(AQ144=-2,regle!$J$11,
IF(AQ144=regle!$B$12,regle!$B$11,
IF(AQ144=regle!$C$12,regle!$C$11,
IF(AQ144=regle!$D$12,regle!$D$11,
IF(AQ144=regle!$E$12,regle!$E$11,
IF(AQ144=regle!$F$12,regle!$F$11,
IF(AQ144=regle!$G$12,regle!$G$11,
IF(AQ144=regle!$H$12,regle!$H$11,
IF(AQ144=regle!$I$12,regle!$I$11,""))))))))))</f>
        <v/>
      </c>
      <c r="X144" t="str">
        <f>IF(NOT($A144),"",
IF(AR144=-2,regle!$J$11,
IF(AR144=regle!$B$12,regle!$B$11,
IF(AR144=regle!$C$12,regle!$C$11,
IF(AR144=regle!$D$12,regle!$D$11,
IF(AR144=regle!$E$12,regle!$E$11,
IF(AR144=regle!$F$12,regle!$F$11,
IF(AR144=regle!$G$12,regle!$G$11,
IF(AR144=regle!$H$12,regle!$H$11,
IF(AR144=regle!$I$12,regle!$I$11,""))))))))))</f>
        <v/>
      </c>
      <c r="Y144" t="str">
        <f>IF(NOT($A144),"",
IF(AS144=-2,regle!$J$11,
IF(AS144=regle!$B$12,regle!$B$11,
IF(AS144=regle!$C$12,regle!$C$11,
IF(AS144=regle!$D$12,regle!$D$11,
IF(AS144=regle!$E$12,regle!$E$11,
IF(AS144=regle!$F$12,regle!$F$11,
IF(AS144=regle!$G$12,regle!$G$11,
IF(AS144=regle!$H$12,regle!$H$11,
IF(AS144=regle!$I$12,regle!$I$11,""))))))))))</f>
        <v/>
      </c>
      <c r="Z144" t="str">
        <f>IF(NOT($A144),"",
IF(AT144=-2,regle!$J$11,
IF(AT144=regle!$B$12,regle!$B$11,
IF(AT144=regle!$C$12,regle!$C$11,
IF(AT144=regle!$D$12,regle!$D$11,
IF(AT144=regle!$E$12,regle!$E$11,
IF(AT144=regle!$F$12,regle!$F$11,
IF(AT144=regle!$G$12,regle!$G$11,
IF(AT144=regle!$H$12,regle!$H$11,
IF(AT144=regle!$I$12,regle!$I$11,""))))))))))</f>
        <v>EC3</v>
      </c>
      <c r="AA144" t="str">
        <f>IF(NOT($A144),"",
IF(AU144=-2,regle!$J$11,
IF(AU144=regle!$B$12,regle!$B$11,
IF(AU144=regle!$C$12,regle!$C$11,
IF(AU144=regle!$D$12,regle!$D$11,
IF(AU144=regle!$E$12,regle!$E$11,
IF(AU144=regle!$F$12,regle!$F$11,
IF(AU144=regle!$G$12,regle!$G$11,
IF(AU144=regle!$H$12,regle!$H$11,
IF(AU144=regle!$I$12,regle!$I$11,""))))))))))</f>
        <v/>
      </c>
      <c r="AB144" t="str">
        <f>IF(NOT($A144),"",
IF(AV144=-2,regle!$J$11,
IF(AV144=regle!$B$12,regle!$B$11,
IF(AV144=regle!$C$12,regle!$C$11,
IF(AV144=regle!$D$12,regle!$D$11,
IF(AV144=regle!$E$12,regle!$E$11,
IF(AV144=regle!$F$12,regle!$F$11,
IF(AV144=regle!$G$12,regle!$G$11,
IF(AV144=regle!$H$12,regle!$H$11,
IF(AV144=regle!$I$12,regle!$I$11,""))))))))))</f>
        <v/>
      </c>
      <c r="AC144" t="str">
        <f>IF(NOT($A144),"",
IF(AW144=-2,regle!$J$11,
IF(AW144=regle!$B$12,regle!$B$11,
IF(AW144=regle!$C$12,regle!$C$11,
IF(AW144=regle!$D$12,regle!$D$11,
IF(AW144=regle!$E$12,regle!$E$11,
IF(AW144=regle!$F$12,regle!$F$11,
IF(AW144=regle!$G$12,regle!$G$11,
IF(AW144=regle!$H$12,regle!$H$11,
IF(AW144=regle!$I$12,regle!$I$11,""))))))))))</f>
        <v/>
      </c>
      <c r="AD144" t="str">
        <f>IF(NOT($A144),"",
IF(AX144=-2,regle!$J$11,
IF(AX144=regle!$B$12,regle!$B$11,
IF(AX144=regle!$C$12,regle!$C$11,
IF(AX144=regle!$D$12,regle!$D$11,
IF(AX144=regle!$E$12,regle!$E$11,
IF(AX144=regle!$F$12,regle!$F$11,
IF(AX144=regle!$G$12,regle!$G$11,
IF(AX144=regle!$H$12,regle!$H$11,
IF(AX144=regle!$I$12,regle!$I$11,""))))))))))</f>
        <v/>
      </c>
      <c r="AE144" s="14">
        <f>IF($A144,$M144*(IF(U144=regle!$B$11,regle!$B$23,IF(U144=regle!$C$11,regle!$C$23,IF(U144=regle!$D$11,regle!$D$23,IF(U144=regle!$E$11,regle!$E$23,IF(U144=regle!$F$11,regle!$F$23,IF(U144=regle!$G$11,regle!$G$23,IF(U144=regle!$H$11,regle!$H$23,IF(U144=regle!$I$11,regle!$I$23,IF(U144=regle!$J$11,regle!$J$23,0)))))))))))</f>
        <v>342.71999999999997</v>
      </c>
      <c r="AF144" s="14">
        <f>IF($A144,$M144*(IF(V144=regle!$B$11,regle!$B$23,IF(V144=regle!$C$11,regle!$C$23,IF(V144=regle!$D$11,regle!$D$23,IF(V144=regle!$E$11,regle!$E$23,IF(V144=regle!$F$11,regle!$F$23,IF(V144=regle!$G$11,regle!$G$23,IF(V144=regle!$H$11,regle!$H$23,IF(V144=regle!$I$11,regle!$I$23,IF(V144=regle!$J$11,regle!$J$23,0)))))))))))</f>
        <v>0</v>
      </c>
      <c r="AG144" s="14">
        <f>IF($A144,$M144*(IF(W144=regle!$B$11,regle!$B$23,IF(W144=regle!$C$11,regle!$C$23,IF(W144=regle!$D$11,regle!$D$23,IF(W144=regle!$E$11,regle!$E$23,IF(W144=regle!$F$11,regle!$F$23,IF(W144=regle!$G$11,regle!$G$23,IF(W144=regle!$H$11,regle!$H$23,IF(W144=regle!$I$11,regle!$I$23,IF(W144=regle!$J$11,regle!$J$23,0)))))))))))</f>
        <v>0</v>
      </c>
      <c r="AH144" s="14">
        <f>IF($A144,$M144*(IF(X144=regle!$B$11,regle!$B$23,IF(X144=regle!$C$11,regle!$C$23,IF(X144=regle!$D$11,regle!$D$23,IF(X144=regle!$E$11,regle!$E$23,IF(X144=regle!$F$11,regle!$F$23,IF(X144=regle!$G$11,regle!$G$23,IF(X144=regle!$H$11,regle!$H$23,IF(X144=regle!$I$11,regle!$I$23,IF(X144=regle!$J$11,regle!$J$23,0)))))))))))</f>
        <v>0</v>
      </c>
      <c r="AI144" s="14">
        <f>IF($A144,$M144*(IF(Y144=regle!$B$11,regle!$B$23,IF(Y144=regle!$C$11,regle!$C$23,IF(Y144=regle!$D$11,regle!$D$23,IF(Y144=regle!$E$11,regle!$E$23,IF(Y144=regle!$F$11,regle!$F$23,IF(Y144=regle!$G$11,regle!$G$23,IF(Y144=regle!$H$11,regle!$H$23,IF(Y144=regle!$I$11,regle!$I$23,IF(Y144=regle!$J$11,regle!$J$23,0)))))))))))</f>
        <v>0</v>
      </c>
      <c r="AJ144" s="14">
        <f>IF($A144,$M144*(IF(Z144=regle!$B$11,regle!$B$23,IF(Z144=regle!$C$11,regle!$C$23,IF(Z144=regle!$D$11,regle!$D$23,IF(Z144=regle!$E$11,regle!$E$23,IF(Z144=regle!$F$11,regle!$F$23,IF(Z144=regle!$G$11,regle!$G$23,IF(Z144=regle!$H$11,regle!$H$23,IF(Z144=regle!$I$11,regle!$I$23,IF(Z144=regle!$J$11,regle!$J$23,0)))))))))))</f>
        <v>574.46399999999994</v>
      </c>
      <c r="AK144" s="14">
        <f>IF($A144,$M144*(IF(AA144=regle!$B$11,regle!$B$23,IF(AA144=regle!$C$11,regle!$C$23,IF(AA144=regle!$D$11,regle!$D$23,IF(AA144=regle!$E$11,regle!$E$23,IF(AA144=regle!$F$11,regle!$F$23,IF(AA144=regle!$G$11,regle!$G$23,IF(AA144=regle!$H$11,regle!$H$23,IF(AA144=regle!$I$11,regle!$I$23,IF(AA144=regle!$J$11,regle!$J$23,0)))))))))))</f>
        <v>0</v>
      </c>
      <c r="AL144" s="14">
        <f>IF($A144,$M144*(IF(AB144=regle!$B$11,regle!$B$23,IF(AB144=regle!$C$11,regle!$C$23,IF(AB144=regle!$D$11,regle!$D$23,IF(AB144=regle!$E$11,regle!$E$23,IF(AB144=regle!$F$11,regle!$F$23,IF(AB144=regle!$G$11,regle!$G$23,IF(AB144=regle!$H$11,regle!$H$23,IF(AB144=regle!$I$11,regle!$I$23,IF(AB144=regle!$J$11,regle!$J$23,0)))))))))))</f>
        <v>0</v>
      </c>
      <c r="AM144" s="14">
        <f>IF($A144,$M144*(IF(AC144=regle!$B$11,regle!$B$23,IF(AC144=regle!$C$11,regle!$C$23,IF(AC144=regle!$D$11,regle!$D$23,IF(AC144=regle!$E$11,regle!$E$23,IF(AC144=regle!$F$11,regle!$F$23,IF(AC144=regle!$G$11,regle!$G$23,IF(AC144=regle!$H$11,regle!$H$23,IF(AC144=regle!$I$11,regle!$I$23,IF(AC144=regle!$J$11,regle!$J$23,0)))))))))))</f>
        <v>0</v>
      </c>
      <c r="AN144" s="14">
        <f>IF($A144,$M144*(IF(AD144=regle!$B$11,regle!$B$23,IF(AD144=regle!$C$11,regle!$C$23,IF(AD144=regle!$D$11,regle!$D$23,IF(AD144=regle!$E$11,regle!$E$23,IF(AD144=regle!$F$11,regle!$F$23,IF(AD144=regle!$G$11,regle!$G$23,IF(AD144=regle!$H$11,regle!$H$23,IF(AD144=regle!$I$11,regle!$I$23,IF(AD144=regle!$J$11,regle!$J$23,0)))))))))))</f>
        <v>0</v>
      </c>
      <c r="AO144">
        <f>IF(AO$1=$AO$1,IF(regle!B$2-$Q144&gt;=regle!$J$12,-2,IF($S144,IF(regle!$B$2-$Q144&gt;=2,0,-1),regle!B$2-$Q144)),IF(AN144+1&gt;=regle!$J$12,-2,AN144+1))</f>
        <v>18</v>
      </c>
      <c r="AP144">
        <f>IF(AP$1=$AO$1,IF(regle!C$2-$Q144&gt;=regle!$J$12,-2,IF($S144,IF(regle!$B$2-$Q144&gt;=2,0,-1),regle!C$2-$Q144)),IF(AO144+1&gt;=regle!$J$12,-2,AO144+1))</f>
        <v>19</v>
      </c>
      <c r="AQ144">
        <f>IF(AQ$1=$AO$1,IF(regle!D$2-$Q144&gt;=regle!$J$12,-2,IF($S144,IF(regle!$B$2-$Q144&gt;=2,0,-1),regle!D$2-$Q144)),IF(AP144+1&gt;=regle!$J$12,-2,AP144+1))</f>
        <v>20</v>
      </c>
      <c r="AR144">
        <f>IF(AR$1=$AO$1,IF(regle!E$2-$Q144&gt;=regle!$J$12,-2,IF($S144,IF(regle!$B$2-$Q144&gt;=2,0,-1),regle!E$2-$Q144)),IF(AQ144+1&gt;=regle!$J$12,-2,AQ144+1))</f>
        <v>21</v>
      </c>
      <c r="AS144">
        <f>IF(AS$1=$AO$1,IF(regle!F$2-$Q144&gt;=regle!$J$12,-2,IF($S144,IF(regle!$B$2-$Q144&gt;=2,0,-1),regle!F$2-$Q144)),IF(AR144+1&gt;=regle!$J$12,-2,AR144+1))</f>
        <v>22</v>
      </c>
      <c r="AT144">
        <f>IF(AT$1=$AO$1,IF(regle!G$2-$Q144&gt;=regle!$J$12,-2,IF($S144,IF(regle!$B$2-$Q144&gt;=2,0,-1),regle!G$2-$Q144)),IF(AS144+1&gt;=regle!$J$12,-2,AS144+1))</f>
        <v>23</v>
      </c>
      <c r="AU144">
        <f>IF(AU$1=$AO$1,IF(regle!H$2-$Q144&gt;=regle!$J$12,-2,IF($S144,IF(regle!$B$2-$Q144&gt;=2,0,-1),regle!H$2-$Q144)),IF(AT144+1&gt;=regle!$J$12,-2,AT144+1))</f>
        <v>24</v>
      </c>
      <c r="AV144">
        <f>IF(AV$1=$AO$1,IF(regle!I$2-$Q144&gt;=regle!$J$12,-2,IF($S144,IF(regle!$B$2-$Q144&gt;=2,0,-1),regle!I$2-$Q144)),IF(AU144+1&gt;=regle!$J$12,-2,AU144+1))</f>
        <v>25</v>
      </c>
      <c r="AW144">
        <f>IF(AW$1=$AO$1,IF(regle!J$2-$Q144&gt;=regle!$J$12,-2,IF($S144,IF(regle!$B$2-$Q144&gt;=2,0,-1),regle!J$2-$Q144)),IF(AV144+1&gt;=regle!$J$12,-2,AV144+1))</f>
        <v>26</v>
      </c>
      <c r="AX144">
        <f>IF(AX$1=$AO$1,IF(regle!K$2-$Q144&gt;=regle!$J$12,-2,IF($S144,IF(regle!$B$2-$Q144&gt;=2,0,-1),regle!K$2-$Q144)),IF(AW144+1&gt;=regle!$J$12,-2,AW144+1))</f>
        <v>27</v>
      </c>
    </row>
    <row r="145" spans="1:50" x14ac:dyDescent="0.25">
      <c r="A145" t="b">
        <f>AND(modif0[[#This Row],[cdstr]]&lt;&gt;0,OR(regle!$H$27=FALSE,modif0[[#This Row],[essnc]]="PM"))</f>
        <v>1</v>
      </c>
      <c r="B145">
        <f>ROW(objet!A171)</f>
        <v>171</v>
      </c>
      <c r="C145" s="10" t="str">
        <f>objet!D171</f>
        <v>2020000B1169</v>
      </c>
      <c r="D145" t="str">
        <f>LEFT(modif0[[#This Row],[cdstr]],3)</f>
        <v>202</v>
      </c>
      <c r="E145" s="10" t="str">
        <f>objet!G171</f>
        <v>HOSTENS</v>
      </c>
      <c r="F145">
        <f>LEN(modif0[[#This Row],[l_dt]])</f>
        <v>11</v>
      </c>
      <c r="G145" s="10" t="str">
        <f>objet!H171</f>
        <v>LES CAZALAS</v>
      </c>
      <c r="H145" s="10" t="str">
        <f>objet!C171</f>
        <v>B1169</v>
      </c>
      <c r="I145" t="str">
        <f>IF(ISNUMBER(VALUE(RIGHT(LEFT(modif0[[#This Row],[idntfn]],2),1))),_xlfn.CONCAT(0,LEFT(modif0[[#This Row],[idntfn]],1)),LEFT(modif0[[#This Row],[idntfn]],2))</f>
        <v>0B</v>
      </c>
      <c r="J145">
        <f>VALUE(LEFT(RIGHT(modif0[[#This Row],[idntfn]],LEN(modif0[[#This Row],[idntfn]])-IF(LEFT(modif0[[#This Row],[sctn]],1)="0",1,2)),LEN(modif0[[#This Row],[idntfn]])-IF(LEFT(modif0[[#This Row],[sctn]],1)="0",1,2)-LEN(modif0[[#This Row],[lttr]])))</f>
        <v>1169</v>
      </c>
      <c r="K145" t="str">
        <f>IF(ISNUMBER(VALUE(RIGHT(modif0[[#This Row],[idntfn]],1))),"",IF(ISNUMBER(VALUE(LEFT(RIGHT(modif0[[#This Row],[idntfn]],2),1))),RIGHT(modif0[[#This Row],[idntfn]],1),RIGHT(modif0[[#This Row],[idntfn]],2)))</f>
        <v/>
      </c>
      <c r="L145" s="10">
        <f>objet!I171</f>
        <v>3360</v>
      </c>
      <c r="M145" s="11">
        <f>modif0[[#This Row],[srfc]]/10000</f>
        <v>0.33600000000000002</v>
      </c>
      <c r="N145" s="10" t="str">
        <f>objet!Z171</f>
        <v>PM</v>
      </c>
      <c r="O145" s="10" t="str">
        <f>objet!AA171</f>
        <v>PLA2006</v>
      </c>
      <c r="P145" t="str">
        <f>IF(ISNUMBER(modif0[[#This Row],[trvx]]),"",LEFT(modif0[[#This Row],[trvx]],LEN(modif0[[#This Row],[trvx]])-4))</f>
        <v>PLA</v>
      </c>
      <c r="Q145">
        <f>VALUE(RIGHT(modif0[[#This Row],[trvx]],4))</f>
        <v>2006</v>
      </c>
      <c r="R145" t="str">
        <f>_xlfn.CONCAT(modif0[[#This Row],[tp]],"-",modif0[[#This Row],[essnc]],"_",modif0[[#This Row],[anns]])</f>
        <v>PLA-PM_2006</v>
      </c>
      <c r="S145" t="b">
        <f>modif0[[#This Row],[tp]]="CR"</f>
        <v>0</v>
      </c>
      <c r="T145">
        <v>40</v>
      </c>
      <c r="U145" t="str">
        <f>IF(NOT($A145),"",
IF(AO145=-2,regle!$J$11,
IF(AO145=regle!$B$12,regle!$B$11,
IF(AO145=regle!$C$12,regle!$C$11,
IF(AO145=regle!$D$12,regle!$D$11,
IF(AO145=regle!$E$12,regle!$E$11,
IF(AO145=regle!$F$12,regle!$F$11,
IF(AO145=regle!$G$12,regle!$G$11,
IF(AO145=regle!$H$12,regle!$H$11,
IF(AO145=regle!$I$12,regle!$I$11,""))))))))))</f>
        <v>EC2</v>
      </c>
      <c r="V145" t="str">
        <f>IF(NOT($A145),"",
IF(AP145=-2,regle!$J$11,
IF(AP145=regle!$B$12,regle!$B$11,
IF(AP145=regle!$C$12,regle!$C$11,
IF(AP145=regle!$D$12,regle!$D$11,
IF(AP145=regle!$E$12,regle!$E$11,
IF(AP145=regle!$F$12,regle!$F$11,
IF(AP145=regle!$G$12,regle!$G$11,
IF(AP145=regle!$H$12,regle!$H$11,
IF(AP145=regle!$I$12,regle!$I$11,""))))))))))</f>
        <v/>
      </c>
      <c r="W145" t="str">
        <f>IF(NOT($A145),"",
IF(AQ145=-2,regle!$J$11,
IF(AQ145=regle!$B$12,regle!$B$11,
IF(AQ145=regle!$C$12,regle!$C$11,
IF(AQ145=regle!$D$12,regle!$D$11,
IF(AQ145=regle!$E$12,regle!$E$11,
IF(AQ145=regle!$F$12,regle!$F$11,
IF(AQ145=regle!$G$12,regle!$G$11,
IF(AQ145=regle!$H$12,regle!$H$11,
IF(AQ145=regle!$I$12,regle!$I$11,""))))))))))</f>
        <v/>
      </c>
      <c r="X145" t="str">
        <f>IF(NOT($A145),"",
IF(AR145=-2,regle!$J$11,
IF(AR145=regle!$B$12,regle!$B$11,
IF(AR145=regle!$C$12,regle!$C$11,
IF(AR145=regle!$D$12,regle!$D$11,
IF(AR145=regle!$E$12,regle!$E$11,
IF(AR145=regle!$F$12,regle!$F$11,
IF(AR145=regle!$G$12,regle!$G$11,
IF(AR145=regle!$H$12,regle!$H$11,
IF(AR145=regle!$I$12,regle!$I$11,""))))))))))</f>
        <v/>
      </c>
      <c r="Y145" t="str">
        <f>IF(NOT($A145),"",
IF(AS145=-2,regle!$J$11,
IF(AS145=regle!$B$12,regle!$B$11,
IF(AS145=regle!$C$12,regle!$C$11,
IF(AS145=regle!$D$12,regle!$D$11,
IF(AS145=regle!$E$12,regle!$E$11,
IF(AS145=regle!$F$12,regle!$F$11,
IF(AS145=regle!$G$12,regle!$G$11,
IF(AS145=regle!$H$12,regle!$H$11,
IF(AS145=regle!$I$12,regle!$I$11,""))))))))))</f>
        <v/>
      </c>
      <c r="Z145" t="str">
        <f>IF(NOT($A145),"",
IF(AT145=-2,regle!$J$11,
IF(AT145=regle!$B$12,regle!$B$11,
IF(AT145=regle!$C$12,regle!$C$11,
IF(AT145=regle!$D$12,regle!$D$11,
IF(AT145=regle!$E$12,regle!$E$11,
IF(AT145=regle!$F$12,regle!$F$11,
IF(AT145=regle!$G$12,regle!$G$11,
IF(AT145=regle!$H$12,regle!$H$11,
IF(AT145=regle!$I$12,regle!$I$11,""))))))))))</f>
        <v>EC3</v>
      </c>
      <c r="AA145" t="str">
        <f>IF(NOT($A145),"",
IF(AU145=-2,regle!$J$11,
IF(AU145=regle!$B$12,regle!$B$11,
IF(AU145=regle!$C$12,regle!$C$11,
IF(AU145=regle!$D$12,regle!$D$11,
IF(AU145=regle!$E$12,regle!$E$11,
IF(AU145=regle!$F$12,regle!$F$11,
IF(AU145=regle!$G$12,regle!$G$11,
IF(AU145=regle!$H$12,regle!$H$11,
IF(AU145=regle!$I$12,regle!$I$11,""))))))))))</f>
        <v/>
      </c>
      <c r="AB145" t="str">
        <f>IF(NOT($A145),"",
IF(AV145=-2,regle!$J$11,
IF(AV145=regle!$B$12,regle!$B$11,
IF(AV145=regle!$C$12,regle!$C$11,
IF(AV145=regle!$D$12,regle!$D$11,
IF(AV145=regle!$E$12,regle!$E$11,
IF(AV145=regle!$F$12,regle!$F$11,
IF(AV145=regle!$G$12,regle!$G$11,
IF(AV145=regle!$H$12,regle!$H$11,
IF(AV145=regle!$I$12,regle!$I$11,""))))))))))</f>
        <v/>
      </c>
      <c r="AC145" t="str">
        <f>IF(NOT($A145),"",
IF(AW145=-2,regle!$J$11,
IF(AW145=regle!$B$12,regle!$B$11,
IF(AW145=regle!$C$12,regle!$C$11,
IF(AW145=regle!$D$12,regle!$D$11,
IF(AW145=regle!$E$12,regle!$E$11,
IF(AW145=regle!$F$12,regle!$F$11,
IF(AW145=regle!$G$12,regle!$G$11,
IF(AW145=regle!$H$12,regle!$H$11,
IF(AW145=regle!$I$12,regle!$I$11,""))))))))))</f>
        <v/>
      </c>
      <c r="AD145" t="str">
        <f>IF(NOT($A145),"",
IF(AX145=-2,regle!$J$11,
IF(AX145=regle!$B$12,regle!$B$11,
IF(AX145=regle!$C$12,regle!$C$11,
IF(AX145=regle!$D$12,regle!$D$11,
IF(AX145=regle!$E$12,regle!$E$11,
IF(AX145=regle!$F$12,regle!$F$11,
IF(AX145=regle!$G$12,regle!$G$11,
IF(AX145=regle!$H$12,regle!$H$11,
IF(AX145=regle!$I$12,regle!$I$11,""))))))))))</f>
        <v/>
      </c>
      <c r="AE145" s="14">
        <f>IF($A145,$M145*(IF(U145=regle!$B$11,regle!$B$23,IF(U145=regle!$C$11,regle!$C$23,IF(U145=regle!$D$11,regle!$D$23,IF(U145=regle!$E$11,regle!$E$23,IF(U145=regle!$F$11,regle!$F$23,IF(U145=regle!$G$11,regle!$G$23,IF(U145=regle!$H$11,regle!$H$23,IF(U145=regle!$I$11,regle!$I$23,IF(U145=regle!$J$11,regle!$J$23,0)))))))))))</f>
        <v>282.24</v>
      </c>
      <c r="AF145" s="14">
        <f>IF($A145,$M145*(IF(V145=regle!$B$11,regle!$B$23,IF(V145=regle!$C$11,regle!$C$23,IF(V145=regle!$D$11,regle!$D$23,IF(V145=regle!$E$11,regle!$E$23,IF(V145=regle!$F$11,regle!$F$23,IF(V145=regle!$G$11,regle!$G$23,IF(V145=regle!$H$11,regle!$H$23,IF(V145=regle!$I$11,regle!$I$23,IF(V145=regle!$J$11,regle!$J$23,0)))))))))))</f>
        <v>0</v>
      </c>
      <c r="AG145" s="14">
        <f>IF($A145,$M145*(IF(W145=regle!$B$11,regle!$B$23,IF(W145=regle!$C$11,regle!$C$23,IF(W145=regle!$D$11,regle!$D$23,IF(W145=regle!$E$11,regle!$E$23,IF(W145=regle!$F$11,regle!$F$23,IF(W145=regle!$G$11,regle!$G$23,IF(W145=regle!$H$11,regle!$H$23,IF(W145=regle!$I$11,regle!$I$23,IF(W145=regle!$J$11,regle!$J$23,0)))))))))))</f>
        <v>0</v>
      </c>
      <c r="AH145" s="14">
        <f>IF($A145,$M145*(IF(X145=regle!$B$11,regle!$B$23,IF(X145=regle!$C$11,regle!$C$23,IF(X145=regle!$D$11,regle!$D$23,IF(X145=regle!$E$11,regle!$E$23,IF(X145=regle!$F$11,regle!$F$23,IF(X145=regle!$G$11,regle!$G$23,IF(X145=regle!$H$11,regle!$H$23,IF(X145=regle!$I$11,regle!$I$23,IF(X145=regle!$J$11,regle!$J$23,0)))))))))))</f>
        <v>0</v>
      </c>
      <c r="AI145" s="14">
        <f>IF($A145,$M145*(IF(Y145=regle!$B$11,regle!$B$23,IF(Y145=regle!$C$11,regle!$C$23,IF(Y145=regle!$D$11,regle!$D$23,IF(Y145=regle!$E$11,regle!$E$23,IF(Y145=regle!$F$11,regle!$F$23,IF(Y145=regle!$G$11,regle!$G$23,IF(Y145=regle!$H$11,regle!$H$23,IF(Y145=regle!$I$11,regle!$I$23,IF(Y145=regle!$J$11,regle!$J$23,0)))))))))))</f>
        <v>0</v>
      </c>
      <c r="AJ145" s="14">
        <f>IF($A145,$M145*(IF(Z145=regle!$B$11,regle!$B$23,IF(Z145=regle!$C$11,regle!$C$23,IF(Z145=regle!$D$11,regle!$D$23,IF(Z145=regle!$E$11,regle!$E$23,IF(Z145=regle!$F$11,regle!$F$23,IF(Z145=regle!$G$11,regle!$G$23,IF(Z145=regle!$H$11,regle!$H$23,IF(Z145=regle!$I$11,regle!$I$23,IF(Z145=regle!$J$11,regle!$J$23,0)))))))))))</f>
        <v>473.08800000000002</v>
      </c>
      <c r="AK145" s="14">
        <f>IF($A145,$M145*(IF(AA145=regle!$B$11,regle!$B$23,IF(AA145=regle!$C$11,regle!$C$23,IF(AA145=regle!$D$11,regle!$D$23,IF(AA145=regle!$E$11,regle!$E$23,IF(AA145=regle!$F$11,regle!$F$23,IF(AA145=regle!$G$11,regle!$G$23,IF(AA145=regle!$H$11,regle!$H$23,IF(AA145=regle!$I$11,regle!$I$23,IF(AA145=regle!$J$11,regle!$J$23,0)))))))))))</f>
        <v>0</v>
      </c>
      <c r="AL145" s="14">
        <f>IF($A145,$M145*(IF(AB145=regle!$B$11,regle!$B$23,IF(AB145=regle!$C$11,regle!$C$23,IF(AB145=regle!$D$11,regle!$D$23,IF(AB145=regle!$E$11,regle!$E$23,IF(AB145=regle!$F$11,regle!$F$23,IF(AB145=regle!$G$11,regle!$G$23,IF(AB145=regle!$H$11,regle!$H$23,IF(AB145=regle!$I$11,regle!$I$23,IF(AB145=regle!$J$11,regle!$J$23,0)))))))))))</f>
        <v>0</v>
      </c>
      <c r="AM145" s="14">
        <f>IF($A145,$M145*(IF(AC145=regle!$B$11,regle!$B$23,IF(AC145=regle!$C$11,regle!$C$23,IF(AC145=regle!$D$11,regle!$D$23,IF(AC145=regle!$E$11,regle!$E$23,IF(AC145=regle!$F$11,regle!$F$23,IF(AC145=regle!$G$11,regle!$G$23,IF(AC145=regle!$H$11,regle!$H$23,IF(AC145=regle!$I$11,regle!$I$23,IF(AC145=regle!$J$11,regle!$J$23,0)))))))))))</f>
        <v>0</v>
      </c>
      <c r="AN145" s="14">
        <f>IF($A145,$M145*(IF(AD145=regle!$B$11,regle!$B$23,IF(AD145=regle!$C$11,regle!$C$23,IF(AD145=regle!$D$11,regle!$D$23,IF(AD145=regle!$E$11,regle!$E$23,IF(AD145=regle!$F$11,regle!$F$23,IF(AD145=regle!$G$11,regle!$G$23,IF(AD145=regle!$H$11,regle!$H$23,IF(AD145=regle!$I$11,regle!$I$23,IF(AD145=regle!$J$11,regle!$J$23,0)))))))))))</f>
        <v>0</v>
      </c>
      <c r="AO145">
        <f>IF(AO$1=$AO$1,IF(regle!B$2-$Q145&gt;=regle!$J$12,-2,IF($S145,IF(regle!$B$2-$Q145&gt;=2,0,-1),regle!B$2-$Q145)),IF(AN145+1&gt;=regle!$J$12,-2,AN145+1))</f>
        <v>18</v>
      </c>
      <c r="AP145">
        <f>IF(AP$1=$AO$1,IF(regle!C$2-$Q145&gt;=regle!$J$12,-2,IF($S145,IF(regle!$B$2-$Q145&gt;=2,0,-1),regle!C$2-$Q145)),IF(AO145+1&gt;=regle!$J$12,-2,AO145+1))</f>
        <v>19</v>
      </c>
      <c r="AQ145">
        <f>IF(AQ$1=$AO$1,IF(regle!D$2-$Q145&gt;=regle!$J$12,-2,IF($S145,IF(regle!$B$2-$Q145&gt;=2,0,-1),regle!D$2-$Q145)),IF(AP145+1&gt;=regle!$J$12,-2,AP145+1))</f>
        <v>20</v>
      </c>
      <c r="AR145">
        <f>IF(AR$1=$AO$1,IF(regle!E$2-$Q145&gt;=regle!$J$12,-2,IF($S145,IF(regle!$B$2-$Q145&gt;=2,0,-1),regle!E$2-$Q145)),IF(AQ145+1&gt;=regle!$J$12,-2,AQ145+1))</f>
        <v>21</v>
      </c>
      <c r="AS145">
        <f>IF(AS$1=$AO$1,IF(regle!F$2-$Q145&gt;=regle!$J$12,-2,IF($S145,IF(regle!$B$2-$Q145&gt;=2,0,-1),regle!F$2-$Q145)),IF(AR145+1&gt;=regle!$J$12,-2,AR145+1))</f>
        <v>22</v>
      </c>
      <c r="AT145">
        <f>IF(AT$1=$AO$1,IF(regle!G$2-$Q145&gt;=regle!$J$12,-2,IF($S145,IF(regle!$B$2-$Q145&gt;=2,0,-1),regle!G$2-$Q145)),IF(AS145+1&gt;=regle!$J$12,-2,AS145+1))</f>
        <v>23</v>
      </c>
      <c r="AU145">
        <f>IF(AU$1=$AO$1,IF(regle!H$2-$Q145&gt;=regle!$J$12,-2,IF($S145,IF(regle!$B$2-$Q145&gt;=2,0,-1),regle!H$2-$Q145)),IF(AT145+1&gt;=regle!$J$12,-2,AT145+1))</f>
        <v>24</v>
      </c>
      <c r="AV145">
        <f>IF(AV$1=$AO$1,IF(regle!I$2-$Q145&gt;=regle!$J$12,-2,IF($S145,IF(regle!$B$2-$Q145&gt;=2,0,-1),regle!I$2-$Q145)),IF(AU145+1&gt;=regle!$J$12,-2,AU145+1))</f>
        <v>25</v>
      </c>
      <c r="AW145">
        <f>IF(AW$1=$AO$1,IF(regle!J$2-$Q145&gt;=regle!$J$12,-2,IF($S145,IF(regle!$B$2-$Q145&gt;=2,0,-1),regle!J$2-$Q145)),IF(AV145+1&gt;=regle!$J$12,-2,AV145+1))</f>
        <v>26</v>
      </c>
      <c r="AX145">
        <f>IF(AX$1=$AO$1,IF(regle!K$2-$Q145&gt;=regle!$J$12,-2,IF($S145,IF(regle!$B$2-$Q145&gt;=2,0,-1),regle!K$2-$Q145)),IF(AW145+1&gt;=regle!$J$12,-2,AW145+1))</f>
        <v>27</v>
      </c>
    </row>
    <row r="146" spans="1:50" x14ac:dyDescent="0.25">
      <c r="A146" t="b">
        <f>AND(modif0[[#This Row],[cdstr]]&lt;&gt;0,OR(regle!$H$27=FALSE,modif0[[#This Row],[essnc]]="PM"))</f>
        <v>1</v>
      </c>
      <c r="B146">
        <f>ROW(objet!A172)</f>
        <v>172</v>
      </c>
      <c r="C146" s="10" t="str">
        <f>objet!D172</f>
        <v>2020000B1170</v>
      </c>
      <c r="D146" t="str">
        <f>LEFT(modif0[[#This Row],[cdstr]],3)</f>
        <v>202</v>
      </c>
      <c r="E146" s="10" t="str">
        <f>objet!G172</f>
        <v>HOSTENS</v>
      </c>
      <c r="F146">
        <f>LEN(modif0[[#This Row],[l_dt]])</f>
        <v>11</v>
      </c>
      <c r="G146" s="10" t="str">
        <f>objet!H172</f>
        <v>LES CAZALAS</v>
      </c>
      <c r="H146" s="10" t="str">
        <f>objet!C172</f>
        <v>B1170</v>
      </c>
      <c r="I146" t="str">
        <f>IF(ISNUMBER(VALUE(RIGHT(LEFT(modif0[[#This Row],[idntfn]],2),1))),_xlfn.CONCAT(0,LEFT(modif0[[#This Row],[idntfn]],1)),LEFT(modif0[[#This Row],[idntfn]],2))</f>
        <v>0B</v>
      </c>
      <c r="J146">
        <f>VALUE(LEFT(RIGHT(modif0[[#This Row],[idntfn]],LEN(modif0[[#This Row],[idntfn]])-IF(LEFT(modif0[[#This Row],[sctn]],1)="0",1,2)),LEN(modif0[[#This Row],[idntfn]])-IF(LEFT(modif0[[#This Row],[sctn]],1)="0",1,2)-LEN(modif0[[#This Row],[lttr]])))</f>
        <v>1170</v>
      </c>
      <c r="K146" t="str">
        <f>IF(ISNUMBER(VALUE(RIGHT(modif0[[#This Row],[idntfn]],1))),"",IF(ISNUMBER(VALUE(LEFT(RIGHT(modif0[[#This Row],[idntfn]],2),1))),RIGHT(modif0[[#This Row],[idntfn]],1),RIGHT(modif0[[#This Row],[idntfn]],2)))</f>
        <v/>
      </c>
      <c r="L146" s="10">
        <f>objet!I172</f>
        <v>2040</v>
      </c>
      <c r="M146" s="11">
        <f>modif0[[#This Row],[srfc]]/10000</f>
        <v>0.20399999999999999</v>
      </c>
      <c r="N146" s="10" t="str">
        <f>objet!Z172</f>
        <v>PM</v>
      </c>
      <c r="O146" s="10" t="str">
        <f>objet!AA172</f>
        <v>PLA2006</v>
      </c>
      <c r="P146" t="str">
        <f>IF(ISNUMBER(modif0[[#This Row],[trvx]]),"",LEFT(modif0[[#This Row],[trvx]],LEN(modif0[[#This Row],[trvx]])-4))</f>
        <v>PLA</v>
      </c>
      <c r="Q146">
        <f>VALUE(RIGHT(modif0[[#This Row],[trvx]],4))</f>
        <v>2006</v>
      </c>
      <c r="R146" t="str">
        <f>_xlfn.CONCAT(modif0[[#This Row],[tp]],"-",modif0[[#This Row],[essnc]],"_",modif0[[#This Row],[anns]])</f>
        <v>PLA-PM_2006</v>
      </c>
      <c r="S146" t="b">
        <f>modif0[[#This Row],[tp]]="CR"</f>
        <v>0</v>
      </c>
      <c r="T146">
        <v>40</v>
      </c>
      <c r="U146" t="str">
        <f>IF(NOT($A146),"",
IF(AO146=-2,regle!$J$11,
IF(AO146=regle!$B$12,regle!$B$11,
IF(AO146=regle!$C$12,regle!$C$11,
IF(AO146=regle!$D$12,regle!$D$11,
IF(AO146=regle!$E$12,regle!$E$11,
IF(AO146=regle!$F$12,regle!$F$11,
IF(AO146=regle!$G$12,regle!$G$11,
IF(AO146=regle!$H$12,regle!$H$11,
IF(AO146=regle!$I$12,regle!$I$11,""))))))))))</f>
        <v>EC2</v>
      </c>
      <c r="V146" t="str">
        <f>IF(NOT($A146),"",
IF(AP146=-2,regle!$J$11,
IF(AP146=regle!$B$12,regle!$B$11,
IF(AP146=regle!$C$12,regle!$C$11,
IF(AP146=regle!$D$12,regle!$D$11,
IF(AP146=regle!$E$12,regle!$E$11,
IF(AP146=regle!$F$12,regle!$F$11,
IF(AP146=regle!$G$12,regle!$G$11,
IF(AP146=regle!$H$12,regle!$H$11,
IF(AP146=regle!$I$12,regle!$I$11,""))))))))))</f>
        <v/>
      </c>
      <c r="W146" t="str">
        <f>IF(NOT($A146),"",
IF(AQ146=-2,regle!$J$11,
IF(AQ146=regle!$B$12,regle!$B$11,
IF(AQ146=regle!$C$12,regle!$C$11,
IF(AQ146=regle!$D$12,regle!$D$11,
IF(AQ146=regle!$E$12,regle!$E$11,
IF(AQ146=regle!$F$12,regle!$F$11,
IF(AQ146=regle!$G$12,regle!$G$11,
IF(AQ146=regle!$H$12,regle!$H$11,
IF(AQ146=regle!$I$12,regle!$I$11,""))))))))))</f>
        <v/>
      </c>
      <c r="X146" t="str">
        <f>IF(NOT($A146),"",
IF(AR146=-2,regle!$J$11,
IF(AR146=regle!$B$12,regle!$B$11,
IF(AR146=regle!$C$12,regle!$C$11,
IF(AR146=regle!$D$12,regle!$D$11,
IF(AR146=regle!$E$12,regle!$E$11,
IF(AR146=regle!$F$12,regle!$F$11,
IF(AR146=regle!$G$12,regle!$G$11,
IF(AR146=regle!$H$12,regle!$H$11,
IF(AR146=regle!$I$12,regle!$I$11,""))))))))))</f>
        <v/>
      </c>
      <c r="Y146" t="str">
        <f>IF(NOT($A146),"",
IF(AS146=-2,regle!$J$11,
IF(AS146=regle!$B$12,regle!$B$11,
IF(AS146=regle!$C$12,regle!$C$11,
IF(AS146=regle!$D$12,regle!$D$11,
IF(AS146=regle!$E$12,regle!$E$11,
IF(AS146=regle!$F$12,regle!$F$11,
IF(AS146=regle!$G$12,regle!$G$11,
IF(AS146=regle!$H$12,regle!$H$11,
IF(AS146=regle!$I$12,regle!$I$11,""))))))))))</f>
        <v/>
      </c>
      <c r="Z146" t="str">
        <f>IF(NOT($A146),"",
IF(AT146=-2,regle!$J$11,
IF(AT146=regle!$B$12,regle!$B$11,
IF(AT146=regle!$C$12,regle!$C$11,
IF(AT146=regle!$D$12,regle!$D$11,
IF(AT146=regle!$E$12,regle!$E$11,
IF(AT146=regle!$F$12,regle!$F$11,
IF(AT146=regle!$G$12,regle!$G$11,
IF(AT146=regle!$H$12,regle!$H$11,
IF(AT146=regle!$I$12,regle!$I$11,""))))))))))</f>
        <v>EC3</v>
      </c>
      <c r="AA146" t="str">
        <f>IF(NOT($A146),"",
IF(AU146=-2,regle!$J$11,
IF(AU146=regle!$B$12,regle!$B$11,
IF(AU146=regle!$C$12,regle!$C$11,
IF(AU146=regle!$D$12,regle!$D$11,
IF(AU146=regle!$E$12,regle!$E$11,
IF(AU146=regle!$F$12,regle!$F$11,
IF(AU146=regle!$G$12,regle!$G$11,
IF(AU146=regle!$H$12,regle!$H$11,
IF(AU146=regle!$I$12,regle!$I$11,""))))))))))</f>
        <v/>
      </c>
      <c r="AB146" t="str">
        <f>IF(NOT($A146),"",
IF(AV146=-2,regle!$J$11,
IF(AV146=regle!$B$12,regle!$B$11,
IF(AV146=regle!$C$12,regle!$C$11,
IF(AV146=regle!$D$12,regle!$D$11,
IF(AV146=regle!$E$12,regle!$E$11,
IF(AV146=regle!$F$12,regle!$F$11,
IF(AV146=regle!$G$12,regle!$G$11,
IF(AV146=regle!$H$12,regle!$H$11,
IF(AV146=regle!$I$12,regle!$I$11,""))))))))))</f>
        <v/>
      </c>
      <c r="AC146" t="str">
        <f>IF(NOT($A146),"",
IF(AW146=-2,regle!$J$11,
IF(AW146=regle!$B$12,regle!$B$11,
IF(AW146=regle!$C$12,regle!$C$11,
IF(AW146=regle!$D$12,regle!$D$11,
IF(AW146=regle!$E$12,regle!$E$11,
IF(AW146=regle!$F$12,regle!$F$11,
IF(AW146=regle!$G$12,regle!$G$11,
IF(AW146=regle!$H$12,regle!$H$11,
IF(AW146=regle!$I$12,regle!$I$11,""))))))))))</f>
        <v/>
      </c>
      <c r="AD146" t="str">
        <f>IF(NOT($A146),"",
IF(AX146=-2,regle!$J$11,
IF(AX146=regle!$B$12,regle!$B$11,
IF(AX146=regle!$C$12,regle!$C$11,
IF(AX146=regle!$D$12,regle!$D$11,
IF(AX146=regle!$E$12,regle!$E$11,
IF(AX146=regle!$F$12,regle!$F$11,
IF(AX146=regle!$G$12,regle!$G$11,
IF(AX146=regle!$H$12,regle!$H$11,
IF(AX146=regle!$I$12,regle!$I$11,""))))))))))</f>
        <v/>
      </c>
      <c r="AE146" s="14">
        <f>IF($A146,$M146*(IF(U146=regle!$B$11,regle!$B$23,IF(U146=regle!$C$11,regle!$C$23,IF(U146=regle!$D$11,regle!$D$23,IF(U146=regle!$E$11,regle!$E$23,IF(U146=regle!$F$11,regle!$F$23,IF(U146=regle!$G$11,regle!$G$23,IF(U146=regle!$H$11,regle!$H$23,IF(U146=regle!$I$11,regle!$I$23,IF(U146=regle!$J$11,regle!$J$23,0)))))))))))</f>
        <v>171.35999999999999</v>
      </c>
      <c r="AF146" s="14">
        <f>IF($A146,$M146*(IF(V146=regle!$B$11,regle!$B$23,IF(V146=regle!$C$11,regle!$C$23,IF(V146=regle!$D$11,regle!$D$23,IF(V146=regle!$E$11,regle!$E$23,IF(V146=regle!$F$11,regle!$F$23,IF(V146=regle!$G$11,regle!$G$23,IF(V146=regle!$H$11,regle!$H$23,IF(V146=regle!$I$11,regle!$I$23,IF(V146=regle!$J$11,regle!$J$23,0)))))))))))</f>
        <v>0</v>
      </c>
      <c r="AG146" s="14">
        <f>IF($A146,$M146*(IF(W146=regle!$B$11,regle!$B$23,IF(W146=regle!$C$11,regle!$C$23,IF(W146=regle!$D$11,regle!$D$23,IF(W146=regle!$E$11,regle!$E$23,IF(W146=regle!$F$11,regle!$F$23,IF(W146=regle!$G$11,regle!$G$23,IF(W146=regle!$H$11,regle!$H$23,IF(W146=regle!$I$11,regle!$I$23,IF(W146=regle!$J$11,regle!$J$23,0)))))))))))</f>
        <v>0</v>
      </c>
      <c r="AH146" s="14">
        <f>IF($A146,$M146*(IF(X146=regle!$B$11,regle!$B$23,IF(X146=regle!$C$11,regle!$C$23,IF(X146=regle!$D$11,regle!$D$23,IF(X146=regle!$E$11,regle!$E$23,IF(X146=regle!$F$11,regle!$F$23,IF(X146=regle!$G$11,regle!$G$23,IF(X146=regle!$H$11,regle!$H$23,IF(X146=regle!$I$11,regle!$I$23,IF(X146=regle!$J$11,regle!$J$23,0)))))))))))</f>
        <v>0</v>
      </c>
      <c r="AI146" s="14">
        <f>IF($A146,$M146*(IF(Y146=regle!$B$11,regle!$B$23,IF(Y146=regle!$C$11,regle!$C$23,IF(Y146=regle!$D$11,regle!$D$23,IF(Y146=regle!$E$11,regle!$E$23,IF(Y146=regle!$F$11,regle!$F$23,IF(Y146=regle!$G$11,regle!$G$23,IF(Y146=regle!$H$11,regle!$H$23,IF(Y146=regle!$I$11,regle!$I$23,IF(Y146=regle!$J$11,regle!$J$23,0)))))))))))</f>
        <v>0</v>
      </c>
      <c r="AJ146" s="14">
        <f>IF($A146,$M146*(IF(Z146=regle!$B$11,regle!$B$23,IF(Z146=regle!$C$11,regle!$C$23,IF(Z146=regle!$D$11,regle!$D$23,IF(Z146=regle!$E$11,regle!$E$23,IF(Z146=regle!$F$11,regle!$F$23,IF(Z146=regle!$G$11,regle!$G$23,IF(Z146=regle!$H$11,regle!$H$23,IF(Z146=regle!$I$11,regle!$I$23,IF(Z146=regle!$J$11,regle!$J$23,0)))))))))))</f>
        <v>287.23199999999997</v>
      </c>
      <c r="AK146" s="14">
        <f>IF($A146,$M146*(IF(AA146=regle!$B$11,regle!$B$23,IF(AA146=regle!$C$11,regle!$C$23,IF(AA146=regle!$D$11,regle!$D$23,IF(AA146=regle!$E$11,regle!$E$23,IF(AA146=regle!$F$11,regle!$F$23,IF(AA146=regle!$G$11,regle!$G$23,IF(AA146=regle!$H$11,regle!$H$23,IF(AA146=regle!$I$11,regle!$I$23,IF(AA146=regle!$J$11,regle!$J$23,0)))))))))))</f>
        <v>0</v>
      </c>
      <c r="AL146" s="14">
        <f>IF($A146,$M146*(IF(AB146=regle!$B$11,regle!$B$23,IF(AB146=regle!$C$11,regle!$C$23,IF(AB146=regle!$D$11,regle!$D$23,IF(AB146=regle!$E$11,regle!$E$23,IF(AB146=regle!$F$11,regle!$F$23,IF(AB146=regle!$G$11,regle!$G$23,IF(AB146=regle!$H$11,regle!$H$23,IF(AB146=regle!$I$11,regle!$I$23,IF(AB146=regle!$J$11,regle!$J$23,0)))))))))))</f>
        <v>0</v>
      </c>
      <c r="AM146" s="14">
        <f>IF($A146,$M146*(IF(AC146=regle!$B$11,regle!$B$23,IF(AC146=regle!$C$11,regle!$C$23,IF(AC146=regle!$D$11,regle!$D$23,IF(AC146=regle!$E$11,regle!$E$23,IF(AC146=regle!$F$11,regle!$F$23,IF(AC146=regle!$G$11,regle!$G$23,IF(AC146=regle!$H$11,regle!$H$23,IF(AC146=regle!$I$11,regle!$I$23,IF(AC146=regle!$J$11,regle!$J$23,0)))))))))))</f>
        <v>0</v>
      </c>
      <c r="AN146" s="14">
        <f>IF($A146,$M146*(IF(AD146=regle!$B$11,regle!$B$23,IF(AD146=regle!$C$11,regle!$C$23,IF(AD146=regle!$D$11,regle!$D$23,IF(AD146=regle!$E$11,regle!$E$23,IF(AD146=regle!$F$11,regle!$F$23,IF(AD146=regle!$G$11,regle!$G$23,IF(AD146=regle!$H$11,regle!$H$23,IF(AD146=regle!$I$11,regle!$I$23,IF(AD146=regle!$J$11,regle!$J$23,0)))))))))))</f>
        <v>0</v>
      </c>
      <c r="AO146">
        <f>IF(AO$1=$AO$1,IF(regle!B$2-$Q146&gt;=regle!$J$12,-2,IF($S146,IF(regle!$B$2-$Q146&gt;=2,0,-1),regle!B$2-$Q146)),IF(AN146+1&gt;=regle!$J$12,-2,AN146+1))</f>
        <v>18</v>
      </c>
      <c r="AP146">
        <f>IF(AP$1=$AO$1,IF(regle!C$2-$Q146&gt;=regle!$J$12,-2,IF($S146,IF(regle!$B$2-$Q146&gt;=2,0,-1),regle!C$2-$Q146)),IF(AO146+1&gt;=regle!$J$12,-2,AO146+1))</f>
        <v>19</v>
      </c>
      <c r="AQ146">
        <f>IF(AQ$1=$AO$1,IF(regle!D$2-$Q146&gt;=regle!$J$12,-2,IF($S146,IF(regle!$B$2-$Q146&gt;=2,0,-1),regle!D$2-$Q146)),IF(AP146+1&gt;=regle!$J$12,-2,AP146+1))</f>
        <v>20</v>
      </c>
      <c r="AR146">
        <f>IF(AR$1=$AO$1,IF(regle!E$2-$Q146&gt;=regle!$J$12,-2,IF($S146,IF(regle!$B$2-$Q146&gt;=2,0,-1),regle!E$2-$Q146)),IF(AQ146+1&gt;=regle!$J$12,-2,AQ146+1))</f>
        <v>21</v>
      </c>
      <c r="AS146">
        <f>IF(AS$1=$AO$1,IF(regle!F$2-$Q146&gt;=regle!$J$12,-2,IF($S146,IF(regle!$B$2-$Q146&gt;=2,0,-1),regle!F$2-$Q146)),IF(AR146+1&gt;=regle!$J$12,-2,AR146+1))</f>
        <v>22</v>
      </c>
      <c r="AT146">
        <f>IF(AT$1=$AO$1,IF(regle!G$2-$Q146&gt;=regle!$J$12,-2,IF($S146,IF(regle!$B$2-$Q146&gt;=2,0,-1),regle!G$2-$Q146)),IF(AS146+1&gt;=regle!$J$12,-2,AS146+1))</f>
        <v>23</v>
      </c>
      <c r="AU146">
        <f>IF(AU$1=$AO$1,IF(regle!H$2-$Q146&gt;=regle!$J$12,-2,IF($S146,IF(regle!$B$2-$Q146&gt;=2,0,-1),regle!H$2-$Q146)),IF(AT146+1&gt;=regle!$J$12,-2,AT146+1))</f>
        <v>24</v>
      </c>
      <c r="AV146">
        <f>IF(AV$1=$AO$1,IF(regle!I$2-$Q146&gt;=regle!$J$12,-2,IF($S146,IF(regle!$B$2-$Q146&gt;=2,0,-1),regle!I$2-$Q146)),IF(AU146+1&gt;=regle!$J$12,-2,AU146+1))</f>
        <v>25</v>
      </c>
      <c r="AW146">
        <f>IF(AW$1=$AO$1,IF(regle!J$2-$Q146&gt;=regle!$J$12,-2,IF($S146,IF(regle!$B$2-$Q146&gt;=2,0,-1),regle!J$2-$Q146)),IF(AV146+1&gt;=regle!$J$12,-2,AV146+1))</f>
        <v>26</v>
      </c>
      <c r="AX146">
        <f>IF(AX$1=$AO$1,IF(regle!K$2-$Q146&gt;=regle!$J$12,-2,IF($S146,IF(regle!$B$2-$Q146&gt;=2,0,-1),regle!K$2-$Q146)),IF(AW146+1&gt;=regle!$J$12,-2,AW146+1))</f>
        <v>27</v>
      </c>
    </row>
    <row r="147" spans="1:50" x14ac:dyDescent="0.25">
      <c r="A147" t="b">
        <f>AND(modif0[[#This Row],[cdstr]]&lt;&gt;0,OR(regle!$H$27=FALSE,modif0[[#This Row],[essnc]]="PM"))</f>
        <v>1</v>
      </c>
      <c r="B147">
        <f>ROW(objet!A173)</f>
        <v>173</v>
      </c>
      <c r="C147" s="10" t="str">
        <f>objet!D173</f>
        <v>2020000B1171</v>
      </c>
      <c r="D147" t="str">
        <f>LEFT(modif0[[#This Row],[cdstr]],3)</f>
        <v>202</v>
      </c>
      <c r="E147" s="10" t="str">
        <f>objet!G173</f>
        <v>HOSTENS</v>
      </c>
      <c r="F147">
        <f>LEN(modif0[[#This Row],[l_dt]])</f>
        <v>11</v>
      </c>
      <c r="G147" s="10" t="str">
        <f>objet!H173</f>
        <v>LES CAZALAS</v>
      </c>
      <c r="H147" s="10" t="str">
        <f>objet!C173</f>
        <v>B1171</v>
      </c>
      <c r="I147" t="str">
        <f>IF(ISNUMBER(VALUE(RIGHT(LEFT(modif0[[#This Row],[idntfn]],2),1))),_xlfn.CONCAT(0,LEFT(modif0[[#This Row],[idntfn]],1)),LEFT(modif0[[#This Row],[idntfn]],2))</f>
        <v>0B</v>
      </c>
      <c r="J147">
        <f>VALUE(LEFT(RIGHT(modif0[[#This Row],[idntfn]],LEN(modif0[[#This Row],[idntfn]])-IF(LEFT(modif0[[#This Row],[sctn]],1)="0",1,2)),LEN(modif0[[#This Row],[idntfn]])-IF(LEFT(modif0[[#This Row],[sctn]],1)="0",1,2)-LEN(modif0[[#This Row],[lttr]])))</f>
        <v>1171</v>
      </c>
      <c r="K147" t="str">
        <f>IF(ISNUMBER(VALUE(RIGHT(modif0[[#This Row],[idntfn]],1))),"",IF(ISNUMBER(VALUE(LEFT(RIGHT(modif0[[#This Row],[idntfn]],2),1))),RIGHT(modif0[[#This Row],[idntfn]],1),RIGHT(modif0[[#This Row],[idntfn]],2)))</f>
        <v/>
      </c>
      <c r="L147" s="10">
        <f>objet!I173</f>
        <v>975</v>
      </c>
      <c r="M147" s="11">
        <f>modif0[[#This Row],[srfc]]/10000</f>
        <v>9.7500000000000003E-2</v>
      </c>
      <c r="N147" s="10" t="str">
        <f>objet!Z173</f>
        <v>PM</v>
      </c>
      <c r="O147" s="10" t="str">
        <f>objet!AA173</f>
        <v>PLA2006</v>
      </c>
      <c r="P147" t="str">
        <f>IF(ISNUMBER(modif0[[#This Row],[trvx]]),"",LEFT(modif0[[#This Row],[trvx]],LEN(modif0[[#This Row],[trvx]])-4))</f>
        <v>PLA</v>
      </c>
      <c r="Q147">
        <f>VALUE(RIGHT(modif0[[#This Row],[trvx]],4))</f>
        <v>2006</v>
      </c>
      <c r="R147" t="str">
        <f>_xlfn.CONCAT(modif0[[#This Row],[tp]],"-",modif0[[#This Row],[essnc]],"_",modif0[[#This Row],[anns]])</f>
        <v>PLA-PM_2006</v>
      </c>
      <c r="S147" t="b">
        <f>modif0[[#This Row],[tp]]="CR"</f>
        <v>0</v>
      </c>
      <c r="T147">
        <v>40</v>
      </c>
      <c r="U147" t="str">
        <f>IF(NOT($A147),"",
IF(AO147=-2,regle!$J$11,
IF(AO147=regle!$B$12,regle!$B$11,
IF(AO147=regle!$C$12,regle!$C$11,
IF(AO147=regle!$D$12,regle!$D$11,
IF(AO147=regle!$E$12,regle!$E$11,
IF(AO147=regle!$F$12,regle!$F$11,
IF(AO147=regle!$G$12,regle!$G$11,
IF(AO147=regle!$H$12,regle!$H$11,
IF(AO147=regle!$I$12,regle!$I$11,""))))))))))</f>
        <v>EC2</v>
      </c>
      <c r="V147" t="str">
        <f>IF(NOT($A147),"",
IF(AP147=-2,regle!$J$11,
IF(AP147=regle!$B$12,regle!$B$11,
IF(AP147=regle!$C$12,regle!$C$11,
IF(AP147=regle!$D$12,regle!$D$11,
IF(AP147=regle!$E$12,regle!$E$11,
IF(AP147=regle!$F$12,regle!$F$11,
IF(AP147=regle!$G$12,regle!$G$11,
IF(AP147=regle!$H$12,regle!$H$11,
IF(AP147=regle!$I$12,regle!$I$11,""))))))))))</f>
        <v/>
      </c>
      <c r="W147" t="str">
        <f>IF(NOT($A147),"",
IF(AQ147=-2,regle!$J$11,
IF(AQ147=regle!$B$12,regle!$B$11,
IF(AQ147=regle!$C$12,regle!$C$11,
IF(AQ147=regle!$D$12,regle!$D$11,
IF(AQ147=regle!$E$12,regle!$E$11,
IF(AQ147=regle!$F$12,regle!$F$11,
IF(AQ147=regle!$G$12,regle!$G$11,
IF(AQ147=regle!$H$12,regle!$H$11,
IF(AQ147=regle!$I$12,regle!$I$11,""))))))))))</f>
        <v/>
      </c>
      <c r="X147" t="str">
        <f>IF(NOT($A147),"",
IF(AR147=-2,regle!$J$11,
IF(AR147=regle!$B$12,regle!$B$11,
IF(AR147=regle!$C$12,regle!$C$11,
IF(AR147=regle!$D$12,regle!$D$11,
IF(AR147=regle!$E$12,regle!$E$11,
IF(AR147=regle!$F$12,regle!$F$11,
IF(AR147=regle!$G$12,regle!$G$11,
IF(AR147=regle!$H$12,regle!$H$11,
IF(AR147=regle!$I$12,regle!$I$11,""))))))))))</f>
        <v/>
      </c>
      <c r="Y147" t="str">
        <f>IF(NOT($A147),"",
IF(AS147=-2,regle!$J$11,
IF(AS147=regle!$B$12,regle!$B$11,
IF(AS147=regle!$C$12,regle!$C$11,
IF(AS147=regle!$D$12,regle!$D$11,
IF(AS147=regle!$E$12,regle!$E$11,
IF(AS147=regle!$F$12,regle!$F$11,
IF(AS147=regle!$G$12,regle!$G$11,
IF(AS147=regle!$H$12,regle!$H$11,
IF(AS147=regle!$I$12,regle!$I$11,""))))))))))</f>
        <v/>
      </c>
      <c r="Z147" t="str">
        <f>IF(NOT($A147),"",
IF(AT147=-2,regle!$J$11,
IF(AT147=regle!$B$12,regle!$B$11,
IF(AT147=regle!$C$12,regle!$C$11,
IF(AT147=regle!$D$12,regle!$D$11,
IF(AT147=regle!$E$12,regle!$E$11,
IF(AT147=regle!$F$12,regle!$F$11,
IF(AT147=regle!$G$12,regle!$G$11,
IF(AT147=regle!$H$12,regle!$H$11,
IF(AT147=regle!$I$12,regle!$I$11,""))))))))))</f>
        <v>EC3</v>
      </c>
      <c r="AA147" t="str">
        <f>IF(NOT($A147),"",
IF(AU147=-2,regle!$J$11,
IF(AU147=regle!$B$12,regle!$B$11,
IF(AU147=regle!$C$12,regle!$C$11,
IF(AU147=regle!$D$12,regle!$D$11,
IF(AU147=regle!$E$12,regle!$E$11,
IF(AU147=regle!$F$12,regle!$F$11,
IF(AU147=regle!$G$12,regle!$G$11,
IF(AU147=regle!$H$12,regle!$H$11,
IF(AU147=regle!$I$12,regle!$I$11,""))))))))))</f>
        <v/>
      </c>
      <c r="AB147" t="str">
        <f>IF(NOT($A147),"",
IF(AV147=-2,regle!$J$11,
IF(AV147=regle!$B$12,regle!$B$11,
IF(AV147=regle!$C$12,regle!$C$11,
IF(AV147=regle!$D$12,regle!$D$11,
IF(AV147=regle!$E$12,regle!$E$11,
IF(AV147=regle!$F$12,regle!$F$11,
IF(AV147=regle!$G$12,regle!$G$11,
IF(AV147=regle!$H$12,regle!$H$11,
IF(AV147=regle!$I$12,regle!$I$11,""))))))))))</f>
        <v/>
      </c>
      <c r="AC147" t="str">
        <f>IF(NOT($A147),"",
IF(AW147=-2,regle!$J$11,
IF(AW147=regle!$B$12,regle!$B$11,
IF(AW147=regle!$C$12,regle!$C$11,
IF(AW147=regle!$D$12,regle!$D$11,
IF(AW147=regle!$E$12,regle!$E$11,
IF(AW147=regle!$F$12,regle!$F$11,
IF(AW147=regle!$G$12,regle!$G$11,
IF(AW147=regle!$H$12,regle!$H$11,
IF(AW147=regle!$I$12,regle!$I$11,""))))))))))</f>
        <v/>
      </c>
      <c r="AD147" t="str">
        <f>IF(NOT($A147),"",
IF(AX147=-2,regle!$J$11,
IF(AX147=regle!$B$12,regle!$B$11,
IF(AX147=regle!$C$12,regle!$C$11,
IF(AX147=regle!$D$12,regle!$D$11,
IF(AX147=regle!$E$12,regle!$E$11,
IF(AX147=regle!$F$12,regle!$F$11,
IF(AX147=regle!$G$12,regle!$G$11,
IF(AX147=regle!$H$12,regle!$H$11,
IF(AX147=regle!$I$12,regle!$I$11,""))))))))))</f>
        <v/>
      </c>
      <c r="AE147" s="14">
        <f>IF($A147,$M147*(IF(U147=regle!$B$11,regle!$B$23,IF(U147=regle!$C$11,regle!$C$23,IF(U147=regle!$D$11,regle!$D$23,IF(U147=regle!$E$11,regle!$E$23,IF(U147=regle!$F$11,regle!$F$23,IF(U147=regle!$G$11,regle!$G$23,IF(U147=regle!$H$11,regle!$H$23,IF(U147=regle!$I$11,regle!$I$23,IF(U147=regle!$J$11,regle!$J$23,0)))))))))))</f>
        <v>81.900000000000006</v>
      </c>
      <c r="AF147" s="14">
        <f>IF($A147,$M147*(IF(V147=regle!$B$11,regle!$B$23,IF(V147=regle!$C$11,regle!$C$23,IF(V147=regle!$D$11,regle!$D$23,IF(V147=regle!$E$11,regle!$E$23,IF(V147=regle!$F$11,regle!$F$23,IF(V147=regle!$G$11,regle!$G$23,IF(V147=regle!$H$11,regle!$H$23,IF(V147=regle!$I$11,regle!$I$23,IF(V147=regle!$J$11,regle!$J$23,0)))))))))))</f>
        <v>0</v>
      </c>
      <c r="AG147" s="14">
        <f>IF($A147,$M147*(IF(W147=regle!$B$11,regle!$B$23,IF(W147=regle!$C$11,regle!$C$23,IF(W147=regle!$D$11,regle!$D$23,IF(W147=regle!$E$11,regle!$E$23,IF(W147=regle!$F$11,regle!$F$23,IF(W147=regle!$G$11,regle!$G$23,IF(W147=regle!$H$11,regle!$H$23,IF(W147=regle!$I$11,regle!$I$23,IF(W147=regle!$J$11,regle!$J$23,0)))))))))))</f>
        <v>0</v>
      </c>
      <c r="AH147" s="14">
        <f>IF($A147,$M147*(IF(X147=regle!$B$11,regle!$B$23,IF(X147=regle!$C$11,regle!$C$23,IF(X147=regle!$D$11,regle!$D$23,IF(X147=regle!$E$11,regle!$E$23,IF(X147=regle!$F$11,regle!$F$23,IF(X147=regle!$G$11,regle!$G$23,IF(X147=regle!$H$11,regle!$H$23,IF(X147=regle!$I$11,regle!$I$23,IF(X147=regle!$J$11,regle!$J$23,0)))))))))))</f>
        <v>0</v>
      </c>
      <c r="AI147" s="14">
        <f>IF($A147,$M147*(IF(Y147=regle!$B$11,regle!$B$23,IF(Y147=regle!$C$11,regle!$C$23,IF(Y147=regle!$D$11,regle!$D$23,IF(Y147=regle!$E$11,regle!$E$23,IF(Y147=regle!$F$11,regle!$F$23,IF(Y147=regle!$G$11,regle!$G$23,IF(Y147=regle!$H$11,regle!$H$23,IF(Y147=regle!$I$11,regle!$I$23,IF(Y147=regle!$J$11,regle!$J$23,0)))))))))))</f>
        <v>0</v>
      </c>
      <c r="AJ147" s="14">
        <f>IF($A147,$M147*(IF(Z147=regle!$B$11,regle!$B$23,IF(Z147=regle!$C$11,regle!$C$23,IF(Z147=regle!$D$11,regle!$D$23,IF(Z147=regle!$E$11,regle!$E$23,IF(Z147=regle!$F$11,regle!$F$23,IF(Z147=regle!$G$11,regle!$G$23,IF(Z147=regle!$H$11,regle!$H$23,IF(Z147=regle!$I$11,regle!$I$23,IF(Z147=regle!$J$11,regle!$J$23,0)))))))))))</f>
        <v>137.28</v>
      </c>
      <c r="AK147" s="14">
        <f>IF($A147,$M147*(IF(AA147=regle!$B$11,regle!$B$23,IF(AA147=regle!$C$11,regle!$C$23,IF(AA147=regle!$D$11,regle!$D$23,IF(AA147=regle!$E$11,regle!$E$23,IF(AA147=regle!$F$11,regle!$F$23,IF(AA147=regle!$G$11,regle!$G$23,IF(AA147=regle!$H$11,regle!$H$23,IF(AA147=regle!$I$11,regle!$I$23,IF(AA147=regle!$J$11,regle!$J$23,0)))))))))))</f>
        <v>0</v>
      </c>
      <c r="AL147" s="14">
        <f>IF($A147,$M147*(IF(AB147=regle!$B$11,regle!$B$23,IF(AB147=regle!$C$11,regle!$C$23,IF(AB147=regle!$D$11,regle!$D$23,IF(AB147=regle!$E$11,regle!$E$23,IF(AB147=regle!$F$11,regle!$F$23,IF(AB147=regle!$G$11,regle!$G$23,IF(AB147=regle!$H$11,regle!$H$23,IF(AB147=regle!$I$11,regle!$I$23,IF(AB147=regle!$J$11,regle!$J$23,0)))))))))))</f>
        <v>0</v>
      </c>
      <c r="AM147" s="14">
        <f>IF($A147,$M147*(IF(AC147=regle!$B$11,regle!$B$23,IF(AC147=regle!$C$11,regle!$C$23,IF(AC147=regle!$D$11,regle!$D$23,IF(AC147=regle!$E$11,regle!$E$23,IF(AC147=regle!$F$11,regle!$F$23,IF(AC147=regle!$G$11,regle!$G$23,IF(AC147=regle!$H$11,regle!$H$23,IF(AC147=regle!$I$11,regle!$I$23,IF(AC147=regle!$J$11,regle!$J$23,0)))))))))))</f>
        <v>0</v>
      </c>
      <c r="AN147" s="14">
        <f>IF($A147,$M147*(IF(AD147=regle!$B$11,regle!$B$23,IF(AD147=regle!$C$11,regle!$C$23,IF(AD147=regle!$D$11,regle!$D$23,IF(AD147=regle!$E$11,regle!$E$23,IF(AD147=regle!$F$11,regle!$F$23,IF(AD147=regle!$G$11,regle!$G$23,IF(AD147=regle!$H$11,regle!$H$23,IF(AD147=regle!$I$11,regle!$I$23,IF(AD147=regle!$J$11,regle!$J$23,0)))))))))))</f>
        <v>0</v>
      </c>
      <c r="AO147">
        <f>IF(AO$1=$AO$1,IF(regle!B$2-$Q147&gt;=regle!$J$12,-2,IF($S147,IF(regle!$B$2-$Q147&gt;=2,0,-1),regle!B$2-$Q147)),IF(AN147+1&gt;=regle!$J$12,-2,AN147+1))</f>
        <v>18</v>
      </c>
      <c r="AP147">
        <f>IF(AP$1=$AO$1,IF(regle!C$2-$Q147&gt;=regle!$J$12,-2,IF($S147,IF(regle!$B$2-$Q147&gt;=2,0,-1),regle!C$2-$Q147)),IF(AO147+1&gt;=regle!$J$12,-2,AO147+1))</f>
        <v>19</v>
      </c>
      <c r="AQ147">
        <f>IF(AQ$1=$AO$1,IF(regle!D$2-$Q147&gt;=regle!$J$12,-2,IF($S147,IF(regle!$B$2-$Q147&gt;=2,0,-1),regle!D$2-$Q147)),IF(AP147+1&gt;=regle!$J$12,-2,AP147+1))</f>
        <v>20</v>
      </c>
      <c r="AR147">
        <f>IF(AR$1=$AO$1,IF(regle!E$2-$Q147&gt;=regle!$J$12,-2,IF($S147,IF(regle!$B$2-$Q147&gt;=2,0,-1),regle!E$2-$Q147)),IF(AQ147+1&gt;=regle!$J$12,-2,AQ147+1))</f>
        <v>21</v>
      </c>
      <c r="AS147">
        <f>IF(AS$1=$AO$1,IF(regle!F$2-$Q147&gt;=regle!$J$12,-2,IF($S147,IF(regle!$B$2-$Q147&gt;=2,0,-1),regle!F$2-$Q147)),IF(AR147+1&gt;=regle!$J$12,-2,AR147+1))</f>
        <v>22</v>
      </c>
      <c r="AT147">
        <f>IF(AT$1=$AO$1,IF(regle!G$2-$Q147&gt;=regle!$J$12,-2,IF($S147,IF(regle!$B$2-$Q147&gt;=2,0,-1),regle!G$2-$Q147)),IF(AS147+1&gt;=regle!$J$12,-2,AS147+1))</f>
        <v>23</v>
      </c>
      <c r="AU147">
        <f>IF(AU$1=$AO$1,IF(regle!H$2-$Q147&gt;=regle!$J$12,-2,IF($S147,IF(regle!$B$2-$Q147&gt;=2,0,-1),regle!H$2-$Q147)),IF(AT147+1&gt;=regle!$J$12,-2,AT147+1))</f>
        <v>24</v>
      </c>
      <c r="AV147">
        <f>IF(AV$1=$AO$1,IF(regle!I$2-$Q147&gt;=regle!$J$12,-2,IF($S147,IF(regle!$B$2-$Q147&gt;=2,0,-1),regle!I$2-$Q147)),IF(AU147+1&gt;=regle!$J$12,-2,AU147+1))</f>
        <v>25</v>
      </c>
      <c r="AW147">
        <f>IF(AW$1=$AO$1,IF(regle!J$2-$Q147&gt;=regle!$J$12,-2,IF($S147,IF(regle!$B$2-$Q147&gt;=2,0,-1),regle!J$2-$Q147)),IF(AV147+1&gt;=regle!$J$12,-2,AV147+1))</f>
        <v>26</v>
      </c>
      <c r="AX147">
        <f>IF(AX$1=$AO$1,IF(regle!K$2-$Q147&gt;=regle!$J$12,-2,IF($S147,IF(regle!$B$2-$Q147&gt;=2,0,-1),regle!K$2-$Q147)),IF(AW147+1&gt;=regle!$J$12,-2,AW147+1))</f>
        <v>27</v>
      </c>
    </row>
    <row r="148" spans="1:50" x14ac:dyDescent="0.25">
      <c r="A148" t="b">
        <f>AND(modif0[[#This Row],[cdstr]]&lt;&gt;0,OR(regle!$H$27=FALSE,modif0[[#This Row],[essnc]]="PM"))</f>
        <v>1</v>
      </c>
      <c r="B148">
        <f>ROW(objet!A174)</f>
        <v>174</v>
      </c>
      <c r="C148" s="10" t="str">
        <f>objet!D174</f>
        <v>2020000B1172</v>
      </c>
      <c r="D148" t="str">
        <f>LEFT(modif0[[#This Row],[cdstr]],3)</f>
        <v>202</v>
      </c>
      <c r="E148" s="10" t="str">
        <f>objet!G174</f>
        <v>HOSTENS</v>
      </c>
      <c r="F148">
        <f>LEN(modif0[[#This Row],[l_dt]])</f>
        <v>11</v>
      </c>
      <c r="G148" s="10" t="str">
        <f>objet!H174</f>
        <v>LES CAZALAS</v>
      </c>
      <c r="H148" s="10" t="str">
        <f>objet!C174</f>
        <v>B1172</v>
      </c>
      <c r="I148" t="str">
        <f>IF(ISNUMBER(VALUE(RIGHT(LEFT(modif0[[#This Row],[idntfn]],2),1))),_xlfn.CONCAT(0,LEFT(modif0[[#This Row],[idntfn]],1)),LEFT(modif0[[#This Row],[idntfn]],2))</f>
        <v>0B</v>
      </c>
      <c r="J148">
        <f>VALUE(LEFT(RIGHT(modif0[[#This Row],[idntfn]],LEN(modif0[[#This Row],[idntfn]])-IF(LEFT(modif0[[#This Row],[sctn]],1)="0",1,2)),LEN(modif0[[#This Row],[idntfn]])-IF(LEFT(modif0[[#This Row],[sctn]],1)="0",1,2)-LEN(modif0[[#This Row],[lttr]])))</f>
        <v>1172</v>
      </c>
      <c r="K148" t="str">
        <f>IF(ISNUMBER(VALUE(RIGHT(modif0[[#This Row],[idntfn]],1))),"",IF(ISNUMBER(VALUE(LEFT(RIGHT(modif0[[#This Row],[idntfn]],2),1))),RIGHT(modif0[[#This Row],[idntfn]],1),RIGHT(modif0[[#This Row],[idntfn]],2)))</f>
        <v/>
      </c>
      <c r="L148" s="10">
        <f>objet!I174</f>
        <v>2400</v>
      </c>
      <c r="M148" s="11">
        <f>modif0[[#This Row],[srfc]]/10000</f>
        <v>0.24</v>
      </c>
      <c r="N148" s="10" t="str">
        <f>objet!Z174</f>
        <v>PM</v>
      </c>
      <c r="O148" s="10" t="str">
        <f>objet!AA174</f>
        <v>PLA2006</v>
      </c>
      <c r="P148" t="str">
        <f>IF(ISNUMBER(modif0[[#This Row],[trvx]]),"",LEFT(modif0[[#This Row],[trvx]],LEN(modif0[[#This Row],[trvx]])-4))</f>
        <v>PLA</v>
      </c>
      <c r="Q148">
        <f>VALUE(RIGHT(modif0[[#This Row],[trvx]],4))</f>
        <v>2006</v>
      </c>
      <c r="R148" t="str">
        <f>_xlfn.CONCAT(modif0[[#This Row],[tp]],"-",modif0[[#This Row],[essnc]],"_",modif0[[#This Row],[anns]])</f>
        <v>PLA-PM_2006</v>
      </c>
      <c r="S148" t="b">
        <f>modif0[[#This Row],[tp]]="CR"</f>
        <v>0</v>
      </c>
      <c r="T148">
        <v>40</v>
      </c>
      <c r="U148" t="str">
        <f>IF(NOT($A148),"",
IF(AO148=-2,regle!$J$11,
IF(AO148=regle!$B$12,regle!$B$11,
IF(AO148=regle!$C$12,regle!$C$11,
IF(AO148=regle!$D$12,regle!$D$11,
IF(AO148=regle!$E$12,regle!$E$11,
IF(AO148=regle!$F$12,regle!$F$11,
IF(AO148=regle!$G$12,regle!$G$11,
IF(AO148=regle!$H$12,regle!$H$11,
IF(AO148=regle!$I$12,regle!$I$11,""))))))))))</f>
        <v>EC2</v>
      </c>
      <c r="V148" t="str">
        <f>IF(NOT($A148),"",
IF(AP148=-2,regle!$J$11,
IF(AP148=regle!$B$12,regle!$B$11,
IF(AP148=regle!$C$12,regle!$C$11,
IF(AP148=regle!$D$12,regle!$D$11,
IF(AP148=regle!$E$12,regle!$E$11,
IF(AP148=regle!$F$12,regle!$F$11,
IF(AP148=regle!$G$12,regle!$G$11,
IF(AP148=regle!$H$12,regle!$H$11,
IF(AP148=regle!$I$12,regle!$I$11,""))))))))))</f>
        <v/>
      </c>
      <c r="W148" t="str">
        <f>IF(NOT($A148),"",
IF(AQ148=-2,regle!$J$11,
IF(AQ148=regle!$B$12,regle!$B$11,
IF(AQ148=regle!$C$12,regle!$C$11,
IF(AQ148=regle!$D$12,regle!$D$11,
IF(AQ148=regle!$E$12,regle!$E$11,
IF(AQ148=regle!$F$12,regle!$F$11,
IF(AQ148=regle!$G$12,regle!$G$11,
IF(AQ148=regle!$H$12,regle!$H$11,
IF(AQ148=regle!$I$12,regle!$I$11,""))))))))))</f>
        <v/>
      </c>
      <c r="X148" t="str">
        <f>IF(NOT($A148),"",
IF(AR148=-2,regle!$J$11,
IF(AR148=regle!$B$12,regle!$B$11,
IF(AR148=regle!$C$12,regle!$C$11,
IF(AR148=regle!$D$12,regle!$D$11,
IF(AR148=regle!$E$12,regle!$E$11,
IF(AR148=regle!$F$12,regle!$F$11,
IF(AR148=regle!$G$12,regle!$G$11,
IF(AR148=regle!$H$12,regle!$H$11,
IF(AR148=regle!$I$12,regle!$I$11,""))))))))))</f>
        <v/>
      </c>
      <c r="Y148" t="str">
        <f>IF(NOT($A148),"",
IF(AS148=-2,regle!$J$11,
IF(AS148=regle!$B$12,regle!$B$11,
IF(AS148=regle!$C$12,regle!$C$11,
IF(AS148=regle!$D$12,regle!$D$11,
IF(AS148=regle!$E$12,regle!$E$11,
IF(AS148=regle!$F$12,regle!$F$11,
IF(AS148=regle!$G$12,regle!$G$11,
IF(AS148=regle!$H$12,regle!$H$11,
IF(AS148=regle!$I$12,regle!$I$11,""))))))))))</f>
        <v/>
      </c>
      <c r="Z148" t="str">
        <f>IF(NOT($A148),"",
IF(AT148=-2,regle!$J$11,
IF(AT148=regle!$B$12,regle!$B$11,
IF(AT148=regle!$C$12,regle!$C$11,
IF(AT148=regle!$D$12,regle!$D$11,
IF(AT148=regle!$E$12,regle!$E$11,
IF(AT148=regle!$F$12,regle!$F$11,
IF(AT148=regle!$G$12,regle!$G$11,
IF(AT148=regle!$H$12,regle!$H$11,
IF(AT148=regle!$I$12,regle!$I$11,""))))))))))</f>
        <v>EC3</v>
      </c>
      <c r="AA148" t="str">
        <f>IF(NOT($A148),"",
IF(AU148=-2,regle!$J$11,
IF(AU148=regle!$B$12,regle!$B$11,
IF(AU148=regle!$C$12,regle!$C$11,
IF(AU148=regle!$D$12,regle!$D$11,
IF(AU148=regle!$E$12,regle!$E$11,
IF(AU148=regle!$F$12,regle!$F$11,
IF(AU148=regle!$G$12,regle!$G$11,
IF(AU148=regle!$H$12,regle!$H$11,
IF(AU148=regle!$I$12,regle!$I$11,""))))))))))</f>
        <v/>
      </c>
      <c r="AB148" t="str">
        <f>IF(NOT($A148),"",
IF(AV148=-2,regle!$J$11,
IF(AV148=regle!$B$12,regle!$B$11,
IF(AV148=regle!$C$12,regle!$C$11,
IF(AV148=regle!$D$12,regle!$D$11,
IF(AV148=regle!$E$12,regle!$E$11,
IF(AV148=regle!$F$12,regle!$F$11,
IF(AV148=regle!$G$12,regle!$G$11,
IF(AV148=regle!$H$12,regle!$H$11,
IF(AV148=regle!$I$12,regle!$I$11,""))))))))))</f>
        <v/>
      </c>
      <c r="AC148" t="str">
        <f>IF(NOT($A148),"",
IF(AW148=-2,regle!$J$11,
IF(AW148=regle!$B$12,regle!$B$11,
IF(AW148=regle!$C$12,regle!$C$11,
IF(AW148=regle!$D$12,regle!$D$11,
IF(AW148=regle!$E$12,regle!$E$11,
IF(AW148=regle!$F$12,regle!$F$11,
IF(AW148=regle!$G$12,regle!$G$11,
IF(AW148=regle!$H$12,regle!$H$11,
IF(AW148=regle!$I$12,regle!$I$11,""))))))))))</f>
        <v/>
      </c>
      <c r="AD148" t="str">
        <f>IF(NOT($A148),"",
IF(AX148=-2,regle!$J$11,
IF(AX148=regle!$B$12,regle!$B$11,
IF(AX148=regle!$C$12,regle!$C$11,
IF(AX148=regle!$D$12,regle!$D$11,
IF(AX148=regle!$E$12,regle!$E$11,
IF(AX148=regle!$F$12,regle!$F$11,
IF(AX148=regle!$G$12,regle!$G$11,
IF(AX148=regle!$H$12,regle!$H$11,
IF(AX148=regle!$I$12,regle!$I$11,""))))))))))</f>
        <v/>
      </c>
      <c r="AE148" s="14">
        <f>IF($A148,$M148*(IF(U148=regle!$B$11,regle!$B$23,IF(U148=regle!$C$11,regle!$C$23,IF(U148=regle!$D$11,regle!$D$23,IF(U148=regle!$E$11,regle!$E$23,IF(U148=regle!$F$11,regle!$F$23,IF(U148=regle!$G$11,regle!$G$23,IF(U148=regle!$H$11,regle!$H$23,IF(U148=regle!$I$11,regle!$I$23,IF(U148=regle!$J$11,regle!$J$23,0)))))))))))</f>
        <v>201.6</v>
      </c>
      <c r="AF148" s="14">
        <f>IF($A148,$M148*(IF(V148=regle!$B$11,regle!$B$23,IF(V148=regle!$C$11,regle!$C$23,IF(V148=regle!$D$11,regle!$D$23,IF(V148=regle!$E$11,regle!$E$23,IF(V148=regle!$F$11,regle!$F$23,IF(V148=regle!$G$11,regle!$G$23,IF(V148=regle!$H$11,regle!$H$23,IF(V148=regle!$I$11,regle!$I$23,IF(V148=regle!$J$11,regle!$J$23,0)))))))))))</f>
        <v>0</v>
      </c>
      <c r="AG148" s="14">
        <f>IF($A148,$M148*(IF(W148=regle!$B$11,regle!$B$23,IF(W148=regle!$C$11,regle!$C$23,IF(W148=regle!$D$11,regle!$D$23,IF(W148=regle!$E$11,regle!$E$23,IF(W148=regle!$F$11,regle!$F$23,IF(W148=regle!$G$11,regle!$G$23,IF(W148=regle!$H$11,regle!$H$23,IF(W148=regle!$I$11,regle!$I$23,IF(W148=regle!$J$11,regle!$J$23,0)))))))))))</f>
        <v>0</v>
      </c>
      <c r="AH148" s="14">
        <f>IF($A148,$M148*(IF(X148=regle!$B$11,regle!$B$23,IF(X148=regle!$C$11,regle!$C$23,IF(X148=regle!$D$11,regle!$D$23,IF(X148=regle!$E$11,regle!$E$23,IF(X148=regle!$F$11,regle!$F$23,IF(X148=regle!$G$11,regle!$G$23,IF(X148=regle!$H$11,regle!$H$23,IF(X148=regle!$I$11,regle!$I$23,IF(X148=regle!$J$11,regle!$J$23,0)))))))))))</f>
        <v>0</v>
      </c>
      <c r="AI148" s="14">
        <f>IF($A148,$M148*(IF(Y148=regle!$B$11,regle!$B$23,IF(Y148=regle!$C$11,regle!$C$23,IF(Y148=regle!$D$11,regle!$D$23,IF(Y148=regle!$E$11,regle!$E$23,IF(Y148=regle!$F$11,regle!$F$23,IF(Y148=regle!$G$11,regle!$G$23,IF(Y148=regle!$H$11,regle!$H$23,IF(Y148=regle!$I$11,regle!$I$23,IF(Y148=regle!$J$11,regle!$J$23,0)))))))))))</f>
        <v>0</v>
      </c>
      <c r="AJ148" s="14">
        <f>IF($A148,$M148*(IF(Z148=regle!$B$11,regle!$B$23,IF(Z148=regle!$C$11,regle!$C$23,IF(Z148=regle!$D$11,regle!$D$23,IF(Z148=regle!$E$11,regle!$E$23,IF(Z148=regle!$F$11,regle!$F$23,IF(Z148=regle!$G$11,regle!$G$23,IF(Z148=regle!$H$11,regle!$H$23,IF(Z148=regle!$I$11,regle!$I$23,IF(Z148=regle!$J$11,regle!$J$23,0)))))))))))</f>
        <v>337.91999999999996</v>
      </c>
      <c r="AK148" s="14">
        <f>IF($A148,$M148*(IF(AA148=regle!$B$11,regle!$B$23,IF(AA148=regle!$C$11,regle!$C$23,IF(AA148=regle!$D$11,regle!$D$23,IF(AA148=regle!$E$11,regle!$E$23,IF(AA148=regle!$F$11,regle!$F$23,IF(AA148=regle!$G$11,regle!$G$23,IF(AA148=regle!$H$11,regle!$H$23,IF(AA148=regle!$I$11,regle!$I$23,IF(AA148=regle!$J$11,regle!$J$23,0)))))))))))</f>
        <v>0</v>
      </c>
      <c r="AL148" s="14">
        <f>IF($A148,$M148*(IF(AB148=regle!$B$11,regle!$B$23,IF(AB148=regle!$C$11,regle!$C$23,IF(AB148=regle!$D$11,regle!$D$23,IF(AB148=regle!$E$11,regle!$E$23,IF(AB148=regle!$F$11,regle!$F$23,IF(AB148=regle!$G$11,regle!$G$23,IF(AB148=regle!$H$11,regle!$H$23,IF(AB148=regle!$I$11,regle!$I$23,IF(AB148=regle!$J$11,regle!$J$23,0)))))))))))</f>
        <v>0</v>
      </c>
      <c r="AM148" s="14">
        <f>IF($A148,$M148*(IF(AC148=regle!$B$11,regle!$B$23,IF(AC148=regle!$C$11,regle!$C$23,IF(AC148=regle!$D$11,regle!$D$23,IF(AC148=regle!$E$11,regle!$E$23,IF(AC148=regle!$F$11,regle!$F$23,IF(AC148=regle!$G$11,regle!$G$23,IF(AC148=regle!$H$11,regle!$H$23,IF(AC148=regle!$I$11,regle!$I$23,IF(AC148=regle!$J$11,regle!$J$23,0)))))))))))</f>
        <v>0</v>
      </c>
      <c r="AN148" s="14">
        <f>IF($A148,$M148*(IF(AD148=regle!$B$11,regle!$B$23,IF(AD148=regle!$C$11,regle!$C$23,IF(AD148=regle!$D$11,regle!$D$23,IF(AD148=regle!$E$11,regle!$E$23,IF(AD148=regle!$F$11,regle!$F$23,IF(AD148=regle!$G$11,regle!$G$23,IF(AD148=regle!$H$11,regle!$H$23,IF(AD148=regle!$I$11,regle!$I$23,IF(AD148=regle!$J$11,regle!$J$23,0)))))))))))</f>
        <v>0</v>
      </c>
      <c r="AO148">
        <f>IF(AO$1=$AO$1,IF(regle!B$2-$Q148&gt;=regle!$J$12,-2,IF($S148,IF(regle!$B$2-$Q148&gt;=2,0,-1),regle!B$2-$Q148)),IF(AN148+1&gt;=regle!$J$12,-2,AN148+1))</f>
        <v>18</v>
      </c>
      <c r="AP148">
        <f>IF(AP$1=$AO$1,IF(regle!C$2-$Q148&gt;=regle!$J$12,-2,IF($S148,IF(regle!$B$2-$Q148&gt;=2,0,-1),regle!C$2-$Q148)),IF(AO148+1&gt;=regle!$J$12,-2,AO148+1))</f>
        <v>19</v>
      </c>
      <c r="AQ148">
        <f>IF(AQ$1=$AO$1,IF(regle!D$2-$Q148&gt;=regle!$J$12,-2,IF($S148,IF(regle!$B$2-$Q148&gt;=2,0,-1),regle!D$2-$Q148)),IF(AP148+1&gt;=regle!$J$12,-2,AP148+1))</f>
        <v>20</v>
      </c>
      <c r="AR148">
        <f>IF(AR$1=$AO$1,IF(regle!E$2-$Q148&gt;=regle!$J$12,-2,IF($S148,IF(regle!$B$2-$Q148&gt;=2,0,-1),regle!E$2-$Q148)),IF(AQ148+1&gt;=regle!$J$12,-2,AQ148+1))</f>
        <v>21</v>
      </c>
      <c r="AS148">
        <f>IF(AS$1=$AO$1,IF(regle!F$2-$Q148&gt;=regle!$J$12,-2,IF($S148,IF(regle!$B$2-$Q148&gt;=2,0,-1),regle!F$2-$Q148)),IF(AR148+1&gt;=regle!$J$12,-2,AR148+1))</f>
        <v>22</v>
      </c>
      <c r="AT148">
        <f>IF(AT$1=$AO$1,IF(regle!G$2-$Q148&gt;=regle!$J$12,-2,IF($S148,IF(regle!$B$2-$Q148&gt;=2,0,-1),regle!G$2-$Q148)),IF(AS148+1&gt;=regle!$J$12,-2,AS148+1))</f>
        <v>23</v>
      </c>
      <c r="AU148">
        <f>IF(AU$1=$AO$1,IF(regle!H$2-$Q148&gt;=regle!$J$12,-2,IF($S148,IF(regle!$B$2-$Q148&gt;=2,0,-1),regle!H$2-$Q148)),IF(AT148+1&gt;=regle!$J$12,-2,AT148+1))</f>
        <v>24</v>
      </c>
      <c r="AV148">
        <f>IF(AV$1=$AO$1,IF(regle!I$2-$Q148&gt;=regle!$J$12,-2,IF($S148,IF(regle!$B$2-$Q148&gt;=2,0,-1),regle!I$2-$Q148)),IF(AU148+1&gt;=regle!$J$12,-2,AU148+1))</f>
        <v>25</v>
      </c>
      <c r="AW148">
        <f>IF(AW$1=$AO$1,IF(regle!J$2-$Q148&gt;=regle!$J$12,-2,IF($S148,IF(regle!$B$2-$Q148&gt;=2,0,-1),regle!J$2-$Q148)),IF(AV148+1&gt;=regle!$J$12,-2,AV148+1))</f>
        <v>26</v>
      </c>
      <c r="AX148">
        <f>IF(AX$1=$AO$1,IF(regle!K$2-$Q148&gt;=regle!$J$12,-2,IF($S148,IF(regle!$B$2-$Q148&gt;=2,0,-1),regle!K$2-$Q148)),IF(AW148+1&gt;=regle!$J$12,-2,AW148+1))</f>
        <v>27</v>
      </c>
    </row>
    <row r="149" spans="1:50" x14ac:dyDescent="0.25">
      <c r="A149" t="b">
        <f>AND(modif0[[#This Row],[cdstr]]&lt;&gt;0,OR(regle!$H$27=FALSE,modif0[[#This Row],[essnc]]="PM"))</f>
        <v>1</v>
      </c>
      <c r="B149">
        <f>ROW(objet!A175)</f>
        <v>175</v>
      </c>
      <c r="C149" s="10" t="str">
        <f>objet!D175</f>
        <v>2020000B1173</v>
      </c>
      <c r="D149" t="str">
        <f>LEFT(modif0[[#This Row],[cdstr]],3)</f>
        <v>202</v>
      </c>
      <c r="E149" s="10" t="str">
        <f>objet!G175</f>
        <v>HOSTENS</v>
      </c>
      <c r="F149">
        <f>LEN(modif0[[#This Row],[l_dt]])</f>
        <v>11</v>
      </c>
      <c r="G149" s="10" t="str">
        <f>objet!H175</f>
        <v>LES CAZALAS</v>
      </c>
      <c r="H149" s="10" t="str">
        <f>objet!C175</f>
        <v>B1173</v>
      </c>
      <c r="I149" t="str">
        <f>IF(ISNUMBER(VALUE(RIGHT(LEFT(modif0[[#This Row],[idntfn]],2),1))),_xlfn.CONCAT(0,LEFT(modif0[[#This Row],[idntfn]],1)),LEFT(modif0[[#This Row],[idntfn]],2))</f>
        <v>0B</v>
      </c>
      <c r="J149">
        <f>VALUE(LEFT(RIGHT(modif0[[#This Row],[idntfn]],LEN(modif0[[#This Row],[idntfn]])-IF(LEFT(modif0[[#This Row],[sctn]],1)="0",1,2)),LEN(modif0[[#This Row],[idntfn]])-IF(LEFT(modif0[[#This Row],[sctn]],1)="0",1,2)-LEN(modif0[[#This Row],[lttr]])))</f>
        <v>1173</v>
      </c>
      <c r="K149" t="str">
        <f>IF(ISNUMBER(VALUE(RIGHT(modif0[[#This Row],[idntfn]],1))),"",IF(ISNUMBER(VALUE(LEFT(RIGHT(modif0[[#This Row],[idntfn]],2),1))),RIGHT(modif0[[#This Row],[idntfn]],1),RIGHT(modif0[[#This Row],[idntfn]],2)))</f>
        <v/>
      </c>
      <c r="L149" s="10">
        <f>objet!I175</f>
        <v>1560</v>
      </c>
      <c r="M149" s="11">
        <f>modif0[[#This Row],[srfc]]/10000</f>
        <v>0.156</v>
      </c>
      <c r="N149" s="10" t="str">
        <f>objet!Z175</f>
        <v>PM</v>
      </c>
      <c r="O149" s="10" t="str">
        <f>objet!AA175</f>
        <v>PLA2006</v>
      </c>
      <c r="P149" t="str">
        <f>IF(ISNUMBER(modif0[[#This Row],[trvx]]),"",LEFT(modif0[[#This Row],[trvx]],LEN(modif0[[#This Row],[trvx]])-4))</f>
        <v>PLA</v>
      </c>
      <c r="Q149">
        <f>VALUE(RIGHT(modif0[[#This Row],[trvx]],4))</f>
        <v>2006</v>
      </c>
      <c r="R149" t="str">
        <f>_xlfn.CONCAT(modif0[[#This Row],[tp]],"-",modif0[[#This Row],[essnc]],"_",modif0[[#This Row],[anns]])</f>
        <v>PLA-PM_2006</v>
      </c>
      <c r="S149" t="b">
        <f>modif0[[#This Row],[tp]]="CR"</f>
        <v>0</v>
      </c>
      <c r="T149">
        <v>40</v>
      </c>
      <c r="U149" t="str">
        <f>IF(NOT($A149),"",
IF(AO149=-2,regle!$J$11,
IF(AO149=regle!$B$12,regle!$B$11,
IF(AO149=regle!$C$12,regle!$C$11,
IF(AO149=regle!$D$12,regle!$D$11,
IF(AO149=regle!$E$12,regle!$E$11,
IF(AO149=regle!$F$12,regle!$F$11,
IF(AO149=regle!$G$12,regle!$G$11,
IF(AO149=regle!$H$12,regle!$H$11,
IF(AO149=regle!$I$12,regle!$I$11,""))))))))))</f>
        <v>EC2</v>
      </c>
      <c r="V149" t="str">
        <f>IF(NOT($A149),"",
IF(AP149=-2,regle!$J$11,
IF(AP149=regle!$B$12,regle!$B$11,
IF(AP149=regle!$C$12,regle!$C$11,
IF(AP149=regle!$D$12,regle!$D$11,
IF(AP149=regle!$E$12,regle!$E$11,
IF(AP149=regle!$F$12,regle!$F$11,
IF(AP149=regle!$G$12,regle!$G$11,
IF(AP149=regle!$H$12,regle!$H$11,
IF(AP149=regle!$I$12,regle!$I$11,""))))))))))</f>
        <v/>
      </c>
      <c r="W149" t="str">
        <f>IF(NOT($A149),"",
IF(AQ149=-2,regle!$J$11,
IF(AQ149=regle!$B$12,regle!$B$11,
IF(AQ149=regle!$C$12,regle!$C$11,
IF(AQ149=regle!$D$12,regle!$D$11,
IF(AQ149=regle!$E$12,regle!$E$11,
IF(AQ149=regle!$F$12,regle!$F$11,
IF(AQ149=regle!$G$12,regle!$G$11,
IF(AQ149=regle!$H$12,regle!$H$11,
IF(AQ149=regle!$I$12,regle!$I$11,""))))))))))</f>
        <v/>
      </c>
      <c r="X149" t="str">
        <f>IF(NOT($A149),"",
IF(AR149=-2,regle!$J$11,
IF(AR149=regle!$B$12,regle!$B$11,
IF(AR149=regle!$C$12,regle!$C$11,
IF(AR149=regle!$D$12,regle!$D$11,
IF(AR149=regle!$E$12,regle!$E$11,
IF(AR149=regle!$F$12,regle!$F$11,
IF(AR149=regle!$G$12,regle!$G$11,
IF(AR149=regle!$H$12,regle!$H$11,
IF(AR149=regle!$I$12,regle!$I$11,""))))))))))</f>
        <v/>
      </c>
      <c r="Y149" t="str">
        <f>IF(NOT($A149),"",
IF(AS149=-2,regle!$J$11,
IF(AS149=regle!$B$12,regle!$B$11,
IF(AS149=regle!$C$12,regle!$C$11,
IF(AS149=regle!$D$12,regle!$D$11,
IF(AS149=regle!$E$12,regle!$E$11,
IF(AS149=regle!$F$12,regle!$F$11,
IF(AS149=regle!$G$12,regle!$G$11,
IF(AS149=regle!$H$12,regle!$H$11,
IF(AS149=regle!$I$12,regle!$I$11,""))))))))))</f>
        <v/>
      </c>
      <c r="Z149" t="str">
        <f>IF(NOT($A149),"",
IF(AT149=-2,regle!$J$11,
IF(AT149=regle!$B$12,regle!$B$11,
IF(AT149=regle!$C$12,regle!$C$11,
IF(AT149=regle!$D$12,regle!$D$11,
IF(AT149=regle!$E$12,regle!$E$11,
IF(AT149=regle!$F$12,regle!$F$11,
IF(AT149=regle!$G$12,regle!$G$11,
IF(AT149=regle!$H$12,regle!$H$11,
IF(AT149=regle!$I$12,regle!$I$11,""))))))))))</f>
        <v>EC3</v>
      </c>
      <c r="AA149" t="str">
        <f>IF(NOT($A149),"",
IF(AU149=-2,regle!$J$11,
IF(AU149=regle!$B$12,regle!$B$11,
IF(AU149=regle!$C$12,regle!$C$11,
IF(AU149=regle!$D$12,regle!$D$11,
IF(AU149=regle!$E$12,regle!$E$11,
IF(AU149=regle!$F$12,regle!$F$11,
IF(AU149=regle!$G$12,regle!$G$11,
IF(AU149=regle!$H$12,regle!$H$11,
IF(AU149=regle!$I$12,regle!$I$11,""))))))))))</f>
        <v/>
      </c>
      <c r="AB149" t="str">
        <f>IF(NOT($A149),"",
IF(AV149=-2,regle!$J$11,
IF(AV149=regle!$B$12,regle!$B$11,
IF(AV149=regle!$C$12,regle!$C$11,
IF(AV149=regle!$D$12,regle!$D$11,
IF(AV149=regle!$E$12,regle!$E$11,
IF(AV149=regle!$F$12,regle!$F$11,
IF(AV149=regle!$G$12,regle!$G$11,
IF(AV149=regle!$H$12,regle!$H$11,
IF(AV149=regle!$I$12,regle!$I$11,""))))))))))</f>
        <v/>
      </c>
      <c r="AC149" t="str">
        <f>IF(NOT($A149),"",
IF(AW149=-2,regle!$J$11,
IF(AW149=regle!$B$12,regle!$B$11,
IF(AW149=regle!$C$12,regle!$C$11,
IF(AW149=regle!$D$12,regle!$D$11,
IF(AW149=regle!$E$12,regle!$E$11,
IF(AW149=regle!$F$12,regle!$F$11,
IF(AW149=regle!$G$12,regle!$G$11,
IF(AW149=regle!$H$12,regle!$H$11,
IF(AW149=regle!$I$12,regle!$I$11,""))))))))))</f>
        <v/>
      </c>
      <c r="AD149" t="str">
        <f>IF(NOT($A149),"",
IF(AX149=-2,regle!$J$11,
IF(AX149=regle!$B$12,regle!$B$11,
IF(AX149=regle!$C$12,regle!$C$11,
IF(AX149=regle!$D$12,regle!$D$11,
IF(AX149=regle!$E$12,regle!$E$11,
IF(AX149=regle!$F$12,regle!$F$11,
IF(AX149=regle!$G$12,regle!$G$11,
IF(AX149=regle!$H$12,regle!$H$11,
IF(AX149=regle!$I$12,regle!$I$11,""))))))))))</f>
        <v/>
      </c>
      <c r="AE149" s="14">
        <f>IF($A149,$M149*(IF(U149=regle!$B$11,regle!$B$23,IF(U149=regle!$C$11,regle!$C$23,IF(U149=regle!$D$11,regle!$D$23,IF(U149=regle!$E$11,regle!$E$23,IF(U149=regle!$F$11,regle!$F$23,IF(U149=regle!$G$11,regle!$G$23,IF(U149=regle!$H$11,regle!$H$23,IF(U149=regle!$I$11,regle!$I$23,IF(U149=regle!$J$11,regle!$J$23,0)))))))))))</f>
        <v>131.04</v>
      </c>
      <c r="AF149" s="14">
        <f>IF($A149,$M149*(IF(V149=regle!$B$11,regle!$B$23,IF(V149=regle!$C$11,regle!$C$23,IF(V149=regle!$D$11,regle!$D$23,IF(V149=regle!$E$11,regle!$E$23,IF(V149=regle!$F$11,regle!$F$23,IF(V149=regle!$G$11,regle!$G$23,IF(V149=regle!$H$11,regle!$H$23,IF(V149=regle!$I$11,regle!$I$23,IF(V149=regle!$J$11,regle!$J$23,0)))))))))))</f>
        <v>0</v>
      </c>
      <c r="AG149" s="14">
        <f>IF($A149,$M149*(IF(W149=regle!$B$11,regle!$B$23,IF(W149=regle!$C$11,regle!$C$23,IF(W149=regle!$D$11,regle!$D$23,IF(W149=regle!$E$11,regle!$E$23,IF(W149=regle!$F$11,regle!$F$23,IF(W149=regle!$G$11,regle!$G$23,IF(W149=regle!$H$11,regle!$H$23,IF(W149=regle!$I$11,regle!$I$23,IF(W149=regle!$J$11,regle!$J$23,0)))))))))))</f>
        <v>0</v>
      </c>
      <c r="AH149" s="14">
        <f>IF($A149,$M149*(IF(X149=regle!$B$11,regle!$B$23,IF(X149=regle!$C$11,regle!$C$23,IF(X149=regle!$D$11,regle!$D$23,IF(X149=regle!$E$11,regle!$E$23,IF(X149=regle!$F$11,regle!$F$23,IF(X149=regle!$G$11,regle!$G$23,IF(X149=regle!$H$11,regle!$H$23,IF(X149=regle!$I$11,regle!$I$23,IF(X149=regle!$J$11,regle!$J$23,0)))))))))))</f>
        <v>0</v>
      </c>
      <c r="AI149" s="14">
        <f>IF($A149,$M149*(IF(Y149=regle!$B$11,regle!$B$23,IF(Y149=regle!$C$11,regle!$C$23,IF(Y149=regle!$D$11,regle!$D$23,IF(Y149=regle!$E$11,regle!$E$23,IF(Y149=regle!$F$11,regle!$F$23,IF(Y149=regle!$G$11,regle!$G$23,IF(Y149=regle!$H$11,regle!$H$23,IF(Y149=regle!$I$11,regle!$I$23,IF(Y149=regle!$J$11,regle!$J$23,0)))))))))))</f>
        <v>0</v>
      </c>
      <c r="AJ149" s="14">
        <f>IF($A149,$M149*(IF(Z149=regle!$B$11,regle!$B$23,IF(Z149=regle!$C$11,regle!$C$23,IF(Z149=regle!$D$11,regle!$D$23,IF(Z149=regle!$E$11,regle!$E$23,IF(Z149=regle!$F$11,regle!$F$23,IF(Z149=regle!$G$11,regle!$G$23,IF(Z149=regle!$H$11,regle!$H$23,IF(Z149=regle!$I$11,regle!$I$23,IF(Z149=regle!$J$11,regle!$J$23,0)))))))))))</f>
        <v>219.648</v>
      </c>
      <c r="AK149" s="14">
        <f>IF($A149,$M149*(IF(AA149=regle!$B$11,regle!$B$23,IF(AA149=regle!$C$11,regle!$C$23,IF(AA149=regle!$D$11,regle!$D$23,IF(AA149=regle!$E$11,regle!$E$23,IF(AA149=regle!$F$11,regle!$F$23,IF(AA149=regle!$G$11,regle!$G$23,IF(AA149=regle!$H$11,regle!$H$23,IF(AA149=regle!$I$11,regle!$I$23,IF(AA149=regle!$J$11,regle!$J$23,0)))))))))))</f>
        <v>0</v>
      </c>
      <c r="AL149" s="14">
        <f>IF($A149,$M149*(IF(AB149=regle!$B$11,regle!$B$23,IF(AB149=regle!$C$11,regle!$C$23,IF(AB149=regle!$D$11,regle!$D$23,IF(AB149=regle!$E$11,regle!$E$23,IF(AB149=regle!$F$11,regle!$F$23,IF(AB149=regle!$G$11,regle!$G$23,IF(AB149=regle!$H$11,regle!$H$23,IF(AB149=regle!$I$11,regle!$I$23,IF(AB149=regle!$J$11,regle!$J$23,0)))))))))))</f>
        <v>0</v>
      </c>
      <c r="AM149" s="14">
        <f>IF($A149,$M149*(IF(AC149=regle!$B$11,regle!$B$23,IF(AC149=regle!$C$11,regle!$C$23,IF(AC149=regle!$D$11,regle!$D$23,IF(AC149=regle!$E$11,regle!$E$23,IF(AC149=regle!$F$11,regle!$F$23,IF(AC149=regle!$G$11,regle!$G$23,IF(AC149=regle!$H$11,regle!$H$23,IF(AC149=regle!$I$11,regle!$I$23,IF(AC149=regle!$J$11,regle!$J$23,0)))))))))))</f>
        <v>0</v>
      </c>
      <c r="AN149" s="14">
        <f>IF($A149,$M149*(IF(AD149=regle!$B$11,regle!$B$23,IF(AD149=regle!$C$11,regle!$C$23,IF(AD149=regle!$D$11,regle!$D$23,IF(AD149=regle!$E$11,regle!$E$23,IF(AD149=regle!$F$11,regle!$F$23,IF(AD149=regle!$G$11,regle!$G$23,IF(AD149=regle!$H$11,regle!$H$23,IF(AD149=regle!$I$11,regle!$I$23,IF(AD149=regle!$J$11,regle!$J$23,0)))))))))))</f>
        <v>0</v>
      </c>
      <c r="AO149">
        <f>IF(AO$1=$AO$1,IF(regle!B$2-$Q149&gt;=regle!$J$12,-2,IF($S149,IF(regle!$B$2-$Q149&gt;=2,0,-1),regle!B$2-$Q149)),IF(AN149+1&gt;=regle!$J$12,-2,AN149+1))</f>
        <v>18</v>
      </c>
      <c r="AP149">
        <f>IF(AP$1=$AO$1,IF(regle!C$2-$Q149&gt;=regle!$J$12,-2,IF($S149,IF(regle!$B$2-$Q149&gt;=2,0,-1),regle!C$2-$Q149)),IF(AO149+1&gt;=regle!$J$12,-2,AO149+1))</f>
        <v>19</v>
      </c>
      <c r="AQ149">
        <f>IF(AQ$1=$AO$1,IF(regle!D$2-$Q149&gt;=regle!$J$12,-2,IF($S149,IF(regle!$B$2-$Q149&gt;=2,0,-1),regle!D$2-$Q149)),IF(AP149+1&gt;=regle!$J$12,-2,AP149+1))</f>
        <v>20</v>
      </c>
      <c r="AR149">
        <f>IF(AR$1=$AO$1,IF(regle!E$2-$Q149&gt;=regle!$J$12,-2,IF($S149,IF(regle!$B$2-$Q149&gt;=2,0,-1),regle!E$2-$Q149)),IF(AQ149+1&gt;=regle!$J$12,-2,AQ149+1))</f>
        <v>21</v>
      </c>
      <c r="AS149">
        <f>IF(AS$1=$AO$1,IF(regle!F$2-$Q149&gt;=regle!$J$12,-2,IF($S149,IF(regle!$B$2-$Q149&gt;=2,0,-1),regle!F$2-$Q149)),IF(AR149+1&gt;=regle!$J$12,-2,AR149+1))</f>
        <v>22</v>
      </c>
      <c r="AT149">
        <f>IF(AT$1=$AO$1,IF(regle!G$2-$Q149&gt;=regle!$J$12,-2,IF($S149,IF(regle!$B$2-$Q149&gt;=2,0,-1),regle!G$2-$Q149)),IF(AS149+1&gt;=regle!$J$12,-2,AS149+1))</f>
        <v>23</v>
      </c>
      <c r="AU149">
        <f>IF(AU$1=$AO$1,IF(regle!H$2-$Q149&gt;=regle!$J$12,-2,IF($S149,IF(regle!$B$2-$Q149&gt;=2,0,-1),regle!H$2-$Q149)),IF(AT149+1&gt;=regle!$J$12,-2,AT149+1))</f>
        <v>24</v>
      </c>
      <c r="AV149">
        <f>IF(AV$1=$AO$1,IF(regle!I$2-$Q149&gt;=regle!$J$12,-2,IF($S149,IF(regle!$B$2-$Q149&gt;=2,0,-1),regle!I$2-$Q149)),IF(AU149+1&gt;=regle!$J$12,-2,AU149+1))</f>
        <v>25</v>
      </c>
      <c r="AW149">
        <f>IF(AW$1=$AO$1,IF(regle!J$2-$Q149&gt;=regle!$J$12,-2,IF($S149,IF(regle!$B$2-$Q149&gt;=2,0,-1),regle!J$2-$Q149)),IF(AV149+1&gt;=regle!$J$12,-2,AV149+1))</f>
        <v>26</v>
      </c>
      <c r="AX149">
        <f>IF(AX$1=$AO$1,IF(regle!K$2-$Q149&gt;=regle!$J$12,-2,IF($S149,IF(regle!$B$2-$Q149&gt;=2,0,-1),regle!K$2-$Q149)),IF(AW149+1&gt;=regle!$J$12,-2,AW149+1))</f>
        <v>27</v>
      </c>
    </row>
    <row r="150" spans="1:50" x14ac:dyDescent="0.25">
      <c r="A150" t="b">
        <f>AND(modif0[[#This Row],[cdstr]]&lt;&gt;0,OR(regle!$H$27=FALSE,modif0[[#This Row],[essnc]]="PM"))</f>
        <v>1</v>
      </c>
      <c r="B150">
        <f>ROW(objet!A176)</f>
        <v>176</v>
      </c>
      <c r="C150" s="10" t="str">
        <f>objet!D176</f>
        <v>2020000B1174</v>
      </c>
      <c r="D150" t="str">
        <f>LEFT(modif0[[#This Row],[cdstr]],3)</f>
        <v>202</v>
      </c>
      <c r="E150" s="10" t="str">
        <f>objet!G176</f>
        <v>HOSTENS</v>
      </c>
      <c r="F150">
        <f>LEN(modif0[[#This Row],[l_dt]])</f>
        <v>11</v>
      </c>
      <c r="G150" s="10" t="str">
        <f>objet!H176</f>
        <v>LES CAZALAS</v>
      </c>
      <c r="H150" s="10" t="str">
        <f>objet!C176</f>
        <v>B1174</v>
      </c>
      <c r="I150" t="str">
        <f>IF(ISNUMBER(VALUE(RIGHT(LEFT(modif0[[#This Row],[idntfn]],2),1))),_xlfn.CONCAT(0,LEFT(modif0[[#This Row],[idntfn]],1)),LEFT(modif0[[#This Row],[idntfn]],2))</f>
        <v>0B</v>
      </c>
      <c r="J150">
        <f>VALUE(LEFT(RIGHT(modif0[[#This Row],[idntfn]],LEN(modif0[[#This Row],[idntfn]])-IF(LEFT(modif0[[#This Row],[sctn]],1)="0",1,2)),LEN(modif0[[#This Row],[idntfn]])-IF(LEFT(modif0[[#This Row],[sctn]],1)="0",1,2)-LEN(modif0[[#This Row],[lttr]])))</f>
        <v>1174</v>
      </c>
      <c r="K150" t="str">
        <f>IF(ISNUMBER(VALUE(RIGHT(modif0[[#This Row],[idntfn]],1))),"",IF(ISNUMBER(VALUE(LEFT(RIGHT(modif0[[#This Row],[idntfn]],2),1))),RIGHT(modif0[[#This Row],[idntfn]],1),RIGHT(modif0[[#This Row],[idntfn]],2)))</f>
        <v/>
      </c>
      <c r="L150" s="10">
        <f>objet!I176</f>
        <v>4895</v>
      </c>
      <c r="M150" s="11">
        <f>modif0[[#This Row],[srfc]]/10000</f>
        <v>0.48949999999999999</v>
      </c>
      <c r="N150" s="10" t="str">
        <f>objet!Z176</f>
        <v>PM</v>
      </c>
      <c r="O150" s="10" t="str">
        <f>objet!AA176</f>
        <v>PLA2006</v>
      </c>
      <c r="P150" t="str">
        <f>IF(ISNUMBER(modif0[[#This Row],[trvx]]),"",LEFT(modif0[[#This Row],[trvx]],LEN(modif0[[#This Row],[trvx]])-4))</f>
        <v>PLA</v>
      </c>
      <c r="Q150">
        <f>VALUE(RIGHT(modif0[[#This Row],[trvx]],4))</f>
        <v>2006</v>
      </c>
      <c r="R150" t="str">
        <f>_xlfn.CONCAT(modif0[[#This Row],[tp]],"-",modif0[[#This Row],[essnc]],"_",modif0[[#This Row],[anns]])</f>
        <v>PLA-PM_2006</v>
      </c>
      <c r="S150" t="b">
        <f>modif0[[#This Row],[tp]]="CR"</f>
        <v>0</v>
      </c>
      <c r="T150">
        <v>40</v>
      </c>
      <c r="U150" t="str">
        <f>IF(NOT($A150),"",
IF(AO150=-2,regle!$J$11,
IF(AO150=regle!$B$12,regle!$B$11,
IF(AO150=regle!$C$12,regle!$C$11,
IF(AO150=regle!$D$12,regle!$D$11,
IF(AO150=regle!$E$12,regle!$E$11,
IF(AO150=regle!$F$12,regle!$F$11,
IF(AO150=regle!$G$12,regle!$G$11,
IF(AO150=regle!$H$12,regle!$H$11,
IF(AO150=regle!$I$12,regle!$I$11,""))))))))))</f>
        <v>EC2</v>
      </c>
      <c r="V150" t="str">
        <f>IF(NOT($A150),"",
IF(AP150=-2,regle!$J$11,
IF(AP150=regle!$B$12,regle!$B$11,
IF(AP150=regle!$C$12,regle!$C$11,
IF(AP150=regle!$D$12,regle!$D$11,
IF(AP150=regle!$E$12,regle!$E$11,
IF(AP150=regle!$F$12,regle!$F$11,
IF(AP150=regle!$G$12,regle!$G$11,
IF(AP150=regle!$H$12,regle!$H$11,
IF(AP150=regle!$I$12,regle!$I$11,""))))))))))</f>
        <v/>
      </c>
      <c r="W150" t="str">
        <f>IF(NOT($A150),"",
IF(AQ150=-2,regle!$J$11,
IF(AQ150=regle!$B$12,regle!$B$11,
IF(AQ150=regle!$C$12,regle!$C$11,
IF(AQ150=regle!$D$12,regle!$D$11,
IF(AQ150=regle!$E$12,regle!$E$11,
IF(AQ150=regle!$F$12,regle!$F$11,
IF(AQ150=regle!$G$12,regle!$G$11,
IF(AQ150=regle!$H$12,regle!$H$11,
IF(AQ150=regle!$I$12,regle!$I$11,""))))))))))</f>
        <v/>
      </c>
      <c r="X150" t="str">
        <f>IF(NOT($A150),"",
IF(AR150=-2,regle!$J$11,
IF(AR150=regle!$B$12,regle!$B$11,
IF(AR150=regle!$C$12,regle!$C$11,
IF(AR150=regle!$D$12,regle!$D$11,
IF(AR150=regle!$E$12,regle!$E$11,
IF(AR150=regle!$F$12,regle!$F$11,
IF(AR150=regle!$G$12,regle!$G$11,
IF(AR150=regle!$H$12,regle!$H$11,
IF(AR150=regle!$I$12,regle!$I$11,""))))))))))</f>
        <v/>
      </c>
      <c r="Y150" t="str">
        <f>IF(NOT($A150),"",
IF(AS150=-2,regle!$J$11,
IF(AS150=regle!$B$12,regle!$B$11,
IF(AS150=regle!$C$12,regle!$C$11,
IF(AS150=regle!$D$12,regle!$D$11,
IF(AS150=regle!$E$12,regle!$E$11,
IF(AS150=regle!$F$12,regle!$F$11,
IF(AS150=regle!$G$12,regle!$G$11,
IF(AS150=regle!$H$12,regle!$H$11,
IF(AS150=regle!$I$12,regle!$I$11,""))))))))))</f>
        <v/>
      </c>
      <c r="Z150" t="str">
        <f>IF(NOT($A150),"",
IF(AT150=-2,regle!$J$11,
IF(AT150=regle!$B$12,regle!$B$11,
IF(AT150=regle!$C$12,regle!$C$11,
IF(AT150=regle!$D$12,regle!$D$11,
IF(AT150=regle!$E$12,regle!$E$11,
IF(AT150=regle!$F$12,regle!$F$11,
IF(AT150=regle!$G$12,regle!$G$11,
IF(AT150=regle!$H$12,regle!$H$11,
IF(AT150=regle!$I$12,regle!$I$11,""))))))))))</f>
        <v>EC3</v>
      </c>
      <c r="AA150" t="str">
        <f>IF(NOT($A150),"",
IF(AU150=-2,regle!$J$11,
IF(AU150=regle!$B$12,regle!$B$11,
IF(AU150=regle!$C$12,regle!$C$11,
IF(AU150=regle!$D$12,regle!$D$11,
IF(AU150=regle!$E$12,regle!$E$11,
IF(AU150=regle!$F$12,regle!$F$11,
IF(AU150=regle!$G$12,regle!$G$11,
IF(AU150=regle!$H$12,regle!$H$11,
IF(AU150=regle!$I$12,regle!$I$11,""))))))))))</f>
        <v/>
      </c>
      <c r="AB150" t="str">
        <f>IF(NOT($A150),"",
IF(AV150=-2,regle!$J$11,
IF(AV150=regle!$B$12,regle!$B$11,
IF(AV150=regle!$C$12,regle!$C$11,
IF(AV150=regle!$D$12,regle!$D$11,
IF(AV150=regle!$E$12,regle!$E$11,
IF(AV150=regle!$F$12,regle!$F$11,
IF(AV150=regle!$G$12,regle!$G$11,
IF(AV150=regle!$H$12,regle!$H$11,
IF(AV150=regle!$I$12,regle!$I$11,""))))))))))</f>
        <v/>
      </c>
      <c r="AC150" t="str">
        <f>IF(NOT($A150),"",
IF(AW150=-2,regle!$J$11,
IF(AW150=regle!$B$12,regle!$B$11,
IF(AW150=regle!$C$12,regle!$C$11,
IF(AW150=regle!$D$12,regle!$D$11,
IF(AW150=regle!$E$12,regle!$E$11,
IF(AW150=regle!$F$12,regle!$F$11,
IF(AW150=regle!$G$12,regle!$G$11,
IF(AW150=regle!$H$12,regle!$H$11,
IF(AW150=regle!$I$12,regle!$I$11,""))))))))))</f>
        <v/>
      </c>
      <c r="AD150" t="str">
        <f>IF(NOT($A150),"",
IF(AX150=-2,regle!$J$11,
IF(AX150=regle!$B$12,regle!$B$11,
IF(AX150=regle!$C$12,regle!$C$11,
IF(AX150=regle!$D$12,regle!$D$11,
IF(AX150=regle!$E$12,regle!$E$11,
IF(AX150=regle!$F$12,regle!$F$11,
IF(AX150=regle!$G$12,regle!$G$11,
IF(AX150=regle!$H$12,regle!$H$11,
IF(AX150=regle!$I$12,regle!$I$11,""))))))))))</f>
        <v/>
      </c>
      <c r="AE150" s="14">
        <f>IF($A150,$M150*(IF(U150=regle!$B$11,regle!$B$23,IF(U150=regle!$C$11,regle!$C$23,IF(U150=regle!$D$11,regle!$D$23,IF(U150=regle!$E$11,regle!$E$23,IF(U150=regle!$F$11,regle!$F$23,IF(U150=regle!$G$11,regle!$G$23,IF(U150=regle!$H$11,regle!$H$23,IF(U150=regle!$I$11,regle!$I$23,IF(U150=regle!$J$11,regle!$J$23,0)))))))))))</f>
        <v>411.18</v>
      </c>
      <c r="AF150" s="14">
        <f>IF($A150,$M150*(IF(V150=regle!$B$11,regle!$B$23,IF(V150=regle!$C$11,regle!$C$23,IF(V150=regle!$D$11,regle!$D$23,IF(V150=regle!$E$11,regle!$E$23,IF(V150=regle!$F$11,regle!$F$23,IF(V150=regle!$G$11,regle!$G$23,IF(V150=regle!$H$11,regle!$H$23,IF(V150=regle!$I$11,regle!$I$23,IF(V150=regle!$J$11,regle!$J$23,0)))))))))))</f>
        <v>0</v>
      </c>
      <c r="AG150" s="14">
        <f>IF($A150,$M150*(IF(W150=regle!$B$11,regle!$B$23,IF(W150=regle!$C$11,regle!$C$23,IF(W150=regle!$D$11,regle!$D$23,IF(W150=regle!$E$11,regle!$E$23,IF(W150=regle!$F$11,regle!$F$23,IF(W150=regle!$G$11,regle!$G$23,IF(W150=regle!$H$11,regle!$H$23,IF(W150=regle!$I$11,regle!$I$23,IF(W150=regle!$J$11,regle!$J$23,0)))))))))))</f>
        <v>0</v>
      </c>
      <c r="AH150" s="14">
        <f>IF($A150,$M150*(IF(X150=regle!$B$11,regle!$B$23,IF(X150=regle!$C$11,regle!$C$23,IF(X150=regle!$D$11,regle!$D$23,IF(X150=regle!$E$11,regle!$E$23,IF(X150=regle!$F$11,regle!$F$23,IF(X150=regle!$G$11,regle!$G$23,IF(X150=regle!$H$11,regle!$H$23,IF(X150=regle!$I$11,regle!$I$23,IF(X150=regle!$J$11,regle!$J$23,0)))))))))))</f>
        <v>0</v>
      </c>
      <c r="AI150" s="14">
        <f>IF($A150,$M150*(IF(Y150=regle!$B$11,regle!$B$23,IF(Y150=regle!$C$11,regle!$C$23,IF(Y150=regle!$D$11,regle!$D$23,IF(Y150=regle!$E$11,regle!$E$23,IF(Y150=regle!$F$11,regle!$F$23,IF(Y150=regle!$G$11,regle!$G$23,IF(Y150=regle!$H$11,regle!$H$23,IF(Y150=regle!$I$11,regle!$I$23,IF(Y150=regle!$J$11,regle!$J$23,0)))))))))))</f>
        <v>0</v>
      </c>
      <c r="AJ150" s="14">
        <f>IF($A150,$M150*(IF(Z150=regle!$B$11,regle!$B$23,IF(Z150=regle!$C$11,regle!$C$23,IF(Z150=regle!$D$11,regle!$D$23,IF(Z150=regle!$E$11,regle!$E$23,IF(Z150=regle!$F$11,regle!$F$23,IF(Z150=regle!$G$11,regle!$G$23,IF(Z150=regle!$H$11,regle!$H$23,IF(Z150=regle!$I$11,regle!$I$23,IF(Z150=regle!$J$11,regle!$J$23,0)))))))))))</f>
        <v>689.21600000000001</v>
      </c>
      <c r="AK150" s="14">
        <f>IF($A150,$M150*(IF(AA150=regle!$B$11,regle!$B$23,IF(AA150=regle!$C$11,regle!$C$23,IF(AA150=regle!$D$11,regle!$D$23,IF(AA150=regle!$E$11,regle!$E$23,IF(AA150=regle!$F$11,regle!$F$23,IF(AA150=regle!$G$11,regle!$G$23,IF(AA150=regle!$H$11,regle!$H$23,IF(AA150=regle!$I$11,regle!$I$23,IF(AA150=regle!$J$11,regle!$J$23,0)))))))))))</f>
        <v>0</v>
      </c>
      <c r="AL150" s="14">
        <f>IF($A150,$M150*(IF(AB150=regle!$B$11,regle!$B$23,IF(AB150=regle!$C$11,regle!$C$23,IF(AB150=regle!$D$11,regle!$D$23,IF(AB150=regle!$E$11,regle!$E$23,IF(AB150=regle!$F$11,regle!$F$23,IF(AB150=regle!$G$11,regle!$G$23,IF(AB150=regle!$H$11,regle!$H$23,IF(AB150=regle!$I$11,regle!$I$23,IF(AB150=regle!$J$11,regle!$J$23,0)))))))))))</f>
        <v>0</v>
      </c>
      <c r="AM150" s="14">
        <f>IF($A150,$M150*(IF(AC150=regle!$B$11,regle!$B$23,IF(AC150=regle!$C$11,regle!$C$23,IF(AC150=regle!$D$11,regle!$D$23,IF(AC150=regle!$E$11,regle!$E$23,IF(AC150=regle!$F$11,regle!$F$23,IF(AC150=regle!$G$11,regle!$G$23,IF(AC150=regle!$H$11,regle!$H$23,IF(AC150=regle!$I$11,regle!$I$23,IF(AC150=regle!$J$11,regle!$J$23,0)))))))))))</f>
        <v>0</v>
      </c>
      <c r="AN150" s="14">
        <f>IF($A150,$M150*(IF(AD150=regle!$B$11,regle!$B$23,IF(AD150=regle!$C$11,regle!$C$23,IF(AD150=regle!$D$11,regle!$D$23,IF(AD150=regle!$E$11,regle!$E$23,IF(AD150=regle!$F$11,regle!$F$23,IF(AD150=regle!$G$11,regle!$G$23,IF(AD150=regle!$H$11,regle!$H$23,IF(AD150=regle!$I$11,regle!$I$23,IF(AD150=regle!$J$11,regle!$J$23,0)))))))))))</f>
        <v>0</v>
      </c>
      <c r="AO150">
        <f>IF(AO$1=$AO$1,IF(regle!B$2-$Q150&gt;=regle!$J$12,-2,IF($S150,IF(regle!$B$2-$Q150&gt;=2,0,-1),regle!B$2-$Q150)),IF(AN150+1&gt;=regle!$J$12,-2,AN150+1))</f>
        <v>18</v>
      </c>
      <c r="AP150">
        <f>IF(AP$1=$AO$1,IF(regle!C$2-$Q150&gt;=regle!$J$12,-2,IF($S150,IF(regle!$B$2-$Q150&gt;=2,0,-1),regle!C$2-$Q150)),IF(AO150+1&gt;=regle!$J$12,-2,AO150+1))</f>
        <v>19</v>
      </c>
      <c r="AQ150">
        <f>IF(AQ$1=$AO$1,IF(regle!D$2-$Q150&gt;=regle!$J$12,-2,IF($S150,IF(regle!$B$2-$Q150&gt;=2,0,-1),regle!D$2-$Q150)),IF(AP150+1&gt;=regle!$J$12,-2,AP150+1))</f>
        <v>20</v>
      </c>
      <c r="AR150">
        <f>IF(AR$1=$AO$1,IF(regle!E$2-$Q150&gt;=regle!$J$12,-2,IF($S150,IF(regle!$B$2-$Q150&gt;=2,0,-1),regle!E$2-$Q150)),IF(AQ150+1&gt;=regle!$J$12,-2,AQ150+1))</f>
        <v>21</v>
      </c>
      <c r="AS150">
        <f>IF(AS$1=$AO$1,IF(regle!F$2-$Q150&gt;=regle!$J$12,-2,IF($S150,IF(regle!$B$2-$Q150&gt;=2,0,-1),regle!F$2-$Q150)),IF(AR150+1&gt;=regle!$J$12,-2,AR150+1))</f>
        <v>22</v>
      </c>
      <c r="AT150">
        <f>IF(AT$1=$AO$1,IF(regle!G$2-$Q150&gt;=regle!$J$12,-2,IF($S150,IF(regle!$B$2-$Q150&gt;=2,0,-1),regle!G$2-$Q150)),IF(AS150+1&gt;=regle!$J$12,-2,AS150+1))</f>
        <v>23</v>
      </c>
      <c r="AU150">
        <f>IF(AU$1=$AO$1,IF(regle!H$2-$Q150&gt;=regle!$J$12,-2,IF($S150,IF(regle!$B$2-$Q150&gt;=2,0,-1),regle!H$2-$Q150)),IF(AT150+1&gt;=regle!$J$12,-2,AT150+1))</f>
        <v>24</v>
      </c>
      <c r="AV150">
        <f>IF(AV$1=$AO$1,IF(regle!I$2-$Q150&gt;=regle!$J$12,-2,IF($S150,IF(regle!$B$2-$Q150&gt;=2,0,-1),regle!I$2-$Q150)),IF(AU150+1&gt;=regle!$J$12,-2,AU150+1))</f>
        <v>25</v>
      </c>
      <c r="AW150">
        <f>IF(AW$1=$AO$1,IF(regle!J$2-$Q150&gt;=regle!$J$12,-2,IF($S150,IF(regle!$B$2-$Q150&gt;=2,0,-1),regle!J$2-$Q150)),IF(AV150+1&gt;=regle!$J$12,-2,AV150+1))</f>
        <v>26</v>
      </c>
      <c r="AX150">
        <f>IF(AX$1=$AO$1,IF(regle!K$2-$Q150&gt;=regle!$J$12,-2,IF($S150,IF(regle!$B$2-$Q150&gt;=2,0,-1),regle!K$2-$Q150)),IF(AW150+1&gt;=regle!$J$12,-2,AW150+1))</f>
        <v>27</v>
      </c>
    </row>
    <row r="151" spans="1:50" x14ac:dyDescent="0.25">
      <c r="A151" t="b">
        <f>AND(modif0[[#This Row],[cdstr]]&lt;&gt;0,OR(regle!$H$27=FALSE,modif0[[#This Row],[essnc]]="PM"))</f>
        <v>1</v>
      </c>
      <c r="B151">
        <f>ROW(objet!A177)</f>
        <v>177</v>
      </c>
      <c r="C151" s="10" t="str">
        <f>objet!D177</f>
        <v>2020000B1175</v>
      </c>
      <c r="D151" t="str">
        <f>LEFT(modif0[[#This Row],[cdstr]],3)</f>
        <v>202</v>
      </c>
      <c r="E151" s="10" t="str">
        <f>objet!G177</f>
        <v>HOSTENS</v>
      </c>
      <c r="F151">
        <f>LEN(modif0[[#This Row],[l_dt]])</f>
        <v>11</v>
      </c>
      <c r="G151" s="10" t="str">
        <f>objet!H177</f>
        <v>LES CAZALAS</v>
      </c>
      <c r="H151" s="10" t="str">
        <f>objet!C177</f>
        <v>B1175</v>
      </c>
      <c r="I151" t="str">
        <f>IF(ISNUMBER(VALUE(RIGHT(LEFT(modif0[[#This Row],[idntfn]],2),1))),_xlfn.CONCAT(0,LEFT(modif0[[#This Row],[idntfn]],1)),LEFT(modif0[[#This Row],[idntfn]],2))</f>
        <v>0B</v>
      </c>
      <c r="J151">
        <f>VALUE(LEFT(RIGHT(modif0[[#This Row],[idntfn]],LEN(modif0[[#This Row],[idntfn]])-IF(LEFT(modif0[[#This Row],[sctn]],1)="0",1,2)),LEN(modif0[[#This Row],[idntfn]])-IF(LEFT(modif0[[#This Row],[sctn]],1)="0",1,2)-LEN(modif0[[#This Row],[lttr]])))</f>
        <v>1175</v>
      </c>
      <c r="K151" t="str">
        <f>IF(ISNUMBER(VALUE(RIGHT(modif0[[#This Row],[idntfn]],1))),"",IF(ISNUMBER(VALUE(LEFT(RIGHT(modif0[[#This Row],[idntfn]],2),1))),RIGHT(modif0[[#This Row],[idntfn]],1),RIGHT(modif0[[#This Row],[idntfn]],2)))</f>
        <v/>
      </c>
      <c r="L151" s="10">
        <f>objet!I177</f>
        <v>3520</v>
      </c>
      <c r="M151" s="11">
        <f>modif0[[#This Row],[srfc]]/10000</f>
        <v>0.35199999999999998</v>
      </c>
      <c r="N151" s="10" t="str">
        <f>objet!Z177</f>
        <v>PM</v>
      </c>
      <c r="O151" s="10" t="str">
        <f>objet!AA177</f>
        <v>PLA2006</v>
      </c>
      <c r="P151" t="str">
        <f>IF(ISNUMBER(modif0[[#This Row],[trvx]]),"",LEFT(modif0[[#This Row],[trvx]],LEN(modif0[[#This Row],[trvx]])-4))</f>
        <v>PLA</v>
      </c>
      <c r="Q151">
        <f>VALUE(RIGHT(modif0[[#This Row],[trvx]],4))</f>
        <v>2006</v>
      </c>
      <c r="R151" t="str">
        <f>_xlfn.CONCAT(modif0[[#This Row],[tp]],"-",modif0[[#This Row],[essnc]],"_",modif0[[#This Row],[anns]])</f>
        <v>PLA-PM_2006</v>
      </c>
      <c r="S151" t="b">
        <f>modif0[[#This Row],[tp]]="CR"</f>
        <v>0</v>
      </c>
      <c r="T151">
        <v>40</v>
      </c>
      <c r="U151" t="str">
        <f>IF(NOT($A151),"",
IF(AO151=-2,regle!$J$11,
IF(AO151=regle!$B$12,regle!$B$11,
IF(AO151=regle!$C$12,regle!$C$11,
IF(AO151=regle!$D$12,regle!$D$11,
IF(AO151=regle!$E$12,regle!$E$11,
IF(AO151=regle!$F$12,regle!$F$11,
IF(AO151=regle!$G$12,regle!$G$11,
IF(AO151=regle!$H$12,regle!$H$11,
IF(AO151=regle!$I$12,regle!$I$11,""))))))))))</f>
        <v>EC2</v>
      </c>
      <c r="V151" t="str">
        <f>IF(NOT($A151),"",
IF(AP151=-2,regle!$J$11,
IF(AP151=regle!$B$12,regle!$B$11,
IF(AP151=regle!$C$12,regle!$C$11,
IF(AP151=regle!$D$12,regle!$D$11,
IF(AP151=regle!$E$12,regle!$E$11,
IF(AP151=regle!$F$12,regle!$F$11,
IF(AP151=regle!$G$12,regle!$G$11,
IF(AP151=regle!$H$12,regle!$H$11,
IF(AP151=regle!$I$12,regle!$I$11,""))))))))))</f>
        <v/>
      </c>
      <c r="W151" t="str">
        <f>IF(NOT($A151),"",
IF(AQ151=-2,regle!$J$11,
IF(AQ151=regle!$B$12,regle!$B$11,
IF(AQ151=regle!$C$12,regle!$C$11,
IF(AQ151=regle!$D$12,regle!$D$11,
IF(AQ151=regle!$E$12,regle!$E$11,
IF(AQ151=regle!$F$12,regle!$F$11,
IF(AQ151=regle!$G$12,regle!$G$11,
IF(AQ151=regle!$H$12,regle!$H$11,
IF(AQ151=regle!$I$12,regle!$I$11,""))))))))))</f>
        <v/>
      </c>
      <c r="X151" t="str">
        <f>IF(NOT($A151),"",
IF(AR151=-2,regle!$J$11,
IF(AR151=regle!$B$12,regle!$B$11,
IF(AR151=regle!$C$12,regle!$C$11,
IF(AR151=regle!$D$12,regle!$D$11,
IF(AR151=regle!$E$12,regle!$E$11,
IF(AR151=regle!$F$12,regle!$F$11,
IF(AR151=regle!$G$12,regle!$G$11,
IF(AR151=regle!$H$12,regle!$H$11,
IF(AR151=regle!$I$12,regle!$I$11,""))))))))))</f>
        <v/>
      </c>
      <c r="Y151" t="str">
        <f>IF(NOT($A151),"",
IF(AS151=-2,regle!$J$11,
IF(AS151=regle!$B$12,regle!$B$11,
IF(AS151=regle!$C$12,regle!$C$11,
IF(AS151=regle!$D$12,regle!$D$11,
IF(AS151=regle!$E$12,regle!$E$11,
IF(AS151=regle!$F$12,regle!$F$11,
IF(AS151=regle!$G$12,regle!$G$11,
IF(AS151=regle!$H$12,regle!$H$11,
IF(AS151=regle!$I$12,regle!$I$11,""))))))))))</f>
        <v/>
      </c>
      <c r="Z151" t="str">
        <f>IF(NOT($A151),"",
IF(AT151=-2,regle!$J$11,
IF(AT151=regle!$B$12,regle!$B$11,
IF(AT151=regle!$C$12,regle!$C$11,
IF(AT151=regle!$D$12,regle!$D$11,
IF(AT151=regle!$E$12,regle!$E$11,
IF(AT151=regle!$F$12,regle!$F$11,
IF(AT151=regle!$G$12,regle!$G$11,
IF(AT151=regle!$H$12,regle!$H$11,
IF(AT151=regle!$I$12,regle!$I$11,""))))))))))</f>
        <v>EC3</v>
      </c>
      <c r="AA151" t="str">
        <f>IF(NOT($A151),"",
IF(AU151=-2,regle!$J$11,
IF(AU151=regle!$B$12,regle!$B$11,
IF(AU151=regle!$C$12,regle!$C$11,
IF(AU151=regle!$D$12,regle!$D$11,
IF(AU151=regle!$E$12,regle!$E$11,
IF(AU151=regle!$F$12,regle!$F$11,
IF(AU151=regle!$G$12,regle!$G$11,
IF(AU151=regle!$H$12,regle!$H$11,
IF(AU151=regle!$I$12,regle!$I$11,""))))))))))</f>
        <v/>
      </c>
      <c r="AB151" t="str">
        <f>IF(NOT($A151),"",
IF(AV151=-2,regle!$J$11,
IF(AV151=regle!$B$12,regle!$B$11,
IF(AV151=regle!$C$12,regle!$C$11,
IF(AV151=regle!$D$12,regle!$D$11,
IF(AV151=regle!$E$12,regle!$E$11,
IF(AV151=regle!$F$12,regle!$F$11,
IF(AV151=regle!$G$12,regle!$G$11,
IF(AV151=regle!$H$12,regle!$H$11,
IF(AV151=regle!$I$12,regle!$I$11,""))))))))))</f>
        <v/>
      </c>
      <c r="AC151" t="str">
        <f>IF(NOT($A151),"",
IF(AW151=-2,regle!$J$11,
IF(AW151=regle!$B$12,regle!$B$11,
IF(AW151=regle!$C$12,regle!$C$11,
IF(AW151=regle!$D$12,regle!$D$11,
IF(AW151=regle!$E$12,regle!$E$11,
IF(AW151=regle!$F$12,regle!$F$11,
IF(AW151=regle!$G$12,regle!$G$11,
IF(AW151=regle!$H$12,regle!$H$11,
IF(AW151=regle!$I$12,regle!$I$11,""))))))))))</f>
        <v/>
      </c>
      <c r="AD151" t="str">
        <f>IF(NOT($A151),"",
IF(AX151=-2,regle!$J$11,
IF(AX151=regle!$B$12,regle!$B$11,
IF(AX151=regle!$C$12,regle!$C$11,
IF(AX151=regle!$D$12,regle!$D$11,
IF(AX151=regle!$E$12,regle!$E$11,
IF(AX151=regle!$F$12,regle!$F$11,
IF(AX151=regle!$G$12,regle!$G$11,
IF(AX151=regle!$H$12,regle!$H$11,
IF(AX151=regle!$I$12,regle!$I$11,""))))))))))</f>
        <v/>
      </c>
      <c r="AE151" s="14">
        <f>IF($A151,$M151*(IF(U151=regle!$B$11,regle!$B$23,IF(U151=regle!$C$11,regle!$C$23,IF(U151=regle!$D$11,regle!$D$23,IF(U151=regle!$E$11,regle!$E$23,IF(U151=regle!$F$11,regle!$F$23,IF(U151=regle!$G$11,regle!$G$23,IF(U151=regle!$H$11,regle!$H$23,IF(U151=regle!$I$11,regle!$I$23,IF(U151=regle!$J$11,regle!$J$23,0)))))))))))</f>
        <v>295.68</v>
      </c>
      <c r="AF151" s="14">
        <f>IF($A151,$M151*(IF(V151=regle!$B$11,regle!$B$23,IF(V151=regle!$C$11,regle!$C$23,IF(V151=regle!$D$11,regle!$D$23,IF(V151=regle!$E$11,regle!$E$23,IF(V151=regle!$F$11,regle!$F$23,IF(V151=regle!$G$11,regle!$G$23,IF(V151=regle!$H$11,regle!$H$23,IF(V151=regle!$I$11,regle!$I$23,IF(V151=regle!$J$11,regle!$J$23,0)))))))))))</f>
        <v>0</v>
      </c>
      <c r="AG151" s="14">
        <f>IF($A151,$M151*(IF(W151=regle!$B$11,regle!$B$23,IF(W151=regle!$C$11,regle!$C$23,IF(W151=regle!$D$11,regle!$D$23,IF(W151=regle!$E$11,regle!$E$23,IF(W151=regle!$F$11,regle!$F$23,IF(W151=regle!$G$11,regle!$G$23,IF(W151=regle!$H$11,regle!$H$23,IF(W151=regle!$I$11,regle!$I$23,IF(W151=regle!$J$11,regle!$J$23,0)))))))))))</f>
        <v>0</v>
      </c>
      <c r="AH151" s="14">
        <f>IF($A151,$M151*(IF(X151=regle!$B$11,regle!$B$23,IF(X151=regle!$C$11,regle!$C$23,IF(X151=regle!$D$11,regle!$D$23,IF(X151=regle!$E$11,regle!$E$23,IF(X151=regle!$F$11,regle!$F$23,IF(X151=regle!$G$11,regle!$G$23,IF(X151=regle!$H$11,regle!$H$23,IF(X151=regle!$I$11,regle!$I$23,IF(X151=regle!$J$11,regle!$J$23,0)))))))))))</f>
        <v>0</v>
      </c>
      <c r="AI151" s="14">
        <f>IF($A151,$M151*(IF(Y151=regle!$B$11,regle!$B$23,IF(Y151=regle!$C$11,regle!$C$23,IF(Y151=regle!$D$11,regle!$D$23,IF(Y151=regle!$E$11,regle!$E$23,IF(Y151=regle!$F$11,regle!$F$23,IF(Y151=regle!$G$11,regle!$G$23,IF(Y151=regle!$H$11,regle!$H$23,IF(Y151=regle!$I$11,regle!$I$23,IF(Y151=regle!$J$11,regle!$J$23,0)))))))))))</f>
        <v>0</v>
      </c>
      <c r="AJ151" s="14">
        <f>IF($A151,$M151*(IF(Z151=regle!$B$11,regle!$B$23,IF(Z151=regle!$C$11,regle!$C$23,IF(Z151=regle!$D$11,regle!$D$23,IF(Z151=regle!$E$11,regle!$E$23,IF(Z151=regle!$F$11,regle!$F$23,IF(Z151=regle!$G$11,regle!$G$23,IF(Z151=regle!$H$11,regle!$H$23,IF(Z151=regle!$I$11,regle!$I$23,IF(Z151=regle!$J$11,regle!$J$23,0)))))))))))</f>
        <v>495.61599999999999</v>
      </c>
      <c r="AK151" s="14">
        <f>IF($A151,$M151*(IF(AA151=regle!$B$11,regle!$B$23,IF(AA151=regle!$C$11,regle!$C$23,IF(AA151=regle!$D$11,regle!$D$23,IF(AA151=regle!$E$11,regle!$E$23,IF(AA151=regle!$F$11,regle!$F$23,IF(AA151=regle!$G$11,regle!$G$23,IF(AA151=regle!$H$11,regle!$H$23,IF(AA151=regle!$I$11,regle!$I$23,IF(AA151=regle!$J$11,regle!$J$23,0)))))))))))</f>
        <v>0</v>
      </c>
      <c r="AL151" s="14">
        <f>IF($A151,$M151*(IF(AB151=regle!$B$11,regle!$B$23,IF(AB151=regle!$C$11,regle!$C$23,IF(AB151=regle!$D$11,regle!$D$23,IF(AB151=regle!$E$11,regle!$E$23,IF(AB151=regle!$F$11,regle!$F$23,IF(AB151=regle!$G$11,regle!$G$23,IF(AB151=regle!$H$11,regle!$H$23,IF(AB151=regle!$I$11,regle!$I$23,IF(AB151=regle!$J$11,regle!$J$23,0)))))))))))</f>
        <v>0</v>
      </c>
      <c r="AM151" s="14">
        <f>IF($A151,$M151*(IF(AC151=regle!$B$11,regle!$B$23,IF(AC151=regle!$C$11,regle!$C$23,IF(AC151=regle!$D$11,regle!$D$23,IF(AC151=regle!$E$11,regle!$E$23,IF(AC151=regle!$F$11,regle!$F$23,IF(AC151=regle!$G$11,regle!$G$23,IF(AC151=regle!$H$11,regle!$H$23,IF(AC151=regle!$I$11,regle!$I$23,IF(AC151=regle!$J$11,regle!$J$23,0)))))))))))</f>
        <v>0</v>
      </c>
      <c r="AN151" s="14">
        <f>IF($A151,$M151*(IF(AD151=regle!$B$11,regle!$B$23,IF(AD151=regle!$C$11,regle!$C$23,IF(AD151=regle!$D$11,regle!$D$23,IF(AD151=regle!$E$11,regle!$E$23,IF(AD151=regle!$F$11,regle!$F$23,IF(AD151=regle!$G$11,regle!$G$23,IF(AD151=regle!$H$11,regle!$H$23,IF(AD151=regle!$I$11,regle!$I$23,IF(AD151=regle!$J$11,regle!$J$23,0)))))))))))</f>
        <v>0</v>
      </c>
      <c r="AO151">
        <f>IF(AO$1=$AO$1,IF(regle!B$2-$Q151&gt;=regle!$J$12,-2,IF($S151,IF(regle!$B$2-$Q151&gt;=2,0,-1),regle!B$2-$Q151)),IF(AN151+1&gt;=regle!$J$12,-2,AN151+1))</f>
        <v>18</v>
      </c>
      <c r="AP151">
        <f>IF(AP$1=$AO$1,IF(regle!C$2-$Q151&gt;=regle!$J$12,-2,IF($S151,IF(regle!$B$2-$Q151&gt;=2,0,-1),regle!C$2-$Q151)),IF(AO151+1&gt;=regle!$J$12,-2,AO151+1))</f>
        <v>19</v>
      </c>
      <c r="AQ151">
        <f>IF(AQ$1=$AO$1,IF(regle!D$2-$Q151&gt;=regle!$J$12,-2,IF($S151,IF(regle!$B$2-$Q151&gt;=2,0,-1),regle!D$2-$Q151)),IF(AP151+1&gt;=regle!$J$12,-2,AP151+1))</f>
        <v>20</v>
      </c>
      <c r="AR151">
        <f>IF(AR$1=$AO$1,IF(regle!E$2-$Q151&gt;=regle!$J$12,-2,IF($S151,IF(regle!$B$2-$Q151&gt;=2,0,-1),regle!E$2-$Q151)),IF(AQ151+1&gt;=regle!$J$12,-2,AQ151+1))</f>
        <v>21</v>
      </c>
      <c r="AS151">
        <f>IF(AS$1=$AO$1,IF(regle!F$2-$Q151&gt;=regle!$J$12,-2,IF($S151,IF(regle!$B$2-$Q151&gt;=2,0,-1),regle!F$2-$Q151)),IF(AR151+1&gt;=regle!$J$12,-2,AR151+1))</f>
        <v>22</v>
      </c>
      <c r="AT151">
        <f>IF(AT$1=$AO$1,IF(regle!G$2-$Q151&gt;=regle!$J$12,-2,IF($S151,IF(regle!$B$2-$Q151&gt;=2,0,-1),regle!G$2-$Q151)),IF(AS151+1&gt;=regle!$J$12,-2,AS151+1))</f>
        <v>23</v>
      </c>
      <c r="AU151">
        <f>IF(AU$1=$AO$1,IF(regle!H$2-$Q151&gt;=regle!$J$12,-2,IF($S151,IF(regle!$B$2-$Q151&gt;=2,0,-1),regle!H$2-$Q151)),IF(AT151+1&gt;=regle!$J$12,-2,AT151+1))</f>
        <v>24</v>
      </c>
      <c r="AV151">
        <f>IF(AV$1=$AO$1,IF(regle!I$2-$Q151&gt;=regle!$J$12,-2,IF($S151,IF(regle!$B$2-$Q151&gt;=2,0,-1),regle!I$2-$Q151)),IF(AU151+1&gt;=regle!$J$12,-2,AU151+1))</f>
        <v>25</v>
      </c>
      <c r="AW151">
        <f>IF(AW$1=$AO$1,IF(regle!J$2-$Q151&gt;=regle!$J$12,-2,IF($S151,IF(regle!$B$2-$Q151&gt;=2,0,-1),regle!J$2-$Q151)),IF(AV151+1&gt;=regle!$J$12,-2,AV151+1))</f>
        <v>26</v>
      </c>
      <c r="AX151">
        <f>IF(AX$1=$AO$1,IF(regle!K$2-$Q151&gt;=regle!$J$12,-2,IF($S151,IF(regle!$B$2-$Q151&gt;=2,0,-1),regle!K$2-$Q151)),IF(AW151+1&gt;=regle!$J$12,-2,AW151+1))</f>
        <v>27</v>
      </c>
    </row>
    <row r="152" spans="1:50" x14ac:dyDescent="0.25">
      <c r="A152" t="b">
        <f>AND(modif0[[#This Row],[cdstr]]&lt;&gt;0,OR(regle!$H$27=FALSE,modif0[[#This Row],[essnc]]="PM"))</f>
        <v>1</v>
      </c>
      <c r="B152">
        <f>ROW(objet!A178)</f>
        <v>178</v>
      </c>
      <c r="C152" s="10" t="str">
        <f>objet!D178</f>
        <v>2020000B1176</v>
      </c>
      <c r="D152" t="str">
        <f>LEFT(modif0[[#This Row],[cdstr]],3)</f>
        <v>202</v>
      </c>
      <c r="E152" s="10" t="str">
        <f>objet!G178</f>
        <v>HOSTENS</v>
      </c>
      <c r="F152">
        <f>LEN(modif0[[#This Row],[l_dt]])</f>
        <v>11</v>
      </c>
      <c r="G152" s="10" t="str">
        <f>objet!H178</f>
        <v>LES CAZALAS</v>
      </c>
      <c r="H152" s="10" t="str">
        <f>objet!C178</f>
        <v>B1176</v>
      </c>
      <c r="I152" t="str">
        <f>IF(ISNUMBER(VALUE(RIGHT(LEFT(modif0[[#This Row],[idntfn]],2),1))),_xlfn.CONCAT(0,LEFT(modif0[[#This Row],[idntfn]],1)),LEFT(modif0[[#This Row],[idntfn]],2))</f>
        <v>0B</v>
      </c>
      <c r="J152">
        <f>VALUE(LEFT(RIGHT(modif0[[#This Row],[idntfn]],LEN(modif0[[#This Row],[idntfn]])-IF(LEFT(modif0[[#This Row],[sctn]],1)="0",1,2)),LEN(modif0[[#This Row],[idntfn]])-IF(LEFT(modif0[[#This Row],[sctn]],1)="0",1,2)-LEN(modif0[[#This Row],[lttr]])))</f>
        <v>1176</v>
      </c>
      <c r="K152" t="str">
        <f>IF(ISNUMBER(VALUE(RIGHT(modif0[[#This Row],[idntfn]],1))),"",IF(ISNUMBER(VALUE(LEFT(RIGHT(modif0[[#This Row],[idntfn]],2),1))),RIGHT(modif0[[#This Row],[idntfn]],1),RIGHT(modif0[[#This Row],[idntfn]],2)))</f>
        <v/>
      </c>
      <c r="L152" s="10">
        <f>objet!I178</f>
        <v>505</v>
      </c>
      <c r="M152" s="11">
        <f>modif0[[#This Row],[srfc]]/10000</f>
        <v>5.0500000000000003E-2</v>
      </c>
      <c r="N152" s="10" t="str">
        <f>objet!Z178</f>
        <v>PM</v>
      </c>
      <c r="O152" s="10" t="str">
        <f>objet!AA178</f>
        <v>PLA2006</v>
      </c>
      <c r="P152" t="str">
        <f>IF(ISNUMBER(modif0[[#This Row],[trvx]]),"",LEFT(modif0[[#This Row],[trvx]],LEN(modif0[[#This Row],[trvx]])-4))</f>
        <v>PLA</v>
      </c>
      <c r="Q152">
        <f>VALUE(RIGHT(modif0[[#This Row],[trvx]],4))</f>
        <v>2006</v>
      </c>
      <c r="R152" t="str">
        <f>_xlfn.CONCAT(modif0[[#This Row],[tp]],"-",modif0[[#This Row],[essnc]],"_",modif0[[#This Row],[anns]])</f>
        <v>PLA-PM_2006</v>
      </c>
      <c r="S152" t="b">
        <f>modif0[[#This Row],[tp]]="CR"</f>
        <v>0</v>
      </c>
      <c r="T152">
        <v>40</v>
      </c>
      <c r="U152" t="str">
        <f>IF(NOT($A152),"",
IF(AO152=-2,regle!$J$11,
IF(AO152=regle!$B$12,regle!$B$11,
IF(AO152=regle!$C$12,regle!$C$11,
IF(AO152=regle!$D$12,regle!$D$11,
IF(AO152=regle!$E$12,regle!$E$11,
IF(AO152=regle!$F$12,regle!$F$11,
IF(AO152=regle!$G$12,regle!$G$11,
IF(AO152=regle!$H$12,regle!$H$11,
IF(AO152=regle!$I$12,regle!$I$11,""))))))))))</f>
        <v>EC2</v>
      </c>
      <c r="V152" t="str">
        <f>IF(NOT($A152),"",
IF(AP152=-2,regle!$J$11,
IF(AP152=regle!$B$12,regle!$B$11,
IF(AP152=regle!$C$12,regle!$C$11,
IF(AP152=regle!$D$12,regle!$D$11,
IF(AP152=regle!$E$12,regle!$E$11,
IF(AP152=regle!$F$12,regle!$F$11,
IF(AP152=regle!$G$12,regle!$G$11,
IF(AP152=regle!$H$12,regle!$H$11,
IF(AP152=regle!$I$12,regle!$I$11,""))))))))))</f>
        <v/>
      </c>
      <c r="W152" t="str">
        <f>IF(NOT($A152),"",
IF(AQ152=-2,regle!$J$11,
IF(AQ152=regle!$B$12,regle!$B$11,
IF(AQ152=regle!$C$12,regle!$C$11,
IF(AQ152=regle!$D$12,regle!$D$11,
IF(AQ152=regle!$E$12,regle!$E$11,
IF(AQ152=regle!$F$12,regle!$F$11,
IF(AQ152=regle!$G$12,regle!$G$11,
IF(AQ152=regle!$H$12,regle!$H$11,
IF(AQ152=regle!$I$12,regle!$I$11,""))))))))))</f>
        <v/>
      </c>
      <c r="X152" t="str">
        <f>IF(NOT($A152),"",
IF(AR152=-2,regle!$J$11,
IF(AR152=regle!$B$12,regle!$B$11,
IF(AR152=regle!$C$12,regle!$C$11,
IF(AR152=regle!$D$12,regle!$D$11,
IF(AR152=regle!$E$12,regle!$E$11,
IF(AR152=regle!$F$12,regle!$F$11,
IF(AR152=regle!$G$12,regle!$G$11,
IF(AR152=regle!$H$12,regle!$H$11,
IF(AR152=regle!$I$12,regle!$I$11,""))))))))))</f>
        <v/>
      </c>
      <c r="Y152" t="str">
        <f>IF(NOT($A152),"",
IF(AS152=-2,regle!$J$11,
IF(AS152=regle!$B$12,regle!$B$11,
IF(AS152=regle!$C$12,regle!$C$11,
IF(AS152=regle!$D$12,regle!$D$11,
IF(AS152=regle!$E$12,regle!$E$11,
IF(AS152=regle!$F$12,regle!$F$11,
IF(AS152=regle!$G$12,regle!$G$11,
IF(AS152=regle!$H$12,regle!$H$11,
IF(AS152=regle!$I$12,regle!$I$11,""))))))))))</f>
        <v/>
      </c>
      <c r="Z152" t="str">
        <f>IF(NOT($A152),"",
IF(AT152=-2,regle!$J$11,
IF(AT152=regle!$B$12,regle!$B$11,
IF(AT152=regle!$C$12,regle!$C$11,
IF(AT152=regle!$D$12,regle!$D$11,
IF(AT152=regle!$E$12,regle!$E$11,
IF(AT152=regle!$F$12,regle!$F$11,
IF(AT152=regle!$G$12,regle!$G$11,
IF(AT152=regle!$H$12,regle!$H$11,
IF(AT152=regle!$I$12,regle!$I$11,""))))))))))</f>
        <v>EC3</v>
      </c>
      <c r="AA152" t="str">
        <f>IF(NOT($A152),"",
IF(AU152=-2,regle!$J$11,
IF(AU152=regle!$B$12,regle!$B$11,
IF(AU152=regle!$C$12,regle!$C$11,
IF(AU152=regle!$D$12,regle!$D$11,
IF(AU152=regle!$E$12,regle!$E$11,
IF(AU152=regle!$F$12,regle!$F$11,
IF(AU152=regle!$G$12,regle!$G$11,
IF(AU152=regle!$H$12,regle!$H$11,
IF(AU152=regle!$I$12,regle!$I$11,""))))))))))</f>
        <v/>
      </c>
      <c r="AB152" t="str">
        <f>IF(NOT($A152),"",
IF(AV152=-2,regle!$J$11,
IF(AV152=regle!$B$12,regle!$B$11,
IF(AV152=regle!$C$12,regle!$C$11,
IF(AV152=regle!$D$12,regle!$D$11,
IF(AV152=regle!$E$12,regle!$E$11,
IF(AV152=regle!$F$12,regle!$F$11,
IF(AV152=regle!$G$12,regle!$G$11,
IF(AV152=regle!$H$12,regle!$H$11,
IF(AV152=regle!$I$12,regle!$I$11,""))))))))))</f>
        <v/>
      </c>
      <c r="AC152" t="str">
        <f>IF(NOT($A152),"",
IF(AW152=-2,regle!$J$11,
IF(AW152=regle!$B$12,regle!$B$11,
IF(AW152=regle!$C$12,regle!$C$11,
IF(AW152=regle!$D$12,regle!$D$11,
IF(AW152=regle!$E$12,regle!$E$11,
IF(AW152=regle!$F$12,regle!$F$11,
IF(AW152=regle!$G$12,regle!$G$11,
IF(AW152=regle!$H$12,regle!$H$11,
IF(AW152=regle!$I$12,regle!$I$11,""))))))))))</f>
        <v/>
      </c>
      <c r="AD152" t="str">
        <f>IF(NOT($A152),"",
IF(AX152=-2,regle!$J$11,
IF(AX152=regle!$B$12,regle!$B$11,
IF(AX152=regle!$C$12,regle!$C$11,
IF(AX152=regle!$D$12,regle!$D$11,
IF(AX152=regle!$E$12,regle!$E$11,
IF(AX152=regle!$F$12,regle!$F$11,
IF(AX152=regle!$G$12,regle!$G$11,
IF(AX152=regle!$H$12,regle!$H$11,
IF(AX152=regle!$I$12,regle!$I$11,""))))))))))</f>
        <v/>
      </c>
      <c r="AE152" s="14">
        <f>IF($A152,$M152*(IF(U152=regle!$B$11,regle!$B$23,IF(U152=regle!$C$11,regle!$C$23,IF(U152=regle!$D$11,regle!$D$23,IF(U152=regle!$E$11,regle!$E$23,IF(U152=regle!$F$11,regle!$F$23,IF(U152=regle!$G$11,regle!$G$23,IF(U152=regle!$H$11,regle!$H$23,IF(U152=regle!$I$11,regle!$I$23,IF(U152=regle!$J$11,regle!$J$23,0)))))))))))</f>
        <v>42.42</v>
      </c>
      <c r="AF152" s="14">
        <f>IF($A152,$M152*(IF(V152=regle!$B$11,regle!$B$23,IF(V152=regle!$C$11,regle!$C$23,IF(V152=regle!$D$11,regle!$D$23,IF(V152=regle!$E$11,regle!$E$23,IF(V152=regle!$F$11,regle!$F$23,IF(V152=regle!$G$11,regle!$G$23,IF(V152=regle!$H$11,regle!$H$23,IF(V152=regle!$I$11,regle!$I$23,IF(V152=regle!$J$11,regle!$J$23,0)))))))))))</f>
        <v>0</v>
      </c>
      <c r="AG152" s="14">
        <f>IF($A152,$M152*(IF(W152=regle!$B$11,regle!$B$23,IF(W152=regle!$C$11,regle!$C$23,IF(W152=regle!$D$11,regle!$D$23,IF(W152=regle!$E$11,regle!$E$23,IF(W152=regle!$F$11,regle!$F$23,IF(W152=regle!$G$11,regle!$G$23,IF(W152=regle!$H$11,regle!$H$23,IF(W152=regle!$I$11,regle!$I$23,IF(W152=regle!$J$11,regle!$J$23,0)))))))))))</f>
        <v>0</v>
      </c>
      <c r="AH152" s="14">
        <f>IF($A152,$M152*(IF(X152=regle!$B$11,regle!$B$23,IF(X152=regle!$C$11,regle!$C$23,IF(X152=regle!$D$11,regle!$D$23,IF(X152=regle!$E$11,regle!$E$23,IF(X152=regle!$F$11,regle!$F$23,IF(X152=regle!$G$11,regle!$G$23,IF(X152=regle!$H$11,regle!$H$23,IF(X152=regle!$I$11,regle!$I$23,IF(X152=regle!$J$11,regle!$J$23,0)))))))))))</f>
        <v>0</v>
      </c>
      <c r="AI152" s="14">
        <f>IF($A152,$M152*(IF(Y152=regle!$B$11,regle!$B$23,IF(Y152=regle!$C$11,regle!$C$23,IF(Y152=regle!$D$11,regle!$D$23,IF(Y152=regle!$E$11,regle!$E$23,IF(Y152=regle!$F$11,regle!$F$23,IF(Y152=regle!$G$11,regle!$G$23,IF(Y152=regle!$H$11,regle!$H$23,IF(Y152=regle!$I$11,regle!$I$23,IF(Y152=regle!$J$11,regle!$J$23,0)))))))))))</f>
        <v>0</v>
      </c>
      <c r="AJ152" s="14">
        <f>IF($A152,$M152*(IF(Z152=regle!$B$11,regle!$B$23,IF(Z152=regle!$C$11,regle!$C$23,IF(Z152=regle!$D$11,regle!$D$23,IF(Z152=regle!$E$11,regle!$E$23,IF(Z152=regle!$F$11,regle!$F$23,IF(Z152=regle!$G$11,regle!$G$23,IF(Z152=regle!$H$11,regle!$H$23,IF(Z152=regle!$I$11,regle!$I$23,IF(Z152=regle!$J$11,regle!$J$23,0)))))))))))</f>
        <v>71.103999999999999</v>
      </c>
      <c r="AK152" s="14">
        <f>IF($A152,$M152*(IF(AA152=regle!$B$11,regle!$B$23,IF(AA152=regle!$C$11,regle!$C$23,IF(AA152=regle!$D$11,regle!$D$23,IF(AA152=regle!$E$11,regle!$E$23,IF(AA152=regle!$F$11,regle!$F$23,IF(AA152=regle!$G$11,regle!$G$23,IF(AA152=regle!$H$11,regle!$H$23,IF(AA152=regle!$I$11,regle!$I$23,IF(AA152=regle!$J$11,regle!$J$23,0)))))))))))</f>
        <v>0</v>
      </c>
      <c r="AL152" s="14">
        <f>IF($A152,$M152*(IF(AB152=regle!$B$11,regle!$B$23,IF(AB152=regle!$C$11,regle!$C$23,IF(AB152=regle!$D$11,regle!$D$23,IF(AB152=regle!$E$11,regle!$E$23,IF(AB152=regle!$F$11,regle!$F$23,IF(AB152=regle!$G$11,regle!$G$23,IF(AB152=regle!$H$11,regle!$H$23,IF(AB152=regle!$I$11,regle!$I$23,IF(AB152=regle!$J$11,regle!$J$23,0)))))))))))</f>
        <v>0</v>
      </c>
      <c r="AM152" s="14">
        <f>IF($A152,$M152*(IF(AC152=regle!$B$11,regle!$B$23,IF(AC152=regle!$C$11,regle!$C$23,IF(AC152=regle!$D$11,regle!$D$23,IF(AC152=regle!$E$11,regle!$E$23,IF(AC152=regle!$F$11,regle!$F$23,IF(AC152=regle!$G$11,regle!$G$23,IF(AC152=regle!$H$11,regle!$H$23,IF(AC152=regle!$I$11,regle!$I$23,IF(AC152=regle!$J$11,regle!$J$23,0)))))))))))</f>
        <v>0</v>
      </c>
      <c r="AN152" s="14">
        <f>IF($A152,$M152*(IF(AD152=regle!$B$11,regle!$B$23,IF(AD152=regle!$C$11,regle!$C$23,IF(AD152=regle!$D$11,regle!$D$23,IF(AD152=regle!$E$11,regle!$E$23,IF(AD152=regle!$F$11,regle!$F$23,IF(AD152=regle!$G$11,regle!$G$23,IF(AD152=regle!$H$11,regle!$H$23,IF(AD152=regle!$I$11,regle!$I$23,IF(AD152=regle!$J$11,regle!$J$23,0)))))))))))</f>
        <v>0</v>
      </c>
      <c r="AO152">
        <f>IF(AO$1=$AO$1,IF(regle!B$2-$Q152&gt;=regle!$J$12,-2,IF($S152,IF(regle!$B$2-$Q152&gt;=2,0,-1),regle!B$2-$Q152)),IF(AN152+1&gt;=regle!$J$12,-2,AN152+1))</f>
        <v>18</v>
      </c>
      <c r="AP152">
        <f>IF(AP$1=$AO$1,IF(regle!C$2-$Q152&gt;=regle!$J$12,-2,IF($S152,IF(regle!$B$2-$Q152&gt;=2,0,-1),regle!C$2-$Q152)),IF(AO152+1&gt;=regle!$J$12,-2,AO152+1))</f>
        <v>19</v>
      </c>
      <c r="AQ152">
        <f>IF(AQ$1=$AO$1,IF(regle!D$2-$Q152&gt;=regle!$J$12,-2,IF($S152,IF(regle!$B$2-$Q152&gt;=2,0,-1),regle!D$2-$Q152)),IF(AP152+1&gt;=regle!$J$12,-2,AP152+1))</f>
        <v>20</v>
      </c>
      <c r="AR152">
        <f>IF(AR$1=$AO$1,IF(regle!E$2-$Q152&gt;=regle!$J$12,-2,IF($S152,IF(regle!$B$2-$Q152&gt;=2,0,-1),regle!E$2-$Q152)),IF(AQ152+1&gt;=regle!$J$12,-2,AQ152+1))</f>
        <v>21</v>
      </c>
      <c r="AS152">
        <f>IF(AS$1=$AO$1,IF(regle!F$2-$Q152&gt;=regle!$J$12,-2,IF($S152,IF(regle!$B$2-$Q152&gt;=2,0,-1),regle!F$2-$Q152)),IF(AR152+1&gt;=regle!$J$12,-2,AR152+1))</f>
        <v>22</v>
      </c>
      <c r="AT152">
        <f>IF(AT$1=$AO$1,IF(regle!G$2-$Q152&gt;=regle!$J$12,-2,IF($S152,IF(regle!$B$2-$Q152&gt;=2,0,-1),regle!G$2-$Q152)),IF(AS152+1&gt;=regle!$J$12,-2,AS152+1))</f>
        <v>23</v>
      </c>
      <c r="AU152">
        <f>IF(AU$1=$AO$1,IF(regle!H$2-$Q152&gt;=regle!$J$12,-2,IF($S152,IF(regle!$B$2-$Q152&gt;=2,0,-1),regle!H$2-$Q152)),IF(AT152+1&gt;=regle!$J$12,-2,AT152+1))</f>
        <v>24</v>
      </c>
      <c r="AV152">
        <f>IF(AV$1=$AO$1,IF(regle!I$2-$Q152&gt;=regle!$J$12,-2,IF($S152,IF(regle!$B$2-$Q152&gt;=2,0,-1),regle!I$2-$Q152)),IF(AU152+1&gt;=regle!$J$12,-2,AU152+1))</f>
        <v>25</v>
      </c>
      <c r="AW152">
        <f>IF(AW$1=$AO$1,IF(regle!J$2-$Q152&gt;=regle!$J$12,-2,IF($S152,IF(regle!$B$2-$Q152&gt;=2,0,-1),regle!J$2-$Q152)),IF(AV152+1&gt;=regle!$J$12,-2,AV152+1))</f>
        <v>26</v>
      </c>
      <c r="AX152">
        <f>IF(AX$1=$AO$1,IF(regle!K$2-$Q152&gt;=regle!$J$12,-2,IF($S152,IF(regle!$B$2-$Q152&gt;=2,0,-1),regle!K$2-$Q152)),IF(AW152+1&gt;=regle!$J$12,-2,AW152+1))</f>
        <v>27</v>
      </c>
    </row>
    <row r="153" spans="1:50" x14ac:dyDescent="0.25">
      <c r="A153" t="b">
        <f>AND(modif0[[#This Row],[cdstr]]&lt;&gt;0,OR(regle!$H$27=FALSE,modif0[[#This Row],[essnc]]="PM"))</f>
        <v>1</v>
      </c>
      <c r="B153">
        <f>ROW(objet!A179)</f>
        <v>179</v>
      </c>
      <c r="C153" s="10" t="str">
        <f>objet!D179</f>
        <v>2020000B1177</v>
      </c>
      <c r="D153" t="str">
        <f>LEFT(modif0[[#This Row],[cdstr]],3)</f>
        <v>202</v>
      </c>
      <c r="E153" s="10" t="str">
        <f>objet!G179</f>
        <v>HOSTENS</v>
      </c>
      <c r="F153">
        <f>LEN(modif0[[#This Row],[l_dt]])</f>
        <v>11</v>
      </c>
      <c r="G153" s="10" t="str">
        <f>objet!H179</f>
        <v>LES CAZALAS</v>
      </c>
      <c r="H153" s="10" t="str">
        <f>objet!C179</f>
        <v>B1177</v>
      </c>
      <c r="I153" t="str">
        <f>IF(ISNUMBER(VALUE(RIGHT(LEFT(modif0[[#This Row],[idntfn]],2),1))),_xlfn.CONCAT(0,LEFT(modif0[[#This Row],[idntfn]],1)),LEFT(modif0[[#This Row],[idntfn]],2))</f>
        <v>0B</v>
      </c>
      <c r="J153">
        <f>VALUE(LEFT(RIGHT(modif0[[#This Row],[idntfn]],LEN(modif0[[#This Row],[idntfn]])-IF(LEFT(modif0[[#This Row],[sctn]],1)="0",1,2)),LEN(modif0[[#This Row],[idntfn]])-IF(LEFT(modif0[[#This Row],[sctn]],1)="0",1,2)-LEN(modif0[[#This Row],[lttr]])))</f>
        <v>1177</v>
      </c>
      <c r="K153" t="str">
        <f>IF(ISNUMBER(VALUE(RIGHT(modif0[[#This Row],[idntfn]],1))),"",IF(ISNUMBER(VALUE(LEFT(RIGHT(modif0[[#This Row],[idntfn]],2),1))),RIGHT(modif0[[#This Row],[idntfn]],1),RIGHT(modif0[[#This Row],[idntfn]],2)))</f>
        <v/>
      </c>
      <c r="L153" s="10">
        <f>objet!I179</f>
        <v>2240</v>
      </c>
      <c r="M153" s="11">
        <f>modif0[[#This Row],[srfc]]/10000</f>
        <v>0.224</v>
      </c>
      <c r="N153" s="10" t="str">
        <f>objet!Z179</f>
        <v>PM</v>
      </c>
      <c r="O153" s="10" t="str">
        <f>objet!AA179</f>
        <v>PLA2006</v>
      </c>
      <c r="P153" t="str">
        <f>IF(ISNUMBER(modif0[[#This Row],[trvx]]),"",LEFT(modif0[[#This Row],[trvx]],LEN(modif0[[#This Row],[trvx]])-4))</f>
        <v>PLA</v>
      </c>
      <c r="Q153">
        <f>VALUE(RIGHT(modif0[[#This Row],[trvx]],4))</f>
        <v>2006</v>
      </c>
      <c r="R153" t="str">
        <f>_xlfn.CONCAT(modif0[[#This Row],[tp]],"-",modif0[[#This Row],[essnc]],"_",modif0[[#This Row],[anns]])</f>
        <v>PLA-PM_2006</v>
      </c>
      <c r="S153" t="b">
        <f>modif0[[#This Row],[tp]]="CR"</f>
        <v>0</v>
      </c>
      <c r="T153">
        <v>40</v>
      </c>
      <c r="U153" t="str">
        <f>IF(NOT($A153),"",
IF(AO153=-2,regle!$J$11,
IF(AO153=regle!$B$12,regle!$B$11,
IF(AO153=regle!$C$12,regle!$C$11,
IF(AO153=regle!$D$12,regle!$D$11,
IF(AO153=regle!$E$12,regle!$E$11,
IF(AO153=regle!$F$12,regle!$F$11,
IF(AO153=regle!$G$12,regle!$G$11,
IF(AO153=regle!$H$12,regle!$H$11,
IF(AO153=regle!$I$12,regle!$I$11,""))))))))))</f>
        <v>EC2</v>
      </c>
      <c r="V153" t="str">
        <f>IF(NOT($A153),"",
IF(AP153=-2,regle!$J$11,
IF(AP153=regle!$B$12,regle!$B$11,
IF(AP153=regle!$C$12,regle!$C$11,
IF(AP153=regle!$D$12,regle!$D$11,
IF(AP153=regle!$E$12,regle!$E$11,
IF(AP153=regle!$F$12,regle!$F$11,
IF(AP153=regle!$G$12,regle!$G$11,
IF(AP153=regle!$H$12,regle!$H$11,
IF(AP153=regle!$I$12,regle!$I$11,""))))))))))</f>
        <v/>
      </c>
      <c r="W153" t="str">
        <f>IF(NOT($A153),"",
IF(AQ153=-2,regle!$J$11,
IF(AQ153=regle!$B$12,regle!$B$11,
IF(AQ153=regle!$C$12,regle!$C$11,
IF(AQ153=regle!$D$12,regle!$D$11,
IF(AQ153=regle!$E$12,regle!$E$11,
IF(AQ153=regle!$F$12,regle!$F$11,
IF(AQ153=regle!$G$12,regle!$G$11,
IF(AQ153=regle!$H$12,regle!$H$11,
IF(AQ153=regle!$I$12,regle!$I$11,""))))))))))</f>
        <v/>
      </c>
      <c r="X153" t="str">
        <f>IF(NOT($A153),"",
IF(AR153=-2,regle!$J$11,
IF(AR153=regle!$B$12,regle!$B$11,
IF(AR153=regle!$C$12,regle!$C$11,
IF(AR153=regle!$D$12,regle!$D$11,
IF(AR153=regle!$E$12,regle!$E$11,
IF(AR153=regle!$F$12,regle!$F$11,
IF(AR153=regle!$G$12,regle!$G$11,
IF(AR153=regle!$H$12,regle!$H$11,
IF(AR153=regle!$I$12,regle!$I$11,""))))))))))</f>
        <v/>
      </c>
      <c r="Y153" t="str">
        <f>IF(NOT($A153),"",
IF(AS153=-2,regle!$J$11,
IF(AS153=regle!$B$12,regle!$B$11,
IF(AS153=regle!$C$12,regle!$C$11,
IF(AS153=regle!$D$12,regle!$D$11,
IF(AS153=regle!$E$12,regle!$E$11,
IF(AS153=regle!$F$12,regle!$F$11,
IF(AS153=regle!$G$12,regle!$G$11,
IF(AS153=regle!$H$12,regle!$H$11,
IF(AS153=regle!$I$12,regle!$I$11,""))))))))))</f>
        <v/>
      </c>
      <c r="Z153" t="str">
        <f>IF(NOT($A153),"",
IF(AT153=-2,regle!$J$11,
IF(AT153=regle!$B$12,regle!$B$11,
IF(AT153=regle!$C$12,regle!$C$11,
IF(AT153=regle!$D$12,regle!$D$11,
IF(AT153=regle!$E$12,regle!$E$11,
IF(AT153=regle!$F$12,regle!$F$11,
IF(AT153=regle!$G$12,regle!$G$11,
IF(AT153=regle!$H$12,regle!$H$11,
IF(AT153=regle!$I$12,regle!$I$11,""))))))))))</f>
        <v>EC3</v>
      </c>
      <c r="AA153" t="str">
        <f>IF(NOT($A153),"",
IF(AU153=-2,regle!$J$11,
IF(AU153=regle!$B$12,regle!$B$11,
IF(AU153=regle!$C$12,regle!$C$11,
IF(AU153=regle!$D$12,regle!$D$11,
IF(AU153=regle!$E$12,regle!$E$11,
IF(AU153=regle!$F$12,regle!$F$11,
IF(AU153=regle!$G$12,regle!$G$11,
IF(AU153=regle!$H$12,regle!$H$11,
IF(AU153=regle!$I$12,regle!$I$11,""))))))))))</f>
        <v/>
      </c>
      <c r="AB153" t="str">
        <f>IF(NOT($A153),"",
IF(AV153=-2,regle!$J$11,
IF(AV153=regle!$B$12,regle!$B$11,
IF(AV153=regle!$C$12,regle!$C$11,
IF(AV153=regle!$D$12,regle!$D$11,
IF(AV153=regle!$E$12,regle!$E$11,
IF(AV153=regle!$F$12,regle!$F$11,
IF(AV153=regle!$G$12,regle!$G$11,
IF(AV153=regle!$H$12,regle!$H$11,
IF(AV153=regle!$I$12,regle!$I$11,""))))))))))</f>
        <v/>
      </c>
      <c r="AC153" t="str">
        <f>IF(NOT($A153),"",
IF(AW153=-2,regle!$J$11,
IF(AW153=regle!$B$12,regle!$B$11,
IF(AW153=regle!$C$12,regle!$C$11,
IF(AW153=regle!$D$12,regle!$D$11,
IF(AW153=regle!$E$12,regle!$E$11,
IF(AW153=regle!$F$12,regle!$F$11,
IF(AW153=regle!$G$12,regle!$G$11,
IF(AW153=regle!$H$12,regle!$H$11,
IF(AW153=regle!$I$12,regle!$I$11,""))))))))))</f>
        <v/>
      </c>
      <c r="AD153" t="str">
        <f>IF(NOT($A153),"",
IF(AX153=-2,regle!$J$11,
IF(AX153=regle!$B$12,regle!$B$11,
IF(AX153=regle!$C$12,regle!$C$11,
IF(AX153=regle!$D$12,regle!$D$11,
IF(AX153=regle!$E$12,regle!$E$11,
IF(AX153=regle!$F$12,regle!$F$11,
IF(AX153=regle!$G$12,regle!$G$11,
IF(AX153=regle!$H$12,regle!$H$11,
IF(AX153=regle!$I$12,regle!$I$11,""))))))))))</f>
        <v/>
      </c>
      <c r="AE153" s="14">
        <f>IF($A153,$M153*(IF(U153=regle!$B$11,regle!$B$23,IF(U153=regle!$C$11,regle!$C$23,IF(U153=regle!$D$11,regle!$D$23,IF(U153=regle!$E$11,regle!$E$23,IF(U153=regle!$F$11,regle!$F$23,IF(U153=regle!$G$11,regle!$G$23,IF(U153=regle!$H$11,regle!$H$23,IF(U153=regle!$I$11,regle!$I$23,IF(U153=regle!$J$11,regle!$J$23,0)))))))))))</f>
        <v>188.16</v>
      </c>
      <c r="AF153" s="14">
        <f>IF($A153,$M153*(IF(V153=regle!$B$11,regle!$B$23,IF(V153=regle!$C$11,regle!$C$23,IF(V153=regle!$D$11,regle!$D$23,IF(V153=regle!$E$11,regle!$E$23,IF(V153=regle!$F$11,regle!$F$23,IF(V153=regle!$G$11,regle!$G$23,IF(V153=regle!$H$11,regle!$H$23,IF(V153=regle!$I$11,regle!$I$23,IF(V153=regle!$J$11,regle!$J$23,0)))))))))))</f>
        <v>0</v>
      </c>
      <c r="AG153" s="14">
        <f>IF($A153,$M153*(IF(W153=regle!$B$11,regle!$B$23,IF(W153=regle!$C$11,regle!$C$23,IF(W153=regle!$D$11,regle!$D$23,IF(W153=regle!$E$11,regle!$E$23,IF(W153=regle!$F$11,regle!$F$23,IF(W153=regle!$G$11,regle!$G$23,IF(W153=regle!$H$11,regle!$H$23,IF(W153=regle!$I$11,regle!$I$23,IF(W153=regle!$J$11,regle!$J$23,0)))))))))))</f>
        <v>0</v>
      </c>
      <c r="AH153" s="14">
        <f>IF($A153,$M153*(IF(X153=regle!$B$11,regle!$B$23,IF(X153=regle!$C$11,regle!$C$23,IF(X153=regle!$D$11,regle!$D$23,IF(X153=regle!$E$11,regle!$E$23,IF(X153=regle!$F$11,regle!$F$23,IF(X153=regle!$G$11,regle!$G$23,IF(X153=regle!$H$11,regle!$H$23,IF(X153=regle!$I$11,regle!$I$23,IF(X153=regle!$J$11,regle!$J$23,0)))))))))))</f>
        <v>0</v>
      </c>
      <c r="AI153" s="14">
        <f>IF($A153,$M153*(IF(Y153=regle!$B$11,regle!$B$23,IF(Y153=regle!$C$11,regle!$C$23,IF(Y153=regle!$D$11,regle!$D$23,IF(Y153=regle!$E$11,regle!$E$23,IF(Y153=regle!$F$11,regle!$F$23,IF(Y153=regle!$G$11,regle!$G$23,IF(Y153=regle!$H$11,regle!$H$23,IF(Y153=regle!$I$11,regle!$I$23,IF(Y153=regle!$J$11,regle!$J$23,0)))))))))))</f>
        <v>0</v>
      </c>
      <c r="AJ153" s="14">
        <f>IF($A153,$M153*(IF(Z153=regle!$B$11,regle!$B$23,IF(Z153=regle!$C$11,regle!$C$23,IF(Z153=regle!$D$11,regle!$D$23,IF(Z153=regle!$E$11,regle!$E$23,IF(Z153=regle!$F$11,regle!$F$23,IF(Z153=regle!$G$11,regle!$G$23,IF(Z153=regle!$H$11,regle!$H$23,IF(Z153=regle!$I$11,regle!$I$23,IF(Z153=regle!$J$11,regle!$J$23,0)))))))))))</f>
        <v>315.392</v>
      </c>
      <c r="AK153" s="14">
        <f>IF($A153,$M153*(IF(AA153=regle!$B$11,regle!$B$23,IF(AA153=regle!$C$11,regle!$C$23,IF(AA153=regle!$D$11,regle!$D$23,IF(AA153=regle!$E$11,regle!$E$23,IF(AA153=regle!$F$11,regle!$F$23,IF(AA153=regle!$G$11,regle!$G$23,IF(AA153=regle!$H$11,regle!$H$23,IF(AA153=regle!$I$11,regle!$I$23,IF(AA153=regle!$J$11,regle!$J$23,0)))))))))))</f>
        <v>0</v>
      </c>
      <c r="AL153" s="14">
        <f>IF($A153,$M153*(IF(AB153=regle!$B$11,regle!$B$23,IF(AB153=regle!$C$11,regle!$C$23,IF(AB153=regle!$D$11,regle!$D$23,IF(AB153=regle!$E$11,regle!$E$23,IF(AB153=regle!$F$11,regle!$F$23,IF(AB153=regle!$G$11,regle!$G$23,IF(AB153=regle!$H$11,regle!$H$23,IF(AB153=regle!$I$11,regle!$I$23,IF(AB153=regle!$J$11,regle!$J$23,0)))))))))))</f>
        <v>0</v>
      </c>
      <c r="AM153" s="14">
        <f>IF($A153,$M153*(IF(AC153=regle!$B$11,regle!$B$23,IF(AC153=regle!$C$11,regle!$C$23,IF(AC153=regle!$D$11,regle!$D$23,IF(AC153=regle!$E$11,regle!$E$23,IF(AC153=regle!$F$11,regle!$F$23,IF(AC153=regle!$G$11,regle!$G$23,IF(AC153=regle!$H$11,regle!$H$23,IF(AC153=regle!$I$11,regle!$I$23,IF(AC153=regle!$J$11,regle!$J$23,0)))))))))))</f>
        <v>0</v>
      </c>
      <c r="AN153" s="14">
        <f>IF($A153,$M153*(IF(AD153=regle!$B$11,regle!$B$23,IF(AD153=regle!$C$11,regle!$C$23,IF(AD153=regle!$D$11,regle!$D$23,IF(AD153=regle!$E$11,regle!$E$23,IF(AD153=regle!$F$11,regle!$F$23,IF(AD153=regle!$G$11,regle!$G$23,IF(AD153=regle!$H$11,regle!$H$23,IF(AD153=regle!$I$11,regle!$I$23,IF(AD153=regle!$J$11,regle!$J$23,0)))))))))))</f>
        <v>0</v>
      </c>
      <c r="AO153">
        <f>IF(AO$1=$AO$1,IF(regle!B$2-$Q153&gt;=regle!$J$12,-2,IF($S153,IF(regle!$B$2-$Q153&gt;=2,0,-1),regle!B$2-$Q153)),IF(AN153+1&gt;=regle!$J$12,-2,AN153+1))</f>
        <v>18</v>
      </c>
      <c r="AP153">
        <f>IF(AP$1=$AO$1,IF(regle!C$2-$Q153&gt;=regle!$J$12,-2,IF($S153,IF(regle!$B$2-$Q153&gt;=2,0,-1),regle!C$2-$Q153)),IF(AO153+1&gt;=regle!$J$12,-2,AO153+1))</f>
        <v>19</v>
      </c>
      <c r="AQ153">
        <f>IF(AQ$1=$AO$1,IF(regle!D$2-$Q153&gt;=regle!$J$12,-2,IF($S153,IF(regle!$B$2-$Q153&gt;=2,0,-1),regle!D$2-$Q153)),IF(AP153+1&gt;=regle!$J$12,-2,AP153+1))</f>
        <v>20</v>
      </c>
      <c r="AR153">
        <f>IF(AR$1=$AO$1,IF(regle!E$2-$Q153&gt;=regle!$J$12,-2,IF($S153,IF(regle!$B$2-$Q153&gt;=2,0,-1),regle!E$2-$Q153)),IF(AQ153+1&gt;=regle!$J$12,-2,AQ153+1))</f>
        <v>21</v>
      </c>
      <c r="AS153">
        <f>IF(AS$1=$AO$1,IF(regle!F$2-$Q153&gt;=regle!$J$12,-2,IF($S153,IF(regle!$B$2-$Q153&gt;=2,0,-1),regle!F$2-$Q153)),IF(AR153+1&gt;=regle!$J$12,-2,AR153+1))</f>
        <v>22</v>
      </c>
      <c r="AT153">
        <f>IF(AT$1=$AO$1,IF(regle!G$2-$Q153&gt;=regle!$J$12,-2,IF($S153,IF(regle!$B$2-$Q153&gt;=2,0,-1),regle!G$2-$Q153)),IF(AS153+1&gt;=regle!$J$12,-2,AS153+1))</f>
        <v>23</v>
      </c>
      <c r="AU153">
        <f>IF(AU$1=$AO$1,IF(regle!H$2-$Q153&gt;=regle!$J$12,-2,IF($S153,IF(regle!$B$2-$Q153&gt;=2,0,-1),regle!H$2-$Q153)),IF(AT153+1&gt;=regle!$J$12,-2,AT153+1))</f>
        <v>24</v>
      </c>
      <c r="AV153">
        <f>IF(AV$1=$AO$1,IF(regle!I$2-$Q153&gt;=regle!$J$12,-2,IF($S153,IF(regle!$B$2-$Q153&gt;=2,0,-1),regle!I$2-$Q153)),IF(AU153+1&gt;=regle!$J$12,-2,AU153+1))</f>
        <v>25</v>
      </c>
      <c r="AW153">
        <f>IF(AW$1=$AO$1,IF(regle!J$2-$Q153&gt;=regle!$J$12,-2,IF($S153,IF(regle!$B$2-$Q153&gt;=2,0,-1),regle!J$2-$Q153)),IF(AV153+1&gt;=regle!$J$12,-2,AV153+1))</f>
        <v>26</v>
      </c>
      <c r="AX153">
        <f>IF(AX$1=$AO$1,IF(regle!K$2-$Q153&gt;=regle!$J$12,-2,IF($S153,IF(regle!$B$2-$Q153&gt;=2,0,-1),regle!K$2-$Q153)),IF(AW153+1&gt;=regle!$J$12,-2,AW153+1))</f>
        <v>27</v>
      </c>
    </row>
    <row r="154" spans="1:50" x14ac:dyDescent="0.25">
      <c r="A154" t="b">
        <f>AND(modif0[[#This Row],[cdstr]]&lt;&gt;0,OR(regle!$H$27=FALSE,modif0[[#This Row],[essnc]]="PM"))</f>
        <v>1</v>
      </c>
      <c r="B154">
        <f>ROW(objet!A180)</f>
        <v>180</v>
      </c>
      <c r="C154" s="10" t="str">
        <f>objet!D180</f>
        <v>2020000B1178</v>
      </c>
      <c r="D154" t="str">
        <f>LEFT(modif0[[#This Row],[cdstr]],3)</f>
        <v>202</v>
      </c>
      <c r="E154" s="10" t="str">
        <f>objet!G180</f>
        <v>HOSTENS</v>
      </c>
      <c r="F154">
        <f>LEN(modif0[[#This Row],[l_dt]])</f>
        <v>11</v>
      </c>
      <c r="G154" s="10" t="str">
        <f>objet!H180</f>
        <v>LES CAZALAS</v>
      </c>
      <c r="H154" s="10" t="str">
        <f>objet!C180</f>
        <v>B1178</v>
      </c>
      <c r="I154" t="str">
        <f>IF(ISNUMBER(VALUE(RIGHT(LEFT(modif0[[#This Row],[idntfn]],2),1))),_xlfn.CONCAT(0,LEFT(modif0[[#This Row],[idntfn]],1)),LEFT(modif0[[#This Row],[idntfn]],2))</f>
        <v>0B</v>
      </c>
      <c r="J154">
        <f>VALUE(LEFT(RIGHT(modif0[[#This Row],[idntfn]],LEN(modif0[[#This Row],[idntfn]])-IF(LEFT(modif0[[#This Row],[sctn]],1)="0",1,2)),LEN(modif0[[#This Row],[idntfn]])-IF(LEFT(modif0[[#This Row],[sctn]],1)="0",1,2)-LEN(modif0[[#This Row],[lttr]])))</f>
        <v>1178</v>
      </c>
      <c r="K154" t="str">
        <f>IF(ISNUMBER(VALUE(RIGHT(modif0[[#This Row],[idntfn]],1))),"",IF(ISNUMBER(VALUE(LEFT(RIGHT(modif0[[#This Row],[idntfn]],2),1))),RIGHT(modif0[[#This Row],[idntfn]],1),RIGHT(modif0[[#This Row],[idntfn]],2)))</f>
        <v/>
      </c>
      <c r="L154" s="10">
        <f>objet!I180</f>
        <v>6565</v>
      </c>
      <c r="M154" s="11">
        <f>modif0[[#This Row],[srfc]]/10000</f>
        <v>0.65649999999999997</v>
      </c>
      <c r="N154" s="10" t="str">
        <f>objet!Z180</f>
        <v>PM</v>
      </c>
      <c r="O154" s="10" t="str">
        <f>objet!AA180</f>
        <v>PLA2006</v>
      </c>
      <c r="P154" t="str">
        <f>IF(ISNUMBER(modif0[[#This Row],[trvx]]),"",LEFT(modif0[[#This Row],[trvx]],LEN(modif0[[#This Row],[trvx]])-4))</f>
        <v>PLA</v>
      </c>
      <c r="Q154">
        <f>VALUE(RIGHT(modif0[[#This Row],[trvx]],4))</f>
        <v>2006</v>
      </c>
      <c r="R154" t="str">
        <f>_xlfn.CONCAT(modif0[[#This Row],[tp]],"-",modif0[[#This Row],[essnc]],"_",modif0[[#This Row],[anns]])</f>
        <v>PLA-PM_2006</v>
      </c>
      <c r="S154" t="b">
        <f>modif0[[#This Row],[tp]]="CR"</f>
        <v>0</v>
      </c>
      <c r="T154">
        <v>40</v>
      </c>
      <c r="U154" t="str">
        <f>IF(NOT($A154),"",
IF(AO154=-2,regle!$J$11,
IF(AO154=regle!$B$12,regle!$B$11,
IF(AO154=regle!$C$12,regle!$C$11,
IF(AO154=regle!$D$12,regle!$D$11,
IF(AO154=regle!$E$12,regle!$E$11,
IF(AO154=regle!$F$12,regle!$F$11,
IF(AO154=regle!$G$12,regle!$G$11,
IF(AO154=regle!$H$12,regle!$H$11,
IF(AO154=regle!$I$12,regle!$I$11,""))))))))))</f>
        <v>EC2</v>
      </c>
      <c r="V154" t="str">
        <f>IF(NOT($A154),"",
IF(AP154=-2,regle!$J$11,
IF(AP154=regle!$B$12,regle!$B$11,
IF(AP154=regle!$C$12,regle!$C$11,
IF(AP154=regle!$D$12,regle!$D$11,
IF(AP154=regle!$E$12,regle!$E$11,
IF(AP154=regle!$F$12,regle!$F$11,
IF(AP154=regle!$G$12,regle!$G$11,
IF(AP154=regle!$H$12,regle!$H$11,
IF(AP154=regle!$I$12,regle!$I$11,""))))))))))</f>
        <v/>
      </c>
      <c r="W154" t="str">
        <f>IF(NOT($A154),"",
IF(AQ154=-2,regle!$J$11,
IF(AQ154=regle!$B$12,regle!$B$11,
IF(AQ154=regle!$C$12,regle!$C$11,
IF(AQ154=regle!$D$12,regle!$D$11,
IF(AQ154=regle!$E$12,regle!$E$11,
IF(AQ154=regle!$F$12,regle!$F$11,
IF(AQ154=regle!$G$12,regle!$G$11,
IF(AQ154=regle!$H$12,regle!$H$11,
IF(AQ154=regle!$I$12,regle!$I$11,""))))))))))</f>
        <v/>
      </c>
      <c r="X154" t="str">
        <f>IF(NOT($A154),"",
IF(AR154=-2,regle!$J$11,
IF(AR154=regle!$B$12,regle!$B$11,
IF(AR154=regle!$C$12,regle!$C$11,
IF(AR154=regle!$D$12,regle!$D$11,
IF(AR154=regle!$E$12,regle!$E$11,
IF(AR154=regle!$F$12,regle!$F$11,
IF(AR154=regle!$G$12,regle!$G$11,
IF(AR154=regle!$H$12,regle!$H$11,
IF(AR154=regle!$I$12,regle!$I$11,""))))))))))</f>
        <v/>
      </c>
      <c r="Y154" t="str">
        <f>IF(NOT($A154),"",
IF(AS154=-2,regle!$J$11,
IF(AS154=regle!$B$12,regle!$B$11,
IF(AS154=regle!$C$12,regle!$C$11,
IF(AS154=regle!$D$12,regle!$D$11,
IF(AS154=regle!$E$12,regle!$E$11,
IF(AS154=regle!$F$12,regle!$F$11,
IF(AS154=regle!$G$12,regle!$G$11,
IF(AS154=regle!$H$12,regle!$H$11,
IF(AS154=regle!$I$12,regle!$I$11,""))))))))))</f>
        <v/>
      </c>
      <c r="Z154" t="str">
        <f>IF(NOT($A154),"",
IF(AT154=-2,regle!$J$11,
IF(AT154=regle!$B$12,regle!$B$11,
IF(AT154=regle!$C$12,regle!$C$11,
IF(AT154=regle!$D$12,regle!$D$11,
IF(AT154=regle!$E$12,regle!$E$11,
IF(AT154=regle!$F$12,regle!$F$11,
IF(AT154=regle!$G$12,regle!$G$11,
IF(AT154=regle!$H$12,regle!$H$11,
IF(AT154=regle!$I$12,regle!$I$11,""))))))))))</f>
        <v>EC3</v>
      </c>
      <c r="AA154" t="str">
        <f>IF(NOT($A154),"",
IF(AU154=-2,regle!$J$11,
IF(AU154=regle!$B$12,regle!$B$11,
IF(AU154=regle!$C$12,regle!$C$11,
IF(AU154=regle!$D$12,regle!$D$11,
IF(AU154=regle!$E$12,regle!$E$11,
IF(AU154=regle!$F$12,regle!$F$11,
IF(AU154=regle!$G$12,regle!$G$11,
IF(AU154=regle!$H$12,regle!$H$11,
IF(AU154=regle!$I$12,regle!$I$11,""))))))))))</f>
        <v/>
      </c>
      <c r="AB154" t="str">
        <f>IF(NOT($A154),"",
IF(AV154=-2,regle!$J$11,
IF(AV154=regle!$B$12,regle!$B$11,
IF(AV154=regle!$C$12,regle!$C$11,
IF(AV154=regle!$D$12,regle!$D$11,
IF(AV154=regle!$E$12,regle!$E$11,
IF(AV154=regle!$F$12,regle!$F$11,
IF(AV154=regle!$G$12,regle!$G$11,
IF(AV154=regle!$H$12,regle!$H$11,
IF(AV154=regle!$I$12,regle!$I$11,""))))))))))</f>
        <v/>
      </c>
      <c r="AC154" t="str">
        <f>IF(NOT($A154),"",
IF(AW154=-2,regle!$J$11,
IF(AW154=regle!$B$12,regle!$B$11,
IF(AW154=regle!$C$12,regle!$C$11,
IF(AW154=regle!$D$12,regle!$D$11,
IF(AW154=regle!$E$12,regle!$E$11,
IF(AW154=regle!$F$12,regle!$F$11,
IF(AW154=regle!$G$12,regle!$G$11,
IF(AW154=regle!$H$12,regle!$H$11,
IF(AW154=regle!$I$12,regle!$I$11,""))))))))))</f>
        <v/>
      </c>
      <c r="AD154" t="str">
        <f>IF(NOT($A154),"",
IF(AX154=-2,regle!$J$11,
IF(AX154=regle!$B$12,regle!$B$11,
IF(AX154=regle!$C$12,regle!$C$11,
IF(AX154=regle!$D$12,regle!$D$11,
IF(AX154=regle!$E$12,regle!$E$11,
IF(AX154=regle!$F$12,regle!$F$11,
IF(AX154=regle!$G$12,regle!$G$11,
IF(AX154=regle!$H$12,regle!$H$11,
IF(AX154=regle!$I$12,regle!$I$11,""))))))))))</f>
        <v/>
      </c>
      <c r="AE154" s="14">
        <f>IF($A154,$M154*(IF(U154=regle!$B$11,regle!$B$23,IF(U154=regle!$C$11,regle!$C$23,IF(U154=regle!$D$11,regle!$D$23,IF(U154=regle!$E$11,regle!$E$23,IF(U154=regle!$F$11,regle!$F$23,IF(U154=regle!$G$11,regle!$G$23,IF(U154=regle!$H$11,regle!$H$23,IF(U154=regle!$I$11,regle!$I$23,IF(U154=regle!$J$11,regle!$J$23,0)))))))))))</f>
        <v>551.45999999999992</v>
      </c>
      <c r="AF154" s="14">
        <f>IF($A154,$M154*(IF(V154=regle!$B$11,regle!$B$23,IF(V154=regle!$C$11,regle!$C$23,IF(V154=regle!$D$11,regle!$D$23,IF(V154=regle!$E$11,regle!$E$23,IF(V154=regle!$F$11,regle!$F$23,IF(V154=regle!$G$11,regle!$G$23,IF(V154=regle!$H$11,regle!$H$23,IF(V154=regle!$I$11,regle!$I$23,IF(V154=regle!$J$11,regle!$J$23,0)))))))))))</f>
        <v>0</v>
      </c>
      <c r="AG154" s="14">
        <f>IF($A154,$M154*(IF(W154=regle!$B$11,regle!$B$23,IF(W154=regle!$C$11,regle!$C$23,IF(W154=regle!$D$11,regle!$D$23,IF(W154=regle!$E$11,regle!$E$23,IF(W154=regle!$F$11,regle!$F$23,IF(W154=regle!$G$11,regle!$G$23,IF(W154=regle!$H$11,regle!$H$23,IF(W154=regle!$I$11,regle!$I$23,IF(W154=regle!$J$11,regle!$J$23,0)))))))))))</f>
        <v>0</v>
      </c>
      <c r="AH154" s="14">
        <f>IF($A154,$M154*(IF(X154=regle!$B$11,regle!$B$23,IF(X154=regle!$C$11,regle!$C$23,IF(X154=regle!$D$11,regle!$D$23,IF(X154=regle!$E$11,regle!$E$23,IF(X154=regle!$F$11,regle!$F$23,IF(X154=regle!$G$11,regle!$G$23,IF(X154=regle!$H$11,regle!$H$23,IF(X154=regle!$I$11,regle!$I$23,IF(X154=regle!$J$11,regle!$J$23,0)))))))))))</f>
        <v>0</v>
      </c>
      <c r="AI154" s="14">
        <f>IF($A154,$M154*(IF(Y154=regle!$B$11,regle!$B$23,IF(Y154=regle!$C$11,regle!$C$23,IF(Y154=regle!$D$11,regle!$D$23,IF(Y154=regle!$E$11,regle!$E$23,IF(Y154=regle!$F$11,regle!$F$23,IF(Y154=regle!$G$11,regle!$G$23,IF(Y154=regle!$H$11,regle!$H$23,IF(Y154=regle!$I$11,regle!$I$23,IF(Y154=regle!$J$11,regle!$J$23,0)))))))))))</f>
        <v>0</v>
      </c>
      <c r="AJ154" s="14">
        <f>IF($A154,$M154*(IF(Z154=regle!$B$11,regle!$B$23,IF(Z154=regle!$C$11,regle!$C$23,IF(Z154=regle!$D$11,regle!$D$23,IF(Z154=regle!$E$11,regle!$E$23,IF(Z154=regle!$F$11,regle!$F$23,IF(Z154=regle!$G$11,regle!$G$23,IF(Z154=regle!$H$11,regle!$H$23,IF(Z154=regle!$I$11,regle!$I$23,IF(Z154=regle!$J$11,regle!$J$23,0)))))))))))</f>
        <v>924.35199999999998</v>
      </c>
      <c r="AK154" s="14">
        <f>IF($A154,$M154*(IF(AA154=regle!$B$11,regle!$B$23,IF(AA154=regle!$C$11,regle!$C$23,IF(AA154=regle!$D$11,regle!$D$23,IF(AA154=regle!$E$11,regle!$E$23,IF(AA154=regle!$F$11,regle!$F$23,IF(AA154=regle!$G$11,regle!$G$23,IF(AA154=regle!$H$11,regle!$H$23,IF(AA154=regle!$I$11,regle!$I$23,IF(AA154=regle!$J$11,regle!$J$23,0)))))))))))</f>
        <v>0</v>
      </c>
      <c r="AL154" s="14">
        <f>IF($A154,$M154*(IF(AB154=regle!$B$11,regle!$B$23,IF(AB154=regle!$C$11,regle!$C$23,IF(AB154=regle!$D$11,regle!$D$23,IF(AB154=regle!$E$11,regle!$E$23,IF(AB154=regle!$F$11,regle!$F$23,IF(AB154=regle!$G$11,regle!$G$23,IF(AB154=regle!$H$11,regle!$H$23,IF(AB154=regle!$I$11,regle!$I$23,IF(AB154=regle!$J$11,regle!$J$23,0)))))))))))</f>
        <v>0</v>
      </c>
      <c r="AM154" s="14">
        <f>IF($A154,$M154*(IF(AC154=regle!$B$11,regle!$B$23,IF(AC154=regle!$C$11,regle!$C$23,IF(AC154=regle!$D$11,regle!$D$23,IF(AC154=regle!$E$11,regle!$E$23,IF(AC154=regle!$F$11,regle!$F$23,IF(AC154=regle!$G$11,regle!$G$23,IF(AC154=regle!$H$11,regle!$H$23,IF(AC154=regle!$I$11,regle!$I$23,IF(AC154=regle!$J$11,regle!$J$23,0)))))))))))</f>
        <v>0</v>
      </c>
      <c r="AN154" s="14">
        <f>IF($A154,$M154*(IF(AD154=regle!$B$11,regle!$B$23,IF(AD154=regle!$C$11,regle!$C$23,IF(AD154=regle!$D$11,regle!$D$23,IF(AD154=regle!$E$11,regle!$E$23,IF(AD154=regle!$F$11,regle!$F$23,IF(AD154=regle!$G$11,regle!$G$23,IF(AD154=regle!$H$11,regle!$H$23,IF(AD154=regle!$I$11,regle!$I$23,IF(AD154=regle!$J$11,regle!$J$23,0)))))))))))</f>
        <v>0</v>
      </c>
      <c r="AO154">
        <f>IF(AO$1=$AO$1,IF(regle!B$2-$Q154&gt;=regle!$J$12,-2,IF($S154,IF(regle!$B$2-$Q154&gt;=2,0,-1),regle!B$2-$Q154)),IF(AN154+1&gt;=regle!$J$12,-2,AN154+1))</f>
        <v>18</v>
      </c>
      <c r="AP154">
        <f>IF(AP$1=$AO$1,IF(regle!C$2-$Q154&gt;=regle!$J$12,-2,IF($S154,IF(regle!$B$2-$Q154&gt;=2,0,-1),regle!C$2-$Q154)),IF(AO154+1&gt;=regle!$J$12,-2,AO154+1))</f>
        <v>19</v>
      </c>
      <c r="AQ154">
        <f>IF(AQ$1=$AO$1,IF(regle!D$2-$Q154&gt;=regle!$J$12,-2,IF($S154,IF(regle!$B$2-$Q154&gt;=2,0,-1),regle!D$2-$Q154)),IF(AP154+1&gt;=regle!$J$12,-2,AP154+1))</f>
        <v>20</v>
      </c>
      <c r="AR154">
        <f>IF(AR$1=$AO$1,IF(regle!E$2-$Q154&gt;=regle!$J$12,-2,IF($S154,IF(regle!$B$2-$Q154&gt;=2,0,-1),regle!E$2-$Q154)),IF(AQ154+1&gt;=regle!$J$12,-2,AQ154+1))</f>
        <v>21</v>
      </c>
      <c r="AS154">
        <f>IF(AS$1=$AO$1,IF(regle!F$2-$Q154&gt;=regle!$J$12,-2,IF($S154,IF(regle!$B$2-$Q154&gt;=2,0,-1),regle!F$2-$Q154)),IF(AR154+1&gt;=regle!$J$12,-2,AR154+1))</f>
        <v>22</v>
      </c>
      <c r="AT154">
        <f>IF(AT$1=$AO$1,IF(regle!G$2-$Q154&gt;=regle!$J$12,-2,IF($S154,IF(regle!$B$2-$Q154&gt;=2,0,-1),regle!G$2-$Q154)),IF(AS154+1&gt;=regle!$J$12,-2,AS154+1))</f>
        <v>23</v>
      </c>
      <c r="AU154">
        <f>IF(AU$1=$AO$1,IF(regle!H$2-$Q154&gt;=regle!$J$12,-2,IF($S154,IF(regle!$B$2-$Q154&gt;=2,0,-1),regle!H$2-$Q154)),IF(AT154+1&gt;=regle!$J$12,-2,AT154+1))</f>
        <v>24</v>
      </c>
      <c r="AV154">
        <f>IF(AV$1=$AO$1,IF(regle!I$2-$Q154&gt;=regle!$J$12,-2,IF($S154,IF(regle!$B$2-$Q154&gt;=2,0,-1),regle!I$2-$Q154)),IF(AU154+1&gt;=regle!$J$12,-2,AU154+1))</f>
        <v>25</v>
      </c>
      <c r="AW154">
        <f>IF(AW$1=$AO$1,IF(regle!J$2-$Q154&gt;=regle!$J$12,-2,IF($S154,IF(regle!$B$2-$Q154&gt;=2,0,-1),regle!J$2-$Q154)),IF(AV154+1&gt;=regle!$J$12,-2,AV154+1))</f>
        <v>26</v>
      </c>
      <c r="AX154">
        <f>IF(AX$1=$AO$1,IF(regle!K$2-$Q154&gt;=regle!$J$12,-2,IF($S154,IF(regle!$B$2-$Q154&gt;=2,0,-1),regle!K$2-$Q154)),IF(AW154+1&gt;=regle!$J$12,-2,AW154+1))</f>
        <v>27</v>
      </c>
    </row>
    <row r="155" spans="1:50" x14ac:dyDescent="0.25">
      <c r="A155" t="b">
        <f>AND(modif0[[#This Row],[cdstr]]&lt;&gt;0,OR(regle!$H$27=FALSE,modif0[[#This Row],[essnc]]="PM"))</f>
        <v>1</v>
      </c>
      <c r="B155">
        <f>ROW(objet!A181)</f>
        <v>181</v>
      </c>
      <c r="C155" s="10" t="str">
        <f>objet!D181</f>
        <v>2020000B1179</v>
      </c>
      <c r="D155" t="str">
        <f>LEFT(modif0[[#This Row],[cdstr]],3)</f>
        <v>202</v>
      </c>
      <c r="E155" s="10" t="str">
        <f>objet!G181</f>
        <v>HOSTENS</v>
      </c>
      <c r="F155">
        <f>LEN(modif0[[#This Row],[l_dt]])</f>
        <v>11</v>
      </c>
      <c r="G155" s="10" t="str">
        <f>objet!H181</f>
        <v>LES CAZALAS</v>
      </c>
      <c r="H155" s="10" t="str">
        <f>objet!C181</f>
        <v>B1179j</v>
      </c>
      <c r="I155" t="str">
        <f>IF(ISNUMBER(VALUE(RIGHT(LEFT(modif0[[#This Row],[idntfn]],2),1))),_xlfn.CONCAT(0,LEFT(modif0[[#This Row],[idntfn]],1)),LEFT(modif0[[#This Row],[idntfn]],2))</f>
        <v>0B</v>
      </c>
      <c r="J155">
        <f>VALUE(LEFT(RIGHT(modif0[[#This Row],[idntfn]],LEN(modif0[[#This Row],[idntfn]])-IF(LEFT(modif0[[#This Row],[sctn]],1)="0",1,2)),LEN(modif0[[#This Row],[idntfn]])-IF(LEFT(modif0[[#This Row],[sctn]],1)="0",1,2)-LEN(modif0[[#This Row],[lttr]])))</f>
        <v>1179</v>
      </c>
      <c r="K155" t="str">
        <f>IF(ISNUMBER(VALUE(RIGHT(modif0[[#This Row],[idntfn]],1))),"",IF(ISNUMBER(VALUE(LEFT(RIGHT(modif0[[#This Row],[idntfn]],2),1))),RIGHT(modif0[[#This Row],[idntfn]],1),RIGHT(modif0[[#This Row],[idntfn]],2)))</f>
        <v>j</v>
      </c>
      <c r="L155" s="10">
        <f>objet!I181</f>
        <v>2452</v>
      </c>
      <c r="M155" s="11">
        <f>modif0[[#This Row],[srfc]]/10000</f>
        <v>0.2452</v>
      </c>
      <c r="N155" s="10" t="str">
        <f>objet!Z181</f>
        <v>PM</v>
      </c>
      <c r="O155" s="10" t="str">
        <f>objet!AA181</f>
        <v>PLA2019</v>
      </c>
      <c r="P155" t="str">
        <f>IF(ISNUMBER(modif0[[#This Row],[trvx]]),"",LEFT(modif0[[#This Row],[trvx]],LEN(modif0[[#This Row],[trvx]])-4))</f>
        <v>PLA</v>
      </c>
      <c r="Q155">
        <f>VALUE(RIGHT(modif0[[#This Row],[trvx]],4))</f>
        <v>2019</v>
      </c>
      <c r="R155" t="str">
        <f>_xlfn.CONCAT(modif0[[#This Row],[tp]],"-",modif0[[#This Row],[essnc]],"_",modif0[[#This Row],[anns]])</f>
        <v>PLA-PM_2019</v>
      </c>
      <c r="S155" t="b">
        <f>modif0[[#This Row],[tp]]="CR"</f>
        <v>0</v>
      </c>
      <c r="T155">
        <v>40</v>
      </c>
      <c r="U155" t="str">
        <f>IF(NOT($A155),"",
IF(AO155=-2,regle!$J$11,
IF(AO155=regle!$B$12,regle!$B$11,
IF(AO155=regle!$C$12,regle!$C$11,
IF(AO155=regle!$D$12,regle!$D$11,
IF(AO155=regle!$E$12,regle!$E$11,
IF(AO155=regle!$F$12,regle!$F$11,
IF(AO155=regle!$G$12,regle!$G$11,
IF(AO155=regle!$H$12,regle!$H$11,
IF(AO155=regle!$I$12,regle!$I$11,""))))))))))</f>
        <v>ENT1</v>
      </c>
      <c r="V155" t="str">
        <f>IF(NOT($A155),"",
IF(AP155=-2,regle!$J$11,
IF(AP155=regle!$B$12,regle!$B$11,
IF(AP155=regle!$C$12,regle!$C$11,
IF(AP155=regle!$D$12,regle!$D$11,
IF(AP155=regle!$E$12,regle!$E$11,
IF(AP155=regle!$F$12,regle!$F$11,
IF(AP155=regle!$G$12,regle!$G$11,
IF(AP155=regle!$H$12,regle!$H$11,
IF(AP155=regle!$I$12,regle!$I$11,""))))))))))</f>
        <v/>
      </c>
      <c r="W155" t="str">
        <f>IF(NOT($A155),"",
IF(AQ155=-2,regle!$J$11,
IF(AQ155=regle!$B$12,regle!$B$11,
IF(AQ155=regle!$C$12,regle!$C$11,
IF(AQ155=regle!$D$12,regle!$D$11,
IF(AQ155=regle!$E$12,regle!$E$11,
IF(AQ155=regle!$F$12,regle!$F$11,
IF(AQ155=regle!$G$12,regle!$G$11,
IF(AQ155=regle!$H$12,regle!$H$11,
IF(AQ155=regle!$I$12,regle!$I$11,""))))))))))</f>
        <v/>
      </c>
      <c r="X155" t="str">
        <f>IF(NOT($A155),"",
IF(AR155=-2,regle!$J$11,
IF(AR155=regle!$B$12,regle!$B$11,
IF(AR155=regle!$C$12,regle!$C$11,
IF(AR155=regle!$D$12,regle!$D$11,
IF(AR155=regle!$E$12,regle!$E$11,
IF(AR155=regle!$F$12,regle!$F$11,
IF(AR155=regle!$G$12,regle!$G$11,
IF(AR155=regle!$H$12,regle!$H$11,
IF(AR155=regle!$I$12,regle!$I$11,""))))))))))</f>
        <v>ENT2</v>
      </c>
      <c r="Y155" t="str">
        <f>IF(NOT($A155),"",
IF(AS155=-2,regle!$J$11,
IF(AS155=regle!$B$12,regle!$B$11,
IF(AS155=regle!$C$12,regle!$C$11,
IF(AS155=regle!$D$12,regle!$D$11,
IF(AS155=regle!$E$12,regle!$E$11,
IF(AS155=regle!$F$12,regle!$F$11,
IF(AS155=regle!$G$12,regle!$G$11,
IF(AS155=regle!$H$12,regle!$H$11,
IF(AS155=regle!$I$12,regle!$I$11,""))))))))))</f>
        <v/>
      </c>
      <c r="Z155" t="str">
        <f>IF(NOT($A155),"",
IF(AT155=-2,regle!$J$11,
IF(AT155=regle!$B$12,regle!$B$11,
IF(AT155=regle!$C$12,regle!$C$11,
IF(AT155=regle!$D$12,regle!$D$11,
IF(AT155=regle!$E$12,regle!$E$11,
IF(AT155=regle!$F$12,regle!$F$11,
IF(AT155=regle!$G$12,regle!$G$11,
IF(AT155=regle!$H$12,regle!$H$11,
IF(AT155=regle!$I$12,regle!$I$11,""))))))))))</f>
        <v/>
      </c>
      <c r="AA155" t="str">
        <f>IF(NOT($A155),"",
IF(AU155=-2,regle!$J$11,
IF(AU155=regle!$B$12,regle!$B$11,
IF(AU155=regle!$C$12,regle!$C$11,
IF(AU155=regle!$D$12,regle!$D$11,
IF(AU155=regle!$E$12,regle!$E$11,
IF(AU155=regle!$F$12,regle!$F$11,
IF(AU155=regle!$G$12,regle!$G$11,
IF(AU155=regle!$H$12,regle!$H$11,
IF(AU155=regle!$I$12,regle!$I$11,""))))))))))</f>
        <v/>
      </c>
      <c r="AB155" t="str">
        <f>IF(NOT($A155),"",
IF(AV155=-2,regle!$J$11,
IF(AV155=regle!$B$12,regle!$B$11,
IF(AV155=regle!$C$12,regle!$C$11,
IF(AV155=regle!$D$12,regle!$D$11,
IF(AV155=regle!$E$12,regle!$E$11,
IF(AV155=regle!$F$12,regle!$F$11,
IF(AV155=regle!$G$12,regle!$G$11,
IF(AV155=regle!$H$12,regle!$H$11,
IF(AV155=regle!$I$12,regle!$I$11,""))))))))))</f>
        <v/>
      </c>
      <c r="AC155" t="str">
        <f>IF(NOT($A155),"",
IF(AW155=-2,regle!$J$11,
IF(AW155=regle!$B$12,regle!$B$11,
IF(AW155=regle!$C$12,regle!$C$11,
IF(AW155=regle!$D$12,regle!$D$11,
IF(AW155=regle!$E$12,regle!$E$11,
IF(AW155=regle!$F$12,regle!$F$11,
IF(AW155=regle!$G$12,regle!$G$11,
IF(AW155=regle!$H$12,regle!$H$11,
IF(AW155=regle!$I$12,regle!$I$11,""))))))))))</f>
        <v>EC1</v>
      </c>
      <c r="AD155" t="str">
        <f>IF(NOT($A155),"",
IF(AX155=-2,regle!$J$11,
IF(AX155=regle!$B$12,regle!$B$11,
IF(AX155=regle!$C$12,regle!$C$11,
IF(AX155=regle!$D$12,regle!$D$11,
IF(AX155=regle!$E$12,regle!$E$11,
IF(AX155=regle!$F$12,regle!$F$11,
IF(AX155=regle!$G$12,regle!$G$11,
IF(AX155=regle!$H$12,regle!$H$11,
IF(AX155=regle!$I$12,regle!$I$11,""))))))))))</f>
        <v/>
      </c>
      <c r="AE155" s="14">
        <f>IF($A155,$M155*(IF(U155=regle!$B$11,regle!$B$23,IF(U155=regle!$C$11,regle!$C$23,IF(U155=regle!$D$11,regle!$D$23,IF(U155=regle!$E$11,regle!$E$23,IF(U155=regle!$F$11,regle!$F$23,IF(U155=regle!$G$11,regle!$G$23,IF(U155=regle!$H$11,regle!$H$23,IF(U155=regle!$I$11,regle!$I$23,IF(U155=regle!$J$11,regle!$J$23,0)))))))))))</f>
        <v>-22.068000000000001</v>
      </c>
      <c r="AF155" s="14">
        <f>IF($A155,$M155*(IF(V155=regle!$B$11,regle!$B$23,IF(V155=regle!$C$11,regle!$C$23,IF(V155=regle!$D$11,regle!$D$23,IF(V155=regle!$E$11,regle!$E$23,IF(V155=regle!$F$11,regle!$F$23,IF(V155=regle!$G$11,regle!$G$23,IF(V155=regle!$H$11,regle!$H$23,IF(V155=regle!$I$11,regle!$I$23,IF(V155=regle!$J$11,regle!$J$23,0)))))))))))</f>
        <v>0</v>
      </c>
      <c r="AG155" s="14">
        <f>IF($A155,$M155*(IF(W155=regle!$B$11,regle!$B$23,IF(W155=regle!$C$11,regle!$C$23,IF(W155=regle!$D$11,regle!$D$23,IF(W155=regle!$E$11,regle!$E$23,IF(W155=regle!$F$11,regle!$F$23,IF(W155=regle!$G$11,regle!$G$23,IF(W155=regle!$H$11,regle!$H$23,IF(W155=regle!$I$11,regle!$I$23,IF(W155=regle!$J$11,regle!$J$23,0)))))))))))</f>
        <v>0</v>
      </c>
      <c r="AH155" s="14">
        <f>IF($A155,$M155*(IF(X155=regle!$B$11,regle!$B$23,IF(X155=regle!$C$11,regle!$C$23,IF(X155=regle!$D$11,regle!$D$23,IF(X155=regle!$E$11,regle!$E$23,IF(X155=regle!$F$11,regle!$F$23,IF(X155=regle!$G$11,regle!$G$23,IF(X155=regle!$H$11,regle!$H$23,IF(X155=regle!$I$11,regle!$I$23,IF(X155=regle!$J$11,regle!$J$23,0)))))))))))</f>
        <v>-22.068000000000001</v>
      </c>
      <c r="AI155" s="14">
        <f>IF($A155,$M155*(IF(Y155=regle!$B$11,regle!$B$23,IF(Y155=regle!$C$11,regle!$C$23,IF(Y155=regle!$D$11,regle!$D$23,IF(Y155=regle!$E$11,regle!$E$23,IF(Y155=regle!$F$11,regle!$F$23,IF(Y155=regle!$G$11,regle!$G$23,IF(Y155=regle!$H$11,regle!$H$23,IF(Y155=regle!$I$11,regle!$I$23,IF(Y155=regle!$J$11,regle!$J$23,0)))))))))))</f>
        <v>0</v>
      </c>
      <c r="AJ155" s="14">
        <f>IF($A155,$M155*(IF(Z155=regle!$B$11,regle!$B$23,IF(Z155=regle!$C$11,regle!$C$23,IF(Z155=regle!$D$11,regle!$D$23,IF(Z155=regle!$E$11,regle!$E$23,IF(Z155=regle!$F$11,regle!$F$23,IF(Z155=regle!$G$11,regle!$G$23,IF(Z155=regle!$H$11,regle!$H$23,IF(Z155=regle!$I$11,regle!$I$23,IF(Z155=regle!$J$11,regle!$J$23,0)))))))))))</f>
        <v>0</v>
      </c>
      <c r="AK155" s="14">
        <f>IF($A155,$M155*(IF(AA155=regle!$B$11,regle!$B$23,IF(AA155=regle!$C$11,regle!$C$23,IF(AA155=regle!$D$11,regle!$D$23,IF(AA155=regle!$E$11,regle!$E$23,IF(AA155=regle!$F$11,regle!$F$23,IF(AA155=regle!$G$11,regle!$G$23,IF(AA155=regle!$H$11,regle!$H$23,IF(AA155=regle!$I$11,regle!$I$23,IF(AA155=regle!$J$11,regle!$J$23,0)))))))))))</f>
        <v>0</v>
      </c>
      <c r="AL155" s="14">
        <f>IF($A155,$M155*(IF(AB155=regle!$B$11,regle!$B$23,IF(AB155=regle!$C$11,regle!$C$23,IF(AB155=regle!$D$11,regle!$D$23,IF(AB155=regle!$E$11,regle!$E$23,IF(AB155=regle!$F$11,regle!$F$23,IF(AB155=regle!$G$11,regle!$G$23,IF(AB155=regle!$H$11,regle!$H$23,IF(AB155=regle!$I$11,regle!$I$23,IF(AB155=regle!$J$11,regle!$J$23,0)))))))))))</f>
        <v>0</v>
      </c>
      <c r="AM155" s="14">
        <f>IF($A155,$M155*(IF(AC155=regle!$B$11,regle!$B$23,IF(AC155=regle!$C$11,regle!$C$23,IF(AC155=regle!$D$11,regle!$D$23,IF(AC155=regle!$E$11,regle!$E$23,IF(AC155=regle!$F$11,regle!$F$23,IF(AC155=regle!$G$11,regle!$G$23,IF(AC155=regle!$H$11,regle!$H$23,IF(AC155=regle!$I$11,regle!$I$23,IF(AC155=regle!$J$11,regle!$J$23,0)))))))))))</f>
        <v>141.23519999999999</v>
      </c>
      <c r="AN155" s="14">
        <f>IF($A155,$M155*(IF(AD155=regle!$B$11,regle!$B$23,IF(AD155=regle!$C$11,regle!$C$23,IF(AD155=regle!$D$11,regle!$D$23,IF(AD155=regle!$E$11,regle!$E$23,IF(AD155=regle!$F$11,regle!$F$23,IF(AD155=regle!$G$11,regle!$G$23,IF(AD155=regle!$H$11,regle!$H$23,IF(AD155=regle!$I$11,regle!$I$23,IF(AD155=regle!$J$11,regle!$J$23,0)))))))))))</f>
        <v>0</v>
      </c>
      <c r="AO155">
        <f>IF(AO$1=$AO$1,IF(regle!B$2-$Q155&gt;=regle!$J$12,-2,IF($S155,IF(regle!$B$2-$Q155&gt;=2,0,-1),regle!B$2-$Q155)),IF(AN155+1&gt;=regle!$J$12,-2,AN155+1))</f>
        <v>5</v>
      </c>
      <c r="AP155">
        <f>IF(AP$1=$AO$1,IF(regle!C$2-$Q155&gt;=regle!$J$12,-2,IF($S155,IF(regle!$B$2-$Q155&gt;=2,0,-1),regle!C$2-$Q155)),IF(AO155+1&gt;=regle!$J$12,-2,AO155+1))</f>
        <v>6</v>
      </c>
      <c r="AQ155">
        <f>IF(AQ$1=$AO$1,IF(regle!D$2-$Q155&gt;=regle!$J$12,-2,IF($S155,IF(regle!$B$2-$Q155&gt;=2,0,-1),regle!D$2-$Q155)),IF(AP155+1&gt;=regle!$J$12,-2,AP155+1))</f>
        <v>7</v>
      </c>
      <c r="AR155">
        <f>IF(AR$1=$AO$1,IF(regle!E$2-$Q155&gt;=regle!$J$12,-2,IF($S155,IF(regle!$B$2-$Q155&gt;=2,0,-1),regle!E$2-$Q155)),IF(AQ155+1&gt;=regle!$J$12,-2,AQ155+1))</f>
        <v>8</v>
      </c>
      <c r="AS155">
        <f>IF(AS$1=$AO$1,IF(regle!F$2-$Q155&gt;=regle!$J$12,-2,IF($S155,IF(regle!$B$2-$Q155&gt;=2,0,-1),regle!F$2-$Q155)),IF(AR155+1&gt;=regle!$J$12,-2,AR155+1))</f>
        <v>9</v>
      </c>
      <c r="AT155">
        <f>IF(AT$1=$AO$1,IF(regle!G$2-$Q155&gt;=regle!$J$12,-2,IF($S155,IF(regle!$B$2-$Q155&gt;=2,0,-1),regle!G$2-$Q155)),IF(AS155+1&gt;=regle!$J$12,-2,AS155+1))</f>
        <v>10</v>
      </c>
      <c r="AU155">
        <f>IF(AU$1=$AO$1,IF(regle!H$2-$Q155&gt;=regle!$J$12,-2,IF($S155,IF(regle!$B$2-$Q155&gt;=2,0,-1),regle!H$2-$Q155)),IF(AT155+1&gt;=regle!$J$12,-2,AT155+1))</f>
        <v>11</v>
      </c>
      <c r="AV155">
        <f>IF(AV$1=$AO$1,IF(regle!I$2-$Q155&gt;=regle!$J$12,-2,IF($S155,IF(regle!$B$2-$Q155&gt;=2,0,-1),regle!I$2-$Q155)),IF(AU155+1&gt;=regle!$J$12,-2,AU155+1))</f>
        <v>12</v>
      </c>
      <c r="AW155">
        <f>IF(AW$1=$AO$1,IF(regle!J$2-$Q155&gt;=regle!$J$12,-2,IF($S155,IF(regle!$B$2-$Q155&gt;=2,0,-1),regle!J$2-$Q155)),IF(AV155+1&gt;=regle!$J$12,-2,AV155+1))</f>
        <v>13</v>
      </c>
      <c r="AX155">
        <f>IF(AX$1=$AO$1,IF(regle!K$2-$Q155&gt;=regle!$J$12,-2,IF($S155,IF(regle!$B$2-$Q155&gt;=2,0,-1),regle!K$2-$Q155)),IF(AW155+1&gt;=regle!$J$12,-2,AW155+1))</f>
        <v>14</v>
      </c>
    </row>
    <row r="156" spans="1:50" x14ac:dyDescent="0.25">
      <c r="A156" t="b">
        <f>AND(modif0[[#This Row],[cdstr]]&lt;&gt;0,OR(regle!$H$27=FALSE,modif0[[#This Row],[essnc]]="PM"))</f>
        <v>1</v>
      </c>
      <c r="B156">
        <f>ROW(objet!A182)</f>
        <v>182</v>
      </c>
      <c r="C156" s="10" t="str">
        <f>objet!D182</f>
        <v>2020000B1179</v>
      </c>
      <c r="D156" t="str">
        <f>LEFT(modif0[[#This Row],[cdstr]],3)</f>
        <v>202</v>
      </c>
      <c r="E156" s="10" t="str">
        <f>objet!G182</f>
        <v>HOSTENS</v>
      </c>
      <c r="F156">
        <f>LEN(modif0[[#This Row],[l_dt]])</f>
        <v>11</v>
      </c>
      <c r="G156" s="10" t="str">
        <f>objet!H182</f>
        <v>LES CAZALAS</v>
      </c>
      <c r="H156" s="10" t="str">
        <f>objet!C182</f>
        <v>B1179k</v>
      </c>
      <c r="I156" t="str">
        <f>IF(ISNUMBER(VALUE(RIGHT(LEFT(modif0[[#This Row],[idntfn]],2),1))),_xlfn.CONCAT(0,LEFT(modif0[[#This Row],[idntfn]],1)),LEFT(modif0[[#This Row],[idntfn]],2))</f>
        <v>0B</v>
      </c>
      <c r="J156">
        <f>VALUE(LEFT(RIGHT(modif0[[#This Row],[idntfn]],LEN(modif0[[#This Row],[idntfn]])-IF(LEFT(modif0[[#This Row],[sctn]],1)="0",1,2)),LEN(modif0[[#This Row],[idntfn]])-IF(LEFT(modif0[[#This Row],[sctn]],1)="0",1,2)-LEN(modif0[[#This Row],[lttr]])))</f>
        <v>1179</v>
      </c>
      <c r="K156" t="str">
        <f>IF(ISNUMBER(VALUE(RIGHT(modif0[[#This Row],[idntfn]],1))),"",IF(ISNUMBER(VALUE(LEFT(RIGHT(modif0[[#This Row],[idntfn]],2),1))),RIGHT(modif0[[#This Row],[idntfn]],1),RIGHT(modif0[[#This Row],[idntfn]],2)))</f>
        <v>k</v>
      </c>
      <c r="L156" s="10">
        <f>objet!I182</f>
        <v>1433</v>
      </c>
      <c r="M156" s="11">
        <f>modif0[[#This Row],[srfc]]/10000</f>
        <v>0.14330000000000001</v>
      </c>
      <c r="N156" s="10" t="str">
        <f>objet!Z182</f>
        <v>PM</v>
      </c>
      <c r="O156" s="10" t="str">
        <f>objet!AA182</f>
        <v>PLA2019</v>
      </c>
      <c r="P156" t="str">
        <f>IF(ISNUMBER(modif0[[#This Row],[trvx]]),"",LEFT(modif0[[#This Row],[trvx]],LEN(modif0[[#This Row],[trvx]])-4))</f>
        <v>PLA</v>
      </c>
      <c r="Q156">
        <f>VALUE(RIGHT(modif0[[#This Row],[trvx]],4))</f>
        <v>2019</v>
      </c>
      <c r="R156" t="str">
        <f>_xlfn.CONCAT(modif0[[#This Row],[tp]],"-",modif0[[#This Row],[essnc]],"_",modif0[[#This Row],[anns]])</f>
        <v>PLA-PM_2019</v>
      </c>
      <c r="S156" t="b">
        <f>modif0[[#This Row],[tp]]="CR"</f>
        <v>0</v>
      </c>
      <c r="T156">
        <v>40</v>
      </c>
      <c r="U156" t="str">
        <f>IF(NOT($A156),"",
IF(AO156=-2,regle!$J$11,
IF(AO156=regle!$B$12,regle!$B$11,
IF(AO156=regle!$C$12,regle!$C$11,
IF(AO156=regle!$D$12,regle!$D$11,
IF(AO156=regle!$E$12,regle!$E$11,
IF(AO156=regle!$F$12,regle!$F$11,
IF(AO156=regle!$G$12,regle!$G$11,
IF(AO156=regle!$H$12,regle!$H$11,
IF(AO156=regle!$I$12,regle!$I$11,""))))))))))</f>
        <v>ENT1</v>
      </c>
      <c r="V156" t="str">
        <f>IF(NOT($A156),"",
IF(AP156=-2,regle!$J$11,
IF(AP156=regle!$B$12,regle!$B$11,
IF(AP156=regle!$C$12,regle!$C$11,
IF(AP156=regle!$D$12,regle!$D$11,
IF(AP156=regle!$E$12,regle!$E$11,
IF(AP156=regle!$F$12,regle!$F$11,
IF(AP156=regle!$G$12,regle!$G$11,
IF(AP156=regle!$H$12,regle!$H$11,
IF(AP156=regle!$I$12,regle!$I$11,""))))))))))</f>
        <v/>
      </c>
      <c r="W156" t="str">
        <f>IF(NOT($A156),"",
IF(AQ156=-2,regle!$J$11,
IF(AQ156=regle!$B$12,regle!$B$11,
IF(AQ156=regle!$C$12,regle!$C$11,
IF(AQ156=regle!$D$12,regle!$D$11,
IF(AQ156=regle!$E$12,regle!$E$11,
IF(AQ156=regle!$F$12,regle!$F$11,
IF(AQ156=regle!$G$12,regle!$G$11,
IF(AQ156=regle!$H$12,regle!$H$11,
IF(AQ156=regle!$I$12,regle!$I$11,""))))))))))</f>
        <v/>
      </c>
      <c r="X156" t="str">
        <f>IF(NOT($A156),"",
IF(AR156=-2,regle!$J$11,
IF(AR156=regle!$B$12,regle!$B$11,
IF(AR156=regle!$C$12,regle!$C$11,
IF(AR156=regle!$D$12,regle!$D$11,
IF(AR156=regle!$E$12,regle!$E$11,
IF(AR156=regle!$F$12,regle!$F$11,
IF(AR156=regle!$G$12,regle!$G$11,
IF(AR156=regle!$H$12,regle!$H$11,
IF(AR156=regle!$I$12,regle!$I$11,""))))))))))</f>
        <v>ENT2</v>
      </c>
      <c r="Y156" t="str">
        <f>IF(NOT($A156),"",
IF(AS156=-2,regle!$J$11,
IF(AS156=regle!$B$12,regle!$B$11,
IF(AS156=regle!$C$12,regle!$C$11,
IF(AS156=regle!$D$12,regle!$D$11,
IF(AS156=regle!$E$12,regle!$E$11,
IF(AS156=regle!$F$12,regle!$F$11,
IF(AS156=regle!$G$12,regle!$G$11,
IF(AS156=regle!$H$12,regle!$H$11,
IF(AS156=regle!$I$12,regle!$I$11,""))))))))))</f>
        <v/>
      </c>
      <c r="Z156" t="str">
        <f>IF(NOT($A156),"",
IF(AT156=-2,regle!$J$11,
IF(AT156=regle!$B$12,regle!$B$11,
IF(AT156=regle!$C$12,regle!$C$11,
IF(AT156=regle!$D$12,regle!$D$11,
IF(AT156=regle!$E$12,regle!$E$11,
IF(AT156=regle!$F$12,regle!$F$11,
IF(AT156=regle!$G$12,regle!$G$11,
IF(AT156=regle!$H$12,regle!$H$11,
IF(AT156=regle!$I$12,regle!$I$11,""))))))))))</f>
        <v/>
      </c>
      <c r="AA156" t="str">
        <f>IF(NOT($A156),"",
IF(AU156=-2,regle!$J$11,
IF(AU156=regle!$B$12,regle!$B$11,
IF(AU156=regle!$C$12,regle!$C$11,
IF(AU156=regle!$D$12,regle!$D$11,
IF(AU156=regle!$E$12,regle!$E$11,
IF(AU156=regle!$F$12,regle!$F$11,
IF(AU156=regle!$G$12,regle!$G$11,
IF(AU156=regle!$H$12,regle!$H$11,
IF(AU156=regle!$I$12,regle!$I$11,""))))))))))</f>
        <v/>
      </c>
      <c r="AB156" t="str">
        <f>IF(NOT($A156),"",
IF(AV156=-2,regle!$J$11,
IF(AV156=regle!$B$12,regle!$B$11,
IF(AV156=regle!$C$12,regle!$C$11,
IF(AV156=regle!$D$12,regle!$D$11,
IF(AV156=regle!$E$12,regle!$E$11,
IF(AV156=regle!$F$12,regle!$F$11,
IF(AV156=regle!$G$12,regle!$G$11,
IF(AV156=regle!$H$12,regle!$H$11,
IF(AV156=regle!$I$12,regle!$I$11,""))))))))))</f>
        <v/>
      </c>
      <c r="AC156" t="str">
        <f>IF(NOT($A156),"",
IF(AW156=-2,regle!$J$11,
IF(AW156=regle!$B$12,regle!$B$11,
IF(AW156=regle!$C$12,regle!$C$11,
IF(AW156=regle!$D$12,regle!$D$11,
IF(AW156=regle!$E$12,regle!$E$11,
IF(AW156=regle!$F$12,regle!$F$11,
IF(AW156=regle!$G$12,regle!$G$11,
IF(AW156=regle!$H$12,regle!$H$11,
IF(AW156=regle!$I$12,regle!$I$11,""))))))))))</f>
        <v>EC1</v>
      </c>
      <c r="AD156" t="str">
        <f>IF(NOT($A156),"",
IF(AX156=-2,regle!$J$11,
IF(AX156=regle!$B$12,regle!$B$11,
IF(AX156=regle!$C$12,regle!$C$11,
IF(AX156=regle!$D$12,regle!$D$11,
IF(AX156=regle!$E$12,regle!$E$11,
IF(AX156=regle!$F$12,regle!$F$11,
IF(AX156=regle!$G$12,regle!$G$11,
IF(AX156=regle!$H$12,regle!$H$11,
IF(AX156=regle!$I$12,regle!$I$11,""))))))))))</f>
        <v/>
      </c>
      <c r="AE156" s="14">
        <f>IF($A156,$M156*(IF(U156=regle!$B$11,regle!$B$23,IF(U156=regle!$C$11,regle!$C$23,IF(U156=regle!$D$11,regle!$D$23,IF(U156=regle!$E$11,regle!$E$23,IF(U156=regle!$F$11,regle!$F$23,IF(U156=regle!$G$11,regle!$G$23,IF(U156=regle!$H$11,regle!$H$23,IF(U156=regle!$I$11,regle!$I$23,IF(U156=regle!$J$11,regle!$J$23,0)))))))))))</f>
        <v>-12.897</v>
      </c>
      <c r="AF156" s="14">
        <f>IF($A156,$M156*(IF(V156=regle!$B$11,regle!$B$23,IF(V156=regle!$C$11,regle!$C$23,IF(V156=regle!$D$11,regle!$D$23,IF(V156=regle!$E$11,regle!$E$23,IF(V156=regle!$F$11,regle!$F$23,IF(V156=regle!$G$11,regle!$G$23,IF(V156=regle!$H$11,regle!$H$23,IF(V156=regle!$I$11,regle!$I$23,IF(V156=regle!$J$11,regle!$J$23,0)))))))))))</f>
        <v>0</v>
      </c>
      <c r="AG156" s="14">
        <f>IF($A156,$M156*(IF(W156=regle!$B$11,regle!$B$23,IF(W156=regle!$C$11,regle!$C$23,IF(W156=regle!$D$11,regle!$D$23,IF(W156=regle!$E$11,regle!$E$23,IF(W156=regle!$F$11,regle!$F$23,IF(W156=regle!$G$11,regle!$G$23,IF(W156=regle!$H$11,regle!$H$23,IF(W156=regle!$I$11,regle!$I$23,IF(W156=regle!$J$11,regle!$J$23,0)))))))))))</f>
        <v>0</v>
      </c>
      <c r="AH156" s="14">
        <f>IF($A156,$M156*(IF(X156=regle!$B$11,regle!$B$23,IF(X156=regle!$C$11,regle!$C$23,IF(X156=regle!$D$11,regle!$D$23,IF(X156=regle!$E$11,regle!$E$23,IF(X156=regle!$F$11,regle!$F$23,IF(X156=regle!$G$11,regle!$G$23,IF(X156=regle!$H$11,regle!$H$23,IF(X156=regle!$I$11,regle!$I$23,IF(X156=regle!$J$11,regle!$J$23,0)))))))))))</f>
        <v>-12.897</v>
      </c>
      <c r="AI156" s="14">
        <f>IF($A156,$M156*(IF(Y156=regle!$B$11,regle!$B$23,IF(Y156=regle!$C$11,regle!$C$23,IF(Y156=regle!$D$11,regle!$D$23,IF(Y156=regle!$E$11,regle!$E$23,IF(Y156=regle!$F$11,regle!$F$23,IF(Y156=regle!$G$11,regle!$G$23,IF(Y156=regle!$H$11,regle!$H$23,IF(Y156=regle!$I$11,regle!$I$23,IF(Y156=regle!$J$11,regle!$J$23,0)))))))))))</f>
        <v>0</v>
      </c>
      <c r="AJ156" s="14">
        <f>IF($A156,$M156*(IF(Z156=regle!$B$11,regle!$B$23,IF(Z156=regle!$C$11,regle!$C$23,IF(Z156=regle!$D$11,regle!$D$23,IF(Z156=regle!$E$11,regle!$E$23,IF(Z156=regle!$F$11,regle!$F$23,IF(Z156=regle!$G$11,regle!$G$23,IF(Z156=regle!$H$11,regle!$H$23,IF(Z156=regle!$I$11,regle!$I$23,IF(Z156=regle!$J$11,regle!$J$23,0)))))))))))</f>
        <v>0</v>
      </c>
      <c r="AK156" s="14">
        <f>IF($A156,$M156*(IF(AA156=regle!$B$11,regle!$B$23,IF(AA156=regle!$C$11,regle!$C$23,IF(AA156=regle!$D$11,regle!$D$23,IF(AA156=regle!$E$11,regle!$E$23,IF(AA156=regle!$F$11,regle!$F$23,IF(AA156=regle!$G$11,regle!$G$23,IF(AA156=regle!$H$11,regle!$H$23,IF(AA156=regle!$I$11,regle!$I$23,IF(AA156=regle!$J$11,regle!$J$23,0)))))))))))</f>
        <v>0</v>
      </c>
      <c r="AL156" s="14">
        <f>IF($A156,$M156*(IF(AB156=regle!$B$11,regle!$B$23,IF(AB156=regle!$C$11,regle!$C$23,IF(AB156=regle!$D$11,regle!$D$23,IF(AB156=regle!$E$11,regle!$E$23,IF(AB156=regle!$F$11,regle!$F$23,IF(AB156=regle!$G$11,regle!$G$23,IF(AB156=regle!$H$11,regle!$H$23,IF(AB156=regle!$I$11,regle!$I$23,IF(AB156=regle!$J$11,regle!$J$23,0)))))))))))</f>
        <v>0</v>
      </c>
      <c r="AM156" s="14">
        <f>IF($A156,$M156*(IF(AC156=regle!$B$11,regle!$B$23,IF(AC156=regle!$C$11,regle!$C$23,IF(AC156=regle!$D$11,regle!$D$23,IF(AC156=regle!$E$11,regle!$E$23,IF(AC156=regle!$F$11,regle!$F$23,IF(AC156=regle!$G$11,regle!$G$23,IF(AC156=regle!$H$11,regle!$H$23,IF(AC156=regle!$I$11,regle!$I$23,IF(AC156=regle!$J$11,regle!$J$23,0)))))))))))</f>
        <v>82.540800000000004</v>
      </c>
      <c r="AN156" s="14">
        <f>IF($A156,$M156*(IF(AD156=regle!$B$11,regle!$B$23,IF(AD156=regle!$C$11,regle!$C$23,IF(AD156=regle!$D$11,regle!$D$23,IF(AD156=regle!$E$11,regle!$E$23,IF(AD156=regle!$F$11,regle!$F$23,IF(AD156=regle!$G$11,regle!$G$23,IF(AD156=regle!$H$11,regle!$H$23,IF(AD156=regle!$I$11,regle!$I$23,IF(AD156=regle!$J$11,regle!$J$23,0)))))))))))</f>
        <v>0</v>
      </c>
      <c r="AO156">
        <f>IF(AO$1=$AO$1,IF(regle!B$2-$Q156&gt;=regle!$J$12,-2,IF($S156,IF(regle!$B$2-$Q156&gt;=2,0,-1),regle!B$2-$Q156)),IF(AN156+1&gt;=regle!$J$12,-2,AN156+1))</f>
        <v>5</v>
      </c>
      <c r="AP156">
        <f>IF(AP$1=$AO$1,IF(regle!C$2-$Q156&gt;=regle!$J$12,-2,IF($S156,IF(regle!$B$2-$Q156&gt;=2,0,-1),regle!C$2-$Q156)),IF(AO156+1&gt;=regle!$J$12,-2,AO156+1))</f>
        <v>6</v>
      </c>
      <c r="AQ156">
        <f>IF(AQ$1=$AO$1,IF(regle!D$2-$Q156&gt;=regle!$J$12,-2,IF($S156,IF(regle!$B$2-$Q156&gt;=2,0,-1),regle!D$2-$Q156)),IF(AP156+1&gt;=regle!$J$12,-2,AP156+1))</f>
        <v>7</v>
      </c>
      <c r="AR156">
        <f>IF(AR$1=$AO$1,IF(regle!E$2-$Q156&gt;=regle!$J$12,-2,IF($S156,IF(regle!$B$2-$Q156&gt;=2,0,-1),regle!E$2-$Q156)),IF(AQ156+1&gt;=regle!$J$12,-2,AQ156+1))</f>
        <v>8</v>
      </c>
      <c r="AS156">
        <f>IF(AS$1=$AO$1,IF(regle!F$2-$Q156&gt;=regle!$J$12,-2,IF($S156,IF(regle!$B$2-$Q156&gt;=2,0,-1),regle!F$2-$Q156)),IF(AR156+1&gt;=regle!$J$12,-2,AR156+1))</f>
        <v>9</v>
      </c>
      <c r="AT156">
        <f>IF(AT$1=$AO$1,IF(regle!G$2-$Q156&gt;=regle!$J$12,-2,IF($S156,IF(regle!$B$2-$Q156&gt;=2,0,-1),regle!G$2-$Q156)),IF(AS156+1&gt;=regle!$J$12,-2,AS156+1))</f>
        <v>10</v>
      </c>
      <c r="AU156">
        <f>IF(AU$1=$AO$1,IF(regle!H$2-$Q156&gt;=regle!$J$12,-2,IF($S156,IF(regle!$B$2-$Q156&gt;=2,0,-1),regle!H$2-$Q156)),IF(AT156+1&gt;=regle!$J$12,-2,AT156+1))</f>
        <v>11</v>
      </c>
      <c r="AV156">
        <f>IF(AV$1=$AO$1,IF(regle!I$2-$Q156&gt;=regle!$J$12,-2,IF($S156,IF(regle!$B$2-$Q156&gt;=2,0,-1),regle!I$2-$Q156)),IF(AU156+1&gt;=regle!$J$12,-2,AU156+1))</f>
        <v>12</v>
      </c>
      <c r="AW156">
        <f>IF(AW$1=$AO$1,IF(regle!J$2-$Q156&gt;=regle!$J$12,-2,IF($S156,IF(regle!$B$2-$Q156&gt;=2,0,-1),regle!J$2-$Q156)),IF(AV156+1&gt;=regle!$J$12,-2,AV156+1))</f>
        <v>13</v>
      </c>
      <c r="AX156">
        <f>IF(AX$1=$AO$1,IF(regle!K$2-$Q156&gt;=regle!$J$12,-2,IF($S156,IF(regle!$B$2-$Q156&gt;=2,0,-1),regle!K$2-$Q156)),IF(AW156+1&gt;=regle!$J$12,-2,AW156+1))</f>
        <v>14</v>
      </c>
    </row>
    <row r="157" spans="1:50" x14ac:dyDescent="0.25">
      <c r="A157" t="b">
        <f>AND(modif0[[#This Row],[cdstr]]&lt;&gt;0,OR(regle!$H$27=FALSE,modif0[[#This Row],[essnc]]="PM"))</f>
        <v>1</v>
      </c>
      <c r="B157">
        <f>ROW(objet!A183)</f>
        <v>183</v>
      </c>
      <c r="C157" s="10" t="str">
        <f>objet!D183</f>
        <v>2020000B1181</v>
      </c>
      <c r="D157" t="str">
        <f>LEFT(modif0[[#This Row],[cdstr]],3)</f>
        <v>202</v>
      </c>
      <c r="E157" s="10" t="str">
        <f>objet!G183</f>
        <v>HOSTENS</v>
      </c>
      <c r="F157">
        <f>LEN(modif0[[#This Row],[l_dt]])</f>
        <v>11</v>
      </c>
      <c r="G157" s="10" t="str">
        <f>objet!H183</f>
        <v>LES CAZALAS</v>
      </c>
      <c r="H157" s="10" t="str">
        <f>objet!C183</f>
        <v>B1181</v>
      </c>
      <c r="I157" t="str">
        <f>IF(ISNUMBER(VALUE(RIGHT(LEFT(modif0[[#This Row],[idntfn]],2),1))),_xlfn.CONCAT(0,LEFT(modif0[[#This Row],[idntfn]],1)),LEFT(modif0[[#This Row],[idntfn]],2))</f>
        <v>0B</v>
      </c>
      <c r="J157">
        <f>VALUE(LEFT(RIGHT(modif0[[#This Row],[idntfn]],LEN(modif0[[#This Row],[idntfn]])-IF(LEFT(modif0[[#This Row],[sctn]],1)="0",1,2)),LEN(modif0[[#This Row],[idntfn]])-IF(LEFT(modif0[[#This Row],[sctn]],1)="0",1,2)-LEN(modif0[[#This Row],[lttr]])))</f>
        <v>1181</v>
      </c>
      <c r="K157" t="str">
        <f>IF(ISNUMBER(VALUE(RIGHT(modif0[[#This Row],[idntfn]],1))),"",IF(ISNUMBER(VALUE(LEFT(RIGHT(modif0[[#This Row],[idntfn]],2),1))),RIGHT(modif0[[#This Row],[idntfn]],1),RIGHT(modif0[[#This Row],[idntfn]],2)))</f>
        <v/>
      </c>
      <c r="L157" s="10">
        <f>objet!I183</f>
        <v>7500</v>
      </c>
      <c r="M157" s="11">
        <f>modif0[[#This Row],[srfc]]/10000</f>
        <v>0.75</v>
      </c>
      <c r="N157" s="10" t="str">
        <f>objet!Z183</f>
        <v>PM</v>
      </c>
      <c r="O157" s="10" t="str">
        <f>objet!AA183</f>
        <v>PLA2006</v>
      </c>
      <c r="P157" t="str">
        <f>IF(ISNUMBER(modif0[[#This Row],[trvx]]),"",LEFT(modif0[[#This Row],[trvx]],LEN(modif0[[#This Row],[trvx]])-4))</f>
        <v>PLA</v>
      </c>
      <c r="Q157">
        <f>VALUE(RIGHT(modif0[[#This Row],[trvx]],4))</f>
        <v>2006</v>
      </c>
      <c r="R157" t="str">
        <f>_xlfn.CONCAT(modif0[[#This Row],[tp]],"-",modif0[[#This Row],[essnc]],"_",modif0[[#This Row],[anns]])</f>
        <v>PLA-PM_2006</v>
      </c>
      <c r="S157" t="b">
        <f>modif0[[#This Row],[tp]]="CR"</f>
        <v>0</v>
      </c>
      <c r="T157">
        <v>40</v>
      </c>
      <c r="U157" t="str">
        <f>IF(NOT($A157),"",
IF(AO157=-2,regle!$J$11,
IF(AO157=regle!$B$12,regle!$B$11,
IF(AO157=regle!$C$12,regle!$C$11,
IF(AO157=regle!$D$12,regle!$D$11,
IF(AO157=regle!$E$12,regle!$E$11,
IF(AO157=regle!$F$12,regle!$F$11,
IF(AO157=regle!$G$12,regle!$G$11,
IF(AO157=regle!$H$12,regle!$H$11,
IF(AO157=regle!$I$12,regle!$I$11,""))))))))))</f>
        <v>EC2</v>
      </c>
      <c r="V157" t="str">
        <f>IF(NOT($A157),"",
IF(AP157=-2,regle!$J$11,
IF(AP157=regle!$B$12,regle!$B$11,
IF(AP157=regle!$C$12,regle!$C$11,
IF(AP157=regle!$D$12,regle!$D$11,
IF(AP157=regle!$E$12,regle!$E$11,
IF(AP157=regle!$F$12,regle!$F$11,
IF(AP157=regle!$G$12,regle!$G$11,
IF(AP157=regle!$H$12,regle!$H$11,
IF(AP157=regle!$I$12,regle!$I$11,""))))))))))</f>
        <v/>
      </c>
      <c r="W157" t="str">
        <f>IF(NOT($A157),"",
IF(AQ157=-2,regle!$J$11,
IF(AQ157=regle!$B$12,regle!$B$11,
IF(AQ157=regle!$C$12,regle!$C$11,
IF(AQ157=regle!$D$12,regle!$D$11,
IF(AQ157=regle!$E$12,regle!$E$11,
IF(AQ157=regle!$F$12,regle!$F$11,
IF(AQ157=regle!$G$12,regle!$G$11,
IF(AQ157=regle!$H$12,regle!$H$11,
IF(AQ157=regle!$I$12,regle!$I$11,""))))))))))</f>
        <v/>
      </c>
      <c r="X157" t="str">
        <f>IF(NOT($A157),"",
IF(AR157=-2,regle!$J$11,
IF(AR157=regle!$B$12,regle!$B$11,
IF(AR157=regle!$C$12,regle!$C$11,
IF(AR157=regle!$D$12,regle!$D$11,
IF(AR157=regle!$E$12,regle!$E$11,
IF(AR157=regle!$F$12,regle!$F$11,
IF(AR157=regle!$G$12,regle!$G$11,
IF(AR157=regle!$H$12,regle!$H$11,
IF(AR157=regle!$I$12,regle!$I$11,""))))))))))</f>
        <v/>
      </c>
      <c r="Y157" t="str">
        <f>IF(NOT($A157),"",
IF(AS157=-2,regle!$J$11,
IF(AS157=regle!$B$12,regle!$B$11,
IF(AS157=regle!$C$12,regle!$C$11,
IF(AS157=regle!$D$12,regle!$D$11,
IF(AS157=regle!$E$12,regle!$E$11,
IF(AS157=regle!$F$12,regle!$F$11,
IF(AS157=regle!$G$12,regle!$G$11,
IF(AS157=regle!$H$12,regle!$H$11,
IF(AS157=regle!$I$12,regle!$I$11,""))))))))))</f>
        <v/>
      </c>
      <c r="Z157" t="str">
        <f>IF(NOT($A157),"",
IF(AT157=-2,regle!$J$11,
IF(AT157=regle!$B$12,regle!$B$11,
IF(AT157=regle!$C$12,regle!$C$11,
IF(AT157=regle!$D$12,regle!$D$11,
IF(AT157=regle!$E$12,regle!$E$11,
IF(AT157=regle!$F$12,regle!$F$11,
IF(AT157=regle!$G$12,regle!$G$11,
IF(AT157=regle!$H$12,regle!$H$11,
IF(AT157=regle!$I$12,regle!$I$11,""))))))))))</f>
        <v>EC3</v>
      </c>
      <c r="AA157" t="str">
        <f>IF(NOT($A157),"",
IF(AU157=-2,regle!$J$11,
IF(AU157=regle!$B$12,regle!$B$11,
IF(AU157=regle!$C$12,regle!$C$11,
IF(AU157=regle!$D$12,regle!$D$11,
IF(AU157=regle!$E$12,regle!$E$11,
IF(AU157=regle!$F$12,regle!$F$11,
IF(AU157=regle!$G$12,regle!$G$11,
IF(AU157=regle!$H$12,regle!$H$11,
IF(AU157=regle!$I$12,regle!$I$11,""))))))))))</f>
        <v/>
      </c>
      <c r="AB157" t="str">
        <f>IF(NOT($A157),"",
IF(AV157=-2,regle!$J$11,
IF(AV157=regle!$B$12,regle!$B$11,
IF(AV157=regle!$C$12,regle!$C$11,
IF(AV157=regle!$D$12,regle!$D$11,
IF(AV157=regle!$E$12,regle!$E$11,
IF(AV157=regle!$F$12,regle!$F$11,
IF(AV157=regle!$G$12,regle!$G$11,
IF(AV157=regle!$H$12,regle!$H$11,
IF(AV157=regle!$I$12,regle!$I$11,""))))))))))</f>
        <v/>
      </c>
      <c r="AC157" t="str">
        <f>IF(NOT($A157),"",
IF(AW157=-2,regle!$J$11,
IF(AW157=regle!$B$12,regle!$B$11,
IF(AW157=regle!$C$12,regle!$C$11,
IF(AW157=regle!$D$12,regle!$D$11,
IF(AW157=regle!$E$12,regle!$E$11,
IF(AW157=regle!$F$12,regle!$F$11,
IF(AW157=regle!$G$12,regle!$G$11,
IF(AW157=regle!$H$12,regle!$H$11,
IF(AW157=regle!$I$12,regle!$I$11,""))))))))))</f>
        <v/>
      </c>
      <c r="AD157" t="str">
        <f>IF(NOT($A157),"",
IF(AX157=-2,regle!$J$11,
IF(AX157=regle!$B$12,regle!$B$11,
IF(AX157=regle!$C$12,regle!$C$11,
IF(AX157=regle!$D$12,regle!$D$11,
IF(AX157=regle!$E$12,regle!$E$11,
IF(AX157=regle!$F$12,regle!$F$11,
IF(AX157=regle!$G$12,regle!$G$11,
IF(AX157=regle!$H$12,regle!$H$11,
IF(AX157=regle!$I$12,regle!$I$11,""))))))))))</f>
        <v/>
      </c>
      <c r="AE157" s="14">
        <f>IF($A157,$M157*(IF(U157=regle!$B$11,regle!$B$23,IF(U157=regle!$C$11,regle!$C$23,IF(U157=regle!$D$11,regle!$D$23,IF(U157=regle!$E$11,regle!$E$23,IF(U157=regle!$F$11,regle!$F$23,IF(U157=regle!$G$11,regle!$G$23,IF(U157=regle!$H$11,regle!$H$23,IF(U157=regle!$I$11,regle!$I$23,IF(U157=regle!$J$11,regle!$J$23,0)))))))))))</f>
        <v>630</v>
      </c>
      <c r="AF157" s="14">
        <f>IF($A157,$M157*(IF(V157=regle!$B$11,regle!$B$23,IF(V157=regle!$C$11,regle!$C$23,IF(V157=regle!$D$11,regle!$D$23,IF(V157=regle!$E$11,regle!$E$23,IF(V157=regle!$F$11,regle!$F$23,IF(V157=regle!$G$11,regle!$G$23,IF(V157=regle!$H$11,regle!$H$23,IF(V157=regle!$I$11,regle!$I$23,IF(V157=regle!$J$11,regle!$J$23,0)))))))))))</f>
        <v>0</v>
      </c>
      <c r="AG157" s="14">
        <f>IF($A157,$M157*(IF(W157=regle!$B$11,regle!$B$23,IF(W157=regle!$C$11,regle!$C$23,IF(W157=regle!$D$11,regle!$D$23,IF(W157=regle!$E$11,regle!$E$23,IF(W157=regle!$F$11,regle!$F$23,IF(W157=regle!$G$11,regle!$G$23,IF(W157=regle!$H$11,regle!$H$23,IF(W157=regle!$I$11,regle!$I$23,IF(W157=regle!$J$11,regle!$J$23,0)))))))))))</f>
        <v>0</v>
      </c>
      <c r="AH157" s="14">
        <f>IF($A157,$M157*(IF(X157=regle!$B$11,regle!$B$23,IF(X157=regle!$C$11,regle!$C$23,IF(X157=regle!$D$11,regle!$D$23,IF(X157=regle!$E$11,regle!$E$23,IF(X157=regle!$F$11,regle!$F$23,IF(X157=regle!$G$11,regle!$G$23,IF(X157=regle!$H$11,regle!$H$23,IF(X157=regle!$I$11,regle!$I$23,IF(X157=regle!$J$11,regle!$J$23,0)))))))))))</f>
        <v>0</v>
      </c>
      <c r="AI157" s="14">
        <f>IF($A157,$M157*(IF(Y157=regle!$B$11,regle!$B$23,IF(Y157=regle!$C$11,regle!$C$23,IF(Y157=regle!$D$11,regle!$D$23,IF(Y157=regle!$E$11,regle!$E$23,IF(Y157=regle!$F$11,regle!$F$23,IF(Y157=regle!$G$11,regle!$G$23,IF(Y157=regle!$H$11,regle!$H$23,IF(Y157=regle!$I$11,regle!$I$23,IF(Y157=regle!$J$11,regle!$J$23,0)))))))))))</f>
        <v>0</v>
      </c>
      <c r="AJ157" s="14">
        <f>IF($A157,$M157*(IF(Z157=regle!$B$11,regle!$B$23,IF(Z157=regle!$C$11,regle!$C$23,IF(Z157=regle!$D$11,regle!$D$23,IF(Z157=regle!$E$11,regle!$E$23,IF(Z157=regle!$F$11,regle!$F$23,IF(Z157=regle!$G$11,regle!$G$23,IF(Z157=regle!$H$11,regle!$H$23,IF(Z157=regle!$I$11,regle!$I$23,IF(Z157=regle!$J$11,regle!$J$23,0)))))))))))</f>
        <v>1056</v>
      </c>
      <c r="AK157" s="14">
        <f>IF($A157,$M157*(IF(AA157=regle!$B$11,regle!$B$23,IF(AA157=regle!$C$11,regle!$C$23,IF(AA157=regle!$D$11,regle!$D$23,IF(AA157=regle!$E$11,regle!$E$23,IF(AA157=regle!$F$11,regle!$F$23,IF(AA157=regle!$G$11,regle!$G$23,IF(AA157=regle!$H$11,regle!$H$23,IF(AA157=regle!$I$11,regle!$I$23,IF(AA157=regle!$J$11,regle!$J$23,0)))))))))))</f>
        <v>0</v>
      </c>
      <c r="AL157" s="14">
        <f>IF($A157,$M157*(IF(AB157=regle!$B$11,regle!$B$23,IF(AB157=regle!$C$11,regle!$C$23,IF(AB157=regle!$D$11,regle!$D$23,IF(AB157=regle!$E$11,regle!$E$23,IF(AB157=regle!$F$11,regle!$F$23,IF(AB157=regle!$G$11,regle!$G$23,IF(AB157=regle!$H$11,regle!$H$23,IF(AB157=regle!$I$11,regle!$I$23,IF(AB157=regle!$J$11,regle!$J$23,0)))))))))))</f>
        <v>0</v>
      </c>
      <c r="AM157" s="14">
        <f>IF($A157,$M157*(IF(AC157=regle!$B$11,regle!$B$23,IF(AC157=regle!$C$11,regle!$C$23,IF(AC157=regle!$D$11,regle!$D$23,IF(AC157=regle!$E$11,regle!$E$23,IF(AC157=regle!$F$11,regle!$F$23,IF(AC157=regle!$G$11,regle!$G$23,IF(AC157=regle!$H$11,regle!$H$23,IF(AC157=regle!$I$11,regle!$I$23,IF(AC157=regle!$J$11,regle!$J$23,0)))))))))))</f>
        <v>0</v>
      </c>
      <c r="AN157" s="14">
        <f>IF($A157,$M157*(IF(AD157=regle!$B$11,regle!$B$23,IF(AD157=regle!$C$11,regle!$C$23,IF(AD157=regle!$D$11,regle!$D$23,IF(AD157=regle!$E$11,regle!$E$23,IF(AD157=regle!$F$11,regle!$F$23,IF(AD157=regle!$G$11,regle!$G$23,IF(AD157=regle!$H$11,regle!$H$23,IF(AD157=regle!$I$11,regle!$I$23,IF(AD157=regle!$J$11,regle!$J$23,0)))))))))))</f>
        <v>0</v>
      </c>
      <c r="AO157">
        <f>IF(AO$1=$AO$1,IF(regle!B$2-$Q157&gt;=regle!$J$12,-2,IF($S157,IF(regle!$B$2-$Q157&gt;=2,0,-1),regle!B$2-$Q157)),IF(AN157+1&gt;=regle!$J$12,-2,AN157+1))</f>
        <v>18</v>
      </c>
      <c r="AP157">
        <f>IF(AP$1=$AO$1,IF(regle!C$2-$Q157&gt;=regle!$J$12,-2,IF($S157,IF(regle!$B$2-$Q157&gt;=2,0,-1),regle!C$2-$Q157)),IF(AO157+1&gt;=regle!$J$12,-2,AO157+1))</f>
        <v>19</v>
      </c>
      <c r="AQ157">
        <f>IF(AQ$1=$AO$1,IF(regle!D$2-$Q157&gt;=regle!$J$12,-2,IF($S157,IF(regle!$B$2-$Q157&gt;=2,0,-1),regle!D$2-$Q157)),IF(AP157+1&gt;=regle!$J$12,-2,AP157+1))</f>
        <v>20</v>
      </c>
      <c r="AR157">
        <f>IF(AR$1=$AO$1,IF(regle!E$2-$Q157&gt;=regle!$J$12,-2,IF($S157,IF(regle!$B$2-$Q157&gt;=2,0,-1),regle!E$2-$Q157)),IF(AQ157+1&gt;=regle!$J$12,-2,AQ157+1))</f>
        <v>21</v>
      </c>
      <c r="AS157">
        <f>IF(AS$1=$AO$1,IF(regle!F$2-$Q157&gt;=regle!$J$12,-2,IF($S157,IF(regle!$B$2-$Q157&gt;=2,0,-1),regle!F$2-$Q157)),IF(AR157+1&gt;=regle!$J$12,-2,AR157+1))</f>
        <v>22</v>
      </c>
      <c r="AT157">
        <f>IF(AT$1=$AO$1,IF(regle!G$2-$Q157&gt;=regle!$J$12,-2,IF($S157,IF(regle!$B$2-$Q157&gt;=2,0,-1),regle!G$2-$Q157)),IF(AS157+1&gt;=regle!$J$12,-2,AS157+1))</f>
        <v>23</v>
      </c>
      <c r="AU157">
        <f>IF(AU$1=$AO$1,IF(regle!H$2-$Q157&gt;=regle!$J$12,-2,IF($S157,IF(regle!$B$2-$Q157&gt;=2,0,-1),regle!H$2-$Q157)),IF(AT157+1&gt;=regle!$J$12,-2,AT157+1))</f>
        <v>24</v>
      </c>
      <c r="AV157">
        <f>IF(AV$1=$AO$1,IF(regle!I$2-$Q157&gt;=regle!$J$12,-2,IF($S157,IF(regle!$B$2-$Q157&gt;=2,0,-1),regle!I$2-$Q157)),IF(AU157+1&gt;=regle!$J$12,-2,AU157+1))</f>
        <v>25</v>
      </c>
      <c r="AW157">
        <f>IF(AW$1=$AO$1,IF(regle!J$2-$Q157&gt;=regle!$J$12,-2,IF($S157,IF(regle!$B$2-$Q157&gt;=2,0,-1),regle!J$2-$Q157)),IF(AV157+1&gt;=regle!$J$12,-2,AV157+1))</f>
        <v>26</v>
      </c>
      <c r="AX157">
        <f>IF(AX$1=$AO$1,IF(regle!K$2-$Q157&gt;=regle!$J$12,-2,IF($S157,IF(regle!$B$2-$Q157&gt;=2,0,-1),regle!K$2-$Q157)),IF(AW157+1&gt;=regle!$J$12,-2,AW157+1))</f>
        <v>27</v>
      </c>
    </row>
    <row r="158" spans="1:50" x14ac:dyDescent="0.25">
      <c r="A158" t="b">
        <f>AND(modif0[[#This Row],[cdstr]]&lt;&gt;0,OR(regle!$H$27=FALSE,modif0[[#This Row],[essnc]]="PM"))</f>
        <v>1</v>
      </c>
      <c r="B158">
        <f>ROW(objet!A184)</f>
        <v>184</v>
      </c>
      <c r="C158" s="10" t="str">
        <f>objet!D184</f>
        <v>2020000B1182</v>
      </c>
      <c r="D158" t="str">
        <f>LEFT(modif0[[#This Row],[cdstr]],3)</f>
        <v>202</v>
      </c>
      <c r="E158" s="10" t="str">
        <f>objet!G184</f>
        <v>HOSTENS</v>
      </c>
      <c r="F158">
        <f>LEN(modif0[[#This Row],[l_dt]])</f>
        <v>11</v>
      </c>
      <c r="G158" s="10" t="str">
        <f>objet!H184</f>
        <v>LES CAZALAS</v>
      </c>
      <c r="H158" s="10" t="str">
        <f>objet!C184</f>
        <v>B1182</v>
      </c>
      <c r="I158" t="str">
        <f>IF(ISNUMBER(VALUE(RIGHT(LEFT(modif0[[#This Row],[idntfn]],2),1))),_xlfn.CONCAT(0,LEFT(modif0[[#This Row],[idntfn]],1)),LEFT(modif0[[#This Row],[idntfn]],2))</f>
        <v>0B</v>
      </c>
      <c r="J158">
        <f>VALUE(LEFT(RIGHT(modif0[[#This Row],[idntfn]],LEN(modif0[[#This Row],[idntfn]])-IF(LEFT(modif0[[#This Row],[sctn]],1)="0",1,2)),LEN(modif0[[#This Row],[idntfn]])-IF(LEFT(modif0[[#This Row],[sctn]],1)="0",1,2)-LEN(modif0[[#This Row],[lttr]])))</f>
        <v>1182</v>
      </c>
      <c r="K158" t="str">
        <f>IF(ISNUMBER(VALUE(RIGHT(modif0[[#This Row],[idntfn]],1))),"",IF(ISNUMBER(VALUE(LEFT(RIGHT(modif0[[#This Row],[idntfn]],2),1))),RIGHT(modif0[[#This Row],[idntfn]],1),RIGHT(modif0[[#This Row],[idntfn]],2)))</f>
        <v/>
      </c>
      <c r="L158" s="10">
        <f>objet!I184</f>
        <v>2890</v>
      </c>
      <c r="M158" s="11">
        <f>modif0[[#This Row],[srfc]]/10000</f>
        <v>0.28899999999999998</v>
      </c>
      <c r="N158" s="10" t="str">
        <f>objet!Z184</f>
        <v>PM</v>
      </c>
      <c r="O158" s="10" t="str">
        <f>objet!AA184</f>
        <v>PLA2006</v>
      </c>
      <c r="P158" t="str">
        <f>IF(ISNUMBER(modif0[[#This Row],[trvx]]),"",LEFT(modif0[[#This Row],[trvx]],LEN(modif0[[#This Row],[trvx]])-4))</f>
        <v>PLA</v>
      </c>
      <c r="Q158">
        <f>VALUE(RIGHT(modif0[[#This Row],[trvx]],4))</f>
        <v>2006</v>
      </c>
      <c r="R158" t="str">
        <f>_xlfn.CONCAT(modif0[[#This Row],[tp]],"-",modif0[[#This Row],[essnc]],"_",modif0[[#This Row],[anns]])</f>
        <v>PLA-PM_2006</v>
      </c>
      <c r="S158" t="b">
        <f>modif0[[#This Row],[tp]]="CR"</f>
        <v>0</v>
      </c>
      <c r="T158">
        <v>40</v>
      </c>
      <c r="U158" t="str">
        <f>IF(NOT($A158),"",
IF(AO158=-2,regle!$J$11,
IF(AO158=regle!$B$12,regle!$B$11,
IF(AO158=regle!$C$12,regle!$C$11,
IF(AO158=regle!$D$12,regle!$D$11,
IF(AO158=regle!$E$12,regle!$E$11,
IF(AO158=regle!$F$12,regle!$F$11,
IF(AO158=regle!$G$12,regle!$G$11,
IF(AO158=regle!$H$12,regle!$H$11,
IF(AO158=regle!$I$12,regle!$I$11,""))))))))))</f>
        <v>EC2</v>
      </c>
      <c r="V158" t="str">
        <f>IF(NOT($A158),"",
IF(AP158=-2,regle!$J$11,
IF(AP158=regle!$B$12,regle!$B$11,
IF(AP158=regle!$C$12,regle!$C$11,
IF(AP158=regle!$D$12,regle!$D$11,
IF(AP158=regle!$E$12,regle!$E$11,
IF(AP158=regle!$F$12,regle!$F$11,
IF(AP158=regle!$G$12,regle!$G$11,
IF(AP158=regle!$H$12,regle!$H$11,
IF(AP158=regle!$I$12,regle!$I$11,""))))))))))</f>
        <v/>
      </c>
      <c r="W158" t="str">
        <f>IF(NOT($A158),"",
IF(AQ158=-2,regle!$J$11,
IF(AQ158=regle!$B$12,regle!$B$11,
IF(AQ158=regle!$C$12,regle!$C$11,
IF(AQ158=regle!$D$12,regle!$D$11,
IF(AQ158=regle!$E$12,regle!$E$11,
IF(AQ158=regle!$F$12,regle!$F$11,
IF(AQ158=regle!$G$12,regle!$G$11,
IF(AQ158=regle!$H$12,regle!$H$11,
IF(AQ158=regle!$I$12,regle!$I$11,""))))))))))</f>
        <v/>
      </c>
      <c r="X158" t="str">
        <f>IF(NOT($A158),"",
IF(AR158=-2,regle!$J$11,
IF(AR158=regle!$B$12,regle!$B$11,
IF(AR158=regle!$C$12,regle!$C$11,
IF(AR158=regle!$D$12,regle!$D$11,
IF(AR158=regle!$E$12,regle!$E$11,
IF(AR158=regle!$F$12,regle!$F$11,
IF(AR158=regle!$G$12,regle!$G$11,
IF(AR158=regle!$H$12,regle!$H$11,
IF(AR158=regle!$I$12,regle!$I$11,""))))))))))</f>
        <v/>
      </c>
      <c r="Y158" t="str">
        <f>IF(NOT($A158),"",
IF(AS158=-2,regle!$J$11,
IF(AS158=regle!$B$12,regle!$B$11,
IF(AS158=regle!$C$12,regle!$C$11,
IF(AS158=regle!$D$12,regle!$D$11,
IF(AS158=regle!$E$12,regle!$E$11,
IF(AS158=regle!$F$12,regle!$F$11,
IF(AS158=regle!$G$12,regle!$G$11,
IF(AS158=regle!$H$12,regle!$H$11,
IF(AS158=regle!$I$12,regle!$I$11,""))))))))))</f>
        <v/>
      </c>
      <c r="Z158" t="str">
        <f>IF(NOT($A158),"",
IF(AT158=-2,regle!$J$11,
IF(AT158=regle!$B$12,regle!$B$11,
IF(AT158=regle!$C$12,regle!$C$11,
IF(AT158=regle!$D$12,regle!$D$11,
IF(AT158=regle!$E$12,regle!$E$11,
IF(AT158=regle!$F$12,regle!$F$11,
IF(AT158=regle!$G$12,regle!$G$11,
IF(AT158=regle!$H$12,regle!$H$11,
IF(AT158=regle!$I$12,regle!$I$11,""))))))))))</f>
        <v>EC3</v>
      </c>
      <c r="AA158" t="str">
        <f>IF(NOT($A158),"",
IF(AU158=-2,regle!$J$11,
IF(AU158=regle!$B$12,regle!$B$11,
IF(AU158=regle!$C$12,regle!$C$11,
IF(AU158=regle!$D$12,regle!$D$11,
IF(AU158=regle!$E$12,regle!$E$11,
IF(AU158=regle!$F$12,regle!$F$11,
IF(AU158=regle!$G$12,regle!$G$11,
IF(AU158=regle!$H$12,regle!$H$11,
IF(AU158=regle!$I$12,regle!$I$11,""))))))))))</f>
        <v/>
      </c>
      <c r="AB158" t="str">
        <f>IF(NOT($A158),"",
IF(AV158=-2,regle!$J$11,
IF(AV158=regle!$B$12,regle!$B$11,
IF(AV158=regle!$C$12,regle!$C$11,
IF(AV158=regle!$D$12,regle!$D$11,
IF(AV158=regle!$E$12,regle!$E$11,
IF(AV158=regle!$F$12,regle!$F$11,
IF(AV158=regle!$G$12,regle!$G$11,
IF(AV158=regle!$H$12,regle!$H$11,
IF(AV158=regle!$I$12,regle!$I$11,""))))))))))</f>
        <v/>
      </c>
      <c r="AC158" t="str">
        <f>IF(NOT($A158),"",
IF(AW158=-2,regle!$J$11,
IF(AW158=regle!$B$12,regle!$B$11,
IF(AW158=regle!$C$12,regle!$C$11,
IF(AW158=regle!$D$12,regle!$D$11,
IF(AW158=regle!$E$12,regle!$E$11,
IF(AW158=regle!$F$12,regle!$F$11,
IF(AW158=regle!$G$12,regle!$G$11,
IF(AW158=regle!$H$12,regle!$H$11,
IF(AW158=regle!$I$12,regle!$I$11,""))))))))))</f>
        <v/>
      </c>
      <c r="AD158" t="str">
        <f>IF(NOT($A158),"",
IF(AX158=-2,regle!$J$11,
IF(AX158=regle!$B$12,regle!$B$11,
IF(AX158=regle!$C$12,regle!$C$11,
IF(AX158=regle!$D$12,regle!$D$11,
IF(AX158=regle!$E$12,regle!$E$11,
IF(AX158=regle!$F$12,regle!$F$11,
IF(AX158=regle!$G$12,regle!$G$11,
IF(AX158=regle!$H$12,regle!$H$11,
IF(AX158=regle!$I$12,regle!$I$11,""))))))))))</f>
        <v/>
      </c>
      <c r="AE158" s="14">
        <f>IF($A158,$M158*(IF(U158=regle!$B$11,regle!$B$23,IF(U158=regle!$C$11,regle!$C$23,IF(U158=regle!$D$11,regle!$D$23,IF(U158=regle!$E$11,regle!$E$23,IF(U158=regle!$F$11,regle!$F$23,IF(U158=regle!$G$11,regle!$G$23,IF(U158=regle!$H$11,regle!$H$23,IF(U158=regle!$I$11,regle!$I$23,IF(U158=regle!$J$11,regle!$J$23,0)))))))))))</f>
        <v>242.76</v>
      </c>
      <c r="AF158" s="14">
        <f>IF($A158,$M158*(IF(V158=regle!$B$11,regle!$B$23,IF(V158=regle!$C$11,regle!$C$23,IF(V158=regle!$D$11,regle!$D$23,IF(V158=regle!$E$11,regle!$E$23,IF(V158=regle!$F$11,regle!$F$23,IF(V158=regle!$G$11,regle!$G$23,IF(V158=regle!$H$11,regle!$H$23,IF(V158=regle!$I$11,regle!$I$23,IF(V158=regle!$J$11,regle!$J$23,0)))))))))))</f>
        <v>0</v>
      </c>
      <c r="AG158" s="14">
        <f>IF($A158,$M158*(IF(W158=regle!$B$11,regle!$B$23,IF(W158=regle!$C$11,regle!$C$23,IF(W158=regle!$D$11,regle!$D$23,IF(W158=regle!$E$11,regle!$E$23,IF(W158=regle!$F$11,regle!$F$23,IF(W158=regle!$G$11,regle!$G$23,IF(W158=regle!$H$11,regle!$H$23,IF(W158=regle!$I$11,regle!$I$23,IF(W158=regle!$J$11,regle!$J$23,0)))))))))))</f>
        <v>0</v>
      </c>
      <c r="AH158" s="14">
        <f>IF($A158,$M158*(IF(X158=regle!$B$11,regle!$B$23,IF(X158=regle!$C$11,regle!$C$23,IF(X158=regle!$D$11,regle!$D$23,IF(X158=regle!$E$11,regle!$E$23,IF(X158=regle!$F$11,regle!$F$23,IF(X158=regle!$G$11,regle!$G$23,IF(X158=regle!$H$11,regle!$H$23,IF(X158=regle!$I$11,regle!$I$23,IF(X158=regle!$J$11,regle!$J$23,0)))))))))))</f>
        <v>0</v>
      </c>
      <c r="AI158" s="14">
        <f>IF($A158,$M158*(IF(Y158=regle!$B$11,regle!$B$23,IF(Y158=regle!$C$11,regle!$C$23,IF(Y158=regle!$D$11,regle!$D$23,IF(Y158=regle!$E$11,regle!$E$23,IF(Y158=regle!$F$11,regle!$F$23,IF(Y158=regle!$G$11,regle!$G$23,IF(Y158=regle!$H$11,regle!$H$23,IF(Y158=regle!$I$11,regle!$I$23,IF(Y158=regle!$J$11,regle!$J$23,0)))))))))))</f>
        <v>0</v>
      </c>
      <c r="AJ158" s="14">
        <f>IF($A158,$M158*(IF(Z158=regle!$B$11,regle!$B$23,IF(Z158=regle!$C$11,regle!$C$23,IF(Z158=regle!$D$11,regle!$D$23,IF(Z158=regle!$E$11,regle!$E$23,IF(Z158=regle!$F$11,regle!$F$23,IF(Z158=regle!$G$11,regle!$G$23,IF(Z158=regle!$H$11,regle!$H$23,IF(Z158=regle!$I$11,regle!$I$23,IF(Z158=regle!$J$11,regle!$J$23,0)))))))))))</f>
        <v>406.91199999999998</v>
      </c>
      <c r="AK158" s="14">
        <f>IF($A158,$M158*(IF(AA158=regle!$B$11,regle!$B$23,IF(AA158=regle!$C$11,regle!$C$23,IF(AA158=regle!$D$11,regle!$D$23,IF(AA158=regle!$E$11,regle!$E$23,IF(AA158=regle!$F$11,regle!$F$23,IF(AA158=regle!$G$11,regle!$G$23,IF(AA158=regle!$H$11,regle!$H$23,IF(AA158=regle!$I$11,regle!$I$23,IF(AA158=regle!$J$11,regle!$J$23,0)))))))))))</f>
        <v>0</v>
      </c>
      <c r="AL158" s="14">
        <f>IF($A158,$M158*(IF(AB158=regle!$B$11,regle!$B$23,IF(AB158=regle!$C$11,regle!$C$23,IF(AB158=regle!$D$11,regle!$D$23,IF(AB158=regle!$E$11,regle!$E$23,IF(AB158=regle!$F$11,regle!$F$23,IF(AB158=regle!$G$11,regle!$G$23,IF(AB158=regle!$H$11,regle!$H$23,IF(AB158=regle!$I$11,regle!$I$23,IF(AB158=regle!$J$11,regle!$J$23,0)))))))))))</f>
        <v>0</v>
      </c>
      <c r="AM158" s="14">
        <f>IF($A158,$M158*(IF(AC158=regle!$B$11,regle!$B$23,IF(AC158=regle!$C$11,regle!$C$23,IF(AC158=regle!$D$11,regle!$D$23,IF(AC158=regle!$E$11,regle!$E$23,IF(AC158=regle!$F$11,regle!$F$23,IF(AC158=regle!$G$11,regle!$G$23,IF(AC158=regle!$H$11,regle!$H$23,IF(AC158=regle!$I$11,regle!$I$23,IF(AC158=regle!$J$11,regle!$J$23,0)))))))))))</f>
        <v>0</v>
      </c>
      <c r="AN158" s="14">
        <f>IF($A158,$M158*(IF(AD158=regle!$B$11,regle!$B$23,IF(AD158=regle!$C$11,regle!$C$23,IF(AD158=regle!$D$11,regle!$D$23,IF(AD158=regle!$E$11,regle!$E$23,IF(AD158=regle!$F$11,regle!$F$23,IF(AD158=regle!$G$11,regle!$G$23,IF(AD158=regle!$H$11,regle!$H$23,IF(AD158=regle!$I$11,regle!$I$23,IF(AD158=regle!$J$11,regle!$J$23,0)))))))))))</f>
        <v>0</v>
      </c>
      <c r="AO158">
        <f>IF(AO$1=$AO$1,IF(regle!B$2-$Q158&gt;=regle!$J$12,-2,IF($S158,IF(regle!$B$2-$Q158&gt;=2,0,-1),regle!B$2-$Q158)),IF(AN158+1&gt;=regle!$J$12,-2,AN158+1))</f>
        <v>18</v>
      </c>
      <c r="AP158">
        <f>IF(AP$1=$AO$1,IF(regle!C$2-$Q158&gt;=regle!$J$12,-2,IF($S158,IF(regle!$B$2-$Q158&gt;=2,0,-1),regle!C$2-$Q158)),IF(AO158+1&gt;=regle!$J$12,-2,AO158+1))</f>
        <v>19</v>
      </c>
      <c r="AQ158">
        <f>IF(AQ$1=$AO$1,IF(regle!D$2-$Q158&gt;=regle!$J$12,-2,IF($S158,IF(regle!$B$2-$Q158&gt;=2,0,-1),regle!D$2-$Q158)),IF(AP158+1&gt;=regle!$J$12,-2,AP158+1))</f>
        <v>20</v>
      </c>
      <c r="AR158">
        <f>IF(AR$1=$AO$1,IF(regle!E$2-$Q158&gt;=regle!$J$12,-2,IF($S158,IF(regle!$B$2-$Q158&gt;=2,0,-1),regle!E$2-$Q158)),IF(AQ158+1&gt;=regle!$J$12,-2,AQ158+1))</f>
        <v>21</v>
      </c>
      <c r="AS158">
        <f>IF(AS$1=$AO$1,IF(regle!F$2-$Q158&gt;=regle!$J$12,-2,IF($S158,IF(regle!$B$2-$Q158&gt;=2,0,-1),regle!F$2-$Q158)),IF(AR158+1&gt;=regle!$J$12,-2,AR158+1))</f>
        <v>22</v>
      </c>
      <c r="AT158">
        <f>IF(AT$1=$AO$1,IF(regle!G$2-$Q158&gt;=regle!$J$12,-2,IF($S158,IF(regle!$B$2-$Q158&gt;=2,0,-1),regle!G$2-$Q158)),IF(AS158+1&gt;=regle!$J$12,-2,AS158+1))</f>
        <v>23</v>
      </c>
      <c r="AU158">
        <f>IF(AU$1=$AO$1,IF(regle!H$2-$Q158&gt;=regle!$J$12,-2,IF($S158,IF(regle!$B$2-$Q158&gt;=2,0,-1),regle!H$2-$Q158)),IF(AT158+1&gt;=regle!$J$12,-2,AT158+1))</f>
        <v>24</v>
      </c>
      <c r="AV158">
        <f>IF(AV$1=$AO$1,IF(regle!I$2-$Q158&gt;=regle!$J$12,-2,IF($S158,IF(regle!$B$2-$Q158&gt;=2,0,-1),regle!I$2-$Q158)),IF(AU158+1&gt;=regle!$J$12,-2,AU158+1))</f>
        <v>25</v>
      </c>
      <c r="AW158">
        <f>IF(AW$1=$AO$1,IF(regle!J$2-$Q158&gt;=regle!$J$12,-2,IF($S158,IF(regle!$B$2-$Q158&gt;=2,0,-1),regle!J$2-$Q158)),IF(AV158+1&gt;=regle!$J$12,-2,AV158+1))</f>
        <v>26</v>
      </c>
      <c r="AX158">
        <f>IF(AX$1=$AO$1,IF(regle!K$2-$Q158&gt;=regle!$J$12,-2,IF($S158,IF(regle!$B$2-$Q158&gt;=2,0,-1),regle!K$2-$Q158)),IF(AW158+1&gt;=regle!$J$12,-2,AW158+1))</f>
        <v>27</v>
      </c>
    </row>
    <row r="159" spans="1:50" x14ac:dyDescent="0.25">
      <c r="A159" t="b">
        <f>AND(modif0[[#This Row],[cdstr]]&lt;&gt;0,OR(regle!$H$27=FALSE,modif0[[#This Row],[essnc]]="PM"))</f>
        <v>1</v>
      </c>
      <c r="B159">
        <f>ROW(objet!A185)</f>
        <v>185</v>
      </c>
      <c r="C159" s="10" t="str">
        <f>objet!D185</f>
        <v>2020000B1183</v>
      </c>
      <c r="D159" t="str">
        <f>LEFT(modif0[[#This Row],[cdstr]],3)</f>
        <v>202</v>
      </c>
      <c r="E159" s="10" t="str">
        <f>objet!G185</f>
        <v>HOSTENS</v>
      </c>
      <c r="F159">
        <f>LEN(modif0[[#This Row],[l_dt]])</f>
        <v>11</v>
      </c>
      <c r="G159" s="10" t="str">
        <f>objet!H185</f>
        <v>LES CAZALAS</v>
      </c>
      <c r="H159" s="10" t="str">
        <f>objet!C185</f>
        <v>B1183</v>
      </c>
      <c r="I159" t="str">
        <f>IF(ISNUMBER(VALUE(RIGHT(LEFT(modif0[[#This Row],[idntfn]],2),1))),_xlfn.CONCAT(0,LEFT(modif0[[#This Row],[idntfn]],1)),LEFT(modif0[[#This Row],[idntfn]],2))</f>
        <v>0B</v>
      </c>
      <c r="J159">
        <f>VALUE(LEFT(RIGHT(modif0[[#This Row],[idntfn]],LEN(modif0[[#This Row],[idntfn]])-IF(LEFT(modif0[[#This Row],[sctn]],1)="0",1,2)),LEN(modif0[[#This Row],[idntfn]])-IF(LEFT(modif0[[#This Row],[sctn]],1)="0",1,2)-LEN(modif0[[#This Row],[lttr]])))</f>
        <v>1183</v>
      </c>
      <c r="K159" t="str">
        <f>IF(ISNUMBER(VALUE(RIGHT(modif0[[#This Row],[idntfn]],1))),"",IF(ISNUMBER(VALUE(LEFT(RIGHT(modif0[[#This Row],[idntfn]],2),1))),RIGHT(modif0[[#This Row],[idntfn]],1),RIGHT(modif0[[#This Row],[idntfn]],2)))</f>
        <v/>
      </c>
      <c r="L159" s="10">
        <f>objet!I185</f>
        <v>1810</v>
      </c>
      <c r="M159" s="11">
        <f>modif0[[#This Row],[srfc]]/10000</f>
        <v>0.18099999999999999</v>
      </c>
      <c r="N159" s="10" t="str">
        <f>objet!Z185</f>
        <v>PM</v>
      </c>
      <c r="O159" s="10" t="str">
        <f>objet!AA185</f>
        <v>PLA2006</v>
      </c>
      <c r="P159" t="str">
        <f>IF(ISNUMBER(modif0[[#This Row],[trvx]]),"",LEFT(modif0[[#This Row],[trvx]],LEN(modif0[[#This Row],[trvx]])-4))</f>
        <v>PLA</v>
      </c>
      <c r="Q159">
        <f>VALUE(RIGHT(modif0[[#This Row],[trvx]],4))</f>
        <v>2006</v>
      </c>
      <c r="R159" t="str">
        <f>_xlfn.CONCAT(modif0[[#This Row],[tp]],"-",modif0[[#This Row],[essnc]],"_",modif0[[#This Row],[anns]])</f>
        <v>PLA-PM_2006</v>
      </c>
      <c r="S159" t="b">
        <f>modif0[[#This Row],[tp]]="CR"</f>
        <v>0</v>
      </c>
      <c r="T159">
        <v>40</v>
      </c>
      <c r="U159" t="str">
        <f>IF(NOT($A159),"",
IF(AO159=-2,regle!$J$11,
IF(AO159=regle!$B$12,regle!$B$11,
IF(AO159=regle!$C$12,regle!$C$11,
IF(AO159=regle!$D$12,regle!$D$11,
IF(AO159=regle!$E$12,regle!$E$11,
IF(AO159=regle!$F$12,regle!$F$11,
IF(AO159=regle!$G$12,regle!$G$11,
IF(AO159=regle!$H$12,regle!$H$11,
IF(AO159=regle!$I$12,regle!$I$11,""))))))))))</f>
        <v>EC2</v>
      </c>
      <c r="V159" t="str">
        <f>IF(NOT($A159),"",
IF(AP159=-2,regle!$J$11,
IF(AP159=regle!$B$12,regle!$B$11,
IF(AP159=regle!$C$12,regle!$C$11,
IF(AP159=regle!$D$12,regle!$D$11,
IF(AP159=regle!$E$12,regle!$E$11,
IF(AP159=regle!$F$12,regle!$F$11,
IF(AP159=regle!$G$12,regle!$G$11,
IF(AP159=regle!$H$12,regle!$H$11,
IF(AP159=regle!$I$12,regle!$I$11,""))))))))))</f>
        <v/>
      </c>
      <c r="W159" t="str">
        <f>IF(NOT($A159),"",
IF(AQ159=-2,regle!$J$11,
IF(AQ159=regle!$B$12,regle!$B$11,
IF(AQ159=regle!$C$12,regle!$C$11,
IF(AQ159=regle!$D$12,regle!$D$11,
IF(AQ159=regle!$E$12,regle!$E$11,
IF(AQ159=regle!$F$12,regle!$F$11,
IF(AQ159=regle!$G$12,regle!$G$11,
IF(AQ159=regle!$H$12,regle!$H$11,
IF(AQ159=regle!$I$12,regle!$I$11,""))))))))))</f>
        <v/>
      </c>
      <c r="X159" t="str">
        <f>IF(NOT($A159),"",
IF(AR159=-2,regle!$J$11,
IF(AR159=regle!$B$12,regle!$B$11,
IF(AR159=regle!$C$12,regle!$C$11,
IF(AR159=regle!$D$12,regle!$D$11,
IF(AR159=regle!$E$12,regle!$E$11,
IF(AR159=regle!$F$12,regle!$F$11,
IF(AR159=regle!$G$12,regle!$G$11,
IF(AR159=regle!$H$12,regle!$H$11,
IF(AR159=regle!$I$12,regle!$I$11,""))))))))))</f>
        <v/>
      </c>
      <c r="Y159" t="str">
        <f>IF(NOT($A159),"",
IF(AS159=-2,regle!$J$11,
IF(AS159=regle!$B$12,regle!$B$11,
IF(AS159=regle!$C$12,regle!$C$11,
IF(AS159=regle!$D$12,regle!$D$11,
IF(AS159=regle!$E$12,regle!$E$11,
IF(AS159=regle!$F$12,regle!$F$11,
IF(AS159=regle!$G$12,regle!$G$11,
IF(AS159=regle!$H$12,regle!$H$11,
IF(AS159=regle!$I$12,regle!$I$11,""))))))))))</f>
        <v/>
      </c>
      <c r="Z159" t="str">
        <f>IF(NOT($A159),"",
IF(AT159=-2,regle!$J$11,
IF(AT159=regle!$B$12,regle!$B$11,
IF(AT159=regle!$C$12,regle!$C$11,
IF(AT159=regle!$D$12,regle!$D$11,
IF(AT159=regle!$E$12,regle!$E$11,
IF(AT159=regle!$F$12,regle!$F$11,
IF(AT159=regle!$G$12,regle!$G$11,
IF(AT159=regle!$H$12,regle!$H$11,
IF(AT159=regle!$I$12,regle!$I$11,""))))))))))</f>
        <v>EC3</v>
      </c>
      <c r="AA159" t="str">
        <f>IF(NOT($A159),"",
IF(AU159=-2,regle!$J$11,
IF(AU159=regle!$B$12,regle!$B$11,
IF(AU159=regle!$C$12,regle!$C$11,
IF(AU159=regle!$D$12,regle!$D$11,
IF(AU159=regle!$E$12,regle!$E$11,
IF(AU159=regle!$F$12,regle!$F$11,
IF(AU159=regle!$G$12,regle!$G$11,
IF(AU159=regle!$H$12,regle!$H$11,
IF(AU159=regle!$I$12,regle!$I$11,""))))))))))</f>
        <v/>
      </c>
      <c r="AB159" t="str">
        <f>IF(NOT($A159),"",
IF(AV159=-2,regle!$J$11,
IF(AV159=regle!$B$12,regle!$B$11,
IF(AV159=regle!$C$12,regle!$C$11,
IF(AV159=regle!$D$12,regle!$D$11,
IF(AV159=regle!$E$12,regle!$E$11,
IF(AV159=regle!$F$12,regle!$F$11,
IF(AV159=regle!$G$12,regle!$G$11,
IF(AV159=regle!$H$12,regle!$H$11,
IF(AV159=regle!$I$12,regle!$I$11,""))))))))))</f>
        <v/>
      </c>
      <c r="AC159" t="str">
        <f>IF(NOT($A159),"",
IF(AW159=-2,regle!$J$11,
IF(AW159=regle!$B$12,regle!$B$11,
IF(AW159=regle!$C$12,regle!$C$11,
IF(AW159=regle!$D$12,regle!$D$11,
IF(AW159=regle!$E$12,regle!$E$11,
IF(AW159=regle!$F$12,regle!$F$11,
IF(AW159=regle!$G$12,regle!$G$11,
IF(AW159=regle!$H$12,regle!$H$11,
IF(AW159=regle!$I$12,regle!$I$11,""))))))))))</f>
        <v/>
      </c>
      <c r="AD159" t="str">
        <f>IF(NOT($A159),"",
IF(AX159=-2,regle!$J$11,
IF(AX159=regle!$B$12,regle!$B$11,
IF(AX159=regle!$C$12,regle!$C$11,
IF(AX159=regle!$D$12,regle!$D$11,
IF(AX159=regle!$E$12,regle!$E$11,
IF(AX159=regle!$F$12,regle!$F$11,
IF(AX159=regle!$G$12,regle!$G$11,
IF(AX159=regle!$H$12,regle!$H$11,
IF(AX159=regle!$I$12,regle!$I$11,""))))))))))</f>
        <v/>
      </c>
      <c r="AE159" s="14">
        <f>IF($A159,$M159*(IF(U159=regle!$B$11,regle!$B$23,IF(U159=regle!$C$11,regle!$C$23,IF(U159=regle!$D$11,regle!$D$23,IF(U159=regle!$E$11,regle!$E$23,IF(U159=regle!$F$11,regle!$F$23,IF(U159=regle!$G$11,regle!$G$23,IF(U159=regle!$H$11,regle!$H$23,IF(U159=regle!$I$11,regle!$I$23,IF(U159=regle!$J$11,regle!$J$23,0)))))))))))</f>
        <v>152.04</v>
      </c>
      <c r="AF159" s="14">
        <f>IF($A159,$M159*(IF(V159=regle!$B$11,regle!$B$23,IF(V159=regle!$C$11,regle!$C$23,IF(V159=regle!$D$11,regle!$D$23,IF(V159=regle!$E$11,regle!$E$23,IF(V159=regle!$F$11,regle!$F$23,IF(V159=regle!$G$11,regle!$G$23,IF(V159=regle!$H$11,regle!$H$23,IF(V159=regle!$I$11,regle!$I$23,IF(V159=regle!$J$11,regle!$J$23,0)))))))))))</f>
        <v>0</v>
      </c>
      <c r="AG159" s="14">
        <f>IF($A159,$M159*(IF(W159=regle!$B$11,regle!$B$23,IF(W159=regle!$C$11,regle!$C$23,IF(W159=regle!$D$11,regle!$D$23,IF(W159=regle!$E$11,regle!$E$23,IF(W159=regle!$F$11,regle!$F$23,IF(W159=regle!$G$11,regle!$G$23,IF(W159=regle!$H$11,regle!$H$23,IF(W159=regle!$I$11,regle!$I$23,IF(W159=regle!$J$11,regle!$J$23,0)))))))))))</f>
        <v>0</v>
      </c>
      <c r="AH159" s="14">
        <f>IF($A159,$M159*(IF(X159=regle!$B$11,regle!$B$23,IF(X159=regle!$C$11,regle!$C$23,IF(X159=regle!$D$11,regle!$D$23,IF(X159=regle!$E$11,regle!$E$23,IF(X159=regle!$F$11,regle!$F$23,IF(X159=regle!$G$11,regle!$G$23,IF(X159=regle!$H$11,regle!$H$23,IF(X159=regle!$I$11,regle!$I$23,IF(X159=regle!$J$11,regle!$J$23,0)))))))))))</f>
        <v>0</v>
      </c>
      <c r="AI159" s="14">
        <f>IF($A159,$M159*(IF(Y159=regle!$B$11,regle!$B$23,IF(Y159=regle!$C$11,regle!$C$23,IF(Y159=regle!$D$11,regle!$D$23,IF(Y159=regle!$E$11,regle!$E$23,IF(Y159=regle!$F$11,regle!$F$23,IF(Y159=regle!$G$11,regle!$G$23,IF(Y159=regle!$H$11,regle!$H$23,IF(Y159=regle!$I$11,regle!$I$23,IF(Y159=regle!$J$11,regle!$J$23,0)))))))))))</f>
        <v>0</v>
      </c>
      <c r="AJ159" s="14">
        <f>IF($A159,$M159*(IF(Z159=regle!$B$11,regle!$B$23,IF(Z159=regle!$C$11,regle!$C$23,IF(Z159=regle!$D$11,regle!$D$23,IF(Z159=regle!$E$11,regle!$E$23,IF(Z159=regle!$F$11,regle!$F$23,IF(Z159=regle!$G$11,regle!$G$23,IF(Z159=regle!$H$11,regle!$H$23,IF(Z159=regle!$I$11,regle!$I$23,IF(Z159=regle!$J$11,regle!$J$23,0)))))))))))</f>
        <v>254.84799999999998</v>
      </c>
      <c r="AK159" s="14">
        <f>IF($A159,$M159*(IF(AA159=regle!$B$11,regle!$B$23,IF(AA159=regle!$C$11,regle!$C$23,IF(AA159=regle!$D$11,regle!$D$23,IF(AA159=regle!$E$11,regle!$E$23,IF(AA159=regle!$F$11,regle!$F$23,IF(AA159=regle!$G$11,regle!$G$23,IF(AA159=regle!$H$11,regle!$H$23,IF(AA159=regle!$I$11,regle!$I$23,IF(AA159=regle!$J$11,regle!$J$23,0)))))))))))</f>
        <v>0</v>
      </c>
      <c r="AL159" s="14">
        <f>IF($A159,$M159*(IF(AB159=regle!$B$11,regle!$B$23,IF(AB159=regle!$C$11,regle!$C$23,IF(AB159=regle!$D$11,regle!$D$23,IF(AB159=regle!$E$11,regle!$E$23,IF(AB159=regle!$F$11,regle!$F$23,IF(AB159=regle!$G$11,regle!$G$23,IF(AB159=regle!$H$11,regle!$H$23,IF(AB159=regle!$I$11,regle!$I$23,IF(AB159=regle!$J$11,regle!$J$23,0)))))))))))</f>
        <v>0</v>
      </c>
      <c r="AM159" s="14">
        <f>IF($A159,$M159*(IF(AC159=regle!$B$11,regle!$B$23,IF(AC159=regle!$C$11,regle!$C$23,IF(AC159=regle!$D$11,regle!$D$23,IF(AC159=regle!$E$11,regle!$E$23,IF(AC159=regle!$F$11,regle!$F$23,IF(AC159=regle!$G$11,regle!$G$23,IF(AC159=regle!$H$11,regle!$H$23,IF(AC159=regle!$I$11,regle!$I$23,IF(AC159=regle!$J$11,regle!$J$23,0)))))))))))</f>
        <v>0</v>
      </c>
      <c r="AN159" s="14">
        <f>IF($A159,$M159*(IF(AD159=regle!$B$11,regle!$B$23,IF(AD159=regle!$C$11,regle!$C$23,IF(AD159=regle!$D$11,regle!$D$23,IF(AD159=regle!$E$11,regle!$E$23,IF(AD159=regle!$F$11,regle!$F$23,IF(AD159=regle!$G$11,regle!$G$23,IF(AD159=regle!$H$11,regle!$H$23,IF(AD159=regle!$I$11,regle!$I$23,IF(AD159=regle!$J$11,regle!$J$23,0)))))))))))</f>
        <v>0</v>
      </c>
      <c r="AO159">
        <f>IF(AO$1=$AO$1,IF(regle!B$2-$Q159&gt;=regle!$J$12,-2,IF($S159,IF(regle!$B$2-$Q159&gt;=2,0,-1),regle!B$2-$Q159)),IF(AN159+1&gt;=regle!$J$12,-2,AN159+1))</f>
        <v>18</v>
      </c>
      <c r="AP159">
        <f>IF(AP$1=$AO$1,IF(regle!C$2-$Q159&gt;=regle!$J$12,-2,IF($S159,IF(regle!$B$2-$Q159&gt;=2,0,-1),regle!C$2-$Q159)),IF(AO159+1&gt;=regle!$J$12,-2,AO159+1))</f>
        <v>19</v>
      </c>
      <c r="AQ159">
        <f>IF(AQ$1=$AO$1,IF(regle!D$2-$Q159&gt;=regle!$J$12,-2,IF($S159,IF(regle!$B$2-$Q159&gt;=2,0,-1),regle!D$2-$Q159)),IF(AP159+1&gt;=regle!$J$12,-2,AP159+1))</f>
        <v>20</v>
      </c>
      <c r="AR159">
        <f>IF(AR$1=$AO$1,IF(regle!E$2-$Q159&gt;=regle!$J$12,-2,IF($S159,IF(regle!$B$2-$Q159&gt;=2,0,-1),regle!E$2-$Q159)),IF(AQ159+1&gt;=regle!$J$12,-2,AQ159+1))</f>
        <v>21</v>
      </c>
      <c r="AS159">
        <f>IF(AS$1=$AO$1,IF(regle!F$2-$Q159&gt;=regle!$J$12,-2,IF($S159,IF(regle!$B$2-$Q159&gt;=2,0,-1),regle!F$2-$Q159)),IF(AR159+1&gt;=regle!$J$12,-2,AR159+1))</f>
        <v>22</v>
      </c>
      <c r="AT159">
        <f>IF(AT$1=$AO$1,IF(regle!G$2-$Q159&gt;=regle!$J$12,-2,IF($S159,IF(regle!$B$2-$Q159&gt;=2,0,-1),regle!G$2-$Q159)),IF(AS159+1&gt;=regle!$J$12,-2,AS159+1))</f>
        <v>23</v>
      </c>
      <c r="AU159">
        <f>IF(AU$1=$AO$1,IF(regle!H$2-$Q159&gt;=regle!$J$12,-2,IF($S159,IF(regle!$B$2-$Q159&gt;=2,0,-1),regle!H$2-$Q159)),IF(AT159+1&gt;=regle!$J$12,-2,AT159+1))</f>
        <v>24</v>
      </c>
      <c r="AV159">
        <f>IF(AV$1=$AO$1,IF(regle!I$2-$Q159&gt;=regle!$J$12,-2,IF($S159,IF(regle!$B$2-$Q159&gt;=2,0,-1),regle!I$2-$Q159)),IF(AU159+1&gt;=regle!$J$12,-2,AU159+1))</f>
        <v>25</v>
      </c>
      <c r="AW159">
        <f>IF(AW$1=$AO$1,IF(regle!J$2-$Q159&gt;=regle!$J$12,-2,IF($S159,IF(regle!$B$2-$Q159&gt;=2,0,-1),regle!J$2-$Q159)),IF(AV159+1&gt;=regle!$J$12,-2,AV159+1))</f>
        <v>26</v>
      </c>
      <c r="AX159">
        <f>IF(AX$1=$AO$1,IF(regle!K$2-$Q159&gt;=regle!$J$12,-2,IF($S159,IF(regle!$B$2-$Q159&gt;=2,0,-1),regle!K$2-$Q159)),IF(AW159+1&gt;=regle!$J$12,-2,AW159+1))</f>
        <v>27</v>
      </c>
    </row>
    <row r="160" spans="1:50" x14ac:dyDescent="0.25">
      <c r="A160" t="b">
        <f>AND(modif0[[#This Row],[cdstr]]&lt;&gt;0,OR(regle!$H$27=FALSE,modif0[[#This Row],[essnc]]="PM"))</f>
        <v>1</v>
      </c>
      <c r="B160">
        <f>ROW(objet!A186)</f>
        <v>186</v>
      </c>
      <c r="C160" s="10" t="str">
        <f>objet!D186</f>
        <v>2020000B1184</v>
      </c>
      <c r="D160" t="str">
        <f>LEFT(modif0[[#This Row],[cdstr]],3)</f>
        <v>202</v>
      </c>
      <c r="E160" s="10" t="str">
        <f>objet!G186</f>
        <v>HOSTENS</v>
      </c>
      <c r="F160">
        <f>LEN(modif0[[#This Row],[l_dt]])</f>
        <v>11</v>
      </c>
      <c r="G160" s="10" t="str">
        <f>objet!H186</f>
        <v>LES CAZALAS</v>
      </c>
      <c r="H160" s="10" t="str">
        <f>objet!C186</f>
        <v>B1184j</v>
      </c>
      <c r="I160" t="str">
        <f>IF(ISNUMBER(VALUE(RIGHT(LEFT(modif0[[#This Row],[idntfn]],2),1))),_xlfn.CONCAT(0,LEFT(modif0[[#This Row],[idntfn]],1)),LEFT(modif0[[#This Row],[idntfn]],2))</f>
        <v>0B</v>
      </c>
      <c r="J160">
        <f>VALUE(LEFT(RIGHT(modif0[[#This Row],[idntfn]],LEN(modif0[[#This Row],[idntfn]])-IF(LEFT(modif0[[#This Row],[sctn]],1)="0",1,2)),LEN(modif0[[#This Row],[idntfn]])-IF(LEFT(modif0[[#This Row],[sctn]],1)="0",1,2)-LEN(modif0[[#This Row],[lttr]])))</f>
        <v>1184</v>
      </c>
      <c r="K160" t="str">
        <f>IF(ISNUMBER(VALUE(RIGHT(modif0[[#This Row],[idntfn]],1))),"",IF(ISNUMBER(VALUE(LEFT(RIGHT(modif0[[#This Row],[idntfn]],2),1))),RIGHT(modif0[[#This Row],[idntfn]],1),RIGHT(modif0[[#This Row],[idntfn]],2)))</f>
        <v>j</v>
      </c>
      <c r="L160" s="10">
        <f>objet!I186</f>
        <v>137339</v>
      </c>
      <c r="M160" s="11">
        <f>modif0[[#This Row],[srfc]]/10000</f>
        <v>13.7339</v>
      </c>
      <c r="N160" s="10" t="str">
        <f>objet!Z186</f>
        <v>PM</v>
      </c>
      <c r="O160" s="10" t="str">
        <f>objet!AA186</f>
        <v>PLA2006</v>
      </c>
      <c r="P160" t="str">
        <f>IF(ISNUMBER(modif0[[#This Row],[trvx]]),"",LEFT(modif0[[#This Row],[trvx]],LEN(modif0[[#This Row],[trvx]])-4))</f>
        <v>PLA</v>
      </c>
      <c r="Q160">
        <f>VALUE(RIGHT(modif0[[#This Row],[trvx]],4))</f>
        <v>2006</v>
      </c>
      <c r="R160" t="str">
        <f>_xlfn.CONCAT(modif0[[#This Row],[tp]],"-",modif0[[#This Row],[essnc]],"_",modif0[[#This Row],[anns]])</f>
        <v>PLA-PM_2006</v>
      </c>
      <c r="S160" t="b">
        <f>modif0[[#This Row],[tp]]="CR"</f>
        <v>0</v>
      </c>
      <c r="T160">
        <v>40</v>
      </c>
      <c r="U160" t="str">
        <f>IF(NOT($A160),"",
IF(AO160=-2,regle!$J$11,
IF(AO160=regle!$B$12,regle!$B$11,
IF(AO160=regle!$C$12,regle!$C$11,
IF(AO160=regle!$D$12,regle!$D$11,
IF(AO160=regle!$E$12,regle!$E$11,
IF(AO160=regle!$F$12,regle!$F$11,
IF(AO160=regle!$G$12,regle!$G$11,
IF(AO160=regle!$H$12,regle!$H$11,
IF(AO160=regle!$I$12,regle!$I$11,""))))))))))</f>
        <v>EC2</v>
      </c>
      <c r="V160" t="str">
        <f>IF(NOT($A160),"",
IF(AP160=-2,regle!$J$11,
IF(AP160=regle!$B$12,regle!$B$11,
IF(AP160=regle!$C$12,regle!$C$11,
IF(AP160=regle!$D$12,regle!$D$11,
IF(AP160=regle!$E$12,regle!$E$11,
IF(AP160=regle!$F$12,regle!$F$11,
IF(AP160=regle!$G$12,regle!$G$11,
IF(AP160=regle!$H$12,regle!$H$11,
IF(AP160=regle!$I$12,regle!$I$11,""))))))))))</f>
        <v/>
      </c>
      <c r="W160" t="str">
        <f>IF(NOT($A160),"",
IF(AQ160=-2,regle!$J$11,
IF(AQ160=regle!$B$12,regle!$B$11,
IF(AQ160=regle!$C$12,regle!$C$11,
IF(AQ160=regle!$D$12,regle!$D$11,
IF(AQ160=regle!$E$12,regle!$E$11,
IF(AQ160=regle!$F$12,regle!$F$11,
IF(AQ160=regle!$G$12,regle!$G$11,
IF(AQ160=regle!$H$12,regle!$H$11,
IF(AQ160=regle!$I$12,regle!$I$11,""))))))))))</f>
        <v/>
      </c>
      <c r="X160" t="str">
        <f>IF(NOT($A160),"",
IF(AR160=-2,regle!$J$11,
IF(AR160=regle!$B$12,regle!$B$11,
IF(AR160=regle!$C$12,regle!$C$11,
IF(AR160=regle!$D$12,regle!$D$11,
IF(AR160=regle!$E$12,regle!$E$11,
IF(AR160=regle!$F$12,regle!$F$11,
IF(AR160=regle!$G$12,regle!$G$11,
IF(AR160=regle!$H$12,regle!$H$11,
IF(AR160=regle!$I$12,regle!$I$11,""))))))))))</f>
        <v/>
      </c>
      <c r="Y160" t="str">
        <f>IF(NOT($A160),"",
IF(AS160=-2,regle!$J$11,
IF(AS160=regle!$B$12,regle!$B$11,
IF(AS160=regle!$C$12,regle!$C$11,
IF(AS160=regle!$D$12,regle!$D$11,
IF(AS160=regle!$E$12,regle!$E$11,
IF(AS160=regle!$F$12,regle!$F$11,
IF(AS160=regle!$G$12,regle!$G$11,
IF(AS160=regle!$H$12,regle!$H$11,
IF(AS160=regle!$I$12,regle!$I$11,""))))))))))</f>
        <v/>
      </c>
      <c r="Z160" t="str">
        <f>IF(NOT($A160),"",
IF(AT160=-2,regle!$J$11,
IF(AT160=regle!$B$12,regle!$B$11,
IF(AT160=regle!$C$12,regle!$C$11,
IF(AT160=regle!$D$12,regle!$D$11,
IF(AT160=regle!$E$12,regle!$E$11,
IF(AT160=regle!$F$12,regle!$F$11,
IF(AT160=regle!$G$12,regle!$G$11,
IF(AT160=regle!$H$12,regle!$H$11,
IF(AT160=regle!$I$12,regle!$I$11,""))))))))))</f>
        <v>EC3</v>
      </c>
      <c r="AA160" t="str">
        <f>IF(NOT($A160),"",
IF(AU160=-2,regle!$J$11,
IF(AU160=regle!$B$12,regle!$B$11,
IF(AU160=regle!$C$12,regle!$C$11,
IF(AU160=regle!$D$12,regle!$D$11,
IF(AU160=regle!$E$12,regle!$E$11,
IF(AU160=regle!$F$12,regle!$F$11,
IF(AU160=regle!$G$12,regle!$G$11,
IF(AU160=regle!$H$12,regle!$H$11,
IF(AU160=regle!$I$12,regle!$I$11,""))))))))))</f>
        <v/>
      </c>
      <c r="AB160" t="str">
        <f>IF(NOT($A160),"",
IF(AV160=-2,regle!$J$11,
IF(AV160=regle!$B$12,regle!$B$11,
IF(AV160=regle!$C$12,regle!$C$11,
IF(AV160=regle!$D$12,regle!$D$11,
IF(AV160=regle!$E$12,regle!$E$11,
IF(AV160=regle!$F$12,regle!$F$11,
IF(AV160=regle!$G$12,regle!$G$11,
IF(AV160=regle!$H$12,regle!$H$11,
IF(AV160=regle!$I$12,regle!$I$11,""))))))))))</f>
        <v/>
      </c>
      <c r="AC160" t="str">
        <f>IF(NOT($A160),"",
IF(AW160=-2,regle!$J$11,
IF(AW160=regle!$B$12,regle!$B$11,
IF(AW160=regle!$C$12,regle!$C$11,
IF(AW160=regle!$D$12,regle!$D$11,
IF(AW160=regle!$E$12,regle!$E$11,
IF(AW160=regle!$F$12,regle!$F$11,
IF(AW160=regle!$G$12,regle!$G$11,
IF(AW160=regle!$H$12,regle!$H$11,
IF(AW160=regle!$I$12,regle!$I$11,""))))))))))</f>
        <v/>
      </c>
      <c r="AD160" t="str">
        <f>IF(NOT($A160),"",
IF(AX160=-2,regle!$J$11,
IF(AX160=regle!$B$12,regle!$B$11,
IF(AX160=regle!$C$12,regle!$C$11,
IF(AX160=regle!$D$12,regle!$D$11,
IF(AX160=regle!$E$12,regle!$E$11,
IF(AX160=regle!$F$12,regle!$F$11,
IF(AX160=regle!$G$12,regle!$G$11,
IF(AX160=regle!$H$12,regle!$H$11,
IF(AX160=regle!$I$12,regle!$I$11,""))))))))))</f>
        <v/>
      </c>
      <c r="AE160" s="14">
        <f>IF($A160,$M160*(IF(U160=regle!$B$11,regle!$B$23,IF(U160=regle!$C$11,regle!$C$23,IF(U160=regle!$D$11,regle!$D$23,IF(U160=regle!$E$11,regle!$E$23,IF(U160=regle!$F$11,regle!$F$23,IF(U160=regle!$G$11,regle!$G$23,IF(U160=regle!$H$11,regle!$H$23,IF(U160=regle!$I$11,regle!$I$23,IF(U160=regle!$J$11,regle!$J$23,0)))))))))))</f>
        <v>11536.476000000001</v>
      </c>
      <c r="AF160" s="14">
        <f>IF($A160,$M160*(IF(V160=regle!$B$11,regle!$B$23,IF(V160=regle!$C$11,regle!$C$23,IF(V160=regle!$D$11,regle!$D$23,IF(V160=regle!$E$11,regle!$E$23,IF(V160=regle!$F$11,regle!$F$23,IF(V160=regle!$G$11,regle!$G$23,IF(V160=regle!$H$11,regle!$H$23,IF(V160=regle!$I$11,regle!$I$23,IF(V160=regle!$J$11,regle!$J$23,0)))))))))))</f>
        <v>0</v>
      </c>
      <c r="AG160" s="14">
        <f>IF($A160,$M160*(IF(W160=regle!$B$11,regle!$B$23,IF(W160=regle!$C$11,regle!$C$23,IF(W160=regle!$D$11,regle!$D$23,IF(W160=regle!$E$11,regle!$E$23,IF(W160=regle!$F$11,regle!$F$23,IF(W160=regle!$G$11,regle!$G$23,IF(W160=regle!$H$11,regle!$H$23,IF(W160=regle!$I$11,regle!$I$23,IF(W160=regle!$J$11,regle!$J$23,0)))))))))))</f>
        <v>0</v>
      </c>
      <c r="AH160" s="14">
        <f>IF($A160,$M160*(IF(X160=regle!$B$11,regle!$B$23,IF(X160=regle!$C$11,regle!$C$23,IF(X160=regle!$D$11,regle!$D$23,IF(X160=regle!$E$11,regle!$E$23,IF(X160=regle!$F$11,regle!$F$23,IF(X160=regle!$G$11,regle!$G$23,IF(X160=regle!$H$11,regle!$H$23,IF(X160=regle!$I$11,regle!$I$23,IF(X160=regle!$J$11,regle!$J$23,0)))))))))))</f>
        <v>0</v>
      </c>
      <c r="AI160" s="14">
        <f>IF($A160,$M160*(IF(Y160=regle!$B$11,regle!$B$23,IF(Y160=regle!$C$11,regle!$C$23,IF(Y160=regle!$D$11,regle!$D$23,IF(Y160=regle!$E$11,regle!$E$23,IF(Y160=regle!$F$11,regle!$F$23,IF(Y160=regle!$G$11,regle!$G$23,IF(Y160=regle!$H$11,regle!$H$23,IF(Y160=regle!$I$11,regle!$I$23,IF(Y160=regle!$J$11,regle!$J$23,0)))))))))))</f>
        <v>0</v>
      </c>
      <c r="AJ160" s="14">
        <f>IF($A160,$M160*(IF(Z160=regle!$B$11,regle!$B$23,IF(Z160=regle!$C$11,regle!$C$23,IF(Z160=regle!$D$11,regle!$D$23,IF(Z160=regle!$E$11,regle!$E$23,IF(Z160=regle!$F$11,regle!$F$23,IF(Z160=regle!$G$11,regle!$G$23,IF(Z160=regle!$H$11,regle!$H$23,IF(Z160=regle!$I$11,regle!$I$23,IF(Z160=regle!$J$11,regle!$J$23,0)))))))))))</f>
        <v>19337.331200000001</v>
      </c>
      <c r="AK160" s="14">
        <f>IF($A160,$M160*(IF(AA160=regle!$B$11,regle!$B$23,IF(AA160=regle!$C$11,regle!$C$23,IF(AA160=regle!$D$11,regle!$D$23,IF(AA160=regle!$E$11,regle!$E$23,IF(AA160=regle!$F$11,regle!$F$23,IF(AA160=regle!$G$11,regle!$G$23,IF(AA160=regle!$H$11,regle!$H$23,IF(AA160=regle!$I$11,regle!$I$23,IF(AA160=regle!$J$11,regle!$J$23,0)))))))))))</f>
        <v>0</v>
      </c>
      <c r="AL160" s="14">
        <f>IF($A160,$M160*(IF(AB160=regle!$B$11,regle!$B$23,IF(AB160=regle!$C$11,regle!$C$23,IF(AB160=regle!$D$11,regle!$D$23,IF(AB160=regle!$E$11,regle!$E$23,IF(AB160=regle!$F$11,regle!$F$23,IF(AB160=regle!$G$11,regle!$G$23,IF(AB160=regle!$H$11,regle!$H$23,IF(AB160=regle!$I$11,regle!$I$23,IF(AB160=regle!$J$11,regle!$J$23,0)))))))))))</f>
        <v>0</v>
      </c>
      <c r="AM160" s="14">
        <f>IF($A160,$M160*(IF(AC160=regle!$B$11,regle!$B$23,IF(AC160=regle!$C$11,regle!$C$23,IF(AC160=regle!$D$11,regle!$D$23,IF(AC160=regle!$E$11,regle!$E$23,IF(AC160=regle!$F$11,regle!$F$23,IF(AC160=regle!$G$11,regle!$G$23,IF(AC160=regle!$H$11,regle!$H$23,IF(AC160=regle!$I$11,regle!$I$23,IF(AC160=regle!$J$11,regle!$J$23,0)))))))))))</f>
        <v>0</v>
      </c>
      <c r="AN160" s="14">
        <f>IF($A160,$M160*(IF(AD160=regle!$B$11,regle!$B$23,IF(AD160=regle!$C$11,regle!$C$23,IF(AD160=regle!$D$11,regle!$D$23,IF(AD160=regle!$E$11,regle!$E$23,IF(AD160=regle!$F$11,regle!$F$23,IF(AD160=regle!$G$11,regle!$G$23,IF(AD160=regle!$H$11,regle!$H$23,IF(AD160=regle!$I$11,regle!$I$23,IF(AD160=regle!$J$11,regle!$J$23,0)))))))))))</f>
        <v>0</v>
      </c>
      <c r="AO160">
        <f>IF(AO$1=$AO$1,IF(regle!B$2-$Q160&gt;=regle!$J$12,-2,IF($S160,IF(regle!$B$2-$Q160&gt;=2,0,-1),regle!B$2-$Q160)),IF(AN160+1&gt;=regle!$J$12,-2,AN160+1))</f>
        <v>18</v>
      </c>
      <c r="AP160">
        <f>IF(AP$1=$AO$1,IF(regle!C$2-$Q160&gt;=regle!$J$12,-2,IF($S160,IF(regle!$B$2-$Q160&gt;=2,0,-1),regle!C$2-$Q160)),IF(AO160+1&gt;=regle!$J$12,-2,AO160+1))</f>
        <v>19</v>
      </c>
      <c r="AQ160">
        <f>IF(AQ$1=$AO$1,IF(regle!D$2-$Q160&gt;=regle!$J$12,-2,IF($S160,IF(regle!$B$2-$Q160&gt;=2,0,-1),regle!D$2-$Q160)),IF(AP160+1&gt;=regle!$J$12,-2,AP160+1))</f>
        <v>20</v>
      </c>
      <c r="AR160">
        <f>IF(AR$1=$AO$1,IF(regle!E$2-$Q160&gt;=regle!$J$12,-2,IF($S160,IF(regle!$B$2-$Q160&gt;=2,0,-1),regle!E$2-$Q160)),IF(AQ160+1&gt;=regle!$J$12,-2,AQ160+1))</f>
        <v>21</v>
      </c>
      <c r="AS160">
        <f>IF(AS$1=$AO$1,IF(regle!F$2-$Q160&gt;=regle!$J$12,-2,IF($S160,IF(regle!$B$2-$Q160&gt;=2,0,-1),regle!F$2-$Q160)),IF(AR160+1&gt;=regle!$J$12,-2,AR160+1))</f>
        <v>22</v>
      </c>
      <c r="AT160">
        <f>IF(AT$1=$AO$1,IF(regle!G$2-$Q160&gt;=regle!$J$12,-2,IF($S160,IF(regle!$B$2-$Q160&gt;=2,0,-1),regle!G$2-$Q160)),IF(AS160+1&gt;=regle!$J$12,-2,AS160+1))</f>
        <v>23</v>
      </c>
      <c r="AU160">
        <f>IF(AU$1=$AO$1,IF(regle!H$2-$Q160&gt;=regle!$J$12,-2,IF($S160,IF(regle!$B$2-$Q160&gt;=2,0,-1),regle!H$2-$Q160)),IF(AT160+1&gt;=regle!$J$12,-2,AT160+1))</f>
        <v>24</v>
      </c>
      <c r="AV160">
        <f>IF(AV$1=$AO$1,IF(regle!I$2-$Q160&gt;=regle!$J$12,-2,IF($S160,IF(regle!$B$2-$Q160&gt;=2,0,-1),regle!I$2-$Q160)),IF(AU160+1&gt;=regle!$J$12,-2,AU160+1))</f>
        <v>25</v>
      </c>
      <c r="AW160">
        <f>IF(AW$1=$AO$1,IF(regle!J$2-$Q160&gt;=regle!$J$12,-2,IF($S160,IF(regle!$B$2-$Q160&gt;=2,0,-1),regle!J$2-$Q160)),IF(AV160+1&gt;=regle!$J$12,-2,AV160+1))</f>
        <v>26</v>
      </c>
      <c r="AX160">
        <f>IF(AX$1=$AO$1,IF(regle!K$2-$Q160&gt;=regle!$J$12,-2,IF($S160,IF(regle!$B$2-$Q160&gt;=2,0,-1),regle!K$2-$Q160)),IF(AW160+1&gt;=regle!$J$12,-2,AW160+1))</f>
        <v>27</v>
      </c>
    </row>
    <row r="161" spans="1:50" x14ac:dyDescent="0.25">
      <c r="A161" t="b">
        <f>AND(modif0[[#This Row],[cdstr]]&lt;&gt;0,OR(regle!$H$27=FALSE,modif0[[#This Row],[essnc]]="PM"))</f>
        <v>1</v>
      </c>
      <c r="B161">
        <f>ROW(objet!A187)</f>
        <v>187</v>
      </c>
      <c r="C161" s="10" t="str">
        <f>objet!D187</f>
        <v>2020000B1184</v>
      </c>
      <c r="D161" t="str">
        <f>LEFT(modif0[[#This Row],[cdstr]],3)</f>
        <v>202</v>
      </c>
      <c r="E161" s="10" t="str">
        <f>objet!G187</f>
        <v>HOSTENS</v>
      </c>
      <c r="F161">
        <f>LEN(modif0[[#This Row],[l_dt]])</f>
        <v>11</v>
      </c>
      <c r="G161" s="10" t="str">
        <f>objet!H187</f>
        <v>LES CAZALAS</v>
      </c>
      <c r="H161" s="10" t="str">
        <f>objet!C187</f>
        <v>B1184k</v>
      </c>
      <c r="I161" t="str">
        <f>IF(ISNUMBER(VALUE(RIGHT(LEFT(modif0[[#This Row],[idntfn]],2),1))),_xlfn.CONCAT(0,LEFT(modif0[[#This Row],[idntfn]],1)),LEFT(modif0[[#This Row],[idntfn]],2))</f>
        <v>0B</v>
      </c>
      <c r="J161">
        <f>VALUE(LEFT(RIGHT(modif0[[#This Row],[idntfn]],LEN(modif0[[#This Row],[idntfn]])-IF(LEFT(modif0[[#This Row],[sctn]],1)="0",1,2)),LEN(modif0[[#This Row],[idntfn]])-IF(LEFT(modif0[[#This Row],[sctn]],1)="0",1,2)-LEN(modif0[[#This Row],[lttr]])))</f>
        <v>1184</v>
      </c>
      <c r="K161" t="str">
        <f>IF(ISNUMBER(VALUE(RIGHT(modif0[[#This Row],[idntfn]],1))),"",IF(ISNUMBER(VALUE(LEFT(RIGHT(modif0[[#This Row],[idntfn]],2),1))),RIGHT(modif0[[#This Row],[idntfn]],1),RIGHT(modif0[[#This Row],[idntfn]],2)))</f>
        <v>k</v>
      </c>
      <c r="L161" s="10">
        <f>objet!I187</f>
        <v>115527</v>
      </c>
      <c r="M161" s="11">
        <f>modif0[[#This Row],[srfc]]/10000</f>
        <v>11.5527</v>
      </c>
      <c r="N161" s="10" t="str">
        <f>objet!Z187</f>
        <v>PM</v>
      </c>
      <c r="O161" s="10" t="str">
        <f>objet!AA187</f>
        <v>PLA2015</v>
      </c>
      <c r="P161" t="str">
        <f>IF(ISNUMBER(modif0[[#This Row],[trvx]]),"",LEFT(modif0[[#This Row],[trvx]],LEN(modif0[[#This Row],[trvx]])-4))</f>
        <v>PLA</v>
      </c>
      <c r="Q161">
        <f>VALUE(RIGHT(modif0[[#This Row],[trvx]],4))</f>
        <v>2015</v>
      </c>
      <c r="R161" t="str">
        <f>_xlfn.CONCAT(modif0[[#This Row],[tp]],"-",modif0[[#This Row],[essnc]],"_",modif0[[#This Row],[anns]])</f>
        <v>PLA-PM_2015</v>
      </c>
      <c r="S161" t="b">
        <f>modif0[[#This Row],[tp]]="CR"</f>
        <v>0</v>
      </c>
      <c r="T161">
        <v>40</v>
      </c>
      <c r="U161" t="str">
        <f>IF(NOT($A161),"",
IF(AO161=-2,regle!$J$11,
IF(AO161=regle!$B$12,regle!$B$11,
IF(AO161=regle!$C$12,regle!$C$11,
IF(AO161=regle!$D$12,regle!$D$11,
IF(AO161=regle!$E$12,regle!$E$11,
IF(AO161=regle!$F$12,regle!$F$11,
IF(AO161=regle!$G$12,regle!$G$11,
IF(AO161=regle!$H$12,regle!$H$11,
IF(AO161=regle!$I$12,regle!$I$11,""))))))))))</f>
        <v/>
      </c>
      <c r="V161" t="str">
        <f>IF(NOT($A161),"",
IF(AP161=-2,regle!$J$11,
IF(AP161=regle!$B$12,regle!$B$11,
IF(AP161=regle!$C$12,regle!$C$11,
IF(AP161=regle!$D$12,regle!$D$11,
IF(AP161=regle!$E$12,regle!$E$11,
IF(AP161=regle!$F$12,regle!$F$11,
IF(AP161=regle!$G$12,regle!$G$11,
IF(AP161=regle!$H$12,regle!$H$11,
IF(AP161=regle!$I$12,regle!$I$11,""))))))))))</f>
        <v/>
      </c>
      <c r="W161" t="str">
        <f>IF(NOT($A161),"",
IF(AQ161=-2,regle!$J$11,
IF(AQ161=regle!$B$12,regle!$B$11,
IF(AQ161=regle!$C$12,regle!$C$11,
IF(AQ161=regle!$D$12,regle!$D$11,
IF(AQ161=regle!$E$12,regle!$E$11,
IF(AQ161=regle!$F$12,regle!$F$11,
IF(AQ161=regle!$G$12,regle!$G$11,
IF(AQ161=regle!$H$12,regle!$H$11,
IF(AQ161=regle!$I$12,regle!$I$11,""))))))))))</f>
        <v/>
      </c>
      <c r="X161" t="str">
        <f>IF(NOT($A161),"",
IF(AR161=-2,regle!$J$11,
IF(AR161=regle!$B$12,regle!$B$11,
IF(AR161=regle!$C$12,regle!$C$11,
IF(AR161=regle!$D$12,regle!$D$11,
IF(AR161=regle!$E$12,regle!$E$11,
IF(AR161=regle!$F$12,regle!$F$11,
IF(AR161=regle!$G$12,regle!$G$11,
IF(AR161=regle!$H$12,regle!$H$11,
IF(AR161=regle!$I$12,regle!$I$11,""))))))))))</f>
        <v/>
      </c>
      <c r="Y161" t="str">
        <f>IF(NOT($A161),"",
IF(AS161=-2,regle!$J$11,
IF(AS161=regle!$B$12,regle!$B$11,
IF(AS161=regle!$C$12,regle!$C$11,
IF(AS161=regle!$D$12,regle!$D$11,
IF(AS161=regle!$E$12,regle!$E$11,
IF(AS161=regle!$F$12,regle!$F$11,
IF(AS161=regle!$G$12,regle!$G$11,
IF(AS161=regle!$H$12,regle!$H$11,
IF(AS161=regle!$I$12,regle!$I$11,""))))))))))</f>
        <v>EC1</v>
      </c>
      <c r="Z161" t="str">
        <f>IF(NOT($A161),"",
IF(AT161=-2,regle!$J$11,
IF(AT161=regle!$B$12,regle!$B$11,
IF(AT161=regle!$C$12,regle!$C$11,
IF(AT161=regle!$D$12,regle!$D$11,
IF(AT161=regle!$E$12,regle!$E$11,
IF(AT161=regle!$F$12,regle!$F$11,
IF(AT161=regle!$G$12,regle!$G$11,
IF(AT161=regle!$H$12,regle!$H$11,
IF(AT161=regle!$I$12,regle!$I$11,""))))))))))</f>
        <v/>
      </c>
      <c r="AA161" t="str">
        <f>IF(NOT($A161),"",
IF(AU161=-2,regle!$J$11,
IF(AU161=regle!$B$12,regle!$B$11,
IF(AU161=regle!$C$12,regle!$C$11,
IF(AU161=regle!$D$12,regle!$D$11,
IF(AU161=regle!$E$12,regle!$E$11,
IF(AU161=regle!$F$12,regle!$F$11,
IF(AU161=regle!$G$12,regle!$G$11,
IF(AU161=regle!$H$12,regle!$H$11,
IF(AU161=regle!$I$12,regle!$I$11,""))))))))))</f>
        <v/>
      </c>
      <c r="AB161" t="str">
        <f>IF(NOT($A161),"",
IF(AV161=-2,regle!$J$11,
IF(AV161=regle!$B$12,regle!$B$11,
IF(AV161=regle!$C$12,regle!$C$11,
IF(AV161=regle!$D$12,regle!$D$11,
IF(AV161=regle!$E$12,regle!$E$11,
IF(AV161=regle!$F$12,regle!$F$11,
IF(AV161=regle!$G$12,regle!$G$11,
IF(AV161=regle!$H$12,regle!$H$11,
IF(AV161=regle!$I$12,regle!$I$11,""))))))))))</f>
        <v/>
      </c>
      <c r="AC161" t="str">
        <f>IF(NOT($A161),"",
IF(AW161=-2,regle!$J$11,
IF(AW161=regle!$B$12,regle!$B$11,
IF(AW161=regle!$C$12,regle!$C$11,
IF(AW161=regle!$D$12,regle!$D$11,
IF(AW161=regle!$E$12,regle!$E$11,
IF(AW161=regle!$F$12,regle!$F$11,
IF(AW161=regle!$G$12,regle!$G$11,
IF(AW161=regle!$H$12,regle!$H$11,
IF(AW161=regle!$I$12,regle!$I$11,""))))))))))</f>
        <v/>
      </c>
      <c r="AD161" t="str">
        <f>IF(NOT($A161),"",
IF(AX161=-2,regle!$J$11,
IF(AX161=regle!$B$12,regle!$B$11,
IF(AX161=regle!$C$12,regle!$C$11,
IF(AX161=regle!$D$12,regle!$D$11,
IF(AX161=regle!$E$12,regle!$E$11,
IF(AX161=regle!$F$12,regle!$F$11,
IF(AX161=regle!$G$12,regle!$G$11,
IF(AX161=regle!$H$12,regle!$H$11,
IF(AX161=regle!$I$12,regle!$I$11,""))))))))))</f>
        <v>EC2</v>
      </c>
      <c r="AE161" s="14">
        <f>IF($A161,$M161*(IF(U161=regle!$B$11,regle!$B$23,IF(U161=regle!$C$11,regle!$C$23,IF(U161=regle!$D$11,regle!$D$23,IF(U161=regle!$E$11,regle!$E$23,IF(U161=regle!$F$11,regle!$F$23,IF(U161=regle!$G$11,regle!$G$23,IF(U161=regle!$H$11,regle!$H$23,IF(U161=regle!$I$11,regle!$I$23,IF(U161=regle!$J$11,regle!$J$23,0)))))))))))</f>
        <v>0</v>
      </c>
      <c r="AF161" s="14">
        <f>IF($A161,$M161*(IF(V161=regle!$B$11,regle!$B$23,IF(V161=regle!$C$11,regle!$C$23,IF(V161=regle!$D$11,regle!$D$23,IF(V161=regle!$E$11,regle!$E$23,IF(V161=regle!$F$11,regle!$F$23,IF(V161=regle!$G$11,regle!$G$23,IF(V161=regle!$H$11,regle!$H$23,IF(V161=regle!$I$11,regle!$I$23,IF(V161=regle!$J$11,regle!$J$23,0)))))))))))</f>
        <v>0</v>
      </c>
      <c r="AG161" s="14">
        <f>IF($A161,$M161*(IF(W161=regle!$B$11,regle!$B$23,IF(W161=regle!$C$11,regle!$C$23,IF(W161=regle!$D$11,regle!$D$23,IF(W161=regle!$E$11,regle!$E$23,IF(W161=regle!$F$11,regle!$F$23,IF(W161=regle!$G$11,regle!$G$23,IF(W161=regle!$H$11,regle!$H$23,IF(W161=regle!$I$11,regle!$I$23,IF(W161=regle!$J$11,regle!$J$23,0)))))))))))</f>
        <v>0</v>
      </c>
      <c r="AH161" s="14">
        <f>IF($A161,$M161*(IF(X161=regle!$B$11,regle!$B$23,IF(X161=regle!$C$11,regle!$C$23,IF(X161=regle!$D$11,regle!$D$23,IF(X161=regle!$E$11,regle!$E$23,IF(X161=regle!$F$11,regle!$F$23,IF(X161=regle!$G$11,regle!$G$23,IF(X161=regle!$H$11,regle!$H$23,IF(X161=regle!$I$11,regle!$I$23,IF(X161=regle!$J$11,regle!$J$23,0)))))))))))</f>
        <v>0</v>
      </c>
      <c r="AI161" s="14">
        <f>IF($A161,$M161*(IF(Y161=regle!$B$11,regle!$B$23,IF(Y161=regle!$C$11,regle!$C$23,IF(Y161=regle!$D$11,regle!$D$23,IF(Y161=regle!$E$11,regle!$E$23,IF(Y161=regle!$F$11,regle!$F$23,IF(Y161=regle!$G$11,regle!$G$23,IF(Y161=regle!$H$11,regle!$H$23,IF(Y161=regle!$I$11,regle!$I$23,IF(Y161=regle!$J$11,regle!$J$23,0)))))))))))</f>
        <v>6654.3552</v>
      </c>
      <c r="AJ161" s="14">
        <f>IF($A161,$M161*(IF(Z161=regle!$B$11,regle!$B$23,IF(Z161=regle!$C$11,regle!$C$23,IF(Z161=regle!$D$11,regle!$D$23,IF(Z161=regle!$E$11,regle!$E$23,IF(Z161=regle!$F$11,regle!$F$23,IF(Z161=regle!$G$11,regle!$G$23,IF(Z161=regle!$H$11,regle!$H$23,IF(Z161=regle!$I$11,regle!$I$23,IF(Z161=regle!$J$11,regle!$J$23,0)))))))))))</f>
        <v>0</v>
      </c>
      <c r="AK161" s="14">
        <f>IF($A161,$M161*(IF(AA161=regle!$B$11,regle!$B$23,IF(AA161=regle!$C$11,regle!$C$23,IF(AA161=regle!$D$11,regle!$D$23,IF(AA161=regle!$E$11,regle!$E$23,IF(AA161=regle!$F$11,regle!$F$23,IF(AA161=regle!$G$11,regle!$G$23,IF(AA161=regle!$H$11,regle!$H$23,IF(AA161=regle!$I$11,regle!$I$23,IF(AA161=regle!$J$11,regle!$J$23,0)))))))))))</f>
        <v>0</v>
      </c>
      <c r="AL161" s="14">
        <f>IF($A161,$M161*(IF(AB161=regle!$B$11,regle!$B$23,IF(AB161=regle!$C$11,regle!$C$23,IF(AB161=regle!$D$11,regle!$D$23,IF(AB161=regle!$E$11,regle!$E$23,IF(AB161=regle!$F$11,regle!$F$23,IF(AB161=regle!$G$11,regle!$G$23,IF(AB161=regle!$H$11,regle!$H$23,IF(AB161=regle!$I$11,regle!$I$23,IF(AB161=regle!$J$11,regle!$J$23,0)))))))))))</f>
        <v>0</v>
      </c>
      <c r="AM161" s="14">
        <f>IF($A161,$M161*(IF(AC161=regle!$B$11,regle!$B$23,IF(AC161=regle!$C$11,regle!$C$23,IF(AC161=regle!$D$11,regle!$D$23,IF(AC161=regle!$E$11,regle!$E$23,IF(AC161=regle!$F$11,regle!$F$23,IF(AC161=regle!$G$11,regle!$G$23,IF(AC161=regle!$H$11,regle!$H$23,IF(AC161=regle!$I$11,regle!$I$23,IF(AC161=regle!$J$11,regle!$J$23,0)))))))))))</f>
        <v>0</v>
      </c>
      <c r="AN161" s="14">
        <f>IF($A161,$M161*(IF(AD161=regle!$B$11,regle!$B$23,IF(AD161=regle!$C$11,regle!$C$23,IF(AD161=regle!$D$11,regle!$D$23,IF(AD161=regle!$E$11,regle!$E$23,IF(AD161=regle!$F$11,regle!$F$23,IF(AD161=regle!$G$11,regle!$G$23,IF(AD161=regle!$H$11,regle!$H$23,IF(AD161=regle!$I$11,regle!$I$23,IF(AD161=regle!$J$11,regle!$J$23,0)))))))))))</f>
        <v>9704.268</v>
      </c>
      <c r="AO161">
        <f>IF(AO$1=$AO$1,IF(regle!B$2-$Q161&gt;=regle!$J$12,-2,IF($S161,IF(regle!$B$2-$Q161&gt;=2,0,-1),regle!B$2-$Q161)),IF(AN161+1&gt;=regle!$J$12,-2,AN161+1))</f>
        <v>9</v>
      </c>
      <c r="AP161">
        <f>IF(AP$1=$AO$1,IF(regle!C$2-$Q161&gt;=regle!$J$12,-2,IF($S161,IF(regle!$B$2-$Q161&gt;=2,0,-1),regle!C$2-$Q161)),IF(AO161+1&gt;=regle!$J$12,-2,AO161+1))</f>
        <v>10</v>
      </c>
      <c r="AQ161">
        <f>IF(AQ$1=$AO$1,IF(regle!D$2-$Q161&gt;=regle!$J$12,-2,IF($S161,IF(regle!$B$2-$Q161&gt;=2,0,-1),regle!D$2-$Q161)),IF(AP161+1&gt;=regle!$J$12,-2,AP161+1))</f>
        <v>11</v>
      </c>
      <c r="AR161">
        <f>IF(AR$1=$AO$1,IF(regle!E$2-$Q161&gt;=regle!$J$12,-2,IF($S161,IF(regle!$B$2-$Q161&gt;=2,0,-1),regle!E$2-$Q161)),IF(AQ161+1&gt;=regle!$J$12,-2,AQ161+1))</f>
        <v>12</v>
      </c>
      <c r="AS161">
        <f>IF(AS$1=$AO$1,IF(regle!F$2-$Q161&gt;=regle!$J$12,-2,IF($S161,IF(regle!$B$2-$Q161&gt;=2,0,-1),regle!F$2-$Q161)),IF(AR161+1&gt;=regle!$J$12,-2,AR161+1))</f>
        <v>13</v>
      </c>
      <c r="AT161">
        <f>IF(AT$1=$AO$1,IF(regle!G$2-$Q161&gt;=regle!$J$12,-2,IF($S161,IF(regle!$B$2-$Q161&gt;=2,0,-1),regle!G$2-$Q161)),IF(AS161+1&gt;=regle!$J$12,-2,AS161+1))</f>
        <v>14</v>
      </c>
      <c r="AU161">
        <f>IF(AU$1=$AO$1,IF(regle!H$2-$Q161&gt;=regle!$J$12,-2,IF($S161,IF(regle!$B$2-$Q161&gt;=2,0,-1),regle!H$2-$Q161)),IF(AT161+1&gt;=regle!$J$12,-2,AT161+1))</f>
        <v>15</v>
      </c>
      <c r="AV161">
        <f>IF(AV$1=$AO$1,IF(regle!I$2-$Q161&gt;=regle!$J$12,-2,IF($S161,IF(regle!$B$2-$Q161&gt;=2,0,-1),regle!I$2-$Q161)),IF(AU161+1&gt;=regle!$J$12,-2,AU161+1))</f>
        <v>16</v>
      </c>
      <c r="AW161">
        <f>IF(AW$1=$AO$1,IF(regle!J$2-$Q161&gt;=regle!$J$12,-2,IF($S161,IF(regle!$B$2-$Q161&gt;=2,0,-1),regle!J$2-$Q161)),IF(AV161+1&gt;=regle!$J$12,-2,AV161+1))</f>
        <v>17</v>
      </c>
      <c r="AX161">
        <f>IF(AX$1=$AO$1,IF(regle!K$2-$Q161&gt;=regle!$J$12,-2,IF($S161,IF(regle!$B$2-$Q161&gt;=2,0,-1),regle!K$2-$Q161)),IF(AW161+1&gt;=regle!$J$12,-2,AW161+1))</f>
        <v>18</v>
      </c>
    </row>
    <row r="162" spans="1:50" x14ac:dyDescent="0.25">
      <c r="A162" t="b">
        <f>AND(modif0[[#This Row],[cdstr]]&lt;&gt;0,OR(regle!$H$27=FALSE,modif0[[#This Row],[essnc]]="PM"))</f>
        <v>1</v>
      </c>
      <c r="B162">
        <f>ROW(objet!A188)</f>
        <v>188</v>
      </c>
      <c r="C162" s="10" t="str">
        <f>objet!D188</f>
        <v>2020000B1184</v>
      </c>
      <c r="D162" t="str">
        <f>LEFT(modif0[[#This Row],[cdstr]],3)</f>
        <v>202</v>
      </c>
      <c r="E162" s="10" t="str">
        <f>objet!G188</f>
        <v>HOSTENS</v>
      </c>
      <c r="F162">
        <f>LEN(modif0[[#This Row],[l_dt]])</f>
        <v>11</v>
      </c>
      <c r="G162" s="10" t="str">
        <f>objet!H188</f>
        <v>LES CAZALAS</v>
      </c>
      <c r="H162" s="10" t="str">
        <f>objet!C188</f>
        <v>B1184l</v>
      </c>
      <c r="I162" t="str">
        <f>IF(ISNUMBER(VALUE(RIGHT(LEFT(modif0[[#This Row],[idntfn]],2),1))),_xlfn.CONCAT(0,LEFT(modif0[[#This Row],[idntfn]],1)),LEFT(modif0[[#This Row],[idntfn]],2))</f>
        <v>0B</v>
      </c>
      <c r="J162">
        <f>VALUE(LEFT(RIGHT(modif0[[#This Row],[idntfn]],LEN(modif0[[#This Row],[idntfn]])-IF(LEFT(modif0[[#This Row],[sctn]],1)="0",1,2)),LEN(modif0[[#This Row],[idntfn]])-IF(LEFT(modif0[[#This Row],[sctn]],1)="0",1,2)-LEN(modif0[[#This Row],[lttr]])))</f>
        <v>1184</v>
      </c>
      <c r="K162" t="str">
        <f>IF(ISNUMBER(VALUE(RIGHT(modif0[[#This Row],[idntfn]],1))),"",IF(ISNUMBER(VALUE(LEFT(RIGHT(modif0[[#This Row],[idntfn]],2),1))),RIGHT(modif0[[#This Row],[idntfn]],1),RIGHT(modif0[[#This Row],[idntfn]],2)))</f>
        <v>l</v>
      </c>
      <c r="L162" s="10">
        <f>objet!I188</f>
        <v>32121</v>
      </c>
      <c r="M162" s="11">
        <f>modif0[[#This Row],[srfc]]/10000</f>
        <v>3.2121</v>
      </c>
      <c r="N162" s="10" t="str">
        <f>objet!Z188</f>
        <v>PM</v>
      </c>
      <c r="O162" s="10" t="str">
        <f>objet!AA188</f>
        <v>SL1973</v>
      </c>
      <c r="P162" t="str">
        <f>IF(ISNUMBER(modif0[[#This Row],[trvx]]),"",LEFT(modif0[[#This Row],[trvx]],LEN(modif0[[#This Row],[trvx]])-4))</f>
        <v>SL</v>
      </c>
      <c r="Q162">
        <f>VALUE(RIGHT(modif0[[#This Row],[trvx]],4))</f>
        <v>1973</v>
      </c>
      <c r="R162" t="str">
        <f>_xlfn.CONCAT(modif0[[#This Row],[tp]],"-",modif0[[#This Row],[essnc]],"_",modif0[[#This Row],[anns]])</f>
        <v>SL-PM_1973</v>
      </c>
      <c r="S162" t="b">
        <f>modif0[[#This Row],[tp]]="CR"</f>
        <v>0</v>
      </c>
      <c r="T162">
        <v>40</v>
      </c>
      <c r="U162" t="str">
        <f>IF(NOT($A162),"",
IF(AO162=-2,regle!$J$11,
IF(AO162=regle!$B$12,regle!$B$11,
IF(AO162=regle!$C$12,regle!$C$11,
IF(AO162=regle!$D$12,regle!$D$11,
IF(AO162=regle!$E$12,regle!$E$11,
IF(AO162=regle!$F$12,regle!$F$11,
IF(AO162=regle!$G$12,regle!$G$11,
IF(AO162=regle!$H$12,regle!$H$11,
IF(AO162=regle!$I$12,regle!$I$11,""))))))))))</f>
        <v>CR</v>
      </c>
      <c r="V162" t="str">
        <f>IF(NOT($A162),"",
IF(AP162=-2,regle!$J$11,
IF(AP162=regle!$B$12,regle!$B$11,
IF(AP162=regle!$C$12,regle!$C$11,
IF(AP162=regle!$D$12,regle!$D$11,
IF(AP162=regle!$E$12,regle!$E$11,
IF(AP162=regle!$F$12,regle!$F$11,
IF(AP162=regle!$G$12,regle!$G$11,
IF(AP162=regle!$H$12,regle!$H$11,
IF(AP162=regle!$I$12,regle!$I$11,""))))))))))</f>
        <v/>
      </c>
      <c r="W162" t="str">
        <f>IF(NOT($A162),"",
IF(AQ162=-2,regle!$J$11,
IF(AQ162=regle!$B$12,regle!$B$11,
IF(AQ162=regle!$C$12,regle!$C$11,
IF(AQ162=regle!$D$12,regle!$D$11,
IF(AQ162=regle!$E$12,regle!$E$11,
IF(AQ162=regle!$F$12,regle!$F$11,
IF(AQ162=regle!$G$12,regle!$G$11,
IF(AQ162=regle!$H$12,regle!$H$11,
IF(AQ162=regle!$I$12,regle!$I$11,""))))))))))</f>
        <v>RBST</v>
      </c>
      <c r="X162" t="str">
        <f>IF(NOT($A162),"",
IF(AR162=-2,regle!$J$11,
IF(AR162=regle!$B$12,regle!$B$11,
IF(AR162=regle!$C$12,regle!$C$11,
IF(AR162=regle!$D$12,regle!$D$11,
IF(AR162=regle!$E$12,regle!$E$11,
IF(AR162=regle!$F$12,regle!$F$11,
IF(AR162=regle!$G$12,regle!$G$11,
IF(AR162=regle!$H$12,regle!$H$11,
IF(AR162=regle!$I$12,regle!$I$11,""))))))))))</f>
        <v/>
      </c>
      <c r="Y162" t="str">
        <f>IF(NOT($A162),"",
IF(AS162=-2,regle!$J$11,
IF(AS162=regle!$B$12,regle!$B$11,
IF(AS162=regle!$C$12,regle!$C$11,
IF(AS162=regle!$D$12,regle!$D$11,
IF(AS162=regle!$E$12,regle!$E$11,
IF(AS162=regle!$F$12,regle!$F$11,
IF(AS162=regle!$G$12,regle!$G$11,
IF(AS162=regle!$H$12,regle!$H$11,
IF(AS162=regle!$I$12,regle!$I$11,""))))))))))</f>
        <v>DGT</v>
      </c>
      <c r="Z162" t="str">
        <f>IF(NOT($A162),"",
IF(AT162=-2,regle!$J$11,
IF(AT162=regle!$B$12,regle!$B$11,
IF(AT162=regle!$C$12,regle!$C$11,
IF(AT162=regle!$D$12,regle!$D$11,
IF(AT162=regle!$E$12,regle!$E$11,
IF(AT162=regle!$F$12,regle!$F$11,
IF(AT162=regle!$G$12,regle!$G$11,
IF(AT162=regle!$H$12,regle!$H$11,
IF(AT162=regle!$I$12,regle!$I$11,""))))))))))</f>
        <v/>
      </c>
      <c r="AA162" t="str">
        <f>IF(NOT($A162),"",
IF(AU162=-2,regle!$J$11,
IF(AU162=regle!$B$12,regle!$B$11,
IF(AU162=regle!$C$12,regle!$C$11,
IF(AU162=regle!$D$12,regle!$D$11,
IF(AU162=regle!$E$12,regle!$E$11,
IF(AU162=regle!$F$12,regle!$F$11,
IF(AU162=regle!$G$12,regle!$G$11,
IF(AU162=regle!$H$12,regle!$H$11,
IF(AU162=regle!$I$12,regle!$I$11,""))))))))))</f>
        <v/>
      </c>
      <c r="AB162" t="str">
        <f>IF(NOT($A162),"",
IF(AV162=-2,regle!$J$11,
IF(AV162=regle!$B$12,regle!$B$11,
IF(AV162=regle!$C$12,regle!$C$11,
IF(AV162=regle!$D$12,regle!$D$11,
IF(AV162=regle!$E$12,regle!$E$11,
IF(AV162=regle!$F$12,regle!$F$11,
IF(AV162=regle!$G$12,regle!$G$11,
IF(AV162=regle!$H$12,regle!$H$11,
IF(AV162=regle!$I$12,regle!$I$11,""))))))))))</f>
        <v>ENT1</v>
      </c>
      <c r="AC162" t="str">
        <f>IF(NOT($A162),"",
IF(AW162=-2,regle!$J$11,
IF(AW162=regle!$B$12,regle!$B$11,
IF(AW162=regle!$C$12,regle!$C$11,
IF(AW162=regle!$D$12,regle!$D$11,
IF(AW162=regle!$E$12,regle!$E$11,
IF(AW162=regle!$F$12,regle!$F$11,
IF(AW162=regle!$G$12,regle!$G$11,
IF(AW162=regle!$H$12,regle!$H$11,
IF(AW162=regle!$I$12,regle!$I$11,""))))))))))</f>
        <v/>
      </c>
      <c r="AD162" t="str">
        <f>IF(NOT($A162),"",
IF(AX162=-2,regle!$J$11,
IF(AX162=regle!$B$12,regle!$B$11,
IF(AX162=regle!$C$12,regle!$C$11,
IF(AX162=regle!$D$12,regle!$D$11,
IF(AX162=regle!$E$12,regle!$E$11,
IF(AX162=regle!$F$12,regle!$F$11,
IF(AX162=regle!$G$12,regle!$G$11,
IF(AX162=regle!$H$12,regle!$H$11,
IF(AX162=regle!$I$12,regle!$I$11,""))))))))))</f>
        <v/>
      </c>
      <c r="AE162" s="14">
        <f>IF($A162,$M162*(IF(U162=regle!$B$11,regle!$B$23,IF(U162=regle!$C$11,regle!$C$23,IF(U162=regle!$D$11,regle!$D$23,IF(U162=regle!$E$11,regle!$E$23,IF(U162=regle!$F$11,regle!$F$23,IF(U162=regle!$G$11,regle!$G$23,IF(U162=regle!$H$11,regle!$H$23,IF(U162=regle!$I$11,regle!$I$23,IF(U162=regle!$J$11,regle!$J$23,0)))))))))))</f>
        <v>28266.48</v>
      </c>
      <c r="AF162" s="14">
        <f>IF($A162,$M162*(IF(V162=regle!$B$11,regle!$B$23,IF(V162=regle!$C$11,regle!$C$23,IF(V162=regle!$D$11,regle!$D$23,IF(V162=regle!$E$11,regle!$E$23,IF(V162=regle!$F$11,regle!$F$23,IF(V162=regle!$G$11,regle!$G$23,IF(V162=regle!$H$11,regle!$H$23,IF(V162=regle!$I$11,regle!$I$23,IF(V162=regle!$J$11,regle!$J$23,0)))))))))))</f>
        <v>0</v>
      </c>
      <c r="AG162" s="14">
        <f>IF($A162,$M162*(IF(W162=regle!$B$11,regle!$B$23,IF(W162=regle!$C$11,regle!$C$23,IF(W162=regle!$D$11,regle!$D$23,IF(W162=regle!$E$11,regle!$E$23,IF(W162=regle!$F$11,regle!$F$23,IF(W162=regle!$G$11,regle!$G$23,IF(W162=regle!$H$11,regle!$H$23,IF(W162=regle!$I$11,regle!$I$23,IF(W162=regle!$J$11,regle!$J$23,0)))))))))))</f>
        <v>-5460.57</v>
      </c>
      <c r="AH162" s="14">
        <f>IF($A162,$M162*(IF(X162=regle!$B$11,regle!$B$23,IF(X162=regle!$C$11,regle!$C$23,IF(X162=regle!$D$11,regle!$D$23,IF(X162=regle!$E$11,regle!$E$23,IF(X162=regle!$F$11,regle!$F$23,IF(X162=regle!$G$11,regle!$G$23,IF(X162=regle!$H$11,regle!$H$23,IF(X162=regle!$I$11,regle!$I$23,IF(X162=regle!$J$11,regle!$J$23,0)))))))))))</f>
        <v>0</v>
      </c>
      <c r="AI162" s="14">
        <f>IF($A162,$M162*(IF(Y162=regle!$B$11,regle!$B$23,IF(Y162=regle!$C$11,regle!$C$23,IF(Y162=regle!$D$11,regle!$D$23,IF(Y162=regle!$E$11,regle!$E$23,IF(Y162=regle!$F$11,regle!$F$23,IF(Y162=regle!$G$11,regle!$G$23,IF(Y162=regle!$H$11,regle!$H$23,IF(Y162=regle!$I$11,regle!$I$23,IF(Y162=regle!$J$11,regle!$J$23,0)))))))))))</f>
        <v>-240.9075</v>
      </c>
      <c r="AJ162" s="14">
        <f>IF($A162,$M162*(IF(Z162=regle!$B$11,regle!$B$23,IF(Z162=regle!$C$11,regle!$C$23,IF(Z162=regle!$D$11,regle!$D$23,IF(Z162=regle!$E$11,regle!$E$23,IF(Z162=regle!$F$11,regle!$F$23,IF(Z162=regle!$G$11,regle!$G$23,IF(Z162=regle!$H$11,regle!$H$23,IF(Z162=regle!$I$11,regle!$I$23,IF(Z162=regle!$J$11,regle!$J$23,0)))))))))))</f>
        <v>0</v>
      </c>
      <c r="AK162" s="14">
        <f>IF($A162,$M162*(IF(AA162=regle!$B$11,regle!$B$23,IF(AA162=regle!$C$11,regle!$C$23,IF(AA162=regle!$D$11,regle!$D$23,IF(AA162=regle!$E$11,regle!$E$23,IF(AA162=regle!$F$11,regle!$F$23,IF(AA162=regle!$G$11,regle!$G$23,IF(AA162=regle!$H$11,regle!$H$23,IF(AA162=regle!$I$11,regle!$I$23,IF(AA162=regle!$J$11,regle!$J$23,0)))))))))))</f>
        <v>0</v>
      </c>
      <c r="AL162" s="14">
        <f>IF($A162,$M162*(IF(AB162=regle!$B$11,regle!$B$23,IF(AB162=regle!$C$11,regle!$C$23,IF(AB162=regle!$D$11,regle!$D$23,IF(AB162=regle!$E$11,regle!$E$23,IF(AB162=regle!$F$11,regle!$F$23,IF(AB162=regle!$G$11,regle!$G$23,IF(AB162=regle!$H$11,regle!$H$23,IF(AB162=regle!$I$11,regle!$I$23,IF(AB162=regle!$J$11,regle!$J$23,0)))))))))))</f>
        <v>-289.089</v>
      </c>
      <c r="AM162" s="14">
        <f>IF($A162,$M162*(IF(AC162=regle!$B$11,regle!$B$23,IF(AC162=regle!$C$11,regle!$C$23,IF(AC162=regle!$D$11,regle!$D$23,IF(AC162=regle!$E$11,regle!$E$23,IF(AC162=regle!$F$11,regle!$F$23,IF(AC162=regle!$G$11,regle!$G$23,IF(AC162=regle!$H$11,regle!$H$23,IF(AC162=regle!$I$11,regle!$I$23,IF(AC162=regle!$J$11,regle!$J$23,0)))))))))))</f>
        <v>0</v>
      </c>
      <c r="AN162" s="14">
        <f>IF($A162,$M162*(IF(AD162=regle!$B$11,regle!$B$23,IF(AD162=regle!$C$11,regle!$C$23,IF(AD162=regle!$D$11,regle!$D$23,IF(AD162=regle!$E$11,regle!$E$23,IF(AD162=regle!$F$11,regle!$F$23,IF(AD162=regle!$G$11,regle!$G$23,IF(AD162=regle!$H$11,regle!$H$23,IF(AD162=regle!$I$11,regle!$I$23,IF(AD162=regle!$J$11,regle!$J$23,0)))))))))))</f>
        <v>0</v>
      </c>
      <c r="AO162">
        <f>IF(AO$1=$AO$1,IF(regle!B$2-$Q162&gt;=regle!$J$12,-2,IF($S162,IF(regle!$B$2-$Q162&gt;=2,0,-1),regle!B$2-$Q162)),IF(AN162+1&gt;=regle!$J$12,-2,AN162+1))</f>
        <v>-2</v>
      </c>
      <c r="AP162">
        <f>IF(AP$1=$AO$1,IF(regle!C$2-$Q162&gt;=regle!$J$12,-2,IF($S162,IF(regle!$B$2-$Q162&gt;=2,0,-1),regle!C$2-$Q162)),IF(AO162+1&gt;=regle!$J$12,-2,AO162+1))</f>
        <v>-1</v>
      </c>
      <c r="AQ162">
        <f>IF(AQ$1=$AO$1,IF(regle!D$2-$Q162&gt;=regle!$J$12,-2,IF($S162,IF(regle!$B$2-$Q162&gt;=2,0,-1),regle!D$2-$Q162)),IF(AP162+1&gt;=regle!$J$12,-2,AP162+1))</f>
        <v>0</v>
      </c>
      <c r="AR162">
        <f>IF(AR$1=$AO$1,IF(regle!E$2-$Q162&gt;=regle!$J$12,-2,IF($S162,IF(regle!$B$2-$Q162&gt;=2,0,-1),regle!E$2-$Q162)),IF(AQ162+1&gt;=regle!$J$12,-2,AQ162+1))</f>
        <v>1</v>
      </c>
      <c r="AS162">
        <f>IF(AS$1=$AO$1,IF(regle!F$2-$Q162&gt;=regle!$J$12,-2,IF($S162,IF(regle!$B$2-$Q162&gt;=2,0,-1),regle!F$2-$Q162)),IF(AR162+1&gt;=regle!$J$12,-2,AR162+1))</f>
        <v>2</v>
      </c>
      <c r="AT162">
        <f>IF(AT$1=$AO$1,IF(regle!G$2-$Q162&gt;=regle!$J$12,-2,IF($S162,IF(regle!$B$2-$Q162&gt;=2,0,-1),regle!G$2-$Q162)),IF(AS162+1&gt;=regle!$J$12,-2,AS162+1))</f>
        <v>3</v>
      </c>
      <c r="AU162">
        <f>IF(AU$1=$AO$1,IF(regle!H$2-$Q162&gt;=regle!$J$12,-2,IF($S162,IF(regle!$B$2-$Q162&gt;=2,0,-1),regle!H$2-$Q162)),IF(AT162+1&gt;=regle!$J$12,-2,AT162+1))</f>
        <v>4</v>
      </c>
      <c r="AV162">
        <f>IF(AV$1=$AO$1,IF(regle!I$2-$Q162&gt;=regle!$J$12,-2,IF($S162,IF(regle!$B$2-$Q162&gt;=2,0,-1),regle!I$2-$Q162)),IF(AU162+1&gt;=regle!$J$12,-2,AU162+1))</f>
        <v>5</v>
      </c>
      <c r="AW162">
        <f>IF(AW$1=$AO$1,IF(regle!J$2-$Q162&gt;=regle!$J$12,-2,IF($S162,IF(regle!$B$2-$Q162&gt;=2,0,-1),regle!J$2-$Q162)),IF(AV162+1&gt;=regle!$J$12,-2,AV162+1))</f>
        <v>6</v>
      </c>
      <c r="AX162">
        <f>IF(AX$1=$AO$1,IF(regle!K$2-$Q162&gt;=regle!$J$12,-2,IF($S162,IF(regle!$B$2-$Q162&gt;=2,0,-1),regle!K$2-$Q162)),IF(AW162+1&gt;=regle!$J$12,-2,AW162+1))</f>
        <v>7</v>
      </c>
    </row>
    <row r="163" spans="1:50" x14ac:dyDescent="0.25">
      <c r="A163" t="b">
        <f>AND(modif0[[#This Row],[cdstr]]&lt;&gt;0,OR(regle!$H$27=FALSE,modif0[[#This Row],[essnc]]="PM"))</f>
        <v>1</v>
      </c>
      <c r="B163">
        <f>ROW(objet!A189)</f>
        <v>189</v>
      </c>
      <c r="C163" s="10" t="str">
        <f>objet!D189</f>
        <v>2020000B1185</v>
      </c>
      <c r="D163" t="str">
        <f>LEFT(modif0[[#This Row],[cdstr]],3)</f>
        <v>202</v>
      </c>
      <c r="E163" s="10" t="str">
        <f>objet!G189</f>
        <v>HOSTENS</v>
      </c>
      <c r="F163">
        <f>LEN(modif0[[#This Row],[l_dt]])</f>
        <v>11</v>
      </c>
      <c r="G163" s="10" t="str">
        <f>objet!H189</f>
        <v>LES CAZALAS</v>
      </c>
      <c r="H163" s="10" t="str">
        <f>objet!C189</f>
        <v>B1185</v>
      </c>
      <c r="I163" t="str">
        <f>IF(ISNUMBER(VALUE(RIGHT(LEFT(modif0[[#This Row],[idntfn]],2),1))),_xlfn.CONCAT(0,LEFT(modif0[[#This Row],[idntfn]],1)),LEFT(modif0[[#This Row],[idntfn]],2))</f>
        <v>0B</v>
      </c>
      <c r="J163">
        <f>VALUE(LEFT(RIGHT(modif0[[#This Row],[idntfn]],LEN(modif0[[#This Row],[idntfn]])-IF(LEFT(modif0[[#This Row],[sctn]],1)="0",1,2)),LEN(modif0[[#This Row],[idntfn]])-IF(LEFT(modif0[[#This Row],[sctn]],1)="0",1,2)-LEN(modif0[[#This Row],[lttr]])))</f>
        <v>1185</v>
      </c>
      <c r="K163" t="str">
        <f>IF(ISNUMBER(VALUE(RIGHT(modif0[[#This Row],[idntfn]],1))),"",IF(ISNUMBER(VALUE(LEFT(RIGHT(modif0[[#This Row],[idntfn]],2),1))),RIGHT(modif0[[#This Row],[idntfn]],1),RIGHT(modif0[[#This Row],[idntfn]],2)))</f>
        <v/>
      </c>
      <c r="L163" s="10">
        <f>objet!I189</f>
        <v>60</v>
      </c>
      <c r="M163" s="11">
        <f>modif0[[#This Row],[srfc]]/10000</f>
        <v>6.0000000000000001E-3</v>
      </c>
      <c r="N163" s="10" t="str">
        <f>objet!Z189</f>
        <v>PM</v>
      </c>
      <c r="O163" s="10" t="str">
        <f>objet!AA189</f>
        <v>SL1973</v>
      </c>
      <c r="P163" t="str">
        <f>IF(ISNUMBER(modif0[[#This Row],[trvx]]),"",LEFT(modif0[[#This Row],[trvx]],LEN(modif0[[#This Row],[trvx]])-4))</f>
        <v>SL</v>
      </c>
      <c r="Q163">
        <f>VALUE(RIGHT(modif0[[#This Row],[trvx]],4))</f>
        <v>1973</v>
      </c>
      <c r="R163" t="str">
        <f>_xlfn.CONCAT(modif0[[#This Row],[tp]],"-",modif0[[#This Row],[essnc]],"_",modif0[[#This Row],[anns]])</f>
        <v>SL-PM_1973</v>
      </c>
      <c r="S163" t="b">
        <f>modif0[[#This Row],[tp]]="CR"</f>
        <v>0</v>
      </c>
      <c r="T163">
        <v>40</v>
      </c>
      <c r="U163" t="str">
        <f>IF(NOT($A163),"",
IF(AO163=-2,regle!$J$11,
IF(AO163=regle!$B$12,regle!$B$11,
IF(AO163=regle!$C$12,regle!$C$11,
IF(AO163=regle!$D$12,regle!$D$11,
IF(AO163=regle!$E$12,regle!$E$11,
IF(AO163=regle!$F$12,regle!$F$11,
IF(AO163=regle!$G$12,regle!$G$11,
IF(AO163=regle!$H$12,regle!$H$11,
IF(AO163=regle!$I$12,regle!$I$11,""))))))))))</f>
        <v>CR</v>
      </c>
      <c r="V163" t="str">
        <f>IF(NOT($A163),"",
IF(AP163=-2,regle!$J$11,
IF(AP163=regle!$B$12,regle!$B$11,
IF(AP163=regle!$C$12,regle!$C$11,
IF(AP163=regle!$D$12,regle!$D$11,
IF(AP163=regle!$E$12,regle!$E$11,
IF(AP163=regle!$F$12,regle!$F$11,
IF(AP163=regle!$G$12,regle!$G$11,
IF(AP163=regle!$H$12,regle!$H$11,
IF(AP163=regle!$I$12,regle!$I$11,""))))))))))</f>
        <v/>
      </c>
      <c r="W163" t="str">
        <f>IF(NOT($A163),"",
IF(AQ163=-2,regle!$J$11,
IF(AQ163=regle!$B$12,regle!$B$11,
IF(AQ163=regle!$C$12,regle!$C$11,
IF(AQ163=regle!$D$12,regle!$D$11,
IF(AQ163=regle!$E$12,regle!$E$11,
IF(AQ163=regle!$F$12,regle!$F$11,
IF(AQ163=regle!$G$12,regle!$G$11,
IF(AQ163=regle!$H$12,regle!$H$11,
IF(AQ163=regle!$I$12,regle!$I$11,""))))))))))</f>
        <v>RBST</v>
      </c>
      <c r="X163" t="str">
        <f>IF(NOT($A163),"",
IF(AR163=-2,regle!$J$11,
IF(AR163=regle!$B$12,regle!$B$11,
IF(AR163=regle!$C$12,regle!$C$11,
IF(AR163=regle!$D$12,regle!$D$11,
IF(AR163=regle!$E$12,regle!$E$11,
IF(AR163=regle!$F$12,regle!$F$11,
IF(AR163=regle!$G$12,regle!$G$11,
IF(AR163=regle!$H$12,regle!$H$11,
IF(AR163=regle!$I$12,regle!$I$11,""))))))))))</f>
        <v/>
      </c>
      <c r="Y163" t="str">
        <f>IF(NOT($A163),"",
IF(AS163=-2,regle!$J$11,
IF(AS163=regle!$B$12,regle!$B$11,
IF(AS163=regle!$C$12,regle!$C$11,
IF(AS163=regle!$D$12,regle!$D$11,
IF(AS163=regle!$E$12,regle!$E$11,
IF(AS163=regle!$F$12,regle!$F$11,
IF(AS163=regle!$G$12,regle!$G$11,
IF(AS163=regle!$H$12,regle!$H$11,
IF(AS163=regle!$I$12,regle!$I$11,""))))))))))</f>
        <v>DGT</v>
      </c>
      <c r="Z163" t="str">
        <f>IF(NOT($A163),"",
IF(AT163=-2,regle!$J$11,
IF(AT163=regle!$B$12,regle!$B$11,
IF(AT163=regle!$C$12,regle!$C$11,
IF(AT163=regle!$D$12,regle!$D$11,
IF(AT163=regle!$E$12,regle!$E$11,
IF(AT163=regle!$F$12,regle!$F$11,
IF(AT163=regle!$G$12,regle!$G$11,
IF(AT163=regle!$H$12,regle!$H$11,
IF(AT163=regle!$I$12,regle!$I$11,""))))))))))</f>
        <v/>
      </c>
      <c r="AA163" t="str">
        <f>IF(NOT($A163),"",
IF(AU163=-2,regle!$J$11,
IF(AU163=regle!$B$12,regle!$B$11,
IF(AU163=regle!$C$12,regle!$C$11,
IF(AU163=regle!$D$12,regle!$D$11,
IF(AU163=regle!$E$12,regle!$E$11,
IF(AU163=regle!$F$12,regle!$F$11,
IF(AU163=regle!$G$12,regle!$G$11,
IF(AU163=regle!$H$12,regle!$H$11,
IF(AU163=regle!$I$12,regle!$I$11,""))))))))))</f>
        <v/>
      </c>
      <c r="AB163" t="str">
        <f>IF(NOT($A163),"",
IF(AV163=-2,regle!$J$11,
IF(AV163=regle!$B$12,regle!$B$11,
IF(AV163=regle!$C$12,regle!$C$11,
IF(AV163=regle!$D$12,regle!$D$11,
IF(AV163=regle!$E$12,regle!$E$11,
IF(AV163=regle!$F$12,regle!$F$11,
IF(AV163=regle!$G$12,regle!$G$11,
IF(AV163=regle!$H$12,regle!$H$11,
IF(AV163=regle!$I$12,regle!$I$11,""))))))))))</f>
        <v>ENT1</v>
      </c>
      <c r="AC163" t="str">
        <f>IF(NOT($A163),"",
IF(AW163=-2,regle!$J$11,
IF(AW163=regle!$B$12,regle!$B$11,
IF(AW163=regle!$C$12,regle!$C$11,
IF(AW163=regle!$D$12,regle!$D$11,
IF(AW163=regle!$E$12,regle!$E$11,
IF(AW163=regle!$F$12,regle!$F$11,
IF(AW163=regle!$G$12,regle!$G$11,
IF(AW163=regle!$H$12,regle!$H$11,
IF(AW163=regle!$I$12,regle!$I$11,""))))))))))</f>
        <v/>
      </c>
      <c r="AD163" t="str">
        <f>IF(NOT($A163),"",
IF(AX163=-2,regle!$J$11,
IF(AX163=regle!$B$12,regle!$B$11,
IF(AX163=regle!$C$12,regle!$C$11,
IF(AX163=regle!$D$12,regle!$D$11,
IF(AX163=regle!$E$12,regle!$E$11,
IF(AX163=regle!$F$12,regle!$F$11,
IF(AX163=regle!$G$12,regle!$G$11,
IF(AX163=regle!$H$12,regle!$H$11,
IF(AX163=regle!$I$12,regle!$I$11,""))))))))))</f>
        <v/>
      </c>
      <c r="AE163" s="14">
        <f>IF($A163,$M163*(IF(U163=regle!$B$11,regle!$B$23,IF(U163=regle!$C$11,regle!$C$23,IF(U163=regle!$D$11,regle!$D$23,IF(U163=regle!$E$11,regle!$E$23,IF(U163=regle!$F$11,regle!$F$23,IF(U163=regle!$G$11,regle!$G$23,IF(U163=regle!$H$11,regle!$H$23,IF(U163=regle!$I$11,regle!$I$23,IF(U163=regle!$J$11,regle!$J$23,0)))))))))))</f>
        <v>52.800000000000004</v>
      </c>
      <c r="AF163" s="14">
        <f>IF($A163,$M163*(IF(V163=regle!$B$11,regle!$B$23,IF(V163=regle!$C$11,regle!$C$23,IF(V163=regle!$D$11,regle!$D$23,IF(V163=regle!$E$11,regle!$E$23,IF(V163=regle!$F$11,regle!$F$23,IF(V163=regle!$G$11,regle!$G$23,IF(V163=regle!$H$11,regle!$H$23,IF(V163=regle!$I$11,regle!$I$23,IF(V163=regle!$J$11,regle!$J$23,0)))))))))))</f>
        <v>0</v>
      </c>
      <c r="AG163" s="14">
        <f>IF($A163,$M163*(IF(W163=regle!$B$11,regle!$B$23,IF(W163=regle!$C$11,regle!$C$23,IF(W163=regle!$D$11,regle!$D$23,IF(W163=regle!$E$11,regle!$E$23,IF(W163=regle!$F$11,regle!$F$23,IF(W163=regle!$G$11,regle!$G$23,IF(W163=regle!$H$11,regle!$H$23,IF(W163=regle!$I$11,regle!$I$23,IF(W163=regle!$J$11,regle!$J$23,0)))))))))))</f>
        <v>-10.200000000000001</v>
      </c>
      <c r="AH163" s="14">
        <f>IF($A163,$M163*(IF(X163=regle!$B$11,regle!$B$23,IF(X163=regle!$C$11,regle!$C$23,IF(X163=regle!$D$11,regle!$D$23,IF(X163=regle!$E$11,regle!$E$23,IF(X163=regle!$F$11,regle!$F$23,IF(X163=regle!$G$11,regle!$G$23,IF(X163=regle!$H$11,regle!$H$23,IF(X163=regle!$I$11,regle!$I$23,IF(X163=regle!$J$11,regle!$J$23,0)))))))))))</f>
        <v>0</v>
      </c>
      <c r="AI163" s="14">
        <f>IF($A163,$M163*(IF(Y163=regle!$B$11,regle!$B$23,IF(Y163=regle!$C$11,regle!$C$23,IF(Y163=regle!$D$11,regle!$D$23,IF(Y163=regle!$E$11,regle!$E$23,IF(Y163=regle!$F$11,regle!$F$23,IF(Y163=regle!$G$11,regle!$G$23,IF(Y163=regle!$H$11,regle!$H$23,IF(Y163=regle!$I$11,regle!$I$23,IF(Y163=regle!$J$11,regle!$J$23,0)))))))))))</f>
        <v>-0.45</v>
      </c>
      <c r="AJ163" s="14">
        <f>IF($A163,$M163*(IF(Z163=regle!$B$11,regle!$B$23,IF(Z163=regle!$C$11,regle!$C$23,IF(Z163=regle!$D$11,regle!$D$23,IF(Z163=regle!$E$11,regle!$E$23,IF(Z163=regle!$F$11,regle!$F$23,IF(Z163=regle!$G$11,regle!$G$23,IF(Z163=regle!$H$11,regle!$H$23,IF(Z163=regle!$I$11,regle!$I$23,IF(Z163=regle!$J$11,regle!$J$23,0)))))))))))</f>
        <v>0</v>
      </c>
      <c r="AK163" s="14">
        <f>IF($A163,$M163*(IF(AA163=regle!$B$11,regle!$B$23,IF(AA163=regle!$C$11,regle!$C$23,IF(AA163=regle!$D$11,regle!$D$23,IF(AA163=regle!$E$11,regle!$E$23,IF(AA163=regle!$F$11,regle!$F$23,IF(AA163=regle!$G$11,regle!$G$23,IF(AA163=regle!$H$11,regle!$H$23,IF(AA163=regle!$I$11,regle!$I$23,IF(AA163=regle!$J$11,regle!$J$23,0)))))))))))</f>
        <v>0</v>
      </c>
      <c r="AL163" s="14">
        <f>IF($A163,$M163*(IF(AB163=regle!$B$11,regle!$B$23,IF(AB163=regle!$C$11,regle!$C$23,IF(AB163=regle!$D$11,regle!$D$23,IF(AB163=regle!$E$11,regle!$E$23,IF(AB163=regle!$F$11,regle!$F$23,IF(AB163=regle!$G$11,regle!$G$23,IF(AB163=regle!$H$11,regle!$H$23,IF(AB163=regle!$I$11,regle!$I$23,IF(AB163=regle!$J$11,regle!$J$23,0)))))))))))</f>
        <v>-0.54</v>
      </c>
      <c r="AM163" s="14">
        <f>IF($A163,$M163*(IF(AC163=regle!$B$11,regle!$B$23,IF(AC163=regle!$C$11,regle!$C$23,IF(AC163=regle!$D$11,regle!$D$23,IF(AC163=regle!$E$11,regle!$E$23,IF(AC163=regle!$F$11,regle!$F$23,IF(AC163=regle!$G$11,regle!$G$23,IF(AC163=regle!$H$11,regle!$H$23,IF(AC163=regle!$I$11,regle!$I$23,IF(AC163=regle!$J$11,regle!$J$23,0)))))))))))</f>
        <v>0</v>
      </c>
      <c r="AN163" s="14">
        <f>IF($A163,$M163*(IF(AD163=regle!$B$11,regle!$B$23,IF(AD163=regle!$C$11,regle!$C$23,IF(AD163=regle!$D$11,regle!$D$23,IF(AD163=regle!$E$11,regle!$E$23,IF(AD163=regle!$F$11,regle!$F$23,IF(AD163=regle!$G$11,regle!$G$23,IF(AD163=regle!$H$11,regle!$H$23,IF(AD163=regle!$I$11,regle!$I$23,IF(AD163=regle!$J$11,regle!$J$23,0)))))))))))</f>
        <v>0</v>
      </c>
      <c r="AO163">
        <f>IF(AO$1=$AO$1,IF(regle!B$2-$Q163&gt;=regle!$J$12,-2,IF($S163,IF(regle!$B$2-$Q163&gt;=2,0,-1),regle!B$2-$Q163)),IF(AN163+1&gt;=regle!$J$12,-2,AN163+1))</f>
        <v>-2</v>
      </c>
      <c r="AP163">
        <f>IF(AP$1=$AO$1,IF(regle!C$2-$Q163&gt;=regle!$J$12,-2,IF($S163,IF(regle!$B$2-$Q163&gt;=2,0,-1),regle!C$2-$Q163)),IF(AO163+1&gt;=regle!$J$12,-2,AO163+1))</f>
        <v>-1</v>
      </c>
      <c r="AQ163">
        <f>IF(AQ$1=$AO$1,IF(regle!D$2-$Q163&gt;=regle!$J$12,-2,IF($S163,IF(regle!$B$2-$Q163&gt;=2,0,-1),regle!D$2-$Q163)),IF(AP163+1&gt;=regle!$J$12,-2,AP163+1))</f>
        <v>0</v>
      </c>
      <c r="AR163">
        <f>IF(AR$1=$AO$1,IF(regle!E$2-$Q163&gt;=regle!$J$12,-2,IF($S163,IF(regle!$B$2-$Q163&gt;=2,0,-1),regle!E$2-$Q163)),IF(AQ163+1&gt;=regle!$J$12,-2,AQ163+1))</f>
        <v>1</v>
      </c>
      <c r="AS163">
        <f>IF(AS$1=$AO$1,IF(regle!F$2-$Q163&gt;=regle!$J$12,-2,IF($S163,IF(regle!$B$2-$Q163&gt;=2,0,-1),regle!F$2-$Q163)),IF(AR163+1&gt;=regle!$J$12,-2,AR163+1))</f>
        <v>2</v>
      </c>
      <c r="AT163">
        <f>IF(AT$1=$AO$1,IF(regle!G$2-$Q163&gt;=regle!$J$12,-2,IF($S163,IF(regle!$B$2-$Q163&gt;=2,0,-1),regle!G$2-$Q163)),IF(AS163+1&gt;=regle!$J$12,-2,AS163+1))</f>
        <v>3</v>
      </c>
      <c r="AU163">
        <f>IF(AU$1=$AO$1,IF(regle!H$2-$Q163&gt;=regle!$J$12,-2,IF($S163,IF(regle!$B$2-$Q163&gt;=2,0,-1),regle!H$2-$Q163)),IF(AT163+1&gt;=regle!$J$12,-2,AT163+1))</f>
        <v>4</v>
      </c>
      <c r="AV163">
        <f>IF(AV$1=$AO$1,IF(regle!I$2-$Q163&gt;=regle!$J$12,-2,IF($S163,IF(regle!$B$2-$Q163&gt;=2,0,-1),regle!I$2-$Q163)),IF(AU163+1&gt;=regle!$J$12,-2,AU163+1))</f>
        <v>5</v>
      </c>
      <c r="AW163">
        <f>IF(AW$1=$AO$1,IF(regle!J$2-$Q163&gt;=regle!$J$12,-2,IF($S163,IF(regle!$B$2-$Q163&gt;=2,0,-1),regle!J$2-$Q163)),IF(AV163+1&gt;=regle!$J$12,-2,AV163+1))</f>
        <v>6</v>
      </c>
      <c r="AX163">
        <f>IF(AX$1=$AO$1,IF(regle!K$2-$Q163&gt;=regle!$J$12,-2,IF($S163,IF(regle!$B$2-$Q163&gt;=2,0,-1),regle!K$2-$Q163)),IF(AW163+1&gt;=regle!$J$12,-2,AW163+1))</f>
        <v>7</v>
      </c>
    </row>
    <row r="164" spans="1:50" x14ac:dyDescent="0.25">
      <c r="A164" t="b">
        <f>AND(modif0[[#This Row],[cdstr]]&lt;&gt;0,OR(regle!$H$27=FALSE,modif0[[#This Row],[essnc]]="PM"))</f>
        <v>1</v>
      </c>
      <c r="B164">
        <f>ROW(objet!A191)</f>
        <v>191</v>
      </c>
      <c r="C164" s="10" t="str">
        <f>objet!D191</f>
        <v>2020000B1187</v>
      </c>
      <c r="D164" t="str">
        <f>LEFT(modif0[[#This Row],[cdstr]],3)</f>
        <v>202</v>
      </c>
      <c r="E164" s="10" t="str">
        <f>objet!G191</f>
        <v>HOSTENS</v>
      </c>
      <c r="F164">
        <f>LEN(modif0[[#This Row],[l_dt]])</f>
        <v>11</v>
      </c>
      <c r="G164" s="10" t="str">
        <f>objet!H191</f>
        <v>LES CAZALAS</v>
      </c>
      <c r="H164" s="10" t="str">
        <f>objet!C191</f>
        <v>B1187j</v>
      </c>
      <c r="I164" t="str">
        <f>IF(ISNUMBER(VALUE(RIGHT(LEFT(modif0[[#This Row],[idntfn]],2),1))),_xlfn.CONCAT(0,LEFT(modif0[[#This Row],[idntfn]],1)),LEFT(modif0[[#This Row],[idntfn]],2))</f>
        <v>0B</v>
      </c>
      <c r="J164">
        <f>VALUE(LEFT(RIGHT(modif0[[#This Row],[idntfn]],LEN(modif0[[#This Row],[idntfn]])-IF(LEFT(modif0[[#This Row],[sctn]],1)="0",1,2)),LEN(modif0[[#This Row],[idntfn]])-IF(LEFT(modif0[[#This Row],[sctn]],1)="0",1,2)-LEN(modif0[[#This Row],[lttr]])))</f>
        <v>1187</v>
      </c>
      <c r="K164" t="str">
        <f>IF(ISNUMBER(VALUE(RIGHT(modif0[[#This Row],[idntfn]],1))),"",IF(ISNUMBER(VALUE(LEFT(RIGHT(modif0[[#This Row],[idntfn]],2),1))),RIGHT(modif0[[#This Row],[idntfn]],1),RIGHT(modif0[[#This Row],[idntfn]],2)))</f>
        <v>j</v>
      </c>
      <c r="L164" s="10">
        <f>objet!I191</f>
        <v>14271</v>
      </c>
      <c r="M164" s="11">
        <f>modif0[[#This Row],[srfc]]/10000</f>
        <v>1.4271</v>
      </c>
      <c r="N164" s="10" t="str">
        <f>objet!Z191</f>
        <v>PM</v>
      </c>
      <c r="O164" s="10" t="str">
        <f>objet!AA191</f>
        <v>PLA2015</v>
      </c>
      <c r="P164" t="str">
        <f>IF(ISNUMBER(modif0[[#This Row],[trvx]]),"",LEFT(modif0[[#This Row],[trvx]],LEN(modif0[[#This Row],[trvx]])-4))</f>
        <v>PLA</v>
      </c>
      <c r="Q164">
        <f>VALUE(RIGHT(modif0[[#This Row],[trvx]],4))</f>
        <v>2015</v>
      </c>
      <c r="R164" t="str">
        <f>_xlfn.CONCAT(modif0[[#This Row],[tp]],"-",modif0[[#This Row],[essnc]],"_",modif0[[#This Row],[anns]])</f>
        <v>PLA-PM_2015</v>
      </c>
      <c r="S164" t="b">
        <f>modif0[[#This Row],[tp]]="CR"</f>
        <v>0</v>
      </c>
      <c r="T164">
        <v>40</v>
      </c>
      <c r="U164" t="str">
        <f>IF(NOT($A164),"",
IF(AO164=-2,regle!$J$11,
IF(AO164=regle!$B$12,regle!$B$11,
IF(AO164=regle!$C$12,regle!$C$11,
IF(AO164=regle!$D$12,regle!$D$11,
IF(AO164=regle!$E$12,regle!$E$11,
IF(AO164=regle!$F$12,regle!$F$11,
IF(AO164=regle!$G$12,regle!$G$11,
IF(AO164=regle!$H$12,regle!$H$11,
IF(AO164=regle!$I$12,regle!$I$11,""))))))))))</f>
        <v/>
      </c>
      <c r="V164" t="str">
        <f>IF(NOT($A164),"",
IF(AP164=-2,regle!$J$11,
IF(AP164=regle!$B$12,regle!$B$11,
IF(AP164=regle!$C$12,regle!$C$11,
IF(AP164=regle!$D$12,regle!$D$11,
IF(AP164=regle!$E$12,regle!$E$11,
IF(AP164=regle!$F$12,regle!$F$11,
IF(AP164=regle!$G$12,regle!$G$11,
IF(AP164=regle!$H$12,regle!$H$11,
IF(AP164=regle!$I$12,regle!$I$11,""))))))))))</f>
        <v/>
      </c>
      <c r="W164" t="str">
        <f>IF(NOT($A164),"",
IF(AQ164=-2,regle!$J$11,
IF(AQ164=regle!$B$12,regle!$B$11,
IF(AQ164=regle!$C$12,regle!$C$11,
IF(AQ164=regle!$D$12,regle!$D$11,
IF(AQ164=regle!$E$12,regle!$E$11,
IF(AQ164=regle!$F$12,regle!$F$11,
IF(AQ164=regle!$G$12,regle!$G$11,
IF(AQ164=regle!$H$12,regle!$H$11,
IF(AQ164=regle!$I$12,regle!$I$11,""))))))))))</f>
        <v/>
      </c>
      <c r="X164" t="str">
        <f>IF(NOT($A164),"",
IF(AR164=-2,regle!$J$11,
IF(AR164=regle!$B$12,regle!$B$11,
IF(AR164=regle!$C$12,regle!$C$11,
IF(AR164=regle!$D$12,regle!$D$11,
IF(AR164=regle!$E$12,regle!$E$11,
IF(AR164=regle!$F$12,regle!$F$11,
IF(AR164=regle!$G$12,regle!$G$11,
IF(AR164=regle!$H$12,regle!$H$11,
IF(AR164=regle!$I$12,regle!$I$11,""))))))))))</f>
        <v/>
      </c>
      <c r="Y164" t="str">
        <f>IF(NOT($A164),"",
IF(AS164=-2,regle!$J$11,
IF(AS164=regle!$B$12,regle!$B$11,
IF(AS164=regle!$C$12,regle!$C$11,
IF(AS164=regle!$D$12,regle!$D$11,
IF(AS164=regle!$E$12,regle!$E$11,
IF(AS164=regle!$F$12,regle!$F$11,
IF(AS164=regle!$G$12,regle!$G$11,
IF(AS164=regle!$H$12,regle!$H$11,
IF(AS164=regle!$I$12,regle!$I$11,""))))))))))</f>
        <v>EC1</v>
      </c>
      <c r="Z164" t="str">
        <f>IF(NOT($A164),"",
IF(AT164=-2,regle!$J$11,
IF(AT164=regle!$B$12,regle!$B$11,
IF(AT164=regle!$C$12,regle!$C$11,
IF(AT164=regle!$D$12,regle!$D$11,
IF(AT164=regle!$E$12,regle!$E$11,
IF(AT164=regle!$F$12,regle!$F$11,
IF(AT164=regle!$G$12,regle!$G$11,
IF(AT164=regle!$H$12,regle!$H$11,
IF(AT164=regle!$I$12,regle!$I$11,""))))))))))</f>
        <v/>
      </c>
      <c r="AA164" t="str">
        <f>IF(NOT($A164),"",
IF(AU164=-2,regle!$J$11,
IF(AU164=regle!$B$12,regle!$B$11,
IF(AU164=regle!$C$12,regle!$C$11,
IF(AU164=regle!$D$12,regle!$D$11,
IF(AU164=regle!$E$12,regle!$E$11,
IF(AU164=regle!$F$12,regle!$F$11,
IF(AU164=regle!$G$12,regle!$G$11,
IF(AU164=regle!$H$12,regle!$H$11,
IF(AU164=regle!$I$12,regle!$I$11,""))))))))))</f>
        <v/>
      </c>
      <c r="AB164" t="str">
        <f>IF(NOT($A164),"",
IF(AV164=-2,regle!$J$11,
IF(AV164=regle!$B$12,regle!$B$11,
IF(AV164=regle!$C$12,regle!$C$11,
IF(AV164=regle!$D$12,regle!$D$11,
IF(AV164=regle!$E$12,regle!$E$11,
IF(AV164=regle!$F$12,regle!$F$11,
IF(AV164=regle!$G$12,regle!$G$11,
IF(AV164=regle!$H$12,regle!$H$11,
IF(AV164=regle!$I$12,regle!$I$11,""))))))))))</f>
        <v/>
      </c>
      <c r="AC164" t="str">
        <f>IF(NOT($A164),"",
IF(AW164=-2,regle!$J$11,
IF(AW164=regle!$B$12,regle!$B$11,
IF(AW164=regle!$C$12,regle!$C$11,
IF(AW164=regle!$D$12,regle!$D$11,
IF(AW164=regle!$E$12,regle!$E$11,
IF(AW164=regle!$F$12,regle!$F$11,
IF(AW164=regle!$G$12,regle!$G$11,
IF(AW164=regle!$H$12,regle!$H$11,
IF(AW164=regle!$I$12,regle!$I$11,""))))))))))</f>
        <v/>
      </c>
      <c r="AD164" t="str">
        <f>IF(NOT($A164),"",
IF(AX164=-2,regle!$J$11,
IF(AX164=regle!$B$12,regle!$B$11,
IF(AX164=regle!$C$12,regle!$C$11,
IF(AX164=regle!$D$12,regle!$D$11,
IF(AX164=regle!$E$12,regle!$E$11,
IF(AX164=regle!$F$12,regle!$F$11,
IF(AX164=regle!$G$12,regle!$G$11,
IF(AX164=regle!$H$12,regle!$H$11,
IF(AX164=regle!$I$12,regle!$I$11,""))))))))))</f>
        <v>EC2</v>
      </c>
      <c r="AE164" s="14">
        <f>IF($A164,$M164*(IF(U164=regle!$B$11,regle!$B$23,IF(U164=regle!$C$11,regle!$C$23,IF(U164=regle!$D$11,regle!$D$23,IF(U164=regle!$E$11,regle!$E$23,IF(U164=regle!$F$11,regle!$F$23,IF(U164=regle!$G$11,regle!$G$23,IF(U164=regle!$H$11,regle!$H$23,IF(U164=regle!$I$11,regle!$I$23,IF(U164=regle!$J$11,regle!$J$23,0)))))))))))</f>
        <v>0</v>
      </c>
      <c r="AF164" s="14">
        <f>IF($A164,$M164*(IF(V164=regle!$B$11,regle!$B$23,IF(V164=regle!$C$11,regle!$C$23,IF(V164=regle!$D$11,regle!$D$23,IF(V164=regle!$E$11,regle!$E$23,IF(V164=regle!$F$11,regle!$F$23,IF(V164=regle!$G$11,regle!$G$23,IF(V164=regle!$H$11,regle!$H$23,IF(V164=regle!$I$11,regle!$I$23,IF(V164=regle!$J$11,regle!$J$23,0)))))))))))</f>
        <v>0</v>
      </c>
      <c r="AG164" s="14">
        <f>IF($A164,$M164*(IF(W164=regle!$B$11,regle!$B$23,IF(W164=regle!$C$11,regle!$C$23,IF(W164=regle!$D$11,regle!$D$23,IF(W164=regle!$E$11,regle!$E$23,IF(W164=regle!$F$11,regle!$F$23,IF(W164=regle!$G$11,regle!$G$23,IF(W164=regle!$H$11,regle!$H$23,IF(W164=regle!$I$11,regle!$I$23,IF(W164=regle!$J$11,regle!$J$23,0)))))))))))</f>
        <v>0</v>
      </c>
      <c r="AH164" s="14">
        <f>IF($A164,$M164*(IF(X164=regle!$B$11,regle!$B$23,IF(X164=regle!$C$11,regle!$C$23,IF(X164=regle!$D$11,regle!$D$23,IF(X164=regle!$E$11,regle!$E$23,IF(X164=regle!$F$11,regle!$F$23,IF(X164=regle!$G$11,regle!$G$23,IF(X164=regle!$H$11,regle!$H$23,IF(X164=regle!$I$11,regle!$I$23,IF(X164=regle!$J$11,regle!$J$23,0)))))))))))</f>
        <v>0</v>
      </c>
      <c r="AI164" s="14">
        <f>IF($A164,$M164*(IF(Y164=regle!$B$11,regle!$B$23,IF(Y164=regle!$C$11,regle!$C$23,IF(Y164=regle!$D$11,regle!$D$23,IF(Y164=regle!$E$11,regle!$E$23,IF(Y164=regle!$F$11,regle!$F$23,IF(Y164=regle!$G$11,regle!$G$23,IF(Y164=regle!$H$11,regle!$H$23,IF(Y164=regle!$I$11,regle!$I$23,IF(Y164=regle!$J$11,regle!$J$23,0)))))))))))</f>
        <v>822.00959999999998</v>
      </c>
      <c r="AJ164" s="14">
        <f>IF($A164,$M164*(IF(Z164=regle!$B$11,regle!$B$23,IF(Z164=regle!$C$11,regle!$C$23,IF(Z164=regle!$D$11,regle!$D$23,IF(Z164=regle!$E$11,regle!$E$23,IF(Z164=regle!$F$11,regle!$F$23,IF(Z164=regle!$G$11,regle!$G$23,IF(Z164=regle!$H$11,regle!$H$23,IF(Z164=regle!$I$11,regle!$I$23,IF(Z164=regle!$J$11,regle!$J$23,0)))))))))))</f>
        <v>0</v>
      </c>
      <c r="AK164" s="14">
        <f>IF($A164,$M164*(IF(AA164=regle!$B$11,regle!$B$23,IF(AA164=regle!$C$11,regle!$C$23,IF(AA164=regle!$D$11,regle!$D$23,IF(AA164=regle!$E$11,regle!$E$23,IF(AA164=regle!$F$11,regle!$F$23,IF(AA164=regle!$G$11,regle!$G$23,IF(AA164=regle!$H$11,regle!$H$23,IF(AA164=regle!$I$11,regle!$I$23,IF(AA164=regle!$J$11,regle!$J$23,0)))))))))))</f>
        <v>0</v>
      </c>
      <c r="AL164" s="14">
        <f>IF($A164,$M164*(IF(AB164=regle!$B$11,regle!$B$23,IF(AB164=regle!$C$11,regle!$C$23,IF(AB164=regle!$D$11,regle!$D$23,IF(AB164=regle!$E$11,regle!$E$23,IF(AB164=regle!$F$11,regle!$F$23,IF(AB164=regle!$G$11,regle!$G$23,IF(AB164=regle!$H$11,regle!$H$23,IF(AB164=regle!$I$11,regle!$I$23,IF(AB164=regle!$J$11,regle!$J$23,0)))))))))))</f>
        <v>0</v>
      </c>
      <c r="AM164" s="14">
        <f>IF($A164,$M164*(IF(AC164=regle!$B$11,regle!$B$23,IF(AC164=regle!$C$11,regle!$C$23,IF(AC164=regle!$D$11,regle!$D$23,IF(AC164=regle!$E$11,regle!$E$23,IF(AC164=regle!$F$11,regle!$F$23,IF(AC164=regle!$G$11,regle!$G$23,IF(AC164=regle!$H$11,regle!$H$23,IF(AC164=regle!$I$11,regle!$I$23,IF(AC164=regle!$J$11,regle!$J$23,0)))))))))))</f>
        <v>0</v>
      </c>
      <c r="AN164" s="14">
        <f>IF($A164,$M164*(IF(AD164=regle!$B$11,regle!$B$23,IF(AD164=regle!$C$11,regle!$C$23,IF(AD164=regle!$D$11,regle!$D$23,IF(AD164=regle!$E$11,regle!$E$23,IF(AD164=regle!$F$11,regle!$F$23,IF(AD164=regle!$G$11,regle!$G$23,IF(AD164=regle!$H$11,regle!$H$23,IF(AD164=regle!$I$11,regle!$I$23,IF(AD164=regle!$J$11,regle!$J$23,0)))))))))))</f>
        <v>1198.7640000000001</v>
      </c>
      <c r="AO164">
        <f>IF(AO$1=$AO$1,IF(regle!B$2-$Q164&gt;=regle!$J$12,-2,IF($S164,IF(regle!$B$2-$Q164&gt;=2,0,-1),regle!B$2-$Q164)),IF(AN164+1&gt;=regle!$J$12,-2,AN164+1))</f>
        <v>9</v>
      </c>
      <c r="AP164">
        <f>IF(AP$1=$AO$1,IF(regle!C$2-$Q164&gt;=regle!$J$12,-2,IF($S164,IF(regle!$B$2-$Q164&gt;=2,0,-1),regle!C$2-$Q164)),IF(AO164+1&gt;=regle!$J$12,-2,AO164+1))</f>
        <v>10</v>
      </c>
      <c r="AQ164">
        <f>IF(AQ$1=$AO$1,IF(regle!D$2-$Q164&gt;=regle!$J$12,-2,IF($S164,IF(regle!$B$2-$Q164&gt;=2,0,-1),regle!D$2-$Q164)),IF(AP164+1&gt;=regle!$J$12,-2,AP164+1))</f>
        <v>11</v>
      </c>
      <c r="AR164">
        <f>IF(AR$1=$AO$1,IF(regle!E$2-$Q164&gt;=regle!$J$12,-2,IF($S164,IF(regle!$B$2-$Q164&gt;=2,0,-1),regle!E$2-$Q164)),IF(AQ164+1&gt;=regle!$J$12,-2,AQ164+1))</f>
        <v>12</v>
      </c>
      <c r="AS164">
        <f>IF(AS$1=$AO$1,IF(regle!F$2-$Q164&gt;=regle!$J$12,-2,IF($S164,IF(regle!$B$2-$Q164&gt;=2,0,-1),regle!F$2-$Q164)),IF(AR164+1&gt;=regle!$J$12,-2,AR164+1))</f>
        <v>13</v>
      </c>
      <c r="AT164">
        <f>IF(AT$1=$AO$1,IF(regle!G$2-$Q164&gt;=regle!$J$12,-2,IF($S164,IF(regle!$B$2-$Q164&gt;=2,0,-1),regle!G$2-$Q164)),IF(AS164+1&gt;=regle!$J$12,-2,AS164+1))</f>
        <v>14</v>
      </c>
      <c r="AU164">
        <f>IF(AU$1=$AO$1,IF(regle!H$2-$Q164&gt;=regle!$J$12,-2,IF($S164,IF(regle!$B$2-$Q164&gt;=2,0,-1),regle!H$2-$Q164)),IF(AT164+1&gt;=regle!$J$12,-2,AT164+1))</f>
        <v>15</v>
      </c>
      <c r="AV164">
        <f>IF(AV$1=$AO$1,IF(regle!I$2-$Q164&gt;=regle!$J$12,-2,IF($S164,IF(regle!$B$2-$Q164&gt;=2,0,-1),regle!I$2-$Q164)),IF(AU164+1&gt;=regle!$J$12,-2,AU164+1))</f>
        <v>16</v>
      </c>
      <c r="AW164">
        <f>IF(AW$1=$AO$1,IF(regle!J$2-$Q164&gt;=regle!$J$12,-2,IF($S164,IF(regle!$B$2-$Q164&gt;=2,0,-1),regle!J$2-$Q164)),IF(AV164+1&gt;=regle!$J$12,-2,AV164+1))</f>
        <v>17</v>
      </c>
      <c r="AX164">
        <f>IF(AX$1=$AO$1,IF(regle!K$2-$Q164&gt;=regle!$J$12,-2,IF($S164,IF(regle!$B$2-$Q164&gt;=2,0,-1),regle!K$2-$Q164)),IF(AW164+1&gt;=regle!$J$12,-2,AW164+1))</f>
        <v>18</v>
      </c>
    </row>
    <row r="165" spans="1:50" x14ac:dyDescent="0.25">
      <c r="A165" t="b">
        <f>AND(modif0[[#This Row],[cdstr]]&lt;&gt;0,OR(regle!$H$27=FALSE,modif0[[#This Row],[essnc]]="PM"))</f>
        <v>1</v>
      </c>
      <c r="B165">
        <f>ROW(objet!A192)</f>
        <v>192</v>
      </c>
      <c r="C165" s="10" t="str">
        <f>objet!D192</f>
        <v>2020000B1187</v>
      </c>
      <c r="D165" t="str">
        <f>LEFT(modif0[[#This Row],[cdstr]],3)</f>
        <v>202</v>
      </c>
      <c r="E165" s="10" t="str">
        <f>objet!G192</f>
        <v>HOSTENS</v>
      </c>
      <c r="F165">
        <f>LEN(modif0[[#This Row],[l_dt]])</f>
        <v>11</v>
      </c>
      <c r="G165" s="10" t="str">
        <f>objet!H192</f>
        <v>LES CAZALAS</v>
      </c>
      <c r="H165" s="10" t="str">
        <f>objet!C192</f>
        <v>B1187k</v>
      </c>
      <c r="I165" t="str">
        <f>IF(ISNUMBER(VALUE(RIGHT(LEFT(modif0[[#This Row],[idntfn]],2),1))),_xlfn.CONCAT(0,LEFT(modif0[[#This Row],[idntfn]],1)),LEFT(modif0[[#This Row],[idntfn]],2))</f>
        <v>0B</v>
      </c>
      <c r="J165">
        <f>VALUE(LEFT(RIGHT(modif0[[#This Row],[idntfn]],LEN(modif0[[#This Row],[idntfn]])-IF(LEFT(modif0[[#This Row],[sctn]],1)="0",1,2)),LEN(modif0[[#This Row],[idntfn]])-IF(LEFT(modif0[[#This Row],[sctn]],1)="0",1,2)-LEN(modif0[[#This Row],[lttr]])))</f>
        <v>1187</v>
      </c>
      <c r="K165" t="str">
        <f>IF(ISNUMBER(VALUE(RIGHT(modif0[[#This Row],[idntfn]],1))),"",IF(ISNUMBER(VALUE(LEFT(RIGHT(modif0[[#This Row],[idntfn]],2),1))),RIGHT(modif0[[#This Row],[idntfn]],1),RIGHT(modif0[[#This Row],[idntfn]],2)))</f>
        <v>k</v>
      </c>
      <c r="L165" s="10">
        <f>objet!I192</f>
        <v>9034</v>
      </c>
      <c r="M165" s="11">
        <f>modif0[[#This Row],[srfc]]/10000</f>
        <v>0.90339999999999998</v>
      </c>
      <c r="N165" s="10" t="str">
        <f>objet!Z192</f>
        <v>PM</v>
      </c>
      <c r="O165" s="10" t="str">
        <f>objet!AA192</f>
        <v>SL1984</v>
      </c>
      <c r="P165" t="str">
        <f>IF(ISNUMBER(modif0[[#This Row],[trvx]]),"",LEFT(modif0[[#This Row],[trvx]],LEN(modif0[[#This Row],[trvx]])-4))</f>
        <v>SL</v>
      </c>
      <c r="Q165">
        <f>VALUE(RIGHT(modif0[[#This Row],[trvx]],4))</f>
        <v>1984</v>
      </c>
      <c r="R165" t="str">
        <f>_xlfn.CONCAT(modif0[[#This Row],[tp]],"-",modif0[[#This Row],[essnc]],"_",modif0[[#This Row],[anns]])</f>
        <v>SL-PM_1984</v>
      </c>
      <c r="S165" t="b">
        <f>modif0[[#This Row],[tp]]="CR"</f>
        <v>0</v>
      </c>
      <c r="T165">
        <v>40</v>
      </c>
      <c r="U165" t="str">
        <f>IF(NOT($A165),"",
IF(AO165=-2,regle!$J$11,
IF(AO165=regle!$B$12,regle!$B$11,
IF(AO165=regle!$C$12,regle!$C$11,
IF(AO165=regle!$D$12,regle!$D$11,
IF(AO165=regle!$E$12,regle!$E$11,
IF(AO165=regle!$F$12,regle!$F$11,
IF(AO165=regle!$G$12,regle!$G$11,
IF(AO165=regle!$H$12,regle!$H$11,
IF(AO165=regle!$I$12,regle!$I$11,""))))))))))</f>
        <v>CR</v>
      </c>
      <c r="V165" t="str">
        <f>IF(NOT($A165),"",
IF(AP165=-2,regle!$J$11,
IF(AP165=regle!$B$12,regle!$B$11,
IF(AP165=regle!$C$12,regle!$C$11,
IF(AP165=regle!$D$12,regle!$D$11,
IF(AP165=regle!$E$12,regle!$E$11,
IF(AP165=regle!$F$12,regle!$F$11,
IF(AP165=regle!$G$12,regle!$G$11,
IF(AP165=regle!$H$12,regle!$H$11,
IF(AP165=regle!$I$12,regle!$I$11,""))))))))))</f>
        <v/>
      </c>
      <c r="W165" t="str">
        <f>IF(NOT($A165),"",
IF(AQ165=-2,regle!$J$11,
IF(AQ165=regle!$B$12,regle!$B$11,
IF(AQ165=regle!$C$12,regle!$C$11,
IF(AQ165=regle!$D$12,regle!$D$11,
IF(AQ165=regle!$E$12,regle!$E$11,
IF(AQ165=regle!$F$12,regle!$F$11,
IF(AQ165=regle!$G$12,regle!$G$11,
IF(AQ165=regle!$H$12,regle!$H$11,
IF(AQ165=regle!$I$12,regle!$I$11,""))))))))))</f>
        <v>RBST</v>
      </c>
      <c r="X165" t="str">
        <f>IF(NOT($A165),"",
IF(AR165=-2,regle!$J$11,
IF(AR165=regle!$B$12,regle!$B$11,
IF(AR165=regle!$C$12,regle!$C$11,
IF(AR165=regle!$D$12,regle!$D$11,
IF(AR165=regle!$E$12,regle!$E$11,
IF(AR165=regle!$F$12,regle!$F$11,
IF(AR165=regle!$G$12,regle!$G$11,
IF(AR165=regle!$H$12,regle!$H$11,
IF(AR165=regle!$I$12,regle!$I$11,""))))))))))</f>
        <v/>
      </c>
      <c r="Y165" t="str">
        <f>IF(NOT($A165),"",
IF(AS165=-2,regle!$J$11,
IF(AS165=regle!$B$12,regle!$B$11,
IF(AS165=regle!$C$12,regle!$C$11,
IF(AS165=regle!$D$12,regle!$D$11,
IF(AS165=regle!$E$12,regle!$E$11,
IF(AS165=regle!$F$12,regle!$F$11,
IF(AS165=regle!$G$12,regle!$G$11,
IF(AS165=regle!$H$12,regle!$H$11,
IF(AS165=regle!$I$12,regle!$I$11,""))))))))))</f>
        <v>DGT</v>
      </c>
      <c r="Z165" t="str">
        <f>IF(NOT($A165),"",
IF(AT165=-2,regle!$J$11,
IF(AT165=regle!$B$12,regle!$B$11,
IF(AT165=regle!$C$12,regle!$C$11,
IF(AT165=regle!$D$12,regle!$D$11,
IF(AT165=regle!$E$12,regle!$E$11,
IF(AT165=regle!$F$12,regle!$F$11,
IF(AT165=regle!$G$12,regle!$G$11,
IF(AT165=regle!$H$12,regle!$H$11,
IF(AT165=regle!$I$12,regle!$I$11,""))))))))))</f>
        <v/>
      </c>
      <c r="AA165" t="str">
        <f>IF(NOT($A165),"",
IF(AU165=-2,regle!$J$11,
IF(AU165=regle!$B$12,regle!$B$11,
IF(AU165=regle!$C$12,regle!$C$11,
IF(AU165=regle!$D$12,regle!$D$11,
IF(AU165=regle!$E$12,regle!$E$11,
IF(AU165=regle!$F$12,regle!$F$11,
IF(AU165=regle!$G$12,regle!$G$11,
IF(AU165=regle!$H$12,regle!$H$11,
IF(AU165=regle!$I$12,regle!$I$11,""))))))))))</f>
        <v/>
      </c>
      <c r="AB165" t="str">
        <f>IF(NOT($A165),"",
IF(AV165=-2,regle!$J$11,
IF(AV165=regle!$B$12,regle!$B$11,
IF(AV165=regle!$C$12,regle!$C$11,
IF(AV165=regle!$D$12,regle!$D$11,
IF(AV165=regle!$E$12,regle!$E$11,
IF(AV165=regle!$F$12,regle!$F$11,
IF(AV165=regle!$G$12,regle!$G$11,
IF(AV165=regle!$H$12,regle!$H$11,
IF(AV165=regle!$I$12,regle!$I$11,""))))))))))</f>
        <v>ENT1</v>
      </c>
      <c r="AC165" t="str">
        <f>IF(NOT($A165),"",
IF(AW165=-2,regle!$J$11,
IF(AW165=regle!$B$12,regle!$B$11,
IF(AW165=regle!$C$12,regle!$C$11,
IF(AW165=regle!$D$12,regle!$D$11,
IF(AW165=regle!$E$12,regle!$E$11,
IF(AW165=regle!$F$12,regle!$F$11,
IF(AW165=regle!$G$12,regle!$G$11,
IF(AW165=regle!$H$12,regle!$H$11,
IF(AW165=regle!$I$12,regle!$I$11,""))))))))))</f>
        <v/>
      </c>
      <c r="AD165" t="str">
        <f>IF(NOT($A165),"",
IF(AX165=-2,regle!$J$11,
IF(AX165=regle!$B$12,regle!$B$11,
IF(AX165=regle!$C$12,regle!$C$11,
IF(AX165=regle!$D$12,regle!$D$11,
IF(AX165=regle!$E$12,regle!$E$11,
IF(AX165=regle!$F$12,regle!$F$11,
IF(AX165=regle!$G$12,regle!$G$11,
IF(AX165=regle!$H$12,regle!$H$11,
IF(AX165=regle!$I$12,regle!$I$11,""))))))))))</f>
        <v/>
      </c>
      <c r="AE165" s="14">
        <f>IF($A165,$M165*(IF(U165=regle!$B$11,regle!$B$23,IF(U165=regle!$C$11,regle!$C$23,IF(U165=regle!$D$11,regle!$D$23,IF(U165=regle!$E$11,regle!$E$23,IF(U165=regle!$F$11,regle!$F$23,IF(U165=regle!$G$11,regle!$G$23,IF(U165=regle!$H$11,regle!$H$23,IF(U165=regle!$I$11,regle!$I$23,IF(U165=regle!$J$11,regle!$J$23,0)))))))))))</f>
        <v>7949.92</v>
      </c>
      <c r="AF165" s="14">
        <f>IF($A165,$M165*(IF(V165=regle!$B$11,regle!$B$23,IF(V165=regle!$C$11,regle!$C$23,IF(V165=regle!$D$11,regle!$D$23,IF(V165=regle!$E$11,regle!$E$23,IF(V165=regle!$F$11,regle!$F$23,IF(V165=regle!$G$11,regle!$G$23,IF(V165=regle!$H$11,regle!$H$23,IF(V165=regle!$I$11,regle!$I$23,IF(V165=regle!$J$11,regle!$J$23,0)))))))))))</f>
        <v>0</v>
      </c>
      <c r="AG165" s="14">
        <f>IF($A165,$M165*(IF(W165=regle!$B$11,regle!$B$23,IF(W165=regle!$C$11,regle!$C$23,IF(W165=regle!$D$11,regle!$D$23,IF(W165=regle!$E$11,regle!$E$23,IF(W165=regle!$F$11,regle!$F$23,IF(W165=regle!$G$11,regle!$G$23,IF(W165=regle!$H$11,regle!$H$23,IF(W165=regle!$I$11,regle!$I$23,IF(W165=regle!$J$11,regle!$J$23,0)))))))))))</f>
        <v>-1535.78</v>
      </c>
      <c r="AH165" s="14">
        <f>IF($A165,$M165*(IF(X165=regle!$B$11,regle!$B$23,IF(X165=regle!$C$11,regle!$C$23,IF(X165=regle!$D$11,regle!$D$23,IF(X165=regle!$E$11,regle!$E$23,IF(X165=regle!$F$11,regle!$F$23,IF(X165=regle!$G$11,regle!$G$23,IF(X165=regle!$H$11,regle!$H$23,IF(X165=regle!$I$11,regle!$I$23,IF(X165=regle!$J$11,regle!$J$23,0)))))))))))</f>
        <v>0</v>
      </c>
      <c r="AI165" s="14">
        <f>IF($A165,$M165*(IF(Y165=regle!$B$11,regle!$B$23,IF(Y165=regle!$C$11,regle!$C$23,IF(Y165=regle!$D$11,regle!$D$23,IF(Y165=regle!$E$11,regle!$E$23,IF(Y165=regle!$F$11,regle!$F$23,IF(Y165=regle!$G$11,regle!$G$23,IF(Y165=regle!$H$11,regle!$H$23,IF(Y165=regle!$I$11,regle!$I$23,IF(Y165=regle!$J$11,regle!$J$23,0)))))))))))</f>
        <v>-67.754999999999995</v>
      </c>
      <c r="AJ165" s="14">
        <f>IF($A165,$M165*(IF(Z165=regle!$B$11,regle!$B$23,IF(Z165=regle!$C$11,regle!$C$23,IF(Z165=regle!$D$11,regle!$D$23,IF(Z165=regle!$E$11,regle!$E$23,IF(Z165=regle!$F$11,regle!$F$23,IF(Z165=regle!$G$11,regle!$G$23,IF(Z165=regle!$H$11,regle!$H$23,IF(Z165=regle!$I$11,regle!$I$23,IF(Z165=regle!$J$11,regle!$J$23,0)))))))))))</f>
        <v>0</v>
      </c>
      <c r="AK165" s="14">
        <f>IF($A165,$M165*(IF(AA165=regle!$B$11,regle!$B$23,IF(AA165=regle!$C$11,regle!$C$23,IF(AA165=regle!$D$11,regle!$D$23,IF(AA165=regle!$E$11,regle!$E$23,IF(AA165=regle!$F$11,regle!$F$23,IF(AA165=regle!$G$11,regle!$G$23,IF(AA165=regle!$H$11,regle!$H$23,IF(AA165=regle!$I$11,regle!$I$23,IF(AA165=regle!$J$11,regle!$J$23,0)))))))))))</f>
        <v>0</v>
      </c>
      <c r="AL165" s="14">
        <f>IF($A165,$M165*(IF(AB165=regle!$B$11,regle!$B$23,IF(AB165=regle!$C$11,regle!$C$23,IF(AB165=regle!$D$11,regle!$D$23,IF(AB165=regle!$E$11,regle!$E$23,IF(AB165=regle!$F$11,regle!$F$23,IF(AB165=regle!$G$11,regle!$G$23,IF(AB165=regle!$H$11,regle!$H$23,IF(AB165=regle!$I$11,regle!$I$23,IF(AB165=regle!$J$11,regle!$J$23,0)))))))))))</f>
        <v>-81.305999999999997</v>
      </c>
      <c r="AM165" s="14">
        <f>IF($A165,$M165*(IF(AC165=regle!$B$11,regle!$B$23,IF(AC165=regle!$C$11,regle!$C$23,IF(AC165=regle!$D$11,regle!$D$23,IF(AC165=regle!$E$11,regle!$E$23,IF(AC165=regle!$F$11,regle!$F$23,IF(AC165=regle!$G$11,regle!$G$23,IF(AC165=regle!$H$11,regle!$H$23,IF(AC165=regle!$I$11,regle!$I$23,IF(AC165=regle!$J$11,regle!$J$23,0)))))))))))</f>
        <v>0</v>
      </c>
      <c r="AN165" s="14">
        <f>IF($A165,$M165*(IF(AD165=regle!$B$11,regle!$B$23,IF(AD165=regle!$C$11,regle!$C$23,IF(AD165=regle!$D$11,regle!$D$23,IF(AD165=regle!$E$11,regle!$E$23,IF(AD165=regle!$F$11,regle!$F$23,IF(AD165=regle!$G$11,regle!$G$23,IF(AD165=regle!$H$11,regle!$H$23,IF(AD165=regle!$I$11,regle!$I$23,IF(AD165=regle!$J$11,regle!$J$23,0)))))))))))</f>
        <v>0</v>
      </c>
      <c r="AO165">
        <f>IF(AO$1=$AO$1,IF(regle!B$2-$Q165&gt;=regle!$J$12,-2,IF($S165,IF(regle!$B$2-$Q165&gt;=2,0,-1),regle!B$2-$Q165)),IF(AN165+1&gt;=regle!$J$12,-2,AN165+1))</f>
        <v>-2</v>
      </c>
      <c r="AP165">
        <f>IF(AP$1=$AO$1,IF(regle!C$2-$Q165&gt;=regle!$J$12,-2,IF($S165,IF(regle!$B$2-$Q165&gt;=2,0,-1),regle!C$2-$Q165)),IF(AO165+1&gt;=regle!$J$12,-2,AO165+1))</f>
        <v>-1</v>
      </c>
      <c r="AQ165">
        <f>IF(AQ$1=$AO$1,IF(regle!D$2-$Q165&gt;=regle!$J$12,-2,IF($S165,IF(regle!$B$2-$Q165&gt;=2,0,-1),regle!D$2-$Q165)),IF(AP165+1&gt;=regle!$J$12,-2,AP165+1))</f>
        <v>0</v>
      </c>
      <c r="AR165">
        <f>IF(AR$1=$AO$1,IF(regle!E$2-$Q165&gt;=regle!$J$12,-2,IF($S165,IF(regle!$B$2-$Q165&gt;=2,0,-1),regle!E$2-$Q165)),IF(AQ165+1&gt;=regle!$J$12,-2,AQ165+1))</f>
        <v>1</v>
      </c>
      <c r="AS165">
        <f>IF(AS$1=$AO$1,IF(regle!F$2-$Q165&gt;=regle!$J$12,-2,IF($S165,IF(regle!$B$2-$Q165&gt;=2,0,-1),regle!F$2-$Q165)),IF(AR165+1&gt;=regle!$J$12,-2,AR165+1))</f>
        <v>2</v>
      </c>
      <c r="AT165">
        <f>IF(AT$1=$AO$1,IF(regle!G$2-$Q165&gt;=regle!$J$12,-2,IF($S165,IF(regle!$B$2-$Q165&gt;=2,0,-1),regle!G$2-$Q165)),IF(AS165+1&gt;=regle!$J$12,-2,AS165+1))</f>
        <v>3</v>
      </c>
      <c r="AU165">
        <f>IF(AU$1=$AO$1,IF(regle!H$2-$Q165&gt;=regle!$J$12,-2,IF($S165,IF(regle!$B$2-$Q165&gt;=2,0,-1),regle!H$2-$Q165)),IF(AT165+1&gt;=regle!$J$12,-2,AT165+1))</f>
        <v>4</v>
      </c>
      <c r="AV165">
        <f>IF(AV$1=$AO$1,IF(regle!I$2-$Q165&gt;=regle!$J$12,-2,IF($S165,IF(regle!$B$2-$Q165&gt;=2,0,-1),regle!I$2-$Q165)),IF(AU165+1&gt;=regle!$J$12,-2,AU165+1))</f>
        <v>5</v>
      </c>
      <c r="AW165">
        <f>IF(AW$1=$AO$1,IF(regle!J$2-$Q165&gt;=regle!$J$12,-2,IF($S165,IF(regle!$B$2-$Q165&gt;=2,0,-1),regle!J$2-$Q165)),IF(AV165+1&gt;=regle!$J$12,-2,AV165+1))</f>
        <v>6</v>
      </c>
      <c r="AX165">
        <f>IF(AX$1=$AO$1,IF(regle!K$2-$Q165&gt;=regle!$J$12,-2,IF($S165,IF(regle!$B$2-$Q165&gt;=2,0,-1),regle!K$2-$Q165)),IF(AW165+1&gt;=regle!$J$12,-2,AW165+1))</f>
        <v>7</v>
      </c>
    </row>
    <row r="166" spans="1:50" x14ac:dyDescent="0.25">
      <c r="A166" t="b">
        <f>AND(modif0[[#This Row],[cdstr]]&lt;&gt;0,OR(regle!$H$27=FALSE,modif0[[#This Row],[essnc]]="PM"))</f>
        <v>1</v>
      </c>
      <c r="B166">
        <f>ROW(objet!A193)</f>
        <v>193</v>
      </c>
      <c r="C166" s="10" t="str">
        <f>objet!D193</f>
        <v>2020000B1195</v>
      </c>
      <c r="D166" t="str">
        <f>LEFT(modif0[[#This Row],[cdstr]],3)</f>
        <v>202</v>
      </c>
      <c r="E166" s="10" t="str">
        <f>objet!G193</f>
        <v>HOSTENS</v>
      </c>
      <c r="F166">
        <f>LEN(modif0[[#This Row],[l_dt]])</f>
        <v>11</v>
      </c>
      <c r="G166" s="10" t="str">
        <f>objet!H193</f>
        <v>LES CAZALAS</v>
      </c>
      <c r="H166" s="10" t="str">
        <f>objet!C193</f>
        <v>B1195j</v>
      </c>
      <c r="I166" t="str">
        <f>IF(ISNUMBER(VALUE(RIGHT(LEFT(modif0[[#This Row],[idntfn]],2),1))),_xlfn.CONCAT(0,LEFT(modif0[[#This Row],[idntfn]],1)),LEFT(modif0[[#This Row],[idntfn]],2))</f>
        <v>0B</v>
      </c>
      <c r="J166">
        <f>VALUE(LEFT(RIGHT(modif0[[#This Row],[idntfn]],LEN(modif0[[#This Row],[idntfn]])-IF(LEFT(modif0[[#This Row],[sctn]],1)="0",1,2)),LEN(modif0[[#This Row],[idntfn]])-IF(LEFT(modif0[[#This Row],[sctn]],1)="0",1,2)-LEN(modif0[[#This Row],[lttr]])))</f>
        <v>1195</v>
      </c>
      <c r="K166" t="str">
        <f>IF(ISNUMBER(VALUE(RIGHT(modif0[[#This Row],[idntfn]],1))),"",IF(ISNUMBER(VALUE(LEFT(RIGHT(modif0[[#This Row],[idntfn]],2),1))),RIGHT(modif0[[#This Row],[idntfn]],1),RIGHT(modif0[[#This Row],[idntfn]],2)))</f>
        <v>j</v>
      </c>
      <c r="L166" s="10">
        <f>objet!I193</f>
        <v>147780</v>
      </c>
      <c r="M166" s="11">
        <f>modif0[[#This Row],[srfc]]/10000</f>
        <v>14.778</v>
      </c>
      <c r="N166" s="10" t="str">
        <f>objet!Z193</f>
        <v>PM</v>
      </c>
      <c r="O166" s="10" t="str">
        <f>objet!AA193</f>
        <v>PLA2015</v>
      </c>
      <c r="P166" t="str">
        <f>IF(ISNUMBER(modif0[[#This Row],[trvx]]),"",LEFT(modif0[[#This Row],[trvx]],LEN(modif0[[#This Row],[trvx]])-4))</f>
        <v>PLA</v>
      </c>
      <c r="Q166">
        <f>VALUE(RIGHT(modif0[[#This Row],[trvx]],4))</f>
        <v>2015</v>
      </c>
      <c r="R166" t="str">
        <f>_xlfn.CONCAT(modif0[[#This Row],[tp]],"-",modif0[[#This Row],[essnc]],"_",modif0[[#This Row],[anns]])</f>
        <v>PLA-PM_2015</v>
      </c>
      <c r="S166" t="b">
        <f>modif0[[#This Row],[tp]]="CR"</f>
        <v>0</v>
      </c>
      <c r="T166">
        <v>40</v>
      </c>
      <c r="U166" t="str">
        <f>IF(NOT($A166),"",
IF(AO166=-2,regle!$J$11,
IF(AO166=regle!$B$12,regle!$B$11,
IF(AO166=regle!$C$12,regle!$C$11,
IF(AO166=regle!$D$12,regle!$D$11,
IF(AO166=regle!$E$12,regle!$E$11,
IF(AO166=regle!$F$12,regle!$F$11,
IF(AO166=regle!$G$12,regle!$G$11,
IF(AO166=regle!$H$12,regle!$H$11,
IF(AO166=regle!$I$12,regle!$I$11,""))))))))))</f>
        <v/>
      </c>
      <c r="V166" t="str">
        <f>IF(NOT($A166),"",
IF(AP166=-2,regle!$J$11,
IF(AP166=regle!$B$12,regle!$B$11,
IF(AP166=regle!$C$12,regle!$C$11,
IF(AP166=regle!$D$12,regle!$D$11,
IF(AP166=regle!$E$12,regle!$E$11,
IF(AP166=regle!$F$12,regle!$F$11,
IF(AP166=regle!$G$12,regle!$G$11,
IF(AP166=regle!$H$12,regle!$H$11,
IF(AP166=regle!$I$12,regle!$I$11,""))))))))))</f>
        <v/>
      </c>
      <c r="W166" t="str">
        <f>IF(NOT($A166),"",
IF(AQ166=-2,regle!$J$11,
IF(AQ166=regle!$B$12,regle!$B$11,
IF(AQ166=regle!$C$12,regle!$C$11,
IF(AQ166=regle!$D$12,regle!$D$11,
IF(AQ166=regle!$E$12,regle!$E$11,
IF(AQ166=regle!$F$12,regle!$F$11,
IF(AQ166=regle!$G$12,regle!$G$11,
IF(AQ166=regle!$H$12,regle!$H$11,
IF(AQ166=regle!$I$12,regle!$I$11,""))))))))))</f>
        <v/>
      </c>
      <c r="X166" t="str">
        <f>IF(NOT($A166),"",
IF(AR166=-2,regle!$J$11,
IF(AR166=regle!$B$12,regle!$B$11,
IF(AR166=regle!$C$12,regle!$C$11,
IF(AR166=regle!$D$12,regle!$D$11,
IF(AR166=regle!$E$12,regle!$E$11,
IF(AR166=regle!$F$12,regle!$F$11,
IF(AR166=regle!$G$12,regle!$G$11,
IF(AR166=regle!$H$12,regle!$H$11,
IF(AR166=regle!$I$12,regle!$I$11,""))))))))))</f>
        <v/>
      </c>
      <c r="Y166" t="str">
        <f>IF(NOT($A166),"",
IF(AS166=-2,regle!$J$11,
IF(AS166=regle!$B$12,regle!$B$11,
IF(AS166=regle!$C$12,regle!$C$11,
IF(AS166=regle!$D$12,regle!$D$11,
IF(AS166=regle!$E$12,regle!$E$11,
IF(AS166=regle!$F$12,regle!$F$11,
IF(AS166=regle!$G$12,regle!$G$11,
IF(AS166=regle!$H$12,regle!$H$11,
IF(AS166=regle!$I$12,regle!$I$11,""))))))))))</f>
        <v>EC1</v>
      </c>
      <c r="Z166" t="str">
        <f>IF(NOT($A166),"",
IF(AT166=-2,regle!$J$11,
IF(AT166=regle!$B$12,regle!$B$11,
IF(AT166=regle!$C$12,regle!$C$11,
IF(AT166=regle!$D$12,regle!$D$11,
IF(AT166=regle!$E$12,regle!$E$11,
IF(AT166=regle!$F$12,regle!$F$11,
IF(AT166=regle!$G$12,regle!$G$11,
IF(AT166=regle!$H$12,regle!$H$11,
IF(AT166=regle!$I$12,regle!$I$11,""))))))))))</f>
        <v/>
      </c>
      <c r="AA166" t="str">
        <f>IF(NOT($A166),"",
IF(AU166=-2,regle!$J$11,
IF(AU166=regle!$B$12,regle!$B$11,
IF(AU166=regle!$C$12,regle!$C$11,
IF(AU166=regle!$D$12,regle!$D$11,
IF(AU166=regle!$E$12,regle!$E$11,
IF(AU166=regle!$F$12,regle!$F$11,
IF(AU166=regle!$G$12,regle!$G$11,
IF(AU166=regle!$H$12,regle!$H$11,
IF(AU166=regle!$I$12,regle!$I$11,""))))))))))</f>
        <v/>
      </c>
      <c r="AB166" t="str">
        <f>IF(NOT($A166),"",
IF(AV166=-2,regle!$J$11,
IF(AV166=regle!$B$12,regle!$B$11,
IF(AV166=regle!$C$12,regle!$C$11,
IF(AV166=regle!$D$12,regle!$D$11,
IF(AV166=regle!$E$12,regle!$E$11,
IF(AV166=regle!$F$12,regle!$F$11,
IF(AV166=regle!$G$12,regle!$G$11,
IF(AV166=regle!$H$12,regle!$H$11,
IF(AV166=regle!$I$12,regle!$I$11,""))))))))))</f>
        <v/>
      </c>
      <c r="AC166" t="str">
        <f>IF(NOT($A166),"",
IF(AW166=-2,regle!$J$11,
IF(AW166=regle!$B$12,regle!$B$11,
IF(AW166=regle!$C$12,regle!$C$11,
IF(AW166=regle!$D$12,regle!$D$11,
IF(AW166=regle!$E$12,regle!$E$11,
IF(AW166=regle!$F$12,regle!$F$11,
IF(AW166=regle!$G$12,regle!$G$11,
IF(AW166=regle!$H$12,regle!$H$11,
IF(AW166=regle!$I$12,regle!$I$11,""))))))))))</f>
        <v/>
      </c>
      <c r="AD166" t="str">
        <f>IF(NOT($A166),"",
IF(AX166=-2,regle!$J$11,
IF(AX166=regle!$B$12,regle!$B$11,
IF(AX166=regle!$C$12,regle!$C$11,
IF(AX166=regle!$D$12,regle!$D$11,
IF(AX166=regle!$E$12,regle!$E$11,
IF(AX166=regle!$F$12,regle!$F$11,
IF(AX166=regle!$G$12,regle!$G$11,
IF(AX166=regle!$H$12,regle!$H$11,
IF(AX166=regle!$I$12,regle!$I$11,""))))))))))</f>
        <v>EC2</v>
      </c>
      <c r="AE166" s="14">
        <f>IF($A166,$M166*(IF(U166=regle!$B$11,regle!$B$23,IF(U166=regle!$C$11,regle!$C$23,IF(U166=regle!$D$11,regle!$D$23,IF(U166=regle!$E$11,regle!$E$23,IF(U166=regle!$F$11,regle!$F$23,IF(U166=regle!$G$11,regle!$G$23,IF(U166=regle!$H$11,regle!$H$23,IF(U166=regle!$I$11,regle!$I$23,IF(U166=regle!$J$11,regle!$J$23,0)))))))))))</f>
        <v>0</v>
      </c>
      <c r="AF166" s="14">
        <f>IF($A166,$M166*(IF(V166=regle!$B$11,regle!$B$23,IF(V166=regle!$C$11,regle!$C$23,IF(V166=regle!$D$11,regle!$D$23,IF(V166=regle!$E$11,regle!$E$23,IF(V166=regle!$F$11,regle!$F$23,IF(V166=regle!$G$11,regle!$G$23,IF(V166=regle!$H$11,regle!$H$23,IF(V166=regle!$I$11,regle!$I$23,IF(V166=regle!$J$11,regle!$J$23,0)))))))))))</f>
        <v>0</v>
      </c>
      <c r="AG166" s="14">
        <f>IF($A166,$M166*(IF(W166=regle!$B$11,regle!$B$23,IF(W166=regle!$C$11,regle!$C$23,IF(W166=regle!$D$11,regle!$D$23,IF(W166=regle!$E$11,regle!$E$23,IF(W166=regle!$F$11,regle!$F$23,IF(W166=regle!$G$11,regle!$G$23,IF(W166=regle!$H$11,regle!$H$23,IF(W166=regle!$I$11,regle!$I$23,IF(W166=regle!$J$11,regle!$J$23,0)))))))))))</f>
        <v>0</v>
      </c>
      <c r="AH166" s="14">
        <f>IF($A166,$M166*(IF(X166=regle!$B$11,regle!$B$23,IF(X166=regle!$C$11,regle!$C$23,IF(X166=regle!$D$11,regle!$D$23,IF(X166=regle!$E$11,regle!$E$23,IF(X166=regle!$F$11,regle!$F$23,IF(X166=regle!$G$11,regle!$G$23,IF(X166=regle!$H$11,regle!$H$23,IF(X166=regle!$I$11,regle!$I$23,IF(X166=regle!$J$11,regle!$J$23,0)))))))))))</f>
        <v>0</v>
      </c>
      <c r="AI166" s="14">
        <f>IF($A166,$M166*(IF(Y166=regle!$B$11,regle!$B$23,IF(Y166=regle!$C$11,regle!$C$23,IF(Y166=regle!$D$11,regle!$D$23,IF(Y166=regle!$E$11,regle!$E$23,IF(Y166=regle!$F$11,regle!$F$23,IF(Y166=regle!$G$11,regle!$G$23,IF(Y166=regle!$H$11,regle!$H$23,IF(Y166=regle!$I$11,regle!$I$23,IF(Y166=regle!$J$11,regle!$J$23,0)))))))))))</f>
        <v>8512.1280000000006</v>
      </c>
      <c r="AJ166" s="14">
        <f>IF($A166,$M166*(IF(Z166=regle!$B$11,regle!$B$23,IF(Z166=regle!$C$11,regle!$C$23,IF(Z166=regle!$D$11,regle!$D$23,IF(Z166=regle!$E$11,regle!$E$23,IF(Z166=regle!$F$11,regle!$F$23,IF(Z166=regle!$G$11,regle!$G$23,IF(Z166=regle!$H$11,regle!$H$23,IF(Z166=regle!$I$11,regle!$I$23,IF(Z166=regle!$J$11,regle!$J$23,0)))))))))))</f>
        <v>0</v>
      </c>
      <c r="AK166" s="14">
        <f>IF($A166,$M166*(IF(AA166=regle!$B$11,regle!$B$23,IF(AA166=regle!$C$11,regle!$C$23,IF(AA166=regle!$D$11,regle!$D$23,IF(AA166=regle!$E$11,regle!$E$23,IF(AA166=regle!$F$11,regle!$F$23,IF(AA166=regle!$G$11,regle!$G$23,IF(AA166=regle!$H$11,regle!$H$23,IF(AA166=regle!$I$11,regle!$I$23,IF(AA166=regle!$J$11,regle!$J$23,0)))))))))))</f>
        <v>0</v>
      </c>
      <c r="AL166" s="14">
        <f>IF($A166,$M166*(IF(AB166=regle!$B$11,regle!$B$23,IF(AB166=regle!$C$11,regle!$C$23,IF(AB166=regle!$D$11,regle!$D$23,IF(AB166=regle!$E$11,regle!$E$23,IF(AB166=regle!$F$11,regle!$F$23,IF(AB166=regle!$G$11,regle!$G$23,IF(AB166=regle!$H$11,regle!$H$23,IF(AB166=regle!$I$11,regle!$I$23,IF(AB166=regle!$J$11,regle!$J$23,0)))))))))))</f>
        <v>0</v>
      </c>
      <c r="AM166" s="14">
        <f>IF($A166,$M166*(IF(AC166=regle!$B$11,regle!$B$23,IF(AC166=regle!$C$11,regle!$C$23,IF(AC166=regle!$D$11,regle!$D$23,IF(AC166=regle!$E$11,regle!$E$23,IF(AC166=regle!$F$11,regle!$F$23,IF(AC166=regle!$G$11,regle!$G$23,IF(AC166=regle!$H$11,regle!$H$23,IF(AC166=regle!$I$11,regle!$I$23,IF(AC166=regle!$J$11,regle!$J$23,0)))))))))))</f>
        <v>0</v>
      </c>
      <c r="AN166" s="14">
        <f>IF($A166,$M166*(IF(AD166=regle!$B$11,regle!$B$23,IF(AD166=regle!$C$11,regle!$C$23,IF(AD166=regle!$D$11,regle!$D$23,IF(AD166=regle!$E$11,regle!$E$23,IF(AD166=regle!$F$11,regle!$F$23,IF(AD166=regle!$G$11,regle!$G$23,IF(AD166=regle!$H$11,regle!$H$23,IF(AD166=regle!$I$11,regle!$I$23,IF(AD166=regle!$J$11,regle!$J$23,0)))))))))))</f>
        <v>12413.52</v>
      </c>
      <c r="AO166">
        <f>IF(AO$1=$AO$1,IF(regle!B$2-$Q166&gt;=regle!$J$12,-2,IF($S166,IF(regle!$B$2-$Q166&gt;=2,0,-1),regle!B$2-$Q166)),IF(AN166+1&gt;=regle!$J$12,-2,AN166+1))</f>
        <v>9</v>
      </c>
      <c r="AP166">
        <f>IF(AP$1=$AO$1,IF(regle!C$2-$Q166&gt;=regle!$J$12,-2,IF($S166,IF(regle!$B$2-$Q166&gt;=2,0,-1),regle!C$2-$Q166)),IF(AO166+1&gt;=regle!$J$12,-2,AO166+1))</f>
        <v>10</v>
      </c>
      <c r="AQ166">
        <f>IF(AQ$1=$AO$1,IF(regle!D$2-$Q166&gt;=regle!$J$12,-2,IF($S166,IF(regle!$B$2-$Q166&gt;=2,0,-1),regle!D$2-$Q166)),IF(AP166+1&gt;=regle!$J$12,-2,AP166+1))</f>
        <v>11</v>
      </c>
      <c r="AR166">
        <f>IF(AR$1=$AO$1,IF(regle!E$2-$Q166&gt;=regle!$J$12,-2,IF($S166,IF(regle!$B$2-$Q166&gt;=2,0,-1),regle!E$2-$Q166)),IF(AQ166+1&gt;=regle!$J$12,-2,AQ166+1))</f>
        <v>12</v>
      </c>
      <c r="AS166">
        <f>IF(AS$1=$AO$1,IF(regle!F$2-$Q166&gt;=regle!$J$12,-2,IF($S166,IF(regle!$B$2-$Q166&gt;=2,0,-1),regle!F$2-$Q166)),IF(AR166+1&gt;=regle!$J$12,-2,AR166+1))</f>
        <v>13</v>
      </c>
      <c r="AT166">
        <f>IF(AT$1=$AO$1,IF(regle!G$2-$Q166&gt;=regle!$J$12,-2,IF($S166,IF(regle!$B$2-$Q166&gt;=2,0,-1),regle!G$2-$Q166)),IF(AS166+1&gt;=regle!$J$12,-2,AS166+1))</f>
        <v>14</v>
      </c>
      <c r="AU166">
        <f>IF(AU$1=$AO$1,IF(regle!H$2-$Q166&gt;=regle!$J$12,-2,IF($S166,IF(regle!$B$2-$Q166&gt;=2,0,-1),regle!H$2-$Q166)),IF(AT166+1&gt;=regle!$J$12,-2,AT166+1))</f>
        <v>15</v>
      </c>
      <c r="AV166">
        <f>IF(AV$1=$AO$1,IF(regle!I$2-$Q166&gt;=regle!$J$12,-2,IF($S166,IF(regle!$B$2-$Q166&gt;=2,0,-1),regle!I$2-$Q166)),IF(AU166+1&gt;=regle!$J$12,-2,AU166+1))</f>
        <v>16</v>
      </c>
      <c r="AW166">
        <f>IF(AW$1=$AO$1,IF(regle!J$2-$Q166&gt;=regle!$J$12,-2,IF($S166,IF(regle!$B$2-$Q166&gt;=2,0,-1),regle!J$2-$Q166)),IF(AV166+1&gt;=regle!$J$12,-2,AV166+1))</f>
        <v>17</v>
      </c>
      <c r="AX166">
        <f>IF(AX$1=$AO$1,IF(regle!K$2-$Q166&gt;=regle!$J$12,-2,IF($S166,IF(regle!$B$2-$Q166&gt;=2,0,-1),regle!K$2-$Q166)),IF(AW166+1&gt;=regle!$J$12,-2,AW166+1))</f>
        <v>18</v>
      </c>
    </row>
    <row r="167" spans="1:50" x14ac:dyDescent="0.25">
      <c r="A167" t="b">
        <f>AND(modif0[[#This Row],[cdstr]]&lt;&gt;0,OR(regle!$H$27=FALSE,modif0[[#This Row],[essnc]]="PM"))</f>
        <v>1</v>
      </c>
      <c r="B167">
        <f>ROW(objet!A194)</f>
        <v>194</v>
      </c>
      <c r="C167" s="10" t="str">
        <f>objet!D194</f>
        <v>2020000B1195</v>
      </c>
      <c r="D167" t="str">
        <f>LEFT(modif0[[#This Row],[cdstr]],3)</f>
        <v>202</v>
      </c>
      <c r="E167" s="10" t="str">
        <f>objet!G194</f>
        <v>HOSTENS</v>
      </c>
      <c r="F167">
        <f>LEN(modif0[[#This Row],[l_dt]])</f>
        <v>11</v>
      </c>
      <c r="G167" s="10" t="str">
        <f>objet!H194</f>
        <v>LES CAZALAS</v>
      </c>
      <c r="H167" s="10" t="str">
        <f>objet!C194</f>
        <v>B1195k</v>
      </c>
      <c r="I167" t="str">
        <f>IF(ISNUMBER(VALUE(RIGHT(LEFT(modif0[[#This Row],[idntfn]],2),1))),_xlfn.CONCAT(0,LEFT(modif0[[#This Row],[idntfn]],1)),LEFT(modif0[[#This Row],[idntfn]],2))</f>
        <v>0B</v>
      </c>
      <c r="J167">
        <f>VALUE(LEFT(RIGHT(modif0[[#This Row],[idntfn]],LEN(modif0[[#This Row],[idntfn]])-IF(LEFT(modif0[[#This Row],[sctn]],1)="0",1,2)),LEN(modif0[[#This Row],[idntfn]])-IF(LEFT(modif0[[#This Row],[sctn]],1)="0",1,2)-LEN(modif0[[#This Row],[lttr]])))</f>
        <v>1195</v>
      </c>
      <c r="K167" t="str">
        <f>IF(ISNUMBER(VALUE(RIGHT(modif0[[#This Row],[idntfn]],1))),"",IF(ISNUMBER(VALUE(LEFT(RIGHT(modif0[[#This Row],[idntfn]],2),1))),RIGHT(modif0[[#This Row],[idntfn]],1),RIGHT(modif0[[#This Row],[idntfn]],2)))</f>
        <v>k</v>
      </c>
      <c r="L167" s="10">
        <f>objet!I194</f>
        <v>16984</v>
      </c>
      <c r="M167" s="11">
        <f>modif0[[#This Row],[srfc]]/10000</f>
        <v>1.6983999999999999</v>
      </c>
      <c r="N167" s="10" t="str">
        <f>objet!Z194</f>
        <v>PM</v>
      </c>
      <c r="O167" s="10" t="str">
        <f>objet!AA194</f>
        <v>PLA2006</v>
      </c>
      <c r="P167" t="str">
        <f>IF(ISNUMBER(modif0[[#This Row],[trvx]]),"",LEFT(modif0[[#This Row],[trvx]],LEN(modif0[[#This Row],[trvx]])-4))</f>
        <v>PLA</v>
      </c>
      <c r="Q167">
        <f>VALUE(RIGHT(modif0[[#This Row],[trvx]],4))</f>
        <v>2006</v>
      </c>
      <c r="R167" t="str">
        <f>_xlfn.CONCAT(modif0[[#This Row],[tp]],"-",modif0[[#This Row],[essnc]],"_",modif0[[#This Row],[anns]])</f>
        <v>PLA-PM_2006</v>
      </c>
      <c r="S167" t="b">
        <f>modif0[[#This Row],[tp]]="CR"</f>
        <v>0</v>
      </c>
      <c r="T167">
        <v>40</v>
      </c>
      <c r="U167" t="str">
        <f>IF(NOT($A167),"",
IF(AO167=-2,regle!$J$11,
IF(AO167=regle!$B$12,regle!$B$11,
IF(AO167=regle!$C$12,regle!$C$11,
IF(AO167=regle!$D$12,regle!$D$11,
IF(AO167=regle!$E$12,regle!$E$11,
IF(AO167=regle!$F$12,regle!$F$11,
IF(AO167=regle!$G$12,regle!$G$11,
IF(AO167=regle!$H$12,regle!$H$11,
IF(AO167=regle!$I$12,regle!$I$11,""))))))))))</f>
        <v>EC2</v>
      </c>
      <c r="V167" t="str">
        <f>IF(NOT($A167),"",
IF(AP167=-2,regle!$J$11,
IF(AP167=regle!$B$12,regle!$B$11,
IF(AP167=regle!$C$12,regle!$C$11,
IF(AP167=regle!$D$12,regle!$D$11,
IF(AP167=regle!$E$12,regle!$E$11,
IF(AP167=regle!$F$12,regle!$F$11,
IF(AP167=regle!$G$12,regle!$G$11,
IF(AP167=regle!$H$12,regle!$H$11,
IF(AP167=regle!$I$12,regle!$I$11,""))))))))))</f>
        <v/>
      </c>
      <c r="W167" t="str">
        <f>IF(NOT($A167),"",
IF(AQ167=-2,regle!$J$11,
IF(AQ167=regle!$B$12,regle!$B$11,
IF(AQ167=regle!$C$12,regle!$C$11,
IF(AQ167=regle!$D$12,regle!$D$11,
IF(AQ167=regle!$E$12,regle!$E$11,
IF(AQ167=regle!$F$12,regle!$F$11,
IF(AQ167=regle!$G$12,regle!$G$11,
IF(AQ167=regle!$H$12,regle!$H$11,
IF(AQ167=regle!$I$12,regle!$I$11,""))))))))))</f>
        <v/>
      </c>
      <c r="X167" t="str">
        <f>IF(NOT($A167),"",
IF(AR167=-2,regle!$J$11,
IF(AR167=regle!$B$12,regle!$B$11,
IF(AR167=regle!$C$12,regle!$C$11,
IF(AR167=regle!$D$12,regle!$D$11,
IF(AR167=regle!$E$12,regle!$E$11,
IF(AR167=regle!$F$12,regle!$F$11,
IF(AR167=regle!$G$12,regle!$G$11,
IF(AR167=regle!$H$12,regle!$H$11,
IF(AR167=regle!$I$12,regle!$I$11,""))))))))))</f>
        <v/>
      </c>
      <c r="Y167" t="str">
        <f>IF(NOT($A167),"",
IF(AS167=-2,regle!$J$11,
IF(AS167=regle!$B$12,regle!$B$11,
IF(AS167=regle!$C$12,regle!$C$11,
IF(AS167=regle!$D$12,regle!$D$11,
IF(AS167=regle!$E$12,regle!$E$11,
IF(AS167=regle!$F$12,regle!$F$11,
IF(AS167=regle!$G$12,regle!$G$11,
IF(AS167=regle!$H$12,regle!$H$11,
IF(AS167=regle!$I$12,regle!$I$11,""))))))))))</f>
        <v/>
      </c>
      <c r="Z167" t="str">
        <f>IF(NOT($A167),"",
IF(AT167=-2,regle!$J$11,
IF(AT167=regle!$B$12,regle!$B$11,
IF(AT167=regle!$C$12,regle!$C$11,
IF(AT167=regle!$D$12,regle!$D$11,
IF(AT167=regle!$E$12,regle!$E$11,
IF(AT167=regle!$F$12,regle!$F$11,
IF(AT167=regle!$G$12,regle!$G$11,
IF(AT167=regle!$H$12,regle!$H$11,
IF(AT167=regle!$I$12,regle!$I$11,""))))))))))</f>
        <v>EC3</v>
      </c>
      <c r="AA167" t="str">
        <f>IF(NOT($A167),"",
IF(AU167=-2,regle!$J$11,
IF(AU167=regle!$B$12,regle!$B$11,
IF(AU167=regle!$C$12,regle!$C$11,
IF(AU167=regle!$D$12,regle!$D$11,
IF(AU167=regle!$E$12,regle!$E$11,
IF(AU167=regle!$F$12,regle!$F$11,
IF(AU167=regle!$G$12,regle!$G$11,
IF(AU167=regle!$H$12,regle!$H$11,
IF(AU167=regle!$I$12,regle!$I$11,""))))))))))</f>
        <v/>
      </c>
      <c r="AB167" t="str">
        <f>IF(NOT($A167),"",
IF(AV167=-2,regle!$J$11,
IF(AV167=regle!$B$12,regle!$B$11,
IF(AV167=regle!$C$12,regle!$C$11,
IF(AV167=regle!$D$12,regle!$D$11,
IF(AV167=regle!$E$12,regle!$E$11,
IF(AV167=regle!$F$12,regle!$F$11,
IF(AV167=regle!$G$12,regle!$G$11,
IF(AV167=regle!$H$12,regle!$H$11,
IF(AV167=regle!$I$12,regle!$I$11,""))))))))))</f>
        <v/>
      </c>
      <c r="AC167" t="str">
        <f>IF(NOT($A167),"",
IF(AW167=-2,regle!$J$11,
IF(AW167=regle!$B$12,regle!$B$11,
IF(AW167=regle!$C$12,regle!$C$11,
IF(AW167=regle!$D$12,regle!$D$11,
IF(AW167=regle!$E$12,regle!$E$11,
IF(AW167=regle!$F$12,regle!$F$11,
IF(AW167=regle!$G$12,regle!$G$11,
IF(AW167=regle!$H$12,regle!$H$11,
IF(AW167=regle!$I$12,regle!$I$11,""))))))))))</f>
        <v/>
      </c>
      <c r="AD167" t="str">
        <f>IF(NOT($A167),"",
IF(AX167=-2,regle!$J$11,
IF(AX167=regle!$B$12,regle!$B$11,
IF(AX167=regle!$C$12,regle!$C$11,
IF(AX167=regle!$D$12,regle!$D$11,
IF(AX167=regle!$E$12,regle!$E$11,
IF(AX167=regle!$F$12,regle!$F$11,
IF(AX167=regle!$G$12,regle!$G$11,
IF(AX167=regle!$H$12,regle!$H$11,
IF(AX167=regle!$I$12,regle!$I$11,""))))))))))</f>
        <v/>
      </c>
      <c r="AE167" s="14">
        <f>IF($A167,$M167*(IF(U167=regle!$B$11,regle!$B$23,IF(U167=regle!$C$11,regle!$C$23,IF(U167=regle!$D$11,regle!$D$23,IF(U167=regle!$E$11,regle!$E$23,IF(U167=regle!$F$11,regle!$F$23,IF(U167=regle!$G$11,regle!$G$23,IF(U167=regle!$H$11,regle!$H$23,IF(U167=regle!$I$11,regle!$I$23,IF(U167=regle!$J$11,regle!$J$23,0)))))))))))</f>
        <v>1426.6559999999999</v>
      </c>
      <c r="AF167" s="14">
        <f>IF($A167,$M167*(IF(V167=regle!$B$11,regle!$B$23,IF(V167=regle!$C$11,regle!$C$23,IF(V167=regle!$D$11,regle!$D$23,IF(V167=regle!$E$11,regle!$E$23,IF(V167=regle!$F$11,regle!$F$23,IF(V167=regle!$G$11,regle!$G$23,IF(V167=regle!$H$11,regle!$H$23,IF(V167=regle!$I$11,regle!$I$23,IF(V167=regle!$J$11,regle!$J$23,0)))))))))))</f>
        <v>0</v>
      </c>
      <c r="AG167" s="14">
        <f>IF($A167,$M167*(IF(W167=regle!$B$11,regle!$B$23,IF(W167=regle!$C$11,regle!$C$23,IF(W167=regle!$D$11,regle!$D$23,IF(W167=regle!$E$11,regle!$E$23,IF(W167=regle!$F$11,regle!$F$23,IF(W167=regle!$G$11,regle!$G$23,IF(W167=regle!$H$11,regle!$H$23,IF(W167=regle!$I$11,regle!$I$23,IF(W167=regle!$J$11,regle!$J$23,0)))))))))))</f>
        <v>0</v>
      </c>
      <c r="AH167" s="14">
        <f>IF($A167,$M167*(IF(X167=regle!$B$11,regle!$B$23,IF(X167=regle!$C$11,regle!$C$23,IF(X167=regle!$D$11,regle!$D$23,IF(X167=regle!$E$11,regle!$E$23,IF(X167=regle!$F$11,regle!$F$23,IF(X167=regle!$G$11,regle!$G$23,IF(X167=regle!$H$11,regle!$H$23,IF(X167=regle!$I$11,regle!$I$23,IF(X167=regle!$J$11,regle!$J$23,0)))))))))))</f>
        <v>0</v>
      </c>
      <c r="AI167" s="14">
        <f>IF($A167,$M167*(IF(Y167=regle!$B$11,regle!$B$23,IF(Y167=regle!$C$11,regle!$C$23,IF(Y167=regle!$D$11,regle!$D$23,IF(Y167=regle!$E$11,regle!$E$23,IF(Y167=regle!$F$11,regle!$F$23,IF(Y167=regle!$G$11,regle!$G$23,IF(Y167=regle!$H$11,regle!$H$23,IF(Y167=regle!$I$11,regle!$I$23,IF(Y167=regle!$J$11,regle!$J$23,0)))))))))))</f>
        <v>0</v>
      </c>
      <c r="AJ167" s="14">
        <f>IF($A167,$M167*(IF(Z167=regle!$B$11,regle!$B$23,IF(Z167=regle!$C$11,regle!$C$23,IF(Z167=regle!$D$11,regle!$D$23,IF(Z167=regle!$E$11,regle!$E$23,IF(Z167=regle!$F$11,regle!$F$23,IF(Z167=regle!$G$11,regle!$G$23,IF(Z167=regle!$H$11,regle!$H$23,IF(Z167=regle!$I$11,regle!$I$23,IF(Z167=regle!$J$11,regle!$J$23,0)))))))))))</f>
        <v>2391.3471999999997</v>
      </c>
      <c r="AK167" s="14">
        <f>IF($A167,$M167*(IF(AA167=regle!$B$11,regle!$B$23,IF(AA167=regle!$C$11,regle!$C$23,IF(AA167=regle!$D$11,regle!$D$23,IF(AA167=regle!$E$11,regle!$E$23,IF(AA167=regle!$F$11,regle!$F$23,IF(AA167=regle!$G$11,regle!$G$23,IF(AA167=regle!$H$11,regle!$H$23,IF(AA167=regle!$I$11,regle!$I$23,IF(AA167=regle!$J$11,regle!$J$23,0)))))))))))</f>
        <v>0</v>
      </c>
      <c r="AL167" s="14">
        <f>IF($A167,$M167*(IF(AB167=regle!$B$11,regle!$B$23,IF(AB167=regle!$C$11,regle!$C$23,IF(AB167=regle!$D$11,regle!$D$23,IF(AB167=regle!$E$11,regle!$E$23,IF(AB167=regle!$F$11,regle!$F$23,IF(AB167=regle!$G$11,regle!$G$23,IF(AB167=regle!$H$11,regle!$H$23,IF(AB167=regle!$I$11,regle!$I$23,IF(AB167=regle!$J$11,regle!$J$23,0)))))))))))</f>
        <v>0</v>
      </c>
      <c r="AM167" s="14">
        <f>IF($A167,$M167*(IF(AC167=regle!$B$11,regle!$B$23,IF(AC167=regle!$C$11,regle!$C$23,IF(AC167=regle!$D$11,regle!$D$23,IF(AC167=regle!$E$11,regle!$E$23,IF(AC167=regle!$F$11,regle!$F$23,IF(AC167=regle!$G$11,regle!$G$23,IF(AC167=regle!$H$11,regle!$H$23,IF(AC167=regle!$I$11,regle!$I$23,IF(AC167=regle!$J$11,regle!$J$23,0)))))))))))</f>
        <v>0</v>
      </c>
      <c r="AN167" s="14">
        <f>IF($A167,$M167*(IF(AD167=regle!$B$11,regle!$B$23,IF(AD167=regle!$C$11,regle!$C$23,IF(AD167=regle!$D$11,regle!$D$23,IF(AD167=regle!$E$11,regle!$E$23,IF(AD167=regle!$F$11,regle!$F$23,IF(AD167=regle!$G$11,regle!$G$23,IF(AD167=regle!$H$11,regle!$H$23,IF(AD167=regle!$I$11,regle!$I$23,IF(AD167=regle!$J$11,regle!$J$23,0)))))))))))</f>
        <v>0</v>
      </c>
      <c r="AO167">
        <f>IF(AO$1=$AO$1,IF(regle!B$2-$Q167&gt;=regle!$J$12,-2,IF($S167,IF(regle!$B$2-$Q167&gt;=2,0,-1),regle!B$2-$Q167)),IF(AN167+1&gt;=regle!$J$12,-2,AN167+1))</f>
        <v>18</v>
      </c>
      <c r="AP167">
        <f>IF(AP$1=$AO$1,IF(regle!C$2-$Q167&gt;=regle!$J$12,-2,IF($S167,IF(regle!$B$2-$Q167&gt;=2,0,-1),regle!C$2-$Q167)),IF(AO167+1&gt;=regle!$J$12,-2,AO167+1))</f>
        <v>19</v>
      </c>
      <c r="AQ167">
        <f>IF(AQ$1=$AO$1,IF(regle!D$2-$Q167&gt;=regle!$J$12,-2,IF($S167,IF(regle!$B$2-$Q167&gt;=2,0,-1),regle!D$2-$Q167)),IF(AP167+1&gt;=regle!$J$12,-2,AP167+1))</f>
        <v>20</v>
      </c>
      <c r="AR167">
        <f>IF(AR$1=$AO$1,IF(regle!E$2-$Q167&gt;=regle!$J$12,-2,IF($S167,IF(regle!$B$2-$Q167&gt;=2,0,-1),regle!E$2-$Q167)),IF(AQ167+1&gt;=regle!$J$12,-2,AQ167+1))</f>
        <v>21</v>
      </c>
      <c r="AS167">
        <f>IF(AS$1=$AO$1,IF(regle!F$2-$Q167&gt;=regle!$J$12,-2,IF($S167,IF(regle!$B$2-$Q167&gt;=2,0,-1),regle!F$2-$Q167)),IF(AR167+1&gt;=regle!$J$12,-2,AR167+1))</f>
        <v>22</v>
      </c>
      <c r="AT167">
        <f>IF(AT$1=$AO$1,IF(regle!G$2-$Q167&gt;=regle!$J$12,-2,IF($S167,IF(regle!$B$2-$Q167&gt;=2,0,-1),regle!G$2-$Q167)),IF(AS167+1&gt;=regle!$J$12,-2,AS167+1))</f>
        <v>23</v>
      </c>
      <c r="AU167">
        <f>IF(AU$1=$AO$1,IF(regle!H$2-$Q167&gt;=regle!$J$12,-2,IF($S167,IF(regle!$B$2-$Q167&gt;=2,0,-1),regle!H$2-$Q167)),IF(AT167+1&gt;=regle!$J$12,-2,AT167+1))</f>
        <v>24</v>
      </c>
      <c r="AV167">
        <f>IF(AV$1=$AO$1,IF(regle!I$2-$Q167&gt;=regle!$J$12,-2,IF($S167,IF(regle!$B$2-$Q167&gt;=2,0,-1),regle!I$2-$Q167)),IF(AU167+1&gt;=regle!$J$12,-2,AU167+1))</f>
        <v>25</v>
      </c>
      <c r="AW167">
        <f>IF(AW$1=$AO$1,IF(regle!J$2-$Q167&gt;=regle!$J$12,-2,IF($S167,IF(regle!$B$2-$Q167&gt;=2,0,-1),regle!J$2-$Q167)),IF(AV167+1&gt;=regle!$J$12,-2,AV167+1))</f>
        <v>26</v>
      </c>
      <c r="AX167">
        <f>IF(AX$1=$AO$1,IF(regle!K$2-$Q167&gt;=regle!$J$12,-2,IF($S167,IF(regle!$B$2-$Q167&gt;=2,0,-1),regle!K$2-$Q167)),IF(AW167+1&gt;=regle!$J$12,-2,AW167+1))</f>
        <v>27</v>
      </c>
    </row>
    <row r="168" spans="1:50" x14ac:dyDescent="0.25">
      <c r="A168" t="b">
        <f>AND(modif0[[#This Row],[cdstr]]&lt;&gt;0,OR(regle!$H$27=FALSE,modif0[[#This Row],[essnc]]="PM"))</f>
        <v>1</v>
      </c>
      <c r="B168">
        <f>ROW(objet!A195)</f>
        <v>195</v>
      </c>
      <c r="C168" s="10" t="str">
        <f>objet!D195</f>
        <v>2020000B1195</v>
      </c>
      <c r="D168" t="str">
        <f>LEFT(modif0[[#This Row],[cdstr]],3)</f>
        <v>202</v>
      </c>
      <c r="E168" s="10" t="str">
        <f>objet!G195</f>
        <v>HOSTENS</v>
      </c>
      <c r="F168">
        <f>LEN(modif0[[#This Row],[l_dt]])</f>
        <v>11</v>
      </c>
      <c r="G168" s="10" t="str">
        <f>objet!H195</f>
        <v>LES CAZALAS</v>
      </c>
      <c r="H168" s="10" t="str">
        <f>objet!C195</f>
        <v>B1195l</v>
      </c>
      <c r="I168" t="str">
        <f>IF(ISNUMBER(VALUE(RIGHT(LEFT(modif0[[#This Row],[idntfn]],2),1))),_xlfn.CONCAT(0,LEFT(modif0[[#This Row],[idntfn]],1)),LEFT(modif0[[#This Row],[idntfn]],2))</f>
        <v>0B</v>
      </c>
      <c r="J168">
        <f>VALUE(LEFT(RIGHT(modif0[[#This Row],[idntfn]],LEN(modif0[[#This Row],[idntfn]])-IF(LEFT(modif0[[#This Row],[sctn]],1)="0",1,2)),LEN(modif0[[#This Row],[idntfn]])-IF(LEFT(modif0[[#This Row],[sctn]],1)="0",1,2)-LEN(modif0[[#This Row],[lttr]])))</f>
        <v>1195</v>
      </c>
      <c r="K168" t="str">
        <f>IF(ISNUMBER(VALUE(RIGHT(modif0[[#This Row],[idntfn]],1))),"",IF(ISNUMBER(VALUE(LEFT(RIGHT(modif0[[#This Row],[idntfn]],2),1))),RIGHT(modif0[[#This Row],[idntfn]],1),RIGHT(modif0[[#This Row],[idntfn]],2)))</f>
        <v>l</v>
      </c>
      <c r="L168" s="10">
        <f>objet!I195</f>
        <v>726</v>
      </c>
      <c r="M168" s="11">
        <f>modif0[[#This Row],[srfc]]/10000</f>
        <v>7.2599999999999998E-2</v>
      </c>
      <c r="N168" s="10" t="str">
        <f>objet!Z195</f>
        <v>PM</v>
      </c>
      <c r="O168" s="10" t="str">
        <f>objet!AA195</f>
        <v>PLA2015</v>
      </c>
      <c r="P168" t="str">
        <f>IF(ISNUMBER(modif0[[#This Row],[trvx]]),"",LEFT(modif0[[#This Row],[trvx]],LEN(modif0[[#This Row],[trvx]])-4))</f>
        <v>PLA</v>
      </c>
      <c r="Q168">
        <f>VALUE(RIGHT(modif0[[#This Row],[trvx]],4))</f>
        <v>2015</v>
      </c>
      <c r="R168" t="str">
        <f>_xlfn.CONCAT(modif0[[#This Row],[tp]],"-",modif0[[#This Row],[essnc]],"_",modif0[[#This Row],[anns]])</f>
        <v>PLA-PM_2015</v>
      </c>
      <c r="S168" t="b">
        <f>modif0[[#This Row],[tp]]="CR"</f>
        <v>0</v>
      </c>
      <c r="T168">
        <v>40</v>
      </c>
      <c r="U168" t="str">
        <f>IF(NOT($A168),"",
IF(AO168=-2,regle!$J$11,
IF(AO168=regle!$B$12,regle!$B$11,
IF(AO168=regle!$C$12,regle!$C$11,
IF(AO168=regle!$D$12,regle!$D$11,
IF(AO168=regle!$E$12,regle!$E$11,
IF(AO168=regle!$F$12,regle!$F$11,
IF(AO168=regle!$G$12,regle!$G$11,
IF(AO168=regle!$H$12,regle!$H$11,
IF(AO168=regle!$I$12,regle!$I$11,""))))))))))</f>
        <v/>
      </c>
      <c r="V168" t="str">
        <f>IF(NOT($A168),"",
IF(AP168=-2,regle!$J$11,
IF(AP168=regle!$B$12,regle!$B$11,
IF(AP168=regle!$C$12,regle!$C$11,
IF(AP168=regle!$D$12,regle!$D$11,
IF(AP168=regle!$E$12,regle!$E$11,
IF(AP168=regle!$F$12,regle!$F$11,
IF(AP168=regle!$G$12,regle!$G$11,
IF(AP168=regle!$H$12,regle!$H$11,
IF(AP168=regle!$I$12,regle!$I$11,""))))))))))</f>
        <v/>
      </c>
      <c r="W168" t="str">
        <f>IF(NOT($A168),"",
IF(AQ168=-2,regle!$J$11,
IF(AQ168=regle!$B$12,regle!$B$11,
IF(AQ168=regle!$C$12,regle!$C$11,
IF(AQ168=regle!$D$12,regle!$D$11,
IF(AQ168=regle!$E$12,regle!$E$11,
IF(AQ168=regle!$F$12,regle!$F$11,
IF(AQ168=regle!$G$12,regle!$G$11,
IF(AQ168=regle!$H$12,regle!$H$11,
IF(AQ168=regle!$I$12,regle!$I$11,""))))))))))</f>
        <v/>
      </c>
      <c r="X168" t="str">
        <f>IF(NOT($A168),"",
IF(AR168=-2,regle!$J$11,
IF(AR168=regle!$B$12,regle!$B$11,
IF(AR168=regle!$C$12,regle!$C$11,
IF(AR168=regle!$D$12,regle!$D$11,
IF(AR168=regle!$E$12,regle!$E$11,
IF(AR168=regle!$F$12,regle!$F$11,
IF(AR168=regle!$G$12,regle!$G$11,
IF(AR168=regle!$H$12,regle!$H$11,
IF(AR168=regle!$I$12,regle!$I$11,""))))))))))</f>
        <v/>
      </c>
      <c r="Y168" t="str">
        <f>IF(NOT($A168),"",
IF(AS168=-2,regle!$J$11,
IF(AS168=regle!$B$12,regle!$B$11,
IF(AS168=regle!$C$12,regle!$C$11,
IF(AS168=regle!$D$12,regle!$D$11,
IF(AS168=regle!$E$12,regle!$E$11,
IF(AS168=regle!$F$12,regle!$F$11,
IF(AS168=regle!$G$12,regle!$G$11,
IF(AS168=regle!$H$12,regle!$H$11,
IF(AS168=regle!$I$12,regle!$I$11,""))))))))))</f>
        <v>EC1</v>
      </c>
      <c r="Z168" t="str">
        <f>IF(NOT($A168),"",
IF(AT168=-2,regle!$J$11,
IF(AT168=regle!$B$12,regle!$B$11,
IF(AT168=regle!$C$12,regle!$C$11,
IF(AT168=regle!$D$12,regle!$D$11,
IF(AT168=regle!$E$12,regle!$E$11,
IF(AT168=regle!$F$12,regle!$F$11,
IF(AT168=regle!$G$12,regle!$G$11,
IF(AT168=regle!$H$12,regle!$H$11,
IF(AT168=regle!$I$12,regle!$I$11,""))))))))))</f>
        <v/>
      </c>
      <c r="AA168" t="str">
        <f>IF(NOT($A168),"",
IF(AU168=-2,regle!$J$11,
IF(AU168=regle!$B$12,regle!$B$11,
IF(AU168=regle!$C$12,regle!$C$11,
IF(AU168=regle!$D$12,regle!$D$11,
IF(AU168=regle!$E$12,regle!$E$11,
IF(AU168=regle!$F$12,regle!$F$11,
IF(AU168=regle!$G$12,regle!$G$11,
IF(AU168=regle!$H$12,regle!$H$11,
IF(AU168=regle!$I$12,regle!$I$11,""))))))))))</f>
        <v/>
      </c>
      <c r="AB168" t="str">
        <f>IF(NOT($A168),"",
IF(AV168=-2,regle!$J$11,
IF(AV168=regle!$B$12,regle!$B$11,
IF(AV168=regle!$C$12,regle!$C$11,
IF(AV168=regle!$D$12,regle!$D$11,
IF(AV168=regle!$E$12,regle!$E$11,
IF(AV168=regle!$F$12,regle!$F$11,
IF(AV168=regle!$G$12,regle!$G$11,
IF(AV168=regle!$H$12,regle!$H$11,
IF(AV168=regle!$I$12,regle!$I$11,""))))))))))</f>
        <v/>
      </c>
      <c r="AC168" t="str">
        <f>IF(NOT($A168),"",
IF(AW168=-2,regle!$J$11,
IF(AW168=regle!$B$12,regle!$B$11,
IF(AW168=regle!$C$12,regle!$C$11,
IF(AW168=regle!$D$12,regle!$D$11,
IF(AW168=regle!$E$12,regle!$E$11,
IF(AW168=regle!$F$12,regle!$F$11,
IF(AW168=regle!$G$12,regle!$G$11,
IF(AW168=regle!$H$12,regle!$H$11,
IF(AW168=regle!$I$12,regle!$I$11,""))))))))))</f>
        <v/>
      </c>
      <c r="AD168" t="str">
        <f>IF(NOT($A168),"",
IF(AX168=-2,regle!$J$11,
IF(AX168=regle!$B$12,regle!$B$11,
IF(AX168=regle!$C$12,regle!$C$11,
IF(AX168=regle!$D$12,regle!$D$11,
IF(AX168=regle!$E$12,regle!$E$11,
IF(AX168=regle!$F$12,regle!$F$11,
IF(AX168=regle!$G$12,regle!$G$11,
IF(AX168=regle!$H$12,regle!$H$11,
IF(AX168=regle!$I$12,regle!$I$11,""))))))))))</f>
        <v>EC2</v>
      </c>
      <c r="AE168" s="14">
        <f>IF($A168,$M168*(IF(U168=regle!$B$11,regle!$B$23,IF(U168=regle!$C$11,regle!$C$23,IF(U168=regle!$D$11,regle!$D$23,IF(U168=regle!$E$11,regle!$E$23,IF(U168=regle!$F$11,regle!$F$23,IF(U168=regle!$G$11,regle!$G$23,IF(U168=regle!$H$11,regle!$H$23,IF(U168=regle!$I$11,regle!$I$23,IF(U168=regle!$J$11,regle!$J$23,0)))))))))))</f>
        <v>0</v>
      </c>
      <c r="AF168" s="14">
        <f>IF($A168,$M168*(IF(V168=regle!$B$11,regle!$B$23,IF(V168=regle!$C$11,regle!$C$23,IF(V168=regle!$D$11,regle!$D$23,IF(V168=regle!$E$11,regle!$E$23,IF(V168=regle!$F$11,regle!$F$23,IF(V168=regle!$G$11,regle!$G$23,IF(V168=regle!$H$11,regle!$H$23,IF(V168=regle!$I$11,regle!$I$23,IF(V168=regle!$J$11,regle!$J$23,0)))))))))))</f>
        <v>0</v>
      </c>
      <c r="AG168" s="14">
        <f>IF($A168,$M168*(IF(W168=regle!$B$11,regle!$B$23,IF(W168=regle!$C$11,regle!$C$23,IF(W168=regle!$D$11,regle!$D$23,IF(W168=regle!$E$11,regle!$E$23,IF(W168=regle!$F$11,regle!$F$23,IF(W168=regle!$G$11,regle!$G$23,IF(W168=regle!$H$11,regle!$H$23,IF(W168=regle!$I$11,regle!$I$23,IF(W168=regle!$J$11,regle!$J$23,0)))))))))))</f>
        <v>0</v>
      </c>
      <c r="AH168" s="14">
        <f>IF($A168,$M168*(IF(X168=regle!$B$11,regle!$B$23,IF(X168=regle!$C$11,regle!$C$23,IF(X168=regle!$D$11,regle!$D$23,IF(X168=regle!$E$11,regle!$E$23,IF(X168=regle!$F$11,regle!$F$23,IF(X168=regle!$G$11,regle!$G$23,IF(X168=regle!$H$11,regle!$H$23,IF(X168=regle!$I$11,regle!$I$23,IF(X168=regle!$J$11,regle!$J$23,0)))))))))))</f>
        <v>0</v>
      </c>
      <c r="AI168" s="14">
        <f>IF($A168,$M168*(IF(Y168=regle!$B$11,regle!$B$23,IF(Y168=regle!$C$11,regle!$C$23,IF(Y168=regle!$D$11,regle!$D$23,IF(Y168=regle!$E$11,regle!$E$23,IF(Y168=regle!$F$11,regle!$F$23,IF(Y168=regle!$G$11,regle!$G$23,IF(Y168=regle!$H$11,regle!$H$23,IF(Y168=regle!$I$11,regle!$I$23,IF(Y168=regle!$J$11,regle!$J$23,0)))))))))))</f>
        <v>41.817599999999999</v>
      </c>
      <c r="AJ168" s="14">
        <f>IF($A168,$M168*(IF(Z168=regle!$B$11,regle!$B$23,IF(Z168=regle!$C$11,regle!$C$23,IF(Z168=regle!$D$11,regle!$D$23,IF(Z168=regle!$E$11,regle!$E$23,IF(Z168=regle!$F$11,regle!$F$23,IF(Z168=regle!$G$11,regle!$G$23,IF(Z168=regle!$H$11,regle!$H$23,IF(Z168=regle!$I$11,regle!$I$23,IF(Z168=regle!$J$11,regle!$J$23,0)))))))))))</f>
        <v>0</v>
      </c>
      <c r="AK168" s="14">
        <f>IF($A168,$M168*(IF(AA168=regle!$B$11,regle!$B$23,IF(AA168=regle!$C$11,regle!$C$23,IF(AA168=regle!$D$11,regle!$D$23,IF(AA168=regle!$E$11,regle!$E$23,IF(AA168=regle!$F$11,regle!$F$23,IF(AA168=regle!$G$11,regle!$G$23,IF(AA168=regle!$H$11,regle!$H$23,IF(AA168=regle!$I$11,regle!$I$23,IF(AA168=regle!$J$11,regle!$J$23,0)))))))))))</f>
        <v>0</v>
      </c>
      <c r="AL168" s="14">
        <f>IF($A168,$M168*(IF(AB168=regle!$B$11,regle!$B$23,IF(AB168=regle!$C$11,regle!$C$23,IF(AB168=regle!$D$11,regle!$D$23,IF(AB168=regle!$E$11,regle!$E$23,IF(AB168=regle!$F$11,regle!$F$23,IF(AB168=regle!$G$11,regle!$G$23,IF(AB168=regle!$H$11,regle!$H$23,IF(AB168=regle!$I$11,regle!$I$23,IF(AB168=regle!$J$11,regle!$J$23,0)))))))))))</f>
        <v>0</v>
      </c>
      <c r="AM168" s="14">
        <f>IF($A168,$M168*(IF(AC168=regle!$B$11,regle!$B$23,IF(AC168=regle!$C$11,regle!$C$23,IF(AC168=regle!$D$11,regle!$D$23,IF(AC168=regle!$E$11,regle!$E$23,IF(AC168=regle!$F$11,regle!$F$23,IF(AC168=regle!$G$11,regle!$G$23,IF(AC168=regle!$H$11,regle!$H$23,IF(AC168=regle!$I$11,regle!$I$23,IF(AC168=regle!$J$11,regle!$J$23,0)))))))))))</f>
        <v>0</v>
      </c>
      <c r="AN168" s="14">
        <f>IF($A168,$M168*(IF(AD168=regle!$B$11,regle!$B$23,IF(AD168=regle!$C$11,regle!$C$23,IF(AD168=regle!$D$11,regle!$D$23,IF(AD168=regle!$E$11,regle!$E$23,IF(AD168=regle!$F$11,regle!$F$23,IF(AD168=regle!$G$11,regle!$G$23,IF(AD168=regle!$H$11,regle!$H$23,IF(AD168=regle!$I$11,regle!$I$23,IF(AD168=regle!$J$11,regle!$J$23,0)))))))))))</f>
        <v>60.983999999999995</v>
      </c>
      <c r="AO168">
        <f>IF(AO$1=$AO$1,IF(regle!B$2-$Q168&gt;=regle!$J$12,-2,IF($S168,IF(regle!$B$2-$Q168&gt;=2,0,-1),regle!B$2-$Q168)),IF(AN168+1&gt;=regle!$J$12,-2,AN168+1))</f>
        <v>9</v>
      </c>
      <c r="AP168">
        <f>IF(AP$1=$AO$1,IF(regle!C$2-$Q168&gt;=regle!$J$12,-2,IF($S168,IF(regle!$B$2-$Q168&gt;=2,0,-1),regle!C$2-$Q168)),IF(AO168+1&gt;=regle!$J$12,-2,AO168+1))</f>
        <v>10</v>
      </c>
      <c r="AQ168">
        <f>IF(AQ$1=$AO$1,IF(regle!D$2-$Q168&gt;=regle!$J$12,-2,IF($S168,IF(regle!$B$2-$Q168&gt;=2,0,-1),regle!D$2-$Q168)),IF(AP168+1&gt;=regle!$J$12,-2,AP168+1))</f>
        <v>11</v>
      </c>
      <c r="AR168">
        <f>IF(AR$1=$AO$1,IF(regle!E$2-$Q168&gt;=regle!$J$12,-2,IF($S168,IF(regle!$B$2-$Q168&gt;=2,0,-1),regle!E$2-$Q168)),IF(AQ168+1&gt;=regle!$J$12,-2,AQ168+1))</f>
        <v>12</v>
      </c>
      <c r="AS168">
        <f>IF(AS$1=$AO$1,IF(regle!F$2-$Q168&gt;=regle!$J$12,-2,IF($S168,IF(regle!$B$2-$Q168&gt;=2,0,-1),regle!F$2-$Q168)),IF(AR168+1&gt;=regle!$J$12,-2,AR168+1))</f>
        <v>13</v>
      </c>
      <c r="AT168">
        <f>IF(AT$1=$AO$1,IF(regle!G$2-$Q168&gt;=regle!$J$12,-2,IF($S168,IF(regle!$B$2-$Q168&gt;=2,0,-1),regle!G$2-$Q168)),IF(AS168+1&gt;=regle!$J$12,-2,AS168+1))</f>
        <v>14</v>
      </c>
      <c r="AU168">
        <f>IF(AU$1=$AO$1,IF(regle!H$2-$Q168&gt;=regle!$J$12,-2,IF($S168,IF(regle!$B$2-$Q168&gt;=2,0,-1),regle!H$2-$Q168)),IF(AT168+1&gt;=regle!$J$12,-2,AT168+1))</f>
        <v>15</v>
      </c>
      <c r="AV168">
        <f>IF(AV$1=$AO$1,IF(regle!I$2-$Q168&gt;=regle!$J$12,-2,IF($S168,IF(regle!$B$2-$Q168&gt;=2,0,-1),regle!I$2-$Q168)),IF(AU168+1&gt;=regle!$J$12,-2,AU168+1))</f>
        <v>16</v>
      </c>
      <c r="AW168">
        <f>IF(AW$1=$AO$1,IF(regle!J$2-$Q168&gt;=regle!$J$12,-2,IF($S168,IF(regle!$B$2-$Q168&gt;=2,0,-1),regle!J$2-$Q168)),IF(AV168+1&gt;=regle!$J$12,-2,AV168+1))</f>
        <v>17</v>
      </c>
      <c r="AX168">
        <f>IF(AX$1=$AO$1,IF(regle!K$2-$Q168&gt;=regle!$J$12,-2,IF($S168,IF(regle!$B$2-$Q168&gt;=2,0,-1),regle!K$2-$Q168)),IF(AW168+1&gt;=regle!$J$12,-2,AW168+1))</f>
        <v>18</v>
      </c>
    </row>
    <row r="169" spans="1:50" x14ac:dyDescent="0.25">
      <c r="A169" t="b">
        <f>AND(modif0[[#This Row],[cdstr]]&lt;&gt;0,OR(regle!$H$27=FALSE,modif0[[#This Row],[essnc]]="PM"))</f>
        <v>1</v>
      </c>
      <c r="B169">
        <f>ROW(objet!A196)</f>
        <v>196</v>
      </c>
      <c r="C169" s="10" t="str">
        <f>objet!D196</f>
        <v>2020000B1196</v>
      </c>
      <c r="D169" t="str">
        <f>LEFT(modif0[[#This Row],[cdstr]],3)</f>
        <v>202</v>
      </c>
      <c r="E169" s="10" t="str">
        <f>objet!G196</f>
        <v>HOSTENS</v>
      </c>
      <c r="F169">
        <f>LEN(modif0[[#This Row],[l_dt]])</f>
        <v>11</v>
      </c>
      <c r="G169" s="10" t="str">
        <f>objet!H196</f>
        <v>LES CAZALAS</v>
      </c>
      <c r="H169" s="10" t="str">
        <f>objet!C196</f>
        <v>B1196</v>
      </c>
      <c r="I169" t="str">
        <f>IF(ISNUMBER(VALUE(RIGHT(LEFT(modif0[[#This Row],[idntfn]],2),1))),_xlfn.CONCAT(0,LEFT(modif0[[#This Row],[idntfn]],1)),LEFT(modif0[[#This Row],[idntfn]],2))</f>
        <v>0B</v>
      </c>
      <c r="J169">
        <f>VALUE(LEFT(RIGHT(modif0[[#This Row],[idntfn]],LEN(modif0[[#This Row],[idntfn]])-IF(LEFT(modif0[[#This Row],[sctn]],1)="0",1,2)),LEN(modif0[[#This Row],[idntfn]])-IF(LEFT(modif0[[#This Row],[sctn]],1)="0",1,2)-LEN(modif0[[#This Row],[lttr]])))</f>
        <v>1196</v>
      </c>
      <c r="K169" t="str">
        <f>IF(ISNUMBER(VALUE(RIGHT(modif0[[#This Row],[idntfn]],1))),"",IF(ISNUMBER(VALUE(LEFT(RIGHT(modif0[[#This Row],[idntfn]],2),1))),RIGHT(modif0[[#This Row],[idntfn]],1),RIGHT(modif0[[#This Row],[idntfn]],2)))</f>
        <v/>
      </c>
      <c r="L169" s="10">
        <f>objet!I196</f>
        <v>1430</v>
      </c>
      <c r="M169" s="11">
        <f>modif0[[#This Row],[srfc]]/10000</f>
        <v>0.14299999999999999</v>
      </c>
      <c r="N169" s="10" t="str">
        <f>objet!Z196</f>
        <v>PM</v>
      </c>
      <c r="O169" s="10" t="str">
        <f>objet!AA196</f>
        <v>PLA2015</v>
      </c>
      <c r="P169" t="str">
        <f>IF(ISNUMBER(modif0[[#This Row],[trvx]]),"",LEFT(modif0[[#This Row],[trvx]],LEN(modif0[[#This Row],[trvx]])-4))</f>
        <v>PLA</v>
      </c>
      <c r="Q169">
        <f>VALUE(RIGHT(modif0[[#This Row],[trvx]],4))</f>
        <v>2015</v>
      </c>
      <c r="R169" t="str">
        <f>_xlfn.CONCAT(modif0[[#This Row],[tp]],"-",modif0[[#This Row],[essnc]],"_",modif0[[#This Row],[anns]])</f>
        <v>PLA-PM_2015</v>
      </c>
      <c r="S169" t="b">
        <f>modif0[[#This Row],[tp]]="CR"</f>
        <v>0</v>
      </c>
      <c r="T169">
        <v>40</v>
      </c>
      <c r="U169" t="str">
        <f>IF(NOT($A169),"",
IF(AO169=-2,regle!$J$11,
IF(AO169=regle!$B$12,regle!$B$11,
IF(AO169=regle!$C$12,regle!$C$11,
IF(AO169=regle!$D$12,regle!$D$11,
IF(AO169=regle!$E$12,regle!$E$11,
IF(AO169=regle!$F$12,regle!$F$11,
IF(AO169=regle!$G$12,regle!$G$11,
IF(AO169=regle!$H$12,regle!$H$11,
IF(AO169=regle!$I$12,regle!$I$11,""))))))))))</f>
        <v/>
      </c>
      <c r="V169" t="str">
        <f>IF(NOT($A169),"",
IF(AP169=-2,regle!$J$11,
IF(AP169=regle!$B$12,regle!$B$11,
IF(AP169=regle!$C$12,regle!$C$11,
IF(AP169=regle!$D$12,regle!$D$11,
IF(AP169=regle!$E$12,regle!$E$11,
IF(AP169=regle!$F$12,regle!$F$11,
IF(AP169=regle!$G$12,regle!$G$11,
IF(AP169=regle!$H$12,regle!$H$11,
IF(AP169=regle!$I$12,regle!$I$11,""))))))))))</f>
        <v/>
      </c>
      <c r="W169" t="str">
        <f>IF(NOT($A169),"",
IF(AQ169=-2,regle!$J$11,
IF(AQ169=regle!$B$12,regle!$B$11,
IF(AQ169=regle!$C$12,regle!$C$11,
IF(AQ169=regle!$D$12,regle!$D$11,
IF(AQ169=regle!$E$12,regle!$E$11,
IF(AQ169=regle!$F$12,regle!$F$11,
IF(AQ169=regle!$G$12,regle!$G$11,
IF(AQ169=regle!$H$12,regle!$H$11,
IF(AQ169=regle!$I$12,regle!$I$11,""))))))))))</f>
        <v/>
      </c>
      <c r="X169" t="str">
        <f>IF(NOT($A169),"",
IF(AR169=-2,regle!$J$11,
IF(AR169=regle!$B$12,regle!$B$11,
IF(AR169=regle!$C$12,regle!$C$11,
IF(AR169=regle!$D$12,regle!$D$11,
IF(AR169=regle!$E$12,regle!$E$11,
IF(AR169=regle!$F$12,regle!$F$11,
IF(AR169=regle!$G$12,regle!$G$11,
IF(AR169=regle!$H$12,regle!$H$11,
IF(AR169=regle!$I$12,regle!$I$11,""))))))))))</f>
        <v/>
      </c>
      <c r="Y169" t="str">
        <f>IF(NOT($A169),"",
IF(AS169=-2,regle!$J$11,
IF(AS169=regle!$B$12,regle!$B$11,
IF(AS169=regle!$C$12,regle!$C$11,
IF(AS169=regle!$D$12,regle!$D$11,
IF(AS169=regle!$E$12,regle!$E$11,
IF(AS169=regle!$F$12,regle!$F$11,
IF(AS169=regle!$G$12,regle!$G$11,
IF(AS169=regle!$H$12,regle!$H$11,
IF(AS169=regle!$I$12,regle!$I$11,""))))))))))</f>
        <v>EC1</v>
      </c>
      <c r="Z169" t="str">
        <f>IF(NOT($A169),"",
IF(AT169=-2,regle!$J$11,
IF(AT169=regle!$B$12,regle!$B$11,
IF(AT169=regle!$C$12,regle!$C$11,
IF(AT169=regle!$D$12,regle!$D$11,
IF(AT169=regle!$E$12,regle!$E$11,
IF(AT169=regle!$F$12,regle!$F$11,
IF(AT169=regle!$G$12,regle!$G$11,
IF(AT169=regle!$H$12,regle!$H$11,
IF(AT169=regle!$I$12,regle!$I$11,""))))))))))</f>
        <v/>
      </c>
      <c r="AA169" t="str">
        <f>IF(NOT($A169),"",
IF(AU169=-2,regle!$J$11,
IF(AU169=regle!$B$12,regle!$B$11,
IF(AU169=regle!$C$12,regle!$C$11,
IF(AU169=regle!$D$12,regle!$D$11,
IF(AU169=regle!$E$12,regle!$E$11,
IF(AU169=regle!$F$12,regle!$F$11,
IF(AU169=regle!$G$12,regle!$G$11,
IF(AU169=regle!$H$12,regle!$H$11,
IF(AU169=regle!$I$12,regle!$I$11,""))))))))))</f>
        <v/>
      </c>
      <c r="AB169" t="str">
        <f>IF(NOT($A169),"",
IF(AV169=-2,regle!$J$11,
IF(AV169=regle!$B$12,regle!$B$11,
IF(AV169=regle!$C$12,regle!$C$11,
IF(AV169=regle!$D$12,regle!$D$11,
IF(AV169=regle!$E$12,regle!$E$11,
IF(AV169=regle!$F$12,regle!$F$11,
IF(AV169=regle!$G$12,regle!$G$11,
IF(AV169=regle!$H$12,regle!$H$11,
IF(AV169=regle!$I$12,regle!$I$11,""))))))))))</f>
        <v/>
      </c>
      <c r="AC169" t="str">
        <f>IF(NOT($A169),"",
IF(AW169=-2,regle!$J$11,
IF(AW169=regle!$B$12,regle!$B$11,
IF(AW169=regle!$C$12,regle!$C$11,
IF(AW169=regle!$D$12,regle!$D$11,
IF(AW169=regle!$E$12,regle!$E$11,
IF(AW169=regle!$F$12,regle!$F$11,
IF(AW169=regle!$G$12,regle!$G$11,
IF(AW169=regle!$H$12,regle!$H$11,
IF(AW169=regle!$I$12,regle!$I$11,""))))))))))</f>
        <v/>
      </c>
      <c r="AD169" t="str">
        <f>IF(NOT($A169),"",
IF(AX169=-2,regle!$J$11,
IF(AX169=regle!$B$12,regle!$B$11,
IF(AX169=regle!$C$12,regle!$C$11,
IF(AX169=regle!$D$12,regle!$D$11,
IF(AX169=regle!$E$12,regle!$E$11,
IF(AX169=regle!$F$12,regle!$F$11,
IF(AX169=regle!$G$12,regle!$G$11,
IF(AX169=regle!$H$12,regle!$H$11,
IF(AX169=regle!$I$12,regle!$I$11,""))))))))))</f>
        <v>EC2</v>
      </c>
      <c r="AE169" s="14">
        <f>IF($A169,$M169*(IF(U169=regle!$B$11,regle!$B$23,IF(U169=regle!$C$11,regle!$C$23,IF(U169=regle!$D$11,regle!$D$23,IF(U169=regle!$E$11,regle!$E$23,IF(U169=regle!$F$11,regle!$F$23,IF(U169=regle!$G$11,regle!$G$23,IF(U169=regle!$H$11,regle!$H$23,IF(U169=regle!$I$11,regle!$I$23,IF(U169=regle!$J$11,regle!$J$23,0)))))))))))</f>
        <v>0</v>
      </c>
      <c r="AF169" s="14">
        <f>IF($A169,$M169*(IF(V169=regle!$B$11,regle!$B$23,IF(V169=regle!$C$11,regle!$C$23,IF(V169=regle!$D$11,regle!$D$23,IF(V169=regle!$E$11,regle!$E$23,IF(V169=regle!$F$11,regle!$F$23,IF(V169=regle!$G$11,regle!$G$23,IF(V169=regle!$H$11,regle!$H$23,IF(V169=regle!$I$11,regle!$I$23,IF(V169=regle!$J$11,regle!$J$23,0)))))))))))</f>
        <v>0</v>
      </c>
      <c r="AG169" s="14">
        <f>IF($A169,$M169*(IF(W169=regle!$B$11,regle!$B$23,IF(W169=regle!$C$11,regle!$C$23,IF(W169=regle!$D$11,regle!$D$23,IF(W169=regle!$E$11,regle!$E$23,IF(W169=regle!$F$11,regle!$F$23,IF(W169=regle!$G$11,regle!$G$23,IF(W169=regle!$H$11,regle!$H$23,IF(W169=regle!$I$11,regle!$I$23,IF(W169=regle!$J$11,regle!$J$23,0)))))))))))</f>
        <v>0</v>
      </c>
      <c r="AH169" s="14">
        <f>IF($A169,$M169*(IF(X169=regle!$B$11,regle!$B$23,IF(X169=regle!$C$11,regle!$C$23,IF(X169=regle!$D$11,regle!$D$23,IF(X169=regle!$E$11,regle!$E$23,IF(X169=regle!$F$11,regle!$F$23,IF(X169=regle!$G$11,regle!$G$23,IF(X169=regle!$H$11,regle!$H$23,IF(X169=regle!$I$11,regle!$I$23,IF(X169=regle!$J$11,regle!$J$23,0)))))))))))</f>
        <v>0</v>
      </c>
      <c r="AI169" s="14">
        <f>IF($A169,$M169*(IF(Y169=regle!$B$11,regle!$B$23,IF(Y169=regle!$C$11,regle!$C$23,IF(Y169=regle!$D$11,regle!$D$23,IF(Y169=regle!$E$11,regle!$E$23,IF(Y169=regle!$F$11,regle!$F$23,IF(Y169=regle!$G$11,regle!$G$23,IF(Y169=regle!$H$11,regle!$H$23,IF(Y169=regle!$I$11,regle!$I$23,IF(Y169=regle!$J$11,regle!$J$23,0)))))))))))</f>
        <v>82.367999999999995</v>
      </c>
      <c r="AJ169" s="14">
        <f>IF($A169,$M169*(IF(Z169=regle!$B$11,regle!$B$23,IF(Z169=regle!$C$11,regle!$C$23,IF(Z169=regle!$D$11,regle!$D$23,IF(Z169=regle!$E$11,regle!$E$23,IF(Z169=regle!$F$11,regle!$F$23,IF(Z169=regle!$G$11,regle!$G$23,IF(Z169=regle!$H$11,regle!$H$23,IF(Z169=regle!$I$11,regle!$I$23,IF(Z169=regle!$J$11,regle!$J$23,0)))))))))))</f>
        <v>0</v>
      </c>
      <c r="AK169" s="14">
        <f>IF($A169,$M169*(IF(AA169=regle!$B$11,regle!$B$23,IF(AA169=regle!$C$11,regle!$C$23,IF(AA169=regle!$D$11,regle!$D$23,IF(AA169=regle!$E$11,regle!$E$23,IF(AA169=regle!$F$11,regle!$F$23,IF(AA169=regle!$G$11,regle!$G$23,IF(AA169=regle!$H$11,regle!$H$23,IF(AA169=regle!$I$11,regle!$I$23,IF(AA169=regle!$J$11,regle!$J$23,0)))))))))))</f>
        <v>0</v>
      </c>
      <c r="AL169" s="14">
        <f>IF($A169,$M169*(IF(AB169=regle!$B$11,regle!$B$23,IF(AB169=regle!$C$11,regle!$C$23,IF(AB169=regle!$D$11,regle!$D$23,IF(AB169=regle!$E$11,regle!$E$23,IF(AB169=regle!$F$11,regle!$F$23,IF(AB169=regle!$G$11,regle!$G$23,IF(AB169=regle!$H$11,regle!$H$23,IF(AB169=regle!$I$11,regle!$I$23,IF(AB169=regle!$J$11,regle!$J$23,0)))))))))))</f>
        <v>0</v>
      </c>
      <c r="AM169" s="14">
        <f>IF($A169,$M169*(IF(AC169=regle!$B$11,regle!$B$23,IF(AC169=regle!$C$11,regle!$C$23,IF(AC169=regle!$D$11,regle!$D$23,IF(AC169=regle!$E$11,regle!$E$23,IF(AC169=regle!$F$11,regle!$F$23,IF(AC169=regle!$G$11,regle!$G$23,IF(AC169=regle!$H$11,regle!$H$23,IF(AC169=regle!$I$11,regle!$I$23,IF(AC169=regle!$J$11,regle!$J$23,0)))))))))))</f>
        <v>0</v>
      </c>
      <c r="AN169" s="14">
        <f>IF($A169,$M169*(IF(AD169=regle!$B$11,regle!$B$23,IF(AD169=regle!$C$11,regle!$C$23,IF(AD169=regle!$D$11,regle!$D$23,IF(AD169=regle!$E$11,regle!$E$23,IF(AD169=regle!$F$11,regle!$F$23,IF(AD169=regle!$G$11,regle!$G$23,IF(AD169=regle!$H$11,regle!$H$23,IF(AD169=regle!$I$11,regle!$I$23,IF(AD169=regle!$J$11,regle!$J$23,0)))))))))))</f>
        <v>120.11999999999999</v>
      </c>
      <c r="AO169">
        <f>IF(AO$1=$AO$1,IF(regle!B$2-$Q169&gt;=regle!$J$12,-2,IF($S169,IF(regle!$B$2-$Q169&gt;=2,0,-1),regle!B$2-$Q169)),IF(AN169+1&gt;=regle!$J$12,-2,AN169+1))</f>
        <v>9</v>
      </c>
      <c r="AP169">
        <f>IF(AP$1=$AO$1,IF(regle!C$2-$Q169&gt;=regle!$J$12,-2,IF($S169,IF(regle!$B$2-$Q169&gt;=2,0,-1),regle!C$2-$Q169)),IF(AO169+1&gt;=regle!$J$12,-2,AO169+1))</f>
        <v>10</v>
      </c>
      <c r="AQ169">
        <f>IF(AQ$1=$AO$1,IF(regle!D$2-$Q169&gt;=regle!$J$12,-2,IF($S169,IF(regle!$B$2-$Q169&gt;=2,0,-1),regle!D$2-$Q169)),IF(AP169+1&gt;=regle!$J$12,-2,AP169+1))</f>
        <v>11</v>
      </c>
      <c r="AR169">
        <f>IF(AR$1=$AO$1,IF(regle!E$2-$Q169&gt;=regle!$J$12,-2,IF($S169,IF(regle!$B$2-$Q169&gt;=2,0,-1),regle!E$2-$Q169)),IF(AQ169+1&gt;=regle!$J$12,-2,AQ169+1))</f>
        <v>12</v>
      </c>
      <c r="AS169">
        <f>IF(AS$1=$AO$1,IF(regle!F$2-$Q169&gt;=regle!$J$12,-2,IF($S169,IF(regle!$B$2-$Q169&gt;=2,0,-1),regle!F$2-$Q169)),IF(AR169+1&gt;=regle!$J$12,-2,AR169+1))</f>
        <v>13</v>
      </c>
      <c r="AT169">
        <f>IF(AT$1=$AO$1,IF(regle!G$2-$Q169&gt;=regle!$J$12,-2,IF($S169,IF(regle!$B$2-$Q169&gt;=2,0,-1),regle!G$2-$Q169)),IF(AS169+1&gt;=regle!$J$12,-2,AS169+1))</f>
        <v>14</v>
      </c>
      <c r="AU169">
        <f>IF(AU$1=$AO$1,IF(regle!H$2-$Q169&gt;=regle!$J$12,-2,IF($S169,IF(regle!$B$2-$Q169&gt;=2,0,-1),regle!H$2-$Q169)),IF(AT169+1&gt;=regle!$J$12,-2,AT169+1))</f>
        <v>15</v>
      </c>
      <c r="AV169">
        <f>IF(AV$1=$AO$1,IF(regle!I$2-$Q169&gt;=regle!$J$12,-2,IF($S169,IF(regle!$B$2-$Q169&gt;=2,0,-1),regle!I$2-$Q169)),IF(AU169+1&gt;=regle!$J$12,-2,AU169+1))</f>
        <v>16</v>
      </c>
      <c r="AW169">
        <f>IF(AW$1=$AO$1,IF(regle!J$2-$Q169&gt;=regle!$J$12,-2,IF($S169,IF(regle!$B$2-$Q169&gt;=2,0,-1),regle!J$2-$Q169)),IF(AV169+1&gt;=regle!$J$12,-2,AV169+1))</f>
        <v>17</v>
      </c>
      <c r="AX169">
        <f>IF(AX$1=$AO$1,IF(regle!K$2-$Q169&gt;=regle!$J$12,-2,IF($S169,IF(regle!$B$2-$Q169&gt;=2,0,-1),regle!K$2-$Q169)),IF(AW169+1&gt;=regle!$J$12,-2,AW169+1))</f>
        <v>18</v>
      </c>
    </row>
    <row r="170" spans="1:50" x14ac:dyDescent="0.25">
      <c r="A170" t="b">
        <f>AND(modif0[[#This Row],[cdstr]]&lt;&gt;0,OR(regle!$H$27=FALSE,modif0[[#This Row],[essnc]]="PM"))</f>
        <v>1</v>
      </c>
      <c r="B170">
        <f>ROW(objet!A197)</f>
        <v>197</v>
      </c>
      <c r="C170" s="10" t="str">
        <f>objet!D197</f>
        <v>2020000B1197</v>
      </c>
      <c r="D170" t="str">
        <f>LEFT(modif0[[#This Row],[cdstr]],3)</f>
        <v>202</v>
      </c>
      <c r="E170" s="10" t="str">
        <f>objet!G197</f>
        <v>HOSTENS</v>
      </c>
      <c r="F170">
        <f>LEN(modif0[[#This Row],[l_dt]])</f>
        <v>11</v>
      </c>
      <c r="G170" s="10" t="str">
        <f>objet!H197</f>
        <v>LES CAZALAS</v>
      </c>
      <c r="H170" s="10" t="str">
        <f>objet!C197</f>
        <v>B1197</v>
      </c>
      <c r="I170" t="str">
        <f>IF(ISNUMBER(VALUE(RIGHT(LEFT(modif0[[#This Row],[idntfn]],2),1))),_xlfn.CONCAT(0,LEFT(modif0[[#This Row],[idntfn]],1)),LEFT(modif0[[#This Row],[idntfn]],2))</f>
        <v>0B</v>
      </c>
      <c r="J170">
        <f>VALUE(LEFT(RIGHT(modif0[[#This Row],[idntfn]],LEN(modif0[[#This Row],[idntfn]])-IF(LEFT(modif0[[#This Row],[sctn]],1)="0",1,2)),LEN(modif0[[#This Row],[idntfn]])-IF(LEFT(modif0[[#This Row],[sctn]],1)="0",1,2)-LEN(modif0[[#This Row],[lttr]])))</f>
        <v>1197</v>
      </c>
      <c r="K170" t="str">
        <f>IF(ISNUMBER(VALUE(RIGHT(modif0[[#This Row],[idntfn]],1))),"",IF(ISNUMBER(VALUE(LEFT(RIGHT(modif0[[#This Row],[idntfn]],2),1))),RIGHT(modif0[[#This Row],[idntfn]],1),RIGHT(modif0[[#This Row],[idntfn]],2)))</f>
        <v/>
      </c>
      <c r="L170" s="10">
        <f>objet!I197</f>
        <v>1325</v>
      </c>
      <c r="M170" s="11">
        <f>modif0[[#This Row],[srfc]]/10000</f>
        <v>0.13250000000000001</v>
      </c>
      <c r="N170" s="10" t="str">
        <f>objet!Z197</f>
        <v>PM</v>
      </c>
      <c r="O170" s="10" t="str">
        <f>objet!AA197</f>
        <v>PLA2015</v>
      </c>
      <c r="P170" t="str">
        <f>IF(ISNUMBER(modif0[[#This Row],[trvx]]),"",LEFT(modif0[[#This Row],[trvx]],LEN(modif0[[#This Row],[trvx]])-4))</f>
        <v>PLA</v>
      </c>
      <c r="Q170">
        <f>VALUE(RIGHT(modif0[[#This Row],[trvx]],4))</f>
        <v>2015</v>
      </c>
      <c r="R170" t="str">
        <f>_xlfn.CONCAT(modif0[[#This Row],[tp]],"-",modif0[[#This Row],[essnc]],"_",modif0[[#This Row],[anns]])</f>
        <v>PLA-PM_2015</v>
      </c>
      <c r="S170" t="b">
        <f>modif0[[#This Row],[tp]]="CR"</f>
        <v>0</v>
      </c>
      <c r="T170">
        <v>40</v>
      </c>
      <c r="U170" t="str">
        <f>IF(NOT($A170),"",
IF(AO170=-2,regle!$J$11,
IF(AO170=regle!$B$12,regle!$B$11,
IF(AO170=regle!$C$12,regle!$C$11,
IF(AO170=regle!$D$12,regle!$D$11,
IF(AO170=regle!$E$12,regle!$E$11,
IF(AO170=regle!$F$12,regle!$F$11,
IF(AO170=regle!$G$12,regle!$G$11,
IF(AO170=regle!$H$12,regle!$H$11,
IF(AO170=regle!$I$12,regle!$I$11,""))))))))))</f>
        <v/>
      </c>
      <c r="V170" t="str">
        <f>IF(NOT($A170),"",
IF(AP170=-2,regle!$J$11,
IF(AP170=regle!$B$12,regle!$B$11,
IF(AP170=regle!$C$12,regle!$C$11,
IF(AP170=regle!$D$12,regle!$D$11,
IF(AP170=regle!$E$12,regle!$E$11,
IF(AP170=regle!$F$12,regle!$F$11,
IF(AP170=regle!$G$12,regle!$G$11,
IF(AP170=regle!$H$12,regle!$H$11,
IF(AP170=regle!$I$12,regle!$I$11,""))))))))))</f>
        <v/>
      </c>
      <c r="W170" t="str">
        <f>IF(NOT($A170),"",
IF(AQ170=-2,regle!$J$11,
IF(AQ170=regle!$B$12,regle!$B$11,
IF(AQ170=regle!$C$12,regle!$C$11,
IF(AQ170=regle!$D$12,regle!$D$11,
IF(AQ170=regle!$E$12,regle!$E$11,
IF(AQ170=regle!$F$12,regle!$F$11,
IF(AQ170=regle!$G$12,regle!$G$11,
IF(AQ170=regle!$H$12,regle!$H$11,
IF(AQ170=regle!$I$12,regle!$I$11,""))))))))))</f>
        <v/>
      </c>
      <c r="X170" t="str">
        <f>IF(NOT($A170),"",
IF(AR170=-2,regle!$J$11,
IF(AR170=regle!$B$12,regle!$B$11,
IF(AR170=regle!$C$12,regle!$C$11,
IF(AR170=regle!$D$12,regle!$D$11,
IF(AR170=regle!$E$12,regle!$E$11,
IF(AR170=regle!$F$12,regle!$F$11,
IF(AR170=regle!$G$12,regle!$G$11,
IF(AR170=regle!$H$12,regle!$H$11,
IF(AR170=regle!$I$12,regle!$I$11,""))))))))))</f>
        <v/>
      </c>
      <c r="Y170" t="str">
        <f>IF(NOT($A170),"",
IF(AS170=-2,regle!$J$11,
IF(AS170=regle!$B$12,regle!$B$11,
IF(AS170=regle!$C$12,regle!$C$11,
IF(AS170=regle!$D$12,regle!$D$11,
IF(AS170=regle!$E$12,regle!$E$11,
IF(AS170=regle!$F$12,regle!$F$11,
IF(AS170=regle!$G$12,regle!$G$11,
IF(AS170=regle!$H$12,regle!$H$11,
IF(AS170=regle!$I$12,regle!$I$11,""))))))))))</f>
        <v>EC1</v>
      </c>
      <c r="Z170" t="str">
        <f>IF(NOT($A170),"",
IF(AT170=-2,regle!$J$11,
IF(AT170=regle!$B$12,regle!$B$11,
IF(AT170=regle!$C$12,regle!$C$11,
IF(AT170=regle!$D$12,regle!$D$11,
IF(AT170=regle!$E$12,regle!$E$11,
IF(AT170=regle!$F$12,regle!$F$11,
IF(AT170=regle!$G$12,regle!$G$11,
IF(AT170=regle!$H$12,regle!$H$11,
IF(AT170=regle!$I$12,regle!$I$11,""))))))))))</f>
        <v/>
      </c>
      <c r="AA170" t="str">
        <f>IF(NOT($A170),"",
IF(AU170=-2,regle!$J$11,
IF(AU170=regle!$B$12,regle!$B$11,
IF(AU170=regle!$C$12,regle!$C$11,
IF(AU170=regle!$D$12,regle!$D$11,
IF(AU170=regle!$E$12,regle!$E$11,
IF(AU170=regle!$F$12,regle!$F$11,
IF(AU170=regle!$G$12,regle!$G$11,
IF(AU170=regle!$H$12,regle!$H$11,
IF(AU170=regle!$I$12,regle!$I$11,""))))))))))</f>
        <v/>
      </c>
      <c r="AB170" t="str">
        <f>IF(NOT($A170),"",
IF(AV170=-2,regle!$J$11,
IF(AV170=regle!$B$12,regle!$B$11,
IF(AV170=regle!$C$12,regle!$C$11,
IF(AV170=regle!$D$12,regle!$D$11,
IF(AV170=regle!$E$12,regle!$E$11,
IF(AV170=regle!$F$12,regle!$F$11,
IF(AV170=regle!$G$12,regle!$G$11,
IF(AV170=regle!$H$12,regle!$H$11,
IF(AV170=regle!$I$12,regle!$I$11,""))))))))))</f>
        <v/>
      </c>
      <c r="AC170" t="str">
        <f>IF(NOT($A170),"",
IF(AW170=-2,regle!$J$11,
IF(AW170=regle!$B$12,regle!$B$11,
IF(AW170=regle!$C$12,regle!$C$11,
IF(AW170=regle!$D$12,regle!$D$11,
IF(AW170=regle!$E$12,regle!$E$11,
IF(AW170=regle!$F$12,regle!$F$11,
IF(AW170=regle!$G$12,regle!$G$11,
IF(AW170=regle!$H$12,regle!$H$11,
IF(AW170=regle!$I$12,regle!$I$11,""))))))))))</f>
        <v/>
      </c>
      <c r="AD170" t="str">
        <f>IF(NOT($A170),"",
IF(AX170=-2,regle!$J$11,
IF(AX170=regle!$B$12,regle!$B$11,
IF(AX170=regle!$C$12,regle!$C$11,
IF(AX170=regle!$D$12,regle!$D$11,
IF(AX170=regle!$E$12,regle!$E$11,
IF(AX170=regle!$F$12,regle!$F$11,
IF(AX170=regle!$G$12,regle!$G$11,
IF(AX170=regle!$H$12,regle!$H$11,
IF(AX170=regle!$I$12,regle!$I$11,""))))))))))</f>
        <v>EC2</v>
      </c>
      <c r="AE170" s="14">
        <f>IF($A170,$M170*(IF(U170=regle!$B$11,regle!$B$23,IF(U170=regle!$C$11,regle!$C$23,IF(U170=regle!$D$11,regle!$D$23,IF(U170=regle!$E$11,regle!$E$23,IF(U170=regle!$F$11,regle!$F$23,IF(U170=regle!$G$11,regle!$G$23,IF(U170=regle!$H$11,regle!$H$23,IF(U170=regle!$I$11,regle!$I$23,IF(U170=regle!$J$11,regle!$J$23,0)))))))))))</f>
        <v>0</v>
      </c>
      <c r="AF170" s="14">
        <f>IF($A170,$M170*(IF(V170=regle!$B$11,regle!$B$23,IF(V170=regle!$C$11,regle!$C$23,IF(V170=regle!$D$11,regle!$D$23,IF(V170=regle!$E$11,regle!$E$23,IF(V170=regle!$F$11,regle!$F$23,IF(V170=regle!$G$11,regle!$G$23,IF(V170=regle!$H$11,regle!$H$23,IF(V170=regle!$I$11,regle!$I$23,IF(V170=regle!$J$11,regle!$J$23,0)))))))))))</f>
        <v>0</v>
      </c>
      <c r="AG170" s="14">
        <f>IF($A170,$M170*(IF(W170=regle!$B$11,regle!$B$23,IF(W170=regle!$C$11,regle!$C$23,IF(W170=regle!$D$11,regle!$D$23,IF(W170=regle!$E$11,regle!$E$23,IF(W170=regle!$F$11,regle!$F$23,IF(W170=regle!$G$11,regle!$G$23,IF(W170=regle!$H$11,regle!$H$23,IF(W170=regle!$I$11,regle!$I$23,IF(W170=regle!$J$11,regle!$J$23,0)))))))))))</f>
        <v>0</v>
      </c>
      <c r="AH170" s="14">
        <f>IF($A170,$M170*(IF(X170=regle!$B$11,regle!$B$23,IF(X170=regle!$C$11,regle!$C$23,IF(X170=regle!$D$11,regle!$D$23,IF(X170=regle!$E$11,regle!$E$23,IF(X170=regle!$F$11,regle!$F$23,IF(X170=regle!$G$11,regle!$G$23,IF(X170=regle!$H$11,regle!$H$23,IF(X170=regle!$I$11,regle!$I$23,IF(X170=regle!$J$11,regle!$J$23,0)))))))))))</f>
        <v>0</v>
      </c>
      <c r="AI170" s="14">
        <f>IF($A170,$M170*(IF(Y170=regle!$B$11,regle!$B$23,IF(Y170=regle!$C$11,regle!$C$23,IF(Y170=regle!$D$11,regle!$D$23,IF(Y170=regle!$E$11,regle!$E$23,IF(Y170=regle!$F$11,regle!$F$23,IF(Y170=regle!$G$11,regle!$G$23,IF(Y170=regle!$H$11,regle!$H$23,IF(Y170=regle!$I$11,regle!$I$23,IF(Y170=regle!$J$11,regle!$J$23,0)))))))))))</f>
        <v>76.320000000000007</v>
      </c>
      <c r="AJ170" s="14">
        <f>IF($A170,$M170*(IF(Z170=regle!$B$11,regle!$B$23,IF(Z170=regle!$C$11,regle!$C$23,IF(Z170=regle!$D$11,regle!$D$23,IF(Z170=regle!$E$11,regle!$E$23,IF(Z170=regle!$F$11,regle!$F$23,IF(Z170=regle!$G$11,regle!$G$23,IF(Z170=regle!$H$11,regle!$H$23,IF(Z170=regle!$I$11,regle!$I$23,IF(Z170=regle!$J$11,regle!$J$23,0)))))))))))</f>
        <v>0</v>
      </c>
      <c r="AK170" s="14">
        <f>IF($A170,$M170*(IF(AA170=regle!$B$11,regle!$B$23,IF(AA170=regle!$C$11,regle!$C$23,IF(AA170=regle!$D$11,regle!$D$23,IF(AA170=regle!$E$11,regle!$E$23,IF(AA170=regle!$F$11,regle!$F$23,IF(AA170=regle!$G$11,regle!$G$23,IF(AA170=regle!$H$11,regle!$H$23,IF(AA170=regle!$I$11,regle!$I$23,IF(AA170=regle!$J$11,regle!$J$23,0)))))))))))</f>
        <v>0</v>
      </c>
      <c r="AL170" s="14">
        <f>IF($A170,$M170*(IF(AB170=regle!$B$11,regle!$B$23,IF(AB170=regle!$C$11,regle!$C$23,IF(AB170=regle!$D$11,regle!$D$23,IF(AB170=regle!$E$11,regle!$E$23,IF(AB170=regle!$F$11,regle!$F$23,IF(AB170=regle!$G$11,regle!$G$23,IF(AB170=regle!$H$11,regle!$H$23,IF(AB170=regle!$I$11,regle!$I$23,IF(AB170=regle!$J$11,regle!$J$23,0)))))))))))</f>
        <v>0</v>
      </c>
      <c r="AM170" s="14">
        <f>IF($A170,$M170*(IF(AC170=regle!$B$11,regle!$B$23,IF(AC170=regle!$C$11,regle!$C$23,IF(AC170=regle!$D$11,regle!$D$23,IF(AC170=regle!$E$11,regle!$E$23,IF(AC170=regle!$F$11,regle!$F$23,IF(AC170=regle!$G$11,regle!$G$23,IF(AC170=regle!$H$11,regle!$H$23,IF(AC170=regle!$I$11,regle!$I$23,IF(AC170=regle!$J$11,regle!$J$23,0)))))))))))</f>
        <v>0</v>
      </c>
      <c r="AN170" s="14">
        <f>IF($A170,$M170*(IF(AD170=regle!$B$11,regle!$B$23,IF(AD170=regle!$C$11,regle!$C$23,IF(AD170=regle!$D$11,regle!$D$23,IF(AD170=regle!$E$11,regle!$E$23,IF(AD170=regle!$F$11,regle!$F$23,IF(AD170=regle!$G$11,regle!$G$23,IF(AD170=regle!$H$11,regle!$H$23,IF(AD170=regle!$I$11,regle!$I$23,IF(AD170=regle!$J$11,regle!$J$23,0)))))))))))</f>
        <v>111.30000000000001</v>
      </c>
      <c r="AO170">
        <f>IF(AO$1=$AO$1,IF(regle!B$2-$Q170&gt;=regle!$J$12,-2,IF($S170,IF(regle!$B$2-$Q170&gt;=2,0,-1),regle!B$2-$Q170)),IF(AN170+1&gt;=regle!$J$12,-2,AN170+1))</f>
        <v>9</v>
      </c>
      <c r="AP170">
        <f>IF(AP$1=$AO$1,IF(regle!C$2-$Q170&gt;=regle!$J$12,-2,IF($S170,IF(regle!$B$2-$Q170&gt;=2,0,-1),regle!C$2-$Q170)),IF(AO170+1&gt;=regle!$J$12,-2,AO170+1))</f>
        <v>10</v>
      </c>
      <c r="AQ170">
        <f>IF(AQ$1=$AO$1,IF(regle!D$2-$Q170&gt;=regle!$J$12,-2,IF($S170,IF(regle!$B$2-$Q170&gt;=2,0,-1),regle!D$2-$Q170)),IF(AP170+1&gt;=regle!$J$12,-2,AP170+1))</f>
        <v>11</v>
      </c>
      <c r="AR170">
        <f>IF(AR$1=$AO$1,IF(regle!E$2-$Q170&gt;=regle!$J$12,-2,IF($S170,IF(regle!$B$2-$Q170&gt;=2,0,-1),regle!E$2-$Q170)),IF(AQ170+1&gt;=regle!$J$12,-2,AQ170+1))</f>
        <v>12</v>
      </c>
      <c r="AS170">
        <f>IF(AS$1=$AO$1,IF(regle!F$2-$Q170&gt;=regle!$J$12,-2,IF($S170,IF(regle!$B$2-$Q170&gt;=2,0,-1),regle!F$2-$Q170)),IF(AR170+1&gt;=regle!$J$12,-2,AR170+1))</f>
        <v>13</v>
      </c>
      <c r="AT170">
        <f>IF(AT$1=$AO$1,IF(regle!G$2-$Q170&gt;=regle!$J$12,-2,IF($S170,IF(regle!$B$2-$Q170&gt;=2,0,-1),regle!G$2-$Q170)),IF(AS170+1&gt;=regle!$J$12,-2,AS170+1))</f>
        <v>14</v>
      </c>
      <c r="AU170">
        <f>IF(AU$1=$AO$1,IF(regle!H$2-$Q170&gt;=regle!$J$12,-2,IF($S170,IF(regle!$B$2-$Q170&gt;=2,0,-1),regle!H$2-$Q170)),IF(AT170+1&gt;=regle!$J$12,-2,AT170+1))</f>
        <v>15</v>
      </c>
      <c r="AV170">
        <f>IF(AV$1=$AO$1,IF(regle!I$2-$Q170&gt;=regle!$J$12,-2,IF($S170,IF(regle!$B$2-$Q170&gt;=2,0,-1),regle!I$2-$Q170)),IF(AU170+1&gt;=regle!$J$12,-2,AU170+1))</f>
        <v>16</v>
      </c>
      <c r="AW170">
        <f>IF(AW$1=$AO$1,IF(regle!J$2-$Q170&gt;=regle!$J$12,-2,IF($S170,IF(regle!$B$2-$Q170&gt;=2,0,-1),regle!J$2-$Q170)),IF(AV170+1&gt;=regle!$J$12,-2,AV170+1))</f>
        <v>17</v>
      </c>
      <c r="AX170">
        <f>IF(AX$1=$AO$1,IF(regle!K$2-$Q170&gt;=regle!$J$12,-2,IF($S170,IF(regle!$B$2-$Q170&gt;=2,0,-1),regle!K$2-$Q170)),IF(AW170+1&gt;=regle!$J$12,-2,AW170+1))</f>
        <v>18</v>
      </c>
    </row>
    <row r="171" spans="1:50" x14ac:dyDescent="0.25">
      <c r="A171" t="b">
        <f>AND(modif0[[#This Row],[cdstr]]&lt;&gt;0,OR(regle!$H$27=FALSE,modif0[[#This Row],[essnc]]="PM"))</f>
        <v>1</v>
      </c>
      <c r="B171">
        <f>ROW(objet!A198)</f>
        <v>198</v>
      </c>
      <c r="C171" s="10" t="str">
        <f>objet!D198</f>
        <v>2020000B1198</v>
      </c>
      <c r="D171" t="str">
        <f>LEFT(modif0[[#This Row],[cdstr]],3)</f>
        <v>202</v>
      </c>
      <c r="E171" s="10" t="str">
        <f>objet!G198</f>
        <v>HOSTENS</v>
      </c>
      <c r="F171">
        <f>LEN(modif0[[#This Row],[l_dt]])</f>
        <v>11</v>
      </c>
      <c r="G171" s="10" t="str">
        <f>objet!H198</f>
        <v>LES CAZALAS</v>
      </c>
      <c r="H171" s="10" t="str">
        <f>objet!C198</f>
        <v>B1198</v>
      </c>
      <c r="I171" t="str">
        <f>IF(ISNUMBER(VALUE(RIGHT(LEFT(modif0[[#This Row],[idntfn]],2),1))),_xlfn.CONCAT(0,LEFT(modif0[[#This Row],[idntfn]],1)),LEFT(modif0[[#This Row],[idntfn]],2))</f>
        <v>0B</v>
      </c>
      <c r="J171">
        <f>VALUE(LEFT(RIGHT(modif0[[#This Row],[idntfn]],LEN(modif0[[#This Row],[idntfn]])-IF(LEFT(modif0[[#This Row],[sctn]],1)="0",1,2)),LEN(modif0[[#This Row],[idntfn]])-IF(LEFT(modif0[[#This Row],[sctn]],1)="0",1,2)-LEN(modif0[[#This Row],[lttr]])))</f>
        <v>1198</v>
      </c>
      <c r="K171" t="str">
        <f>IF(ISNUMBER(VALUE(RIGHT(modif0[[#This Row],[idntfn]],1))),"",IF(ISNUMBER(VALUE(LEFT(RIGHT(modif0[[#This Row],[idntfn]],2),1))),RIGHT(modif0[[#This Row],[idntfn]],1),RIGHT(modif0[[#This Row],[idntfn]],2)))</f>
        <v/>
      </c>
      <c r="L171" s="10">
        <f>objet!I198</f>
        <v>6880</v>
      </c>
      <c r="M171" s="11">
        <f>modif0[[#This Row],[srfc]]/10000</f>
        <v>0.68799999999999994</v>
      </c>
      <c r="N171" s="10" t="str">
        <f>objet!Z198</f>
        <v>PM</v>
      </c>
      <c r="O171" s="10" t="str">
        <f>objet!AA198</f>
        <v>PLA2015</v>
      </c>
      <c r="P171" t="str">
        <f>IF(ISNUMBER(modif0[[#This Row],[trvx]]),"",LEFT(modif0[[#This Row],[trvx]],LEN(modif0[[#This Row],[trvx]])-4))</f>
        <v>PLA</v>
      </c>
      <c r="Q171">
        <f>VALUE(RIGHT(modif0[[#This Row],[trvx]],4))</f>
        <v>2015</v>
      </c>
      <c r="R171" t="str">
        <f>_xlfn.CONCAT(modif0[[#This Row],[tp]],"-",modif0[[#This Row],[essnc]],"_",modif0[[#This Row],[anns]])</f>
        <v>PLA-PM_2015</v>
      </c>
      <c r="S171" t="b">
        <f>modif0[[#This Row],[tp]]="CR"</f>
        <v>0</v>
      </c>
      <c r="T171">
        <v>40</v>
      </c>
      <c r="U171" t="str">
        <f>IF(NOT($A171),"",
IF(AO171=-2,regle!$J$11,
IF(AO171=regle!$B$12,regle!$B$11,
IF(AO171=regle!$C$12,regle!$C$11,
IF(AO171=regle!$D$12,regle!$D$11,
IF(AO171=regle!$E$12,regle!$E$11,
IF(AO171=regle!$F$12,regle!$F$11,
IF(AO171=regle!$G$12,regle!$G$11,
IF(AO171=regle!$H$12,regle!$H$11,
IF(AO171=regle!$I$12,regle!$I$11,""))))))))))</f>
        <v/>
      </c>
      <c r="V171" t="str">
        <f>IF(NOT($A171),"",
IF(AP171=-2,regle!$J$11,
IF(AP171=regle!$B$12,regle!$B$11,
IF(AP171=regle!$C$12,regle!$C$11,
IF(AP171=regle!$D$12,regle!$D$11,
IF(AP171=regle!$E$12,regle!$E$11,
IF(AP171=regle!$F$12,regle!$F$11,
IF(AP171=regle!$G$12,regle!$G$11,
IF(AP171=regle!$H$12,regle!$H$11,
IF(AP171=regle!$I$12,regle!$I$11,""))))))))))</f>
        <v/>
      </c>
      <c r="W171" t="str">
        <f>IF(NOT($A171),"",
IF(AQ171=-2,regle!$J$11,
IF(AQ171=regle!$B$12,regle!$B$11,
IF(AQ171=regle!$C$12,regle!$C$11,
IF(AQ171=regle!$D$12,regle!$D$11,
IF(AQ171=regle!$E$12,regle!$E$11,
IF(AQ171=regle!$F$12,regle!$F$11,
IF(AQ171=regle!$G$12,regle!$G$11,
IF(AQ171=regle!$H$12,regle!$H$11,
IF(AQ171=regle!$I$12,regle!$I$11,""))))))))))</f>
        <v/>
      </c>
      <c r="X171" t="str">
        <f>IF(NOT($A171),"",
IF(AR171=-2,regle!$J$11,
IF(AR171=regle!$B$12,regle!$B$11,
IF(AR171=regle!$C$12,regle!$C$11,
IF(AR171=regle!$D$12,regle!$D$11,
IF(AR171=regle!$E$12,regle!$E$11,
IF(AR171=regle!$F$12,regle!$F$11,
IF(AR171=regle!$G$12,regle!$G$11,
IF(AR171=regle!$H$12,regle!$H$11,
IF(AR171=regle!$I$12,regle!$I$11,""))))))))))</f>
        <v/>
      </c>
      <c r="Y171" t="str">
        <f>IF(NOT($A171),"",
IF(AS171=-2,regle!$J$11,
IF(AS171=regle!$B$12,regle!$B$11,
IF(AS171=regle!$C$12,regle!$C$11,
IF(AS171=regle!$D$12,regle!$D$11,
IF(AS171=regle!$E$12,regle!$E$11,
IF(AS171=regle!$F$12,regle!$F$11,
IF(AS171=regle!$G$12,regle!$G$11,
IF(AS171=regle!$H$12,regle!$H$11,
IF(AS171=regle!$I$12,regle!$I$11,""))))))))))</f>
        <v>EC1</v>
      </c>
      <c r="Z171" t="str">
        <f>IF(NOT($A171),"",
IF(AT171=-2,regle!$J$11,
IF(AT171=regle!$B$12,regle!$B$11,
IF(AT171=regle!$C$12,regle!$C$11,
IF(AT171=regle!$D$12,regle!$D$11,
IF(AT171=regle!$E$12,regle!$E$11,
IF(AT171=regle!$F$12,regle!$F$11,
IF(AT171=regle!$G$12,regle!$G$11,
IF(AT171=regle!$H$12,regle!$H$11,
IF(AT171=regle!$I$12,regle!$I$11,""))))))))))</f>
        <v/>
      </c>
      <c r="AA171" t="str">
        <f>IF(NOT($A171),"",
IF(AU171=-2,regle!$J$11,
IF(AU171=regle!$B$12,regle!$B$11,
IF(AU171=regle!$C$12,regle!$C$11,
IF(AU171=regle!$D$12,regle!$D$11,
IF(AU171=regle!$E$12,regle!$E$11,
IF(AU171=regle!$F$12,regle!$F$11,
IF(AU171=regle!$G$12,regle!$G$11,
IF(AU171=regle!$H$12,regle!$H$11,
IF(AU171=regle!$I$12,regle!$I$11,""))))))))))</f>
        <v/>
      </c>
      <c r="AB171" t="str">
        <f>IF(NOT($A171),"",
IF(AV171=-2,regle!$J$11,
IF(AV171=regle!$B$12,regle!$B$11,
IF(AV171=regle!$C$12,regle!$C$11,
IF(AV171=regle!$D$12,regle!$D$11,
IF(AV171=regle!$E$12,regle!$E$11,
IF(AV171=regle!$F$12,regle!$F$11,
IF(AV171=regle!$G$12,regle!$G$11,
IF(AV171=regle!$H$12,regle!$H$11,
IF(AV171=regle!$I$12,regle!$I$11,""))))))))))</f>
        <v/>
      </c>
      <c r="AC171" t="str">
        <f>IF(NOT($A171),"",
IF(AW171=-2,regle!$J$11,
IF(AW171=regle!$B$12,regle!$B$11,
IF(AW171=regle!$C$12,regle!$C$11,
IF(AW171=regle!$D$12,regle!$D$11,
IF(AW171=regle!$E$12,regle!$E$11,
IF(AW171=regle!$F$12,regle!$F$11,
IF(AW171=regle!$G$12,regle!$G$11,
IF(AW171=regle!$H$12,regle!$H$11,
IF(AW171=regle!$I$12,regle!$I$11,""))))))))))</f>
        <v/>
      </c>
      <c r="AD171" t="str">
        <f>IF(NOT($A171),"",
IF(AX171=-2,regle!$J$11,
IF(AX171=regle!$B$12,regle!$B$11,
IF(AX171=regle!$C$12,regle!$C$11,
IF(AX171=regle!$D$12,regle!$D$11,
IF(AX171=regle!$E$12,regle!$E$11,
IF(AX171=regle!$F$12,regle!$F$11,
IF(AX171=regle!$G$12,regle!$G$11,
IF(AX171=regle!$H$12,regle!$H$11,
IF(AX171=regle!$I$12,regle!$I$11,""))))))))))</f>
        <v>EC2</v>
      </c>
      <c r="AE171" s="14">
        <f>IF($A171,$M171*(IF(U171=regle!$B$11,regle!$B$23,IF(U171=regle!$C$11,regle!$C$23,IF(U171=regle!$D$11,regle!$D$23,IF(U171=regle!$E$11,regle!$E$23,IF(U171=regle!$F$11,regle!$F$23,IF(U171=regle!$G$11,regle!$G$23,IF(U171=regle!$H$11,regle!$H$23,IF(U171=regle!$I$11,regle!$I$23,IF(U171=regle!$J$11,regle!$J$23,0)))))))))))</f>
        <v>0</v>
      </c>
      <c r="AF171" s="14">
        <f>IF($A171,$M171*(IF(V171=regle!$B$11,regle!$B$23,IF(V171=regle!$C$11,regle!$C$23,IF(V171=regle!$D$11,regle!$D$23,IF(V171=regle!$E$11,regle!$E$23,IF(V171=regle!$F$11,regle!$F$23,IF(V171=regle!$G$11,regle!$G$23,IF(V171=regle!$H$11,regle!$H$23,IF(V171=regle!$I$11,regle!$I$23,IF(V171=regle!$J$11,regle!$J$23,0)))))))))))</f>
        <v>0</v>
      </c>
      <c r="AG171" s="14">
        <f>IF($A171,$M171*(IF(W171=regle!$B$11,regle!$B$23,IF(W171=regle!$C$11,regle!$C$23,IF(W171=regle!$D$11,regle!$D$23,IF(W171=regle!$E$11,regle!$E$23,IF(W171=regle!$F$11,regle!$F$23,IF(W171=regle!$G$11,regle!$G$23,IF(W171=regle!$H$11,regle!$H$23,IF(W171=regle!$I$11,regle!$I$23,IF(W171=regle!$J$11,regle!$J$23,0)))))))))))</f>
        <v>0</v>
      </c>
      <c r="AH171" s="14">
        <f>IF($A171,$M171*(IF(X171=regle!$B$11,regle!$B$23,IF(X171=regle!$C$11,regle!$C$23,IF(X171=regle!$D$11,regle!$D$23,IF(X171=regle!$E$11,regle!$E$23,IF(X171=regle!$F$11,regle!$F$23,IF(X171=regle!$G$11,regle!$G$23,IF(X171=regle!$H$11,regle!$H$23,IF(X171=regle!$I$11,regle!$I$23,IF(X171=regle!$J$11,regle!$J$23,0)))))))))))</f>
        <v>0</v>
      </c>
      <c r="AI171" s="14">
        <f>IF($A171,$M171*(IF(Y171=regle!$B$11,regle!$B$23,IF(Y171=regle!$C$11,regle!$C$23,IF(Y171=regle!$D$11,regle!$D$23,IF(Y171=regle!$E$11,regle!$E$23,IF(Y171=regle!$F$11,regle!$F$23,IF(Y171=regle!$G$11,regle!$G$23,IF(Y171=regle!$H$11,regle!$H$23,IF(Y171=regle!$I$11,regle!$I$23,IF(Y171=regle!$J$11,regle!$J$23,0)))))))))))</f>
        <v>396.28799999999995</v>
      </c>
      <c r="AJ171" s="14">
        <f>IF($A171,$M171*(IF(Z171=regle!$B$11,regle!$B$23,IF(Z171=regle!$C$11,regle!$C$23,IF(Z171=regle!$D$11,regle!$D$23,IF(Z171=regle!$E$11,regle!$E$23,IF(Z171=regle!$F$11,regle!$F$23,IF(Z171=regle!$G$11,regle!$G$23,IF(Z171=regle!$H$11,regle!$H$23,IF(Z171=regle!$I$11,regle!$I$23,IF(Z171=regle!$J$11,regle!$J$23,0)))))))))))</f>
        <v>0</v>
      </c>
      <c r="AK171" s="14">
        <f>IF($A171,$M171*(IF(AA171=regle!$B$11,regle!$B$23,IF(AA171=regle!$C$11,regle!$C$23,IF(AA171=regle!$D$11,regle!$D$23,IF(AA171=regle!$E$11,regle!$E$23,IF(AA171=regle!$F$11,regle!$F$23,IF(AA171=regle!$G$11,regle!$G$23,IF(AA171=regle!$H$11,regle!$H$23,IF(AA171=regle!$I$11,regle!$I$23,IF(AA171=regle!$J$11,regle!$J$23,0)))))))))))</f>
        <v>0</v>
      </c>
      <c r="AL171" s="14">
        <f>IF($A171,$M171*(IF(AB171=regle!$B$11,regle!$B$23,IF(AB171=regle!$C$11,regle!$C$23,IF(AB171=regle!$D$11,regle!$D$23,IF(AB171=regle!$E$11,regle!$E$23,IF(AB171=regle!$F$11,regle!$F$23,IF(AB171=regle!$G$11,regle!$G$23,IF(AB171=regle!$H$11,regle!$H$23,IF(AB171=regle!$I$11,regle!$I$23,IF(AB171=regle!$J$11,regle!$J$23,0)))))))))))</f>
        <v>0</v>
      </c>
      <c r="AM171" s="14">
        <f>IF($A171,$M171*(IF(AC171=regle!$B$11,regle!$B$23,IF(AC171=regle!$C$11,regle!$C$23,IF(AC171=regle!$D$11,regle!$D$23,IF(AC171=regle!$E$11,regle!$E$23,IF(AC171=regle!$F$11,regle!$F$23,IF(AC171=regle!$G$11,regle!$G$23,IF(AC171=regle!$H$11,regle!$H$23,IF(AC171=regle!$I$11,regle!$I$23,IF(AC171=regle!$J$11,regle!$J$23,0)))))))))))</f>
        <v>0</v>
      </c>
      <c r="AN171" s="14">
        <f>IF($A171,$M171*(IF(AD171=regle!$B$11,regle!$B$23,IF(AD171=regle!$C$11,regle!$C$23,IF(AD171=regle!$D$11,regle!$D$23,IF(AD171=regle!$E$11,regle!$E$23,IF(AD171=regle!$F$11,regle!$F$23,IF(AD171=regle!$G$11,regle!$G$23,IF(AD171=regle!$H$11,regle!$H$23,IF(AD171=regle!$I$11,regle!$I$23,IF(AD171=regle!$J$11,regle!$J$23,0)))))))))))</f>
        <v>577.91999999999996</v>
      </c>
      <c r="AO171">
        <f>IF(AO$1=$AO$1,IF(regle!B$2-$Q171&gt;=regle!$J$12,-2,IF($S171,IF(regle!$B$2-$Q171&gt;=2,0,-1),regle!B$2-$Q171)),IF(AN171+1&gt;=regle!$J$12,-2,AN171+1))</f>
        <v>9</v>
      </c>
      <c r="AP171">
        <f>IF(AP$1=$AO$1,IF(regle!C$2-$Q171&gt;=regle!$J$12,-2,IF($S171,IF(regle!$B$2-$Q171&gt;=2,0,-1),regle!C$2-$Q171)),IF(AO171+1&gt;=regle!$J$12,-2,AO171+1))</f>
        <v>10</v>
      </c>
      <c r="AQ171">
        <f>IF(AQ$1=$AO$1,IF(regle!D$2-$Q171&gt;=regle!$J$12,-2,IF($S171,IF(regle!$B$2-$Q171&gt;=2,0,-1),regle!D$2-$Q171)),IF(AP171+1&gt;=regle!$J$12,-2,AP171+1))</f>
        <v>11</v>
      </c>
      <c r="AR171">
        <f>IF(AR$1=$AO$1,IF(regle!E$2-$Q171&gt;=regle!$J$12,-2,IF($S171,IF(regle!$B$2-$Q171&gt;=2,0,-1),regle!E$2-$Q171)),IF(AQ171+1&gt;=regle!$J$12,-2,AQ171+1))</f>
        <v>12</v>
      </c>
      <c r="AS171">
        <f>IF(AS$1=$AO$1,IF(regle!F$2-$Q171&gt;=regle!$J$12,-2,IF($S171,IF(regle!$B$2-$Q171&gt;=2,0,-1),regle!F$2-$Q171)),IF(AR171+1&gt;=regle!$J$12,-2,AR171+1))</f>
        <v>13</v>
      </c>
      <c r="AT171">
        <f>IF(AT$1=$AO$1,IF(regle!G$2-$Q171&gt;=regle!$J$12,-2,IF($S171,IF(regle!$B$2-$Q171&gt;=2,0,-1),regle!G$2-$Q171)),IF(AS171+1&gt;=regle!$J$12,-2,AS171+1))</f>
        <v>14</v>
      </c>
      <c r="AU171">
        <f>IF(AU$1=$AO$1,IF(regle!H$2-$Q171&gt;=regle!$J$12,-2,IF($S171,IF(regle!$B$2-$Q171&gt;=2,0,-1),regle!H$2-$Q171)),IF(AT171+1&gt;=regle!$J$12,-2,AT171+1))</f>
        <v>15</v>
      </c>
      <c r="AV171">
        <f>IF(AV$1=$AO$1,IF(regle!I$2-$Q171&gt;=regle!$J$12,-2,IF($S171,IF(regle!$B$2-$Q171&gt;=2,0,-1),regle!I$2-$Q171)),IF(AU171+1&gt;=regle!$J$12,-2,AU171+1))</f>
        <v>16</v>
      </c>
      <c r="AW171">
        <f>IF(AW$1=$AO$1,IF(regle!J$2-$Q171&gt;=regle!$J$12,-2,IF($S171,IF(regle!$B$2-$Q171&gt;=2,0,-1),regle!J$2-$Q171)),IF(AV171+1&gt;=regle!$J$12,-2,AV171+1))</f>
        <v>17</v>
      </c>
      <c r="AX171">
        <f>IF(AX$1=$AO$1,IF(regle!K$2-$Q171&gt;=regle!$J$12,-2,IF($S171,IF(regle!$B$2-$Q171&gt;=2,0,-1),regle!K$2-$Q171)),IF(AW171+1&gt;=regle!$J$12,-2,AW171+1))</f>
        <v>18</v>
      </c>
    </row>
    <row r="172" spans="1:50" x14ac:dyDescent="0.25">
      <c r="A172" t="b">
        <f>AND(modif0[[#This Row],[cdstr]]&lt;&gt;0,OR(regle!$H$27=FALSE,modif0[[#This Row],[essnc]]="PM"))</f>
        <v>1</v>
      </c>
      <c r="B172">
        <f>ROW(objet!A199)</f>
        <v>199</v>
      </c>
      <c r="C172" s="10" t="str">
        <f>objet!D199</f>
        <v>2020000B1199</v>
      </c>
      <c r="D172" t="str">
        <f>LEFT(modif0[[#This Row],[cdstr]],3)</f>
        <v>202</v>
      </c>
      <c r="E172" s="10" t="str">
        <f>objet!G199</f>
        <v>HOSTENS</v>
      </c>
      <c r="F172">
        <f>LEN(modif0[[#This Row],[l_dt]])</f>
        <v>11</v>
      </c>
      <c r="G172" s="10" t="str">
        <f>objet!H199</f>
        <v>LES CAZALAS</v>
      </c>
      <c r="H172" s="10" t="str">
        <f>objet!C199</f>
        <v>B1199j</v>
      </c>
      <c r="I172" t="str">
        <f>IF(ISNUMBER(VALUE(RIGHT(LEFT(modif0[[#This Row],[idntfn]],2),1))),_xlfn.CONCAT(0,LEFT(modif0[[#This Row],[idntfn]],1)),LEFT(modif0[[#This Row],[idntfn]],2))</f>
        <v>0B</v>
      </c>
      <c r="J172">
        <f>VALUE(LEFT(RIGHT(modif0[[#This Row],[idntfn]],LEN(modif0[[#This Row],[idntfn]])-IF(LEFT(modif0[[#This Row],[sctn]],1)="0",1,2)),LEN(modif0[[#This Row],[idntfn]])-IF(LEFT(modif0[[#This Row],[sctn]],1)="0",1,2)-LEN(modif0[[#This Row],[lttr]])))</f>
        <v>1199</v>
      </c>
      <c r="K172" t="str">
        <f>IF(ISNUMBER(VALUE(RIGHT(modif0[[#This Row],[idntfn]],1))),"",IF(ISNUMBER(VALUE(LEFT(RIGHT(modif0[[#This Row],[idntfn]],2),1))),RIGHT(modif0[[#This Row],[idntfn]],1),RIGHT(modif0[[#This Row],[idntfn]],2)))</f>
        <v>j</v>
      </c>
      <c r="L172" s="10">
        <f>objet!I199</f>
        <v>974</v>
      </c>
      <c r="M172" s="11">
        <f>modif0[[#This Row],[srfc]]/10000</f>
        <v>9.74E-2</v>
      </c>
      <c r="N172" s="10" t="str">
        <f>objet!Z199</f>
        <v>PM</v>
      </c>
      <c r="O172" s="10" t="str">
        <f>objet!AA199</f>
        <v>PLA2015</v>
      </c>
      <c r="P172" t="str">
        <f>IF(ISNUMBER(modif0[[#This Row],[trvx]]),"",LEFT(modif0[[#This Row],[trvx]],LEN(modif0[[#This Row],[trvx]])-4))</f>
        <v>PLA</v>
      </c>
      <c r="Q172">
        <f>VALUE(RIGHT(modif0[[#This Row],[trvx]],4))</f>
        <v>2015</v>
      </c>
      <c r="R172" t="str">
        <f>_xlfn.CONCAT(modif0[[#This Row],[tp]],"-",modif0[[#This Row],[essnc]],"_",modif0[[#This Row],[anns]])</f>
        <v>PLA-PM_2015</v>
      </c>
      <c r="S172" t="b">
        <f>modif0[[#This Row],[tp]]="CR"</f>
        <v>0</v>
      </c>
      <c r="T172">
        <v>40</v>
      </c>
      <c r="U172" t="str">
        <f>IF(NOT($A172),"",
IF(AO172=-2,regle!$J$11,
IF(AO172=regle!$B$12,regle!$B$11,
IF(AO172=regle!$C$12,regle!$C$11,
IF(AO172=regle!$D$12,regle!$D$11,
IF(AO172=regle!$E$12,regle!$E$11,
IF(AO172=regle!$F$12,regle!$F$11,
IF(AO172=regle!$G$12,regle!$G$11,
IF(AO172=regle!$H$12,regle!$H$11,
IF(AO172=regle!$I$12,regle!$I$11,""))))))))))</f>
        <v/>
      </c>
      <c r="V172" t="str">
        <f>IF(NOT($A172),"",
IF(AP172=-2,regle!$J$11,
IF(AP172=regle!$B$12,regle!$B$11,
IF(AP172=regle!$C$12,regle!$C$11,
IF(AP172=regle!$D$12,regle!$D$11,
IF(AP172=regle!$E$12,regle!$E$11,
IF(AP172=regle!$F$12,regle!$F$11,
IF(AP172=regle!$G$12,regle!$G$11,
IF(AP172=regle!$H$12,regle!$H$11,
IF(AP172=regle!$I$12,regle!$I$11,""))))))))))</f>
        <v/>
      </c>
      <c r="W172" t="str">
        <f>IF(NOT($A172),"",
IF(AQ172=-2,regle!$J$11,
IF(AQ172=regle!$B$12,regle!$B$11,
IF(AQ172=regle!$C$12,regle!$C$11,
IF(AQ172=regle!$D$12,regle!$D$11,
IF(AQ172=regle!$E$12,regle!$E$11,
IF(AQ172=regle!$F$12,regle!$F$11,
IF(AQ172=regle!$G$12,regle!$G$11,
IF(AQ172=regle!$H$12,regle!$H$11,
IF(AQ172=regle!$I$12,regle!$I$11,""))))))))))</f>
        <v/>
      </c>
      <c r="X172" t="str">
        <f>IF(NOT($A172),"",
IF(AR172=-2,regle!$J$11,
IF(AR172=regle!$B$12,regle!$B$11,
IF(AR172=regle!$C$12,regle!$C$11,
IF(AR172=regle!$D$12,regle!$D$11,
IF(AR172=regle!$E$12,regle!$E$11,
IF(AR172=regle!$F$12,regle!$F$11,
IF(AR172=regle!$G$12,regle!$G$11,
IF(AR172=regle!$H$12,regle!$H$11,
IF(AR172=regle!$I$12,regle!$I$11,""))))))))))</f>
        <v/>
      </c>
      <c r="Y172" t="str">
        <f>IF(NOT($A172),"",
IF(AS172=-2,regle!$J$11,
IF(AS172=regle!$B$12,regle!$B$11,
IF(AS172=regle!$C$12,regle!$C$11,
IF(AS172=regle!$D$12,regle!$D$11,
IF(AS172=regle!$E$12,regle!$E$11,
IF(AS172=regle!$F$12,regle!$F$11,
IF(AS172=regle!$G$12,regle!$G$11,
IF(AS172=regle!$H$12,regle!$H$11,
IF(AS172=regle!$I$12,regle!$I$11,""))))))))))</f>
        <v>EC1</v>
      </c>
      <c r="Z172" t="str">
        <f>IF(NOT($A172),"",
IF(AT172=-2,regle!$J$11,
IF(AT172=regle!$B$12,regle!$B$11,
IF(AT172=regle!$C$12,regle!$C$11,
IF(AT172=regle!$D$12,regle!$D$11,
IF(AT172=regle!$E$12,regle!$E$11,
IF(AT172=regle!$F$12,regle!$F$11,
IF(AT172=regle!$G$12,regle!$G$11,
IF(AT172=regle!$H$12,regle!$H$11,
IF(AT172=regle!$I$12,regle!$I$11,""))))))))))</f>
        <v/>
      </c>
      <c r="AA172" t="str">
        <f>IF(NOT($A172),"",
IF(AU172=-2,regle!$J$11,
IF(AU172=regle!$B$12,regle!$B$11,
IF(AU172=regle!$C$12,regle!$C$11,
IF(AU172=regle!$D$12,regle!$D$11,
IF(AU172=regle!$E$12,regle!$E$11,
IF(AU172=regle!$F$12,regle!$F$11,
IF(AU172=regle!$G$12,regle!$G$11,
IF(AU172=regle!$H$12,regle!$H$11,
IF(AU172=regle!$I$12,regle!$I$11,""))))))))))</f>
        <v/>
      </c>
      <c r="AB172" t="str">
        <f>IF(NOT($A172),"",
IF(AV172=-2,regle!$J$11,
IF(AV172=regle!$B$12,regle!$B$11,
IF(AV172=regle!$C$12,regle!$C$11,
IF(AV172=regle!$D$12,regle!$D$11,
IF(AV172=regle!$E$12,regle!$E$11,
IF(AV172=regle!$F$12,regle!$F$11,
IF(AV172=regle!$G$12,regle!$G$11,
IF(AV172=regle!$H$12,regle!$H$11,
IF(AV172=regle!$I$12,regle!$I$11,""))))))))))</f>
        <v/>
      </c>
      <c r="AC172" t="str">
        <f>IF(NOT($A172),"",
IF(AW172=-2,regle!$J$11,
IF(AW172=regle!$B$12,regle!$B$11,
IF(AW172=regle!$C$12,regle!$C$11,
IF(AW172=regle!$D$12,regle!$D$11,
IF(AW172=regle!$E$12,regle!$E$11,
IF(AW172=regle!$F$12,regle!$F$11,
IF(AW172=regle!$G$12,regle!$G$11,
IF(AW172=regle!$H$12,regle!$H$11,
IF(AW172=regle!$I$12,regle!$I$11,""))))))))))</f>
        <v/>
      </c>
      <c r="AD172" t="str">
        <f>IF(NOT($A172),"",
IF(AX172=-2,regle!$J$11,
IF(AX172=regle!$B$12,regle!$B$11,
IF(AX172=regle!$C$12,regle!$C$11,
IF(AX172=regle!$D$12,regle!$D$11,
IF(AX172=regle!$E$12,regle!$E$11,
IF(AX172=regle!$F$12,regle!$F$11,
IF(AX172=regle!$G$12,regle!$G$11,
IF(AX172=regle!$H$12,regle!$H$11,
IF(AX172=regle!$I$12,regle!$I$11,""))))))))))</f>
        <v>EC2</v>
      </c>
      <c r="AE172" s="14">
        <f>IF($A172,$M172*(IF(U172=regle!$B$11,regle!$B$23,IF(U172=regle!$C$11,regle!$C$23,IF(U172=regle!$D$11,regle!$D$23,IF(U172=regle!$E$11,regle!$E$23,IF(U172=regle!$F$11,regle!$F$23,IF(U172=regle!$G$11,regle!$G$23,IF(U172=regle!$H$11,regle!$H$23,IF(U172=regle!$I$11,regle!$I$23,IF(U172=regle!$J$11,regle!$J$23,0)))))))))))</f>
        <v>0</v>
      </c>
      <c r="AF172" s="14">
        <f>IF($A172,$M172*(IF(V172=regle!$B$11,regle!$B$23,IF(V172=regle!$C$11,regle!$C$23,IF(V172=regle!$D$11,regle!$D$23,IF(V172=regle!$E$11,regle!$E$23,IF(V172=regle!$F$11,regle!$F$23,IF(V172=regle!$G$11,regle!$G$23,IF(V172=regle!$H$11,regle!$H$23,IF(V172=regle!$I$11,regle!$I$23,IF(V172=regle!$J$11,regle!$J$23,0)))))))))))</f>
        <v>0</v>
      </c>
      <c r="AG172" s="14">
        <f>IF($A172,$M172*(IF(W172=regle!$B$11,regle!$B$23,IF(W172=regle!$C$11,regle!$C$23,IF(W172=regle!$D$11,regle!$D$23,IF(W172=regle!$E$11,regle!$E$23,IF(W172=regle!$F$11,regle!$F$23,IF(W172=regle!$G$11,regle!$G$23,IF(W172=regle!$H$11,regle!$H$23,IF(W172=regle!$I$11,regle!$I$23,IF(W172=regle!$J$11,regle!$J$23,0)))))))))))</f>
        <v>0</v>
      </c>
      <c r="AH172" s="14">
        <f>IF($A172,$M172*(IF(X172=regle!$B$11,regle!$B$23,IF(X172=regle!$C$11,regle!$C$23,IF(X172=regle!$D$11,regle!$D$23,IF(X172=regle!$E$11,regle!$E$23,IF(X172=regle!$F$11,regle!$F$23,IF(X172=regle!$G$11,regle!$G$23,IF(X172=regle!$H$11,regle!$H$23,IF(X172=regle!$I$11,regle!$I$23,IF(X172=regle!$J$11,regle!$J$23,0)))))))))))</f>
        <v>0</v>
      </c>
      <c r="AI172" s="14">
        <f>IF($A172,$M172*(IF(Y172=regle!$B$11,regle!$B$23,IF(Y172=regle!$C$11,regle!$C$23,IF(Y172=regle!$D$11,regle!$D$23,IF(Y172=regle!$E$11,regle!$E$23,IF(Y172=regle!$F$11,regle!$F$23,IF(Y172=regle!$G$11,regle!$G$23,IF(Y172=regle!$H$11,regle!$H$23,IF(Y172=regle!$I$11,regle!$I$23,IF(Y172=regle!$J$11,regle!$J$23,0)))))))))))</f>
        <v>56.102400000000003</v>
      </c>
      <c r="AJ172" s="14">
        <f>IF($A172,$M172*(IF(Z172=regle!$B$11,regle!$B$23,IF(Z172=regle!$C$11,regle!$C$23,IF(Z172=regle!$D$11,regle!$D$23,IF(Z172=regle!$E$11,regle!$E$23,IF(Z172=regle!$F$11,regle!$F$23,IF(Z172=regle!$G$11,regle!$G$23,IF(Z172=regle!$H$11,regle!$H$23,IF(Z172=regle!$I$11,regle!$I$23,IF(Z172=regle!$J$11,regle!$J$23,0)))))))))))</f>
        <v>0</v>
      </c>
      <c r="AK172" s="14">
        <f>IF($A172,$M172*(IF(AA172=regle!$B$11,regle!$B$23,IF(AA172=regle!$C$11,regle!$C$23,IF(AA172=regle!$D$11,regle!$D$23,IF(AA172=regle!$E$11,regle!$E$23,IF(AA172=regle!$F$11,regle!$F$23,IF(AA172=regle!$G$11,regle!$G$23,IF(AA172=regle!$H$11,regle!$H$23,IF(AA172=regle!$I$11,regle!$I$23,IF(AA172=regle!$J$11,regle!$J$23,0)))))))))))</f>
        <v>0</v>
      </c>
      <c r="AL172" s="14">
        <f>IF($A172,$M172*(IF(AB172=regle!$B$11,regle!$B$23,IF(AB172=regle!$C$11,regle!$C$23,IF(AB172=regle!$D$11,regle!$D$23,IF(AB172=regle!$E$11,regle!$E$23,IF(AB172=regle!$F$11,regle!$F$23,IF(AB172=regle!$G$11,regle!$G$23,IF(AB172=regle!$H$11,regle!$H$23,IF(AB172=regle!$I$11,regle!$I$23,IF(AB172=regle!$J$11,regle!$J$23,0)))))))))))</f>
        <v>0</v>
      </c>
      <c r="AM172" s="14">
        <f>IF($A172,$M172*(IF(AC172=regle!$B$11,regle!$B$23,IF(AC172=regle!$C$11,regle!$C$23,IF(AC172=regle!$D$11,regle!$D$23,IF(AC172=regle!$E$11,regle!$E$23,IF(AC172=regle!$F$11,regle!$F$23,IF(AC172=regle!$G$11,regle!$G$23,IF(AC172=regle!$H$11,regle!$H$23,IF(AC172=regle!$I$11,regle!$I$23,IF(AC172=regle!$J$11,regle!$J$23,0)))))))))))</f>
        <v>0</v>
      </c>
      <c r="AN172" s="14">
        <f>IF($A172,$M172*(IF(AD172=regle!$B$11,regle!$B$23,IF(AD172=regle!$C$11,regle!$C$23,IF(AD172=regle!$D$11,regle!$D$23,IF(AD172=regle!$E$11,regle!$E$23,IF(AD172=regle!$F$11,regle!$F$23,IF(AD172=regle!$G$11,regle!$G$23,IF(AD172=regle!$H$11,regle!$H$23,IF(AD172=regle!$I$11,regle!$I$23,IF(AD172=regle!$J$11,regle!$J$23,0)))))))))))</f>
        <v>81.816000000000003</v>
      </c>
      <c r="AO172">
        <f>IF(AO$1=$AO$1,IF(regle!B$2-$Q172&gt;=regle!$J$12,-2,IF($S172,IF(regle!$B$2-$Q172&gt;=2,0,-1),regle!B$2-$Q172)),IF(AN172+1&gt;=regle!$J$12,-2,AN172+1))</f>
        <v>9</v>
      </c>
      <c r="AP172">
        <f>IF(AP$1=$AO$1,IF(regle!C$2-$Q172&gt;=regle!$J$12,-2,IF($S172,IF(regle!$B$2-$Q172&gt;=2,0,-1),regle!C$2-$Q172)),IF(AO172+1&gt;=regle!$J$12,-2,AO172+1))</f>
        <v>10</v>
      </c>
      <c r="AQ172">
        <f>IF(AQ$1=$AO$1,IF(regle!D$2-$Q172&gt;=regle!$J$12,-2,IF($S172,IF(regle!$B$2-$Q172&gt;=2,0,-1),regle!D$2-$Q172)),IF(AP172+1&gt;=regle!$J$12,-2,AP172+1))</f>
        <v>11</v>
      </c>
      <c r="AR172">
        <f>IF(AR$1=$AO$1,IF(regle!E$2-$Q172&gt;=regle!$J$12,-2,IF($S172,IF(regle!$B$2-$Q172&gt;=2,0,-1),regle!E$2-$Q172)),IF(AQ172+1&gt;=regle!$J$12,-2,AQ172+1))</f>
        <v>12</v>
      </c>
      <c r="AS172">
        <f>IF(AS$1=$AO$1,IF(regle!F$2-$Q172&gt;=regle!$J$12,-2,IF($S172,IF(regle!$B$2-$Q172&gt;=2,0,-1),regle!F$2-$Q172)),IF(AR172+1&gt;=regle!$J$12,-2,AR172+1))</f>
        <v>13</v>
      </c>
      <c r="AT172">
        <f>IF(AT$1=$AO$1,IF(regle!G$2-$Q172&gt;=regle!$J$12,-2,IF($S172,IF(regle!$B$2-$Q172&gt;=2,0,-1),regle!G$2-$Q172)),IF(AS172+1&gt;=regle!$J$12,-2,AS172+1))</f>
        <v>14</v>
      </c>
      <c r="AU172">
        <f>IF(AU$1=$AO$1,IF(regle!H$2-$Q172&gt;=regle!$J$12,-2,IF($S172,IF(regle!$B$2-$Q172&gt;=2,0,-1),regle!H$2-$Q172)),IF(AT172+1&gt;=regle!$J$12,-2,AT172+1))</f>
        <v>15</v>
      </c>
      <c r="AV172">
        <f>IF(AV$1=$AO$1,IF(regle!I$2-$Q172&gt;=regle!$J$12,-2,IF($S172,IF(regle!$B$2-$Q172&gt;=2,0,-1),regle!I$2-$Q172)),IF(AU172+1&gt;=regle!$J$12,-2,AU172+1))</f>
        <v>16</v>
      </c>
      <c r="AW172">
        <f>IF(AW$1=$AO$1,IF(regle!J$2-$Q172&gt;=regle!$J$12,-2,IF($S172,IF(regle!$B$2-$Q172&gt;=2,0,-1),regle!J$2-$Q172)),IF(AV172+1&gt;=regle!$J$12,-2,AV172+1))</f>
        <v>17</v>
      </c>
      <c r="AX172">
        <f>IF(AX$1=$AO$1,IF(regle!K$2-$Q172&gt;=regle!$J$12,-2,IF($S172,IF(regle!$B$2-$Q172&gt;=2,0,-1),regle!K$2-$Q172)),IF(AW172+1&gt;=regle!$J$12,-2,AW172+1))</f>
        <v>18</v>
      </c>
    </row>
    <row r="173" spans="1:50" x14ac:dyDescent="0.25">
      <c r="A173" t="b">
        <f>AND(modif0[[#This Row],[cdstr]]&lt;&gt;0,OR(regle!$H$27=FALSE,modif0[[#This Row],[essnc]]="PM"))</f>
        <v>1</v>
      </c>
      <c r="B173">
        <f>ROW(objet!A200)</f>
        <v>200</v>
      </c>
      <c r="C173" s="10" t="str">
        <f>objet!D200</f>
        <v>2020000B1199</v>
      </c>
      <c r="D173" t="str">
        <f>LEFT(modif0[[#This Row],[cdstr]],3)</f>
        <v>202</v>
      </c>
      <c r="E173" s="10" t="str">
        <f>objet!G200</f>
        <v>HOSTENS</v>
      </c>
      <c r="F173">
        <f>LEN(modif0[[#This Row],[l_dt]])</f>
        <v>11</v>
      </c>
      <c r="G173" s="10" t="str">
        <f>objet!H200</f>
        <v>LES CAZALAS</v>
      </c>
      <c r="H173" s="10" t="str">
        <f>objet!C200</f>
        <v>B1199k</v>
      </c>
      <c r="I173" t="str">
        <f>IF(ISNUMBER(VALUE(RIGHT(LEFT(modif0[[#This Row],[idntfn]],2),1))),_xlfn.CONCAT(0,LEFT(modif0[[#This Row],[idntfn]],1)),LEFT(modif0[[#This Row],[idntfn]],2))</f>
        <v>0B</v>
      </c>
      <c r="J173">
        <f>VALUE(LEFT(RIGHT(modif0[[#This Row],[idntfn]],LEN(modif0[[#This Row],[idntfn]])-IF(LEFT(modif0[[#This Row],[sctn]],1)="0",1,2)),LEN(modif0[[#This Row],[idntfn]])-IF(LEFT(modif0[[#This Row],[sctn]],1)="0",1,2)-LEN(modif0[[#This Row],[lttr]])))</f>
        <v>1199</v>
      </c>
      <c r="K173" t="str">
        <f>IF(ISNUMBER(VALUE(RIGHT(modif0[[#This Row],[idntfn]],1))),"",IF(ISNUMBER(VALUE(LEFT(RIGHT(modif0[[#This Row],[idntfn]],2),1))),RIGHT(modif0[[#This Row],[idntfn]],1),RIGHT(modif0[[#This Row],[idntfn]],2)))</f>
        <v>k</v>
      </c>
      <c r="L173" s="10">
        <f>objet!I200</f>
        <v>226</v>
      </c>
      <c r="M173" s="11">
        <f>modif0[[#This Row],[srfc]]/10000</f>
        <v>2.2599999999999999E-2</v>
      </c>
      <c r="N173" s="10" t="str">
        <f>objet!Z200</f>
        <v>PM</v>
      </c>
      <c r="O173" s="10" t="str">
        <f>objet!AA200</f>
        <v>PLA2015</v>
      </c>
      <c r="P173" t="str">
        <f>IF(ISNUMBER(modif0[[#This Row],[trvx]]),"",LEFT(modif0[[#This Row],[trvx]],LEN(modif0[[#This Row],[trvx]])-4))</f>
        <v>PLA</v>
      </c>
      <c r="Q173">
        <f>VALUE(RIGHT(modif0[[#This Row],[trvx]],4))</f>
        <v>2015</v>
      </c>
      <c r="R173" t="str">
        <f>_xlfn.CONCAT(modif0[[#This Row],[tp]],"-",modif0[[#This Row],[essnc]],"_",modif0[[#This Row],[anns]])</f>
        <v>PLA-PM_2015</v>
      </c>
      <c r="S173" t="b">
        <f>modif0[[#This Row],[tp]]="CR"</f>
        <v>0</v>
      </c>
      <c r="T173">
        <v>40</v>
      </c>
      <c r="U173" t="str">
        <f>IF(NOT($A173),"",
IF(AO173=-2,regle!$J$11,
IF(AO173=regle!$B$12,regle!$B$11,
IF(AO173=regle!$C$12,regle!$C$11,
IF(AO173=regle!$D$12,regle!$D$11,
IF(AO173=regle!$E$12,regle!$E$11,
IF(AO173=regle!$F$12,regle!$F$11,
IF(AO173=regle!$G$12,regle!$G$11,
IF(AO173=regle!$H$12,regle!$H$11,
IF(AO173=regle!$I$12,regle!$I$11,""))))))))))</f>
        <v/>
      </c>
      <c r="V173" t="str">
        <f>IF(NOT($A173),"",
IF(AP173=-2,regle!$J$11,
IF(AP173=regle!$B$12,regle!$B$11,
IF(AP173=regle!$C$12,regle!$C$11,
IF(AP173=regle!$D$12,regle!$D$11,
IF(AP173=regle!$E$12,regle!$E$11,
IF(AP173=regle!$F$12,regle!$F$11,
IF(AP173=regle!$G$12,regle!$G$11,
IF(AP173=regle!$H$12,regle!$H$11,
IF(AP173=regle!$I$12,regle!$I$11,""))))))))))</f>
        <v/>
      </c>
      <c r="W173" t="str">
        <f>IF(NOT($A173),"",
IF(AQ173=-2,regle!$J$11,
IF(AQ173=regle!$B$12,regle!$B$11,
IF(AQ173=regle!$C$12,regle!$C$11,
IF(AQ173=regle!$D$12,regle!$D$11,
IF(AQ173=regle!$E$12,regle!$E$11,
IF(AQ173=regle!$F$12,regle!$F$11,
IF(AQ173=regle!$G$12,regle!$G$11,
IF(AQ173=regle!$H$12,regle!$H$11,
IF(AQ173=regle!$I$12,regle!$I$11,""))))))))))</f>
        <v/>
      </c>
      <c r="X173" t="str">
        <f>IF(NOT($A173),"",
IF(AR173=-2,regle!$J$11,
IF(AR173=regle!$B$12,regle!$B$11,
IF(AR173=regle!$C$12,regle!$C$11,
IF(AR173=regle!$D$12,regle!$D$11,
IF(AR173=regle!$E$12,regle!$E$11,
IF(AR173=regle!$F$12,regle!$F$11,
IF(AR173=regle!$G$12,regle!$G$11,
IF(AR173=regle!$H$12,regle!$H$11,
IF(AR173=regle!$I$12,regle!$I$11,""))))))))))</f>
        <v/>
      </c>
      <c r="Y173" t="str">
        <f>IF(NOT($A173),"",
IF(AS173=-2,regle!$J$11,
IF(AS173=regle!$B$12,regle!$B$11,
IF(AS173=regle!$C$12,regle!$C$11,
IF(AS173=regle!$D$12,regle!$D$11,
IF(AS173=regle!$E$12,regle!$E$11,
IF(AS173=regle!$F$12,regle!$F$11,
IF(AS173=regle!$G$12,regle!$G$11,
IF(AS173=regle!$H$12,regle!$H$11,
IF(AS173=regle!$I$12,regle!$I$11,""))))))))))</f>
        <v>EC1</v>
      </c>
      <c r="Z173" t="str">
        <f>IF(NOT($A173),"",
IF(AT173=-2,regle!$J$11,
IF(AT173=regle!$B$12,regle!$B$11,
IF(AT173=regle!$C$12,regle!$C$11,
IF(AT173=regle!$D$12,regle!$D$11,
IF(AT173=regle!$E$12,regle!$E$11,
IF(AT173=regle!$F$12,regle!$F$11,
IF(AT173=regle!$G$12,regle!$G$11,
IF(AT173=regle!$H$12,regle!$H$11,
IF(AT173=regle!$I$12,regle!$I$11,""))))))))))</f>
        <v/>
      </c>
      <c r="AA173" t="str">
        <f>IF(NOT($A173),"",
IF(AU173=-2,regle!$J$11,
IF(AU173=regle!$B$12,regle!$B$11,
IF(AU173=regle!$C$12,regle!$C$11,
IF(AU173=regle!$D$12,regle!$D$11,
IF(AU173=regle!$E$12,regle!$E$11,
IF(AU173=regle!$F$12,regle!$F$11,
IF(AU173=regle!$G$12,regle!$G$11,
IF(AU173=regle!$H$12,regle!$H$11,
IF(AU173=regle!$I$12,regle!$I$11,""))))))))))</f>
        <v/>
      </c>
      <c r="AB173" t="str">
        <f>IF(NOT($A173),"",
IF(AV173=-2,regle!$J$11,
IF(AV173=regle!$B$12,regle!$B$11,
IF(AV173=regle!$C$12,regle!$C$11,
IF(AV173=regle!$D$12,regle!$D$11,
IF(AV173=regle!$E$12,regle!$E$11,
IF(AV173=regle!$F$12,regle!$F$11,
IF(AV173=regle!$G$12,regle!$G$11,
IF(AV173=regle!$H$12,regle!$H$11,
IF(AV173=regle!$I$12,regle!$I$11,""))))))))))</f>
        <v/>
      </c>
      <c r="AC173" t="str">
        <f>IF(NOT($A173),"",
IF(AW173=-2,regle!$J$11,
IF(AW173=regle!$B$12,regle!$B$11,
IF(AW173=regle!$C$12,regle!$C$11,
IF(AW173=regle!$D$12,regle!$D$11,
IF(AW173=regle!$E$12,regle!$E$11,
IF(AW173=regle!$F$12,regle!$F$11,
IF(AW173=regle!$G$12,regle!$G$11,
IF(AW173=regle!$H$12,regle!$H$11,
IF(AW173=regle!$I$12,regle!$I$11,""))))))))))</f>
        <v/>
      </c>
      <c r="AD173" t="str">
        <f>IF(NOT($A173),"",
IF(AX173=-2,regle!$J$11,
IF(AX173=regle!$B$12,regle!$B$11,
IF(AX173=regle!$C$12,regle!$C$11,
IF(AX173=regle!$D$12,regle!$D$11,
IF(AX173=regle!$E$12,regle!$E$11,
IF(AX173=regle!$F$12,regle!$F$11,
IF(AX173=regle!$G$12,regle!$G$11,
IF(AX173=regle!$H$12,regle!$H$11,
IF(AX173=regle!$I$12,regle!$I$11,""))))))))))</f>
        <v>EC2</v>
      </c>
      <c r="AE173" s="14">
        <f>IF($A173,$M173*(IF(U173=regle!$B$11,regle!$B$23,IF(U173=regle!$C$11,regle!$C$23,IF(U173=regle!$D$11,regle!$D$23,IF(U173=regle!$E$11,regle!$E$23,IF(U173=regle!$F$11,regle!$F$23,IF(U173=regle!$G$11,regle!$G$23,IF(U173=regle!$H$11,regle!$H$23,IF(U173=regle!$I$11,regle!$I$23,IF(U173=regle!$J$11,regle!$J$23,0)))))))))))</f>
        <v>0</v>
      </c>
      <c r="AF173" s="14">
        <f>IF($A173,$M173*(IF(V173=regle!$B$11,regle!$B$23,IF(V173=regle!$C$11,regle!$C$23,IF(V173=regle!$D$11,regle!$D$23,IF(V173=regle!$E$11,regle!$E$23,IF(V173=regle!$F$11,regle!$F$23,IF(V173=regle!$G$11,regle!$G$23,IF(V173=regle!$H$11,regle!$H$23,IF(V173=regle!$I$11,regle!$I$23,IF(V173=regle!$J$11,regle!$J$23,0)))))))))))</f>
        <v>0</v>
      </c>
      <c r="AG173" s="14">
        <f>IF($A173,$M173*(IF(W173=regle!$B$11,regle!$B$23,IF(W173=regle!$C$11,regle!$C$23,IF(W173=regle!$D$11,regle!$D$23,IF(W173=regle!$E$11,regle!$E$23,IF(W173=regle!$F$11,regle!$F$23,IF(W173=regle!$G$11,regle!$G$23,IF(W173=regle!$H$11,regle!$H$23,IF(W173=regle!$I$11,regle!$I$23,IF(W173=regle!$J$11,regle!$J$23,0)))))))))))</f>
        <v>0</v>
      </c>
      <c r="AH173" s="14">
        <f>IF($A173,$M173*(IF(X173=regle!$B$11,regle!$B$23,IF(X173=regle!$C$11,regle!$C$23,IF(X173=regle!$D$11,regle!$D$23,IF(X173=regle!$E$11,regle!$E$23,IF(X173=regle!$F$11,regle!$F$23,IF(X173=regle!$G$11,regle!$G$23,IF(X173=regle!$H$11,regle!$H$23,IF(X173=regle!$I$11,regle!$I$23,IF(X173=regle!$J$11,regle!$J$23,0)))))))))))</f>
        <v>0</v>
      </c>
      <c r="AI173" s="14">
        <f>IF($A173,$M173*(IF(Y173=regle!$B$11,regle!$B$23,IF(Y173=regle!$C$11,regle!$C$23,IF(Y173=regle!$D$11,regle!$D$23,IF(Y173=regle!$E$11,regle!$E$23,IF(Y173=regle!$F$11,regle!$F$23,IF(Y173=regle!$G$11,regle!$G$23,IF(Y173=regle!$H$11,regle!$H$23,IF(Y173=regle!$I$11,regle!$I$23,IF(Y173=regle!$J$11,regle!$J$23,0)))))))))))</f>
        <v>13.0176</v>
      </c>
      <c r="AJ173" s="14">
        <f>IF($A173,$M173*(IF(Z173=regle!$B$11,regle!$B$23,IF(Z173=regle!$C$11,regle!$C$23,IF(Z173=regle!$D$11,regle!$D$23,IF(Z173=regle!$E$11,regle!$E$23,IF(Z173=regle!$F$11,regle!$F$23,IF(Z173=regle!$G$11,regle!$G$23,IF(Z173=regle!$H$11,regle!$H$23,IF(Z173=regle!$I$11,regle!$I$23,IF(Z173=regle!$J$11,regle!$J$23,0)))))))))))</f>
        <v>0</v>
      </c>
      <c r="AK173" s="14">
        <f>IF($A173,$M173*(IF(AA173=regle!$B$11,regle!$B$23,IF(AA173=regle!$C$11,regle!$C$23,IF(AA173=regle!$D$11,regle!$D$23,IF(AA173=regle!$E$11,regle!$E$23,IF(AA173=regle!$F$11,regle!$F$23,IF(AA173=regle!$G$11,regle!$G$23,IF(AA173=regle!$H$11,regle!$H$23,IF(AA173=regle!$I$11,regle!$I$23,IF(AA173=regle!$J$11,regle!$J$23,0)))))))))))</f>
        <v>0</v>
      </c>
      <c r="AL173" s="14">
        <f>IF($A173,$M173*(IF(AB173=regle!$B$11,regle!$B$23,IF(AB173=regle!$C$11,regle!$C$23,IF(AB173=regle!$D$11,regle!$D$23,IF(AB173=regle!$E$11,regle!$E$23,IF(AB173=regle!$F$11,regle!$F$23,IF(AB173=regle!$G$11,regle!$G$23,IF(AB173=regle!$H$11,regle!$H$23,IF(AB173=regle!$I$11,regle!$I$23,IF(AB173=regle!$J$11,regle!$J$23,0)))))))))))</f>
        <v>0</v>
      </c>
      <c r="AM173" s="14">
        <f>IF($A173,$M173*(IF(AC173=regle!$B$11,regle!$B$23,IF(AC173=regle!$C$11,regle!$C$23,IF(AC173=regle!$D$11,regle!$D$23,IF(AC173=regle!$E$11,regle!$E$23,IF(AC173=regle!$F$11,regle!$F$23,IF(AC173=regle!$G$11,regle!$G$23,IF(AC173=regle!$H$11,regle!$H$23,IF(AC173=regle!$I$11,regle!$I$23,IF(AC173=regle!$J$11,regle!$J$23,0)))))))))))</f>
        <v>0</v>
      </c>
      <c r="AN173" s="14">
        <f>IF($A173,$M173*(IF(AD173=regle!$B$11,regle!$B$23,IF(AD173=regle!$C$11,regle!$C$23,IF(AD173=regle!$D$11,regle!$D$23,IF(AD173=regle!$E$11,regle!$E$23,IF(AD173=regle!$F$11,regle!$F$23,IF(AD173=regle!$G$11,regle!$G$23,IF(AD173=regle!$H$11,regle!$H$23,IF(AD173=regle!$I$11,regle!$I$23,IF(AD173=regle!$J$11,regle!$J$23,0)))))))))))</f>
        <v>18.983999999999998</v>
      </c>
      <c r="AO173">
        <f>IF(AO$1=$AO$1,IF(regle!B$2-$Q173&gt;=regle!$J$12,-2,IF($S173,IF(regle!$B$2-$Q173&gt;=2,0,-1),regle!B$2-$Q173)),IF(AN173+1&gt;=regle!$J$12,-2,AN173+1))</f>
        <v>9</v>
      </c>
      <c r="AP173">
        <f>IF(AP$1=$AO$1,IF(regle!C$2-$Q173&gt;=regle!$J$12,-2,IF($S173,IF(regle!$B$2-$Q173&gt;=2,0,-1),regle!C$2-$Q173)),IF(AO173+1&gt;=regle!$J$12,-2,AO173+1))</f>
        <v>10</v>
      </c>
      <c r="AQ173">
        <f>IF(AQ$1=$AO$1,IF(regle!D$2-$Q173&gt;=regle!$J$12,-2,IF($S173,IF(regle!$B$2-$Q173&gt;=2,0,-1),regle!D$2-$Q173)),IF(AP173+1&gt;=regle!$J$12,-2,AP173+1))</f>
        <v>11</v>
      </c>
      <c r="AR173">
        <f>IF(AR$1=$AO$1,IF(regle!E$2-$Q173&gt;=regle!$J$12,-2,IF($S173,IF(regle!$B$2-$Q173&gt;=2,0,-1),regle!E$2-$Q173)),IF(AQ173+1&gt;=regle!$J$12,-2,AQ173+1))</f>
        <v>12</v>
      </c>
      <c r="AS173">
        <f>IF(AS$1=$AO$1,IF(regle!F$2-$Q173&gt;=regle!$J$12,-2,IF($S173,IF(regle!$B$2-$Q173&gt;=2,0,-1),regle!F$2-$Q173)),IF(AR173+1&gt;=regle!$J$12,-2,AR173+1))</f>
        <v>13</v>
      </c>
      <c r="AT173">
        <f>IF(AT$1=$AO$1,IF(regle!G$2-$Q173&gt;=regle!$J$12,-2,IF($S173,IF(regle!$B$2-$Q173&gt;=2,0,-1),regle!G$2-$Q173)),IF(AS173+1&gt;=regle!$J$12,-2,AS173+1))</f>
        <v>14</v>
      </c>
      <c r="AU173">
        <f>IF(AU$1=$AO$1,IF(regle!H$2-$Q173&gt;=regle!$J$12,-2,IF($S173,IF(regle!$B$2-$Q173&gt;=2,0,-1),regle!H$2-$Q173)),IF(AT173+1&gt;=regle!$J$12,-2,AT173+1))</f>
        <v>15</v>
      </c>
      <c r="AV173">
        <f>IF(AV$1=$AO$1,IF(regle!I$2-$Q173&gt;=regle!$J$12,-2,IF($S173,IF(regle!$B$2-$Q173&gt;=2,0,-1),regle!I$2-$Q173)),IF(AU173+1&gt;=regle!$J$12,-2,AU173+1))</f>
        <v>16</v>
      </c>
      <c r="AW173">
        <f>IF(AW$1=$AO$1,IF(regle!J$2-$Q173&gt;=regle!$J$12,-2,IF($S173,IF(regle!$B$2-$Q173&gt;=2,0,-1),regle!J$2-$Q173)),IF(AV173+1&gt;=regle!$J$12,-2,AV173+1))</f>
        <v>17</v>
      </c>
      <c r="AX173">
        <f>IF(AX$1=$AO$1,IF(regle!K$2-$Q173&gt;=regle!$J$12,-2,IF($S173,IF(regle!$B$2-$Q173&gt;=2,0,-1),regle!K$2-$Q173)),IF(AW173+1&gt;=regle!$J$12,-2,AW173+1))</f>
        <v>18</v>
      </c>
    </row>
    <row r="174" spans="1:50" x14ac:dyDescent="0.25">
      <c r="A174" t="b">
        <f>AND(modif0[[#This Row],[cdstr]]&lt;&gt;0,OR(regle!$H$27=FALSE,modif0[[#This Row],[essnc]]="PM"))</f>
        <v>1</v>
      </c>
      <c r="B174">
        <f>ROW(objet!A201)</f>
        <v>201</v>
      </c>
      <c r="C174" s="10" t="str">
        <f>objet!D201</f>
        <v>2020000B1200</v>
      </c>
      <c r="D174" t="str">
        <f>LEFT(modif0[[#This Row],[cdstr]],3)</f>
        <v>202</v>
      </c>
      <c r="E174" s="10" t="str">
        <f>objet!G201</f>
        <v>HOSTENS</v>
      </c>
      <c r="F174">
        <f>LEN(modif0[[#This Row],[l_dt]])</f>
        <v>11</v>
      </c>
      <c r="G174" s="10" t="str">
        <f>objet!H201</f>
        <v>LES CAZALAS</v>
      </c>
      <c r="H174" s="10" t="str">
        <f>objet!C201</f>
        <v>B1200j</v>
      </c>
      <c r="I174" t="str">
        <f>IF(ISNUMBER(VALUE(RIGHT(LEFT(modif0[[#This Row],[idntfn]],2),1))),_xlfn.CONCAT(0,LEFT(modif0[[#This Row],[idntfn]],1)),LEFT(modif0[[#This Row],[idntfn]],2))</f>
        <v>0B</v>
      </c>
      <c r="J174">
        <f>VALUE(LEFT(RIGHT(modif0[[#This Row],[idntfn]],LEN(modif0[[#This Row],[idntfn]])-IF(LEFT(modif0[[#This Row],[sctn]],1)="0",1,2)),LEN(modif0[[#This Row],[idntfn]])-IF(LEFT(modif0[[#This Row],[sctn]],1)="0",1,2)-LEN(modif0[[#This Row],[lttr]])))</f>
        <v>1200</v>
      </c>
      <c r="K174" t="str">
        <f>IF(ISNUMBER(VALUE(RIGHT(modif0[[#This Row],[idntfn]],1))),"",IF(ISNUMBER(VALUE(LEFT(RIGHT(modif0[[#This Row],[idntfn]],2),1))),RIGHT(modif0[[#This Row],[idntfn]],1),RIGHT(modif0[[#This Row],[idntfn]],2)))</f>
        <v>j</v>
      </c>
      <c r="L174" s="10">
        <f>objet!I201</f>
        <v>6072</v>
      </c>
      <c r="M174" s="11">
        <f>modif0[[#This Row],[srfc]]/10000</f>
        <v>0.60719999999999996</v>
      </c>
      <c r="N174" s="10" t="str">
        <f>objet!Z201</f>
        <v>PM</v>
      </c>
      <c r="O174" s="10" t="str">
        <f>objet!AA201</f>
        <v>PLA2015</v>
      </c>
      <c r="P174" t="str">
        <f>IF(ISNUMBER(modif0[[#This Row],[trvx]]),"",LEFT(modif0[[#This Row],[trvx]],LEN(modif0[[#This Row],[trvx]])-4))</f>
        <v>PLA</v>
      </c>
      <c r="Q174">
        <f>VALUE(RIGHT(modif0[[#This Row],[trvx]],4))</f>
        <v>2015</v>
      </c>
      <c r="R174" t="str">
        <f>_xlfn.CONCAT(modif0[[#This Row],[tp]],"-",modif0[[#This Row],[essnc]],"_",modif0[[#This Row],[anns]])</f>
        <v>PLA-PM_2015</v>
      </c>
      <c r="S174" t="b">
        <f>modif0[[#This Row],[tp]]="CR"</f>
        <v>0</v>
      </c>
      <c r="T174">
        <v>40</v>
      </c>
      <c r="U174" t="str">
        <f>IF(NOT($A174),"",
IF(AO174=-2,regle!$J$11,
IF(AO174=regle!$B$12,regle!$B$11,
IF(AO174=regle!$C$12,regle!$C$11,
IF(AO174=regle!$D$12,regle!$D$11,
IF(AO174=regle!$E$12,regle!$E$11,
IF(AO174=regle!$F$12,regle!$F$11,
IF(AO174=regle!$G$12,regle!$G$11,
IF(AO174=regle!$H$12,regle!$H$11,
IF(AO174=regle!$I$12,regle!$I$11,""))))))))))</f>
        <v/>
      </c>
      <c r="V174" t="str">
        <f>IF(NOT($A174),"",
IF(AP174=-2,regle!$J$11,
IF(AP174=regle!$B$12,regle!$B$11,
IF(AP174=regle!$C$12,regle!$C$11,
IF(AP174=regle!$D$12,regle!$D$11,
IF(AP174=regle!$E$12,regle!$E$11,
IF(AP174=regle!$F$12,regle!$F$11,
IF(AP174=regle!$G$12,regle!$G$11,
IF(AP174=regle!$H$12,regle!$H$11,
IF(AP174=regle!$I$12,regle!$I$11,""))))))))))</f>
        <v/>
      </c>
      <c r="W174" t="str">
        <f>IF(NOT($A174),"",
IF(AQ174=-2,regle!$J$11,
IF(AQ174=regle!$B$12,regle!$B$11,
IF(AQ174=regle!$C$12,regle!$C$11,
IF(AQ174=regle!$D$12,regle!$D$11,
IF(AQ174=regle!$E$12,regle!$E$11,
IF(AQ174=regle!$F$12,regle!$F$11,
IF(AQ174=regle!$G$12,regle!$G$11,
IF(AQ174=regle!$H$12,regle!$H$11,
IF(AQ174=regle!$I$12,regle!$I$11,""))))))))))</f>
        <v/>
      </c>
      <c r="X174" t="str">
        <f>IF(NOT($A174),"",
IF(AR174=-2,regle!$J$11,
IF(AR174=regle!$B$12,regle!$B$11,
IF(AR174=regle!$C$12,regle!$C$11,
IF(AR174=regle!$D$12,regle!$D$11,
IF(AR174=regle!$E$12,regle!$E$11,
IF(AR174=regle!$F$12,regle!$F$11,
IF(AR174=regle!$G$12,regle!$G$11,
IF(AR174=regle!$H$12,regle!$H$11,
IF(AR174=regle!$I$12,regle!$I$11,""))))))))))</f>
        <v/>
      </c>
      <c r="Y174" t="str">
        <f>IF(NOT($A174),"",
IF(AS174=-2,regle!$J$11,
IF(AS174=regle!$B$12,regle!$B$11,
IF(AS174=regle!$C$12,regle!$C$11,
IF(AS174=regle!$D$12,regle!$D$11,
IF(AS174=regle!$E$12,regle!$E$11,
IF(AS174=regle!$F$12,regle!$F$11,
IF(AS174=regle!$G$12,regle!$G$11,
IF(AS174=regle!$H$12,regle!$H$11,
IF(AS174=regle!$I$12,regle!$I$11,""))))))))))</f>
        <v>EC1</v>
      </c>
      <c r="Z174" t="str">
        <f>IF(NOT($A174),"",
IF(AT174=-2,regle!$J$11,
IF(AT174=regle!$B$12,regle!$B$11,
IF(AT174=regle!$C$12,regle!$C$11,
IF(AT174=regle!$D$12,regle!$D$11,
IF(AT174=regle!$E$12,regle!$E$11,
IF(AT174=regle!$F$12,regle!$F$11,
IF(AT174=regle!$G$12,regle!$G$11,
IF(AT174=regle!$H$12,regle!$H$11,
IF(AT174=regle!$I$12,regle!$I$11,""))))))))))</f>
        <v/>
      </c>
      <c r="AA174" t="str">
        <f>IF(NOT($A174),"",
IF(AU174=-2,regle!$J$11,
IF(AU174=regle!$B$12,regle!$B$11,
IF(AU174=regle!$C$12,regle!$C$11,
IF(AU174=regle!$D$12,regle!$D$11,
IF(AU174=regle!$E$12,regle!$E$11,
IF(AU174=regle!$F$12,regle!$F$11,
IF(AU174=regle!$G$12,regle!$G$11,
IF(AU174=regle!$H$12,regle!$H$11,
IF(AU174=regle!$I$12,regle!$I$11,""))))))))))</f>
        <v/>
      </c>
      <c r="AB174" t="str">
        <f>IF(NOT($A174),"",
IF(AV174=-2,regle!$J$11,
IF(AV174=regle!$B$12,regle!$B$11,
IF(AV174=regle!$C$12,regle!$C$11,
IF(AV174=regle!$D$12,regle!$D$11,
IF(AV174=regle!$E$12,regle!$E$11,
IF(AV174=regle!$F$12,regle!$F$11,
IF(AV174=regle!$G$12,regle!$G$11,
IF(AV174=regle!$H$12,regle!$H$11,
IF(AV174=regle!$I$12,regle!$I$11,""))))))))))</f>
        <v/>
      </c>
      <c r="AC174" t="str">
        <f>IF(NOT($A174),"",
IF(AW174=-2,regle!$J$11,
IF(AW174=regle!$B$12,regle!$B$11,
IF(AW174=regle!$C$12,regle!$C$11,
IF(AW174=regle!$D$12,regle!$D$11,
IF(AW174=regle!$E$12,regle!$E$11,
IF(AW174=regle!$F$12,regle!$F$11,
IF(AW174=regle!$G$12,regle!$G$11,
IF(AW174=regle!$H$12,regle!$H$11,
IF(AW174=regle!$I$12,regle!$I$11,""))))))))))</f>
        <v/>
      </c>
      <c r="AD174" t="str">
        <f>IF(NOT($A174),"",
IF(AX174=-2,regle!$J$11,
IF(AX174=regle!$B$12,regle!$B$11,
IF(AX174=regle!$C$12,regle!$C$11,
IF(AX174=regle!$D$12,regle!$D$11,
IF(AX174=regle!$E$12,regle!$E$11,
IF(AX174=regle!$F$12,regle!$F$11,
IF(AX174=regle!$G$12,regle!$G$11,
IF(AX174=regle!$H$12,regle!$H$11,
IF(AX174=regle!$I$12,regle!$I$11,""))))))))))</f>
        <v>EC2</v>
      </c>
      <c r="AE174" s="14">
        <f>IF($A174,$M174*(IF(U174=regle!$B$11,regle!$B$23,IF(U174=regle!$C$11,regle!$C$23,IF(U174=regle!$D$11,regle!$D$23,IF(U174=regle!$E$11,regle!$E$23,IF(U174=regle!$F$11,regle!$F$23,IF(U174=regle!$G$11,regle!$G$23,IF(U174=regle!$H$11,regle!$H$23,IF(U174=regle!$I$11,regle!$I$23,IF(U174=regle!$J$11,regle!$J$23,0)))))))))))</f>
        <v>0</v>
      </c>
      <c r="AF174" s="14">
        <f>IF($A174,$M174*(IF(V174=regle!$B$11,regle!$B$23,IF(V174=regle!$C$11,regle!$C$23,IF(V174=regle!$D$11,regle!$D$23,IF(V174=regle!$E$11,regle!$E$23,IF(V174=regle!$F$11,regle!$F$23,IF(V174=regle!$G$11,regle!$G$23,IF(V174=regle!$H$11,regle!$H$23,IF(V174=regle!$I$11,regle!$I$23,IF(V174=regle!$J$11,regle!$J$23,0)))))))))))</f>
        <v>0</v>
      </c>
      <c r="AG174" s="14">
        <f>IF($A174,$M174*(IF(W174=regle!$B$11,regle!$B$23,IF(W174=regle!$C$11,regle!$C$23,IF(W174=regle!$D$11,regle!$D$23,IF(W174=regle!$E$11,regle!$E$23,IF(W174=regle!$F$11,regle!$F$23,IF(W174=regle!$G$11,regle!$G$23,IF(W174=regle!$H$11,regle!$H$23,IF(W174=regle!$I$11,regle!$I$23,IF(W174=regle!$J$11,regle!$J$23,0)))))))))))</f>
        <v>0</v>
      </c>
      <c r="AH174" s="14">
        <f>IF($A174,$M174*(IF(X174=regle!$B$11,regle!$B$23,IF(X174=regle!$C$11,regle!$C$23,IF(X174=regle!$D$11,regle!$D$23,IF(X174=regle!$E$11,regle!$E$23,IF(X174=regle!$F$11,regle!$F$23,IF(X174=regle!$G$11,regle!$G$23,IF(X174=regle!$H$11,regle!$H$23,IF(X174=regle!$I$11,regle!$I$23,IF(X174=regle!$J$11,regle!$J$23,0)))))))))))</f>
        <v>0</v>
      </c>
      <c r="AI174" s="14">
        <f>IF($A174,$M174*(IF(Y174=regle!$B$11,regle!$B$23,IF(Y174=regle!$C$11,regle!$C$23,IF(Y174=regle!$D$11,regle!$D$23,IF(Y174=regle!$E$11,regle!$E$23,IF(Y174=regle!$F$11,regle!$F$23,IF(Y174=regle!$G$11,regle!$G$23,IF(Y174=regle!$H$11,regle!$H$23,IF(Y174=regle!$I$11,regle!$I$23,IF(Y174=regle!$J$11,regle!$J$23,0)))))))))))</f>
        <v>349.74719999999996</v>
      </c>
      <c r="AJ174" s="14">
        <f>IF($A174,$M174*(IF(Z174=regle!$B$11,regle!$B$23,IF(Z174=regle!$C$11,regle!$C$23,IF(Z174=regle!$D$11,regle!$D$23,IF(Z174=regle!$E$11,regle!$E$23,IF(Z174=regle!$F$11,regle!$F$23,IF(Z174=regle!$G$11,regle!$G$23,IF(Z174=regle!$H$11,regle!$H$23,IF(Z174=regle!$I$11,regle!$I$23,IF(Z174=regle!$J$11,regle!$J$23,0)))))))))))</f>
        <v>0</v>
      </c>
      <c r="AK174" s="14">
        <f>IF($A174,$M174*(IF(AA174=regle!$B$11,regle!$B$23,IF(AA174=regle!$C$11,regle!$C$23,IF(AA174=regle!$D$11,regle!$D$23,IF(AA174=regle!$E$11,regle!$E$23,IF(AA174=regle!$F$11,regle!$F$23,IF(AA174=regle!$G$11,regle!$G$23,IF(AA174=regle!$H$11,regle!$H$23,IF(AA174=regle!$I$11,regle!$I$23,IF(AA174=regle!$J$11,regle!$J$23,0)))))))))))</f>
        <v>0</v>
      </c>
      <c r="AL174" s="14">
        <f>IF($A174,$M174*(IF(AB174=regle!$B$11,regle!$B$23,IF(AB174=regle!$C$11,regle!$C$23,IF(AB174=regle!$D$11,regle!$D$23,IF(AB174=regle!$E$11,regle!$E$23,IF(AB174=regle!$F$11,regle!$F$23,IF(AB174=regle!$G$11,regle!$G$23,IF(AB174=regle!$H$11,regle!$H$23,IF(AB174=regle!$I$11,regle!$I$23,IF(AB174=regle!$J$11,regle!$J$23,0)))))))))))</f>
        <v>0</v>
      </c>
      <c r="AM174" s="14">
        <f>IF($A174,$M174*(IF(AC174=regle!$B$11,regle!$B$23,IF(AC174=regle!$C$11,regle!$C$23,IF(AC174=regle!$D$11,regle!$D$23,IF(AC174=regle!$E$11,regle!$E$23,IF(AC174=regle!$F$11,regle!$F$23,IF(AC174=regle!$G$11,regle!$G$23,IF(AC174=regle!$H$11,regle!$H$23,IF(AC174=regle!$I$11,regle!$I$23,IF(AC174=regle!$J$11,regle!$J$23,0)))))))))))</f>
        <v>0</v>
      </c>
      <c r="AN174" s="14">
        <f>IF($A174,$M174*(IF(AD174=regle!$B$11,regle!$B$23,IF(AD174=regle!$C$11,regle!$C$23,IF(AD174=regle!$D$11,regle!$D$23,IF(AD174=regle!$E$11,regle!$E$23,IF(AD174=regle!$F$11,regle!$F$23,IF(AD174=regle!$G$11,regle!$G$23,IF(AD174=regle!$H$11,regle!$H$23,IF(AD174=regle!$I$11,regle!$I$23,IF(AD174=regle!$J$11,regle!$J$23,0)))))))))))</f>
        <v>510.04799999999994</v>
      </c>
      <c r="AO174">
        <f>IF(AO$1=$AO$1,IF(regle!B$2-$Q174&gt;=regle!$J$12,-2,IF($S174,IF(regle!$B$2-$Q174&gt;=2,0,-1),regle!B$2-$Q174)),IF(AN174+1&gt;=regle!$J$12,-2,AN174+1))</f>
        <v>9</v>
      </c>
      <c r="AP174">
        <f>IF(AP$1=$AO$1,IF(regle!C$2-$Q174&gt;=regle!$J$12,-2,IF($S174,IF(regle!$B$2-$Q174&gt;=2,0,-1),regle!C$2-$Q174)),IF(AO174+1&gt;=regle!$J$12,-2,AO174+1))</f>
        <v>10</v>
      </c>
      <c r="AQ174">
        <f>IF(AQ$1=$AO$1,IF(regle!D$2-$Q174&gt;=regle!$J$12,-2,IF($S174,IF(regle!$B$2-$Q174&gt;=2,0,-1),regle!D$2-$Q174)),IF(AP174+1&gt;=regle!$J$12,-2,AP174+1))</f>
        <v>11</v>
      </c>
      <c r="AR174">
        <f>IF(AR$1=$AO$1,IF(regle!E$2-$Q174&gt;=regle!$J$12,-2,IF($S174,IF(regle!$B$2-$Q174&gt;=2,0,-1),regle!E$2-$Q174)),IF(AQ174+1&gt;=regle!$J$12,-2,AQ174+1))</f>
        <v>12</v>
      </c>
      <c r="AS174">
        <f>IF(AS$1=$AO$1,IF(regle!F$2-$Q174&gt;=regle!$J$12,-2,IF($S174,IF(regle!$B$2-$Q174&gt;=2,0,-1),regle!F$2-$Q174)),IF(AR174+1&gt;=regle!$J$12,-2,AR174+1))</f>
        <v>13</v>
      </c>
      <c r="AT174">
        <f>IF(AT$1=$AO$1,IF(regle!G$2-$Q174&gt;=regle!$J$12,-2,IF($S174,IF(regle!$B$2-$Q174&gt;=2,0,-1),regle!G$2-$Q174)),IF(AS174+1&gt;=regle!$J$12,-2,AS174+1))</f>
        <v>14</v>
      </c>
      <c r="AU174">
        <f>IF(AU$1=$AO$1,IF(regle!H$2-$Q174&gt;=regle!$J$12,-2,IF($S174,IF(regle!$B$2-$Q174&gt;=2,0,-1),regle!H$2-$Q174)),IF(AT174+1&gt;=regle!$J$12,-2,AT174+1))</f>
        <v>15</v>
      </c>
      <c r="AV174">
        <f>IF(AV$1=$AO$1,IF(regle!I$2-$Q174&gt;=regle!$J$12,-2,IF($S174,IF(regle!$B$2-$Q174&gt;=2,0,-1),regle!I$2-$Q174)),IF(AU174+1&gt;=regle!$J$12,-2,AU174+1))</f>
        <v>16</v>
      </c>
      <c r="AW174">
        <f>IF(AW$1=$AO$1,IF(regle!J$2-$Q174&gt;=regle!$J$12,-2,IF($S174,IF(regle!$B$2-$Q174&gt;=2,0,-1),regle!J$2-$Q174)),IF(AV174+1&gt;=regle!$J$12,-2,AV174+1))</f>
        <v>17</v>
      </c>
      <c r="AX174">
        <f>IF(AX$1=$AO$1,IF(regle!K$2-$Q174&gt;=regle!$J$12,-2,IF($S174,IF(regle!$B$2-$Q174&gt;=2,0,-1),regle!K$2-$Q174)),IF(AW174+1&gt;=regle!$J$12,-2,AW174+1))</f>
        <v>18</v>
      </c>
    </row>
    <row r="175" spans="1:50" x14ac:dyDescent="0.25">
      <c r="A175" t="b">
        <f>AND(modif0[[#This Row],[cdstr]]&lt;&gt;0,OR(regle!$H$27=FALSE,modif0[[#This Row],[essnc]]="PM"))</f>
        <v>1</v>
      </c>
      <c r="B175">
        <f>ROW(objet!A202)</f>
        <v>202</v>
      </c>
      <c r="C175" s="10" t="str">
        <f>objet!D202</f>
        <v>2020000B1200</v>
      </c>
      <c r="D175" t="str">
        <f>LEFT(modif0[[#This Row],[cdstr]],3)</f>
        <v>202</v>
      </c>
      <c r="E175" s="10" t="str">
        <f>objet!G202</f>
        <v>HOSTENS</v>
      </c>
      <c r="F175">
        <f>LEN(modif0[[#This Row],[l_dt]])</f>
        <v>11</v>
      </c>
      <c r="G175" s="10" t="str">
        <f>objet!H202</f>
        <v>LES CAZALAS</v>
      </c>
      <c r="H175" s="10" t="str">
        <f>objet!C202</f>
        <v>B1200k</v>
      </c>
      <c r="I175" t="str">
        <f>IF(ISNUMBER(VALUE(RIGHT(LEFT(modif0[[#This Row],[idntfn]],2),1))),_xlfn.CONCAT(0,LEFT(modif0[[#This Row],[idntfn]],1)),LEFT(modif0[[#This Row],[idntfn]],2))</f>
        <v>0B</v>
      </c>
      <c r="J175">
        <f>VALUE(LEFT(RIGHT(modif0[[#This Row],[idntfn]],LEN(modif0[[#This Row],[idntfn]])-IF(LEFT(modif0[[#This Row],[sctn]],1)="0",1,2)),LEN(modif0[[#This Row],[idntfn]])-IF(LEFT(modif0[[#This Row],[sctn]],1)="0",1,2)-LEN(modif0[[#This Row],[lttr]])))</f>
        <v>1200</v>
      </c>
      <c r="K175" t="str">
        <f>IF(ISNUMBER(VALUE(RIGHT(modif0[[#This Row],[idntfn]],1))),"",IF(ISNUMBER(VALUE(LEFT(RIGHT(modif0[[#This Row],[idntfn]],2),1))),RIGHT(modif0[[#This Row],[idntfn]],1),RIGHT(modif0[[#This Row],[idntfn]],2)))</f>
        <v>k</v>
      </c>
      <c r="L175" s="10">
        <f>objet!I202</f>
        <v>2928</v>
      </c>
      <c r="M175" s="11">
        <f>modif0[[#This Row],[srfc]]/10000</f>
        <v>0.2928</v>
      </c>
      <c r="N175" s="10" t="str">
        <f>objet!Z202</f>
        <v>PM</v>
      </c>
      <c r="O175" s="10" t="str">
        <f>objet!AA202</f>
        <v>PLA2006</v>
      </c>
      <c r="P175" t="str">
        <f>IF(ISNUMBER(modif0[[#This Row],[trvx]]),"",LEFT(modif0[[#This Row],[trvx]],LEN(modif0[[#This Row],[trvx]])-4))</f>
        <v>PLA</v>
      </c>
      <c r="Q175">
        <f>VALUE(RIGHT(modif0[[#This Row],[trvx]],4))</f>
        <v>2006</v>
      </c>
      <c r="R175" t="str">
        <f>_xlfn.CONCAT(modif0[[#This Row],[tp]],"-",modif0[[#This Row],[essnc]],"_",modif0[[#This Row],[anns]])</f>
        <v>PLA-PM_2006</v>
      </c>
      <c r="S175" t="b">
        <f>modif0[[#This Row],[tp]]="CR"</f>
        <v>0</v>
      </c>
      <c r="T175">
        <v>40</v>
      </c>
      <c r="U175" t="str">
        <f>IF(NOT($A175),"",
IF(AO175=-2,regle!$J$11,
IF(AO175=regle!$B$12,regle!$B$11,
IF(AO175=regle!$C$12,regle!$C$11,
IF(AO175=regle!$D$12,regle!$D$11,
IF(AO175=regle!$E$12,regle!$E$11,
IF(AO175=regle!$F$12,regle!$F$11,
IF(AO175=regle!$G$12,regle!$G$11,
IF(AO175=regle!$H$12,regle!$H$11,
IF(AO175=regle!$I$12,regle!$I$11,""))))))))))</f>
        <v>EC2</v>
      </c>
      <c r="V175" t="str">
        <f>IF(NOT($A175),"",
IF(AP175=-2,regle!$J$11,
IF(AP175=regle!$B$12,regle!$B$11,
IF(AP175=regle!$C$12,regle!$C$11,
IF(AP175=regle!$D$12,regle!$D$11,
IF(AP175=regle!$E$12,regle!$E$11,
IF(AP175=regle!$F$12,regle!$F$11,
IF(AP175=regle!$G$12,regle!$G$11,
IF(AP175=regle!$H$12,regle!$H$11,
IF(AP175=regle!$I$12,regle!$I$11,""))))))))))</f>
        <v/>
      </c>
      <c r="W175" t="str">
        <f>IF(NOT($A175),"",
IF(AQ175=-2,regle!$J$11,
IF(AQ175=regle!$B$12,regle!$B$11,
IF(AQ175=regle!$C$12,regle!$C$11,
IF(AQ175=regle!$D$12,regle!$D$11,
IF(AQ175=regle!$E$12,regle!$E$11,
IF(AQ175=regle!$F$12,regle!$F$11,
IF(AQ175=regle!$G$12,regle!$G$11,
IF(AQ175=regle!$H$12,regle!$H$11,
IF(AQ175=regle!$I$12,regle!$I$11,""))))))))))</f>
        <v/>
      </c>
      <c r="X175" t="str">
        <f>IF(NOT($A175),"",
IF(AR175=-2,regle!$J$11,
IF(AR175=regle!$B$12,regle!$B$11,
IF(AR175=regle!$C$12,regle!$C$11,
IF(AR175=regle!$D$12,regle!$D$11,
IF(AR175=regle!$E$12,regle!$E$11,
IF(AR175=regle!$F$12,regle!$F$11,
IF(AR175=regle!$G$12,regle!$G$11,
IF(AR175=regle!$H$12,regle!$H$11,
IF(AR175=regle!$I$12,regle!$I$11,""))))))))))</f>
        <v/>
      </c>
      <c r="Y175" t="str">
        <f>IF(NOT($A175),"",
IF(AS175=-2,regle!$J$11,
IF(AS175=regle!$B$12,regle!$B$11,
IF(AS175=regle!$C$12,regle!$C$11,
IF(AS175=regle!$D$12,regle!$D$11,
IF(AS175=regle!$E$12,regle!$E$11,
IF(AS175=regle!$F$12,regle!$F$11,
IF(AS175=regle!$G$12,regle!$G$11,
IF(AS175=regle!$H$12,regle!$H$11,
IF(AS175=regle!$I$12,regle!$I$11,""))))))))))</f>
        <v/>
      </c>
      <c r="Z175" t="str">
        <f>IF(NOT($A175),"",
IF(AT175=-2,regle!$J$11,
IF(AT175=regle!$B$12,regle!$B$11,
IF(AT175=regle!$C$12,regle!$C$11,
IF(AT175=regle!$D$12,regle!$D$11,
IF(AT175=regle!$E$12,regle!$E$11,
IF(AT175=regle!$F$12,regle!$F$11,
IF(AT175=regle!$G$12,regle!$G$11,
IF(AT175=regle!$H$12,regle!$H$11,
IF(AT175=regle!$I$12,regle!$I$11,""))))))))))</f>
        <v>EC3</v>
      </c>
      <c r="AA175" t="str">
        <f>IF(NOT($A175),"",
IF(AU175=-2,regle!$J$11,
IF(AU175=regle!$B$12,regle!$B$11,
IF(AU175=regle!$C$12,regle!$C$11,
IF(AU175=regle!$D$12,regle!$D$11,
IF(AU175=regle!$E$12,regle!$E$11,
IF(AU175=regle!$F$12,regle!$F$11,
IF(AU175=regle!$G$12,regle!$G$11,
IF(AU175=regle!$H$12,regle!$H$11,
IF(AU175=regle!$I$12,regle!$I$11,""))))))))))</f>
        <v/>
      </c>
      <c r="AB175" t="str">
        <f>IF(NOT($A175),"",
IF(AV175=-2,regle!$J$11,
IF(AV175=regle!$B$12,regle!$B$11,
IF(AV175=regle!$C$12,regle!$C$11,
IF(AV175=regle!$D$12,regle!$D$11,
IF(AV175=regle!$E$12,regle!$E$11,
IF(AV175=regle!$F$12,regle!$F$11,
IF(AV175=regle!$G$12,regle!$G$11,
IF(AV175=regle!$H$12,regle!$H$11,
IF(AV175=regle!$I$12,regle!$I$11,""))))))))))</f>
        <v/>
      </c>
      <c r="AC175" t="str">
        <f>IF(NOT($A175),"",
IF(AW175=-2,regle!$J$11,
IF(AW175=regle!$B$12,regle!$B$11,
IF(AW175=regle!$C$12,regle!$C$11,
IF(AW175=regle!$D$12,regle!$D$11,
IF(AW175=regle!$E$12,regle!$E$11,
IF(AW175=regle!$F$12,regle!$F$11,
IF(AW175=regle!$G$12,regle!$G$11,
IF(AW175=regle!$H$12,regle!$H$11,
IF(AW175=regle!$I$12,regle!$I$11,""))))))))))</f>
        <v/>
      </c>
      <c r="AD175" t="str">
        <f>IF(NOT($A175),"",
IF(AX175=-2,regle!$J$11,
IF(AX175=regle!$B$12,regle!$B$11,
IF(AX175=regle!$C$12,regle!$C$11,
IF(AX175=regle!$D$12,regle!$D$11,
IF(AX175=regle!$E$12,regle!$E$11,
IF(AX175=regle!$F$12,regle!$F$11,
IF(AX175=regle!$G$12,regle!$G$11,
IF(AX175=regle!$H$12,regle!$H$11,
IF(AX175=regle!$I$12,regle!$I$11,""))))))))))</f>
        <v/>
      </c>
      <c r="AE175" s="14">
        <f>IF($A175,$M175*(IF(U175=regle!$B$11,regle!$B$23,IF(U175=regle!$C$11,regle!$C$23,IF(U175=regle!$D$11,regle!$D$23,IF(U175=regle!$E$11,regle!$E$23,IF(U175=regle!$F$11,regle!$F$23,IF(U175=regle!$G$11,regle!$G$23,IF(U175=regle!$H$11,regle!$H$23,IF(U175=regle!$I$11,regle!$I$23,IF(U175=regle!$J$11,regle!$J$23,0)))))))))))</f>
        <v>245.952</v>
      </c>
      <c r="AF175" s="14">
        <f>IF($A175,$M175*(IF(V175=regle!$B$11,regle!$B$23,IF(V175=regle!$C$11,regle!$C$23,IF(V175=regle!$D$11,regle!$D$23,IF(V175=regle!$E$11,regle!$E$23,IF(V175=regle!$F$11,regle!$F$23,IF(V175=regle!$G$11,regle!$G$23,IF(V175=regle!$H$11,regle!$H$23,IF(V175=regle!$I$11,regle!$I$23,IF(V175=regle!$J$11,regle!$J$23,0)))))))))))</f>
        <v>0</v>
      </c>
      <c r="AG175" s="14">
        <f>IF($A175,$M175*(IF(W175=regle!$B$11,regle!$B$23,IF(W175=regle!$C$11,regle!$C$23,IF(W175=regle!$D$11,regle!$D$23,IF(W175=regle!$E$11,regle!$E$23,IF(W175=regle!$F$11,regle!$F$23,IF(W175=regle!$G$11,regle!$G$23,IF(W175=regle!$H$11,regle!$H$23,IF(W175=regle!$I$11,regle!$I$23,IF(W175=regle!$J$11,regle!$J$23,0)))))))))))</f>
        <v>0</v>
      </c>
      <c r="AH175" s="14">
        <f>IF($A175,$M175*(IF(X175=regle!$B$11,regle!$B$23,IF(X175=regle!$C$11,regle!$C$23,IF(X175=regle!$D$11,regle!$D$23,IF(X175=regle!$E$11,regle!$E$23,IF(X175=regle!$F$11,regle!$F$23,IF(X175=regle!$G$11,regle!$G$23,IF(X175=regle!$H$11,regle!$H$23,IF(X175=regle!$I$11,regle!$I$23,IF(X175=regle!$J$11,regle!$J$23,0)))))))))))</f>
        <v>0</v>
      </c>
      <c r="AI175" s="14">
        <f>IF($A175,$M175*(IF(Y175=regle!$B$11,regle!$B$23,IF(Y175=regle!$C$11,regle!$C$23,IF(Y175=regle!$D$11,regle!$D$23,IF(Y175=regle!$E$11,regle!$E$23,IF(Y175=regle!$F$11,regle!$F$23,IF(Y175=regle!$G$11,regle!$G$23,IF(Y175=regle!$H$11,regle!$H$23,IF(Y175=regle!$I$11,regle!$I$23,IF(Y175=regle!$J$11,regle!$J$23,0)))))))))))</f>
        <v>0</v>
      </c>
      <c r="AJ175" s="14">
        <f>IF($A175,$M175*(IF(Z175=regle!$B$11,regle!$B$23,IF(Z175=regle!$C$11,regle!$C$23,IF(Z175=regle!$D$11,regle!$D$23,IF(Z175=regle!$E$11,regle!$E$23,IF(Z175=regle!$F$11,regle!$F$23,IF(Z175=regle!$G$11,regle!$G$23,IF(Z175=regle!$H$11,regle!$H$23,IF(Z175=regle!$I$11,regle!$I$23,IF(Z175=regle!$J$11,regle!$J$23,0)))))))))))</f>
        <v>412.26240000000001</v>
      </c>
      <c r="AK175" s="14">
        <f>IF($A175,$M175*(IF(AA175=regle!$B$11,regle!$B$23,IF(AA175=regle!$C$11,regle!$C$23,IF(AA175=regle!$D$11,regle!$D$23,IF(AA175=regle!$E$11,regle!$E$23,IF(AA175=regle!$F$11,regle!$F$23,IF(AA175=regle!$G$11,regle!$G$23,IF(AA175=regle!$H$11,regle!$H$23,IF(AA175=regle!$I$11,regle!$I$23,IF(AA175=regle!$J$11,regle!$J$23,0)))))))))))</f>
        <v>0</v>
      </c>
      <c r="AL175" s="14">
        <f>IF($A175,$M175*(IF(AB175=regle!$B$11,regle!$B$23,IF(AB175=regle!$C$11,regle!$C$23,IF(AB175=regle!$D$11,regle!$D$23,IF(AB175=regle!$E$11,regle!$E$23,IF(AB175=regle!$F$11,regle!$F$23,IF(AB175=regle!$G$11,regle!$G$23,IF(AB175=regle!$H$11,regle!$H$23,IF(AB175=regle!$I$11,regle!$I$23,IF(AB175=regle!$J$11,regle!$J$23,0)))))))))))</f>
        <v>0</v>
      </c>
      <c r="AM175" s="14">
        <f>IF($A175,$M175*(IF(AC175=regle!$B$11,regle!$B$23,IF(AC175=regle!$C$11,regle!$C$23,IF(AC175=regle!$D$11,regle!$D$23,IF(AC175=regle!$E$11,regle!$E$23,IF(AC175=regle!$F$11,regle!$F$23,IF(AC175=regle!$G$11,regle!$G$23,IF(AC175=regle!$H$11,regle!$H$23,IF(AC175=regle!$I$11,regle!$I$23,IF(AC175=regle!$J$11,regle!$J$23,0)))))))))))</f>
        <v>0</v>
      </c>
      <c r="AN175" s="14">
        <f>IF($A175,$M175*(IF(AD175=regle!$B$11,regle!$B$23,IF(AD175=regle!$C$11,regle!$C$23,IF(AD175=regle!$D$11,regle!$D$23,IF(AD175=regle!$E$11,regle!$E$23,IF(AD175=regle!$F$11,regle!$F$23,IF(AD175=regle!$G$11,regle!$G$23,IF(AD175=regle!$H$11,regle!$H$23,IF(AD175=regle!$I$11,regle!$I$23,IF(AD175=regle!$J$11,regle!$J$23,0)))))))))))</f>
        <v>0</v>
      </c>
      <c r="AO175">
        <f>IF(AO$1=$AO$1,IF(regle!B$2-$Q175&gt;=regle!$J$12,-2,IF($S175,IF(regle!$B$2-$Q175&gt;=2,0,-1),regle!B$2-$Q175)),IF(AN175+1&gt;=regle!$J$12,-2,AN175+1))</f>
        <v>18</v>
      </c>
      <c r="AP175">
        <f>IF(AP$1=$AO$1,IF(regle!C$2-$Q175&gt;=regle!$J$12,-2,IF($S175,IF(regle!$B$2-$Q175&gt;=2,0,-1),regle!C$2-$Q175)),IF(AO175+1&gt;=regle!$J$12,-2,AO175+1))</f>
        <v>19</v>
      </c>
      <c r="AQ175">
        <f>IF(AQ$1=$AO$1,IF(regle!D$2-$Q175&gt;=regle!$J$12,-2,IF($S175,IF(regle!$B$2-$Q175&gt;=2,0,-1),regle!D$2-$Q175)),IF(AP175+1&gt;=regle!$J$12,-2,AP175+1))</f>
        <v>20</v>
      </c>
      <c r="AR175">
        <f>IF(AR$1=$AO$1,IF(regle!E$2-$Q175&gt;=regle!$J$12,-2,IF($S175,IF(regle!$B$2-$Q175&gt;=2,0,-1),regle!E$2-$Q175)),IF(AQ175+1&gt;=regle!$J$12,-2,AQ175+1))</f>
        <v>21</v>
      </c>
      <c r="AS175">
        <f>IF(AS$1=$AO$1,IF(regle!F$2-$Q175&gt;=regle!$J$12,-2,IF($S175,IF(regle!$B$2-$Q175&gt;=2,0,-1),regle!F$2-$Q175)),IF(AR175+1&gt;=regle!$J$12,-2,AR175+1))</f>
        <v>22</v>
      </c>
      <c r="AT175">
        <f>IF(AT$1=$AO$1,IF(regle!G$2-$Q175&gt;=regle!$J$12,-2,IF($S175,IF(regle!$B$2-$Q175&gt;=2,0,-1),regle!G$2-$Q175)),IF(AS175+1&gt;=regle!$J$12,-2,AS175+1))</f>
        <v>23</v>
      </c>
      <c r="AU175">
        <f>IF(AU$1=$AO$1,IF(regle!H$2-$Q175&gt;=regle!$J$12,-2,IF($S175,IF(regle!$B$2-$Q175&gt;=2,0,-1),regle!H$2-$Q175)),IF(AT175+1&gt;=regle!$J$12,-2,AT175+1))</f>
        <v>24</v>
      </c>
      <c r="AV175">
        <f>IF(AV$1=$AO$1,IF(regle!I$2-$Q175&gt;=regle!$J$12,-2,IF($S175,IF(regle!$B$2-$Q175&gt;=2,0,-1),regle!I$2-$Q175)),IF(AU175+1&gt;=regle!$J$12,-2,AU175+1))</f>
        <v>25</v>
      </c>
      <c r="AW175">
        <f>IF(AW$1=$AO$1,IF(regle!J$2-$Q175&gt;=regle!$J$12,-2,IF($S175,IF(regle!$B$2-$Q175&gt;=2,0,-1),regle!J$2-$Q175)),IF(AV175+1&gt;=regle!$J$12,-2,AV175+1))</f>
        <v>26</v>
      </c>
      <c r="AX175">
        <f>IF(AX$1=$AO$1,IF(regle!K$2-$Q175&gt;=regle!$J$12,-2,IF($S175,IF(regle!$B$2-$Q175&gt;=2,0,-1),regle!K$2-$Q175)),IF(AW175+1&gt;=regle!$J$12,-2,AW175+1))</f>
        <v>27</v>
      </c>
    </row>
    <row r="176" spans="1:50" x14ac:dyDescent="0.25">
      <c r="A176" t="b">
        <f>AND(modif0[[#This Row],[cdstr]]&lt;&gt;0,OR(regle!$H$27=FALSE,modif0[[#This Row],[essnc]]="PM"))</f>
        <v>1</v>
      </c>
      <c r="B176">
        <f>ROW(objet!A203)</f>
        <v>203</v>
      </c>
      <c r="C176" s="10" t="str">
        <f>objet!D203</f>
        <v>2020000B1201</v>
      </c>
      <c r="D176" t="str">
        <f>LEFT(modif0[[#This Row],[cdstr]],3)</f>
        <v>202</v>
      </c>
      <c r="E176" s="10" t="str">
        <f>objet!G203</f>
        <v>HOSTENS</v>
      </c>
      <c r="F176">
        <f>LEN(modif0[[#This Row],[l_dt]])</f>
        <v>11</v>
      </c>
      <c r="G176" s="10" t="str">
        <f>objet!H203</f>
        <v>LES CAZALAS</v>
      </c>
      <c r="H176" s="10" t="str">
        <f>objet!C203</f>
        <v>B1201j</v>
      </c>
      <c r="I176" t="str">
        <f>IF(ISNUMBER(VALUE(RIGHT(LEFT(modif0[[#This Row],[idntfn]],2),1))),_xlfn.CONCAT(0,LEFT(modif0[[#This Row],[idntfn]],1)),LEFT(modif0[[#This Row],[idntfn]],2))</f>
        <v>0B</v>
      </c>
      <c r="J176">
        <f>VALUE(LEFT(RIGHT(modif0[[#This Row],[idntfn]],LEN(modif0[[#This Row],[idntfn]])-IF(LEFT(modif0[[#This Row],[sctn]],1)="0",1,2)),LEN(modif0[[#This Row],[idntfn]])-IF(LEFT(modif0[[#This Row],[sctn]],1)="0",1,2)-LEN(modif0[[#This Row],[lttr]])))</f>
        <v>1201</v>
      </c>
      <c r="K176" t="str">
        <f>IF(ISNUMBER(VALUE(RIGHT(modif0[[#This Row],[idntfn]],1))),"",IF(ISNUMBER(VALUE(LEFT(RIGHT(modif0[[#This Row],[idntfn]],2),1))),RIGHT(modif0[[#This Row],[idntfn]],1),RIGHT(modif0[[#This Row],[idntfn]],2)))</f>
        <v>j</v>
      </c>
      <c r="L176" s="10">
        <f>objet!I203</f>
        <v>1205</v>
      </c>
      <c r="M176" s="11">
        <f>modif0[[#This Row],[srfc]]/10000</f>
        <v>0.1205</v>
      </c>
      <c r="N176" s="10" t="str">
        <f>objet!Z203</f>
        <v>PM</v>
      </c>
      <c r="O176" s="10" t="str">
        <f>objet!AA203</f>
        <v>PLA2006</v>
      </c>
      <c r="P176" t="str">
        <f>IF(ISNUMBER(modif0[[#This Row],[trvx]]),"",LEFT(modif0[[#This Row],[trvx]],LEN(modif0[[#This Row],[trvx]])-4))</f>
        <v>PLA</v>
      </c>
      <c r="Q176">
        <f>VALUE(RIGHT(modif0[[#This Row],[trvx]],4))</f>
        <v>2006</v>
      </c>
      <c r="R176" t="str">
        <f>_xlfn.CONCAT(modif0[[#This Row],[tp]],"-",modif0[[#This Row],[essnc]],"_",modif0[[#This Row],[anns]])</f>
        <v>PLA-PM_2006</v>
      </c>
      <c r="S176" t="b">
        <f>modif0[[#This Row],[tp]]="CR"</f>
        <v>0</v>
      </c>
      <c r="T176">
        <v>40</v>
      </c>
      <c r="U176" t="str">
        <f>IF(NOT($A176),"",
IF(AO176=-2,regle!$J$11,
IF(AO176=regle!$B$12,regle!$B$11,
IF(AO176=regle!$C$12,regle!$C$11,
IF(AO176=regle!$D$12,regle!$D$11,
IF(AO176=regle!$E$12,regle!$E$11,
IF(AO176=regle!$F$12,regle!$F$11,
IF(AO176=regle!$G$12,regle!$G$11,
IF(AO176=regle!$H$12,regle!$H$11,
IF(AO176=regle!$I$12,regle!$I$11,""))))))))))</f>
        <v>EC2</v>
      </c>
      <c r="V176" t="str">
        <f>IF(NOT($A176),"",
IF(AP176=-2,regle!$J$11,
IF(AP176=regle!$B$12,regle!$B$11,
IF(AP176=regle!$C$12,regle!$C$11,
IF(AP176=regle!$D$12,regle!$D$11,
IF(AP176=regle!$E$12,regle!$E$11,
IF(AP176=regle!$F$12,regle!$F$11,
IF(AP176=regle!$G$12,regle!$G$11,
IF(AP176=regle!$H$12,regle!$H$11,
IF(AP176=regle!$I$12,regle!$I$11,""))))))))))</f>
        <v/>
      </c>
      <c r="W176" t="str">
        <f>IF(NOT($A176),"",
IF(AQ176=-2,regle!$J$11,
IF(AQ176=regle!$B$12,regle!$B$11,
IF(AQ176=regle!$C$12,regle!$C$11,
IF(AQ176=regle!$D$12,regle!$D$11,
IF(AQ176=regle!$E$12,regle!$E$11,
IF(AQ176=regle!$F$12,regle!$F$11,
IF(AQ176=regle!$G$12,regle!$G$11,
IF(AQ176=regle!$H$12,regle!$H$11,
IF(AQ176=regle!$I$12,regle!$I$11,""))))))))))</f>
        <v/>
      </c>
      <c r="X176" t="str">
        <f>IF(NOT($A176),"",
IF(AR176=-2,regle!$J$11,
IF(AR176=regle!$B$12,regle!$B$11,
IF(AR176=regle!$C$12,regle!$C$11,
IF(AR176=regle!$D$12,regle!$D$11,
IF(AR176=regle!$E$12,regle!$E$11,
IF(AR176=regle!$F$12,regle!$F$11,
IF(AR176=regle!$G$12,regle!$G$11,
IF(AR176=regle!$H$12,regle!$H$11,
IF(AR176=regle!$I$12,regle!$I$11,""))))))))))</f>
        <v/>
      </c>
      <c r="Y176" t="str">
        <f>IF(NOT($A176),"",
IF(AS176=-2,regle!$J$11,
IF(AS176=regle!$B$12,regle!$B$11,
IF(AS176=regle!$C$12,regle!$C$11,
IF(AS176=regle!$D$12,regle!$D$11,
IF(AS176=regle!$E$12,regle!$E$11,
IF(AS176=regle!$F$12,regle!$F$11,
IF(AS176=regle!$G$12,regle!$G$11,
IF(AS176=regle!$H$12,regle!$H$11,
IF(AS176=regle!$I$12,regle!$I$11,""))))))))))</f>
        <v/>
      </c>
      <c r="Z176" t="str">
        <f>IF(NOT($A176),"",
IF(AT176=-2,regle!$J$11,
IF(AT176=regle!$B$12,regle!$B$11,
IF(AT176=regle!$C$12,regle!$C$11,
IF(AT176=regle!$D$12,regle!$D$11,
IF(AT176=regle!$E$12,regle!$E$11,
IF(AT176=regle!$F$12,regle!$F$11,
IF(AT176=regle!$G$12,regle!$G$11,
IF(AT176=regle!$H$12,regle!$H$11,
IF(AT176=regle!$I$12,regle!$I$11,""))))))))))</f>
        <v>EC3</v>
      </c>
      <c r="AA176" t="str">
        <f>IF(NOT($A176),"",
IF(AU176=-2,regle!$J$11,
IF(AU176=regle!$B$12,regle!$B$11,
IF(AU176=regle!$C$12,regle!$C$11,
IF(AU176=regle!$D$12,regle!$D$11,
IF(AU176=regle!$E$12,regle!$E$11,
IF(AU176=regle!$F$12,regle!$F$11,
IF(AU176=regle!$G$12,regle!$G$11,
IF(AU176=regle!$H$12,regle!$H$11,
IF(AU176=regle!$I$12,regle!$I$11,""))))))))))</f>
        <v/>
      </c>
      <c r="AB176" t="str">
        <f>IF(NOT($A176),"",
IF(AV176=-2,regle!$J$11,
IF(AV176=regle!$B$12,regle!$B$11,
IF(AV176=regle!$C$12,regle!$C$11,
IF(AV176=regle!$D$12,regle!$D$11,
IF(AV176=regle!$E$12,regle!$E$11,
IF(AV176=regle!$F$12,regle!$F$11,
IF(AV176=regle!$G$12,regle!$G$11,
IF(AV176=regle!$H$12,regle!$H$11,
IF(AV176=regle!$I$12,regle!$I$11,""))))))))))</f>
        <v/>
      </c>
      <c r="AC176" t="str">
        <f>IF(NOT($A176),"",
IF(AW176=-2,regle!$J$11,
IF(AW176=regle!$B$12,regle!$B$11,
IF(AW176=regle!$C$12,regle!$C$11,
IF(AW176=regle!$D$12,regle!$D$11,
IF(AW176=regle!$E$12,regle!$E$11,
IF(AW176=regle!$F$12,regle!$F$11,
IF(AW176=regle!$G$12,regle!$G$11,
IF(AW176=regle!$H$12,regle!$H$11,
IF(AW176=regle!$I$12,regle!$I$11,""))))))))))</f>
        <v/>
      </c>
      <c r="AD176" t="str">
        <f>IF(NOT($A176),"",
IF(AX176=-2,regle!$J$11,
IF(AX176=regle!$B$12,regle!$B$11,
IF(AX176=regle!$C$12,regle!$C$11,
IF(AX176=regle!$D$12,regle!$D$11,
IF(AX176=regle!$E$12,regle!$E$11,
IF(AX176=regle!$F$12,regle!$F$11,
IF(AX176=regle!$G$12,regle!$G$11,
IF(AX176=regle!$H$12,regle!$H$11,
IF(AX176=regle!$I$12,regle!$I$11,""))))))))))</f>
        <v/>
      </c>
      <c r="AE176" s="14">
        <f>IF($A176,$M176*(IF(U176=regle!$B$11,regle!$B$23,IF(U176=regle!$C$11,regle!$C$23,IF(U176=regle!$D$11,regle!$D$23,IF(U176=regle!$E$11,regle!$E$23,IF(U176=regle!$F$11,regle!$F$23,IF(U176=regle!$G$11,regle!$G$23,IF(U176=regle!$H$11,regle!$H$23,IF(U176=regle!$I$11,regle!$I$23,IF(U176=regle!$J$11,regle!$J$23,0)))))))))))</f>
        <v>101.22</v>
      </c>
      <c r="AF176" s="14">
        <f>IF($A176,$M176*(IF(V176=regle!$B$11,regle!$B$23,IF(V176=regle!$C$11,regle!$C$23,IF(V176=regle!$D$11,regle!$D$23,IF(V176=regle!$E$11,regle!$E$23,IF(V176=regle!$F$11,regle!$F$23,IF(V176=regle!$G$11,regle!$G$23,IF(V176=regle!$H$11,regle!$H$23,IF(V176=regle!$I$11,regle!$I$23,IF(V176=regle!$J$11,regle!$J$23,0)))))))))))</f>
        <v>0</v>
      </c>
      <c r="AG176" s="14">
        <f>IF($A176,$M176*(IF(W176=regle!$B$11,regle!$B$23,IF(W176=regle!$C$11,regle!$C$23,IF(W176=regle!$D$11,regle!$D$23,IF(W176=regle!$E$11,regle!$E$23,IF(W176=regle!$F$11,regle!$F$23,IF(W176=regle!$G$11,regle!$G$23,IF(W176=regle!$H$11,regle!$H$23,IF(W176=regle!$I$11,regle!$I$23,IF(W176=regle!$J$11,regle!$J$23,0)))))))))))</f>
        <v>0</v>
      </c>
      <c r="AH176" s="14">
        <f>IF($A176,$M176*(IF(X176=regle!$B$11,regle!$B$23,IF(X176=regle!$C$11,regle!$C$23,IF(X176=regle!$D$11,regle!$D$23,IF(X176=regle!$E$11,regle!$E$23,IF(X176=regle!$F$11,regle!$F$23,IF(X176=regle!$G$11,regle!$G$23,IF(X176=regle!$H$11,regle!$H$23,IF(X176=regle!$I$11,regle!$I$23,IF(X176=regle!$J$11,regle!$J$23,0)))))))))))</f>
        <v>0</v>
      </c>
      <c r="AI176" s="14">
        <f>IF($A176,$M176*(IF(Y176=regle!$B$11,regle!$B$23,IF(Y176=regle!$C$11,regle!$C$23,IF(Y176=regle!$D$11,regle!$D$23,IF(Y176=regle!$E$11,regle!$E$23,IF(Y176=regle!$F$11,regle!$F$23,IF(Y176=regle!$G$11,regle!$G$23,IF(Y176=regle!$H$11,regle!$H$23,IF(Y176=regle!$I$11,regle!$I$23,IF(Y176=regle!$J$11,regle!$J$23,0)))))))))))</f>
        <v>0</v>
      </c>
      <c r="AJ176" s="14">
        <f>IF($A176,$M176*(IF(Z176=regle!$B$11,regle!$B$23,IF(Z176=regle!$C$11,regle!$C$23,IF(Z176=regle!$D$11,regle!$D$23,IF(Z176=regle!$E$11,regle!$E$23,IF(Z176=regle!$F$11,regle!$F$23,IF(Z176=regle!$G$11,regle!$G$23,IF(Z176=regle!$H$11,regle!$H$23,IF(Z176=regle!$I$11,regle!$I$23,IF(Z176=regle!$J$11,regle!$J$23,0)))))))))))</f>
        <v>169.66399999999999</v>
      </c>
      <c r="AK176" s="14">
        <f>IF($A176,$M176*(IF(AA176=regle!$B$11,regle!$B$23,IF(AA176=regle!$C$11,regle!$C$23,IF(AA176=regle!$D$11,regle!$D$23,IF(AA176=regle!$E$11,regle!$E$23,IF(AA176=regle!$F$11,regle!$F$23,IF(AA176=regle!$G$11,regle!$G$23,IF(AA176=regle!$H$11,regle!$H$23,IF(AA176=regle!$I$11,regle!$I$23,IF(AA176=regle!$J$11,regle!$J$23,0)))))))))))</f>
        <v>0</v>
      </c>
      <c r="AL176" s="14">
        <f>IF($A176,$M176*(IF(AB176=regle!$B$11,regle!$B$23,IF(AB176=regle!$C$11,regle!$C$23,IF(AB176=regle!$D$11,regle!$D$23,IF(AB176=regle!$E$11,regle!$E$23,IF(AB176=regle!$F$11,regle!$F$23,IF(AB176=regle!$G$11,regle!$G$23,IF(AB176=regle!$H$11,regle!$H$23,IF(AB176=regle!$I$11,regle!$I$23,IF(AB176=regle!$J$11,regle!$J$23,0)))))))))))</f>
        <v>0</v>
      </c>
      <c r="AM176" s="14">
        <f>IF($A176,$M176*(IF(AC176=regle!$B$11,regle!$B$23,IF(AC176=regle!$C$11,regle!$C$23,IF(AC176=regle!$D$11,regle!$D$23,IF(AC176=regle!$E$11,regle!$E$23,IF(AC176=regle!$F$11,regle!$F$23,IF(AC176=regle!$G$11,regle!$G$23,IF(AC176=regle!$H$11,regle!$H$23,IF(AC176=regle!$I$11,regle!$I$23,IF(AC176=regle!$J$11,regle!$J$23,0)))))))))))</f>
        <v>0</v>
      </c>
      <c r="AN176" s="14">
        <f>IF($A176,$M176*(IF(AD176=regle!$B$11,regle!$B$23,IF(AD176=regle!$C$11,regle!$C$23,IF(AD176=regle!$D$11,regle!$D$23,IF(AD176=regle!$E$11,regle!$E$23,IF(AD176=regle!$F$11,regle!$F$23,IF(AD176=regle!$G$11,regle!$G$23,IF(AD176=regle!$H$11,regle!$H$23,IF(AD176=regle!$I$11,regle!$I$23,IF(AD176=regle!$J$11,regle!$J$23,0)))))))))))</f>
        <v>0</v>
      </c>
      <c r="AO176">
        <f>IF(AO$1=$AO$1,IF(regle!B$2-$Q176&gt;=regle!$J$12,-2,IF($S176,IF(regle!$B$2-$Q176&gt;=2,0,-1),regle!B$2-$Q176)),IF(AN176+1&gt;=regle!$J$12,-2,AN176+1))</f>
        <v>18</v>
      </c>
      <c r="AP176">
        <f>IF(AP$1=$AO$1,IF(regle!C$2-$Q176&gt;=regle!$J$12,-2,IF($S176,IF(regle!$B$2-$Q176&gt;=2,0,-1),regle!C$2-$Q176)),IF(AO176+1&gt;=regle!$J$12,-2,AO176+1))</f>
        <v>19</v>
      </c>
      <c r="AQ176">
        <f>IF(AQ$1=$AO$1,IF(regle!D$2-$Q176&gt;=regle!$J$12,-2,IF($S176,IF(regle!$B$2-$Q176&gt;=2,0,-1),regle!D$2-$Q176)),IF(AP176+1&gt;=regle!$J$12,-2,AP176+1))</f>
        <v>20</v>
      </c>
      <c r="AR176">
        <f>IF(AR$1=$AO$1,IF(regle!E$2-$Q176&gt;=regle!$J$12,-2,IF($S176,IF(regle!$B$2-$Q176&gt;=2,0,-1),regle!E$2-$Q176)),IF(AQ176+1&gt;=regle!$J$12,-2,AQ176+1))</f>
        <v>21</v>
      </c>
      <c r="AS176">
        <f>IF(AS$1=$AO$1,IF(regle!F$2-$Q176&gt;=regle!$J$12,-2,IF($S176,IF(regle!$B$2-$Q176&gt;=2,0,-1),regle!F$2-$Q176)),IF(AR176+1&gt;=regle!$J$12,-2,AR176+1))</f>
        <v>22</v>
      </c>
      <c r="AT176">
        <f>IF(AT$1=$AO$1,IF(regle!G$2-$Q176&gt;=regle!$J$12,-2,IF($S176,IF(regle!$B$2-$Q176&gt;=2,0,-1),regle!G$2-$Q176)),IF(AS176+1&gt;=regle!$J$12,-2,AS176+1))</f>
        <v>23</v>
      </c>
      <c r="AU176">
        <f>IF(AU$1=$AO$1,IF(regle!H$2-$Q176&gt;=regle!$J$12,-2,IF($S176,IF(regle!$B$2-$Q176&gt;=2,0,-1),regle!H$2-$Q176)),IF(AT176+1&gt;=regle!$J$12,-2,AT176+1))</f>
        <v>24</v>
      </c>
      <c r="AV176">
        <f>IF(AV$1=$AO$1,IF(regle!I$2-$Q176&gt;=regle!$J$12,-2,IF($S176,IF(regle!$B$2-$Q176&gt;=2,0,-1),regle!I$2-$Q176)),IF(AU176+1&gt;=regle!$J$12,-2,AU176+1))</f>
        <v>25</v>
      </c>
      <c r="AW176">
        <f>IF(AW$1=$AO$1,IF(regle!J$2-$Q176&gt;=regle!$J$12,-2,IF($S176,IF(regle!$B$2-$Q176&gt;=2,0,-1),regle!J$2-$Q176)),IF(AV176+1&gt;=regle!$J$12,-2,AV176+1))</f>
        <v>26</v>
      </c>
      <c r="AX176">
        <f>IF(AX$1=$AO$1,IF(regle!K$2-$Q176&gt;=regle!$J$12,-2,IF($S176,IF(regle!$B$2-$Q176&gt;=2,0,-1),regle!K$2-$Q176)),IF(AW176+1&gt;=regle!$J$12,-2,AW176+1))</f>
        <v>27</v>
      </c>
    </row>
    <row r="177" spans="1:50" x14ac:dyDescent="0.25">
      <c r="A177" t="b">
        <f>AND(modif0[[#This Row],[cdstr]]&lt;&gt;0,OR(regle!$H$27=FALSE,modif0[[#This Row],[essnc]]="PM"))</f>
        <v>1</v>
      </c>
      <c r="B177">
        <f>ROW(objet!A205)</f>
        <v>205</v>
      </c>
      <c r="C177" s="10" t="str">
        <f>objet!D205</f>
        <v>2020000B1202</v>
      </c>
      <c r="D177" t="str">
        <f>LEFT(modif0[[#This Row],[cdstr]],3)</f>
        <v>202</v>
      </c>
      <c r="E177" s="10" t="str">
        <f>objet!G205</f>
        <v>HOSTENS</v>
      </c>
      <c r="F177">
        <f>LEN(modif0[[#This Row],[l_dt]])</f>
        <v>8</v>
      </c>
      <c r="G177" s="10" t="str">
        <f>objet!H205</f>
        <v>LES BECS</v>
      </c>
      <c r="H177" s="10" t="str">
        <f>objet!C205</f>
        <v>B1202j</v>
      </c>
      <c r="I177" t="str">
        <f>IF(ISNUMBER(VALUE(RIGHT(LEFT(modif0[[#This Row],[idntfn]],2),1))),_xlfn.CONCAT(0,LEFT(modif0[[#This Row],[idntfn]],1)),LEFT(modif0[[#This Row],[idntfn]],2))</f>
        <v>0B</v>
      </c>
      <c r="J177">
        <f>VALUE(LEFT(RIGHT(modif0[[#This Row],[idntfn]],LEN(modif0[[#This Row],[idntfn]])-IF(LEFT(modif0[[#This Row],[sctn]],1)="0",1,2)),LEN(modif0[[#This Row],[idntfn]])-IF(LEFT(modif0[[#This Row],[sctn]],1)="0",1,2)-LEN(modif0[[#This Row],[lttr]])))</f>
        <v>1202</v>
      </c>
      <c r="K177" t="str">
        <f>IF(ISNUMBER(VALUE(RIGHT(modif0[[#This Row],[idntfn]],1))),"",IF(ISNUMBER(VALUE(LEFT(RIGHT(modif0[[#This Row],[idntfn]],2),1))),RIGHT(modif0[[#This Row],[idntfn]],1),RIGHT(modif0[[#This Row],[idntfn]],2)))</f>
        <v>j</v>
      </c>
      <c r="L177" s="10">
        <f>objet!I205</f>
        <v>3874</v>
      </c>
      <c r="M177" s="11">
        <f>modif0[[#This Row],[srfc]]/10000</f>
        <v>0.38740000000000002</v>
      </c>
      <c r="N177" s="10" t="str">
        <f>objet!Z205</f>
        <v>PM</v>
      </c>
      <c r="O177" s="10" t="str">
        <f>objet!AA205</f>
        <v>PLA2020</v>
      </c>
      <c r="P177" t="str">
        <f>IF(ISNUMBER(modif0[[#This Row],[trvx]]),"",LEFT(modif0[[#This Row],[trvx]],LEN(modif0[[#This Row],[trvx]])-4))</f>
        <v>PLA</v>
      </c>
      <c r="Q177">
        <f>VALUE(RIGHT(modif0[[#This Row],[trvx]],4))</f>
        <v>2020</v>
      </c>
      <c r="R177" t="str">
        <f>_xlfn.CONCAT(modif0[[#This Row],[tp]],"-",modif0[[#This Row],[essnc]],"_",modif0[[#This Row],[anns]])</f>
        <v>PLA-PM_2020</v>
      </c>
      <c r="S177" t="b">
        <f>modif0[[#This Row],[tp]]="CR"</f>
        <v>0</v>
      </c>
      <c r="T177">
        <v>40</v>
      </c>
      <c r="U177" t="str">
        <f>IF(NOT($A177),"",
IF(AO177=-2,regle!$J$11,
IF(AO177=regle!$B$12,regle!$B$11,
IF(AO177=regle!$C$12,regle!$C$11,
IF(AO177=regle!$D$12,regle!$D$11,
IF(AO177=regle!$E$12,regle!$E$11,
IF(AO177=regle!$F$12,regle!$F$11,
IF(AO177=regle!$G$12,regle!$G$11,
IF(AO177=regle!$H$12,regle!$H$11,
IF(AO177=regle!$I$12,regle!$I$11,""))))))))))</f>
        <v/>
      </c>
      <c r="V177" t="str">
        <f>IF(NOT($A177),"",
IF(AP177=-2,regle!$J$11,
IF(AP177=regle!$B$12,regle!$B$11,
IF(AP177=regle!$C$12,regle!$C$11,
IF(AP177=regle!$D$12,regle!$D$11,
IF(AP177=regle!$E$12,regle!$E$11,
IF(AP177=regle!$F$12,regle!$F$11,
IF(AP177=regle!$G$12,regle!$G$11,
IF(AP177=regle!$H$12,regle!$H$11,
IF(AP177=regle!$I$12,regle!$I$11,""))))))))))</f>
        <v>ENT1</v>
      </c>
      <c r="W177" t="str">
        <f>IF(NOT($A177),"",
IF(AQ177=-2,regle!$J$11,
IF(AQ177=regle!$B$12,regle!$B$11,
IF(AQ177=regle!$C$12,regle!$C$11,
IF(AQ177=regle!$D$12,regle!$D$11,
IF(AQ177=regle!$E$12,regle!$E$11,
IF(AQ177=regle!$F$12,regle!$F$11,
IF(AQ177=regle!$G$12,regle!$G$11,
IF(AQ177=regle!$H$12,regle!$H$11,
IF(AQ177=regle!$I$12,regle!$I$11,""))))))))))</f>
        <v/>
      </c>
      <c r="X177" t="str">
        <f>IF(NOT($A177),"",
IF(AR177=-2,regle!$J$11,
IF(AR177=regle!$B$12,regle!$B$11,
IF(AR177=regle!$C$12,regle!$C$11,
IF(AR177=regle!$D$12,regle!$D$11,
IF(AR177=regle!$E$12,regle!$E$11,
IF(AR177=regle!$F$12,regle!$F$11,
IF(AR177=regle!$G$12,regle!$G$11,
IF(AR177=regle!$H$12,regle!$H$11,
IF(AR177=regle!$I$12,regle!$I$11,""))))))))))</f>
        <v/>
      </c>
      <c r="Y177" t="str">
        <f>IF(NOT($A177),"",
IF(AS177=-2,regle!$J$11,
IF(AS177=regle!$B$12,regle!$B$11,
IF(AS177=regle!$C$12,regle!$C$11,
IF(AS177=regle!$D$12,regle!$D$11,
IF(AS177=regle!$E$12,regle!$E$11,
IF(AS177=regle!$F$12,regle!$F$11,
IF(AS177=regle!$G$12,regle!$G$11,
IF(AS177=regle!$H$12,regle!$H$11,
IF(AS177=regle!$I$12,regle!$I$11,""))))))))))</f>
        <v>ENT2</v>
      </c>
      <c r="Z177" t="str">
        <f>IF(NOT($A177),"",
IF(AT177=-2,regle!$J$11,
IF(AT177=regle!$B$12,regle!$B$11,
IF(AT177=regle!$C$12,regle!$C$11,
IF(AT177=regle!$D$12,regle!$D$11,
IF(AT177=regle!$E$12,regle!$E$11,
IF(AT177=regle!$F$12,regle!$F$11,
IF(AT177=regle!$G$12,regle!$G$11,
IF(AT177=regle!$H$12,regle!$H$11,
IF(AT177=regle!$I$12,regle!$I$11,""))))))))))</f>
        <v/>
      </c>
      <c r="AA177" t="str">
        <f>IF(NOT($A177),"",
IF(AU177=-2,regle!$J$11,
IF(AU177=regle!$B$12,regle!$B$11,
IF(AU177=regle!$C$12,regle!$C$11,
IF(AU177=regle!$D$12,regle!$D$11,
IF(AU177=regle!$E$12,regle!$E$11,
IF(AU177=regle!$F$12,regle!$F$11,
IF(AU177=regle!$G$12,regle!$G$11,
IF(AU177=regle!$H$12,regle!$H$11,
IF(AU177=regle!$I$12,regle!$I$11,""))))))))))</f>
        <v/>
      </c>
      <c r="AB177" t="str">
        <f>IF(NOT($A177),"",
IF(AV177=-2,regle!$J$11,
IF(AV177=regle!$B$12,regle!$B$11,
IF(AV177=regle!$C$12,regle!$C$11,
IF(AV177=regle!$D$12,regle!$D$11,
IF(AV177=regle!$E$12,regle!$E$11,
IF(AV177=regle!$F$12,regle!$F$11,
IF(AV177=regle!$G$12,regle!$G$11,
IF(AV177=regle!$H$12,regle!$H$11,
IF(AV177=regle!$I$12,regle!$I$11,""))))))))))</f>
        <v/>
      </c>
      <c r="AC177" t="str">
        <f>IF(NOT($A177),"",
IF(AW177=-2,regle!$J$11,
IF(AW177=regle!$B$12,regle!$B$11,
IF(AW177=regle!$C$12,regle!$C$11,
IF(AW177=regle!$D$12,regle!$D$11,
IF(AW177=regle!$E$12,regle!$E$11,
IF(AW177=regle!$F$12,regle!$F$11,
IF(AW177=regle!$G$12,regle!$G$11,
IF(AW177=regle!$H$12,regle!$H$11,
IF(AW177=regle!$I$12,regle!$I$11,""))))))))))</f>
        <v/>
      </c>
      <c r="AD177" t="str">
        <f>IF(NOT($A177),"",
IF(AX177=-2,regle!$J$11,
IF(AX177=regle!$B$12,regle!$B$11,
IF(AX177=regle!$C$12,regle!$C$11,
IF(AX177=regle!$D$12,regle!$D$11,
IF(AX177=regle!$E$12,regle!$E$11,
IF(AX177=regle!$F$12,regle!$F$11,
IF(AX177=regle!$G$12,regle!$G$11,
IF(AX177=regle!$H$12,regle!$H$11,
IF(AX177=regle!$I$12,regle!$I$11,""))))))))))</f>
        <v>EC1</v>
      </c>
      <c r="AE177" s="14">
        <f>IF($A177,$M177*(IF(U177=regle!$B$11,regle!$B$23,IF(U177=regle!$C$11,regle!$C$23,IF(U177=regle!$D$11,regle!$D$23,IF(U177=regle!$E$11,regle!$E$23,IF(U177=regle!$F$11,regle!$F$23,IF(U177=regle!$G$11,regle!$G$23,IF(U177=regle!$H$11,regle!$H$23,IF(U177=regle!$I$11,regle!$I$23,IF(U177=regle!$J$11,regle!$J$23,0)))))))))))</f>
        <v>0</v>
      </c>
      <c r="AF177" s="14">
        <f>IF($A177,$M177*(IF(V177=regle!$B$11,regle!$B$23,IF(V177=regle!$C$11,regle!$C$23,IF(V177=regle!$D$11,regle!$D$23,IF(V177=regle!$E$11,regle!$E$23,IF(V177=regle!$F$11,regle!$F$23,IF(V177=regle!$G$11,regle!$G$23,IF(V177=regle!$H$11,regle!$H$23,IF(V177=regle!$I$11,regle!$I$23,IF(V177=regle!$J$11,regle!$J$23,0)))))))))))</f>
        <v>-34.866</v>
      </c>
      <c r="AG177" s="14">
        <f>IF($A177,$M177*(IF(W177=regle!$B$11,regle!$B$23,IF(W177=regle!$C$11,regle!$C$23,IF(W177=regle!$D$11,regle!$D$23,IF(W177=regle!$E$11,regle!$E$23,IF(W177=regle!$F$11,regle!$F$23,IF(W177=regle!$G$11,regle!$G$23,IF(W177=regle!$H$11,regle!$H$23,IF(W177=regle!$I$11,regle!$I$23,IF(W177=regle!$J$11,regle!$J$23,0)))))))))))</f>
        <v>0</v>
      </c>
      <c r="AH177" s="14">
        <f>IF($A177,$M177*(IF(X177=regle!$B$11,regle!$B$23,IF(X177=regle!$C$11,regle!$C$23,IF(X177=regle!$D$11,regle!$D$23,IF(X177=regle!$E$11,regle!$E$23,IF(X177=regle!$F$11,regle!$F$23,IF(X177=regle!$G$11,regle!$G$23,IF(X177=regle!$H$11,regle!$H$23,IF(X177=regle!$I$11,regle!$I$23,IF(X177=regle!$J$11,regle!$J$23,0)))))))))))</f>
        <v>0</v>
      </c>
      <c r="AI177" s="14">
        <f>IF($A177,$M177*(IF(Y177=regle!$B$11,regle!$B$23,IF(Y177=regle!$C$11,regle!$C$23,IF(Y177=regle!$D$11,regle!$D$23,IF(Y177=regle!$E$11,regle!$E$23,IF(Y177=regle!$F$11,regle!$F$23,IF(Y177=regle!$G$11,regle!$G$23,IF(Y177=regle!$H$11,regle!$H$23,IF(Y177=regle!$I$11,regle!$I$23,IF(Y177=regle!$J$11,regle!$J$23,0)))))))))))</f>
        <v>-34.866</v>
      </c>
      <c r="AJ177" s="14">
        <f>IF($A177,$M177*(IF(Z177=regle!$B$11,regle!$B$23,IF(Z177=regle!$C$11,regle!$C$23,IF(Z177=regle!$D$11,regle!$D$23,IF(Z177=regle!$E$11,regle!$E$23,IF(Z177=regle!$F$11,regle!$F$23,IF(Z177=regle!$G$11,regle!$G$23,IF(Z177=regle!$H$11,regle!$H$23,IF(Z177=regle!$I$11,regle!$I$23,IF(Z177=regle!$J$11,regle!$J$23,0)))))))))))</f>
        <v>0</v>
      </c>
      <c r="AK177" s="14">
        <f>IF($A177,$M177*(IF(AA177=regle!$B$11,regle!$B$23,IF(AA177=regle!$C$11,regle!$C$23,IF(AA177=regle!$D$11,regle!$D$23,IF(AA177=regle!$E$11,regle!$E$23,IF(AA177=regle!$F$11,regle!$F$23,IF(AA177=regle!$G$11,regle!$G$23,IF(AA177=regle!$H$11,regle!$H$23,IF(AA177=regle!$I$11,regle!$I$23,IF(AA177=regle!$J$11,regle!$J$23,0)))))))))))</f>
        <v>0</v>
      </c>
      <c r="AL177" s="14">
        <f>IF($A177,$M177*(IF(AB177=regle!$B$11,regle!$B$23,IF(AB177=regle!$C$11,regle!$C$23,IF(AB177=regle!$D$11,regle!$D$23,IF(AB177=regle!$E$11,regle!$E$23,IF(AB177=regle!$F$11,regle!$F$23,IF(AB177=regle!$G$11,regle!$G$23,IF(AB177=regle!$H$11,regle!$H$23,IF(AB177=regle!$I$11,regle!$I$23,IF(AB177=regle!$J$11,regle!$J$23,0)))))))))))</f>
        <v>0</v>
      </c>
      <c r="AM177" s="14">
        <f>IF($A177,$M177*(IF(AC177=regle!$B$11,regle!$B$23,IF(AC177=regle!$C$11,regle!$C$23,IF(AC177=regle!$D$11,regle!$D$23,IF(AC177=regle!$E$11,regle!$E$23,IF(AC177=regle!$F$11,regle!$F$23,IF(AC177=regle!$G$11,regle!$G$23,IF(AC177=regle!$H$11,regle!$H$23,IF(AC177=regle!$I$11,regle!$I$23,IF(AC177=regle!$J$11,regle!$J$23,0)))))))))))</f>
        <v>0</v>
      </c>
      <c r="AN177" s="14">
        <f>IF($A177,$M177*(IF(AD177=regle!$B$11,regle!$B$23,IF(AD177=regle!$C$11,regle!$C$23,IF(AD177=regle!$D$11,regle!$D$23,IF(AD177=regle!$E$11,regle!$E$23,IF(AD177=regle!$F$11,regle!$F$23,IF(AD177=regle!$G$11,regle!$G$23,IF(AD177=regle!$H$11,regle!$H$23,IF(AD177=regle!$I$11,regle!$I$23,IF(AD177=regle!$J$11,regle!$J$23,0)))))))))))</f>
        <v>223.14240000000001</v>
      </c>
      <c r="AO177">
        <f>IF(AO$1=$AO$1,IF(regle!B$2-$Q177&gt;=regle!$J$12,-2,IF($S177,IF(regle!$B$2-$Q177&gt;=2,0,-1),regle!B$2-$Q177)),IF(AN177+1&gt;=regle!$J$12,-2,AN177+1))</f>
        <v>4</v>
      </c>
      <c r="AP177">
        <f>IF(AP$1=$AO$1,IF(regle!C$2-$Q177&gt;=regle!$J$12,-2,IF($S177,IF(regle!$B$2-$Q177&gt;=2,0,-1),regle!C$2-$Q177)),IF(AO177+1&gt;=regle!$J$12,-2,AO177+1))</f>
        <v>5</v>
      </c>
      <c r="AQ177">
        <f>IF(AQ$1=$AO$1,IF(regle!D$2-$Q177&gt;=regle!$J$12,-2,IF($S177,IF(regle!$B$2-$Q177&gt;=2,0,-1),regle!D$2-$Q177)),IF(AP177+1&gt;=regle!$J$12,-2,AP177+1))</f>
        <v>6</v>
      </c>
      <c r="AR177">
        <f>IF(AR$1=$AO$1,IF(regle!E$2-$Q177&gt;=regle!$J$12,-2,IF($S177,IF(regle!$B$2-$Q177&gt;=2,0,-1),regle!E$2-$Q177)),IF(AQ177+1&gt;=regle!$J$12,-2,AQ177+1))</f>
        <v>7</v>
      </c>
      <c r="AS177">
        <f>IF(AS$1=$AO$1,IF(regle!F$2-$Q177&gt;=regle!$J$12,-2,IF($S177,IF(regle!$B$2-$Q177&gt;=2,0,-1),regle!F$2-$Q177)),IF(AR177+1&gt;=regle!$J$12,-2,AR177+1))</f>
        <v>8</v>
      </c>
      <c r="AT177">
        <f>IF(AT$1=$AO$1,IF(regle!G$2-$Q177&gt;=regle!$J$12,-2,IF($S177,IF(regle!$B$2-$Q177&gt;=2,0,-1),regle!G$2-$Q177)),IF(AS177+1&gt;=regle!$J$12,-2,AS177+1))</f>
        <v>9</v>
      </c>
      <c r="AU177">
        <f>IF(AU$1=$AO$1,IF(regle!H$2-$Q177&gt;=regle!$J$12,-2,IF($S177,IF(regle!$B$2-$Q177&gt;=2,0,-1),regle!H$2-$Q177)),IF(AT177+1&gt;=regle!$J$12,-2,AT177+1))</f>
        <v>10</v>
      </c>
      <c r="AV177">
        <f>IF(AV$1=$AO$1,IF(regle!I$2-$Q177&gt;=regle!$J$12,-2,IF($S177,IF(regle!$B$2-$Q177&gt;=2,0,-1),regle!I$2-$Q177)),IF(AU177+1&gt;=regle!$J$12,-2,AU177+1))</f>
        <v>11</v>
      </c>
      <c r="AW177">
        <f>IF(AW$1=$AO$1,IF(regle!J$2-$Q177&gt;=regle!$J$12,-2,IF($S177,IF(regle!$B$2-$Q177&gt;=2,0,-1),regle!J$2-$Q177)),IF(AV177+1&gt;=regle!$J$12,-2,AV177+1))</f>
        <v>12</v>
      </c>
      <c r="AX177">
        <f>IF(AX$1=$AO$1,IF(regle!K$2-$Q177&gt;=regle!$J$12,-2,IF($S177,IF(regle!$B$2-$Q177&gt;=2,0,-1),regle!K$2-$Q177)),IF(AW177+1&gt;=regle!$J$12,-2,AW177+1))</f>
        <v>13</v>
      </c>
    </row>
    <row r="178" spans="1:50" x14ac:dyDescent="0.25">
      <c r="A178" t="b">
        <f>AND(modif0[[#This Row],[cdstr]]&lt;&gt;0,OR(regle!$H$27=FALSE,modif0[[#This Row],[essnc]]="PM"))</f>
        <v>1</v>
      </c>
      <c r="B178">
        <f>ROW(objet!A207)</f>
        <v>207</v>
      </c>
      <c r="C178" s="10" t="str">
        <f>objet!D207</f>
        <v>2020000B1203</v>
      </c>
      <c r="D178" t="str">
        <f>LEFT(modif0[[#This Row],[cdstr]],3)</f>
        <v>202</v>
      </c>
      <c r="E178" s="10" t="str">
        <f>objet!G207</f>
        <v>HOSTENS</v>
      </c>
      <c r="F178">
        <f>LEN(modif0[[#This Row],[l_dt]])</f>
        <v>8</v>
      </c>
      <c r="G178" s="10" t="str">
        <f>objet!H207</f>
        <v>LES BECS</v>
      </c>
      <c r="H178" s="10" t="str">
        <f>objet!C207</f>
        <v>B1203</v>
      </c>
      <c r="I178" t="str">
        <f>IF(ISNUMBER(VALUE(RIGHT(LEFT(modif0[[#This Row],[idntfn]],2),1))),_xlfn.CONCAT(0,LEFT(modif0[[#This Row],[idntfn]],1)),LEFT(modif0[[#This Row],[idntfn]],2))</f>
        <v>0B</v>
      </c>
      <c r="J178">
        <f>VALUE(LEFT(RIGHT(modif0[[#This Row],[idntfn]],LEN(modif0[[#This Row],[idntfn]])-IF(LEFT(modif0[[#This Row],[sctn]],1)="0",1,2)),LEN(modif0[[#This Row],[idntfn]])-IF(LEFT(modif0[[#This Row],[sctn]],1)="0",1,2)-LEN(modif0[[#This Row],[lttr]])))</f>
        <v>1203</v>
      </c>
      <c r="K178" t="str">
        <f>IF(ISNUMBER(VALUE(RIGHT(modif0[[#This Row],[idntfn]],1))),"",IF(ISNUMBER(VALUE(LEFT(RIGHT(modif0[[#This Row],[idntfn]],2),1))),RIGHT(modif0[[#This Row],[idntfn]],1),RIGHT(modif0[[#This Row],[idntfn]],2)))</f>
        <v/>
      </c>
      <c r="L178" s="10">
        <f>objet!I207</f>
        <v>1055</v>
      </c>
      <c r="M178" s="11">
        <f>modif0[[#This Row],[srfc]]/10000</f>
        <v>0.1055</v>
      </c>
      <c r="N178" s="10" t="str">
        <f>objet!Z207</f>
        <v>PM</v>
      </c>
      <c r="O178" s="10" t="str">
        <f>objet!AA207</f>
        <v>PLA2020</v>
      </c>
      <c r="P178" t="str">
        <f>IF(ISNUMBER(modif0[[#This Row],[trvx]]),"",LEFT(modif0[[#This Row],[trvx]],LEN(modif0[[#This Row],[trvx]])-4))</f>
        <v>PLA</v>
      </c>
      <c r="Q178">
        <f>VALUE(RIGHT(modif0[[#This Row],[trvx]],4))</f>
        <v>2020</v>
      </c>
      <c r="R178" t="str">
        <f>_xlfn.CONCAT(modif0[[#This Row],[tp]],"-",modif0[[#This Row],[essnc]],"_",modif0[[#This Row],[anns]])</f>
        <v>PLA-PM_2020</v>
      </c>
      <c r="S178" t="b">
        <f>modif0[[#This Row],[tp]]="CR"</f>
        <v>0</v>
      </c>
      <c r="T178">
        <v>40</v>
      </c>
      <c r="U178" t="str">
        <f>IF(NOT($A178),"",
IF(AO178=-2,regle!$J$11,
IF(AO178=regle!$B$12,regle!$B$11,
IF(AO178=regle!$C$12,regle!$C$11,
IF(AO178=regle!$D$12,regle!$D$11,
IF(AO178=regle!$E$12,regle!$E$11,
IF(AO178=regle!$F$12,regle!$F$11,
IF(AO178=regle!$G$12,regle!$G$11,
IF(AO178=regle!$H$12,regle!$H$11,
IF(AO178=regle!$I$12,regle!$I$11,""))))))))))</f>
        <v/>
      </c>
      <c r="V178" t="str">
        <f>IF(NOT($A178),"",
IF(AP178=-2,regle!$J$11,
IF(AP178=regle!$B$12,regle!$B$11,
IF(AP178=regle!$C$12,regle!$C$11,
IF(AP178=regle!$D$12,regle!$D$11,
IF(AP178=regle!$E$12,regle!$E$11,
IF(AP178=regle!$F$12,regle!$F$11,
IF(AP178=regle!$G$12,regle!$G$11,
IF(AP178=regle!$H$12,regle!$H$11,
IF(AP178=regle!$I$12,regle!$I$11,""))))))))))</f>
        <v>ENT1</v>
      </c>
      <c r="W178" t="str">
        <f>IF(NOT($A178),"",
IF(AQ178=-2,regle!$J$11,
IF(AQ178=regle!$B$12,regle!$B$11,
IF(AQ178=regle!$C$12,regle!$C$11,
IF(AQ178=regle!$D$12,regle!$D$11,
IF(AQ178=regle!$E$12,regle!$E$11,
IF(AQ178=regle!$F$12,regle!$F$11,
IF(AQ178=regle!$G$12,regle!$G$11,
IF(AQ178=regle!$H$12,regle!$H$11,
IF(AQ178=regle!$I$12,regle!$I$11,""))))))))))</f>
        <v/>
      </c>
      <c r="X178" t="str">
        <f>IF(NOT($A178),"",
IF(AR178=-2,regle!$J$11,
IF(AR178=regle!$B$12,regle!$B$11,
IF(AR178=regle!$C$12,regle!$C$11,
IF(AR178=regle!$D$12,regle!$D$11,
IF(AR178=regle!$E$12,regle!$E$11,
IF(AR178=regle!$F$12,regle!$F$11,
IF(AR178=regle!$G$12,regle!$G$11,
IF(AR178=regle!$H$12,regle!$H$11,
IF(AR178=regle!$I$12,regle!$I$11,""))))))))))</f>
        <v/>
      </c>
      <c r="Y178" t="str">
        <f>IF(NOT($A178),"",
IF(AS178=-2,regle!$J$11,
IF(AS178=regle!$B$12,regle!$B$11,
IF(AS178=regle!$C$12,regle!$C$11,
IF(AS178=regle!$D$12,regle!$D$11,
IF(AS178=regle!$E$12,regle!$E$11,
IF(AS178=regle!$F$12,regle!$F$11,
IF(AS178=regle!$G$12,regle!$G$11,
IF(AS178=regle!$H$12,regle!$H$11,
IF(AS178=regle!$I$12,regle!$I$11,""))))))))))</f>
        <v>ENT2</v>
      </c>
      <c r="Z178" t="str">
        <f>IF(NOT($A178),"",
IF(AT178=-2,regle!$J$11,
IF(AT178=regle!$B$12,regle!$B$11,
IF(AT178=regle!$C$12,regle!$C$11,
IF(AT178=regle!$D$12,regle!$D$11,
IF(AT178=regle!$E$12,regle!$E$11,
IF(AT178=regle!$F$12,regle!$F$11,
IF(AT178=regle!$G$12,regle!$G$11,
IF(AT178=regle!$H$12,regle!$H$11,
IF(AT178=regle!$I$12,regle!$I$11,""))))))))))</f>
        <v/>
      </c>
      <c r="AA178" t="str">
        <f>IF(NOT($A178),"",
IF(AU178=-2,regle!$J$11,
IF(AU178=regle!$B$12,regle!$B$11,
IF(AU178=regle!$C$12,regle!$C$11,
IF(AU178=regle!$D$12,regle!$D$11,
IF(AU178=regle!$E$12,regle!$E$11,
IF(AU178=regle!$F$12,regle!$F$11,
IF(AU178=regle!$G$12,regle!$G$11,
IF(AU178=regle!$H$12,regle!$H$11,
IF(AU178=regle!$I$12,regle!$I$11,""))))))))))</f>
        <v/>
      </c>
      <c r="AB178" t="str">
        <f>IF(NOT($A178),"",
IF(AV178=-2,regle!$J$11,
IF(AV178=regle!$B$12,regle!$B$11,
IF(AV178=regle!$C$12,regle!$C$11,
IF(AV178=regle!$D$12,regle!$D$11,
IF(AV178=regle!$E$12,regle!$E$11,
IF(AV178=regle!$F$12,regle!$F$11,
IF(AV178=regle!$G$12,regle!$G$11,
IF(AV178=regle!$H$12,regle!$H$11,
IF(AV178=regle!$I$12,regle!$I$11,""))))))))))</f>
        <v/>
      </c>
      <c r="AC178" t="str">
        <f>IF(NOT($A178),"",
IF(AW178=-2,regle!$J$11,
IF(AW178=regle!$B$12,regle!$B$11,
IF(AW178=regle!$C$12,regle!$C$11,
IF(AW178=regle!$D$12,regle!$D$11,
IF(AW178=regle!$E$12,regle!$E$11,
IF(AW178=regle!$F$12,regle!$F$11,
IF(AW178=regle!$G$12,regle!$G$11,
IF(AW178=regle!$H$12,regle!$H$11,
IF(AW178=regle!$I$12,regle!$I$11,""))))))))))</f>
        <v/>
      </c>
      <c r="AD178" t="str">
        <f>IF(NOT($A178),"",
IF(AX178=-2,regle!$J$11,
IF(AX178=regle!$B$12,regle!$B$11,
IF(AX178=regle!$C$12,regle!$C$11,
IF(AX178=regle!$D$12,regle!$D$11,
IF(AX178=regle!$E$12,regle!$E$11,
IF(AX178=regle!$F$12,regle!$F$11,
IF(AX178=regle!$G$12,regle!$G$11,
IF(AX178=regle!$H$12,regle!$H$11,
IF(AX178=regle!$I$12,regle!$I$11,""))))))))))</f>
        <v>EC1</v>
      </c>
      <c r="AE178" s="14">
        <f>IF($A178,$M178*(IF(U178=regle!$B$11,regle!$B$23,IF(U178=regle!$C$11,regle!$C$23,IF(U178=regle!$D$11,regle!$D$23,IF(U178=regle!$E$11,regle!$E$23,IF(U178=regle!$F$11,regle!$F$23,IF(U178=regle!$G$11,regle!$G$23,IF(U178=regle!$H$11,regle!$H$23,IF(U178=regle!$I$11,regle!$I$23,IF(U178=regle!$J$11,regle!$J$23,0)))))))))))</f>
        <v>0</v>
      </c>
      <c r="AF178" s="14">
        <f>IF($A178,$M178*(IF(V178=regle!$B$11,regle!$B$23,IF(V178=regle!$C$11,regle!$C$23,IF(V178=regle!$D$11,regle!$D$23,IF(V178=regle!$E$11,regle!$E$23,IF(V178=regle!$F$11,regle!$F$23,IF(V178=regle!$G$11,regle!$G$23,IF(V178=regle!$H$11,regle!$H$23,IF(V178=regle!$I$11,regle!$I$23,IF(V178=regle!$J$11,regle!$J$23,0)))))))))))</f>
        <v>-9.4949999999999992</v>
      </c>
      <c r="AG178" s="14">
        <f>IF($A178,$M178*(IF(W178=regle!$B$11,regle!$B$23,IF(W178=regle!$C$11,regle!$C$23,IF(W178=regle!$D$11,regle!$D$23,IF(W178=regle!$E$11,regle!$E$23,IF(W178=regle!$F$11,regle!$F$23,IF(W178=regle!$G$11,regle!$G$23,IF(W178=regle!$H$11,regle!$H$23,IF(W178=regle!$I$11,regle!$I$23,IF(W178=regle!$J$11,regle!$J$23,0)))))))))))</f>
        <v>0</v>
      </c>
      <c r="AH178" s="14">
        <f>IF($A178,$M178*(IF(X178=regle!$B$11,regle!$B$23,IF(X178=regle!$C$11,regle!$C$23,IF(X178=regle!$D$11,regle!$D$23,IF(X178=regle!$E$11,regle!$E$23,IF(X178=regle!$F$11,regle!$F$23,IF(X178=regle!$G$11,regle!$G$23,IF(X178=regle!$H$11,regle!$H$23,IF(X178=regle!$I$11,regle!$I$23,IF(X178=regle!$J$11,regle!$J$23,0)))))))))))</f>
        <v>0</v>
      </c>
      <c r="AI178" s="14">
        <f>IF($A178,$M178*(IF(Y178=regle!$B$11,regle!$B$23,IF(Y178=regle!$C$11,regle!$C$23,IF(Y178=regle!$D$11,regle!$D$23,IF(Y178=regle!$E$11,regle!$E$23,IF(Y178=regle!$F$11,regle!$F$23,IF(Y178=regle!$G$11,regle!$G$23,IF(Y178=regle!$H$11,regle!$H$23,IF(Y178=regle!$I$11,regle!$I$23,IF(Y178=regle!$J$11,regle!$J$23,0)))))))))))</f>
        <v>-9.4949999999999992</v>
      </c>
      <c r="AJ178" s="14">
        <f>IF($A178,$M178*(IF(Z178=regle!$B$11,regle!$B$23,IF(Z178=regle!$C$11,regle!$C$23,IF(Z178=regle!$D$11,regle!$D$23,IF(Z178=regle!$E$11,regle!$E$23,IF(Z178=regle!$F$11,regle!$F$23,IF(Z178=regle!$G$11,regle!$G$23,IF(Z178=regle!$H$11,regle!$H$23,IF(Z178=regle!$I$11,regle!$I$23,IF(Z178=regle!$J$11,regle!$J$23,0)))))))))))</f>
        <v>0</v>
      </c>
      <c r="AK178" s="14">
        <f>IF($A178,$M178*(IF(AA178=regle!$B$11,regle!$B$23,IF(AA178=regle!$C$11,regle!$C$23,IF(AA178=regle!$D$11,regle!$D$23,IF(AA178=regle!$E$11,regle!$E$23,IF(AA178=regle!$F$11,regle!$F$23,IF(AA178=regle!$G$11,regle!$G$23,IF(AA178=regle!$H$11,regle!$H$23,IF(AA178=regle!$I$11,regle!$I$23,IF(AA178=regle!$J$11,regle!$J$23,0)))))))))))</f>
        <v>0</v>
      </c>
      <c r="AL178" s="14">
        <f>IF($A178,$M178*(IF(AB178=regle!$B$11,regle!$B$23,IF(AB178=regle!$C$11,regle!$C$23,IF(AB178=regle!$D$11,regle!$D$23,IF(AB178=regle!$E$11,regle!$E$23,IF(AB178=regle!$F$11,regle!$F$23,IF(AB178=regle!$G$11,regle!$G$23,IF(AB178=regle!$H$11,regle!$H$23,IF(AB178=regle!$I$11,regle!$I$23,IF(AB178=regle!$J$11,regle!$J$23,0)))))))))))</f>
        <v>0</v>
      </c>
      <c r="AM178" s="14">
        <f>IF($A178,$M178*(IF(AC178=regle!$B$11,regle!$B$23,IF(AC178=regle!$C$11,regle!$C$23,IF(AC178=regle!$D$11,regle!$D$23,IF(AC178=regle!$E$11,regle!$E$23,IF(AC178=regle!$F$11,regle!$F$23,IF(AC178=regle!$G$11,regle!$G$23,IF(AC178=regle!$H$11,regle!$H$23,IF(AC178=regle!$I$11,regle!$I$23,IF(AC178=regle!$J$11,regle!$J$23,0)))))))))))</f>
        <v>0</v>
      </c>
      <c r="AN178" s="14">
        <f>IF($A178,$M178*(IF(AD178=regle!$B$11,regle!$B$23,IF(AD178=regle!$C$11,regle!$C$23,IF(AD178=regle!$D$11,regle!$D$23,IF(AD178=regle!$E$11,regle!$E$23,IF(AD178=regle!$F$11,regle!$F$23,IF(AD178=regle!$G$11,regle!$G$23,IF(AD178=regle!$H$11,regle!$H$23,IF(AD178=regle!$I$11,regle!$I$23,IF(AD178=regle!$J$11,regle!$J$23,0)))))))))))</f>
        <v>60.768000000000001</v>
      </c>
      <c r="AO178">
        <f>IF(AO$1=$AO$1,IF(regle!B$2-$Q178&gt;=regle!$J$12,-2,IF($S178,IF(regle!$B$2-$Q178&gt;=2,0,-1),regle!B$2-$Q178)),IF(AN178+1&gt;=regle!$J$12,-2,AN178+1))</f>
        <v>4</v>
      </c>
      <c r="AP178">
        <f>IF(AP$1=$AO$1,IF(regle!C$2-$Q178&gt;=regle!$J$12,-2,IF($S178,IF(regle!$B$2-$Q178&gt;=2,0,-1),regle!C$2-$Q178)),IF(AO178+1&gt;=regle!$J$12,-2,AO178+1))</f>
        <v>5</v>
      </c>
      <c r="AQ178">
        <f>IF(AQ$1=$AO$1,IF(regle!D$2-$Q178&gt;=regle!$J$12,-2,IF($S178,IF(regle!$B$2-$Q178&gt;=2,0,-1),regle!D$2-$Q178)),IF(AP178+1&gt;=regle!$J$12,-2,AP178+1))</f>
        <v>6</v>
      </c>
      <c r="AR178">
        <f>IF(AR$1=$AO$1,IF(regle!E$2-$Q178&gt;=regle!$J$12,-2,IF($S178,IF(regle!$B$2-$Q178&gt;=2,0,-1),regle!E$2-$Q178)),IF(AQ178+1&gt;=regle!$J$12,-2,AQ178+1))</f>
        <v>7</v>
      </c>
      <c r="AS178">
        <f>IF(AS$1=$AO$1,IF(regle!F$2-$Q178&gt;=regle!$J$12,-2,IF($S178,IF(regle!$B$2-$Q178&gt;=2,0,-1),regle!F$2-$Q178)),IF(AR178+1&gt;=regle!$J$12,-2,AR178+1))</f>
        <v>8</v>
      </c>
      <c r="AT178">
        <f>IF(AT$1=$AO$1,IF(regle!G$2-$Q178&gt;=regle!$J$12,-2,IF($S178,IF(regle!$B$2-$Q178&gt;=2,0,-1),regle!G$2-$Q178)),IF(AS178+1&gt;=regle!$J$12,-2,AS178+1))</f>
        <v>9</v>
      </c>
      <c r="AU178">
        <f>IF(AU$1=$AO$1,IF(regle!H$2-$Q178&gt;=regle!$J$12,-2,IF($S178,IF(regle!$B$2-$Q178&gt;=2,0,-1),regle!H$2-$Q178)),IF(AT178+1&gt;=regle!$J$12,-2,AT178+1))</f>
        <v>10</v>
      </c>
      <c r="AV178">
        <f>IF(AV$1=$AO$1,IF(regle!I$2-$Q178&gt;=regle!$J$12,-2,IF($S178,IF(regle!$B$2-$Q178&gt;=2,0,-1),regle!I$2-$Q178)),IF(AU178+1&gt;=regle!$J$12,-2,AU178+1))</f>
        <v>11</v>
      </c>
      <c r="AW178">
        <f>IF(AW$1=$AO$1,IF(regle!J$2-$Q178&gt;=regle!$J$12,-2,IF($S178,IF(regle!$B$2-$Q178&gt;=2,0,-1),regle!J$2-$Q178)),IF(AV178+1&gt;=regle!$J$12,-2,AV178+1))</f>
        <v>12</v>
      </c>
      <c r="AX178">
        <f>IF(AX$1=$AO$1,IF(regle!K$2-$Q178&gt;=regle!$J$12,-2,IF($S178,IF(regle!$B$2-$Q178&gt;=2,0,-1),regle!K$2-$Q178)),IF(AW178+1&gt;=regle!$J$12,-2,AW178+1))</f>
        <v>13</v>
      </c>
    </row>
    <row r="179" spans="1:50" x14ac:dyDescent="0.25">
      <c r="A179" t="b">
        <f>AND(modif0[[#This Row],[cdstr]]&lt;&gt;0,OR(regle!$H$27=FALSE,modif0[[#This Row],[essnc]]="PM"))</f>
        <v>1</v>
      </c>
      <c r="B179">
        <f>ROW(objet!A208)</f>
        <v>208</v>
      </c>
      <c r="C179" s="10" t="str">
        <f>objet!D208</f>
        <v>2020000B1204</v>
      </c>
      <c r="D179" t="str">
        <f>LEFT(modif0[[#This Row],[cdstr]],3)</f>
        <v>202</v>
      </c>
      <c r="E179" s="10" t="str">
        <f>objet!G208</f>
        <v>HOSTENS</v>
      </c>
      <c r="F179">
        <f>LEN(modif0[[#This Row],[l_dt]])</f>
        <v>8</v>
      </c>
      <c r="G179" s="10" t="str">
        <f>objet!H208</f>
        <v>LES BECS</v>
      </c>
      <c r="H179" s="10" t="str">
        <f>objet!C208</f>
        <v>B1204</v>
      </c>
      <c r="I179" t="str">
        <f>IF(ISNUMBER(VALUE(RIGHT(LEFT(modif0[[#This Row],[idntfn]],2),1))),_xlfn.CONCAT(0,LEFT(modif0[[#This Row],[idntfn]],1)),LEFT(modif0[[#This Row],[idntfn]],2))</f>
        <v>0B</v>
      </c>
      <c r="J179">
        <f>VALUE(LEFT(RIGHT(modif0[[#This Row],[idntfn]],LEN(modif0[[#This Row],[idntfn]])-IF(LEFT(modif0[[#This Row],[sctn]],1)="0",1,2)),LEN(modif0[[#This Row],[idntfn]])-IF(LEFT(modif0[[#This Row],[sctn]],1)="0",1,2)-LEN(modif0[[#This Row],[lttr]])))</f>
        <v>1204</v>
      </c>
      <c r="K179" t="str">
        <f>IF(ISNUMBER(VALUE(RIGHT(modif0[[#This Row],[idntfn]],1))),"",IF(ISNUMBER(VALUE(LEFT(RIGHT(modif0[[#This Row],[idntfn]],2),1))),RIGHT(modif0[[#This Row],[idntfn]],1),RIGHT(modif0[[#This Row],[idntfn]],2)))</f>
        <v/>
      </c>
      <c r="L179" s="10">
        <f>objet!I208</f>
        <v>12835</v>
      </c>
      <c r="M179" s="11">
        <f>modif0[[#This Row],[srfc]]/10000</f>
        <v>1.2835000000000001</v>
      </c>
      <c r="N179" s="10" t="str">
        <f>objet!Z208</f>
        <v>PM</v>
      </c>
      <c r="O179" s="10" t="str">
        <f>objet!AA208</f>
        <v>PLA2020</v>
      </c>
      <c r="P179" t="str">
        <f>IF(ISNUMBER(modif0[[#This Row],[trvx]]),"",LEFT(modif0[[#This Row],[trvx]],LEN(modif0[[#This Row],[trvx]])-4))</f>
        <v>PLA</v>
      </c>
      <c r="Q179">
        <f>VALUE(RIGHT(modif0[[#This Row],[trvx]],4))</f>
        <v>2020</v>
      </c>
      <c r="R179" t="str">
        <f>_xlfn.CONCAT(modif0[[#This Row],[tp]],"-",modif0[[#This Row],[essnc]],"_",modif0[[#This Row],[anns]])</f>
        <v>PLA-PM_2020</v>
      </c>
      <c r="S179" t="b">
        <f>modif0[[#This Row],[tp]]="CR"</f>
        <v>0</v>
      </c>
      <c r="T179">
        <v>40</v>
      </c>
      <c r="U179" t="str">
        <f>IF(NOT($A179),"",
IF(AO179=-2,regle!$J$11,
IF(AO179=regle!$B$12,regle!$B$11,
IF(AO179=regle!$C$12,regle!$C$11,
IF(AO179=regle!$D$12,regle!$D$11,
IF(AO179=regle!$E$12,regle!$E$11,
IF(AO179=regle!$F$12,regle!$F$11,
IF(AO179=regle!$G$12,regle!$G$11,
IF(AO179=regle!$H$12,regle!$H$11,
IF(AO179=regle!$I$12,regle!$I$11,""))))))))))</f>
        <v/>
      </c>
      <c r="V179" t="str">
        <f>IF(NOT($A179),"",
IF(AP179=-2,regle!$J$11,
IF(AP179=regle!$B$12,regle!$B$11,
IF(AP179=regle!$C$12,regle!$C$11,
IF(AP179=regle!$D$12,regle!$D$11,
IF(AP179=regle!$E$12,regle!$E$11,
IF(AP179=regle!$F$12,regle!$F$11,
IF(AP179=regle!$G$12,regle!$G$11,
IF(AP179=regle!$H$12,regle!$H$11,
IF(AP179=regle!$I$12,regle!$I$11,""))))))))))</f>
        <v>ENT1</v>
      </c>
      <c r="W179" t="str">
        <f>IF(NOT($A179),"",
IF(AQ179=-2,regle!$J$11,
IF(AQ179=regle!$B$12,regle!$B$11,
IF(AQ179=regle!$C$12,regle!$C$11,
IF(AQ179=regle!$D$12,regle!$D$11,
IF(AQ179=regle!$E$12,regle!$E$11,
IF(AQ179=regle!$F$12,regle!$F$11,
IF(AQ179=regle!$G$12,regle!$G$11,
IF(AQ179=regle!$H$12,regle!$H$11,
IF(AQ179=regle!$I$12,regle!$I$11,""))))))))))</f>
        <v/>
      </c>
      <c r="X179" t="str">
        <f>IF(NOT($A179),"",
IF(AR179=-2,regle!$J$11,
IF(AR179=regle!$B$12,regle!$B$11,
IF(AR179=regle!$C$12,regle!$C$11,
IF(AR179=regle!$D$12,regle!$D$11,
IF(AR179=regle!$E$12,regle!$E$11,
IF(AR179=regle!$F$12,regle!$F$11,
IF(AR179=regle!$G$12,regle!$G$11,
IF(AR179=regle!$H$12,regle!$H$11,
IF(AR179=regle!$I$12,regle!$I$11,""))))))))))</f>
        <v/>
      </c>
      <c r="Y179" t="str">
        <f>IF(NOT($A179),"",
IF(AS179=-2,regle!$J$11,
IF(AS179=regle!$B$12,regle!$B$11,
IF(AS179=regle!$C$12,regle!$C$11,
IF(AS179=regle!$D$12,regle!$D$11,
IF(AS179=regle!$E$12,regle!$E$11,
IF(AS179=regle!$F$12,regle!$F$11,
IF(AS179=regle!$G$12,regle!$G$11,
IF(AS179=regle!$H$12,regle!$H$11,
IF(AS179=regle!$I$12,regle!$I$11,""))))))))))</f>
        <v>ENT2</v>
      </c>
      <c r="Z179" t="str">
        <f>IF(NOT($A179),"",
IF(AT179=-2,regle!$J$11,
IF(AT179=regle!$B$12,regle!$B$11,
IF(AT179=regle!$C$12,regle!$C$11,
IF(AT179=regle!$D$12,regle!$D$11,
IF(AT179=regle!$E$12,regle!$E$11,
IF(AT179=regle!$F$12,regle!$F$11,
IF(AT179=regle!$G$12,regle!$G$11,
IF(AT179=regle!$H$12,regle!$H$11,
IF(AT179=regle!$I$12,regle!$I$11,""))))))))))</f>
        <v/>
      </c>
      <c r="AA179" t="str">
        <f>IF(NOT($A179),"",
IF(AU179=-2,regle!$J$11,
IF(AU179=regle!$B$12,regle!$B$11,
IF(AU179=regle!$C$12,regle!$C$11,
IF(AU179=regle!$D$12,regle!$D$11,
IF(AU179=regle!$E$12,regle!$E$11,
IF(AU179=regle!$F$12,regle!$F$11,
IF(AU179=regle!$G$12,regle!$G$11,
IF(AU179=regle!$H$12,regle!$H$11,
IF(AU179=regle!$I$12,regle!$I$11,""))))))))))</f>
        <v/>
      </c>
      <c r="AB179" t="str">
        <f>IF(NOT($A179),"",
IF(AV179=-2,regle!$J$11,
IF(AV179=regle!$B$12,regle!$B$11,
IF(AV179=regle!$C$12,regle!$C$11,
IF(AV179=regle!$D$12,regle!$D$11,
IF(AV179=regle!$E$12,regle!$E$11,
IF(AV179=regle!$F$12,regle!$F$11,
IF(AV179=regle!$G$12,regle!$G$11,
IF(AV179=regle!$H$12,regle!$H$11,
IF(AV179=regle!$I$12,regle!$I$11,""))))))))))</f>
        <v/>
      </c>
      <c r="AC179" t="str">
        <f>IF(NOT($A179),"",
IF(AW179=-2,regle!$J$11,
IF(AW179=regle!$B$12,regle!$B$11,
IF(AW179=regle!$C$12,regle!$C$11,
IF(AW179=regle!$D$12,regle!$D$11,
IF(AW179=regle!$E$12,regle!$E$11,
IF(AW179=regle!$F$12,regle!$F$11,
IF(AW179=regle!$G$12,regle!$G$11,
IF(AW179=regle!$H$12,regle!$H$11,
IF(AW179=regle!$I$12,regle!$I$11,""))))))))))</f>
        <v/>
      </c>
      <c r="AD179" t="str">
        <f>IF(NOT($A179),"",
IF(AX179=-2,regle!$J$11,
IF(AX179=regle!$B$12,regle!$B$11,
IF(AX179=regle!$C$12,regle!$C$11,
IF(AX179=regle!$D$12,regle!$D$11,
IF(AX179=regle!$E$12,regle!$E$11,
IF(AX179=regle!$F$12,regle!$F$11,
IF(AX179=regle!$G$12,regle!$G$11,
IF(AX179=regle!$H$12,regle!$H$11,
IF(AX179=regle!$I$12,regle!$I$11,""))))))))))</f>
        <v>EC1</v>
      </c>
      <c r="AE179" s="14">
        <f>IF($A179,$M179*(IF(U179=regle!$B$11,regle!$B$23,IF(U179=regle!$C$11,regle!$C$23,IF(U179=regle!$D$11,regle!$D$23,IF(U179=regle!$E$11,regle!$E$23,IF(U179=regle!$F$11,regle!$F$23,IF(U179=regle!$G$11,regle!$G$23,IF(U179=regle!$H$11,regle!$H$23,IF(U179=regle!$I$11,regle!$I$23,IF(U179=regle!$J$11,regle!$J$23,0)))))))))))</f>
        <v>0</v>
      </c>
      <c r="AF179" s="14">
        <f>IF($A179,$M179*(IF(V179=regle!$B$11,regle!$B$23,IF(V179=regle!$C$11,regle!$C$23,IF(V179=regle!$D$11,regle!$D$23,IF(V179=regle!$E$11,regle!$E$23,IF(V179=regle!$F$11,regle!$F$23,IF(V179=regle!$G$11,regle!$G$23,IF(V179=regle!$H$11,regle!$H$23,IF(V179=regle!$I$11,regle!$I$23,IF(V179=regle!$J$11,regle!$J$23,0)))))))))))</f>
        <v>-115.51500000000001</v>
      </c>
      <c r="AG179" s="14">
        <f>IF($A179,$M179*(IF(W179=regle!$B$11,regle!$B$23,IF(W179=regle!$C$11,regle!$C$23,IF(W179=regle!$D$11,regle!$D$23,IF(W179=regle!$E$11,regle!$E$23,IF(W179=regle!$F$11,regle!$F$23,IF(W179=regle!$G$11,regle!$G$23,IF(W179=regle!$H$11,regle!$H$23,IF(W179=regle!$I$11,regle!$I$23,IF(W179=regle!$J$11,regle!$J$23,0)))))))))))</f>
        <v>0</v>
      </c>
      <c r="AH179" s="14">
        <f>IF($A179,$M179*(IF(X179=regle!$B$11,regle!$B$23,IF(X179=regle!$C$11,regle!$C$23,IF(X179=regle!$D$11,regle!$D$23,IF(X179=regle!$E$11,regle!$E$23,IF(X179=regle!$F$11,regle!$F$23,IF(X179=regle!$G$11,regle!$G$23,IF(X179=regle!$H$11,regle!$H$23,IF(X179=regle!$I$11,regle!$I$23,IF(X179=regle!$J$11,regle!$J$23,0)))))))))))</f>
        <v>0</v>
      </c>
      <c r="AI179" s="14">
        <f>IF($A179,$M179*(IF(Y179=regle!$B$11,regle!$B$23,IF(Y179=regle!$C$11,regle!$C$23,IF(Y179=regle!$D$11,regle!$D$23,IF(Y179=regle!$E$11,regle!$E$23,IF(Y179=regle!$F$11,regle!$F$23,IF(Y179=regle!$G$11,regle!$G$23,IF(Y179=regle!$H$11,regle!$H$23,IF(Y179=regle!$I$11,regle!$I$23,IF(Y179=regle!$J$11,regle!$J$23,0)))))))))))</f>
        <v>-115.51500000000001</v>
      </c>
      <c r="AJ179" s="14">
        <f>IF($A179,$M179*(IF(Z179=regle!$B$11,regle!$B$23,IF(Z179=regle!$C$11,regle!$C$23,IF(Z179=regle!$D$11,regle!$D$23,IF(Z179=regle!$E$11,regle!$E$23,IF(Z179=regle!$F$11,regle!$F$23,IF(Z179=regle!$G$11,regle!$G$23,IF(Z179=regle!$H$11,regle!$H$23,IF(Z179=regle!$I$11,regle!$I$23,IF(Z179=regle!$J$11,regle!$J$23,0)))))))))))</f>
        <v>0</v>
      </c>
      <c r="AK179" s="14">
        <f>IF($A179,$M179*(IF(AA179=regle!$B$11,regle!$B$23,IF(AA179=regle!$C$11,regle!$C$23,IF(AA179=regle!$D$11,regle!$D$23,IF(AA179=regle!$E$11,regle!$E$23,IF(AA179=regle!$F$11,regle!$F$23,IF(AA179=regle!$G$11,regle!$G$23,IF(AA179=regle!$H$11,regle!$H$23,IF(AA179=regle!$I$11,regle!$I$23,IF(AA179=regle!$J$11,regle!$J$23,0)))))))))))</f>
        <v>0</v>
      </c>
      <c r="AL179" s="14">
        <f>IF($A179,$M179*(IF(AB179=regle!$B$11,regle!$B$23,IF(AB179=regle!$C$11,regle!$C$23,IF(AB179=regle!$D$11,regle!$D$23,IF(AB179=regle!$E$11,regle!$E$23,IF(AB179=regle!$F$11,regle!$F$23,IF(AB179=regle!$G$11,regle!$G$23,IF(AB179=regle!$H$11,regle!$H$23,IF(AB179=regle!$I$11,regle!$I$23,IF(AB179=regle!$J$11,regle!$J$23,0)))))))))))</f>
        <v>0</v>
      </c>
      <c r="AM179" s="14">
        <f>IF($A179,$M179*(IF(AC179=regle!$B$11,regle!$B$23,IF(AC179=regle!$C$11,regle!$C$23,IF(AC179=regle!$D$11,regle!$D$23,IF(AC179=regle!$E$11,regle!$E$23,IF(AC179=regle!$F$11,regle!$F$23,IF(AC179=regle!$G$11,regle!$G$23,IF(AC179=regle!$H$11,regle!$H$23,IF(AC179=regle!$I$11,regle!$I$23,IF(AC179=regle!$J$11,regle!$J$23,0)))))))))))</f>
        <v>0</v>
      </c>
      <c r="AN179" s="14">
        <f>IF($A179,$M179*(IF(AD179=regle!$B$11,regle!$B$23,IF(AD179=regle!$C$11,regle!$C$23,IF(AD179=regle!$D$11,regle!$D$23,IF(AD179=regle!$E$11,regle!$E$23,IF(AD179=regle!$F$11,regle!$F$23,IF(AD179=regle!$G$11,regle!$G$23,IF(AD179=regle!$H$11,regle!$H$23,IF(AD179=regle!$I$11,regle!$I$23,IF(AD179=regle!$J$11,regle!$J$23,0)))))))))))</f>
        <v>739.29600000000005</v>
      </c>
      <c r="AO179">
        <f>IF(AO$1=$AO$1,IF(regle!B$2-$Q179&gt;=regle!$J$12,-2,IF($S179,IF(regle!$B$2-$Q179&gt;=2,0,-1),regle!B$2-$Q179)),IF(AN179+1&gt;=regle!$J$12,-2,AN179+1))</f>
        <v>4</v>
      </c>
      <c r="AP179">
        <f>IF(AP$1=$AO$1,IF(regle!C$2-$Q179&gt;=regle!$J$12,-2,IF($S179,IF(regle!$B$2-$Q179&gt;=2,0,-1),regle!C$2-$Q179)),IF(AO179+1&gt;=regle!$J$12,-2,AO179+1))</f>
        <v>5</v>
      </c>
      <c r="AQ179">
        <f>IF(AQ$1=$AO$1,IF(regle!D$2-$Q179&gt;=regle!$J$12,-2,IF($S179,IF(regle!$B$2-$Q179&gt;=2,0,-1),regle!D$2-$Q179)),IF(AP179+1&gt;=regle!$J$12,-2,AP179+1))</f>
        <v>6</v>
      </c>
      <c r="AR179">
        <f>IF(AR$1=$AO$1,IF(regle!E$2-$Q179&gt;=regle!$J$12,-2,IF($S179,IF(regle!$B$2-$Q179&gt;=2,0,-1),regle!E$2-$Q179)),IF(AQ179+1&gt;=regle!$J$12,-2,AQ179+1))</f>
        <v>7</v>
      </c>
      <c r="AS179">
        <f>IF(AS$1=$AO$1,IF(regle!F$2-$Q179&gt;=regle!$J$12,-2,IF($S179,IF(regle!$B$2-$Q179&gt;=2,0,-1),regle!F$2-$Q179)),IF(AR179+1&gt;=regle!$J$12,-2,AR179+1))</f>
        <v>8</v>
      </c>
      <c r="AT179">
        <f>IF(AT$1=$AO$1,IF(regle!G$2-$Q179&gt;=regle!$J$12,-2,IF($S179,IF(regle!$B$2-$Q179&gt;=2,0,-1),regle!G$2-$Q179)),IF(AS179+1&gt;=regle!$J$12,-2,AS179+1))</f>
        <v>9</v>
      </c>
      <c r="AU179">
        <f>IF(AU$1=$AO$1,IF(regle!H$2-$Q179&gt;=regle!$J$12,-2,IF($S179,IF(regle!$B$2-$Q179&gt;=2,0,-1),regle!H$2-$Q179)),IF(AT179+1&gt;=regle!$J$12,-2,AT179+1))</f>
        <v>10</v>
      </c>
      <c r="AV179">
        <f>IF(AV$1=$AO$1,IF(regle!I$2-$Q179&gt;=regle!$J$12,-2,IF($S179,IF(regle!$B$2-$Q179&gt;=2,0,-1),regle!I$2-$Q179)),IF(AU179+1&gt;=regle!$J$12,-2,AU179+1))</f>
        <v>11</v>
      </c>
      <c r="AW179">
        <f>IF(AW$1=$AO$1,IF(regle!J$2-$Q179&gt;=regle!$J$12,-2,IF($S179,IF(regle!$B$2-$Q179&gt;=2,0,-1),regle!J$2-$Q179)),IF(AV179+1&gt;=regle!$J$12,-2,AV179+1))</f>
        <v>12</v>
      </c>
      <c r="AX179">
        <f>IF(AX$1=$AO$1,IF(regle!K$2-$Q179&gt;=regle!$J$12,-2,IF($S179,IF(regle!$B$2-$Q179&gt;=2,0,-1),regle!K$2-$Q179)),IF(AW179+1&gt;=regle!$J$12,-2,AW179+1))</f>
        <v>13</v>
      </c>
    </row>
    <row r="180" spans="1:50" x14ac:dyDescent="0.25">
      <c r="A180" t="b">
        <f>AND(modif0[[#This Row],[cdstr]]&lt;&gt;0,OR(regle!$H$27=FALSE,modif0[[#This Row],[essnc]]="PM"))</f>
        <v>1</v>
      </c>
      <c r="B180">
        <f>ROW(objet!A211)</f>
        <v>211</v>
      </c>
      <c r="C180" s="10" t="str">
        <f>objet!D211</f>
        <v>2020000B1210</v>
      </c>
      <c r="D180" t="str">
        <f>LEFT(modif0[[#This Row],[cdstr]],3)</f>
        <v>202</v>
      </c>
      <c r="E180" s="10" t="str">
        <f>objet!G211</f>
        <v>HOSTENS</v>
      </c>
      <c r="F180">
        <f>LEN(modif0[[#This Row],[l_dt]])</f>
        <v>8</v>
      </c>
      <c r="G180" s="10" t="str">
        <f>objet!H211</f>
        <v>LES BECS</v>
      </c>
      <c r="H180" s="10" t="str">
        <f>objet!C211</f>
        <v>B1210</v>
      </c>
      <c r="I180" t="str">
        <f>IF(ISNUMBER(VALUE(RIGHT(LEFT(modif0[[#This Row],[idntfn]],2),1))),_xlfn.CONCAT(0,LEFT(modif0[[#This Row],[idntfn]],1)),LEFT(modif0[[#This Row],[idntfn]],2))</f>
        <v>0B</v>
      </c>
      <c r="J180">
        <f>VALUE(LEFT(RIGHT(modif0[[#This Row],[idntfn]],LEN(modif0[[#This Row],[idntfn]])-IF(LEFT(modif0[[#This Row],[sctn]],1)="0",1,2)),LEN(modif0[[#This Row],[idntfn]])-IF(LEFT(modif0[[#This Row],[sctn]],1)="0",1,2)-LEN(modif0[[#This Row],[lttr]])))</f>
        <v>1210</v>
      </c>
      <c r="K180" t="str">
        <f>IF(ISNUMBER(VALUE(RIGHT(modif0[[#This Row],[idntfn]],1))),"",IF(ISNUMBER(VALUE(LEFT(RIGHT(modif0[[#This Row],[idntfn]],2),1))),RIGHT(modif0[[#This Row],[idntfn]],1),RIGHT(modif0[[#This Row],[idntfn]],2)))</f>
        <v/>
      </c>
      <c r="L180" s="10">
        <f>objet!I211</f>
        <v>3640</v>
      </c>
      <c r="M180" s="11">
        <f>modif0[[#This Row],[srfc]]/10000</f>
        <v>0.36399999999999999</v>
      </c>
      <c r="N180" s="10" t="str">
        <f>objet!Z211</f>
        <v>PM</v>
      </c>
      <c r="O180" s="10" t="str">
        <f>objet!AA211</f>
        <v>PLA2015</v>
      </c>
      <c r="P180" t="str">
        <f>IF(ISNUMBER(modif0[[#This Row],[trvx]]),"",LEFT(modif0[[#This Row],[trvx]],LEN(modif0[[#This Row],[trvx]])-4))</f>
        <v>PLA</v>
      </c>
      <c r="Q180">
        <f>VALUE(RIGHT(modif0[[#This Row],[trvx]],4))</f>
        <v>2015</v>
      </c>
      <c r="R180" t="str">
        <f>_xlfn.CONCAT(modif0[[#This Row],[tp]],"-",modif0[[#This Row],[essnc]],"_",modif0[[#This Row],[anns]])</f>
        <v>PLA-PM_2015</v>
      </c>
      <c r="S180" t="b">
        <f>modif0[[#This Row],[tp]]="CR"</f>
        <v>0</v>
      </c>
      <c r="T180">
        <v>40</v>
      </c>
      <c r="U180" t="str">
        <f>IF(NOT($A180),"",
IF(AO180=-2,regle!$J$11,
IF(AO180=regle!$B$12,regle!$B$11,
IF(AO180=regle!$C$12,regle!$C$11,
IF(AO180=regle!$D$12,regle!$D$11,
IF(AO180=regle!$E$12,regle!$E$11,
IF(AO180=regle!$F$12,regle!$F$11,
IF(AO180=regle!$G$12,regle!$G$11,
IF(AO180=regle!$H$12,regle!$H$11,
IF(AO180=regle!$I$12,regle!$I$11,""))))))))))</f>
        <v/>
      </c>
      <c r="V180" t="str">
        <f>IF(NOT($A180),"",
IF(AP180=-2,regle!$J$11,
IF(AP180=regle!$B$12,regle!$B$11,
IF(AP180=regle!$C$12,regle!$C$11,
IF(AP180=regle!$D$12,regle!$D$11,
IF(AP180=regle!$E$12,regle!$E$11,
IF(AP180=regle!$F$12,regle!$F$11,
IF(AP180=regle!$G$12,regle!$G$11,
IF(AP180=regle!$H$12,regle!$H$11,
IF(AP180=regle!$I$12,regle!$I$11,""))))))))))</f>
        <v/>
      </c>
      <c r="W180" t="str">
        <f>IF(NOT($A180),"",
IF(AQ180=-2,regle!$J$11,
IF(AQ180=regle!$B$12,regle!$B$11,
IF(AQ180=regle!$C$12,regle!$C$11,
IF(AQ180=regle!$D$12,regle!$D$11,
IF(AQ180=regle!$E$12,regle!$E$11,
IF(AQ180=regle!$F$12,regle!$F$11,
IF(AQ180=regle!$G$12,regle!$G$11,
IF(AQ180=regle!$H$12,regle!$H$11,
IF(AQ180=regle!$I$12,regle!$I$11,""))))))))))</f>
        <v/>
      </c>
      <c r="X180" t="str">
        <f>IF(NOT($A180),"",
IF(AR180=-2,regle!$J$11,
IF(AR180=regle!$B$12,regle!$B$11,
IF(AR180=regle!$C$12,regle!$C$11,
IF(AR180=regle!$D$12,regle!$D$11,
IF(AR180=regle!$E$12,regle!$E$11,
IF(AR180=regle!$F$12,regle!$F$11,
IF(AR180=regle!$G$12,regle!$G$11,
IF(AR180=regle!$H$12,regle!$H$11,
IF(AR180=regle!$I$12,regle!$I$11,""))))))))))</f>
        <v/>
      </c>
      <c r="Y180" t="str">
        <f>IF(NOT($A180),"",
IF(AS180=-2,regle!$J$11,
IF(AS180=regle!$B$12,regle!$B$11,
IF(AS180=regle!$C$12,regle!$C$11,
IF(AS180=regle!$D$12,regle!$D$11,
IF(AS180=regle!$E$12,regle!$E$11,
IF(AS180=regle!$F$12,regle!$F$11,
IF(AS180=regle!$G$12,regle!$G$11,
IF(AS180=regle!$H$12,regle!$H$11,
IF(AS180=regle!$I$12,regle!$I$11,""))))))))))</f>
        <v>EC1</v>
      </c>
      <c r="Z180" t="str">
        <f>IF(NOT($A180),"",
IF(AT180=-2,regle!$J$11,
IF(AT180=regle!$B$12,regle!$B$11,
IF(AT180=regle!$C$12,regle!$C$11,
IF(AT180=regle!$D$12,regle!$D$11,
IF(AT180=regle!$E$12,regle!$E$11,
IF(AT180=regle!$F$12,regle!$F$11,
IF(AT180=regle!$G$12,regle!$G$11,
IF(AT180=regle!$H$12,regle!$H$11,
IF(AT180=regle!$I$12,regle!$I$11,""))))))))))</f>
        <v/>
      </c>
      <c r="AA180" t="str">
        <f>IF(NOT($A180),"",
IF(AU180=-2,regle!$J$11,
IF(AU180=regle!$B$12,regle!$B$11,
IF(AU180=regle!$C$12,regle!$C$11,
IF(AU180=regle!$D$12,regle!$D$11,
IF(AU180=regle!$E$12,regle!$E$11,
IF(AU180=regle!$F$12,regle!$F$11,
IF(AU180=regle!$G$12,regle!$G$11,
IF(AU180=regle!$H$12,regle!$H$11,
IF(AU180=regle!$I$12,regle!$I$11,""))))))))))</f>
        <v/>
      </c>
      <c r="AB180" t="str">
        <f>IF(NOT($A180),"",
IF(AV180=-2,regle!$J$11,
IF(AV180=regle!$B$12,regle!$B$11,
IF(AV180=regle!$C$12,regle!$C$11,
IF(AV180=regle!$D$12,regle!$D$11,
IF(AV180=regle!$E$12,regle!$E$11,
IF(AV180=regle!$F$12,regle!$F$11,
IF(AV180=regle!$G$12,regle!$G$11,
IF(AV180=regle!$H$12,regle!$H$11,
IF(AV180=regle!$I$12,regle!$I$11,""))))))))))</f>
        <v/>
      </c>
      <c r="AC180" t="str">
        <f>IF(NOT($A180),"",
IF(AW180=-2,regle!$J$11,
IF(AW180=regle!$B$12,regle!$B$11,
IF(AW180=regle!$C$12,regle!$C$11,
IF(AW180=regle!$D$12,regle!$D$11,
IF(AW180=regle!$E$12,regle!$E$11,
IF(AW180=regle!$F$12,regle!$F$11,
IF(AW180=regle!$G$12,regle!$G$11,
IF(AW180=regle!$H$12,regle!$H$11,
IF(AW180=regle!$I$12,regle!$I$11,""))))))))))</f>
        <v/>
      </c>
      <c r="AD180" t="str">
        <f>IF(NOT($A180),"",
IF(AX180=-2,regle!$J$11,
IF(AX180=regle!$B$12,regle!$B$11,
IF(AX180=regle!$C$12,regle!$C$11,
IF(AX180=regle!$D$12,regle!$D$11,
IF(AX180=regle!$E$12,regle!$E$11,
IF(AX180=regle!$F$12,regle!$F$11,
IF(AX180=regle!$G$12,regle!$G$11,
IF(AX180=regle!$H$12,regle!$H$11,
IF(AX180=regle!$I$12,regle!$I$11,""))))))))))</f>
        <v>EC2</v>
      </c>
      <c r="AE180" s="14">
        <f>IF($A180,$M180*(IF(U180=regle!$B$11,regle!$B$23,IF(U180=regle!$C$11,regle!$C$23,IF(U180=regle!$D$11,regle!$D$23,IF(U180=regle!$E$11,regle!$E$23,IF(U180=regle!$F$11,regle!$F$23,IF(U180=regle!$G$11,regle!$G$23,IF(U180=regle!$H$11,regle!$H$23,IF(U180=regle!$I$11,regle!$I$23,IF(U180=regle!$J$11,regle!$J$23,0)))))))))))</f>
        <v>0</v>
      </c>
      <c r="AF180" s="14">
        <f>IF($A180,$M180*(IF(V180=regle!$B$11,regle!$B$23,IF(V180=regle!$C$11,regle!$C$23,IF(V180=regle!$D$11,regle!$D$23,IF(V180=regle!$E$11,regle!$E$23,IF(V180=regle!$F$11,regle!$F$23,IF(V180=regle!$G$11,regle!$G$23,IF(V180=regle!$H$11,regle!$H$23,IF(V180=regle!$I$11,regle!$I$23,IF(V180=regle!$J$11,regle!$J$23,0)))))))))))</f>
        <v>0</v>
      </c>
      <c r="AG180" s="14">
        <f>IF($A180,$M180*(IF(W180=regle!$B$11,regle!$B$23,IF(W180=regle!$C$11,regle!$C$23,IF(W180=regle!$D$11,regle!$D$23,IF(W180=regle!$E$11,regle!$E$23,IF(W180=regle!$F$11,regle!$F$23,IF(W180=regle!$G$11,regle!$G$23,IF(W180=regle!$H$11,regle!$H$23,IF(W180=regle!$I$11,regle!$I$23,IF(W180=regle!$J$11,regle!$J$23,0)))))))))))</f>
        <v>0</v>
      </c>
      <c r="AH180" s="14">
        <f>IF($A180,$M180*(IF(X180=regle!$B$11,regle!$B$23,IF(X180=regle!$C$11,regle!$C$23,IF(X180=regle!$D$11,regle!$D$23,IF(X180=regle!$E$11,regle!$E$23,IF(X180=regle!$F$11,regle!$F$23,IF(X180=regle!$G$11,regle!$G$23,IF(X180=regle!$H$11,regle!$H$23,IF(X180=regle!$I$11,regle!$I$23,IF(X180=regle!$J$11,regle!$J$23,0)))))))))))</f>
        <v>0</v>
      </c>
      <c r="AI180" s="14">
        <f>IF($A180,$M180*(IF(Y180=regle!$B$11,regle!$B$23,IF(Y180=regle!$C$11,regle!$C$23,IF(Y180=regle!$D$11,regle!$D$23,IF(Y180=regle!$E$11,regle!$E$23,IF(Y180=regle!$F$11,regle!$F$23,IF(Y180=regle!$G$11,regle!$G$23,IF(Y180=regle!$H$11,regle!$H$23,IF(Y180=regle!$I$11,regle!$I$23,IF(Y180=regle!$J$11,regle!$J$23,0)))))))))))</f>
        <v>209.66399999999999</v>
      </c>
      <c r="AJ180" s="14">
        <f>IF($A180,$M180*(IF(Z180=regle!$B$11,regle!$B$23,IF(Z180=regle!$C$11,regle!$C$23,IF(Z180=regle!$D$11,regle!$D$23,IF(Z180=regle!$E$11,regle!$E$23,IF(Z180=regle!$F$11,regle!$F$23,IF(Z180=regle!$G$11,regle!$G$23,IF(Z180=regle!$H$11,regle!$H$23,IF(Z180=regle!$I$11,regle!$I$23,IF(Z180=regle!$J$11,regle!$J$23,0)))))))))))</f>
        <v>0</v>
      </c>
      <c r="AK180" s="14">
        <f>IF($A180,$M180*(IF(AA180=regle!$B$11,regle!$B$23,IF(AA180=regle!$C$11,regle!$C$23,IF(AA180=regle!$D$11,regle!$D$23,IF(AA180=regle!$E$11,regle!$E$23,IF(AA180=regle!$F$11,regle!$F$23,IF(AA180=regle!$G$11,regle!$G$23,IF(AA180=regle!$H$11,regle!$H$23,IF(AA180=regle!$I$11,regle!$I$23,IF(AA180=regle!$J$11,regle!$J$23,0)))))))))))</f>
        <v>0</v>
      </c>
      <c r="AL180" s="14">
        <f>IF($A180,$M180*(IF(AB180=regle!$B$11,regle!$B$23,IF(AB180=regle!$C$11,regle!$C$23,IF(AB180=regle!$D$11,regle!$D$23,IF(AB180=regle!$E$11,regle!$E$23,IF(AB180=regle!$F$11,regle!$F$23,IF(AB180=regle!$G$11,regle!$G$23,IF(AB180=regle!$H$11,regle!$H$23,IF(AB180=regle!$I$11,regle!$I$23,IF(AB180=regle!$J$11,regle!$J$23,0)))))))))))</f>
        <v>0</v>
      </c>
      <c r="AM180" s="14">
        <f>IF($A180,$M180*(IF(AC180=regle!$B$11,regle!$B$23,IF(AC180=regle!$C$11,regle!$C$23,IF(AC180=regle!$D$11,regle!$D$23,IF(AC180=regle!$E$11,regle!$E$23,IF(AC180=regle!$F$11,regle!$F$23,IF(AC180=regle!$G$11,regle!$G$23,IF(AC180=regle!$H$11,regle!$H$23,IF(AC180=regle!$I$11,regle!$I$23,IF(AC180=regle!$J$11,regle!$J$23,0)))))))))))</f>
        <v>0</v>
      </c>
      <c r="AN180" s="14">
        <f>IF($A180,$M180*(IF(AD180=regle!$B$11,regle!$B$23,IF(AD180=regle!$C$11,regle!$C$23,IF(AD180=regle!$D$11,regle!$D$23,IF(AD180=regle!$E$11,regle!$E$23,IF(AD180=regle!$F$11,regle!$F$23,IF(AD180=regle!$G$11,regle!$G$23,IF(AD180=regle!$H$11,regle!$H$23,IF(AD180=regle!$I$11,regle!$I$23,IF(AD180=regle!$J$11,regle!$J$23,0)))))))))))</f>
        <v>305.76</v>
      </c>
      <c r="AO180">
        <f>IF(AO$1=$AO$1,IF(regle!B$2-$Q180&gt;=regle!$J$12,-2,IF($S180,IF(regle!$B$2-$Q180&gt;=2,0,-1),regle!B$2-$Q180)),IF(AN180+1&gt;=regle!$J$12,-2,AN180+1))</f>
        <v>9</v>
      </c>
      <c r="AP180">
        <f>IF(AP$1=$AO$1,IF(regle!C$2-$Q180&gt;=regle!$J$12,-2,IF($S180,IF(regle!$B$2-$Q180&gt;=2,0,-1),regle!C$2-$Q180)),IF(AO180+1&gt;=regle!$J$12,-2,AO180+1))</f>
        <v>10</v>
      </c>
      <c r="AQ180">
        <f>IF(AQ$1=$AO$1,IF(regle!D$2-$Q180&gt;=regle!$J$12,-2,IF($S180,IF(regle!$B$2-$Q180&gt;=2,0,-1),regle!D$2-$Q180)),IF(AP180+1&gt;=regle!$J$12,-2,AP180+1))</f>
        <v>11</v>
      </c>
      <c r="AR180">
        <f>IF(AR$1=$AO$1,IF(regle!E$2-$Q180&gt;=regle!$J$12,-2,IF($S180,IF(regle!$B$2-$Q180&gt;=2,0,-1),regle!E$2-$Q180)),IF(AQ180+1&gt;=regle!$J$12,-2,AQ180+1))</f>
        <v>12</v>
      </c>
      <c r="AS180">
        <f>IF(AS$1=$AO$1,IF(regle!F$2-$Q180&gt;=regle!$J$12,-2,IF($S180,IF(regle!$B$2-$Q180&gt;=2,0,-1),regle!F$2-$Q180)),IF(AR180+1&gt;=regle!$J$12,-2,AR180+1))</f>
        <v>13</v>
      </c>
      <c r="AT180">
        <f>IF(AT$1=$AO$1,IF(regle!G$2-$Q180&gt;=regle!$J$12,-2,IF($S180,IF(regle!$B$2-$Q180&gt;=2,0,-1),regle!G$2-$Q180)),IF(AS180+1&gt;=regle!$J$12,-2,AS180+1))</f>
        <v>14</v>
      </c>
      <c r="AU180">
        <f>IF(AU$1=$AO$1,IF(regle!H$2-$Q180&gt;=regle!$J$12,-2,IF($S180,IF(regle!$B$2-$Q180&gt;=2,0,-1),regle!H$2-$Q180)),IF(AT180+1&gt;=regle!$J$12,-2,AT180+1))</f>
        <v>15</v>
      </c>
      <c r="AV180">
        <f>IF(AV$1=$AO$1,IF(regle!I$2-$Q180&gt;=regle!$J$12,-2,IF($S180,IF(regle!$B$2-$Q180&gt;=2,0,-1),regle!I$2-$Q180)),IF(AU180+1&gt;=regle!$J$12,-2,AU180+1))</f>
        <v>16</v>
      </c>
      <c r="AW180">
        <f>IF(AW$1=$AO$1,IF(regle!J$2-$Q180&gt;=regle!$J$12,-2,IF($S180,IF(regle!$B$2-$Q180&gt;=2,0,-1),regle!J$2-$Q180)),IF(AV180+1&gt;=regle!$J$12,-2,AV180+1))</f>
        <v>17</v>
      </c>
      <c r="AX180">
        <f>IF(AX$1=$AO$1,IF(regle!K$2-$Q180&gt;=regle!$J$12,-2,IF($S180,IF(regle!$B$2-$Q180&gt;=2,0,-1),regle!K$2-$Q180)),IF(AW180+1&gt;=regle!$J$12,-2,AW180+1))</f>
        <v>18</v>
      </c>
    </row>
    <row r="181" spans="1:50" x14ac:dyDescent="0.25">
      <c r="A181" t="b">
        <f>AND(modif0[[#This Row],[cdstr]]&lt;&gt;0,OR(regle!$H$27=FALSE,modif0[[#This Row],[essnc]]="PM"))</f>
        <v>1</v>
      </c>
      <c r="B181">
        <f>ROW(objet!A212)</f>
        <v>212</v>
      </c>
      <c r="C181" s="10" t="str">
        <f>objet!D212</f>
        <v>2020000B1211</v>
      </c>
      <c r="D181" t="str">
        <f>LEFT(modif0[[#This Row],[cdstr]],3)</f>
        <v>202</v>
      </c>
      <c r="E181" s="10" t="str">
        <f>objet!G212</f>
        <v>HOSTENS</v>
      </c>
      <c r="F181">
        <f>LEN(modif0[[#This Row],[l_dt]])</f>
        <v>8</v>
      </c>
      <c r="G181" s="10" t="str">
        <f>objet!H212</f>
        <v>LES BECS</v>
      </c>
      <c r="H181" s="10" t="str">
        <f>objet!C212</f>
        <v>B1211</v>
      </c>
      <c r="I181" t="str">
        <f>IF(ISNUMBER(VALUE(RIGHT(LEFT(modif0[[#This Row],[idntfn]],2),1))),_xlfn.CONCAT(0,LEFT(modif0[[#This Row],[idntfn]],1)),LEFT(modif0[[#This Row],[idntfn]],2))</f>
        <v>0B</v>
      </c>
      <c r="J181">
        <f>VALUE(LEFT(RIGHT(modif0[[#This Row],[idntfn]],LEN(modif0[[#This Row],[idntfn]])-IF(LEFT(modif0[[#This Row],[sctn]],1)="0",1,2)),LEN(modif0[[#This Row],[idntfn]])-IF(LEFT(modif0[[#This Row],[sctn]],1)="0",1,2)-LEN(modif0[[#This Row],[lttr]])))</f>
        <v>1211</v>
      </c>
      <c r="K181" t="str">
        <f>IF(ISNUMBER(VALUE(RIGHT(modif0[[#This Row],[idntfn]],1))),"",IF(ISNUMBER(VALUE(LEFT(RIGHT(modif0[[#This Row],[idntfn]],2),1))),RIGHT(modif0[[#This Row],[idntfn]],1),RIGHT(modif0[[#This Row],[idntfn]],2)))</f>
        <v/>
      </c>
      <c r="L181" s="10">
        <f>objet!I212</f>
        <v>2145</v>
      </c>
      <c r="M181" s="11">
        <f>modif0[[#This Row],[srfc]]/10000</f>
        <v>0.2145</v>
      </c>
      <c r="N181" s="10" t="str">
        <f>objet!Z212</f>
        <v>PM</v>
      </c>
      <c r="O181" s="10" t="str">
        <f>objet!AA212</f>
        <v>PLA2015</v>
      </c>
      <c r="P181" t="str">
        <f>IF(ISNUMBER(modif0[[#This Row],[trvx]]),"",LEFT(modif0[[#This Row],[trvx]],LEN(modif0[[#This Row],[trvx]])-4))</f>
        <v>PLA</v>
      </c>
      <c r="Q181">
        <f>VALUE(RIGHT(modif0[[#This Row],[trvx]],4))</f>
        <v>2015</v>
      </c>
      <c r="R181" t="str">
        <f>_xlfn.CONCAT(modif0[[#This Row],[tp]],"-",modif0[[#This Row],[essnc]],"_",modif0[[#This Row],[anns]])</f>
        <v>PLA-PM_2015</v>
      </c>
      <c r="S181" t="b">
        <f>modif0[[#This Row],[tp]]="CR"</f>
        <v>0</v>
      </c>
      <c r="T181">
        <v>40</v>
      </c>
      <c r="U181" t="str">
        <f>IF(NOT($A181),"",
IF(AO181=-2,regle!$J$11,
IF(AO181=regle!$B$12,regle!$B$11,
IF(AO181=regle!$C$12,regle!$C$11,
IF(AO181=regle!$D$12,regle!$D$11,
IF(AO181=regle!$E$12,regle!$E$11,
IF(AO181=regle!$F$12,regle!$F$11,
IF(AO181=regle!$G$12,regle!$G$11,
IF(AO181=regle!$H$12,regle!$H$11,
IF(AO181=regle!$I$12,regle!$I$11,""))))))))))</f>
        <v/>
      </c>
      <c r="V181" t="str">
        <f>IF(NOT($A181),"",
IF(AP181=-2,regle!$J$11,
IF(AP181=regle!$B$12,regle!$B$11,
IF(AP181=regle!$C$12,regle!$C$11,
IF(AP181=regle!$D$12,regle!$D$11,
IF(AP181=regle!$E$12,regle!$E$11,
IF(AP181=regle!$F$12,regle!$F$11,
IF(AP181=regle!$G$12,regle!$G$11,
IF(AP181=regle!$H$12,regle!$H$11,
IF(AP181=regle!$I$12,regle!$I$11,""))))))))))</f>
        <v/>
      </c>
      <c r="W181" t="str">
        <f>IF(NOT($A181),"",
IF(AQ181=-2,regle!$J$11,
IF(AQ181=regle!$B$12,regle!$B$11,
IF(AQ181=regle!$C$12,regle!$C$11,
IF(AQ181=regle!$D$12,regle!$D$11,
IF(AQ181=regle!$E$12,regle!$E$11,
IF(AQ181=regle!$F$12,regle!$F$11,
IF(AQ181=regle!$G$12,regle!$G$11,
IF(AQ181=regle!$H$12,regle!$H$11,
IF(AQ181=regle!$I$12,regle!$I$11,""))))))))))</f>
        <v/>
      </c>
      <c r="X181" t="str">
        <f>IF(NOT($A181),"",
IF(AR181=-2,regle!$J$11,
IF(AR181=regle!$B$12,regle!$B$11,
IF(AR181=regle!$C$12,regle!$C$11,
IF(AR181=regle!$D$12,regle!$D$11,
IF(AR181=regle!$E$12,regle!$E$11,
IF(AR181=regle!$F$12,regle!$F$11,
IF(AR181=regle!$G$12,regle!$G$11,
IF(AR181=regle!$H$12,regle!$H$11,
IF(AR181=regle!$I$12,regle!$I$11,""))))))))))</f>
        <v/>
      </c>
      <c r="Y181" t="str">
        <f>IF(NOT($A181),"",
IF(AS181=-2,regle!$J$11,
IF(AS181=regle!$B$12,regle!$B$11,
IF(AS181=regle!$C$12,regle!$C$11,
IF(AS181=regle!$D$12,regle!$D$11,
IF(AS181=regle!$E$12,regle!$E$11,
IF(AS181=regle!$F$12,regle!$F$11,
IF(AS181=regle!$G$12,regle!$G$11,
IF(AS181=regle!$H$12,regle!$H$11,
IF(AS181=regle!$I$12,regle!$I$11,""))))))))))</f>
        <v>EC1</v>
      </c>
      <c r="Z181" t="str">
        <f>IF(NOT($A181),"",
IF(AT181=-2,regle!$J$11,
IF(AT181=regle!$B$12,regle!$B$11,
IF(AT181=regle!$C$12,regle!$C$11,
IF(AT181=regle!$D$12,regle!$D$11,
IF(AT181=regle!$E$12,regle!$E$11,
IF(AT181=regle!$F$12,regle!$F$11,
IF(AT181=regle!$G$12,regle!$G$11,
IF(AT181=regle!$H$12,regle!$H$11,
IF(AT181=regle!$I$12,regle!$I$11,""))))))))))</f>
        <v/>
      </c>
      <c r="AA181" t="str">
        <f>IF(NOT($A181),"",
IF(AU181=-2,regle!$J$11,
IF(AU181=regle!$B$12,regle!$B$11,
IF(AU181=regle!$C$12,regle!$C$11,
IF(AU181=regle!$D$12,regle!$D$11,
IF(AU181=regle!$E$12,regle!$E$11,
IF(AU181=regle!$F$12,regle!$F$11,
IF(AU181=regle!$G$12,regle!$G$11,
IF(AU181=regle!$H$12,regle!$H$11,
IF(AU181=regle!$I$12,regle!$I$11,""))))))))))</f>
        <v/>
      </c>
      <c r="AB181" t="str">
        <f>IF(NOT($A181),"",
IF(AV181=-2,regle!$J$11,
IF(AV181=regle!$B$12,regle!$B$11,
IF(AV181=regle!$C$12,regle!$C$11,
IF(AV181=regle!$D$12,regle!$D$11,
IF(AV181=regle!$E$12,regle!$E$11,
IF(AV181=regle!$F$12,regle!$F$11,
IF(AV181=regle!$G$12,regle!$G$11,
IF(AV181=regle!$H$12,regle!$H$11,
IF(AV181=regle!$I$12,regle!$I$11,""))))))))))</f>
        <v/>
      </c>
      <c r="AC181" t="str">
        <f>IF(NOT($A181),"",
IF(AW181=-2,regle!$J$11,
IF(AW181=regle!$B$12,regle!$B$11,
IF(AW181=regle!$C$12,regle!$C$11,
IF(AW181=regle!$D$12,regle!$D$11,
IF(AW181=regle!$E$12,regle!$E$11,
IF(AW181=regle!$F$12,regle!$F$11,
IF(AW181=regle!$G$12,regle!$G$11,
IF(AW181=regle!$H$12,regle!$H$11,
IF(AW181=regle!$I$12,regle!$I$11,""))))))))))</f>
        <v/>
      </c>
      <c r="AD181" t="str">
        <f>IF(NOT($A181),"",
IF(AX181=-2,regle!$J$11,
IF(AX181=regle!$B$12,regle!$B$11,
IF(AX181=regle!$C$12,regle!$C$11,
IF(AX181=regle!$D$12,regle!$D$11,
IF(AX181=regle!$E$12,regle!$E$11,
IF(AX181=regle!$F$12,regle!$F$11,
IF(AX181=regle!$G$12,regle!$G$11,
IF(AX181=regle!$H$12,regle!$H$11,
IF(AX181=regle!$I$12,regle!$I$11,""))))))))))</f>
        <v>EC2</v>
      </c>
      <c r="AE181" s="14">
        <f>IF($A181,$M181*(IF(U181=regle!$B$11,regle!$B$23,IF(U181=regle!$C$11,regle!$C$23,IF(U181=regle!$D$11,regle!$D$23,IF(U181=regle!$E$11,regle!$E$23,IF(U181=regle!$F$11,regle!$F$23,IF(U181=regle!$G$11,regle!$G$23,IF(U181=regle!$H$11,regle!$H$23,IF(U181=regle!$I$11,regle!$I$23,IF(U181=regle!$J$11,regle!$J$23,0)))))))))))</f>
        <v>0</v>
      </c>
      <c r="AF181" s="14">
        <f>IF($A181,$M181*(IF(V181=regle!$B$11,regle!$B$23,IF(V181=regle!$C$11,regle!$C$23,IF(V181=regle!$D$11,regle!$D$23,IF(V181=regle!$E$11,regle!$E$23,IF(V181=regle!$F$11,regle!$F$23,IF(V181=regle!$G$11,regle!$G$23,IF(V181=regle!$H$11,regle!$H$23,IF(V181=regle!$I$11,regle!$I$23,IF(V181=regle!$J$11,regle!$J$23,0)))))))))))</f>
        <v>0</v>
      </c>
      <c r="AG181" s="14">
        <f>IF($A181,$M181*(IF(W181=regle!$B$11,regle!$B$23,IF(W181=regle!$C$11,regle!$C$23,IF(W181=regle!$D$11,regle!$D$23,IF(W181=regle!$E$11,regle!$E$23,IF(W181=regle!$F$11,regle!$F$23,IF(W181=regle!$G$11,regle!$G$23,IF(W181=regle!$H$11,regle!$H$23,IF(W181=regle!$I$11,regle!$I$23,IF(W181=regle!$J$11,regle!$J$23,0)))))))))))</f>
        <v>0</v>
      </c>
      <c r="AH181" s="14">
        <f>IF($A181,$M181*(IF(X181=regle!$B$11,regle!$B$23,IF(X181=regle!$C$11,regle!$C$23,IF(X181=regle!$D$11,regle!$D$23,IF(X181=regle!$E$11,regle!$E$23,IF(X181=regle!$F$11,regle!$F$23,IF(X181=regle!$G$11,regle!$G$23,IF(X181=regle!$H$11,regle!$H$23,IF(X181=regle!$I$11,regle!$I$23,IF(X181=regle!$J$11,regle!$J$23,0)))))))))))</f>
        <v>0</v>
      </c>
      <c r="AI181" s="14">
        <f>IF($A181,$M181*(IF(Y181=regle!$B$11,regle!$B$23,IF(Y181=regle!$C$11,regle!$C$23,IF(Y181=regle!$D$11,regle!$D$23,IF(Y181=regle!$E$11,regle!$E$23,IF(Y181=regle!$F$11,regle!$F$23,IF(Y181=regle!$G$11,regle!$G$23,IF(Y181=regle!$H$11,regle!$H$23,IF(Y181=regle!$I$11,regle!$I$23,IF(Y181=regle!$J$11,regle!$J$23,0)))))))))))</f>
        <v>123.55199999999999</v>
      </c>
      <c r="AJ181" s="14">
        <f>IF($A181,$M181*(IF(Z181=regle!$B$11,regle!$B$23,IF(Z181=regle!$C$11,regle!$C$23,IF(Z181=regle!$D$11,regle!$D$23,IF(Z181=regle!$E$11,regle!$E$23,IF(Z181=regle!$F$11,regle!$F$23,IF(Z181=regle!$G$11,regle!$G$23,IF(Z181=regle!$H$11,regle!$H$23,IF(Z181=regle!$I$11,regle!$I$23,IF(Z181=regle!$J$11,regle!$J$23,0)))))))))))</f>
        <v>0</v>
      </c>
      <c r="AK181" s="14">
        <f>IF($A181,$M181*(IF(AA181=regle!$B$11,regle!$B$23,IF(AA181=regle!$C$11,regle!$C$23,IF(AA181=regle!$D$11,regle!$D$23,IF(AA181=regle!$E$11,regle!$E$23,IF(AA181=regle!$F$11,regle!$F$23,IF(AA181=regle!$G$11,regle!$G$23,IF(AA181=regle!$H$11,regle!$H$23,IF(AA181=regle!$I$11,regle!$I$23,IF(AA181=regle!$J$11,regle!$J$23,0)))))))))))</f>
        <v>0</v>
      </c>
      <c r="AL181" s="14">
        <f>IF($A181,$M181*(IF(AB181=regle!$B$11,regle!$B$23,IF(AB181=regle!$C$11,regle!$C$23,IF(AB181=regle!$D$11,regle!$D$23,IF(AB181=regle!$E$11,regle!$E$23,IF(AB181=regle!$F$11,regle!$F$23,IF(AB181=regle!$G$11,regle!$G$23,IF(AB181=regle!$H$11,regle!$H$23,IF(AB181=regle!$I$11,regle!$I$23,IF(AB181=regle!$J$11,regle!$J$23,0)))))))))))</f>
        <v>0</v>
      </c>
      <c r="AM181" s="14">
        <f>IF($A181,$M181*(IF(AC181=regle!$B$11,regle!$B$23,IF(AC181=regle!$C$11,regle!$C$23,IF(AC181=regle!$D$11,regle!$D$23,IF(AC181=regle!$E$11,regle!$E$23,IF(AC181=regle!$F$11,regle!$F$23,IF(AC181=regle!$G$11,regle!$G$23,IF(AC181=regle!$H$11,regle!$H$23,IF(AC181=regle!$I$11,regle!$I$23,IF(AC181=regle!$J$11,regle!$J$23,0)))))))))))</f>
        <v>0</v>
      </c>
      <c r="AN181" s="14">
        <f>IF($A181,$M181*(IF(AD181=regle!$B$11,regle!$B$23,IF(AD181=regle!$C$11,regle!$C$23,IF(AD181=regle!$D$11,regle!$D$23,IF(AD181=regle!$E$11,regle!$E$23,IF(AD181=regle!$F$11,regle!$F$23,IF(AD181=regle!$G$11,regle!$G$23,IF(AD181=regle!$H$11,regle!$H$23,IF(AD181=regle!$I$11,regle!$I$23,IF(AD181=regle!$J$11,regle!$J$23,0)))))))))))</f>
        <v>180.18</v>
      </c>
      <c r="AO181">
        <f>IF(AO$1=$AO$1,IF(regle!B$2-$Q181&gt;=regle!$J$12,-2,IF($S181,IF(regle!$B$2-$Q181&gt;=2,0,-1),regle!B$2-$Q181)),IF(AN181+1&gt;=regle!$J$12,-2,AN181+1))</f>
        <v>9</v>
      </c>
      <c r="AP181">
        <f>IF(AP$1=$AO$1,IF(regle!C$2-$Q181&gt;=regle!$J$12,-2,IF($S181,IF(regle!$B$2-$Q181&gt;=2,0,-1),regle!C$2-$Q181)),IF(AO181+1&gt;=regle!$J$12,-2,AO181+1))</f>
        <v>10</v>
      </c>
      <c r="AQ181">
        <f>IF(AQ$1=$AO$1,IF(regle!D$2-$Q181&gt;=regle!$J$12,-2,IF($S181,IF(regle!$B$2-$Q181&gt;=2,0,-1),regle!D$2-$Q181)),IF(AP181+1&gt;=regle!$J$12,-2,AP181+1))</f>
        <v>11</v>
      </c>
      <c r="AR181">
        <f>IF(AR$1=$AO$1,IF(regle!E$2-$Q181&gt;=regle!$J$12,-2,IF($S181,IF(regle!$B$2-$Q181&gt;=2,0,-1),regle!E$2-$Q181)),IF(AQ181+1&gt;=regle!$J$12,-2,AQ181+1))</f>
        <v>12</v>
      </c>
      <c r="AS181">
        <f>IF(AS$1=$AO$1,IF(regle!F$2-$Q181&gt;=regle!$J$12,-2,IF($S181,IF(regle!$B$2-$Q181&gt;=2,0,-1),regle!F$2-$Q181)),IF(AR181+1&gt;=regle!$J$12,-2,AR181+1))</f>
        <v>13</v>
      </c>
      <c r="AT181">
        <f>IF(AT$1=$AO$1,IF(regle!G$2-$Q181&gt;=regle!$J$12,-2,IF($S181,IF(regle!$B$2-$Q181&gt;=2,0,-1),regle!G$2-$Q181)),IF(AS181+1&gt;=regle!$J$12,-2,AS181+1))</f>
        <v>14</v>
      </c>
      <c r="AU181">
        <f>IF(AU$1=$AO$1,IF(regle!H$2-$Q181&gt;=regle!$J$12,-2,IF($S181,IF(regle!$B$2-$Q181&gt;=2,0,-1),regle!H$2-$Q181)),IF(AT181+1&gt;=regle!$J$12,-2,AT181+1))</f>
        <v>15</v>
      </c>
      <c r="AV181">
        <f>IF(AV$1=$AO$1,IF(regle!I$2-$Q181&gt;=regle!$J$12,-2,IF($S181,IF(regle!$B$2-$Q181&gt;=2,0,-1),regle!I$2-$Q181)),IF(AU181+1&gt;=regle!$J$12,-2,AU181+1))</f>
        <v>16</v>
      </c>
      <c r="AW181">
        <f>IF(AW$1=$AO$1,IF(regle!J$2-$Q181&gt;=regle!$J$12,-2,IF($S181,IF(regle!$B$2-$Q181&gt;=2,0,-1),regle!J$2-$Q181)),IF(AV181+1&gt;=regle!$J$12,-2,AV181+1))</f>
        <v>17</v>
      </c>
      <c r="AX181">
        <f>IF(AX$1=$AO$1,IF(regle!K$2-$Q181&gt;=regle!$J$12,-2,IF($S181,IF(regle!$B$2-$Q181&gt;=2,0,-1),regle!K$2-$Q181)),IF(AW181+1&gt;=regle!$J$12,-2,AW181+1))</f>
        <v>18</v>
      </c>
    </row>
    <row r="182" spans="1:50" x14ac:dyDescent="0.25">
      <c r="A182" t="b">
        <f>AND(modif0[[#This Row],[cdstr]]&lt;&gt;0,OR(regle!$H$27=FALSE,modif0[[#This Row],[essnc]]="PM"))</f>
        <v>1</v>
      </c>
      <c r="B182">
        <f>ROW(objet!A213)</f>
        <v>213</v>
      </c>
      <c r="C182" s="10" t="str">
        <f>objet!D213</f>
        <v>2020000B1213</v>
      </c>
      <c r="D182" t="str">
        <f>LEFT(modif0[[#This Row],[cdstr]],3)</f>
        <v>202</v>
      </c>
      <c r="E182" s="10" t="str">
        <f>objet!G213</f>
        <v>HOSTENS</v>
      </c>
      <c r="F182">
        <f>LEN(modif0[[#This Row],[l_dt]])</f>
        <v>8</v>
      </c>
      <c r="G182" s="10" t="str">
        <f>objet!H213</f>
        <v>LES BECS</v>
      </c>
      <c r="H182" s="10" t="str">
        <f>objet!C213</f>
        <v>B1213j</v>
      </c>
      <c r="I182" t="str">
        <f>IF(ISNUMBER(VALUE(RIGHT(LEFT(modif0[[#This Row],[idntfn]],2),1))),_xlfn.CONCAT(0,LEFT(modif0[[#This Row],[idntfn]],1)),LEFT(modif0[[#This Row],[idntfn]],2))</f>
        <v>0B</v>
      </c>
      <c r="J182">
        <f>VALUE(LEFT(RIGHT(modif0[[#This Row],[idntfn]],LEN(modif0[[#This Row],[idntfn]])-IF(LEFT(modif0[[#This Row],[sctn]],1)="0",1,2)),LEN(modif0[[#This Row],[idntfn]])-IF(LEFT(modif0[[#This Row],[sctn]],1)="0",1,2)-LEN(modif0[[#This Row],[lttr]])))</f>
        <v>1213</v>
      </c>
      <c r="K182" t="str">
        <f>IF(ISNUMBER(VALUE(RIGHT(modif0[[#This Row],[idntfn]],1))),"",IF(ISNUMBER(VALUE(LEFT(RIGHT(modif0[[#This Row],[idntfn]],2),1))),RIGHT(modif0[[#This Row],[idntfn]],1),RIGHT(modif0[[#This Row],[idntfn]],2)))</f>
        <v>j</v>
      </c>
      <c r="L182" s="10">
        <f>objet!I213</f>
        <v>4020</v>
      </c>
      <c r="M182" s="11">
        <f>modif0[[#This Row],[srfc]]/10000</f>
        <v>0.40200000000000002</v>
      </c>
      <c r="N182" s="10" t="str">
        <f>objet!Z213</f>
        <v>PM</v>
      </c>
      <c r="O182" s="10" t="str">
        <f>objet!AA213</f>
        <v>PLA2015</v>
      </c>
      <c r="P182" t="str">
        <f>IF(ISNUMBER(modif0[[#This Row],[trvx]]),"",LEFT(modif0[[#This Row],[trvx]],LEN(modif0[[#This Row],[trvx]])-4))</f>
        <v>PLA</v>
      </c>
      <c r="Q182">
        <f>VALUE(RIGHT(modif0[[#This Row],[trvx]],4))</f>
        <v>2015</v>
      </c>
      <c r="R182" t="str">
        <f>_xlfn.CONCAT(modif0[[#This Row],[tp]],"-",modif0[[#This Row],[essnc]],"_",modif0[[#This Row],[anns]])</f>
        <v>PLA-PM_2015</v>
      </c>
      <c r="S182" t="b">
        <f>modif0[[#This Row],[tp]]="CR"</f>
        <v>0</v>
      </c>
      <c r="T182">
        <v>40</v>
      </c>
      <c r="U182" t="str">
        <f>IF(NOT($A182),"",
IF(AO182=-2,regle!$J$11,
IF(AO182=regle!$B$12,regle!$B$11,
IF(AO182=regle!$C$12,regle!$C$11,
IF(AO182=regle!$D$12,regle!$D$11,
IF(AO182=regle!$E$12,regle!$E$11,
IF(AO182=regle!$F$12,regle!$F$11,
IF(AO182=regle!$G$12,regle!$G$11,
IF(AO182=regle!$H$12,regle!$H$11,
IF(AO182=regle!$I$12,regle!$I$11,""))))))))))</f>
        <v/>
      </c>
      <c r="V182" t="str">
        <f>IF(NOT($A182),"",
IF(AP182=-2,regle!$J$11,
IF(AP182=regle!$B$12,regle!$B$11,
IF(AP182=regle!$C$12,regle!$C$11,
IF(AP182=regle!$D$12,regle!$D$11,
IF(AP182=regle!$E$12,regle!$E$11,
IF(AP182=regle!$F$12,regle!$F$11,
IF(AP182=regle!$G$12,regle!$G$11,
IF(AP182=regle!$H$12,regle!$H$11,
IF(AP182=regle!$I$12,regle!$I$11,""))))))))))</f>
        <v/>
      </c>
      <c r="W182" t="str">
        <f>IF(NOT($A182),"",
IF(AQ182=-2,regle!$J$11,
IF(AQ182=regle!$B$12,regle!$B$11,
IF(AQ182=regle!$C$12,regle!$C$11,
IF(AQ182=regle!$D$12,regle!$D$11,
IF(AQ182=regle!$E$12,regle!$E$11,
IF(AQ182=regle!$F$12,regle!$F$11,
IF(AQ182=regle!$G$12,regle!$G$11,
IF(AQ182=regle!$H$12,regle!$H$11,
IF(AQ182=regle!$I$12,regle!$I$11,""))))))))))</f>
        <v/>
      </c>
      <c r="X182" t="str">
        <f>IF(NOT($A182),"",
IF(AR182=-2,regle!$J$11,
IF(AR182=regle!$B$12,regle!$B$11,
IF(AR182=regle!$C$12,regle!$C$11,
IF(AR182=regle!$D$12,regle!$D$11,
IF(AR182=regle!$E$12,regle!$E$11,
IF(AR182=regle!$F$12,regle!$F$11,
IF(AR182=regle!$G$12,regle!$G$11,
IF(AR182=regle!$H$12,regle!$H$11,
IF(AR182=regle!$I$12,regle!$I$11,""))))))))))</f>
        <v/>
      </c>
      <c r="Y182" t="str">
        <f>IF(NOT($A182),"",
IF(AS182=-2,regle!$J$11,
IF(AS182=regle!$B$12,regle!$B$11,
IF(AS182=regle!$C$12,regle!$C$11,
IF(AS182=regle!$D$12,regle!$D$11,
IF(AS182=regle!$E$12,regle!$E$11,
IF(AS182=regle!$F$12,regle!$F$11,
IF(AS182=regle!$G$12,regle!$G$11,
IF(AS182=regle!$H$12,regle!$H$11,
IF(AS182=regle!$I$12,regle!$I$11,""))))))))))</f>
        <v>EC1</v>
      </c>
      <c r="Z182" t="str">
        <f>IF(NOT($A182),"",
IF(AT182=-2,regle!$J$11,
IF(AT182=regle!$B$12,regle!$B$11,
IF(AT182=regle!$C$12,regle!$C$11,
IF(AT182=regle!$D$12,regle!$D$11,
IF(AT182=regle!$E$12,regle!$E$11,
IF(AT182=regle!$F$12,regle!$F$11,
IF(AT182=regle!$G$12,regle!$G$11,
IF(AT182=regle!$H$12,regle!$H$11,
IF(AT182=regle!$I$12,regle!$I$11,""))))))))))</f>
        <v/>
      </c>
      <c r="AA182" t="str">
        <f>IF(NOT($A182),"",
IF(AU182=-2,regle!$J$11,
IF(AU182=regle!$B$12,regle!$B$11,
IF(AU182=regle!$C$12,regle!$C$11,
IF(AU182=regle!$D$12,regle!$D$11,
IF(AU182=regle!$E$12,regle!$E$11,
IF(AU182=regle!$F$12,regle!$F$11,
IF(AU182=regle!$G$12,regle!$G$11,
IF(AU182=regle!$H$12,regle!$H$11,
IF(AU182=regle!$I$12,regle!$I$11,""))))))))))</f>
        <v/>
      </c>
      <c r="AB182" t="str">
        <f>IF(NOT($A182),"",
IF(AV182=-2,regle!$J$11,
IF(AV182=regle!$B$12,regle!$B$11,
IF(AV182=regle!$C$12,regle!$C$11,
IF(AV182=regle!$D$12,regle!$D$11,
IF(AV182=regle!$E$12,regle!$E$11,
IF(AV182=regle!$F$12,regle!$F$11,
IF(AV182=regle!$G$12,regle!$G$11,
IF(AV182=regle!$H$12,regle!$H$11,
IF(AV182=regle!$I$12,regle!$I$11,""))))))))))</f>
        <v/>
      </c>
      <c r="AC182" t="str">
        <f>IF(NOT($A182),"",
IF(AW182=-2,regle!$J$11,
IF(AW182=regle!$B$12,regle!$B$11,
IF(AW182=regle!$C$12,regle!$C$11,
IF(AW182=regle!$D$12,regle!$D$11,
IF(AW182=regle!$E$12,regle!$E$11,
IF(AW182=regle!$F$12,regle!$F$11,
IF(AW182=regle!$G$12,regle!$G$11,
IF(AW182=regle!$H$12,regle!$H$11,
IF(AW182=regle!$I$12,regle!$I$11,""))))))))))</f>
        <v/>
      </c>
      <c r="AD182" t="str">
        <f>IF(NOT($A182),"",
IF(AX182=-2,regle!$J$11,
IF(AX182=regle!$B$12,regle!$B$11,
IF(AX182=regle!$C$12,regle!$C$11,
IF(AX182=regle!$D$12,regle!$D$11,
IF(AX182=regle!$E$12,regle!$E$11,
IF(AX182=regle!$F$12,regle!$F$11,
IF(AX182=regle!$G$12,regle!$G$11,
IF(AX182=regle!$H$12,regle!$H$11,
IF(AX182=regle!$I$12,regle!$I$11,""))))))))))</f>
        <v>EC2</v>
      </c>
      <c r="AE182" s="14">
        <f>IF($A182,$M182*(IF(U182=regle!$B$11,regle!$B$23,IF(U182=regle!$C$11,regle!$C$23,IF(U182=regle!$D$11,regle!$D$23,IF(U182=regle!$E$11,regle!$E$23,IF(U182=regle!$F$11,regle!$F$23,IF(U182=regle!$G$11,regle!$G$23,IF(U182=regle!$H$11,regle!$H$23,IF(U182=regle!$I$11,regle!$I$23,IF(U182=regle!$J$11,regle!$J$23,0)))))))))))</f>
        <v>0</v>
      </c>
      <c r="AF182" s="14">
        <f>IF($A182,$M182*(IF(V182=regle!$B$11,regle!$B$23,IF(V182=regle!$C$11,regle!$C$23,IF(V182=regle!$D$11,regle!$D$23,IF(V182=regle!$E$11,regle!$E$23,IF(V182=regle!$F$11,regle!$F$23,IF(V182=regle!$G$11,regle!$G$23,IF(V182=regle!$H$11,regle!$H$23,IF(V182=regle!$I$11,regle!$I$23,IF(V182=regle!$J$11,regle!$J$23,0)))))))))))</f>
        <v>0</v>
      </c>
      <c r="AG182" s="14">
        <f>IF($A182,$M182*(IF(W182=regle!$B$11,regle!$B$23,IF(W182=regle!$C$11,regle!$C$23,IF(W182=regle!$D$11,regle!$D$23,IF(W182=regle!$E$11,regle!$E$23,IF(W182=regle!$F$11,regle!$F$23,IF(W182=regle!$G$11,regle!$G$23,IF(W182=regle!$H$11,regle!$H$23,IF(W182=regle!$I$11,regle!$I$23,IF(W182=regle!$J$11,regle!$J$23,0)))))))))))</f>
        <v>0</v>
      </c>
      <c r="AH182" s="14">
        <f>IF($A182,$M182*(IF(X182=regle!$B$11,regle!$B$23,IF(X182=regle!$C$11,regle!$C$23,IF(X182=regle!$D$11,regle!$D$23,IF(X182=regle!$E$11,regle!$E$23,IF(X182=regle!$F$11,regle!$F$23,IF(X182=regle!$G$11,regle!$G$23,IF(X182=regle!$H$11,regle!$H$23,IF(X182=regle!$I$11,regle!$I$23,IF(X182=regle!$J$11,regle!$J$23,0)))))))))))</f>
        <v>0</v>
      </c>
      <c r="AI182" s="14">
        <f>IF($A182,$M182*(IF(Y182=regle!$B$11,regle!$B$23,IF(Y182=regle!$C$11,regle!$C$23,IF(Y182=regle!$D$11,regle!$D$23,IF(Y182=regle!$E$11,regle!$E$23,IF(Y182=regle!$F$11,regle!$F$23,IF(Y182=regle!$G$11,regle!$G$23,IF(Y182=regle!$H$11,regle!$H$23,IF(Y182=regle!$I$11,regle!$I$23,IF(Y182=regle!$J$11,regle!$J$23,0)))))))))))</f>
        <v>231.55200000000002</v>
      </c>
      <c r="AJ182" s="14">
        <f>IF($A182,$M182*(IF(Z182=regle!$B$11,regle!$B$23,IF(Z182=regle!$C$11,regle!$C$23,IF(Z182=regle!$D$11,regle!$D$23,IF(Z182=regle!$E$11,regle!$E$23,IF(Z182=regle!$F$11,regle!$F$23,IF(Z182=regle!$G$11,regle!$G$23,IF(Z182=regle!$H$11,regle!$H$23,IF(Z182=regle!$I$11,regle!$I$23,IF(Z182=regle!$J$11,regle!$J$23,0)))))))))))</f>
        <v>0</v>
      </c>
      <c r="AK182" s="14">
        <f>IF($A182,$M182*(IF(AA182=regle!$B$11,regle!$B$23,IF(AA182=regle!$C$11,regle!$C$23,IF(AA182=regle!$D$11,regle!$D$23,IF(AA182=regle!$E$11,regle!$E$23,IF(AA182=regle!$F$11,regle!$F$23,IF(AA182=regle!$G$11,regle!$G$23,IF(AA182=regle!$H$11,regle!$H$23,IF(AA182=regle!$I$11,regle!$I$23,IF(AA182=regle!$J$11,regle!$J$23,0)))))))))))</f>
        <v>0</v>
      </c>
      <c r="AL182" s="14">
        <f>IF($A182,$M182*(IF(AB182=regle!$B$11,regle!$B$23,IF(AB182=regle!$C$11,regle!$C$23,IF(AB182=regle!$D$11,regle!$D$23,IF(AB182=regle!$E$11,regle!$E$23,IF(AB182=regle!$F$11,regle!$F$23,IF(AB182=regle!$G$11,regle!$G$23,IF(AB182=regle!$H$11,regle!$H$23,IF(AB182=regle!$I$11,regle!$I$23,IF(AB182=regle!$J$11,regle!$J$23,0)))))))))))</f>
        <v>0</v>
      </c>
      <c r="AM182" s="14">
        <f>IF($A182,$M182*(IF(AC182=regle!$B$11,regle!$B$23,IF(AC182=regle!$C$11,regle!$C$23,IF(AC182=regle!$D$11,regle!$D$23,IF(AC182=regle!$E$11,regle!$E$23,IF(AC182=regle!$F$11,regle!$F$23,IF(AC182=regle!$G$11,regle!$G$23,IF(AC182=regle!$H$11,regle!$H$23,IF(AC182=regle!$I$11,regle!$I$23,IF(AC182=regle!$J$11,regle!$J$23,0)))))))))))</f>
        <v>0</v>
      </c>
      <c r="AN182" s="14">
        <f>IF($A182,$M182*(IF(AD182=regle!$B$11,regle!$B$23,IF(AD182=regle!$C$11,regle!$C$23,IF(AD182=regle!$D$11,regle!$D$23,IF(AD182=regle!$E$11,regle!$E$23,IF(AD182=regle!$F$11,regle!$F$23,IF(AD182=regle!$G$11,regle!$G$23,IF(AD182=regle!$H$11,regle!$H$23,IF(AD182=regle!$I$11,regle!$I$23,IF(AD182=regle!$J$11,regle!$J$23,0)))))))))))</f>
        <v>337.68</v>
      </c>
      <c r="AO182">
        <f>IF(AO$1=$AO$1,IF(regle!B$2-$Q182&gt;=regle!$J$12,-2,IF($S182,IF(regle!$B$2-$Q182&gt;=2,0,-1),regle!B$2-$Q182)),IF(AN182+1&gt;=regle!$J$12,-2,AN182+1))</f>
        <v>9</v>
      </c>
      <c r="AP182">
        <f>IF(AP$1=$AO$1,IF(regle!C$2-$Q182&gt;=regle!$J$12,-2,IF($S182,IF(regle!$B$2-$Q182&gt;=2,0,-1),regle!C$2-$Q182)),IF(AO182+1&gt;=regle!$J$12,-2,AO182+1))</f>
        <v>10</v>
      </c>
      <c r="AQ182">
        <f>IF(AQ$1=$AO$1,IF(regle!D$2-$Q182&gt;=regle!$J$12,-2,IF($S182,IF(regle!$B$2-$Q182&gt;=2,0,-1),regle!D$2-$Q182)),IF(AP182+1&gt;=regle!$J$12,-2,AP182+1))</f>
        <v>11</v>
      </c>
      <c r="AR182">
        <f>IF(AR$1=$AO$1,IF(regle!E$2-$Q182&gt;=regle!$J$12,-2,IF($S182,IF(regle!$B$2-$Q182&gt;=2,0,-1),regle!E$2-$Q182)),IF(AQ182+1&gt;=regle!$J$12,-2,AQ182+1))</f>
        <v>12</v>
      </c>
      <c r="AS182">
        <f>IF(AS$1=$AO$1,IF(regle!F$2-$Q182&gt;=regle!$J$12,-2,IF($S182,IF(regle!$B$2-$Q182&gt;=2,0,-1),regle!F$2-$Q182)),IF(AR182+1&gt;=regle!$J$12,-2,AR182+1))</f>
        <v>13</v>
      </c>
      <c r="AT182">
        <f>IF(AT$1=$AO$1,IF(regle!G$2-$Q182&gt;=regle!$J$12,-2,IF($S182,IF(regle!$B$2-$Q182&gt;=2,0,-1),regle!G$2-$Q182)),IF(AS182+1&gt;=regle!$J$12,-2,AS182+1))</f>
        <v>14</v>
      </c>
      <c r="AU182">
        <f>IF(AU$1=$AO$1,IF(regle!H$2-$Q182&gt;=regle!$J$12,-2,IF($S182,IF(regle!$B$2-$Q182&gt;=2,0,-1),regle!H$2-$Q182)),IF(AT182+1&gt;=regle!$J$12,-2,AT182+1))</f>
        <v>15</v>
      </c>
      <c r="AV182">
        <f>IF(AV$1=$AO$1,IF(regle!I$2-$Q182&gt;=regle!$J$12,-2,IF($S182,IF(regle!$B$2-$Q182&gt;=2,0,-1),regle!I$2-$Q182)),IF(AU182+1&gt;=regle!$J$12,-2,AU182+1))</f>
        <v>16</v>
      </c>
      <c r="AW182">
        <f>IF(AW$1=$AO$1,IF(regle!J$2-$Q182&gt;=regle!$J$12,-2,IF($S182,IF(regle!$B$2-$Q182&gt;=2,0,-1),regle!J$2-$Q182)),IF(AV182+1&gt;=regle!$J$12,-2,AV182+1))</f>
        <v>17</v>
      </c>
      <c r="AX182">
        <f>IF(AX$1=$AO$1,IF(regle!K$2-$Q182&gt;=regle!$J$12,-2,IF($S182,IF(regle!$B$2-$Q182&gt;=2,0,-1),regle!K$2-$Q182)),IF(AW182+1&gt;=regle!$J$12,-2,AW182+1))</f>
        <v>18</v>
      </c>
    </row>
    <row r="183" spans="1:50" x14ac:dyDescent="0.25">
      <c r="A183" t="b">
        <f>AND(modif0[[#This Row],[cdstr]]&lt;&gt;0,OR(regle!$H$27=FALSE,modif0[[#This Row],[essnc]]="PM"))</f>
        <v>1</v>
      </c>
      <c r="B183">
        <f>ROW(objet!A214)</f>
        <v>214</v>
      </c>
      <c r="C183" s="10" t="str">
        <f>objet!D214</f>
        <v>2020000B1213</v>
      </c>
      <c r="D183" t="str">
        <f>LEFT(modif0[[#This Row],[cdstr]],3)</f>
        <v>202</v>
      </c>
      <c r="E183" s="10" t="str">
        <f>objet!G214</f>
        <v>HOSTENS</v>
      </c>
      <c r="F183">
        <f>LEN(modif0[[#This Row],[l_dt]])</f>
        <v>8</v>
      </c>
      <c r="G183" s="10" t="str">
        <f>objet!H214</f>
        <v>LES BECS</v>
      </c>
      <c r="H183" s="10" t="str">
        <f>objet!C214</f>
        <v>B1213k</v>
      </c>
      <c r="I183" t="str">
        <f>IF(ISNUMBER(VALUE(RIGHT(LEFT(modif0[[#This Row],[idntfn]],2),1))),_xlfn.CONCAT(0,LEFT(modif0[[#This Row],[idntfn]],1)),LEFT(modif0[[#This Row],[idntfn]],2))</f>
        <v>0B</v>
      </c>
      <c r="J183">
        <f>VALUE(LEFT(RIGHT(modif0[[#This Row],[idntfn]],LEN(modif0[[#This Row],[idntfn]])-IF(LEFT(modif0[[#This Row],[sctn]],1)="0",1,2)),LEN(modif0[[#This Row],[idntfn]])-IF(LEFT(modif0[[#This Row],[sctn]],1)="0",1,2)-LEN(modif0[[#This Row],[lttr]])))</f>
        <v>1213</v>
      </c>
      <c r="K183" t="str">
        <f>IF(ISNUMBER(VALUE(RIGHT(modif0[[#This Row],[idntfn]],1))),"",IF(ISNUMBER(VALUE(LEFT(RIGHT(modif0[[#This Row],[idntfn]],2),1))),RIGHT(modif0[[#This Row],[idntfn]],1),RIGHT(modif0[[#This Row],[idntfn]],2)))</f>
        <v>k</v>
      </c>
      <c r="L183" s="10">
        <f>objet!I214</f>
        <v>1444</v>
      </c>
      <c r="M183" s="11">
        <f>modif0[[#This Row],[srfc]]/10000</f>
        <v>0.1444</v>
      </c>
      <c r="N183" s="10" t="str">
        <f>objet!Z214</f>
        <v>PM</v>
      </c>
      <c r="O183" s="10" t="str">
        <f>objet!AA214</f>
        <v>PLA2015</v>
      </c>
      <c r="P183" t="str">
        <f>IF(ISNUMBER(modif0[[#This Row],[trvx]]),"",LEFT(modif0[[#This Row],[trvx]],LEN(modif0[[#This Row],[trvx]])-4))</f>
        <v>PLA</v>
      </c>
      <c r="Q183">
        <f>VALUE(RIGHT(modif0[[#This Row],[trvx]],4))</f>
        <v>2015</v>
      </c>
      <c r="R183" t="str">
        <f>_xlfn.CONCAT(modif0[[#This Row],[tp]],"-",modif0[[#This Row],[essnc]],"_",modif0[[#This Row],[anns]])</f>
        <v>PLA-PM_2015</v>
      </c>
      <c r="S183" t="b">
        <f>modif0[[#This Row],[tp]]="CR"</f>
        <v>0</v>
      </c>
      <c r="T183">
        <v>40</v>
      </c>
      <c r="U183" t="str">
        <f>IF(NOT($A183),"",
IF(AO183=-2,regle!$J$11,
IF(AO183=regle!$B$12,regle!$B$11,
IF(AO183=regle!$C$12,regle!$C$11,
IF(AO183=regle!$D$12,regle!$D$11,
IF(AO183=regle!$E$12,regle!$E$11,
IF(AO183=regle!$F$12,regle!$F$11,
IF(AO183=regle!$G$12,regle!$G$11,
IF(AO183=regle!$H$12,regle!$H$11,
IF(AO183=regle!$I$12,regle!$I$11,""))))))))))</f>
        <v/>
      </c>
      <c r="V183" t="str">
        <f>IF(NOT($A183),"",
IF(AP183=-2,regle!$J$11,
IF(AP183=regle!$B$12,regle!$B$11,
IF(AP183=regle!$C$12,regle!$C$11,
IF(AP183=regle!$D$12,regle!$D$11,
IF(AP183=regle!$E$12,regle!$E$11,
IF(AP183=regle!$F$12,regle!$F$11,
IF(AP183=regle!$G$12,regle!$G$11,
IF(AP183=regle!$H$12,regle!$H$11,
IF(AP183=regle!$I$12,regle!$I$11,""))))))))))</f>
        <v/>
      </c>
      <c r="W183" t="str">
        <f>IF(NOT($A183),"",
IF(AQ183=-2,regle!$J$11,
IF(AQ183=regle!$B$12,regle!$B$11,
IF(AQ183=regle!$C$12,regle!$C$11,
IF(AQ183=regle!$D$12,regle!$D$11,
IF(AQ183=regle!$E$12,regle!$E$11,
IF(AQ183=regle!$F$12,regle!$F$11,
IF(AQ183=regle!$G$12,regle!$G$11,
IF(AQ183=regle!$H$12,regle!$H$11,
IF(AQ183=regle!$I$12,regle!$I$11,""))))))))))</f>
        <v/>
      </c>
      <c r="X183" t="str">
        <f>IF(NOT($A183),"",
IF(AR183=-2,regle!$J$11,
IF(AR183=regle!$B$12,regle!$B$11,
IF(AR183=regle!$C$12,regle!$C$11,
IF(AR183=regle!$D$12,regle!$D$11,
IF(AR183=regle!$E$12,regle!$E$11,
IF(AR183=regle!$F$12,regle!$F$11,
IF(AR183=regle!$G$12,regle!$G$11,
IF(AR183=regle!$H$12,regle!$H$11,
IF(AR183=regle!$I$12,regle!$I$11,""))))))))))</f>
        <v/>
      </c>
      <c r="Y183" t="str">
        <f>IF(NOT($A183),"",
IF(AS183=-2,regle!$J$11,
IF(AS183=regle!$B$12,regle!$B$11,
IF(AS183=regle!$C$12,regle!$C$11,
IF(AS183=regle!$D$12,regle!$D$11,
IF(AS183=regle!$E$12,regle!$E$11,
IF(AS183=regle!$F$12,regle!$F$11,
IF(AS183=regle!$G$12,regle!$G$11,
IF(AS183=regle!$H$12,regle!$H$11,
IF(AS183=regle!$I$12,regle!$I$11,""))))))))))</f>
        <v>EC1</v>
      </c>
      <c r="Z183" t="str">
        <f>IF(NOT($A183),"",
IF(AT183=-2,regle!$J$11,
IF(AT183=regle!$B$12,regle!$B$11,
IF(AT183=regle!$C$12,regle!$C$11,
IF(AT183=regle!$D$12,regle!$D$11,
IF(AT183=regle!$E$12,regle!$E$11,
IF(AT183=regle!$F$12,regle!$F$11,
IF(AT183=regle!$G$12,regle!$G$11,
IF(AT183=regle!$H$12,regle!$H$11,
IF(AT183=regle!$I$12,regle!$I$11,""))))))))))</f>
        <v/>
      </c>
      <c r="AA183" t="str">
        <f>IF(NOT($A183),"",
IF(AU183=-2,regle!$J$11,
IF(AU183=regle!$B$12,regle!$B$11,
IF(AU183=regle!$C$12,regle!$C$11,
IF(AU183=regle!$D$12,regle!$D$11,
IF(AU183=regle!$E$12,regle!$E$11,
IF(AU183=regle!$F$12,regle!$F$11,
IF(AU183=regle!$G$12,regle!$G$11,
IF(AU183=regle!$H$12,regle!$H$11,
IF(AU183=regle!$I$12,regle!$I$11,""))))))))))</f>
        <v/>
      </c>
      <c r="AB183" t="str">
        <f>IF(NOT($A183),"",
IF(AV183=-2,regle!$J$11,
IF(AV183=regle!$B$12,regle!$B$11,
IF(AV183=regle!$C$12,regle!$C$11,
IF(AV183=regle!$D$12,regle!$D$11,
IF(AV183=regle!$E$12,regle!$E$11,
IF(AV183=regle!$F$12,regle!$F$11,
IF(AV183=regle!$G$12,regle!$G$11,
IF(AV183=regle!$H$12,regle!$H$11,
IF(AV183=regle!$I$12,regle!$I$11,""))))))))))</f>
        <v/>
      </c>
      <c r="AC183" t="str">
        <f>IF(NOT($A183),"",
IF(AW183=-2,regle!$J$11,
IF(AW183=regle!$B$12,regle!$B$11,
IF(AW183=regle!$C$12,regle!$C$11,
IF(AW183=regle!$D$12,regle!$D$11,
IF(AW183=regle!$E$12,regle!$E$11,
IF(AW183=regle!$F$12,regle!$F$11,
IF(AW183=regle!$G$12,regle!$G$11,
IF(AW183=regle!$H$12,regle!$H$11,
IF(AW183=regle!$I$12,regle!$I$11,""))))))))))</f>
        <v/>
      </c>
      <c r="AD183" t="str">
        <f>IF(NOT($A183),"",
IF(AX183=-2,regle!$J$11,
IF(AX183=regle!$B$12,regle!$B$11,
IF(AX183=regle!$C$12,regle!$C$11,
IF(AX183=regle!$D$12,regle!$D$11,
IF(AX183=regle!$E$12,regle!$E$11,
IF(AX183=regle!$F$12,regle!$F$11,
IF(AX183=regle!$G$12,regle!$G$11,
IF(AX183=regle!$H$12,regle!$H$11,
IF(AX183=regle!$I$12,regle!$I$11,""))))))))))</f>
        <v>EC2</v>
      </c>
      <c r="AE183" s="14">
        <f>IF($A183,$M183*(IF(U183=regle!$B$11,regle!$B$23,IF(U183=regle!$C$11,regle!$C$23,IF(U183=regle!$D$11,regle!$D$23,IF(U183=regle!$E$11,regle!$E$23,IF(U183=regle!$F$11,regle!$F$23,IF(U183=regle!$G$11,regle!$G$23,IF(U183=regle!$H$11,regle!$H$23,IF(U183=regle!$I$11,regle!$I$23,IF(U183=regle!$J$11,regle!$J$23,0)))))))))))</f>
        <v>0</v>
      </c>
      <c r="AF183" s="14">
        <f>IF($A183,$M183*(IF(V183=regle!$B$11,regle!$B$23,IF(V183=regle!$C$11,regle!$C$23,IF(V183=regle!$D$11,regle!$D$23,IF(V183=regle!$E$11,regle!$E$23,IF(V183=regle!$F$11,regle!$F$23,IF(V183=regle!$G$11,regle!$G$23,IF(V183=regle!$H$11,regle!$H$23,IF(V183=regle!$I$11,regle!$I$23,IF(V183=regle!$J$11,regle!$J$23,0)))))))))))</f>
        <v>0</v>
      </c>
      <c r="AG183" s="14">
        <f>IF($A183,$M183*(IF(W183=regle!$B$11,regle!$B$23,IF(W183=regle!$C$11,regle!$C$23,IF(W183=regle!$D$11,regle!$D$23,IF(W183=regle!$E$11,regle!$E$23,IF(W183=regle!$F$11,regle!$F$23,IF(W183=regle!$G$11,regle!$G$23,IF(W183=regle!$H$11,regle!$H$23,IF(W183=regle!$I$11,regle!$I$23,IF(W183=regle!$J$11,regle!$J$23,0)))))))))))</f>
        <v>0</v>
      </c>
      <c r="AH183" s="14">
        <f>IF($A183,$M183*(IF(X183=regle!$B$11,regle!$B$23,IF(X183=regle!$C$11,regle!$C$23,IF(X183=regle!$D$11,regle!$D$23,IF(X183=regle!$E$11,regle!$E$23,IF(X183=regle!$F$11,regle!$F$23,IF(X183=regle!$G$11,regle!$G$23,IF(X183=regle!$H$11,regle!$H$23,IF(X183=regle!$I$11,regle!$I$23,IF(X183=regle!$J$11,regle!$J$23,0)))))))))))</f>
        <v>0</v>
      </c>
      <c r="AI183" s="14">
        <f>IF($A183,$M183*(IF(Y183=regle!$B$11,regle!$B$23,IF(Y183=regle!$C$11,regle!$C$23,IF(Y183=regle!$D$11,regle!$D$23,IF(Y183=regle!$E$11,regle!$E$23,IF(Y183=regle!$F$11,regle!$F$23,IF(Y183=regle!$G$11,regle!$G$23,IF(Y183=regle!$H$11,regle!$H$23,IF(Y183=regle!$I$11,regle!$I$23,IF(Y183=regle!$J$11,regle!$J$23,0)))))))))))</f>
        <v>83.174400000000006</v>
      </c>
      <c r="AJ183" s="14">
        <f>IF($A183,$M183*(IF(Z183=regle!$B$11,regle!$B$23,IF(Z183=regle!$C$11,regle!$C$23,IF(Z183=regle!$D$11,regle!$D$23,IF(Z183=regle!$E$11,regle!$E$23,IF(Z183=regle!$F$11,regle!$F$23,IF(Z183=regle!$G$11,regle!$G$23,IF(Z183=regle!$H$11,regle!$H$23,IF(Z183=regle!$I$11,regle!$I$23,IF(Z183=regle!$J$11,regle!$J$23,0)))))))))))</f>
        <v>0</v>
      </c>
      <c r="AK183" s="14">
        <f>IF($A183,$M183*(IF(AA183=regle!$B$11,regle!$B$23,IF(AA183=regle!$C$11,regle!$C$23,IF(AA183=regle!$D$11,regle!$D$23,IF(AA183=regle!$E$11,regle!$E$23,IF(AA183=regle!$F$11,regle!$F$23,IF(AA183=regle!$G$11,regle!$G$23,IF(AA183=regle!$H$11,regle!$H$23,IF(AA183=regle!$I$11,regle!$I$23,IF(AA183=regle!$J$11,regle!$J$23,0)))))))))))</f>
        <v>0</v>
      </c>
      <c r="AL183" s="14">
        <f>IF($A183,$M183*(IF(AB183=regle!$B$11,regle!$B$23,IF(AB183=regle!$C$11,regle!$C$23,IF(AB183=regle!$D$11,regle!$D$23,IF(AB183=regle!$E$11,regle!$E$23,IF(AB183=regle!$F$11,regle!$F$23,IF(AB183=regle!$G$11,regle!$G$23,IF(AB183=regle!$H$11,regle!$H$23,IF(AB183=regle!$I$11,regle!$I$23,IF(AB183=regle!$J$11,regle!$J$23,0)))))))))))</f>
        <v>0</v>
      </c>
      <c r="AM183" s="14">
        <f>IF($A183,$M183*(IF(AC183=regle!$B$11,regle!$B$23,IF(AC183=regle!$C$11,regle!$C$23,IF(AC183=regle!$D$11,regle!$D$23,IF(AC183=regle!$E$11,regle!$E$23,IF(AC183=regle!$F$11,regle!$F$23,IF(AC183=regle!$G$11,regle!$G$23,IF(AC183=regle!$H$11,regle!$H$23,IF(AC183=regle!$I$11,regle!$I$23,IF(AC183=regle!$J$11,regle!$J$23,0)))))))))))</f>
        <v>0</v>
      </c>
      <c r="AN183" s="14">
        <f>IF($A183,$M183*(IF(AD183=regle!$B$11,regle!$B$23,IF(AD183=regle!$C$11,regle!$C$23,IF(AD183=regle!$D$11,regle!$D$23,IF(AD183=regle!$E$11,regle!$E$23,IF(AD183=regle!$F$11,regle!$F$23,IF(AD183=regle!$G$11,regle!$G$23,IF(AD183=regle!$H$11,regle!$H$23,IF(AD183=regle!$I$11,regle!$I$23,IF(AD183=regle!$J$11,regle!$J$23,0)))))))))))</f>
        <v>121.29600000000001</v>
      </c>
      <c r="AO183">
        <f>IF(AO$1=$AO$1,IF(regle!B$2-$Q183&gt;=regle!$J$12,-2,IF($S183,IF(regle!$B$2-$Q183&gt;=2,0,-1),regle!B$2-$Q183)),IF(AN183+1&gt;=regle!$J$12,-2,AN183+1))</f>
        <v>9</v>
      </c>
      <c r="AP183">
        <f>IF(AP$1=$AO$1,IF(regle!C$2-$Q183&gt;=regle!$J$12,-2,IF($S183,IF(regle!$B$2-$Q183&gt;=2,0,-1),regle!C$2-$Q183)),IF(AO183+1&gt;=regle!$J$12,-2,AO183+1))</f>
        <v>10</v>
      </c>
      <c r="AQ183">
        <f>IF(AQ$1=$AO$1,IF(regle!D$2-$Q183&gt;=regle!$J$12,-2,IF($S183,IF(regle!$B$2-$Q183&gt;=2,0,-1),regle!D$2-$Q183)),IF(AP183+1&gt;=regle!$J$12,-2,AP183+1))</f>
        <v>11</v>
      </c>
      <c r="AR183">
        <f>IF(AR$1=$AO$1,IF(regle!E$2-$Q183&gt;=regle!$J$12,-2,IF($S183,IF(regle!$B$2-$Q183&gt;=2,0,-1),regle!E$2-$Q183)),IF(AQ183+1&gt;=regle!$J$12,-2,AQ183+1))</f>
        <v>12</v>
      </c>
      <c r="AS183">
        <f>IF(AS$1=$AO$1,IF(regle!F$2-$Q183&gt;=regle!$J$12,-2,IF($S183,IF(regle!$B$2-$Q183&gt;=2,0,-1),regle!F$2-$Q183)),IF(AR183+1&gt;=regle!$J$12,-2,AR183+1))</f>
        <v>13</v>
      </c>
      <c r="AT183">
        <f>IF(AT$1=$AO$1,IF(regle!G$2-$Q183&gt;=regle!$J$12,-2,IF($S183,IF(regle!$B$2-$Q183&gt;=2,0,-1),regle!G$2-$Q183)),IF(AS183+1&gt;=regle!$J$12,-2,AS183+1))</f>
        <v>14</v>
      </c>
      <c r="AU183">
        <f>IF(AU$1=$AO$1,IF(regle!H$2-$Q183&gt;=regle!$J$12,-2,IF($S183,IF(regle!$B$2-$Q183&gt;=2,0,-1),regle!H$2-$Q183)),IF(AT183+1&gt;=regle!$J$12,-2,AT183+1))</f>
        <v>15</v>
      </c>
      <c r="AV183">
        <f>IF(AV$1=$AO$1,IF(regle!I$2-$Q183&gt;=regle!$J$12,-2,IF($S183,IF(regle!$B$2-$Q183&gt;=2,0,-1),regle!I$2-$Q183)),IF(AU183+1&gt;=regle!$J$12,-2,AU183+1))</f>
        <v>16</v>
      </c>
      <c r="AW183">
        <f>IF(AW$1=$AO$1,IF(regle!J$2-$Q183&gt;=regle!$J$12,-2,IF($S183,IF(regle!$B$2-$Q183&gt;=2,0,-1),regle!J$2-$Q183)),IF(AV183+1&gt;=regle!$J$12,-2,AV183+1))</f>
        <v>17</v>
      </c>
      <c r="AX183">
        <f>IF(AX$1=$AO$1,IF(regle!K$2-$Q183&gt;=regle!$J$12,-2,IF($S183,IF(regle!$B$2-$Q183&gt;=2,0,-1),regle!K$2-$Q183)),IF(AW183+1&gt;=regle!$J$12,-2,AW183+1))</f>
        <v>18</v>
      </c>
    </row>
    <row r="184" spans="1:50" x14ac:dyDescent="0.25">
      <c r="A184" t="b">
        <f>AND(modif0[[#This Row],[cdstr]]&lt;&gt;0,OR(regle!$H$27=FALSE,modif0[[#This Row],[essnc]]="PM"))</f>
        <v>1</v>
      </c>
      <c r="B184">
        <f>ROW(objet!A215)</f>
        <v>215</v>
      </c>
      <c r="C184" s="10" t="str">
        <f>objet!D215</f>
        <v>2020000B1213</v>
      </c>
      <c r="D184" t="str">
        <f>LEFT(modif0[[#This Row],[cdstr]],3)</f>
        <v>202</v>
      </c>
      <c r="E184" s="10" t="str">
        <f>objet!G215</f>
        <v>HOSTENS</v>
      </c>
      <c r="F184">
        <f>LEN(modif0[[#This Row],[l_dt]])</f>
        <v>8</v>
      </c>
      <c r="G184" s="10" t="str">
        <f>objet!H215</f>
        <v>LES BECS</v>
      </c>
      <c r="H184" s="10" t="str">
        <f>objet!C215</f>
        <v>B1213l</v>
      </c>
      <c r="I184" t="str">
        <f>IF(ISNUMBER(VALUE(RIGHT(LEFT(modif0[[#This Row],[idntfn]],2),1))),_xlfn.CONCAT(0,LEFT(modif0[[#This Row],[idntfn]],1)),LEFT(modif0[[#This Row],[idntfn]],2))</f>
        <v>0B</v>
      </c>
      <c r="J184">
        <f>VALUE(LEFT(RIGHT(modif0[[#This Row],[idntfn]],LEN(modif0[[#This Row],[idntfn]])-IF(LEFT(modif0[[#This Row],[sctn]],1)="0",1,2)),LEN(modif0[[#This Row],[idntfn]])-IF(LEFT(modif0[[#This Row],[sctn]],1)="0",1,2)-LEN(modif0[[#This Row],[lttr]])))</f>
        <v>1213</v>
      </c>
      <c r="K184" t="str">
        <f>IF(ISNUMBER(VALUE(RIGHT(modif0[[#This Row],[idntfn]],1))),"",IF(ISNUMBER(VALUE(LEFT(RIGHT(modif0[[#This Row],[idntfn]],2),1))),RIGHT(modif0[[#This Row],[idntfn]],1),RIGHT(modif0[[#This Row],[idntfn]],2)))</f>
        <v>l</v>
      </c>
      <c r="L184" s="10">
        <f>objet!I215</f>
        <v>2596</v>
      </c>
      <c r="M184" s="11">
        <f>modif0[[#This Row],[srfc]]/10000</f>
        <v>0.2596</v>
      </c>
      <c r="N184" s="10" t="str">
        <f>objet!Z215</f>
        <v>PM</v>
      </c>
      <c r="O184" s="10" t="str">
        <f>objet!AA215</f>
        <v>PLA2015</v>
      </c>
      <c r="P184" t="str">
        <f>IF(ISNUMBER(modif0[[#This Row],[trvx]]),"",LEFT(modif0[[#This Row],[trvx]],LEN(modif0[[#This Row],[trvx]])-4))</f>
        <v>PLA</v>
      </c>
      <c r="Q184">
        <f>VALUE(RIGHT(modif0[[#This Row],[trvx]],4))</f>
        <v>2015</v>
      </c>
      <c r="R184" t="str">
        <f>_xlfn.CONCAT(modif0[[#This Row],[tp]],"-",modif0[[#This Row],[essnc]],"_",modif0[[#This Row],[anns]])</f>
        <v>PLA-PM_2015</v>
      </c>
      <c r="S184" t="b">
        <f>modif0[[#This Row],[tp]]="CR"</f>
        <v>0</v>
      </c>
      <c r="T184">
        <v>40</v>
      </c>
      <c r="U184" t="str">
        <f>IF(NOT($A184),"",
IF(AO184=-2,regle!$J$11,
IF(AO184=regle!$B$12,regle!$B$11,
IF(AO184=regle!$C$12,regle!$C$11,
IF(AO184=regle!$D$12,regle!$D$11,
IF(AO184=regle!$E$12,regle!$E$11,
IF(AO184=regle!$F$12,regle!$F$11,
IF(AO184=regle!$G$12,regle!$G$11,
IF(AO184=regle!$H$12,regle!$H$11,
IF(AO184=regle!$I$12,regle!$I$11,""))))))))))</f>
        <v/>
      </c>
      <c r="V184" t="str">
        <f>IF(NOT($A184),"",
IF(AP184=-2,regle!$J$11,
IF(AP184=regle!$B$12,regle!$B$11,
IF(AP184=regle!$C$12,regle!$C$11,
IF(AP184=regle!$D$12,regle!$D$11,
IF(AP184=regle!$E$12,regle!$E$11,
IF(AP184=regle!$F$12,regle!$F$11,
IF(AP184=regle!$G$12,regle!$G$11,
IF(AP184=regle!$H$12,regle!$H$11,
IF(AP184=regle!$I$12,regle!$I$11,""))))))))))</f>
        <v/>
      </c>
      <c r="W184" t="str">
        <f>IF(NOT($A184),"",
IF(AQ184=-2,regle!$J$11,
IF(AQ184=regle!$B$12,regle!$B$11,
IF(AQ184=regle!$C$12,regle!$C$11,
IF(AQ184=regle!$D$12,regle!$D$11,
IF(AQ184=regle!$E$12,regle!$E$11,
IF(AQ184=regle!$F$12,regle!$F$11,
IF(AQ184=regle!$G$12,regle!$G$11,
IF(AQ184=regle!$H$12,regle!$H$11,
IF(AQ184=regle!$I$12,regle!$I$11,""))))))))))</f>
        <v/>
      </c>
      <c r="X184" t="str">
        <f>IF(NOT($A184),"",
IF(AR184=-2,regle!$J$11,
IF(AR184=regle!$B$12,regle!$B$11,
IF(AR184=regle!$C$12,regle!$C$11,
IF(AR184=regle!$D$12,regle!$D$11,
IF(AR184=regle!$E$12,regle!$E$11,
IF(AR184=regle!$F$12,regle!$F$11,
IF(AR184=regle!$G$12,regle!$G$11,
IF(AR184=regle!$H$12,regle!$H$11,
IF(AR184=regle!$I$12,regle!$I$11,""))))))))))</f>
        <v/>
      </c>
      <c r="Y184" t="str">
        <f>IF(NOT($A184),"",
IF(AS184=-2,regle!$J$11,
IF(AS184=regle!$B$12,regle!$B$11,
IF(AS184=regle!$C$12,regle!$C$11,
IF(AS184=regle!$D$12,regle!$D$11,
IF(AS184=regle!$E$12,regle!$E$11,
IF(AS184=regle!$F$12,regle!$F$11,
IF(AS184=regle!$G$12,regle!$G$11,
IF(AS184=regle!$H$12,regle!$H$11,
IF(AS184=regle!$I$12,regle!$I$11,""))))))))))</f>
        <v>EC1</v>
      </c>
      <c r="Z184" t="str">
        <f>IF(NOT($A184),"",
IF(AT184=-2,regle!$J$11,
IF(AT184=regle!$B$12,regle!$B$11,
IF(AT184=regle!$C$12,regle!$C$11,
IF(AT184=regle!$D$12,regle!$D$11,
IF(AT184=regle!$E$12,regle!$E$11,
IF(AT184=regle!$F$12,regle!$F$11,
IF(AT184=regle!$G$12,regle!$G$11,
IF(AT184=regle!$H$12,regle!$H$11,
IF(AT184=regle!$I$12,regle!$I$11,""))))))))))</f>
        <v/>
      </c>
      <c r="AA184" t="str">
        <f>IF(NOT($A184),"",
IF(AU184=-2,regle!$J$11,
IF(AU184=regle!$B$12,regle!$B$11,
IF(AU184=regle!$C$12,regle!$C$11,
IF(AU184=regle!$D$12,regle!$D$11,
IF(AU184=regle!$E$12,regle!$E$11,
IF(AU184=regle!$F$12,regle!$F$11,
IF(AU184=regle!$G$12,regle!$G$11,
IF(AU184=regle!$H$12,regle!$H$11,
IF(AU184=regle!$I$12,regle!$I$11,""))))))))))</f>
        <v/>
      </c>
      <c r="AB184" t="str">
        <f>IF(NOT($A184),"",
IF(AV184=-2,regle!$J$11,
IF(AV184=regle!$B$12,regle!$B$11,
IF(AV184=regle!$C$12,regle!$C$11,
IF(AV184=regle!$D$12,regle!$D$11,
IF(AV184=regle!$E$12,regle!$E$11,
IF(AV184=regle!$F$12,regle!$F$11,
IF(AV184=regle!$G$12,regle!$G$11,
IF(AV184=regle!$H$12,regle!$H$11,
IF(AV184=regle!$I$12,regle!$I$11,""))))))))))</f>
        <v/>
      </c>
      <c r="AC184" t="str">
        <f>IF(NOT($A184),"",
IF(AW184=-2,regle!$J$11,
IF(AW184=regle!$B$12,regle!$B$11,
IF(AW184=regle!$C$12,regle!$C$11,
IF(AW184=regle!$D$12,regle!$D$11,
IF(AW184=regle!$E$12,regle!$E$11,
IF(AW184=regle!$F$12,regle!$F$11,
IF(AW184=regle!$G$12,regle!$G$11,
IF(AW184=regle!$H$12,regle!$H$11,
IF(AW184=regle!$I$12,regle!$I$11,""))))))))))</f>
        <v/>
      </c>
      <c r="AD184" t="str">
        <f>IF(NOT($A184),"",
IF(AX184=-2,regle!$J$11,
IF(AX184=regle!$B$12,regle!$B$11,
IF(AX184=regle!$C$12,regle!$C$11,
IF(AX184=regle!$D$12,regle!$D$11,
IF(AX184=regle!$E$12,regle!$E$11,
IF(AX184=regle!$F$12,regle!$F$11,
IF(AX184=regle!$G$12,regle!$G$11,
IF(AX184=regle!$H$12,regle!$H$11,
IF(AX184=regle!$I$12,regle!$I$11,""))))))))))</f>
        <v>EC2</v>
      </c>
      <c r="AE184" s="14">
        <f>IF($A184,$M184*(IF(U184=regle!$B$11,regle!$B$23,IF(U184=regle!$C$11,regle!$C$23,IF(U184=regle!$D$11,regle!$D$23,IF(U184=regle!$E$11,regle!$E$23,IF(U184=regle!$F$11,regle!$F$23,IF(U184=regle!$G$11,regle!$G$23,IF(U184=regle!$H$11,regle!$H$23,IF(U184=regle!$I$11,regle!$I$23,IF(U184=regle!$J$11,regle!$J$23,0)))))))))))</f>
        <v>0</v>
      </c>
      <c r="AF184" s="14">
        <f>IF($A184,$M184*(IF(V184=regle!$B$11,regle!$B$23,IF(V184=regle!$C$11,regle!$C$23,IF(V184=regle!$D$11,regle!$D$23,IF(V184=regle!$E$11,regle!$E$23,IF(V184=regle!$F$11,regle!$F$23,IF(V184=regle!$G$11,regle!$G$23,IF(V184=regle!$H$11,regle!$H$23,IF(V184=regle!$I$11,regle!$I$23,IF(V184=regle!$J$11,regle!$J$23,0)))))))))))</f>
        <v>0</v>
      </c>
      <c r="AG184" s="14">
        <f>IF($A184,$M184*(IF(W184=regle!$B$11,regle!$B$23,IF(W184=regle!$C$11,regle!$C$23,IF(W184=regle!$D$11,regle!$D$23,IF(W184=regle!$E$11,regle!$E$23,IF(W184=regle!$F$11,regle!$F$23,IF(W184=regle!$G$11,regle!$G$23,IF(W184=regle!$H$11,regle!$H$23,IF(W184=regle!$I$11,regle!$I$23,IF(W184=regle!$J$11,regle!$J$23,0)))))))))))</f>
        <v>0</v>
      </c>
      <c r="AH184" s="14">
        <f>IF($A184,$M184*(IF(X184=regle!$B$11,regle!$B$23,IF(X184=regle!$C$11,regle!$C$23,IF(X184=regle!$D$11,regle!$D$23,IF(X184=regle!$E$11,regle!$E$23,IF(X184=regle!$F$11,regle!$F$23,IF(X184=regle!$G$11,regle!$G$23,IF(X184=regle!$H$11,regle!$H$23,IF(X184=regle!$I$11,regle!$I$23,IF(X184=regle!$J$11,regle!$J$23,0)))))))))))</f>
        <v>0</v>
      </c>
      <c r="AI184" s="14">
        <f>IF($A184,$M184*(IF(Y184=regle!$B$11,regle!$B$23,IF(Y184=regle!$C$11,regle!$C$23,IF(Y184=regle!$D$11,regle!$D$23,IF(Y184=regle!$E$11,regle!$E$23,IF(Y184=regle!$F$11,regle!$F$23,IF(Y184=regle!$G$11,regle!$G$23,IF(Y184=regle!$H$11,regle!$H$23,IF(Y184=regle!$I$11,regle!$I$23,IF(Y184=regle!$J$11,regle!$J$23,0)))))))))))</f>
        <v>149.52959999999999</v>
      </c>
      <c r="AJ184" s="14">
        <f>IF($A184,$M184*(IF(Z184=regle!$B$11,regle!$B$23,IF(Z184=regle!$C$11,regle!$C$23,IF(Z184=regle!$D$11,regle!$D$23,IF(Z184=regle!$E$11,regle!$E$23,IF(Z184=regle!$F$11,regle!$F$23,IF(Z184=regle!$G$11,regle!$G$23,IF(Z184=regle!$H$11,regle!$H$23,IF(Z184=regle!$I$11,regle!$I$23,IF(Z184=regle!$J$11,regle!$J$23,0)))))))))))</f>
        <v>0</v>
      </c>
      <c r="AK184" s="14">
        <f>IF($A184,$M184*(IF(AA184=regle!$B$11,regle!$B$23,IF(AA184=regle!$C$11,regle!$C$23,IF(AA184=regle!$D$11,regle!$D$23,IF(AA184=regle!$E$11,regle!$E$23,IF(AA184=regle!$F$11,regle!$F$23,IF(AA184=regle!$G$11,regle!$G$23,IF(AA184=regle!$H$11,regle!$H$23,IF(AA184=regle!$I$11,regle!$I$23,IF(AA184=regle!$J$11,regle!$J$23,0)))))))))))</f>
        <v>0</v>
      </c>
      <c r="AL184" s="14">
        <f>IF($A184,$M184*(IF(AB184=regle!$B$11,regle!$B$23,IF(AB184=regle!$C$11,regle!$C$23,IF(AB184=regle!$D$11,regle!$D$23,IF(AB184=regle!$E$11,regle!$E$23,IF(AB184=regle!$F$11,regle!$F$23,IF(AB184=regle!$G$11,regle!$G$23,IF(AB184=regle!$H$11,regle!$H$23,IF(AB184=regle!$I$11,regle!$I$23,IF(AB184=regle!$J$11,regle!$J$23,0)))))))))))</f>
        <v>0</v>
      </c>
      <c r="AM184" s="14">
        <f>IF($A184,$M184*(IF(AC184=regle!$B$11,regle!$B$23,IF(AC184=regle!$C$11,regle!$C$23,IF(AC184=regle!$D$11,regle!$D$23,IF(AC184=regle!$E$11,regle!$E$23,IF(AC184=regle!$F$11,regle!$F$23,IF(AC184=regle!$G$11,regle!$G$23,IF(AC184=regle!$H$11,regle!$H$23,IF(AC184=regle!$I$11,regle!$I$23,IF(AC184=regle!$J$11,regle!$J$23,0)))))))))))</f>
        <v>0</v>
      </c>
      <c r="AN184" s="14">
        <f>IF($A184,$M184*(IF(AD184=regle!$B$11,regle!$B$23,IF(AD184=regle!$C$11,regle!$C$23,IF(AD184=regle!$D$11,regle!$D$23,IF(AD184=regle!$E$11,regle!$E$23,IF(AD184=regle!$F$11,regle!$F$23,IF(AD184=regle!$G$11,regle!$G$23,IF(AD184=regle!$H$11,regle!$H$23,IF(AD184=regle!$I$11,regle!$I$23,IF(AD184=regle!$J$11,regle!$J$23,0)))))))))))</f>
        <v>218.06399999999999</v>
      </c>
      <c r="AO184">
        <f>IF(AO$1=$AO$1,IF(regle!B$2-$Q184&gt;=regle!$J$12,-2,IF($S184,IF(regle!$B$2-$Q184&gt;=2,0,-1),regle!B$2-$Q184)),IF(AN184+1&gt;=regle!$J$12,-2,AN184+1))</f>
        <v>9</v>
      </c>
      <c r="AP184">
        <f>IF(AP$1=$AO$1,IF(regle!C$2-$Q184&gt;=regle!$J$12,-2,IF($S184,IF(regle!$B$2-$Q184&gt;=2,0,-1),regle!C$2-$Q184)),IF(AO184+1&gt;=regle!$J$12,-2,AO184+1))</f>
        <v>10</v>
      </c>
      <c r="AQ184">
        <f>IF(AQ$1=$AO$1,IF(regle!D$2-$Q184&gt;=regle!$J$12,-2,IF($S184,IF(regle!$B$2-$Q184&gt;=2,0,-1),regle!D$2-$Q184)),IF(AP184+1&gt;=regle!$J$12,-2,AP184+1))</f>
        <v>11</v>
      </c>
      <c r="AR184">
        <f>IF(AR$1=$AO$1,IF(regle!E$2-$Q184&gt;=regle!$J$12,-2,IF($S184,IF(regle!$B$2-$Q184&gt;=2,0,-1),regle!E$2-$Q184)),IF(AQ184+1&gt;=regle!$J$12,-2,AQ184+1))</f>
        <v>12</v>
      </c>
      <c r="AS184">
        <f>IF(AS$1=$AO$1,IF(regle!F$2-$Q184&gt;=regle!$J$12,-2,IF($S184,IF(regle!$B$2-$Q184&gt;=2,0,-1),regle!F$2-$Q184)),IF(AR184+1&gt;=regle!$J$12,-2,AR184+1))</f>
        <v>13</v>
      </c>
      <c r="AT184">
        <f>IF(AT$1=$AO$1,IF(regle!G$2-$Q184&gt;=regle!$J$12,-2,IF($S184,IF(regle!$B$2-$Q184&gt;=2,0,-1),regle!G$2-$Q184)),IF(AS184+1&gt;=regle!$J$12,-2,AS184+1))</f>
        <v>14</v>
      </c>
      <c r="AU184">
        <f>IF(AU$1=$AO$1,IF(regle!H$2-$Q184&gt;=regle!$J$12,-2,IF($S184,IF(regle!$B$2-$Q184&gt;=2,0,-1),regle!H$2-$Q184)),IF(AT184+1&gt;=regle!$J$12,-2,AT184+1))</f>
        <v>15</v>
      </c>
      <c r="AV184">
        <f>IF(AV$1=$AO$1,IF(regle!I$2-$Q184&gt;=regle!$J$12,-2,IF($S184,IF(regle!$B$2-$Q184&gt;=2,0,-1),regle!I$2-$Q184)),IF(AU184+1&gt;=regle!$J$12,-2,AU184+1))</f>
        <v>16</v>
      </c>
      <c r="AW184">
        <f>IF(AW$1=$AO$1,IF(regle!J$2-$Q184&gt;=regle!$J$12,-2,IF($S184,IF(regle!$B$2-$Q184&gt;=2,0,-1),regle!J$2-$Q184)),IF(AV184+1&gt;=regle!$J$12,-2,AV184+1))</f>
        <v>17</v>
      </c>
      <c r="AX184">
        <f>IF(AX$1=$AO$1,IF(regle!K$2-$Q184&gt;=regle!$J$12,-2,IF($S184,IF(regle!$B$2-$Q184&gt;=2,0,-1),regle!K$2-$Q184)),IF(AW184+1&gt;=regle!$J$12,-2,AW184+1))</f>
        <v>18</v>
      </c>
    </row>
    <row r="185" spans="1:50" x14ac:dyDescent="0.25">
      <c r="A185" t="b">
        <f>AND(modif0[[#This Row],[cdstr]]&lt;&gt;0,OR(regle!$H$27=FALSE,modif0[[#This Row],[essnc]]="PM"))</f>
        <v>1</v>
      </c>
      <c r="B185">
        <f>ROW(objet!A216)</f>
        <v>216</v>
      </c>
      <c r="C185" s="10" t="str">
        <f>objet!D216</f>
        <v>2020000B1213</v>
      </c>
      <c r="D185" t="str">
        <f>LEFT(modif0[[#This Row],[cdstr]],3)</f>
        <v>202</v>
      </c>
      <c r="E185" s="10" t="str">
        <f>objet!G216</f>
        <v>HOSTENS</v>
      </c>
      <c r="F185">
        <f>LEN(modif0[[#This Row],[l_dt]])</f>
        <v>8</v>
      </c>
      <c r="G185" s="10" t="str">
        <f>objet!H216</f>
        <v>LES BECS</v>
      </c>
      <c r="H185" s="10" t="str">
        <f>objet!C216</f>
        <v>B1213m</v>
      </c>
      <c r="I185" t="str">
        <f>IF(ISNUMBER(VALUE(RIGHT(LEFT(modif0[[#This Row],[idntfn]],2),1))),_xlfn.CONCAT(0,LEFT(modif0[[#This Row],[idntfn]],1)),LEFT(modif0[[#This Row],[idntfn]],2))</f>
        <v>0B</v>
      </c>
      <c r="J185">
        <f>VALUE(LEFT(RIGHT(modif0[[#This Row],[idntfn]],LEN(modif0[[#This Row],[idntfn]])-IF(LEFT(modif0[[#This Row],[sctn]],1)="0",1,2)),LEN(modif0[[#This Row],[idntfn]])-IF(LEFT(modif0[[#This Row],[sctn]],1)="0",1,2)-LEN(modif0[[#This Row],[lttr]])))</f>
        <v>1213</v>
      </c>
      <c r="K185" t="str">
        <f>IF(ISNUMBER(VALUE(RIGHT(modif0[[#This Row],[idntfn]],1))),"",IF(ISNUMBER(VALUE(LEFT(RIGHT(modif0[[#This Row],[idntfn]],2),1))),RIGHT(modif0[[#This Row],[idntfn]],1),RIGHT(modif0[[#This Row],[idntfn]],2)))</f>
        <v>m</v>
      </c>
      <c r="L185" s="10">
        <f>objet!I216</f>
        <v>390</v>
      </c>
      <c r="M185" s="11">
        <f>modif0[[#This Row],[srfc]]/10000</f>
        <v>3.9E-2</v>
      </c>
      <c r="N185" s="10" t="str">
        <f>objet!Z216</f>
        <v>PM</v>
      </c>
      <c r="O185" s="10" t="str">
        <f>objet!AA216</f>
        <v>PLA2015</v>
      </c>
      <c r="P185" t="str">
        <f>IF(ISNUMBER(modif0[[#This Row],[trvx]]),"",LEFT(modif0[[#This Row],[trvx]],LEN(modif0[[#This Row],[trvx]])-4))</f>
        <v>PLA</v>
      </c>
      <c r="Q185">
        <f>VALUE(RIGHT(modif0[[#This Row],[trvx]],4))</f>
        <v>2015</v>
      </c>
      <c r="R185" t="str">
        <f>_xlfn.CONCAT(modif0[[#This Row],[tp]],"-",modif0[[#This Row],[essnc]],"_",modif0[[#This Row],[anns]])</f>
        <v>PLA-PM_2015</v>
      </c>
      <c r="S185" t="b">
        <f>modif0[[#This Row],[tp]]="CR"</f>
        <v>0</v>
      </c>
      <c r="T185">
        <v>40</v>
      </c>
      <c r="U185" t="str">
        <f>IF(NOT($A185),"",
IF(AO185=-2,regle!$J$11,
IF(AO185=regle!$B$12,regle!$B$11,
IF(AO185=regle!$C$12,regle!$C$11,
IF(AO185=regle!$D$12,regle!$D$11,
IF(AO185=regle!$E$12,regle!$E$11,
IF(AO185=regle!$F$12,regle!$F$11,
IF(AO185=regle!$G$12,regle!$G$11,
IF(AO185=regle!$H$12,regle!$H$11,
IF(AO185=regle!$I$12,regle!$I$11,""))))))))))</f>
        <v/>
      </c>
      <c r="V185" t="str">
        <f>IF(NOT($A185),"",
IF(AP185=-2,regle!$J$11,
IF(AP185=regle!$B$12,regle!$B$11,
IF(AP185=regle!$C$12,regle!$C$11,
IF(AP185=regle!$D$12,regle!$D$11,
IF(AP185=regle!$E$12,regle!$E$11,
IF(AP185=regle!$F$12,regle!$F$11,
IF(AP185=regle!$G$12,regle!$G$11,
IF(AP185=regle!$H$12,regle!$H$11,
IF(AP185=regle!$I$12,regle!$I$11,""))))))))))</f>
        <v/>
      </c>
      <c r="W185" t="str">
        <f>IF(NOT($A185),"",
IF(AQ185=-2,regle!$J$11,
IF(AQ185=regle!$B$12,regle!$B$11,
IF(AQ185=regle!$C$12,regle!$C$11,
IF(AQ185=regle!$D$12,regle!$D$11,
IF(AQ185=regle!$E$12,regle!$E$11,
IF(AQ185=regle!$F$12,regle!$F$11,
IF(AQ185=regle!$G$12,regle!$G$11,
IF(AQ185=regle!$H$12,regle!$H$11,
IF(AQ185=regle!$I$12,regle!$I$11,""))))))))))</f>
        <v/>
      </c>
      <c r="X185" t="str">
        <f>IF(NOT($A185),"",
IF(AR185=-2,regle!$J$11,
IF(AR185=regle!$B$12,regle!$B$11,
IF(AR185=regle!$C$12,regle!$C$11,
IF(AR185=regle!$D$12,regle!$D$11,
IF(AR185=regle!$E$12,regle!$E$11,
IF(AR185=regle!$F$12,regle!$F$11,
IF(AR185=regle!$G$12,regle!$G$11,
IF(AR185=regle!$H$12,regle!$H$11,
IF(AR185=regle!$I$12,regle!$I$11,""))))))))))</f>
        <v/>
      </c>
      <c r="Y185" t="str">
        <f>IF(NOT($A185),"",
IF(AS185=-2,regle!$J$11,
IF(AS185=regle!$B$12,regle!$B$11,
IF(AS185=regle!$C$12,regle!$C$11,
IF(AS185=regle!$D$12,regle!$D$11,
IF(AS185=regle!$E$12,regle!$E$11,
IF(AS185=regle!$F$12,regle!$F$11,
IF(AS185=regle!$G$12,regle!$G$11,
IF(AS185=regle!$H$12,regle!$H$11,
IF(AS185=regle!$I$12,regle!$I$11,""))))))))))</f>
        <v>EC1</v>
      </c>
      <c r="Z185" t="str">
        <f>IF(NOT($A185),"",
IF(AT185=-2,regle!$J$11,
IF(AT185=regle!$B$12,regle!$B$11,
IF(AT185=regle!$C$12,regle!$C$11,
IF(AT185=regle!$D$12,regle!$D$11,
IF(AT185=regle!$E$12,regle!$E$11,
IF(AT185=regle!$F$12,regle!$F$11,
IF(AT185=regle!$G$12,regle!$G$11,
IF(AT185=regle!$H$12,regle!$H$11,
IF(AT185=regle!$I$12,regle!$I$11,""))))))))))</f>
        <v/>
      </c>
      <c r="AA185" t="str">
        <f>IF(NOT($A185),"",
IF(AU185=-2,regle!$J$11,
IF(AU185=regle!$B$12,regle!$B$11,
IF(AU185=regle!$C$12,regle!$C$11,
IF(AU185=regle!$D$12,regle!$D$11,
IF(AU185=regle!$E$12,regle!$E$11,
IF(AU185=regle!$F$12,regle!$F$11,
IF(AU185=regle!$G$12,regle!$G$11,
IF(AU185=regle!$H$12,regle!$H$11,
IF(AU185=regle!$I$12,regle!$I$11,""))))))))))</f>
        <v/>
      </c>
      <c r="AB185" t="str">
        <f>IF(NOT($A185),"",
IF(AV185=-2,regle!$J$11,
IF(AV185=regle!$B$12,regle!$B$11,
IF(AV185=regle!$C$12,regle!$C$11,
IF(AV185=regle!$D$12,regle!$D$11,
IF(AV185=regle!$E$12,regle!$E$11,
IF(AV185=regle!$F$12,regle!$F$11,
IF(AV185=regle!$G$12,regle!$G$11,
IF(AV185=regle!$H$12,regle!$H$11,
IF(AV185=regle!$I$12,regle!$I$11,""))))))))))</f>
        <v/>
      </c>
      <c r="AC185" t="str">
        <f>IF(NOT($A185),"",
IF(AW185=-2,regle!$J$11,
IF(AW185=regle!$B$12,regle!$B$11,
IF(AW185=regle!$C$12,regle!$C$11,
IF(AW185=regle!$D$12,regle!$D$11,
IF(AW185=regle!$E$12,regle!$E$11,
IF(AW185=regle!$F$12,regle!$F$11,
IF(AW185=regle!$G$12,regle!$G$11,
IF(AW185=regle!$H$12,regle!$H$11,
IF(AW185=regle!$I$12,regle!$I$11,""))))))))))</f>
        <v/>
      </c>
      <c r="AD185" t="str">
        <f>IF(NOT($A185),"",
IF(AX185=-2,regle!$J$11,
IF(AX185=regle!$B$12,regle!$B$11,
IF(AX185=regle!$C$12,regle!$C$11,
IF(AX185=regle!$D$12,regle!$D$11,
IF(AX185=regle!$E$12,regle!$E$11,
IF(AX185=regle!$F$12,regle!$F$11,
IF(AX185=regle!$G$12,regle!$G$11,
IF(AX185=regle!$H$12,regle!$H$11,
IF(AX185=regle!$I$12,regle!$I$11,""))))))))))</f>
        <v>EC2</v>
      </c>
      <c r="AE185" s="14">
        <f>IF($A185,$M185*(IF(U185=regle!$B$11,regle!$B$23,IF(U185=regle!$C$11,regle!$C$23,IF(U185=regle!$D$11,regle!$D$23,IF(U185=regle!$E$11,regle!$E$23,IF(U185=regle!$F$11,regle!$F$23,IF(U185=regle!$G$11,regle!$G$23,IF(U185=regle!$H$11,regle!$H$23,IF(U185=regle!$I$11,regle!$I$23,IF(U185=regle!$J$11,regle!$J$23,0)))))))))))</f>
        <v>0</v>
      </c>
      <c r="AF185" s="14">
        <f>IF($A185,$M185*(IF(V185=regle!$B$11,regle!$B$23,IF(V185=regle!$C$11,regle!$C$23,IF(V185=regle!$D$11,regle!$D$23,IF(V185=regle!$E$11,regle!$E$23,IF(V185=regle!$F$11,regle!$F$23,IF(V185=regle!$G$11,regle!$G$23,IF(V185=regle!$H$11,regle!$H$23,IF(V185=regle!$I$11,regle!$I$23,IF(V185=regle!$J$11,regle!$J$23,0)))))))))))</f>
        <v>0</v>
      </c>
      <c r="AG185" s="14">
        <f>IF($A185,$M185*(IF(W185=regle!$B$11,regle!$B$23,IF(W185=regle!$C$11,regle!$C$23,IF(W185=regle!$D$11,regle!$D$23,IF(W185=regle!$E$11,regle!$E$23,IF(W185=regle!$F$11,regle!$F$23,IF(W185=regle!$G$11,regle!$G$23,IF(W185=regle!$H$11,regle!$H$23,IF(W185=regle!$I$11,regle!$I$23,IF(W185=regle!$J$11,regle!$J$23,0)))))))))))</f>
        <v>0</v>
      </c>
      <c r="AH185" s="14">
        <f>IF($A185,$M185*(IF(X185=regle!$B$11,regle!$B$23,IF(X185=regle!$C$11,regle!$C$23,IF(X185=regle!$D$11,regle!$D$23,IF(X185=regle!$E$11,regle!$E$23,IF(X185=regle!$F$11,regle!$F$23,IF(X185=regle!$G$11,regle!$G$23,IF(X185=regle!$H$11,regle!$H$23,IF(X185=regle!$I$11,regle!$I$23,IF(X185=regle!$J$11,regle!$J$23,0)))))))))))</f>
        <v>0</v>
      </c>
      <c r="AI185" s="14">
        <f>IF($A185,$M185*(IF(Y185=regle!$B$11,regle!$B$23,IF(Y185=regle!$C$11,regle!$C$23,IF(Y185=regle!$D$11,regle!$D$23,IF(Y185=regle!$E$11,regle!$E$23,IF(Y185=regle!$F$11,regle!$F$23,IF(Y185=regle!$G$11,regle!$G$23,IF(Y185=regle!$H$11,regle!$H$23,IF(Y185=regle!$I$11,regle!$I$23,IF(Y185=regle!$J$11,regle!$J$23,0)))))))))))</f>
        <v>22.463999999999999</v>
      </c>
      <c r="AJ185" s="14">
        <f>IF($A185,$M185*(IF(Z185=regle!$B$11,regle!$B$23,IF(Z185=regle!$C$11,regle!$C$23,IF(Z185=regle!$D$11,regle!$D$23,IF(Z185=regle!$E$11,regle!$E$23,IF(Z185=regle!$F$11,regle!$F$23,IF(Z185=regle!$G$11,regle!$G$23,IF(Z185=regle!$H$11,regle!$H$23,IF(Z185=regle!$I$11,regle!$I$23,IF(Z185=regle!$J$11,regle!$J$23,0)))))))))))</f>
        <v>0</v>
      </c>
      <c r="AK185" s="14">
        <f>IF($A185,$M185*(IF(AA185=regle!$B$11,regle!$B$23,IF(AA185=regle!$C$11,regle!$C$23,IF(AA185=regle!$D$11,regle!$D$23,IF(AA185=regle!$E$11,regle!$E$23,IF(AA185=regle!$F$11,regle!$F$23,IF(AA185=regle!$G$11,regle!$G$23,IF(AA185=regle!$H$11,regle!$H$23,IF(AA185=regle!$I$11,regle!$I$23,IF(AA185=regle!$J$11,regle!$J$23,0)))))))))))</f>
        <v>0</v>
      </c>
      <c r="AL185" s="14">
        <f>IF($A185,$M185*(IF(AB185=regle!$B$11,regle!$B$23,IF(AB185=regle!$C$11,regle!$C$23,IF(AB185=regle!$D$11,regle!$D$23,IF(AB185=regle!$E$11,regle!$E$23,IF(AB185=regle!$F$11,regle!$F$23,IF(AB185=regle!$G$11,regle!$G$23,IF(AB185=regle!$H$11,regle!$H$23,IF(AB185=regle!$I$11,regle!$I$23,IF(AB185=regle!$J$11,regle!$J$23,0)))))))))))</f>
        <v>0</v>
      </c>
      <c r="AM185" s="14">
        <f>IF($A185,$M185*(IF(AC185=regle!$B$11,regle!$B$23,IF(AC185=regle!$C$11,regle!$C$23,IF(AC185=regle!$D$11,regle!$D$23,IF(AC185=regle!$E$11,regle!$E$23,IF(AC185=regle!$F$11,regle!$F$23,IF(AC185=regle!$G$11,regle!$G$23,IF(AC185=regle!$H$11,regle!$H$23,IF(AC185=regle!$I$11,regle!$I$23,IF(AC185=regle!$J$11,regle!$J$23,0)))))))))))</f>
        <v>0</v>
      </c>
      <c r="AN185" s="14">
        <f>IF($A185,$M185*(IF(AD185=regle!$B$11,regle!$B$23,IF(AD185=regle!$C$11,regle!$C$23,IF(AD185=regle!$D$11,regle!$D$23,IF(AD185=regle!$E$11,regle!$E$23,IF(AD185=regle!$F$11,regle!$F$23,IF(AD185=regle!$G$11,regle!$G$23,IF(AD185=regle!$H$11,regle!$H$23,IF(AD185=regle!$I$11,regle!$I$23,IF(AD185=regle!$J$11,regle!$J$23,0)))))))))))</f>
        <v>32.76</v>
      </c>
      <c r="AO185">
        <f>IF(AO$1=$AO$1,IF(regle!B$2-$Q185&gt;=regle!$J$12,-2,IF($S185,IF(regle!$B$2-$Q185&gt;=2,0,-1),regle!B$2-$Q185)),IF(AN185+1&gt;=regle!$J$12,-2,AN185+1))</f>
        <v>9</v>
      </c>
      <c r="AP185">
        <f>IF(AP$1=$AO$1,IF(regle!C$2-$Q185&gt;=regle!$J$12,-2,IF($S185,IF(regle!$B$2-$Q185&gt;=2,0,-1),regle!C$2-$Q185)),IF(AO185+1&gt;=regle!$J$12,-2,AO185+1))</f>
        <v>10</v>
      </c>
      <c r="AQ185">
        <f>IF(AQ$1=$AO$1,IF(regle!D$2-$Q185&gt;=regle!$J$12,-2,IF($S185,IF(regle!$B$2-$Q185&gt;=2,0,-1),regle!D$2-$Q185)),IF(AP185+1&gt;=regle!$J$12,-2,AP185+1))</f>
        <v>11</v>
      </c>
      <c r="AR185">
        <f>IF(AR$1=$AO$1,IF(regle!E$2-$Q185&gt;=regle!$J$12,-2,IF($S185,IF(regle!$B$2-$Q185&gt;=2,0,-1),regle!E$2-$Q185)),IF(AQ185+1&gt;=regle!$J$12,-2,AQ185+1))</f>
        <v>12</v>
      </c>
      <c r="AS185">
        <f>IF(AS$1=$AO$1,IF(regle!F$2-$Q185&gt;=regle!$J$12,-2,IF($S185,IF(regle!$B$2-$Q185&gt;=2,0,-1),regle!F$2-$Q185)),IF(AR185+1&gt;=regle!$J$12,-2,AR185+1))</f>
        <v>13</v>
      </c>
      <c r="AT185">
        <f>IF(AT$1=$AO$1,IF(regle!G$2-$Q185&gt;=regle!$J$12,-2,IF($S185,IF(regle!$B$2-$Q185&gt;=2,0,-1),regle!G$2-$Q185)),IF(AS185+1&gt;=regle!$J$12,-2,AS185+1))</f>
        <v>14</v>
      </c>
      <c r="AU185">
        <f>IF(AU$1=$AO$1,IF(regle!H$2-$Q185&gt;=regle!$J$12,-2,IF($S185,IF(regle!$B$2-$Q185&gt;=2,0,-1),regle!H$2-$Q185)),IF(AT185+1&gt;=regle!$J$12,-2,AT185+1))</f>
        <v>15</v>
      </c>
      <c r="AV185">
        <f>IF(AV$1=$AO$1,IF(regle!I$2-$Q185&gt;=regle!$J$12,-2,IF($S185,IF(regle!$B$2-$Q185&gt;=2,0,-1),regle!I$2-$Q185)),IF(AU185+1&gt;=regle!$J$12,-2,AU185+1))</f>
        <v>16</v>
      </c>
      <c r="AW185">
        <f>IF(AW$1=$AO$1,IF(regle!J$2-$Q185&gt;=regle!$J$12,-2,IF($S185,IF(regle!$B$2-$Q185&gt;=2,0,-1),regle!J$2-$Q185)),IF(AV185+1&gt;=regle!$J$12,-2,AV185+1))</f>
        <v>17</v>
      </c>
      <c r="AX185">
        <f>IF(AX$1=$AO$1,IF(regle!K$2-$Q185&gt;=regle!$J$12,-2,IF($S185,IF(regle!$B$2-$Q185&gt;=2,0,-1),regle!K$2-$Q185)),IF(AW185+1&gt;=regle!$J$12,-2,AW185+1))</f>
        <v>18</v>
      </c>
    </row>
    <row r="186" spans="1:50" x14ac:dyDescent="0.25">
      <c r="A186" t="b">
        <f>AND(modif0[[#This Row],[cdstr]]&lt;&gt;0,OR(regle!$H$27=FALSE,modif0[[#This Row],[essnc]]="PM"))</f>
        <v>1</v>
      </c>
      <c r="B186">
        <f>ROW(objet!A217)</f>
        <v>217</v>
      </c>
      <c r="C186" s="10" t="str">
        <f>objet!D217</f>
        <v>2020000B1214</v>
      </c>
      <c r="D186" t="str">
        <f>LEFT(modif0[[#This Row],[cdstr]],3)</f>
        <v>202</v>
      </c>
      <c r="E186" s="10" t="str">
        <f>objet!G217</f>
        <v>HOSTENS</v>
      </c>
      <c r="F186">
        <f>LEN(modif0[[#This Row],[l_dt]])</f>
        <v>8</v>
      </c>
      <c r="G186" s="10" t="str">
        <f>objet!H217</f>
        <v>LES BECS</v>
      </c>
      <c r="H186" s="10" t="str">
        <f>objet!C217</f>
        <v>B1214j</v>
      </c>
      <c r="I186" t="str">
        <f>IF(ISNUMBER(VALUE(RIGHT(LEFT(modif0[[#This Row],[idntfn]],2),1))),_xlfn.CONCAT(0,LEFT(modif0[[#This Row],[idntfn]],1)),LEFT(modif0[[#This Row],[idntfn]],2))</f>
        <v>0B</v>
      </c>
      <c r="J186">
        <f>VALUE(LEFT(RIGHT(modif0[[#This Row],[idntfn]],LEN(modif0[[#This Row],[idntfn]])-IF(LEFT(modif0[[#This Row],[sctn]],1)="0",1,2)),LEN(modif0[[#This Row],[idntfn]])-IF(LEFT(modif0[[#This Row],[sctn]],1)="0",1,2)-LEN(modif0[[#This Row],[lttr]])))</f>
        <v>1214</v>
      </c>
      <c r="K186" t="str">
        <f>IF(ISNUMBER(VALUE(RIGHT(modif0[[#This Row],[idntfn]],1))),"",IF(ISNUMBER(VALUE(LEFT(RIGHT(modif0[[#This Row],[idntfn]],2),1))),RIGHT(modif0[[#This Row],[idntfn]],1),RIGHT(modif0[[#This Row],[idntfn]],2)))</f>
        <v>j</v>
      </c>
      <c r="L186" s="10">
        <f>objet!I217</f>
        <v>6439</v>
      </c>
      <c r="M186" s="11">
        <f>modif0[[#This Row],[srfc]]/10000</f>
        <v>0.64390000000000003</v>
      </c>
      <c r="N186" s="10" t="str">
        <f>objet!Z217</f>
        <v>PM</v>
      </c>
      <c r="O186" s="10" t="str">
        <f>objet!AA217</f>
        <v>PLA2015</v>
      </c>
      <c r="P186" t="str">
        <f>IF(ISNUMBER(modif0[[#This Row],[trvx]]),"",LEFT(modif0[[#This Row],[trvx]],LEN(modif0[[#This Row],[trvx]])-4))</f>
        <v>PLA</v>
      </c>
      <c r="Q186">
        <f>VALUE(RIGHT(modif0[[#This Row],[trvx]],4))</f>
        <v>2015</v>
      </c>
      <c r="R186" t="str">
        <f>_xlfn.CONCAT(modif0[[#This Row],[tp]],"-",modif0[[#This Row],[essnc]],"_",modif0[[#This Row],[anns]])</f>
        <v>PLA-PM_2015</v>
      </c>
      <c r="S186" t="b">
        <f>modif0[[#This Row],[tp]]="CR"</f>
        <v>0</v>
      </c>
      <c r="T186">
        <v>40</v>
      </c>
      <c r="U186" t="str">
        <f>IF(NOT($A186),"",
IF(AO186=-2,regle!$J$11,
IF(AO186=regle!$B$12,regle!$B$11,
IF(AO186=regle!$C$12,regle!$C$11,
IF(AO186=regle!$D$12,regle!$D$11,
IF(AO186=regle!$E$12,regle!$E$11,
IF(AO186=regle!$F$12,regle!$F$11,
IF(AO186=regle!$G$12,regle!$G$11,
IF(AO186=regle!$H$12,regle!$H$11,
IF(AO186=regle!$I$12,regle!$I$11,""))))))))))</f>
        <v/>
      </c>
      <c r="V186" t="str">
        <f>IF(NOT($A186),"",
IF(AP186=-2,regle!$J$11,
IF(AP186=regle!$B$12,regle!$B$11,
IF(AP186=regle!$C$12,regle!$C$11,
IF(AP186=regle!$D$12,regle!$D$11,
IF(AP186=regle!$E$12,regle!$E$11,
IF(AP186=regle!$F$12,regle!$F$11,
IF(AP186=regle!$G$12,regle!$G$11,
IF(AP186=regle!$H$12,regle!$H$11,
IF(AP186=regle!$I$12,regle!$I$11,""))))))))))</f>
        <v/>
      </c>
      <c r="W186" t="str">
        <f>IF(NOT($A186),"",
IF(AQ186=-2,regle!$J$11,
IF(AQ186=regle!$B$12,regle!$B$11,
IF(AQ186=regle!$C$12,regle!$C$11,
IF(AQ186=regle!$D$12,regle!$D$11,
IF(AQ186=regle!$E$12,regle!$E$11,
IF(AQ186=regle!$F$12,regle!$F$11,
IF(AQ186=regle!$G$12,regle!$G$11,
IF(AQ186=regle!$H$12,regle!$H$11,
IF(AQ186=regle!$I$12,regle!$I$11,""))))))))))</f>
        <v/>
      </c>
      <c r="X186" t="str">
        <f>IF(NOT($A186),"",
IF(AR186=-2,regle!$J$11,
IF(AR186=regle!$B$12,regle!$B$11,
IF(AR186=regle!$C$12,regle!$C$11,
IF(AR186=regle!$D$12,regle!$D$11,
IF(AR186=regle!$E$12,regle!$E$11,
IF(AR186=regle!$F$12,regle!$F$11,
IF(AR186=regle!$G$12,regle!$G$11,
IF(AR186=regle!$H$12,regle!$H$11,
IF(AR186=regle!$I$12,regle!$I$11,""))))))))))</f>
        <v/>
      </c>
      <c r="Y186" t="str">
        <f>IF(NOT($A186),"",
IF(AS186=-2,regle!$J$11,
IF(AS186=regle!$B$12,regle!$B$11,
IF(AS186=regle!$C$12,regle!$C$11,
IF(AS186=regle!$D$12,regle!$D$11,
IF(AS186=regle!$E$12,regle!$E$11,
IF(AS186=regle!$F$12,regle!$F$11,
IF(AS186=regle!$G$12,regle!$G$11,
IF(AS186=regle!$H$12,regle!$H$11,
IF(AS186=regle!$I$12,regle!$I$11,""))))))))))</f>
        <v>EC1</v>
      </c>
      <c r="Z186" t="str">
        <f>IF(NOT($A186),"",
IF(AT186=-2,regle!$J$11,
IF(AT186=regle!$B$12,regle!$B$11,
IF(AT186=regle!$C$12,regle!$C$11,
IF(AT186=regle!$D$12,regle!$D$11,
IF(AT186=regle!$E$12,regle!$E$11,
IF(AT186=regle!$F$12,regle!$F$11,
IF(AT186=regle!$G$12,regle!$G$11,
IF(AT186=regle!$H$12,regle!$H$11,
IF(AT186=regle!$I$12,regle!$I$11,""))))))))))</f>
        <v/>
      </c>
      <c r="AA186" t="str">
        <f>IF(NOT($A186),"",
IF(AU186=-2,regle!$J$11,
IF(AU186=regle!$B$12,regle!$B$11,
IF(AU186=regle!$C$12,regle!$C$11,
IF(AU186=regle!$D$12,regle!$D$11,
IF(AU186=regle!$E$12,regle!$E$11,
IF(AU186=regle!$F$12,regle!$F$11,
IF(AU186=regle!$G$12,regle!$G$11,
IF(AU186=regle!$H$12,regle!$H$11,
IF(AU186=regle!$I$12,regle!$I$11,""))))))))))</f>
        <v/>
      </c>
      <c r="AB186" t="str">
        <f>IF(NOT($A186),"",
IF(AV186=-2,regle!$J$11,
IF(AV186=regle!$B$12,regle!$B$11,
IF(AV186=regle!$C$12,regle!$C$11,
IF(AV186=regle!$D$12,regle!$D$11,
IF(AV186=regle!$E$12,regle!$E$11,
IF(AV186=regle!$F$12,regle!$F$11,
IF(AV186=regle!$G$12,regle!$G$11,
IF(AV186=regle!$H$12,regle!$H$11,
IF(AV186=regle!$I$12,regle!$I$11,""))))))))))</f>
        <v/>
      </c>
      <c r="AC186" t="str">
        <f>IF(NOT($A186),"",
IF(AW186=-2,regle!$J$11,
IF(AW186=regle!$B$12,regle!$B$11,
IF(AW186=regle!$C$12,regle!$C$11,
IF(AW186=regle!$D$12,regle!$D$11,
IF(AW186=regle!$E$12,regle!$E$11,
IF(AW186=regle!$F$12,regle!$F$11,
IF(AW186=regle!$G$12,regle!$G$11,
IF(AW186=regle!$H$12,regle!$H$11,
IF(AW186=regle!$I$12,regle!$I$11,""))))))))))</f>
        <v/>
      </c>
      <c r="AD186" t="str">
        <f>IF(NOT($A186),"",
IF(AX186=-2,regle!$J$11,
IF(AX186=regle!$B$12,regle!$B$11,
IF(AX186=regle!$C$12,regle!$C$11,
IF(AX186=regle!$D$12,regle!$D$11,
IF(AX186=regle!$E$12,regle!$E$11,
IF(AX186=regle!$F$12,regle!$F$11,
IF(AX186=regle!$G$12,regle!$G$11,
IF(AX186=regle!$H$12,regle!$H$11,
IF(AX186=regle!$I$12,regle!$I$11,""))))))))))</f>
        <v>EC2</v>
      </c>
      <c r="AE186" s="14">
        <f>IF($A186,$M186*(IF(U186=regle!$B$11,regle!$B$23,IF(U186=regle!$C$11,regle!$C$23,IF(U186=regle!$D$11,regle!$D$23,IF(U186=regle!$E$11,regle!$E$23,IF(U186=regle!$F$11,regle!$F$23,IF(U186=regle!$G$11,regle!$G$23,IF(U186=regle!$H$11,regle!$H$23,IF(U186=regle!$I$11,regle!$I$23,IF(U186=regle!$J$11,regle!$J$23,0)))))))))))</f>
        <v>0</v>
      </c>
      <c r="AF186" s="14">
        <f>IF($A186,$M186*(IF(V186=regle!$B$11,regle!$B$23,IF(V186=regle!$C$11,regle!$C$23,IF(V186=regle!$D$11,regle!$D$23,IF(V186=regle!$E$11,regle!$E$23,IF(V186=regle!$F$11,regle!$F$23,IF(V186=regle!$G$11,regle!$G$23,IF(V186=regle!$H$11,regle!$H$23,IF(V186=regle!$I$11,regle!$I$23,IF(V186=regle!$J$11,regle!$J$23,0)))))))))))</f>
        <v>0</v>
      </c>
      <c r="AG186" s="14">
        <f>IF($A186,$M186*(IF(W186=regle!$B$11,regle!$B$23,IF(W186=regle!$C$11,regle!$C$23,IF(W186=regle!$D$11,regle!$D$23,IF(W186=regle!$E$11,regle!$E$23,IF(W186=regle!$F$11,regle!$F$23,IF(W186=regle!$G$11,regle!$G$23,IF(W186=regle!$H$11,regle!$H$23,IF(W186=regle!$I$11,regle!$I$23,IF(W186=regle!$J$11,regle!$J$23,0)))))))))))</f>
        <v>0</v>
      </c>
      <c r="AH186" s="14">
        <f>IF($A186,$M186*(IF(X186=regle!$B$11,regle!$B$23,IF(X186=regle!$C$11,regle!$C$23,IF(X186=regle!$D$11,regle!$D$23,IF(X186=regle!$E$11,regle!$E$23,IF(X186=regle!$F$11,regle!$F$23,IF(X186=regle!$G$11,regle!$G$23,IF(X186=regle!$H$11,regle!$H$23,IF(X186=regle!$I$11,regle!$I$23,IF(X186=regle!$J$11,regle!$J$23,0)))))))))))</f>
        <v>0</v>
      </c>
      <c r="AI186" s="14">
        <f>IF($A186,$M186*(IF(Y186=regle!$B$11,regle!$B$23,IF(Y186=regle!$C$11,regle!$C$23,IF(Y186=regle!$D$11,regle!$D$23,IF(Y186=regle!$E$11,regle!$E$23,IF(Y186=regle!$F$11,regle!$F$23,IF(Y186=regle!$G$11,regle!$G$23,IF(Y186=regle!$H$11,regle!$H$23,IF(Y186=regle!$I$11,regle!$I$23,IF(Y186=regle!$J$11,regle!$J$23,0)))))))))))</f>
        <v>370.88640000000004</v>
      </c>
      <c r="AJ186" s="14">
        <f>IF($A186,$M186*(IF(Z186=regle!$B$11,regle!$B$23,IF(Z186=regle!$C$11,regle!$C$23,IF(Z186=regle!$D$11,regle!$D$23,IF(Z186=regle!$E$11,regle!$E$23,IF(Z186=regle!$F$11,regle!$F$23,IF(Z186=regle!$G$11,regle!$G$23,IF(Z186=regle!$H$11,regle!$H$23,IF(Z186=regle!$I$11,regle!$I$23,IF(Z186=regle!$J$11,regle!$J$23,0)))))))))))</f>
        <v>0</v>
      </c>
      <c r="AK186" s="14">
        <f>IF($A186,$M186*(IF(AA186=regle!$B$11,regle!$B$23,IF(AA186=regle!$C$11,regle!$C$23,IF(AA186=regle!$D$11,regle!$D$23,IF(AA186=regle!$E$11,regle!$E$23,IF(AA186=regle!$F$11,regle!$F$23,IF(AA186=regle!$G$11,regle!$G$23,IF(AA186=regle!$H$11,regle!$H$23,IF(AA186=regle!$I$11,regle!$I$23,IF(AA186=regle!$J$11,regle!$J$23,0)))))))))))</f>
        <v>0</v>
      </c>
      <c r="AL186" s="14">
        <f>IF($A186,$M186*(IF(AB186=regle!$B$11,regle!$B$23,IF(AB186=regle!$C$11,regle!$C$23,IF(AB186=regle!$D$11,regle!$D$23,IF(AB186=regle!$E$11,regle!$E$23,IF(AB186=regle!$F$11,regle!$F$23,IF(AB186=regle!$G$11,regle!$G$23,IF(AB186=regle!$H$11,regle!$H$23,IF(AB186=regle!$I$11,regle!$I$23,IF(AB186=regle!$J$11,regle!$J$23,0)))))))))))</f>
        <v>0</v>
      </c>
      <c r="AM186" s="14">
        <f>IF($A186,$M186*(IF(AC186=regle!$B$11,regle!$B$23,IF(AC186=regle!$C$11,regle!$C$23,IF(AC186=regle!$D$11,regle!$D$23,IF(AC186=regle!$E$11,regle!$E$23,IF(AC186=regle!$F$11,regle!$F$23,IF(AC186=regle!$G$11,regle!$G$23,IF(AC186=regle!$H$11,regle!$H$23,IF(AC186=regle!$I$11,regle!$I$23,IF(AC186=regle!$J$11,regle!$J$23,0)))))))))))</f>
        <v>0</v>
      </c>
      <c r="AN186" s="14">
        <f>IF($A186,$M186*(IF(AD186=regle!$B$11,regle!$B$23,IF(AD186=regle!$C$11,regle!$C$23,IF(AD186=regle!$D$11,regle!$D$23,IF(AD186=regle!$E$11,regle!$E$23,IF(AD186=regle!$F$11,regle!$F$23,IF(AD186=regle!$G$11,regle!$G$23,IF(AD186=regle!$H$11,regle!$H$23,IF(AD186=regle!$I$11,regle!$I$23,IF(AD186=regle!$J$11,regle!$J$23,0)))))))))))</f>
        <v>540.87599999999998</v>
      </c>
      <c r="AO186">
        <f>IF(AO$1=$AO$1,IF(regle!B$2-$Q186&gt;=regle!$J$12,-2,IF($S186,IF(regle!$B$2-$Q186&gt;=2,0,-1),regle!B$2-$Q186)),IF(AN186+1&gt;=regle!$J$12,-2,AN186+1))</f>
        <v>9</v>
      </c>
      <c r="AP186">
        <f>IF(AP$1=$AO$1,IF(regle!C$2-$Q186&gt;=regle!$J$12,-2,IF($S186,IF(regle!$B$2-$Q186&gt;=2,0,-1),regle!C$2-$Q186)),IF(AO186+1&gt;=regle!$J$12,-2,AO186+1))</f>
        <v>10</v>
      </c>
      <c r="AQ186">
        <f>IF(AQ$1=$AO$1,IF(regle!D$2-$Q186&gt;=regle!$J$12,-2,IF($S186,IF(regle!$B$2-$Q186&gt;=2,0,-1),regle!D$2-$Q186)),IF(AP186+1&gt;=regle!$J$12,-2,AP186+1))</f>
        <v>11</v>
      </c>
      <c r="AR186">
        <f>IF(AR$1=$AO$1,IF(regle!E$2-$Q186&gt;=regle!$J$12,-2,IF($S186,IF(regle!$B$2-$Q186&gt;=2,0,-1),regle!E$2-$Q186)),IF(AQ186+1&gt;=regle!$J$12,-2,AQ186+1))</f>
        <v>12</v>
      </c>
      <c r="AS186">
        <f>IF(AS$1=$AO$1,IF(regle!F$2-$Q186&gt;=regle!$J$12,-2,IF($S186,IF(regle!$B$2-$Q186&gt;=2,0,-1),regle!F$2-$Q186)),IF(AR186+1&gt;=regle!$J$12,-2,AR186+1))</f>
        <v>13</v>
      </c>
      <c r="AT186">
        <f>IF(AT$1=$AO$1,IF(regle!G$2-$Q186&gt;=regle!$J$12,-2,IF($S186,IF(regle!$B$2-$Q186&gt;=2,0,-1),regle!G$2-$Q186)),IF(AS186+1&gt;=regle!$J$12,-2,AS186+1))</f>
        <v>14</v>
      </c>
      <c r="AU186">
        <f>IF(AU$1=$AO$1,IF(regle!H$2-$Q186&gt;=regle!$J$12,-2,IF($S186,IF(regle!$B$2-$Q186&gt;=2,0,-1),regle!H$2-$Q186)),IF(AT186+1&gt;=regle!$J$12,-2,AT186+1))</f>
        <v>15</v>
      </c>
      <c r="AV186">
        <f>IF(AV$1=$AO$1,IF(regle!I$2-$Q186&gt;=regle!$J$12,-2,IF($S186,IF(regle!$B$2-$Q186&gt;=2,0,-1),regle!I$2-$Q186)),IF(AU186+1&gt;=regle!$J$12,-2,AU186+1))</f>
        <v>16</v>
      </c>
      <c r="AW186">
        <f>IF(AW$1=$AO$1,IF(regle!J$2-$Q186&gt;=regle!$J$12,-2,IF($S186,IF(regle!$B$2-$Q186&gt;=2,0,-1),regle!J$2-$Q186)),IF(AV186+1&gt;=regle!$J$12,-2,AV186+1))</f>
        <v>17</v>
      </c>
      <c r="AX186">
        <f>IF(AX$1=$AO$1,IF(regle!K$2-$Q186&gt;=regle!$J$12,-2,IF($S186,IF(regle!$B$2-$Q186&gt;=2,0,-1),regle!K$2-$Q186)),IF(AW186+1&gt;=regle!$J$12,-2,AW186+1))</f>
        <v>18</v>
      </c>
    </row>
    <row r="187" spans="1:50" x14ac:dyDescent="0.25">
      <c r="A187" t="b">
        <f>AND(modif0[[#This Row],[cdstr]]&lt;&gt;0,OR(regle!$H$27=FALSE,modif0[[#This Row],[essnc]]="PM"))</f>
        <v>1</v>
      </c>
      <c r="B187">
        <f>ROW(objet!A219)</f>
        <v>219</v>
      </c>
      <c r="C187" s="10" t="str">
        <f>objet!D219</f>
        <v>2020000B1214</v>
      </c>
      <c r="D187" t="str">
        <f>LEFT(modif0[[#This Row],[cdstr]],3)</f>
        <v>202</v>
      </c>
      <c r="E187" s="10" t="str">
        <f>objet!G219</f>
        <v>HOSTENS</v>
      </c>
      <c r="F187">
        <f>LEN(modif0[[#This Row],[l_dt]])</f>
        <v>8</v>
      </c>
      <c r="G187" s="10" t="str">
        <f>objet!H219</f>
        <v>LES BECS</v>
      </c>
      <c r="H187" s="10" t="str">
        <f>objet!C219</f>
        <v>B1214l</v>
      </c>
      <c r="I187" t="str">
        <f>IF(ISNUMBER(VALUE(RIGHT(LEFT(modif0[[#This Row],[idntfn]],2),1))),_xlfn.CONCAT(0,LEFT(modif0[[#This Row],[idntfn]],1)),LEFT(modif0[[#This Row],[idntfn]],2))</f>
        <v>0B</v>
      </c>
      <c r="J187">
        <f>VALUE(LEFT(RIGHT(modif0[[#This Row],[idntfn]],LEN(modif0[[#This Row],[idntfn]])-IF(LEFT(modif0[[#This Row],[sctn]],1)="0",1,2)),LEN(modif0[[#This Row],[idntfn]])-IF(LEFT(modif0[[#This Row],[sctn]],1)="0",1,2)-LEN(modif0[[#This Row],[lttr]])))</f>
        <v>1214</v>
      </c>
      <c r="K187" t="str">
        <f>IF(ISNUMBER(VALUE(RIGHT(modif0[[#This Row],[idntfn]],1))),"",IF(ISNUMBER(VALUE(LEFT(RIGHT(modif0[[#This Row],[idntfn]],2),1))),RIGHT(modif0[[#This Row],[idntfn]],1),RIGHT(modif0[[#This Row],[idntfn]],2)))</f>
        <v>l</v>
      </c>
      <c r="L187" s="10">
        <f>objet!I219</f>
        <v>952</v>
      </c>
      <c r="M187" s="11">
        <f>modif0[[#This Row],[srfc]]/10000</f>
        <v>9.5200000000000007E-2</v>
      </c>
      <c r="N187" s="10" t="str">
        <f>objet!Z219</f>
        <v>PM</v>
      </c>
      <c r="O187" s="10" t="str">
        <f>objet!AA219</f>
        <v>PLA2015</v>
      </c>
      <c r="P187" t="str">
        <f>IF(ISNUMBER(modif0[[#This Row],[trvx]]),"",LEFT(modif0[[#This Row],[trvx]],LEN(modif0[[#This Row],[trvx]])-4))</f>
        <v>PLA</v>
      </c>
      <c r="Q187">
        <f>VALUE(RIGHT(modif0[[#This Row],[trvx]],4))</f>
        <v>2015</v>
      </c>
      <c r="R187" t="str">
        <f>_xlfn.CONCAT(modif0[[#This Row],[tp]],"-",modif0[[#This Row],[essnc]],"_",modif0[[#This Row],[anns]])</f>
        <v>PLA-PM_2015</v>
      </c>
      <c r="S187" t="b">
        <f>modif0[[#This Row],[tp]]="CR"</f>
        <v>0</v>
      </c>
      <c r="T187">
        <v>40</v>
      </c>
      <c r="U187" t="str">
        <f>IF(NOT($A187),"",
IF(AO187=-2,regle!$J$11,
IF(AO187=regle!$B$12,regle!$B$11,
IF(AO187=regle!$C$12,regle!$C$11,
IF(AO187=regle!$D$12,regle!$D$11,
IF(AO187=regle!$E$12,regle!$E$11,
IF(AO187=regle!$F$12,regle!$F$11,
IF(AO187=regle!$G$12,regle!$G$11,
IF(AO187=regle!$H$12,regle!$H$11,
IF(AO187=regle!$I$12,regle!$I$11,""))))))))))</f>
        <v/>
      </c>
      <c r="V187" t="str">
        <f>IF(NOT($A187),"",
IF(AP187=-2,regle!$J$11,
IF(AP187=regle!$B$12,regle!$B$11,
IF(AP187=regle!$C$12,regle!$C$11,
IF(AP187=regle!$D$12,regle!$D$11,
IF(AP187=regle!$E$12,regle!$E$11,
IF(AP187=regle!$F$12,regle!$F$11,
IF(AP187=regle!$G$12,regle!$G$11,
IF(AP187=regle!$H$12,regle!$H$11,
IF(AP187=regle!$I$12,regle!$I$11,""))))))))))</f>
        <v/>
      </c>
      <c r="W187" t="str">
        <f>IF(NOT($A187),"",
IF(AQ187=-2,regle!$J$11,
IF(AQ187=regle!$B$12,regle!$B$11,
IF(AQ187=regle!$C$12,regle!$C$11,
IF(AQ187=regle!$D$12,regle!$D$11,
IF(AQ187=regle!$E$12,regle!$E$11,
IF(AQ187=regle!$F$12,regle!$F$11,
IF(AQ187=regle!$G$12,regle!$G$11,
IF(AQ187=regle!$H$12,regle!$H$11,
IF(AQ187=regle!$I$12,regle!$I$11,""))))))))))</f>
        <v/>
      </c>
      <c r="X187" t="str">
        <f>IF(NOT($A187),"",
IF(AR187=-2,regle!$J$11,
IF(AR187=regle!$B$12,regle!$B$11,
IF(AR187=regle!$C$12,regle!$C$11,
IF(AR187=regle!$D$12,regle!$D$11,
IF(AR187=regle!$E$12,regle!$E$11,
IF(AR187=regle!$F$12,regle!$F$11,
IF(AR187=regle!$G$12,regle!$G$11,
IF(AR187=regle!$H$12,regle!$H$11,
IF(AR187=regle!$I$12,regle!$I$11,""))))))))))</f>
        <v/>
      </c>
      <c r="Y187" t="str">
        <f>IF(NOT($A187),"",
IF(AS187=-2,regle!$J$11,
IF(AS187=regle!$B$12,regle!$B$11,
IF(AS187=regle!$C$12,regle!$C$11,
IF(AS187=regle!$D$12,regle!$D$11,
IF(AS187=regle!$E$12,regle!$E$11,
IF(AS187=regle!$F$12,regle!$F$11,
IF(AS187=regle!$G$12,regle!$G$11,
IF(AS187=regle!$H$12,regle!$H$11,
IF(AS187=regle!$I$12,regle!$I$11,""))))))))))</f>
        <v>EC1</v>
      </c>
      <c r="Z187" t="str">
        <f>IF(NOT($A187),"",
IF(AT187=-2,regle!$J$11,
IF(AT187=regle!$B$12,regle!$B$11,
IF(AT187=regle!$C$12,regle!$C$11,
IF(AT187=regle!$D$12,regle!$D$11,
IF(AT187=regle!$E$12,regle!$E$11,
IF(AT187=regle!$F$12,regle!$F$11,
IF(AT187=regle!$G$12,regle!$G$11,
IF(AT187=regle!$H$12,regle!$H$11,
IF(AT187=regle!$I$12,regle!$I$11,""))))))))))</f>
        <v/>
      </c>
      <c r="AA187" t="str">
        <f>IF(NOT($A187),"",
IF(AU187=-2,regle!$J$11,
IF(AU187=regle!$B$12,regle!$B$11,
IF(AU187=regle!$C$12,regle!$C$11,
IF(AU187=regle!$D$12,regle!$D$11,
IF(AU187=regle!$E$12,regle!$E$11,
IF(AU187=regle!$F$12,regle!$F$11,
IF(AU187=regle!$G$12,regle!$G$11,
IF(AU187=regle!$H$12,regle!$H$11,
IF(AU187=regle!$I$12,regle!$I$11,""))))))))))</f>
        <v/>
      </c>
      <c r="AB187" t="str">
        <f>IF(NOT($A187),"",
IF(AV187=-2,regle!$J$11,
IF(AV187=regle!$B$12,regle!$B$11,
IF(AV187=regle!$C$12,regle!$C$11,
IF(AV187=regle!$D$12,regle!$D$11,
IF(AV187=regle!$E$12,regle!$E$11,
IF(AV187=regle!$F$12,regle!$F$11,
IF(AV187=regle!$G$12,regle!$G$11,
IF(AV187=regle!$H$12,regle!$H$11,
IF(AV187=regle!$I$12,regle!$I$11,""))))))))))</f>
        <v/>
      </c>
      <c r="AC187" t="str">
        <f>IF(NOT($A187),"",
IF(AW187=-2,regle!$J$11,
IF(AW187=regle!$B$12,regle!$B$11,
IF(AW187=regle!$C$12,regle!$C$11,
IF(AW187=regle!$D$12,regle!$D$11,
IF(AW187=regle!$E$12,regle!$E$11,
IF(AW187=regle!$F$12,regle!$F$11,
IF(AW187=regle!$G$12,regle!$G$11,
IF(AW187=regle!$H$12,regle!$H$11,
IF(AW187=regle!$I$12,regle!$I$11,""))))))))))</f>
        <v/>
      </c>
      <c r="AD187" t="str">
        <f>IF(NOT($A187),"",
IF(AX187=-2,regle!$J$11,
IF(AX187=regle!$B$12,regle!$B$11,
IF(AX187=regle!$C$12,regle!$C$11,
IF(AX187=regle!$D$12,regle!$D$11,
IF(AX187=regle!$E$12,regle!$E$11,
IF(AX187=regle!$F$12,regle!$F$11,
IF(AX187=regle!$G$12,regle!$G$11,
IF(AX187=regle!$H$12,regle!$H$11,
IF(AX187=regle!$I$12,regle!$I$11,""))))))))))</f>
        <v>EC2</v>
      </c>
      <c r="AE187" s="14">
        <f>IF($A187,$M187*(IF(U187=regle!$B$11,regle!$B$23,IF(U187=regle!$C$11,regle!$C$23,IF(U187=regle!$D$11,regle!$D$23,IF(U187=regle!$E$11,regle!$E$23,IF(U187=regle!$F$11,regle!$F$23,IF(U187=regle!$G$11,regle!$G$23,IF(U187=regle!$H$11,regle!$H$23,IF(U187=regle!$I$11,regle!$I$23,IF(U187=regle!$J$11,regle!$J$23,0)))))))))))</f>
        <v>0</v>
      </c>
      <c r="AF187" s="14">
        <f>IF($A187,$M187*(IF(V187=regle!$B$11,regle!$B$23,IF(V187=regle!$C$11,regle!$C$23,IF(V187=regle!$D$11,regle!$D$23,IF(V187=regle!$E$11,regle!$E$23,IF(V187=regle!$F$11,regle!$F$23,IF(V187=regle!$G$11,regle!$G$23,IF(V187=regle!$H$11,regle!$H$23,IF(V187=regle!$I$11,regle!$I$23,IF(V187=regle!$J$11,regle!$J$23,0)))))))))))</f>
        <v>0</v>
      </c>
      <c r="AG187" s="14">
        <f>IF($A187,$M187*(IF(W187=regle!$B$11,regle!$B$23,IF(W187=regle!$C$11,regle!$C$23,IF(W187=regle!$D$11,regle!$D$23,IF(W187=regle!$E$11,regle!$E$23,IF(W187=regle!$F$11,regle!$F$23,IF(W187=regle!$G$11,regle!$G$23,IF(W187=regle!$H$11,regle!$H$23,IF(W187=regle!$I$11,regle!$I$23,IF(W187=regle!$J$11,regle!$J$23,0)))))))))))</f>
        <v>0</v>
      </c>
      <c r="AH187" s="14">
        <f>IF($A187,$M187*(IF(X187=regle!$B$11,regle!$B$23,IF(X187=regle!$C$11,regle!$C$23,IF(X187=regle!$D$11,regle!$D$23,IF(X187=regle!$E$11,regle!$E$23,IF(X187=regle!$F$11,regle!$F$23,IF(X187=regle!$G$11,regle!$G$23,IF(X187=regle!$H$11,regle!$H$23,IF(X187=regle!$I$11,regle!$I$23,IF(X187=regle!$J$11,regle!$J$23,0)))))))))))</f>
        <v>0</v>
      </c>
      <c r="AI187" s="14">
        <f>IF($A187,$M187*(IF(Y187=regle!$B$11,regle!$B$23,IF(Y187=regle!$C$11,regle!$C$23,IF(Y187=regle!$D$11,regle!$D$23,IF(Y187=regle!$E$11,regle!$E$23,IF(Y187=regle!$F$11,regle!$F$23,IF(Y187=regle!$G$11,regle!$G$23,IF(Y187=regle!$H$11,regle!$H$23,IF(Y187=regle!$I$11,regle!$I$23,IF(Y187=regle!$J$11,regle!$J$23,0)))))))))))</f>
        <v>54.8352</v>
      </c>
      <c r="AJ187" s="14">
        <f>IF($A187,$M187*(IF(Z187=regle!$B$11,regle!$B$23,IF(Z187=regle!$C$11,regle!$C$23,IF(Z187=regle!$D$11,regle!$D$23,IF(Z187=regle!$E$11,regle!$E$23,IF(Z187=regle!$F$11,regle!$F$23,IF(Z187=regle!$G$11,regle!$G$23,IF(Z187=regle!$H$11,regle!$H$23,IF(Z187=regle!$I$11,regle!$I$23,IF(Z187=regle!$J$11,regle!$J$23,0)))))))))))</f>
        <v>0</v>
      </c>
      <c r="AK187" s="14">
        <f>IF($A187,$M187*(IF(AA187=regle!$B$11,regle!$B$23,IF(AA187=regle!$C$11,regle!$C$23,IF(AA187=regle!$D$11,regle!$D$23,IF(AA187=regle!$E$11,regle!$E$23,IF(AA187=regle!$F$11,regle!$F$23,IF(AA187=regle!$G$11,regle!$G$23,IF(AA187=regle!$H$11,regle!$H$23,IF(AA187=regle!$I$11,regle!$I$23,IF(AA187=regle!$J$11,regle!$J$23,0)))))))))))</f>
        <v>0</v>
      </c>
      <c r="AL187" s="14">
        <f>IF($A187,$M187*(IF(AB187=regle!$B$11,regle!$B$23,IF(AB187=regle!$C$11,regle!$C$23,IF(AB187=regle!$D$11,regle!$D$23,IF(AB187=regle!$E$11,regle!$E$23,IF(AB187=regle!$F$11,regle!$F$23,IF(AB187=regle!$G$11,regle!$G$23,IF(AB187=regle!$H$11,regle!$H$23,IF(AB187=regle!$I$11,regle!$I$23,IF(AB187=regle!$J$11,regle!$J$23,0)))))))))))</f>
        <v>0</v>
      </c>
      <c r="AM187" s="14">
        <f>IF($A187,$M187*(IF(AC187=regle!$B$11,regle!$B$23,IF(AC187=regle!$C$11,regle!$C$23,IF(AC187=regle!$D$11,regle!$D$23,IF(AC187=regle!$E$11,regle!$E$23,IF(AC187=regle!$F$11,regle!$F$23,IF(AC187=regle!$G$11,regle!$G$23,IF(AC187=regle!$H$11,regle!$H$23,IF(AC187=regle!$I$11,regle!$I$23,IF(AC187=regle!$J$11,regle!$J$23,0)))))))))))</f>
        <v>0</v>
      </c>
      <c r="AN187" s="14">
        <f>IF($A187,$M187*(IF(AD187=regle!$B$11,regle!$B$23,IF(AD187=regle!$C$11,regle!$C$23,IF(AD187=regle!$D$11,regle!$D$23,IF(AD187=regle!$E$11,regle!$E$23,IF(AD187=regle!$F$11,regle!$F$23,IF(AD187=regle!$G$11,regle!$G$23,IF(AD187=regle!$H$11,regle!$H$23,IF(AD187=regle!$I$11,regle!$I$23,IF(AD187=regle!$J$11,regle!$J$23,0)))))))))))</f>
        <v>79.968000000000004</v>
      </c>
      <c r="AO187">
        <f>IF(AO$1=$AO$1,IF(regle!B$2-$Q187&gt;=regle!$J$12,-2,IF($S187,IF(regle!$B$2-$Q187&gt;=2,0,-1),regle!B$2-$Q187)),IF(AN187+1&gt;=regle!$J$12,-2,AN187+1))</f>
        <v>9</v>
      </c>
      <c r="AP187">
        <f>IF(AP$1=$AO$1,IF(regle!C$2-$Q187&gt;=regle!$J$12,-2,IF($S187,IF(regle!$B$2-$Q187&gt;=2,0,-1),regle!C$2-$Q187)),IF(AO187+1&gt;=regle!$J$12,-2,AO187+1))</f>
        <v>10</v>
      </c>
      <c r="AQ187">
        <f>IF(AQ$1=$AO$1,IF(regle!D$2-$Q187&gt;=regle!$J$12,-2,IF($S187,IF(regle!$B$2-$Q187&gt;=2,0,-1),regle!D$2-$Q187)),IF(AP187+1&gt;=regle!$J$12,-2,AP187+1))</f>
        <v>11</v>
      </c>
      <c r="AR187">
        <f>IF(AR$1=$AO$1,IF(regle!E$2-$Q187&gt;=regle!$J$12,-2,IF($S187,IF(regle!$B$2-$Q187&gt;=2,0,-1),regle!E$2-$Q187)),IF(AQ187+1&gt;=regle!$J$12,-2,AQ187+1))</f>
        <v>12</v>
      </c>
      <c r="AS187">
        <f>IF(AS$1=$AO$1,IF(regle!F$2-$Q187&gt;=regle!$J$12,-2,IF($S187,IF(regle!$B$2-$Q187&gt;=2,0,-1),regle!F$2-$Q187)),IF(AR187+1&gt;=regle!$J$12,-2,AR187+1))</f>
        <v>13</v>
      </c>
      <c r="AT187">
        <f>IF(AT$1=$AO$1,IF(regle!G$2-$Q187&gt;=regle!$J$12,-2,IF($S187,IF(regle!$B$2-$Q187&gt;=2,0,-1),regle!G$2-$Q187)),IF(AS187+1&gt;=regle!$J$12,-2,AS187+1))</f>
        <v>14</v>
      </c>
      <c r="AU187">
        <f>IF(AU$1=$AO$1,IF(regle!H$2-$Q187&gt;=regle!$J$12,-2,IF($S187,IF(regle!$B$2-$Q187&gt;=2,0,-1),regle!H$2-$Q187)),IF(AT187+1&gt;=regle!$J$12,-2,AT187+1))</f>
        <v>15</v>
      </c>
      <c r="AV187">
        <f>IF(AV$1=$AO$1,IF(regle!I$2-$Q187&gt;=regle!$J$12,-2,IF($S187,IF(regle!$B$2-$Q187&gt;=2,0,-1),regle!I$2-$Q187)),IF(AU187+1&gt;=regle!$J$12,-2,AU187+1))</f>
        <v>16</v>
      </c>
      <c r="AW187">
        <f>IF(AW$1=$AO$1,IF(regle!J$2-$Q187&gt;=regle!$J$12,-2,IF($S187,IF(regle!$B$2-$Q187&gt;=2,0,-1),regle!J$2-$Q187)),IF(AV187+1&gt;=regle!$J$12,-2,AV187+1))</f>
        <v>17</v>
      </c>
      <c r="AX187">
        <f>IF(AX$1=$AO$1,IF(regle!K$2-$Q187&gt;=regle!$J$12,-2,IF($S187,IF(regle!$B$2-$Q187&gt;=2,0,-1),regle!K$2-$Q187)),IF(AW187+1&gt;=regle!$J$12,-2,AW187+1))</f>
        <v>18</v>
      </c>
    </row>
    <row r="188" spans="1:50" x14ac:dyDescent="0.25">
      <c r="A188" t="b">
        <f>AND(modif0[[#This Row],[cdstr]]&lt;&gt;0,OR(regle!$H$27=FALSE,modif0[[#This Row],[essnc]]="PM"))</f>
        <v>1</v>
      </c>
      <c r="B188">
        <f>ROW(objet!A220)</f>
        <v>220</v>
      </c>
      <c r="C188" s="10" t="str">
        <f>objet!D220</f>
        <v>2020000B1215</v>
      </c>
      <c r="D188" t="str">
        <f>LEFT(modif0[[#This Row],[cdstr]],3)</f>
        <v>202</v>
      </c>
      <c r="E188" s="10" t="str">
        <f>objet!G220</f>
        <v>HOSTENS</v>
      </c>
      <c r="F188">
        <f>LEN(modif0[[#This Row],[l_dt]])</f>
        <v>8</v>
      </c>
      <c r="G188" s="10" t="str">
        <f>objet!H220</f>
        <v>LES BECS</v>
      </c>
      <c r="H188" s="10" t="str">
        <f>objet!C220</f>
        <v>B1215</v>
      </c>
      <c r="I188" t="str">
        <f>IF(ISNUMBER(VALUE(RIGHT(LEFT(modif0[[#This Row],[idntfn]],2),1))),_xlfn.CONCAT(0,LEFT(modif0[[#This Row],[idntfn]],1)),LEFT(modif0[[#This Row],[idntfn]],2))</f>
        <v>0B</v>
      </c>
      <c r="J188">
        <f>VALUE(LEFT(RIGHT(modif0[[#This Row],[idntfn]],LEN(modif0[[#This Row],[idntfn]])-IF(LEFT(modif0[[#This Row],[sctn]],1)="0",1,2)),LEN(modif0[[#This Row],[idntfn]])-IF(LEFT(modif0[[#This Row],[sctn]],1)="0",1,2)-LEN(modif0[[#This Row],[lttr]])))</f>
        <v>1215</v>
      </c>
      <c r="K188" t="str">
        <f>IF(ISNUMBER(VALUE(RIGHT(modif0[[#This Row],[idntfn]],1))),"",IF(ISNUMBER(VALUE(LEFT(RIGHT(modif0[[#This Row],[idntfn]],2),1))),RIGHT(modif0[[#This Row],[idntfn]],1),RIGHT(modif0[[#This Row],[idntfn]],2)))</f>
        <v/>
      </c>
      <c r="L188" s="10">
        <f>objet!I220</f>
        <v>7895</v>
      </c>
      <c r="M188" s="11">
        <f>modif0[[#This Row],[srfc]]/10000</f>
        <v>0.78949999999999998</v>
      </c>
      <c r="N188" s="10" t="str">
        <f>objet!Z220</f>
        <v>PM</v>
      </c>
      <c r="O188" s="10" t="str">
        <f>objet!AA220</f>
        <v>CR2016</v>
      </c>
      <c r="P188" t="str">
        <f>IF(ISNUMBER(modif0[[#This Row],[trvx]]),"",LEFT(modif0[[#This Row],[trvx]],LEN(modif0[[#This Row],[trvx]])-4))</f>
        <v>CR</v>
      </c>
      <c r="Q188">
        <f>VALUE(RIGHT(modif0[[#This Row],[trvx]],4))</f>
        <v>2016</v>
      </c>
      <c r="R188" t="str">
        <f>_xlfn.CONCAT(modif0[[#This Row],[tp]],"-",modif0[[#This Row],[essnc]],"_",modif0[[#This Row],[anns]])</f>
        <v>CR-PM_2016</v>
      </c>
      <c r="S188" t="b">
        <f>modif0[[#This Row],[tp]]="CR"</f>
        <v>1</v>
      </c>
      <c r="T188">
        <v>40</v>
      </c>
      <c r="U188" t="str">
        <f>IF(NOT($A188),"",
IF(AO188=-2,regle!$J$11,
IF(AO188=regle!$B$12,regle!$B$11,
IF(AO188=regle!$C$12,regle!$C$11,
IF(AO188=regle!$D$12,regle!$D$11,
IF(AO188=regle!$E$12,regle!$E$11,
IF(AO188=regle!$F$12,regle!$F$11,
IF(AO188=regle!$G$12,regle!$G$11,
IF(AO188=regle!$H$12,regle!$H$11,
IF(AO188=regle!$I$12,regle!$I$11,""))))))))))</f>
        <v>RBST</v>
      </c>
      <c r="V188" t="str">
        <f>IF(NOT($A188),"",
IF(AP188=-2,regle!$J$11,
IF(AP188=regle!$B$12,regle!$B$11,
IF(AP188=regle!$C$12,regle!$C$11,
IF(AP188=regle!$D$12,regle!$D$11,
IF(AP188=regle!$E$12,regle!$E$11,
IF(AP188=regle!$F$12,regle!$F$11,
IF(AP188=regle!$G$12,regle!$G$11,
IF(AP188=regle!$H$12,regle!$H$11,
IF(AP188=regle!$I$12,regle!$I$11,""))))))))))</f>
        <v/>
      </c>
      <c r="W188" t="str">
        <f>IF(NOT($A188),"",
IF(AQ188=-2,regle!$J$11,
IF(AQ188=regle!$B$12,regle!$B$11,
IF(AQ188=regle!$C$12,regle!$C$11,
IF(AQ188=regle!$D$12,regle!$D$11,
IF(AQ188=regle!$E$12,regle!$E$11,
IF(AQ188=regle!$F$12,regle!$F$11,
IF(AQ188=regle!$G$12,regle!$G$11,
IF(AQ188=regle!$H$12,regle!$H$11,
IF(AQ188=regle!$I$12,regle!$I$11,""))))))))))</f>
        <v>DGT</v>
      </c>
      <c r="X188" t="str">
        <f>IF(NOT($A188),"",
IF(AR188=-2,regle!$J$11,
IF(AR188=regle!$B$12,regle!$B$11,
IF(AR188=regle!$C$12,regle!$C$11,
IF(AR188=regle!$D$12,regle!$D$11,
IF(AR188=regle!$E$12,regle!$E$11,
IF(AR188=regle!$F$12,regle!$F$11,
IF(AR188=regle!$G$12,regle!$G$11,
IF(AR188=regle!$H$12,regle!$H$11,
IF(AR188=regle!$I$12,regle!$I$11,""))))))))))</f>
        <v/>
      </c>
      <c r="Y188" t="str">
        <f>IF(NOT($A188),"",
IF(AS188=-2,regle!$J$11,
IF(AS188=regle!$B$12,regle!$B$11,
IF(AS188=regle!$C$12,regle!$C$11,
IF(AS188=regle!$D$12,regle!$D$11,
IF(AS188=regle!$E$12,regle!$E$11,
IF(AS188=regle!$F$12,regle!$F$11,
IF(AS188=regle!$G$12,regle!$G$11,
IF(AS188=regle!$H$12,regle!$H$11,
IF(AS188=regle!$I$12,regle!$I$11,""))))))))))</f>
        <v/>
      </c>
      <c r="Z188" t="str">
        <f>IF(NOT($A188),"",
IF(AT188=-2,regle!$J$11,
IF(AT188=regle!$B$12,regle!$B$11,
IF(AT188=regle!$C$12,regle!$C$11,
IF(AT188=regle!$D$12,regle!$D$11,
IF(AT188=regle!$E$12,regle!$E$11,
IF(AT188=regle!$F$12,regle!$F$11,
IF(AT188=regle!$G$12,regle!$G$11,
IF(AT188=regle!$H$12,regle!$H$11,
IF(AT188=regle!$I$12,regle!$I$11,""))))))))))</f>
        <v>ENT1</v>
      </c>
      <c r="AA188" t="str">
        <f>IF(NOT($A188),"",
IF(AU188=-2,regle!$J$11,
IF(AU188=regle!$B$12,regle!$B$11,
IF(AU188=regle!$C$12,regle!$C$11,
IF(AU188=regle!$D$12,regle!$D$11,
IF(AU188=regle!$E$12,regle!$E$11,
IF(AU188=regle!$F$12,regle!$F$11,
IF(AU188=regle!$G$12,regle!$G$11,
IF(AU188=regle!$H$12,regle!$H$11,
IF(AU188=regle!$I$12,regle!$I$11,""))))))))))</f>
        <v/>
      </c>
      <c r="AB188" t="str">
        <f>IF(NOT($A188),"",
IF(AV188=-2,regle!$J$11,
IF(AV188=regle!$B$12,regle!$B$11,
IF(AV188=regle!$C$12,regle!$C$11,
IF(AV188=regle!$D$12,regle!$D$11,
IF(AV188=regle!$E$12,regle!$E$11,
IF(AV188=regle!$F$12,regle!$F$11,
IF(AV188=regle!$G$12,regle!$G$11,
IF(AV188=regle!$H$12,regle!$H$11,
IF(AV188=regle!$I$12,regle!$I$11,""))))))))))</f>
        <v/>
      </c>
      <c r="AC188" t="str">
        <f>IF(NOT($A188),"",
IF(AW188=-2,regle!$J$11,
IF(AW188=regle!$B$12,regle!$B$11,
IF(AW188=regle!$C$12,regle!$C$11,
IF(AW188=regle!$D$12,regle!$D$11,
IF(AW188=regle!$E$12,regle!$E$11,
IF(AW188=regle!$F$12,regle!$F$11,
IF(AW188=regle!$G$12,regle!$G$11,
IF(AW188=regle!$H$12,regle!$H$11,
IF(AW188=regle!$I$12,regle!$I$11,""))))))))))</f>
        <v>ENT2</v>
      </c>
      <c r="AD188" t="str">
        <f>IF(NOT($A188),"",
IF(AX188=-2,regle!$J$11,
IF(AX188=regle!$B$12,regle!$B$11,
IF(AX188=regle!$C$12,regle!$C$11,
IF(AX188=regle!$D$12,regle!$D$11,
IF(AX188=regle!$E$12,regle!$E$11,
IF(AX188=regle!$F$12,regle!$F$11,
IF(AX188=regle!$G$12,regle!$G$11,
IF(AX188=regle!$H$12,regle!$H$11,
IF(AX188=regle!$I$12,regle!$I$11,""))))))))))</f>
        <v/>
      </c>
      <c r="AE188" s="14">
        <f>IF($A188,$M188*(IF(U188=regle!$B$11,regle!$B$23,IF(U188=regle!$C$11,regle!$C$23,IF(U188=regle!$D$11,regle!$D$23,IF(U188=regle!$E$11,regle!$E$23,IF(U188=regle!$F$11,regle!$F$23,IF(U188=regle!$G$11,regle!$G$23,IF(U188=regle!$H$11,regle!$H$23,IF(U188=regle!$I$11,regle!$I$23,IF(U188=regle!$J$11,regle!$J$23,0)))))))))))</f>
        <v>-1342.1499999999999</v>
      </c>
      <c r="AF188" s="14">
        <f>IF($A188,$M188*(IF(V188=regle!$B$11,regle!$B$23,IF(V188=regle!$C$11,regle!$C$23,IF(V188=regle!$D$11,regle!$D$23,IF(V188=regle!$E$11,regle!$E$23,IF(V188=regle!$F$11,regle!$F$23,IF(V188=regle!$G$11,regle!$G$23,IF(V188=regle!$H$11,regle!$H$23,IF(V188=regle!$I$11,regle!$I$23,IF(V188=regle!$J$11,regle!$J$23,0)))))))))))</f>
        <v>0</v>
      </c>
      <c r="AG188" s="14">
        <f>IF($A188,$M188*(IF(W188=regle!$B$11,regle!$B$23,IF(W188=regle!$C$11,regle!$C$23,IF(W188=regle!$D$11,regle!$D$23,IF(W188=regle!$E$11,regle!$E$23,IF(W188=regle!$F$11,regle!$F$23,IF(W188=regle!$G$11,regle!$G$23,IF(W188=regle!$H$11,regle!$H$23,IF(W188=regle!$I$11,regle!$I$23,IF(W188=regle!$J$11,regle!$J$23,0)))))))))))</f>
        <v>-59.212499999999999</v>
      </c>
      <c r="AH188" s="14">
        <f>IF($A188,$M188*(IF(X188=regle!$B$11,regle!$B$23,IF(X188=regle!$C$11,regle!$C$23,IF(X188=regle!$D$11,regle!$D$23,IF(X188=regle!$E$11,regle!$E$23,IF(X188=regle!$F$11,regle!$F$23,IF(X188=regle!$G$11,regle!$G$23,IF(X188=regle!$H$11,regle!$H$23,IF(X188=regle!$I$11,regle!$I$23,IF(X188=regle!$J$11,regle!$J$23,0)))))))))))</f>
        <v>0</v>
      </c>
      <c r="AI188" s="14">
        <f>IF($A188,$M188*(IF(Y188=regle!$B$11,regle!$B$23,IF(Y188=regle!$C$11,regle!$C$23,IF(Y188=regle!$D$11,regle!$D$23,IF(Y188=regle!$E$11,regle!$E$23,IF(Y188=regle!$F$11,regle!$F$23,IF(Y188=regle!$G$11,regle!$G$23,IF(Y188=regle!$H$11,regle!$H$23,IF(Y188=regle!$I$11,regle!$I$23,IF(Y188=regle!$J$11,regle!$J$23,0)))))))))))</f>
        <v>0</v>
      </c>
      <c r="AJ188" s="14">
        <f>IF($A188,$M188*(IF(Z188=regle!$B$11,regle!$B$23,IF(Z188=regle!$C$11,regle!$C$23,IF(Z188=regle!$D$11,regle!$D$23,IF(Z188=regle!$E$11,regle!$E$23,IF(Z188=regle!$F$11,regle!$F$23,IF(Z188=regle!$G$11,regle!$G$23,IF(Z188=regle!$H$11,regle!$H$23,IF(Z188=regle!$I$11,regle!$I$23,IF(Z188=regle!$J$11,regle!$J$23,0)))))))))))</f>
        <v>-71.054999999999993</v>
      </c>
      <c r="AK188" s="14">
        <f>IF($A188,$M188*(IF(AA188=regle!$B$11,regle!$B$23,IF(AA188=regle!$C$11,regle!$C$23,IF(AA188=regle!$D$11,regle!$D$23,IF(AA188=regle!$E$11,regle!$E$23,IF(AA188=regle!$F$11,regle!$F$23,IF(AA188=regle!$G$11,regle!$G$23,IF(AA188=regle!$H$11,regle!$H$23,IF(AA188=regle!$I$11,regle!$I$23,IF(AA188=regle!$J$11,regle!$J$23,0)))))))))))</f>
        <v>0</v>
      </c>
      <c r="AL188" s="14">
        <f>IF($A188,$M188*(IF(AB188=regle!$B$11,regle!$B$23,IF(AB188=regle!$C$11,regle!$C$23,IF(AB188=regle!$D$11,regle!$D$23,IF(AB188=regle!$E$11,regle!$E$23,IF(AB188=regle!$F$11,regle!$F$23,IF(AB188=regle!$G$11,regle!$G$23,IF(AB188=regle!$H$11,regle!$H$23,IF(AB188=regle!$I$11,regle!$I$23,IF(AB188=regle!$J$11,regle!$J$23,0)))))))))))</f>
        <v>0</v>
      </c>
      <c r="AM188" s="14">
        <f>IF($A188,$M188*(IF(AC188=regle!$B$11,regle!$B$23,IF(AC188=regle!$C$11,regle!$C$23,IF(AC188=regle!$D$11,regle!$D$23,IF(AC188=regle!$E$11,regle!$E$23,IF(AC188=regle!$F$11,regle!$F$23,IF(AC188=regle!$G$11,regle!$G$23,IF(AC188=regle!$H$11,regle!$H$23,IF(AC188=regle!$I$11,regle!$I$23,IF(AC188=regle!$J$11,regle!$J$23,0)))))))))))</f>
        <v>-71.054999999999993</v>
      </c>
      <c r="AN188" s="14">
        <f>IF($A188,$M188*(IF(AD188=regle!$B$11,regle!$B$23,IF(AD188=regle!$C$11,regle!$C$23,IF(AD188=regle!$D$11,regle!$D$23,IF(AD188=regle!$E$11,regle!$E$23,IF(AD188=regle!$F$11,regle!$F$23,IF(AD188=regle!$G$11,regle!$G$23,IF(AD188=regle!$H$11,regle!$H$23,IF(AD188=regle!$I$11,regle!$I$23,IF(AD188=regle!$J$11,regle!$J$23,0)))))))))))</f>
        <v>0</v>
      </c>
      <c r="AO188">
        <f>IF(AO$1=$AO$1,IF(regle!B$2-$Q188&gt;=regle!$J$12,-2,IF($S188,IF(regle!$B$2-$Q188&gt;=2,0,-1),regle!B$2-$Q188)),IF(AN188+1&gt;=regle!$J$12,-2,AN188+1))</f>
        <v>0</v>
      </c>
      <c r="AP188">
        <f>IF(AP$1=$AO$1,IF(regle!C$2-$Q188&gt;=regle!$J$12,-2,IF($S188,IF(regle!$B$2-$Q188&gt;=2,0,-1),regle!C$2-$Q188)),IF(AO188+1&gt;=regle!$J$12,-2,AO188+1))</f>
        <v>1</v>
      </c>
      <c r="AQ188">
        <f>IF(AQ$1=$AO$1,IF(regle!D$2-$Q188&gt;=regle!$J$12,-2,IF($S188,IF(regle!$B$2-$Q188&gt;=2,0,-1),regle!D$2-$Q188)),IF(AP188+1&gt;=regle!$J$12,-2,AP188+1))</f>
        <v>2</v>
      </c>
      <c r="AR188">
        <f>IF(AR$1=$AO$1,IF(regle!E$2-$Q188&gt;=regle!$J$12,-2,IF($S188,IF(regle!$B$2-$Q188&gt;=2,0,-1),regle!E$2-$Q188)),IF(AQ188+1&gt;=regle!$J$12,-2,AQ188+1))</f>
        <v>3</v>
      </c>
      <c r="AS188">
        <f>IF(AS$1=$AO$1,IF(regle!F$2-$Q188&gt;=regle!$J$12,-2,IF($S188,IF(regle!$B$2-$Q188&gt;=2,0,-1),regle!F$2-$Q188)),IF(AR188+1&gt;=regle!$J$12,-2,AR188+1))</f>
        <v>4</v>
      </c>
      <c r="AT188">
        <f>IF(AT$1=$AO$1,IF(regle!G$2-$Q188&gt;=regle!$J$12,-2,IF($S188,IF(regle!$B$2-$Q188&gt;=2,0,-1),regle!G$2-$Q188)),IF(AS188+1&gt;=regle!$J$12,-2,AS188+1))</f>
        <v>5</v>
      </c>
      <c r="AU188">
        <f>IF(AU$1=$AO$1,IF(regle!H$2-$Q188&gt;=regle!$J$12,-2,IF($S188,IF(regle!$B$2-$Q188&gt;=2,0,-1),regle!H$2-$Q188)),IF(AT188+1&gt;=regle!$J$12,-2,AT188+1))</f>
        <v>6</v>
      </c>
      <c r="AV188">
        <f>IF(AV$1=$AO$1,IF(regle!I$2-$Q188&gt;=regle!$J$12,-2,IF($S188,IF(regle!$B$2-$Q188&gt;=2,0,-1),regle!I$2-$Q188)),IF(AU188+1&gt;=regle!$J$12,-2,AU188+1))</f>
        <v>7</v>
      </c>
      <c r="AW188">
        <f>IF(AW$1=$AO$1,IF(regle!J$2-$Q188&gt;=regle!$J$12,-2,IF($S188,IF(regle!$B$2-$Q188&gt;=2,0,-1),regle!J$2-$Q188)),IF(AV188+1&gt;=regle!$J$12,-2,AV188+1))</f>
        <v>8</v>
      </c>
      <c r="AX188">
        <f>IF(AX$1=$AO$1,IF(regle!K$2-$Q188&gt;=regle!$J$12,-2,IF($S188,IF(regle!$B$2-$Q188&gt;=2,0,-1),regle!K$2-$Q188)),IF(AW188+1&gt;=regle!$J$12,-2,AW188+1))</f>
        <v>9</v>
      </c>
    </row>
    <row r="189" spans="1:50" x14ac:dyDescent="0.25">
      <c r="A189" t="b">
        <f>AND(modif0[[#This Row],[cdstr]]&lt;&gt;0,OR(regle!$H$27=FALSE,modif0[[#This Row],[essnc]]="PM"))</f>
        <v>1</v>
      </c>
      <c r="B189">
        <f>ROW(objet!A223)</f>
        <v>223</v>
      </c>
      <c r="C189" s="10" t="str">
        <f>objet!D223</f>
        <v>2020000B1218</v>
      </c>
      <c r="D189" t="str">
        <f>LEFT(modif0[[#This Row],[cdstr]],3)</f>
        <v>202</v>
      </c>
      <c r="E189" s="10" t="str">
        <f>objet!G223</f>
        <v>HOSTENS</v>
      </c>
      <c r="F189">
        <f>LEN(modif0[[#This Row],[l_dt]])</f>
        <v>8</v>
      </c>
      <c r="G189" s="10" t="str">
        <f>objet!H223</f>
        <v>LES BECS</v>
      </c>
      <c r="H189" s="10" t="str">
        <f>objet!C223</f>
        <v>B1218</v>
      </c>
      <c r="I189" t="str">
        <f>IF(ISNUMBER(VALUE(RIGHT(LEFT(modif0[[#This Row],[idntfn]],2),1))),_xlfn.CONCAT(0,LEFT(modif0[[#This Row],[idntfn]],1)),LEFT(modif0[[#This Row],[idntfn]],2))</f>
        <v>0B</v>
      </c>
      <c r="J189">
        <f>VALUE(LEFT(RIGHT(modif0[[#This Row],[idntfn]],LEN(modif0[[#This Row],[idntfn]])-IF(LEFT(modif0[[#This Row],[sctn]],1)="0",1,2)),LEN(modif0[[#This Row],[idntfn]])-IF(LEFT(modif0[[#This Row],[sctn]],1)="0",1,2)-LEN(modif0[[#This Row],[lttr]])))</f>
        <v>1218</v>
      </c>
      <c r="K189" t="str">
        <f>IF(ISNUMBER(VALUE(RIGHT(modif0[[#This Row],[idntfn]],1))),"",IF(ISNUMBER(VALUE(LEFT(RIGHT(modif0[[#This Row],[idntfn]],2),1))),RIGHT(modif0[[#This Row],[idntfn]],1),RIGHT(modif0[[#This Row],[idntfn]],2)))</f>
        <v/>
      </c>
      <c r="L189" s="10">
        <f>objet!I223</f>
        <v>5345</v>
      </c>
      <c r="M189" s="11">
        <f>modif0[[#This Row],[srfc]]/10000</f>
        <v>0.53449999999999998</v>
      </c>
      <c r="N189" s="10" t="str">
        <f>objet!Z223</f>
        <v>PM</v>
      </c>
      <c r="O189" s="10" t="str">
        <f>objet!AA223</f>
        <v>PLA2020</v>
      </c>
      <c r="P189" t="str">
        <f>IF(ISNUMBER(modif0[[#This Row],[trvx]]),"",LEFT(modif0[[#This Row],[trvx]],LEN(modif0[[#This Row],[trvx]])-4))</f>
        <v>PLA</v>
      </c>
      <c r="Q189">
        <f>VALUE(RIGHT(modif0[[#This Row],[trvx]],4))</f>
        <v>2020</v>
      </c>
      <c r="R189" t="str">
        <f>_xlfn.CONCAT(modif0[[#This Row],[tp]],"-",modif0[[#This Row],[essnc]],"_",modif0[[#This Row],[anns]])</f>
        <v>PLA-PM_2020</v>
      </c>
      <c r="S189" t="b">
        <f>modif0[[#This Row],[tp]]="CR"</f>
        <v>0</v>
      </c>
      <c r="T189">
        <v>40</v>
      </c>
      <c r="U189" t="str">
        <f>IF(NOT($A189),"",
IF(AO189=-2,regle!$J$11,
IF(AO189=regle!$B$12,regle!$B$11,
IF(AO189=regle!$C$12,regle!$C$11,
IF(AO189=regle!$D$12,regle!$D$11,
IF(AO189=regle!$E$12,regle!$E$11,
IF(AO189=regle!$F$12,regle!$F$11,
IF(AO189=regle!$G$12,regle!$G$11,
IF(AO189=regle!$H$12,regle!$H$11,
IF(AO189=regle!$I$12,regle!$I$11,""))))))))))</f>
        <v/>
      </c>
      <c r="V189" t="str">
        <f>IF(NOT($A189),"",
IF(AP189=-2,regle!$J$11,
IF(AP189=regle!$B$12,regle!$B$11,
IF(AP189=regle!$C$12,regle!$C$11,
IF(AP189=regle!$D$12,regle!$D$11,
IF(AP189=regle!$E$12,regle!$E$11,
IF(AP189=regle!$F$12,regle!$F$11,
IF(AP189=regle!$G$12,regle!$G$11,
IF(AP189=regle!$H$12,regle!$H$11,
IF(AP189=regle!$I$12,regle!$I$11,""))))))))))</f>
        <v>ENT1</v>
      </c>
      <c r="W189" t="str">
        <f>IF(NOT($A189),"",
IF(AQ189=-2,regle!$J$11,
IF(AQ189=regle!$B$12,regle!$B$11,
IF(AQ189=regle!$C$12,regle!$C$11,
IF(AQ189=regle!$D$12,regle!$D$11,
IF(AQ189=regle!$E$12,regle!$E$11,
IF(AQ189=regle!$F$12,regle!$F$11,
IF(AQ189=regle!$G$12,regle!$G$11,
IF(AQ189=regle!$H$12,regle!$H$11,
IF(AQ189=regle!$I$12,regle!$I$11,""))))))))))</f>
        <v/>
      </c>
      <c r="X189" t="str">
        <f>IF(NOT($A189),"",
IF(AR189=-2,regle!$J$11,
IF(AR189=regle!$B$12,regle!$B$11,
IF(AR189=regle!$C$12,regle!$C$11,
IF(AR189=regle!$D$12,regle!$D$11,
IF(AR189=regle!$E$12,regle!$E$11,
IF(AR189=regle!$F$12,regle!$F$11,
IF(AR189=regle!$G$12,regle!$G$11,
IF(AR189=regle!$H$12,regle!$H$11,
IF(AR189=regle!$I$12,regle!$I$11,""))))))))))</f>
        <v/>
      </c>
      <c r="Y189" t="str">
        <f>IF(NOT($A189),"",
IF(AS189=-2,regle!$J$11,
IF(AS189=regle!$B$12,regle!$B$11,
IF(AS189=regle!$C$12,regle!$C$11,
IF(AS189=regle!$D$12,regle!$D$11,
IF(AS189=regle!$E$12,regle!$E$11,
IF(AS189=regle!$F$12,regle!$F$11,
IF(AS189=regle!$G$12,regle!$G$11,
IF(AS189=regle!$H$12,regle!$H$11,
IF(AS189=regle!$I$12,regle!$I$11,""))))))))))</f>
        <v>ENT2</v>
      </c>
      <c r="Z189" t="str">
        <f>IF(NOT($A189),"",
IF(AT189=-2,regle!$J$11,
IF(AT189=regle!$B$12,regle!$B$11,
IF(AT189=regle!$C$12,regle!$C$11,
IF(AT189=regle!$D$12,regle!$D$11,
IF(AT189=regle!$E$12,regle!$E$11,
IF(AT189=regle!$F$12,regle!$F$11,
IF(AT189=regle!$G$12,regle!$G$11,
IF(AT189=regle!$H$12,regle!$H$11,
IF(AT189=regle!$I$12,regle!$I$11,""))))))))))</f>
        <v/>
      </c>
      <c r="AA189" t="str">
        <f>IF(NOT($A189),"",
IF(AU189=-2,regle!$J$11,
IF(AU189=regle!$B$12,regle!$B$11,
IF(AU189=regle!$C$12,regle!$C$11,
IF(AU189=regle!$D$12,regle!$D$11,
IF(AU189=regle!$E$12,regle!$E$11,
IF(AU189=regle!$F$12,regle!$F$11,
IF(AU189=regle!$G$12,regle!$G$11,
IF(AU189=regle!$H$12,regle!$H$11,
IF(AU189=regle!$I$12,regle!$I$11,""))))))))))</f>
        <v/>
      </c>
      <c r="AB189" t="str">
        <f>IF(NOT($A189),"",
IF(AV189=-2,regle!$J$11,
IF(AV189=regle!$B$12,regle!$B$11,
IF(AV189=regle!$C$12,regle!$C$11,
IF(AV189=regle!$D$12,regle!$D$11,
IF(AV189=regle!$E$12,regle!$E$11,
IF(AV189=regle!$F$12,regle!$F$11,
IF(AV189=regle!$G$12,regle!$G$11,
IF(AV189=regle!$H$12,regle!$H$11,
IF(AV189=regle!$I$12,regle!$I$11,""))))))))))</f>
        <v/>
      </c>
      <c r="AC189" t="str">
        <f>IF(NOT($A189),"",
IF(AW189=-2,regle!$J$11,
IF(AW189=regle!$B$12,regle!$B$11,
IF(AW189=regle!$C$12,regle!$C$11,
IF(AW189=regle!$D$12,regle!$D$11,
IF(AW189=regle!$E$12,regle!$E$11,
IF(AW189=regle!$F$12,regle!$F$11,
IF(AW189=regle!$G$12,regle!$G$11,
IF(AW189=regle!$H$12,regle!$H$11,
IF(AW189=regle!$I$12,regle!$I$11,""))))))))))</f>
        <v/>
      </c>
      <c r="AD189" t="str">
        <f>IF(NOT($A189),"",
IF(AX189=-2,regle!$J$11,
IF(AX189=regle!$B$12,regle!$B$11,
IF(AX189=regle!$C$12,regle!$C$11,
IF(AX189=regle!$D$12,regle!$D$11,
IF(AX189=regle!$E$12,regle!$E$11,
IF(AX189=regle!$F$12,regle!$F$11,
IF(AX189=regle!$G$12,regle!$G$11,
IF(AX189=regle!$H$12,regle!$H$11,
IF(AX189=regle!$I$12,regle!$I$11,""))))))))))</f>
        <v>EC1</v>
      </c>
      <c r="AE189" s="14">
        <f>IF($A189,$M189*(IF(U189=regle!$B$11,regle!$B$23,IF(U189=regle!$C$11,regle!$C$23,IF(U189=regle!$D$11,regle!$D$23,IF(U189=regle!$E$11,regle!$E$23,IF(U189=regle!$F$11,regle!$F$23,IF(U189=regle!$G$11,regle!$G$23,IF(U189=regle!$H$11,regle!$H$23,IF(U189=regle!$I$11,regle!$I$23,IF(U189=regle!$J$11,regle!$J$23,0)))))))))))</f>
        <v>0</v>
      </c>
      <c r="AF189" s="14">
        <f>IF($A189,$M189*(IF(V189=regle!$B$11,regle!$B$23,IF(V189=regle!$C$11,regle!$C$23,IF(V189=regle!$D$11,regle!$D$23,IF(V189=regle!$E$11,regle!$E$23,IF(V189=regle!$F$11,regle!$F$23,IF(V189=regle!$G$11,regle!$G$23,IF(V189=regle!$H$11,regle!$H$23,IF(V189=regle!$I$11,regle!$I$23,IF(V189=regle!$J$11,regle!$J$23,0)))))))))))</f>
        <v>-48.104999999999997</v>
      </c>
      <c r="AG189" s="14">
        <f>IF($A189,$M189*(IF(W189=regle!$B$11,regle!$B$23,IF(W189=regle!$C$11,regle!$C$23,IF(W189=regle!$D$11,regle!$D$23,IF(W189=regle!$E$11,regle!$E$23,IF(W189=regle!$F$11,regle!$F$23,IF(W189=regle!$G$11,regle!$G$23,IF(W189=regle!$H$11,regle!$H$23,IF(W189=regle!$I$11,regle!$I$23,IF(W189=regle!$J$11,regle!$J$23,0)))))))))))</f>
        <v>0</v>
      </c>
      <c r="AH189" s="14">
        <f>IF($A189,$M189*(IF(X189=regle!$B$11,regle!$B$23,IF(X189=regle!$C$11,regle!$C$23,IF(X189=regle!$D$11,regle!$D$23,IF(X189=regle!$E$11,regle!$E$23,IF(X189=regle!$F$11,regle!$F$23,IF(X189=regle!$G$11,regle!$G$23,IF(X189=regle!$H$11,regle!$H$23,IF(X189=regle!$I$11,regle!$I$23,IF(X189=regle!$J$11,regle!$J$23,0)))))))))))</f>
        <v>0</v>
      </c>
      <c r="AI189" s="14">
        <f>IF($A189,$M189*(IF(Y189=regle!$B$11,regle!$B$23,IF(Y189=regle!$C$11,regle!$C$23,IF(Y189=regle!$D$11,regle!$D$23,IF(Y189=regle!$E$11,regle!$E$23,IF(Y189=regle!$F$11,regle!$F$23,IF(Y189=regle!$G$11,regle!$G$23,IF(Y189=regle!$H$11,regle!$H$23,IF(Y189=regle!$I$11,regle!$I$23,IF(Y189=regle!$J$11,regle!$J$23,0)))))))))))</f>
        <v>-48.104999999999997</v>
      </c>
      <c r="AJ189" s="14">
        <f>IF($A189,$M189*(IF(Z189=regle!$B$11,regle!$B$23,IF(Z189=regle!$C$11,regle!$C$23,IF(Z189=regle!$D$11,regle!$D$23,IF(Z189=regle!$E$11,regle!$E$23,IF(Z189=regle!$F$11,regle!$F$23,IF(Z189=regle!$G$11,regle!$G$23,IF(Z189=regle!$H$11,regle!$H$23,IF(Z189=regle!$I$11,regle!$I$23,IF(Z189=regle!$J$11,regle!$J$23,0)))))))))))</f>
        <v>0</v>
      </c>
      <c r="AK189" s="14">
        <f>IF($A189,$M189*(IF(AA189=regle!$B$11,regle!$B$23,IF(AA189=regle!$C$11,regle!$C$23,IF(AA189=regle!$D$11,regle!$D$23,IF(AA189=regle!$E$11,regle!$E$23,IF(AA189=regle!$F$11,regle!$F$23,IF(AA189=regle!$G$11,regle!$G$23,IF(AA189=regle!$H$11,regle!$H$23,IF(AA189=regle!$I$11,regle!$I$23,IF(AA189=regle!$J$11,regle!$J$23,0)))))))))))</f>
        <v>0</v>
      </c>
      <c r="AL189" s="14">
        <f>IF($A189,$M189*(IF(AB189=regle!$B$11,regle!$B$23,IF(AB189=regle!$C$11,regle!$C$23,IF(AB189=regle!$D$11,regle!$D$23,IF(AB189=regle!$E$11,regle!$E$23,IF(AB189=regle!$F$11,regle!$F$23,IF(AB189=regle!$G$11,regle!$G$23,IF(AB189=regle!$H$11,regle!$H$23,IF(AB189=regle!$I$11,regle!$I$23,IF(AB189=regle!$J$11,regle!$J$23,0)))))))))))</f>
        <v>0</v>
      </c>
      <c r="AM189" s="14">
        <f>IF($A189,$M189*(IF(AC189=regle!$B$11,regle!$B$23,IF(AC189=regle!$C$11,regle!$C$23,IF(AC189=regle!$D$11,regle!$D$23,IF(AC189=regle!$E$11,regle!$E$23,IF(AC189=regle!$F$11,regle!$F$23,IF(AC189=regle!$G$11,regle!$G$23,IF(AC189=regle!$H$11,regle!$H$23,IF(AC189=regle!$I$11,regle!$I$23,IF(AC189=regle!$J$11,regle!$J$23,0)))))))))))</f>
        <v>0</v>
      </c>
      <c r="AN189" s="14">
        <f>IF($A189,$M189*(IF(AD189=regle!$B$11,regle!$B$23,IF(AD189=regle!$C$11,regle!$C$23,IF(AD189=regle!$D$11,regle!$D$23,IF(AD189=regle!$E$11,regle!$E$23,IF(AD189=regle!$F$11,regle!$F$23,IF(AD189=regle!$G$11,regle!$G$23,IF(AD189=regle!$H$11,regle!$H$23,IF(AD189=regle!$I$11,regle!$I$23,IF(AD189=regle!$J$11,regle!$J$23,0)))))))))))</f>
        <v>307.87199999999996</v>
      </c>
      <c r="AO189">
        <f>IF(AO$1=$AO$1,IF(regle!B$2-$Q189&gt;=regle!$J$12,-2,IF($S189,IF(regle!$B$2-$Q189&gt;=2,0,-1),regle!B$2-$Q189)),IF(AN189+1&gt;=regle!$J$12,-2,AN189+1))</f>
        <v>4</v>
      </c>
      <c r="AP189">
        <f>IF(AP$1=$AO$1,IF(regle!C$2-$Q189&gt;=regle!$J$12,-2,IF($S189,IF(regle!$B$2-$Q189&gt;=2,0,-1),regle!C$2-$Q189)),IF(AO189+1&gt;=regle!$J$12,-2,AO189+1))</f>
        <v>5</v>
      </c>
      <c r="AQ189">
        <f>IF(AQ$1=$AO$1,IF(regle!D$2-$Q189&gt;=regle!$J$12,-2,IF($S189,IF(regle!$B$2-$Q189&gt;=2,0,-1),regle!D$2-$Q189)),IF(AP189+1&gt;=regle!$J$12,-2,AP189+1))</f>
        <v>6</v>
      </c>
      <c r="AR189">
        <f>IF(AR$1=$AO$1,IF(regle!E$2-$Q189&gt;=regle!$J$12,-2,IF($S189,IF(regle!$B$2-$Q189&gt;=2,0,-1),regle!E$2-$Q189)),IF(AQ189+1&gt;=regle!$J$12,-2,AQ189+1))</f>
        <v>7</v>
      </c>
      <c r="AS189">
        <f>IF(AS$1=$AO$1,IF(regle!F$2-$Q189&gt;=regle!$J$12,-2,IF($S189,IF(regle!$B$2-$Q189&gt;=2,0,-1),regle!F$2-$Q189)),IF(AR189+1&gt;=regle!$J$12,-2,AR189+1))</f>
        <v>8</v>
      </c>
      <c r="AT189">
        <f>IF(AT$1=$AO$1,IF(regle!G$2-$Q189&gt;=regle!$J$12,-2,IF($S189,IF(regle!$B$2-$Q189&gt;=2,0,-1),regle!G$2-$Q189)),IF(AS189+1&gt;=regle!$J$12,-2,AS189+1))</f>
        <v>9</v>
      </c>
      <c r="AU189">
        <f>IF(AU$1=$AO$1,IF(regle!H$2-$Q189&gt;=regle!$J$12,-2,IF($S189,IF(regle!$B$2-$Q189&gt;=2,0,-1),regle!H$2-$Q189)),IF(AT189+1&gt;=regle!$J$12,-2,AT189+1))</f>
        <v>10</v>
      </c>
      <c r="AV189">
        <f>IF(AV$1=$AO$1,IF(regle!I$2-$Q189&gt;=regle!$J$12,-2,IF($S189,IF(regle!$B$2-$Q189&gt;=2,0,-1),regle!I$2-$Q189)),IF(AU189+1&gt;=regle!$J$12,-2,AU189+1))</f>
        <v>11</v>
      </c>
      <c r="AW189">
        <f>IF(AW$1=$AO$1,IF(regle!J$2-$Q189&gt;=regle!$J$12,-2,IF($S189,IF(regle!$B$2-$Q189&gt;=2,0,-1),regle!J$2-$Q189)),IF(AV189+1&gt;=regle!$J$12,-2,AV189+1))</f>
        <v>12</v>
      </c>
      <c r="AX189">
        <f>IF(AX$1=$AO$1,IF(regle!K$2-$Q189&gt;=regle!$J$12,-2,IF($S189,IF(regle!$B$2-$Q189&gt;=2,0,-1),regle!K$2-$Q189)),IF(AW189+1&gt;=regle!$J$12,-2,AW189+1))</f>
        <v>13</v>
      </c>
    </row>
    <row r="190" spans="1:50" x14ac:dyDescent="0.25">
      <c r="A190" t="b">
        <f>AND(modif0[[#This Row],[cdstr]]&lt;&gt;0,OR(regle!$H$27=FALSE,modif0[[#This Row],[essnc]]="PM"))</f>
        <v>1</v>
      </c>
      <c r="B190">
        <f>ROW(objet!A224)</f>
        <v>224</v>
      </c>
      <c r="C190" s="10" t="str">
        <f>objet!D224</f>
        <v>2020000B1219</v>
      </c>
      <c r="D190" t="str">
        <f>LEFT(modif0[[#This Row],[cdstr]],3)</f>
        <v>202</v>
      </c>
      <c r="E190" s="10" t="str">
        <f>objet!G224</f>
        <v>HOSTENS</v>
      </c>
      <c r="F190">
        <f>LEN(modif0[[#This Row],[l_dt]])</f>
        <v>8</v>
      </c>
      <c r="G190" s="10" t="str">
        <f>objet!H224</f>
        <v>LES BECS</v>
      </c>
      <c r="H190" s="10" t="str">
        <f>objet!C224</f>
        <v>B1219</v>
      </c>
      <c r="I190" t="str">
        <f>IF(ISNUMBER(VALUE(RIGHT(LEFT(modif0[[#This Row],[idntfn]],2),1))),_xlfn.CONCAT(0,LEFT(modif0[[#This Row],[idntfn]],1)),LEFT(modif0[[#This Row],[idntfn]],2))</f>
        <v>0B</v>
      </c>
      <c r="J190">
        <f>VALUE(LEFT(RIGHT(modif0[[#This Row],[idntfn]],LEN(modif0[[#This Row],[idntfn]])-IF(LEFT(modif0[[#This Row],[sctn]],1)="0",1,2)),LEN(modif0[[#This Row],[idntfn]])-IF(LEFT(modif0[[#This Row],[sctn]],1)="0",1,2)-LEN(modif0[[#This Row],[lttr]])))</f>
        <v>1219</v>
      </c>
      <c r="K190" t="str">
        <f>IF(ISNUMBER(VALUE(RIGHT(modif0[[#This Row],[idntfn]],1))),"",IF(ISNUMBER(VALUE(LEFT(RIGHT(modif0[[#This Row],[idntfn]],2),1))),RIGHT(modif0[[#This Row],[idntfn]],1),RIGHT(modif0[[#This Row],[idntfn]],2)))</f>
        <v/>
      </c>
      <c r="L190" s="10">
        <f>objet!I224</f>
        <v>7000</v>
      </c>
      <c r="M190" s="11">
        <f>modif0[[#This Row],[srfc]]/10000</f>
        <v>0.7</v>
      </c>
      <c r="N190" s="10" t="str">
        <f>objet!Z224</f>
        <v>PM</v>
      </c>
      <c r="O190" s="10" t="str">
        <f>objet!AA224</f>
        <v>PLA2020</v>
      </c>
      <c r="P190" t="str">
        <f>IF(ISNUMBER(modif0[[#This Row],[trvx]]),"",LEFT(modif0[[#This Row],[trvx]],LEN(modif0[[#This Row],[trvx]])-4))</f>
        <v>PLA</v>
      </c>
      <c r="Q190">
        <f>VALUE(RIGHT(modif0[[#This Row],[trvx]],4))</f>
        <v>2020</v>
      </c>
      <c r="R190" t="str">
        <f>_xlfn.CONCAT(modif0[[#This Row],[tp]],"-",modif0[[#This Row],[essnc]],"_",modif0[[#This Row],[anns]])</f>
        <v>PLA-PM_2020</v>
      </c>
      <c r="S190" t="b">
        <f>modif0[[#This Row],[tp]]="CR"</f>
        <v>0</v>
      </c>
      <c r="T190">
        <v>40</v>
      </c>
      <c r="U190" t="str">
        <f>IF(NOT($A190),"",
IF(AO190=-2,regle!$J$11,
IF(AO190=regle!$B$12,regle!$B$11,
IF(AO190=regle!$C$12,regle!$C$11,
IF(AO190=regle!$D$12,regle!$D$11,
IF(AO190=regle!$E$12,regle!$E$11,
IF(AO190=regle!$F$12,regle!$F$11,
IF(AO190=regle!$G$12,regle!$G$11,
IF(AO190=regle!$H$12,regle!$H$11,
IF(AO190=regle!$I$12,regle!$I$11,""))))))))))</f>
        <v/>
      </c>
      <c r="V190" t="str">
        <f>IF(NOT($A190),"",
IF(AP190=-2,regle!$J$11,
IF(AP190=regle!$B$12,regle!$B$11,
IF(AP190=regle!$C$12,regle!$C$11,
IF(AP190=regle!$D$12,regle!$D$11,
IF(AP190=regle!$E$12,regle!$E$11,
IF(AP190=regle!$F$12,regle!$F$11,
IF(AP190=regle!$G$12,regle!$G$11,
IF(AP190=regle!$H$12,regle!$H$11,
IF(AP190=regle!$I$12,regle!$I$11,""))))))))))</f>
        <v>ENT1</v>
      </c>
      <c r="W190" t="str">
        <f>IF(NOT($A190),"",
IF(AQ190=-2,regle!$J$11,
IF(AQ190=regle!$B$12,regle!$B$11,
IF(AQ190=regle!$C$12,regle!$C$11,
IF(AQ190=regle!$D$12,regle!$D$11,
IF(AQ190=regle!$E$12,regle!$E$11,
IF(AQ190=regle!$F$12,regle!$F$11,
IF(AQ190=regle!$G$12,regle!$G$11,
IF(AQ190=regle!$H$12,regle!$H$11,
IF(AQ190=regle!$I$12,regle!$I$11,""))))))))))</f>
        <v/>
      </c>
      <c r="X190" t="str">
        <f>IF(NOT($A190),"",
IF(AR190=-2,regle!$J$11,
IF(AR190=regle!$B$12,regle!$B$11,
IF(AR190=regle!$C$12,regle!$C$11,
IF(AR190=regle!$D$12,regle!$D$11,
IF(AR190=regle!$E$12,regle!$E$11,
IF(AR190=regle!$F$12,regle!$F$11,
IF(AR190=regle!$G$12,regle!$G$11,
IF(AR190=regle!$H$12,regle!$H$11,
IF(AR190=regle!$I$12,regle!$I$11,""))))))))))</f>
        <v/>
      </c>
      <c r="Y190" t="str">
        <f>IF(NOT($A190),"",
IF(AS190=-2,regle!$J$11,
IF(AS190=regle!$B$12,regle!$B$11,
IF(AS190=regle!$C$12,regle!$C$11,
IF(AS190=regle!$D$12,regle!$D$11,
IF(AS190=regle!$E$12,regle!$E$11,
IF(AS190=regle!$F$12,regle!$F$11,
IF(AS190=regle!$G$12,regle!$G$11,
IF(AS190=regle!$H$12,regle!$H$11,
IF(AS190=regle!$I$12,regle!$I$11,""))))))))))</f>
        <v>ENT2</v>
      </c>
      <c r="Z190" t="str">
        <f>IF(NOT($A190),"",
IF(AT190=-2,regle!$J$11,
IF(AT190=regle!$B$12,regle!$B$11,
IF(AT190=regle!$C$12,regle!$C$11,
IF(AT190=regle!$D$12,regle!$D$11,
IF(AT190=regle!$E$12,regle!$E$11,
IF(AT190=regle!$F$12,regle!$F$11,
IF(AT190=regle!$G$12,regle!$G$11,
IF(AT190=regle!$H$12,regle!$H$11,
IF(AT190=regle!$I$12,regle!$I$11,""))))))))))</f>
        <v/>
      </c>
      <c r="AA190" t="str">
        <f>IF(NOT($A190),"",
IF(AU190=-2,regle!$J$11,
IF(AU190=regle!$B$12,regle!$B$11,
IF(AU190=regle!$C$12,regle!$C$11,
IF(AU190=regle!$D$12,regle!$D$11,
IF(AU190=regle!$E$12,regle!$E$11,
IF(AU190=regle!$F$12,regle!$F$11,
IF(AU190=regle!$G$12,regle!$G$11,
IF(AU190=regle!$H$12,regle!$H$11,
IF(AU190=regle!$I$12,regle!$I$11,""))))))))))</f>
        <v/>
      </c>
      <c r="AB190" t="str">
        <f>IF(NOT($A190),"",
IF(AV190=-2,regle!$J$11,
IF(AV190=regle!$B$12,regle!$B$11,
IF(AV190=regle!$C$12,regle!$C$11,
IF(AV190=regle!$D$12,regle!$D$11,
IF(AV190=regle!$E$12,regle!$E$11,
IF(AV190=regle!$F$12,regle!$F$11,
IF(AV190=regle!$G$12,regle!$G$11,
IF(AV190=regle!$H$12,regle!$H$11,
IF(AV190=regle!$I$12,regle!$I$11,""))))))))))</f>
        <v/>
      </c>
      <c r="AC190" t="str">
        <f>IF(NOT($A190),"",
IF(AW190=-2,regle!$J$11,
IF(AW190=regle!$B$12,regle!$B$11,
IF(AW190=regle!$C$12,regle!$C$11,
IF(AW190=regle!$D$12,regle!$D$11,
IF(AW190=regle!$E$12,regle!$E$11,
IF(AW190=regle!$F$12,regle!$F$11,
IF(AW190=regle!$G$12,regle!$G$11,
IF(AW190=regle!$H$12,regle!$H$11,
IF(AW190=regle!$I$12,regle!$I$11,""))))))))))</f>
        <v/>
      </c>
      <c r="AD190" t="str">
        <f>IF(NOT($A190),"",
IF(AX190=-2,regle!$J$11,
IF(AX190=regle!$B$12,regle!$B$11,
IF(AX190=regle!$C$12,regle!$C$11,
IF(AX190=regle!$D$12,regle!$D$11,
IF(AX190=regle!$E$12,regle!$E$11,
IF(AX190=regle!$F$12,regle!$F$11,
IF(AX190=regle!$G$12,regle!$G$11,
IF(AX190=regle!$H$12,regle!$H$11,
IF(AX190=regle!$I$12,regle!$I$11,""))))))))))</f>
        <v>EC1</v>
      </c>
      <c r="AE190" s="14">
        <f>IF($A190,$M190*(IF(U190=regle!$B$11,regle!$B$23,IF(U190=regle!$C$11,regle!$C$23,IF(U190=regle!$D$11,regle!$D$23,IF(U190=regle!$E$11,regle!$E$23,IF(U190=regle!$F$11,regle!$F$23,IF(U190=regle!$G$11,regle!$G$23,IF(U190=regle!$H$11,regle!$H$23,IF(U190=regle!$I$11,regle!$I$23,IF(U190=regle!$J$11,regle!$J$23,0)))))))))))</f>
        <v>0</v>
      </c>
      <c r="AF190" s="14">
        <f>IF($A190,$M190*(IF(V190=regle!$B$11,regle!$B$23,IF(V190=regle!$C$11,regle!$C$23,IF(V190=regle!$D$11,regle!$D$23,IF(V190=regle!$E$11,regle!$E$23,IF(V190=regle!$F$11,regle!$F$23,IF(V190=regle!$G$11,regle!$G$23,IF(V190=regle!$H$11,regle!$H$23,IF(V190=regle!$I$11,regle!$I$23,IF(V190=regle!$J$11,regle!$J$23,0)))))))))))</f>
        <v>-62.999999999999993</v>
      </c>
      <c r="AG190" s="14">
        <f>IF($A190,$M190*(IF(W190=regle!$B$11,regle!$B$23,IF(W190=regle!$C$11,regle!$C$23,IF(W190=regle!$D$11,regle!$D$23,IF(W190=regle!$E$11,regle!$E$23,IF(W190=regle!$F$11,regle!$F$23,IF(W190=regle!$G$11,regle!$G$23,IF(W190=regle!$H$11,regle!$H$23,IF(W190=regle!$I$11,regle!$I$23,IF(W190=regle!$J$11,regle!$J$23,0)))))))))))</f>
        <v>0</v>
      </c>
      <c r="AH190" s="14">
        <f>IF($A190,$M190*(IF(X190=regle!$B$11,regle!$B$23,IF(X190=regle!$C$11,regle!$C$23,IF(X190=regle!$D$11,regle!$D$23,IF(X190=regle!$E$11,regle!$E$23,IF(X190=regle!$F$11,regle!$F$23,IF(X190=regle!$G$11,regle!$G$23,IF(X190=regle!$H$11,regle!$H$23,IF(X190=regle!$I$11,regle!$I$23,IF(X190=regle!$J$11,regle!$J$23,0)))))))))))</f>
        <v>0</v>
      </c>
      <c r="AI190" s="14">
        <f>IF($A190,$M190*(IF(Y190=regle!$B$11,regle!$B$23,IF(Y190=regle!$C$11,regle!$C$23,IF(Y190=regle!$D$11,regle!$D$23,IF(Y190=regle!$E$11,regle!$E$23,IF(Y190=regle!$F$11,regle!$F$23,IF(Y190=regle!$G$11,regle!$G$23,IF(Y190=regle!$H$11,regle!$H$23,IF(Y190=regle!$I$11,regle!$I$23,IF(Y190=regle!$J$11,regle!$J$23,0)))))))))))</f>
        <v>-62.999999999999993</v>
      </c>
      <c r="AJ190" s="14">
        <f>IF($A190,$M190*(IF(Z190=regle!$B$11,regle!$B$23,IF(Z190=regle!$C$11,regle!$C$23,IF(Z190=regle!$D$11,regle!$D$23,IF(Z190=regle!$E$11,regle!$E$23,IF(Z190=regle!$F$11,regle!$F$23,IF(Z190=regle!$G$11,regle!$G$23,IF(Z190=regle!$H$11,regle!$H$23,IF(Z190=regle!$I$11,regle!$I$23,IF(Z190=regle!$J$11,regle!$J$23,0)))))))))))</f>
        <v>0</v>
      </c>
      <c r="AK190" s="14">
        <f>IF($A190,$M190*(IF(AA190=regle!$B$11,regle!$B$23,IF(AA190=regle!$C$11,regle!$C$23,IF(AA190=regle!$D$11,regle!$D$23,IF(AA190=regle!$E$11,regle!$E$23,IF(AA190=regle!$F$11,regle!$F$23,IF(AA190=regle!$G$11,regle!$G$23,IF(AA190=regle!$H$11,regle!$H$23,IF(AA190=regle!$I$11,regle!$I$23,IF(AA190=regle!$J$11,regle!$J$23,0)))))))))))</f>
        <v>0</v>
      </c>
      <c r="AL190" s="14">
        <f>IF($A190,$M190*(IF(AB190=regle!$B$11,regle!$B$23,IF(AB190=regle!$C$11,regle!$C$23,IF(AB190=regle!$D$11,regle!$D$23,IF(AB190=regle!$E$11,regle!$E$23,IF(AB190=regle!$F$11,regle!$F$23,IF(AB190=regle!$G$11,regle!$G$23,IF(AB190=regle!$H$11,regle!$H$23,IF(AB190=regle!$I$11,regle!$I$23,IF(AB190=regle!$J$11,regle!$J$23,0)))))))))))</f>
        <v>0</v>
      </c>
      <c r="AM190" s="14">
        <f>IF($A190,$M190*(IF(AC190=regle!$B$11,regle!$B$23,IF(AC190=regle!$C$11,regle!$C$23,IF(AC190=regle!$D$11,regle!$D$23,IF(AC190=regle!$E$11,regle!$E$23,IF(AC190=regle!$F$11,regle!$F$23,IF(AC190=regle!$G$11,regle!$G$23,IF(AC190=regle!$H$11,regle!$H$23,IF(AC190=regle!$I$11,regle!$I$23,IF(AC190=regle!$J$11,regle!$J$23,0)))))))))))</f>
        <v>0</v>
      </c>
      <c r="AN190" s="14">
        <f>IF($A190,$M190*(IF(AD190=regle!$B$11,regle!$B$23,IF(AD190=regle!$C$11,regle!$C$23,IF(AD190=regle!$D$11,regle!$D$23,IF(AD190=regle!$E$11,regle!$E$23,IF(AD190=regle!$F$11,regle!$F$23,IF(AD190=regle!$G$11,regle!$G$23,IF(AD190=regle!$H$11,regle!$H$23,IF(AD190=regle!$I$11,regle!$I$23,IF(AD190=regle!$J$11,regle!$J$23,0)))))))))))</f>
        <v>403.2</v>
      </c>
      <c r="AO190">
        <f>IF(AO$1=$AO$1,IF(regle!B$2-$Q190&gt;=regle!$J$12,-2,IF($S190,IF(regle!$B$2-$Q190&gt;=2,0,-1),regle!B$2-$Q190)),IF(AN190+1&gt;=regle!$J$12,-2,AN190+1))</f>
        <v>4</v>
      </c>
      <c r="AP190">
        <f>IF(AP$1=$AO$1,IF(regle!C$2-$Q190&gt;=regle!$J$12,-2,IF($S190,IF(regle!$B$2-$Q190&gt;=2,0,-1),regle!C$2-$Q190)),IF(AO190+1&gt;=regle!$J$12,-2,AO190+1))</f>
        <v>5</v>
      </c>
      <c r="AQ190">
        <f>IF(AQ$1=$AO$1,IF(regle!D$2-$Q190&gt;=regle!$J$12,-2,IF($S190,IF(regle!$B$2-$Q190&gt;=2,0,-1),regle!D$2-$Q190)),IF(AP190+1&gt;=regle!$J$12,-2,AP190+1))</f>
        <v>6</v>
      </c>
      <c r="AR190">
        <f>IF(AR$1=$AO$1,IF(regle!E$2-$Q190&gt;=regle!$J$12,-2,IF($S190,IF(regle!$B$2-$Q190&gt;=2,0,-1),regle!E$2-$Q190)),IF(AQ190+1&gt;=regle!$J$12,-2,AQ190+1))</f>
        <v>7</v>
      </c>
      <c r="AS190">
        <f>IF(AS$1=$AO$1,IF(regle!F$2-$Q190&gt;=regle!$J$12,-2,IF($S190,IF(regle!$B$2-$Q190&gt;=2,0,-1),regle!F$2-$Q190)),IF(AR190+1&gt;=regle!$J$12,-2,AR190+1))</f>
        <v>8</v>
      </c>
      <c r="AT190">
        <f>IF(AT$1=$AO$1,IF(regle!G$2-$Q190&gt;=regle!$J$12,-2,IF($S190,IF(regle!$B$2-$Q190&gt;=2,0,-1),regle!G$2-$Q190)),IF(AS190+1&gt;=regle!$J$12,-2,AS190+1))</f>
        <v>9</v>
      </c>
      <c r="AU190">
        <f>IF(AU$1=$AO$1,IF(regle!H$2-$Q190&gt;=regle!$J$12,-2,IF($S190,IF(regle!$B$2-$Q190&gt;=2,0,-1),regle!H$2-$Q190)),IF(AT190+1&gt;=regle!$J$12,-2,AT190+1))</f>
        <v>10</v>
      </c>
      <c r="AV190">
        <f>IF(AV$1=$AO$1,IF(regle!I$2-$Q190&gt;=regle!$J$12,-2,IF($S190,IF(regle!$B$2-$Q190&gt;=2,0,-1),regle!I$2-$Q190)),IF(AU190+1&gt;=regle!$J$12,-2,AU190+1))</f>
        <v>11</v>
      </c>
      <c r="AW190">
        <f>IF(AW$1=$AO$1,IF(regle!J$2-$Q190&gt;=regle!$J$12,-2,IF($S190,IF(regle!$B$2-$Q190&gt;=2,0,-1),regle!J$2-$Q190)),IF(AV190+1&gt;=regle!$J$12,-2,AV190+1))</f>
        <v>12</v>
      </c>
      <c r="AX190">
        <f>IF(AX$1=$AO$1,IF(regle!K$2-$Q190&gt;=regle!$J$12,-2,IF($S190,IF(regle!$B$2-$Q190&gt;=2,0,-1),regle!K$2-$Q190)),IF(AW190+1&gt;=regle!$J$12,-2,AW190+1))</f>
        <v>13</v>
      </c>
    </row>
    <row r="191" spans="1:50" x14ac:dyDescent="0.25">
      <c r="A191" t="b">
        <f>AND(modif0[[#This Row],[cdstr]]&lt;&gt;0,OR(regle!$H$27=FALSE,modif0[[#This Row],[essnc]]="PM"))</f>
        <v>1</v>
      </c>
      <c r="B191">
        <f>ROW(objet!A225)</f>
        <v>225</v>
      </c>
      <c r="C191" s="10" t="str">
        <f>objet!D225</f>
        <v>2020000B1220</v>
      </c>
      <c r="D191" t="str">
        <f>LEFT(modif0[[#This Row],[cdstr]],3)</f>
        <v>202</v>
      </c>
      <c r="E191" s="10" t="str">
        <f>objet!G225</f>
        <v>HOSTENS</v>
      </c>
      <c r="F191">
        <f>LEN(modif0[[#This Row],[l_dt]])</f>
        <v>8</v>
      </c>
      <c r="G191" s="10" t="str">
        <f>objet!H225</f>
        <v>LES BECS</v>
      </c>
      <c r="H191" s="10" t="str">
        <f>objet!C225</f>
        <v>B1220j</v>
      </c>
      <c r="I191" t="str">
        <f>IF(ISNUMBER(VALUE(RIGHT(LEFT(modif0[[#This Row],[idntfn]],2),1))),_xlfn.CONCAT(0,LEFT(modif0[[#This Row],[idntfn]],1)),LEFT(modif0[[#This Row],[idntfn]],2))</f>
        <v>0B</v>
      </c>
      <c r="J191">
        <f>VALUE(LEFT(RIGHT(modif0[[#This Row],[idntfn]],LEN(modif0[[#This Row],[idntfn]])-IF(LEFT(modif0[[#This Row],[sctn]],1)="0",1,2)),LEN(modif0[[#This Row],[idntfn]])-IF(LEFT(modif0[[#This Row],[sctn]],1)="0",1,2)-LEN(modif0[[#This Row],[lttr]])))</f>
        <v>1220</v>
      </c>
      <c r="K191" t="str">
        <f>IF(ISNUMBER(VALUE(RIGHT(modif0[[#This Row],[idntfn]],1))),"",IF(ISNUMBER(VALUE(LEFT(RIGHT(modif0[[#This Row],[idntfn]],2),1))),RIGHT(modif0[[#This Row],[idntfn]],1),RIGHT(modif0[[#This Row],[idntfn]],2)))</f>
        <v>j</v>
      </c>
      <c r="L191" s="10">
        <f>objet!I225</f>
        <v>6412</v>
      </c>
      <c r="M191" s="11">
        <f>modif0[[#This Row],[srfc]]/10000</f>
        <v>0.64119999999999999</v>
      </c>
      <c r="N191" s="10" t="str">
        <f>objet!Z225</f>
        <v>PM</v>
      </c>
      <c r="O191" s="10" t="str">
        <f>objet!AA225</f>
        <v>PLA2015</v>
      </c>
      <c r="P191" t="str">
        <f>IF(ISNUMBER(modif0[[#This Row],[trvx]]),"",LEFT(modif0[[#This Row],[trvx]],LEN(modif0[[#This Row],[trvx]])-4))</f>
        <v>PLA</v>
      </c>
      <c r="Q191">
        <f>VALUE(RIGHT(modif0[[#This Row],[trvx]],4))</f>
        <v>2015</v>
      </c>
      <c r="R191" t="str">
        <f>_xlfn.CONCAT(modif0[[#This Row],[tp]],"-",modif0[[#This Row],[essnc]],"_",modif0[[#This Row],[anns]])</f>
        <v>PLA-PM_2015</v>
      </c>
      <c r="S191" t="b">
        <f>modif0[[#This Row],[tp]]="CR"</f>
        <v>0</v>
      </c>
      <c r="T191">
        <v>40</v>
      </c>
      <c r="U191" t="str">
        <f>IF(NOT($A191),"",
IF(AO191=-2,regle!$J$11,
IF(AO191=regle!$B$12,regle!$B$11,
IF(AO191=regle!$C$12,regle!$C$11,
IF(AO191=regle!$D$12,regle!$D$11,
IF(AO191=regle!$E$12,regle!$E$11,
IF(AO191=regle!$F$12,regle!$F$11,
IF(AO191=regle!$G$12,regle!$G$11,
IF(AO191=regle!$H$12,regle!$H$11,
IF(AO191=regle!$I$12,regle!$I$11,""))))))))))</f>
        <v/>
      </c>
      <c r="V191" t="str">
        <f>IF(NOT($A191),"",
IF(AP191=-2,regle!$J$11,
IF(AP191=regle!$B$12,regle!$B$11,
IF(AP191=regle!$C$12,regle!$C$11,
IF(AP191=regle!$D$12,regle!$D$11,
IF(AP191=regle!$E$12,regle!$E$11,
IF(AP191=regle!$F$12,regle!$F$11,
IF(AP191=regle!$G$12,regle!$G$11,
IF(AP191=regle!$H$12,regle!$H$11,
IF(AP191=regle!$I$12,regle!$I$11,""))))))))))</f>
        <v/>
      </c>
      <c r="W191" t="str">
        <f>IF(NOT($A191),"",
IF(AQ191=-2,regle!$J$11,
IF(AQ191=regle!$B$12,regle!$B$11,
IF(AQ191=regle!$C$12,regle!$C$11,
IF(AQ191=regle!$D$12,regle!$D$11,
IF(AQ191=regle!$E$12,regle!$E$11,
IF(AQ191=regle!$F$12,regle!$F$11,
IF(AQ191=regle!$G$12,regle!$G$11,
IF(AQ191=regle!$H$12,regle!$H$11,
IF(AQ191=regle!$I$12,regle!$I$11,""))))))))))</f>
        <v/>
      </c>
      <c r="X191" t="str">
        <f>IF(NOT($A191),"",
IF(AR191=-2,regle!$J$11,
IF(AR191=regle!$B$12,regle!$B$11,
IF(AR191=regle!$C$12,regle!$C$11,
IF(AR191=regle!$D$12,regle!$D$11,
IF(AR191=regle!$E$12,regle!$E$11,
IF(AR191=regle!$F$12,regle!$F$11,
IF(AR191=regle!$G$12,regle!$G$11,
IF(AR191=regle!$H$12,regle!$H$11,
IF(AR191=regle!$I$12,regle!$I$11,""))))))))))</f>
        <v/>
      </c>
      <c r="Y191" t="str">
        <f>IF(NOT($A191),"",
IF(AS191=-2,regle!$J$11,
IF(AS191=regle!$B$12,regle!$B$11,
IF(AS191=regle!$C$12,regle!$C$11,
IF(AS191=regle!$D$12,regle!$D$11,
IF(AS191=regle!$E$12,regle!$E$11,
IF(AS191=regle!$F$12,regle!$F$11,
IF(AS191=regle!$G$12,regle!$G$11,
IF(AS191=regle!$H$12,regle!$H$11,
IF(AS191=regle!$I$12,regle!$I$11,""))))))))))</f>
        <v>EC1</v>
      </c>
      <c r="Z191" t="str">
        <f>IF(NOT($A191),"",
IF(AT191=-2,regle!$J$11,
IF(AT191=regle!$B$12,regle!$B$11,
IF(AT191=regle!$C$12,regle!$C$11,
IF(AT191=regle!$D$12,regle!$D$11,
IF(AT191=regle!$E$12,regle!$E$11,
IF(AT191=regle!$F$12,regle!$F$11,
IF(AT191=regle!$G$12,regle!$G$11,
IF(AT191=regle!$H$12,regle!$H$11,
IF(AT191=regle!$I$12,regle!$I$11,""))))))))))</f>
        <v/>
      </c>
      <c r="AA191" t="str">
        <f>IF(NOT($A191),"",
IF(AU191=-2,regle!$J$11,
IF(AU191=regle!$B$12,regle!$B$11,
IF(AU191=regle!$C$12,regle!$C$11,
IF(AU191=regle!$D$12,regle!$D$11,
IF(AU191=regle!$E$12,regle!$E$11,
IF(AU191=regle!$F$12,regle!$F$11,
IF(AU191=regle!$G$12,regle!$G$11,
IF(AU191=regle!$H$12,regle!$H$11,
IF(AU191=regle!$I$12,regle!$I$11,""))))))))))</f>
        <v/>
      </c>
      <c r="AB191" t="str">
        <f>IF(NOT($A191),"",
IF(AV191=-2,regle!$J$11,
IF(AV191=regle!$B$12,regle!$B$11,
IF(AV191=regle!$C$12,regle!$C$11,
IF(AV191=regle!$D$12,regle!$D$11,
IF(AV191=regle!$E$12,regle!$E$11,
IF(AV191=regle!$F$12,regle!$F$11,
IF(AV191=regle!$G$12,regle!$G$11,
IF(AV191=regle!$H$12,regle!$H$11,
IF(AV191=regle!$I$12,regle!$I$11,""))))))))))</f>
        <v/>
      </c>
      <c r="AC191" t="str">
        <f>IF(NOT($A191),"",
IF(AW191=-2,regle!$J$11,
IF(AW191=regle!$B$12,regle!$B$11,
IF(AW191=regle!$C$12,regle!$C$11,
IF(AW191=regle!$D$12,regle!$D$11,
IF(AW191=regle!$E$12,regle!$E$11,
IF(AW191=regle!$F$12,regle!$F$11,
IF(AW191=regle!$G$12,regle!$G$11,
IF(AW191=regle!$H$12,regle!$H$11,
IF(AW191=regle!$I$12,regle!$I$11,""))))))))))</f>
        <v/>
      </c>
      <c r="AD191" t="str">
        <f>IF(NOT($A191),"",
IF(AX191=-2,regle!$J$11,
IF(AX191=regle!$B$12,regle!$B$11,
IF(AX191=regle!$C$12,regle!$C$11,
IF(AX191=regle!$D$12,regle!$D$11,
IF(AX191=regle!$E$12,regle!$E$11,
IF(AX191=regle!$F$12,regle!$F$11,
IF(AX191=regle!$G$12,regle!$G$11,
IF(AX191=regle!$H$12,regle!$H$11,
IF(AX191=regle!$I$12,regle!$I$11,""))))))))))</f>
        <v>EC2</v>
      </c>
      <c r="AE191" s="14">
        <f>IF($A191,$M191*(IF(U191=regle!$B$11,regle!$B$23,IF(U191=regle!$C$11,regle!$C$23,IF(U191=regle!$D$11,regle!$D$23,IF(U191=regle!$E$11,regle!$E$23,IF(U191=regle!$F$11,regle!$F$23,IF(U191=regle!$G$11,regle!$G$23,IF(U191=regle!$H$11,regle!$H$23,IF(U191=regle!$I$11,regle!$I$23,IF(U191=regle!$J$11,regle!$J$23,0)))))))))))</f>
        <v>0</v>
      </c>
      <c r="AF191" s="14">
        <f>IF($A191,$M191*(IF(V191=regle!$B$11,regle!$B$23,IF(V191=regle!$C$11,regle!$C$23,IF(V191=regle!$D$11,regle!$D$23,IF(V191=regle!$E$11,regle!$E$23,IF(V191=regle!$F$11,regle!$F$23,IF(V191=regle!$G$11,regle!$G$23,IF(V191=regle!$H$11,regle!$H$23,IF(V191=regle!$I$11,regle!$I$23,IF(V191=regle!$J$11,regle!$J$23,0)))))))))))</f>
        <v>0</v>
      </c>
      <c r="AG191" s="14">
        <f>IF($A191,$M191*(IF(W191=regle!$B$11,regle!$B$23,IF(W191=regle!$C$11,regle!$C$23,IF(W191=regle!$D$11,regle!$D$23,IF(W191=regle!$E$11,regle!$E$23,IF(W191=regle!$F$11,regle!$F$23,IF(W191=regle!$G$11,regle!$G$23,IF(W191=regle!$H$11,regle!$H$23,IF(W191=regle!$I$11,regle!$I$23,IF(W191=regle!$J$11,regle!$J$23,0)))))))))))</f>
        <v>0</v>
      </c>
      <c r="AH191" s="14">
        <f>IF($A191,$M191*(IF(X191=regle!$B$11,regle!$B$23,IF(X191=regle!$C$11,regle!$C$23,IF(X191=regle!$D$11,regle!$D$23,IF(X191=regle!$E$11,regle!$E$23,IF(X191=regle!$F$11,regle!$F$23,IF(X191=regle!$G$11,regle!$G$23,IF(X191=regle!$H$11,regle!$H$23,IF(X191=regle!$I$11,regle!$I$23,IF(X191=regle!$J$11,regle!$J$23,0)))))))))))</f>
        <v>0</v>
      </c>
      <c r="AI191" s="14">
        <f>IF($A191,$M191*(IF(Y191=regle!$B$11,regle!$B$23,IF(Y191=regle!$C$11,regle!$C$23,IF(Y191=regle!$D$11,regle!$D$23,IF(Y191=regle!$E$11,regle!$E$23,IF(Y191=regle!$F$11,regle!$F$23,IF(Y191=regle!$G$11,regle!$G$23,IF(Y191=regle!$H$11,regle!$H$23,IF(Y191=regle!$I$11,regle!$I$23,IF(Y191=regle!$J$11,regle!$J$23,0)))))))))))</f>
        <v>369.33119999999997</v>
      </c>
      <c r="AJ191" s="14">
        <f>IF($A191,$M191*(IF(Z191=regle!$B$11,regle!$B$23,IF(Z191=regle!$C$11,regle!$C$23,IF(Z191=regle!$D$11,regle!$D$23,IF(Z191=regle!$E$11,regle!$E$23,IF(Z191=regle!$F$11,regle!$F$23,IF(Z191=regle!$G$11,regle!$G$23,IF(Z191=regle!$H$11,regle!$H$23,IF(Z191=regle!$I$11,regle!$I$23,IF(Z191=regle!$J$11,regle!$J$23,0)))))))))))</f>
        <v>0</v>
      </c>
      <c r="AK191" s="14">
        <f>IF($A191,$M191*(IF(AA191=regle!$B$11,regle!$B$23,IF(AA191=regle!$C$11,regle!$C$23,IF(AA191=regle!$D$11,regle!$D$23,IF(AA191=regle!$E$11,regle!$E$23,IF(AA191=regle!$F$11,regle!$F$23,IF(AA191=regle!$G$11,regle!$G$23,IF(AA191=regle!$H$11,regle!$H$23,IF(AA191=regle!$I$11,regle!$I$23,IF(AA191=regle!$J$11,regle!$J$23,0)))))))))))</f>
        <v>0</v>
      </c>
      <c r="AL191" s="14">
        <f>IF($A191,$M191*(IF(AB191=regle!$B$11,regle!$B$23,IF(AB191=regle!$C$11,regle!$C$23,IF(AB191=regle!$D$11,regle!$D$23,IF(AB191=regle!$E$11,regle!$E$23,IF(AB191=regle!$F$11,regle!$F$23,IF(AB191=regle!$G$11,regle!$G$23,IF(AB191=regle!$H$11,regle!$H$23,IF(AB191=regle!$I$11,regle!$I$23,IF(AB191=regle!$J$11,regle!$J$23,0)))))))))))</f>
        <v>0</v>
      </c>
      <c r="AM191" s="14">
        <f>IF($A191,$M191*(IF(AC191=regle!$B$11,regle!$B$23,IF(AC191=regle!$C$11,regle!$C$23,IF(AC191=regle!$D$11,regle!$D$23,IF(AC191=regle!$E$11,regle!$E$23,IF(AC191=regle!$F$11,regle!$F$23,IF(AC191=regle!$G$11,regle!$G$23,IF(AC191=regle!$H$11,regle!$H$23,IF(AC191=regle!$I$11,regle!$I$23,IF(AC191=regle!$J$11,regle!$J$23,0)))))))))))</f>
        <v>0</v>
      </c>
      <c r="AN191" s="14">
        <f>IF($A191,$M191*(IF(AD191=regle!$B$11,regle!$B$23,IF(AD191=regle!$C$11,regle!$C$23,IF(AD191=regle!$D$11,regle!$D$23,IF(AD191=regle!$E$11,regle!$E$23,IF(AD191=regle!$F$11,regle!$F$23,IF(AD191=regle!$G$11,regle!$G$23,IF(AD191=regle!$H$11,regle!$H$23,IF(AD191=regle!$I$11,regle!$I$23,IF(AD191=regle!$J$11,regle!$J$23,0)))))))))))</f>
        <v>538.60799999999995</v>
      </c>
      <c r="AO191">
        <f>IF(AO$1=$AO$1,IF(regle!B$2-$Q191&gt;=regle!$J$12,-2,IF($S191,IF(regle!$B$2-$Q191&gt;=2,0,-1),regle!B$2-$Q191)),IF(AN191+1&gt;=regle!$J$12,-2,AN191+1))</f>
        <v>9</v>
      </c>
      <c r="AP191">
        <f>IF(AP$1=$AO$1,IF(regle!C$2-$Q191&gt;=regle!$J$12,-2,IF($S191,IF(regle!$B$2-$Q191&gt;=2,0,-1),regle!C$2-$Q191)),IF(AO191+1&gt;=regle!$J$12,-2,AO191+1))</f>
        <v>10</v>
      </c>
      <c r="AQ191">
        <f>IF(AQ$1=$AO$1,IF(regle!D$2-$Q191&gt;=regle!$J$12,-2,IF($S191,IF(regle!$B$2-$Q191&gt;=2,0,-1),regle!D$2-$Q191)),IF(AP191+1&gt;=regle!$J$12,-2,AP191+1))</f>
        <v>11</v>
      </c>
      <c r="AR191">
        <f>IF(AR$1=$AO$1,IF(regle!E$2-$Q191&gt;=regle!$J$12,-2,IF($S191,IF(regle!$B$2-$Q191&gt;=2,0,-1),regle!E$2-$Q191)),IF(AQ191+1&gt;=regle!$J$12,-2,AQ191+1))</f>
        <v>12</v>
      </c>
      <c r="AS191">
        <f>IF(AS$1=$AO$1,IF(regle!F$2-$Q191&gt;=regle!$J$12,-2,IF($S191,IF(regle!$B$2-$Q191&gt;=2,0,-1),regle!F$2-$Q191)),IF(AR191+1&gt;=regle!$J$12,-2,AR191+1))</f>
        <v>13</v>
      </c>
      <c r="AT191">
        <f>IF(AT$1=$AO$1,IF(regle!G$2-$Q191&gt;=regle!$J$12,-2,IF($S191,IF(regle!$B$2-$Q191&gt;=2,0,-1),regle!G$2-$Q191)),IF(AS191+1&gt;=regle!$J$12,-2,AS191+1))</f>
        <v>14</v>
      </c>
      <c r="AU191">
        <f>IF(AU$1=$AO$1,IF(regle!H$2-$Q191&gt;=regle!$J$12,-2,IF($S191,IF(regle!$B$2-$Q191&gt;=2,0,-1),regle!H$2-$Q191)),IF(AT191+1&gt;=regle!$J$12,-2,AT191+1))</f>
        <v>15</v>
      </c>
      <c r="AV191">
        <f>IF(AV$1=$AO$1,IF(regle!I$2-$Q191&gt;=regle!$J$12,-2,IF($S191,IF(regle!$B$2-$Q191&gt;=2,0,-1),regle!I$2-$Q191)),IF(AU191+1&gt;=regle!$J$12,-2,AU191+1))</f>
        <v>16</v>
      </c>
      <c r="AW191">
        <f>IF(AW$1=$AO$1,IF(regle!J$2-$Q191&gt;=regle!$J$12,-2,IF($S191,IF(regle!$B$2-$Q191&gt;=2,0,-1),regle!J$2-$Q191)),IF(AV191+1&gt;=regle!$J$12,-2,AV191+1))</f>
        <v>17</v>
      </c>
      <c r="AX191">
        <f>IF(AX$1=$AO$1,IF(regle!K$2-$Q191&gt;=regle!$J$12,-2,IF($S191,IF(regle!$B$2-$Q191&gt;=2,0,-1),regle!K$2-$Q191)),IF(AW191+1&gt;=regle!$J$12,-2,AW191+1))</f>
        <v>18</v>
      </c>
    </row>
    <row r="192" spans="1:50" x14ac:dyDescent="0.25">
      <c r="A192" t="b">
        <f>AND(modif0[[#This Row],[cdstr]]&lt;&gt;0,OR(regle!$H$27=FALSE,modif0[[#This Row],[essnc]]="PM"))</f>
        <v>1</v>
      </c>
      <c r="B192">
        <f>ROW(objet!A226)</f>
        <v>226</v>
      </c>
      <c r="C192" s="10" t="str">
        <f>objet!D226</f>
        <v>2020000B1220</v>
      </c>
      <c r="D192" t="str">
        <f>LEFT(modif0[[#This Row],[cdstr]],3)</f>
        <v>202</v>
      </c>
      <c r="E192" s="10" t="str">
        <f>objet!G226</f>
        <v>HOSTENS</v>
      </c>
      <c r="F192">
        <f>LEN(modif0[[#This Row],[l_dt]])</f>
        <v>8</v>
      </c>
      <c r="G192" s="10" t="str">
        <f>objet!H226</f>
        <v>LES BECS</v>
      </c>
      <c r="H192" s="10" t="str">
        <f>objet!C226</f>
        <v>B1220k</v>
      </c>
      <c r="I192" t="str">
        <f>IF(ISNUMBER(VALUE(RIGHT(LEFT(modif0[[#This Row],[idntfn]],2),1))),_xlfn.CONCAT(0,LEFT(modif0[[#This Row],[idntfn]],1)),LEFT(modif0[[#This Row],[idntfn]],2))</f>
        <v>0B</v>
      </c>
      <c r="J192">
        <f>VALUE(LEFT(RIGHT(modif0[[#This Row],[idntfn]],LEN(modif0[[#This Row],[idntfn]])-IF(LEFT(modif0[[#This Row],[sctn]],1)="0",1,2)),LEN(modif0[[#This Row],[idntfn]])-IF(LEFT(modif0[[#This Row],[sctn]],1)="0",1,2)-LEN(modif0[[#This Row],[lttr]])))</f>
        <v>1220</v>
      </c>
      <c r="K192" t="str">
        <f>IF(ISNUMBER(VALUE(RIGHT(modif0[[#This Row],[idntfn]],1))),"",IF(ISNUMBER(VALUE(LEFT(RIGHT(modif0[[#This Row],[idntfn]],2),1))),RIGHT(modif0[[#This Row],[idntfn]],1),RIGHT(modif0[[#This Row],[idntfn]],2)))</f>
        <v>k</v>
      </c>
      <c r="L192" s="10">
        <f>objet!I226</f>
        <v>10684</v>
      </c>
      <c r="M192" s="11">
        <f>modif0[[#This Row],[srfc]]/10000</f>
        <v>1.0684</v>
      </c>
      <c r="N192" s="10" t="str">
        <f>objet!Z226</f>
        <v>PM</v>
      </c>
      <c r="O192" s="10" t="str">
        <f>objet!AA226</f>
        <v>PLA2015</v>
      </c>
      <c r="P192" t="str">
        <f>IF(ISNUMBER(modif0[[#This Row],[trvx]]),"",LEFT(modif0[[#This Row],[trvx]],LEN(modif0[[#This Row],[trvx]])-4))</f>
        <v>PLA</v>
      </c>
      <c r="Q192">
        <f>VALUE(RIGHT(modif0[[#This Row],[trvx]],4))</f>
        <v>2015</v>
      </c>
      <c r="R192" t="str">
        <f>_xlfn.CONCAT(modif0[[#This Row],[tp]],"-",modif0[[#This Row],[essnc]],"_",modif0[[#This Row],[anns]])</f>
        <v>PLA-PM_2015</v>
      </c>
      <c r="S192" t="b">
        <f>modif0[[#This Row],[tp]]="CR"</f>
        <v>0</v>
      </c>
      <c r="T192">
        <v>40</v>
      </c>
      <c r="U192" t="str">
        <f>IF(NOT($A192),"",
IF(AO192=-2,regle!$J$11,
IF(AO192=regle!$B$12,regle!$B$11,
IF(AO192=regle!$C$12,regle!$C$11,
IF(AO192=regle!$D$12,regle!$D$11,
IF(AO192=regle!$E$12,regle!$E$11,
IF(AO192=regle!$F$12,regle!$F$11,
IF(AO192=regle!$G$12,regle!$G$11,
IF(AO192=regle!$H$12,regle!$H$11,
IF(AO192=regle!$I$12,regle!$I$11,""))))))))))</f>
        <v/>
      </c>
      <c r="V192" t="str">
        <f>IF(NOT($A192),"",
IF(AP192=-2,regle!$J$11,
IF(AP192=regle!$B$12,regle!$B$11,
IF(AP192=regle!$C$12,regle!$C$11,
IF(AP192=regle!$D$12,regle!$D$11,
IF(AP192=regle!$E$12,regle!$E$11,
IF(AP192=regle!$F$12,regle!$F$11,
IF(AP192=regle!$G$12,regle!$G$11,
IF(AP192=regle!$H$12,regle!$H$11,
IF(AP192=regle!$I$12,regle!$I$11,""))))))))))</f>
        <v/>
      </c>
      <c r="W192" t="str">
        <f>IF(NOT($A192),"",
IF(AQ192=-2,regle!$J$11,
IF(AQ192=regle!$B$12,regle!$B$11,
IF(AQ192=regle!$C$12,regle!$C$11,
IF(AQ192=regle!$D$12,regle!$D$11,
IF(AQ192=regle!$E$12,regle!$E$11,
IF(AQ192=regle!$F$12,regle!$F$11,
IF(AQ192=regle!$G$12,regle!$G$11,
IF(AQ192=regle!$H$12,regle!$H$11,
IF(AQ192=regle!$I$12,regle!$I$11,""))))))))))</f>
        <v/>
      </c>
      <c r="X192" t="str">
        <f>IF(NOT($A192),"",
IF(AR192=-2,regle!$J$11,
IF(AR192=regle!$B$12,regle!$B$11,
IF(AR192=regle!$C$12,regle!$C$11,
IF(AR192=regle!$D$12,regle!$D$11,
IF(AR192=regle!$E$12,regle!$E$11,
IF(AR192=regle!$F$12,regle!$F$11,
IF(AR192=regle!$G$12,regle!$G$11,
IF(AR192=regle!$H$12,regle!$H$11,
IF(AR192=regle!$I$12,regle!$I$11,""))))))))))</f>
        <v/>
      </c>
      <c r="Y192" t="str">
        <f>IF(NOT($A192),"",
IF(AS192=-2,regle!$J$11,
IF(AS192=regle!$B$12,regle!$B$11,
IF(AS192=regle!$C$12,regle!$C$11,
IF(AS192=regle!$D$12,regle!$D$11,
IF(AS192=regle!$E$12,regle!$E$11,
IF(AS192=regle!$F$12,regle!$F$11,
IF(AS192=regle!$G$12,regle!$G$11,
IF(AS192=regle!$H$12,regle!$H$11,
IF(AS192=regle!$I$12,regle!$I$11,""))))))))))</f>
        <v>EC1</v>
      </c>
      <c r="Z192" t="str">
        <f>IF(NOT($A192),"",
IF(AT192=-2,regle!$J$11,
IF(AT192=regle!$B$12,regle!$B$11,
IF(AT192=regle!$C$12,regle!$C$11,
IF(AT192=regle!$D$12,regle!$D$11,
IF(AT192=regle!$E$12,regle!$E$11,
IF(AT192=regle!$F$12,regle!$F$11,
IF(AT192=regle!$G$12,regle!$G$11,
IF(AT192=regle!$H$12,regle!$H$11,
IF(AT192=regle!$I$12,regle!$I$11,""))))))))))</f>
        <v/>
      </c>
      <c r="AA192" t="str">
        <f>IF(NOT($A192),"",
IF(AU192=-2,regle!$J$11,
IF(AU192=regle!$B$12,regle!$B$11,
IF(AU192=regle!$C$12,regle!$C$11,
IF(AU192=regle!$D$12,regle!$D$11,
IF(AU192=regle!$E$12,regle!$E$11,
IF(AU192=regle!$F$12,regle!$F$11,
IF(AU192=regle!$G$12,regle!$G$11,
IF(AU192=regle!$H$12,regle!$H$11,
IF(AU192=regle!$I$12,regle!$I$11,""))))))))))</f>
        <v/>
      </c>
      <c r="AB192" t="str">
        <f>IF(NOT($A192),"",
IF(AV192=-2,regle!$J$11,
IF(AV192=regle!$B$12,regle!$B$11,
IF(AV192=regle!$C$12,regle!$C$11,
IF(AV192=regle!$D$12,regle!$D$11,
IF(AV192=regle!$E$12,regle!$E$11,
IF(AV192=regle!$F$12,regle!$F$11,
IF(AV192=regle!$G$12,regle!$G$11,
IF(AV192=regle!$H$12,regle!$H$11,
IF(AV192=regle!$I$12,regle!$I$11,""))))))))))</f>
        <v/>
      </c>
      <c r="AC192" t="str">
        <f>IF(NOT($A192),"",
IF(AW192=-2,regle!$J$11,
IF(AW192=regle!$B$12,regle!$B$11,
IF(AW192=regle!$C$12,regle!$C$11,
IF(AW192=regle!$D$12,regle!$D$11,
IF(AW192=regle!$E$12,regle!$E$11,
IF(AW192=regle!$F$12,regle!$F$11,
IF(AW192=regle!$G$12,regle!$G$11,
IF(AW192=regle!$H$12,regle!$H$11,
IF(AW192=regle!$I$12,regle!$I$11,""))))))))))</f>
        <v/>
      </c>
      <c r="AD192" t="str">
        <f>IF(NOT($A192),"",
IF(AX192=-2,regle!$J$11,
IF(AX192=regle!$B$12,regle!$B$11,
IF(AX192=regle!$C$12,regle!$C$11,
IF(AX192=regle!$D$12,regle!$D$11,
IF(AX192=regle!$E$12,regle!$E$11,
IF(AX192=regle!$F$12,regle!$F$11,
IF(AX192=regle!$G$12,regle!$G$11,
IF(AX192=regle!$H$12,regle!$H$11,
IF(AX192=regle!$I$12,regle!$I$11,""))))))))))</f>
        <v>EC2</v>
      </c>
      <c r="AE192" s="14">
        <f>IF($A192,$M192*(IF(U192=regle!$B$11,regle!$B$23,IF(U192=regle!$C$11,regle!$C$23,IF(U192=regle!$D$11,regle!$D$23,IF(U192=regle!$E$11,regle!$E$23,IF(U192=regle!$F$11,regle!$F$23,IF(U192=regle!$G$11,regle!$G$23,IF(U192=regle!$H$11,regle!$H$23,IF(U192=regle!$I$11,regle!$I$23,IF(U192=regle!$J$11,regle!$J$23,0)))))))))))</f>
        <v>0</v>
      </c>
      <c r="AF192" s="14">
        <f>IF($A192,$M192*(IF(V192=regle!$B$11,regle!$B$23,IF(V192=regle!$C$11,regle!$C$23,IF(V192=regle!$D$11,regle!$D$23,IF(V192=regle!$E$11,regle!$E$23,IF(V192=regle!$F$11,regle!$F$23,IF(V192=regle!$G$11,regle!$G$23,IF(V192=regle!$H$11,regle!$H$23,IF(V192=regle!$I$11,regle!$I$23,IF(V192=regle!$J$11,regle!$J$23,0)))))))))))</f>
        <v>0</v>
      </c>
      <c r="AG192" s="14">
        <f>IF($A192,$M192*(IF(W192=regle!$B$11,regle!$B$23,IF(W192=regle!$C$11,regle!$C$23,IF(W192=regle!$D$11,regle!$D$23,IF(W192=regle!$E$11,regle!$E$23,IF(W192=regle!$F$11,regle!$F$23,IF(W192=regle!$G$11,regle!$G$23,IF(W192=regle!$H$11,regle!$H$23,IF(W192=regle!$I$11,regle!$I$23,IF(W192=regle!$J$11,regle!$J$23,0)))))))))))</f>
        <v>0</v>
      </c>
      <c r="AH192" s="14">
        <f>IF($A192,$M192*(IF(X192=regle!$B$11,regle!$B$23,IF(X192=regle!$C$11,regle!$C$23,IF(X192=regle!$D$11,regle!$D$23,IF(X192=regle!$E$11,regle!$E$23,IF(X192=regle!$F$11,regle!$F$23,IF(X192=regle!$G$11,regle!$G$23,IF(X192=regle!$H$11,regle!$H$23,IF(X192=regle!$I$11,regle!$I$23,IF(X192=regle!$J$11,regle!$J$23,0)))))))))))</f>
        <v>0</v>
      </c>
      <c r="AI192" s="14">
        <f>IF($A192,$M192*(IF(Y192=regle!$B$11,regle!$B$23,IF(Y192=regle!$C$11,regle!$C$23,IF(Y192=regle!$D$11,regle!$D$23,IF(Y192=regle!$E$11,regle!$E$23,IF(Y192=regle!$F$11,regle!$F$23,IF(Y192=regle!$G$11,regle!$G$23,IF(Y192=regle!$H$11,regle!$H$23,IF(Y192=regle!$I$11,regle!$I$23,IF(Y192=regle!$J$11,regle!$J$23,0)))))))))))</f>
        <v>615.39840000000004</v>
      </c>
      <c r="AJ192" s="14">
        <f>IF($A192,$M192*(IF(Z192=regle!$B$11,regle!$B$23,IF(Z192=regle!$C$11,regle!$C$23,IF(Z192=regle!$D$11,regle!$D$23,IF(Z192=regle!$E$11,regle!$E$23,IF(Z192=regle!$F$11,regle!$F$23,IF(Z192=regle!$G$11,regle!$G$23,IF(Z192=regle!$H$11,regle!$H$23,IF(Z192=regle!$I$11,regle!$I$23,IF(Z192=regle!$J$11,regle!$J$23,0)))))))))))</f>
        <v>0</v>
      </c>
      <c r="AK192" s="14">
        <f>IF($A192,$M192*(IF(AA192=regle!$B$11,regle!$B$23,IF(AA192=regle!$C$11,regle!$C$23,IF(AA192=regle!$D$11,regle!$D$23,IF(AA192=regle!$E$11,regle!$E$23,IF(AA192=regle!$F$11,regle!$F$23,IF(AA192=regle!$G$11,regle!$G$23,IF(AA192=regle!$H$11,regle!$H$23,IF(AA192=regle!$I$11,regle!$I$23,IF(AA192=regle!$J$11,regle!$J$23,0)))))))))))</f>
        <v>0</v>
      </c>
      <c r="AL192" s="14">
        <f>IF($A192,$M192*(IF(AB192=regle!$B$11,regle!$B$23,IF(AB192=regle!$C$11,regle!$C$23,IF(AB192=regle!$D$11,regle!$D$23,IF(AB192=regle!$E$11,regle!$E$23,IF(AB192=regle!$F$11,regle!$F$23,IF(AB192=regle!$G$11,regle!$G$23,IF(AB192=regle!$H$11,regle!$H$23,IF(AB192=regle!$I$11,regle!$I$23,IF(AB192=regle!$J$11,regle!$J$23,0)))))))))))</f>
        <v>0</v>
      </c>
      <c r="AM192" s="14">
        <f>IF($A192,$M192*(IF(AC192=regle!$B$11,regle!$B$23,IF(AC192=regle!$C$11,regle!$C$23,IF(AC192=regle!$D$11,regle!$D$23,IF(AC192=regle!$E$11,regle!$E$23,IF(AC192=regle!$F$11,regle!$F$23,IF(AC192=regle!$G$11,regle!$G$23,IF(AC192=regle!$H$11,regle!$H$23,IF(AC192=regle!$I$11,regle!$I$23,IF(AC192=regle!$J$11,regle!$J$23,0)))))))))))</f>
        <v>0</v>
      </c>
      <c r="AN192" s="14">
        <f>IF($A192,$M192*(IF(AD192=regle!$B$11,regle!$B$23,IF(AD192=regle!$C$11,regle!$C$23,IF(AD192=regle!$D$11,regle!$D$23,IF(AD192=regle!$E$11,regle!$E$23,IF(AD192=regle!$F$11,regle!$F$23,IF(AD192=regle!$G$11,regle!$G$23,IF(AD192=regle!$H$11,regle!$H$23,IF(AD192=regle!$I$11,regle!$I$23,IF(AD192=regle!$J$11,regle!$J$23,0)))))))))))</f>
        <v>897.45600000000002</v>
      </c>
      <c r="AO192">
        <f>IF(AO$1=$AO$1,IF(regle!B$2-$Q192&gt;=regle!$J$12,-2,IF($S192,IF(regle!$B$2-$Q192&gt;=2,0,-1),regle!B$2-$Q192)),IF(AN192+1&gt;=regle!$J$12,-2,AN192+1))</f>
        <v>9</v>
      </c>
      <c r="AP192">
        <f>IF(AP$1=$AO$1,IF(regle!C$2-$Q192&gt;=regle!$J$12,-2,IF($S192,IF(regle!$B$2-$Q192&gt;=2,0,-1),regle!C$2-$Q192)),IF(AO192+1&gt;=regle!$J$12,-2,AO192+1))</f>
        <v>10</v>
      </c>
      <c r="AQ192">
        <f>IF(AQ$1=$AO$1,IF(regle!D$2-$Q192&gt;=regle!$J$12,-2,IF($S192,IF(regle!$B$2-$Q192&gt;=2,0,-1),regle!D$2-$Q192)),IF(AP192+1&gt;=regle!$J$12,-2,AP192+1))</f>
        <v>11</v>
      </c>
      <c r="AR192">
        <f>IF(AR$1=$AO$1,IF(regle!E$2-$Q192&gt;=regle!$J$12,-2,IF($S192,IF(regle!$B$2-$Q192&gt;=2,0,-1),regle!E$2-$Q192)),IF(AQ192+1&gt;=regle!$J$12,-2,AQ192+1))</f>
        <v>12</v>
      </c>
      <c r="AS192">
        <f>IF(AS$1=$AO$1,IF(regle!F$2-$Q192&gt;=regle!$J$12,-2,IF($S192,IF(regle!$B$2-$Q192&gt;=2,0,-1),regle!F$2-$Q192)),IF(AR192+1&gt;=regle!$J$12,-2,AR192+1))</f>
        <v>13</v>
      </c>
      <c r="AT192">
        <f>IF(AT$1=$AO$1,IF(regle!G$2-$Q192&gt;=regle!$J$12,-2,IF($S192,IF(regle!$B$2-$Q192&gt;=2,0,-1),regle!G$2-$Q192)),IF(AS192+1&gt;=regle!$J$12,-2,AS192+1))</f>
        <v>14</v>
      </c>
      <c r="AU192">
        <f>IF(AU$1=$AO$1,IF(regle!H$2-$Q192&gt;=regle!$J$12,-2,IF($S192,IF(regle!$B$2-$Q192&gt;=2,0,-1),regle!H$2-$Q192)),IF(AT192+1&gt;=regle!$J$12,-2,AT192+1))</f>
        <v>15</v>
      </c>
      <c r="AV192">
        <f>IF(AV$1=$AO$1,IF(regle!I$2-$Q192&gt;=regle!$J$12,-2,IF($S192,IF(regle!$B$2-$Q192&gt;=2,0,-1),regle!I$2-$Q192)),IF(AU192+1&gt;=regle!$J$12,-2,AU192+1))</f>
        <v>16</v>
      </c>
      <c r="AW192">
        <f>IF(AW$1=$AO$1,IF(regle!J$2-$Q192&gt;=regle!$J$12,-2,IF($S192,IF(regle!$B$2-$Q192&gt;=2,0,-1),regle!J$2-$Q192)),IF(AV192+1&gt;=regle!$J$12,-2,AV192+1))</f>
        <v>17</v>
      </c>
      <c r="AX192">
        <f>IF(AX$1=$AO$1,IF(regle!K$2-$Q192&gt;=regle!$J$12,-2,IF($S192,IF(regle!$B$2-$Q192&gt;=2,0,-1),regle!K$2-$Q192)),IF(AW192+1&gt;=regle!$J$12,-2,AW192+1))</f>
        <v>18</v>
      </c>
    </row>
    <row r="193" spans="1:50" x14ac:dyDescent="0.25">
      <c r="A193" t="b">
        <f>AND(modif0[[#This Row],[cdstr]]&lt;&gt;0,OR(regle!$H$27=FALSE,modif0[[#This Row],[essnc]]="PM"))</f>
        <v>1</v>
      </c>
      <c r="B193">
        <f>ROW(objet!A227)</f>
        <v>227</v>
      </c>
      <c r="C193" s="10" t="str">
        <f>objet!D227</f>
        <v>2020000B1220</v>
      </c>
      <c r="D193" t="str">
        <f>LEFT(modif0[[#This Row],[cdstr]],3)</f>
        <v>202</v>
      </c>
      <c r="E193" s="10" t="str">
        <f>objet!G227</f>
        <v>HOSTENS</v>
      </c>
      <c r="F193">
        <f>LEN(modif0[[#This Row],[l_dt]])</f>
        <v>8</v>
      </c>
      <c r="G193" s="10" t="str">
        <f>objet!H227</f>
        <v>LES BECS</v>
      </c>
      <c r="H193" s="10" t="str">
        <f>objet!C227</f>
        <v>B1220l</v>
      </c>
      <c r="I193" t="str">
        <f>IF(ISNUMBER(VALUE(RIGHT(LEFT(modif0[[#This Row],[idntfn]],2),1))),_xlfn.CONCAT(0,LEFT(modif0[[#This Row],[idntfn]],1)),LEFT(modif0[[#This Row],[idntfn]],2))</f>
        <v>0B</v>
      </c>
      <c r="J193">
        <f>VALUE(LEFT(RIGHT(modif0[[#This Row],[idntfn]],LEN(modif0[[#This Row],[idntfn]])-IF(LEFT(modif0[[#This Row],[sctn]],1)="0",1,2)),LEN(modif0[[#This Row],[idntfn]])-IF(LEFT(modif0[[#This Row],[sctn]],1)="0",1,2)-LEN(modif0[[#This Row],[lttr]])))</f>
        <v>1220</v>
      </c>
      <c r="K193" t="str">
        <f>IF(ISNUMBER(VALUE(RIGHT(modif0[[#This Row],[idntfn]],1))),"",IF(ISNUMBER(VALUE(LEFT(RIGHT(modif0[[#This Row],[idntfn]],2),1))),RIGHT(modif0[[#This Row],[idntfn]],1),RIGHT(modif0[[#This Row],[idntfn]],2)))</f>
        <v>l</v>
      </c>
      <c r="L193" s="10">
        <f>objet!I227</f>
        <v>6815</v>
      </c>
      <c r="M193" s="11">
        <f>modif0[[#This Row],[srfc]]/10000</f>
        <v>0.68149999999999999</v>
      </c>
      <c r="N193" s="10" t="str">
        <f>objet!Z227</f>
        <v>PM</v>
      </c>
      <c r="O193" s="10" t="str">
        <f>objet!AA227</f>
        <v>PLA2015</v>
      </c>
      <c r="P193" t="str">
        <f>IF(ISNUMBER(modif0[[#This Row],[trvx]]),"",LEFT(modif0[[#This Row],[trvx]],LEN(modif0[[#This Row],[trvx]])-4))</f>
        <v>PLA</v>
      </c>
      <c r="Q193">
        <f>VALUE(RIGHT(modif0[[#This Row],[trvx]],4))</f>
        <v>2015</v>
      </c>
      <c r="R193" t="str">
        <f>_xlfn.CONCAT(modif0[[#This Row],[tp]],"-",modif0[[#This Row],[essnc]],"_",modif0[[#This Row],[anns]])</f>
        <v>PLA-PM_2015</v>
      </c>
      <c r="S193" t="b">
        <f>modif0[[#This Row],[tp]]="CR"</f>
        <v>0</v>
      </c>
      <c r="T193">
        <v>40</v>
      </c>
      <c r="U193" t="str">
        <f>IF(NOT($A193),"",
IF(AO193=-2,regle!$J$11,
IF(AO193=regle!$B$12,regle!$B$11,
IF(AO193=regle!$C$12,regle!$C$11,
IF(AO193=regle!$D$12,regle!$D$11,
IF(AO193=regle!$E$12,regle!$E$11,
IF(AO193=regle!$F$12,regle!$F$11,
IF(AO193=regle!$G$12,regle!$G$11,
IF(AO193=regle!$H$12,regle!$H$11,
IF(AO193=regle!$I$12,regle!$I$11,""))))))))))</f>
        <v/>
      </c>
      <c r="V193" t="str">
        <f>IF(NOT($A193),"",
IF(AP193=-2,regle!$J$11,
IF(AP193=regle!$B$12,regle!$B$11,
IF(AP193=regle!$C$12,regle!$C$11,
IF(AP193=regle!$D$12,regle!$D$11,
IF(AP193=regle!$E$12,regle!$E$11,
IF(AP193=regle!$F$12,regle!$F$11,
IF(AP193=regle!$G$12,regle!$G$11,
IF(AP193=regle!$H$12,regle!$H$11,
IF(AP193=regle!$I$12,regle!$I$11,""))))))))))</f>
        <v/>
      </c>
      <c r="W193" t="str">
        <f>IF(NOT($A193),"",
IF(AQ193=-2,regle!$J$11,
IF(AQ193=regle!$B$12,regle!$B$11,
IF(AQ193=regle!$C$12,regle!$C$11,
IF(AQ193=regle!$D$12,regle!$D$11,
IF(AQ193=regle!$E$12,regle!$E$11,
IF(AQ193=regle!$F$12,regle!$F$11,
IF(AQ193=regle!$G$12,regle!$G$11,
IF(AQ193=regle!$H$12,regle!$H$11,
IF(AQ193=regle!$I$12,regle!$I$11,""))))))))))</f>
        <v/>
      </c>
      <c r="X193" t="str">
        <f>IF(NOT($A193),"",
IF(AR193=-2,regle!$J$11,
IF(AR193=regle!$B$12,regle!$B$11,
IF(AR193=regle!$C$12,regle!$C$11,
IF(AR193=regle!$D$12,regle!$D$11,
IF(AR193=regle!$E$12,regle!$E$11,
IF(AR193=regle!$F$12,regle!$F$11,
IF(AR193=regle!$G$12,regle!$G$11,
IF(AR193=regle!$H$12,regle!$H$11,
IF(AR193=regle!$I$12,regle!$I$11,""))))))))))</f>
        <v/>
      </c>
      <c r="Y193" t="str">
        <f>IF(NOT($A193),"",
IF(AS193=-2,regle!$J$11,
IF(AS193=regle!$B$12,regle!$B$11,
IF(AS193=regle!$C$12,regle!$C$11,
IF(AS193=regle!$D$12,regle!$D$11,
IF(AS193=regle!$E$12,regle!$E$11,
IF(AS193=regle!$F$12,regle!$F$11,
IF(AS193=regle!$G$12,regle!$G$11,
IF(AS193=regle!$H$12,regle!$H$11,
IF(AS193=regle!$I$12,regle!$I$11,""))))))))))</f>
        <v>EC1</v>
      </c>
      <c r="Z193" t="str">
        <f>IF(NOT($A193),"",
IF(AT193=-2,regle!$J$11,
IF(AT193=regle!$B$12,regle!$B$11,
IF(AT193=regle!$C$12,regle!$C$11,
IF(AT193=regle!$D$12,regle!$D$11,
IF(AT193=regle!$E$12,regle!$E$11,
IF(AT193=regle!$F$12,regle!$F$11,
IF(AT193=regle!$G$12,regle!$G$11,
IF(AT193=regle!$H$12,regle!$H$11,
IF(AT193=regle!$I$12,regle!$I$11,""))))))))))</f>
        <v/>
      </c>
      <c r="AA193" t="str">
        <f>IF(NOT($A193),"",
IF(AU193=-2,regle!$J$11,
IF(AU193=regle!$B$12,regle!$B$11,
IF(AU193=regle!$C$12,regle!$C$11,
IF(AU193=regle!$D$12,regle!$D$11,
IF(AU193=regle!$E$12,regle!$E$11,
IF(AU193=regle!$F$12,regle!$F$11,
IF(AU193=regle!$G$12,regle!$G$11,
IF(AU193=regle!$H$12,regle!$H$11,
IF(AU193=regle!$I$12,regle!$I$11,""))))))))))</f>
        <v/>
      </c>
      <c r="AB193" t="str">
        <f>IF(NOT($A193),"",
IF(AV193=-2,regle!$J$11,
IF(AV193=regle!$B$12,regle!$B$11,
IF(AV193=regle!$C$12,regle!$C$11,
IF(AV193=regle!$D$12,regle!$D$11,
IF(AV193=regle!$E$12,regle!$E$11,
IF(AV193=regle!$F$12,regle!$F$11,
IF(AV193=regle!$G$12,regle!$G$11,
IF(AV193=regle!$H$12,regle!$H$11,
IF(AV193=regle!$I$12,regle!$I$11,""))))))))))</f>
        <v/>
      </c>
      <c r="AC193" t="str">
        <f>IF(NOT($A193),"",
IF(AW193=-2,regle!$J$11,
IF(AW193=regle!$B$12,regle!$B$11,
IF(AW193=regle!$C$12,regle!$C$11,
IF(AW193=regle!$D$12,regle!$D$11,
IF(AW193=regle!$E$12,regle!$E$11,
IF(AW193=regle!$F$12,regle!$F$11,
IF(AW193=regle!$G$12,regle!$G$11,
IF(AW193=regle!$H$12,regle!$H$11,
IF(AW193=regle!$I$12,regle!$I$11,""))))))))))</f>
        <v/>
      </c>
      <c r="AD193" t="str">
        <f>IF(NOT($A193),"",
IF(AX193=-2,regle!$J$11,
IF(AX193=regle!$B$12,regle!$B$11,
IF(AX193=regle!$C$12,regle!$C$11,
IF(AX193=regle!$D$12,regle!$D$11,
IF(AX193=regle!$E$12,regle!$E$11,
IF(AX193=regle!$F$12,regle!$F$11,
IF(AX193=regle!$G$12,regle!$G$11,
IF(AX193=regle!$H$12,regle!$H$11,
IF(AX193=regle!$I$12,regle!$I$11,""))))))))))</f>
        <v>EC2</v>
      </c>
      <c r="AE193" s="14">
        <f>IF($A193,$M193*(IF(U193=regle!$B$11,regle!$B$23,IF(U193=regle!$C$11,regle!$C$23,IF(U193=regle!$D$11,regle!$D$23,IF(U193=regle!$E$11,regle!$E$23,IF(U193=regle!$F$11,regle!$F$23,IF(U193=regle!$G$11,regle!$G$23,IF(U193=regle!$H$11,regle!$H$23,IF(U193=regle!$I$11,regle!$I$23,IF(U193=regle!$J$11,regle!$J$23,0)))))))))))</f>
        <v>0</v>
      </c>
      <c r="AF193" s="14">
        <f>IF($A193,$M193*(IF(V193=regle!$B$11,regle!$B$23,IF(V193=regle!$C$11,regle!$C$23,IF(V193=regle!$D$11,regle!$D$23,IF(V193=regle!$E$11,regle!$E$23,IF(V193=regle!$F$11,regle!$F$23,IF(V193=regle!$G$11,regle!$G$23,IF(V193=regle!$H$11,regle!$H$23,IF(V193=regle!$I$11,regle!$I$23,IF(V193=regle!$J$11,regle!$J$23,0)))))))))))</f>
        <v>0</v>
      </c>
      <c r="AG193" s="14">
        <f>IF($A193,$M193*(IF(W193=regle!$B$11,regle!$B$23,IF(W193=regle!$C$11,regle!$C$23,IF(W193=regle!$D$11,regle!$D$23,IF(W193=regle!$E$11,regle!$E$23,IF(W193=regle!$F$11,regle!$F$23,IF(W193=regle!$G$11,regle!$G$23,IF(W193=regle!$H$11,regle!$H$23,IF(W193=regle!$I$11,regle!$I$23,IF(W193=regle!$J$11,regle!$J$23,0)))))))))))</f>
        <v>0</v>
      </c>
      <c r="AH193" s="14">
        <f>IF($A193,$M193*(IF(X193=regle!$B$11,regle!$B$23,IF(X193=regle!$C$11,regle!$C$23,IF(X193=regle!$D$11,regle!$D$23,IF(X193=regle!$E$11,regle!$E$23,IF(X193=regle!$F$11,regle!$F$23,IF(X193=regle!$G$11,regle!$G$23,IF(X193=regle!$H$11,regle!$H$23,IF(X193=regle!$I$11,regle!$I$23,IF(X193=regle!$J$11,regle!$J$23,0)))))))))))</f>
        <v>0</v>
      </c>
      <c r="AI193" s="14">
        <f>IF($A193,$M193*(IF(Y193=regle!$B$11,regle!$B$23,IF(Y193=regle!$C$11,regle!$C$23,IF(Y193=regle!$D$11,regle!$D$23,IF(Y193=regle!$E$11,regle!$E$23,IF(Y193=regle!$F$11,regle!$F$23,IF(Y193=regle!$G$11,regle!$G$23,IF(Y193=regle!$H$11,regle!$H$23,IF(Y193=regle!$I$11,regle!$I$23,IF(Y193=regle!$J$11,regle!$J$23,0)))))))))))</f>
        <v>392.54399999999998</v>
      </c>
      <c r="AJ193" s="14">
        <f>IF($A193,$M193*(IF(Z193=regle!$B$11,regle!$B$23,IF(Z193=regle!$C$11,regle!$C$23,IF(Z193=regle!$D$11,regle!$D$23,IF(Z193=regle!$E$11,regle!$E$23,IF(Z193=regle!$F$11,regle!$F$23,IF(Z193=regle!$G$11,regle!$G$23,IF(Z193=regle!$H$11,regle!$H$23,IF(Z193=regle!$I$11,regle!$I$23,IF(Z193=regle!$J$11,regle!$J$23,0)))))))))))</f>
        <v>0</v>
      </c>
      <c r="AK193" s="14">
        <f>IF($A193,$M193*(IF(AA193=regle!$B$11,regle!$B$23,IF(AA193=regle!$C$11,regle!$C$23,IF(AA193=regle!$D$11,regle!$D$23,IF(AA193=regle!$E$11,regle!$E$23,IF(AA193=regle!$F$11,regle!$F$23,IF(AA193=regle!$G$11,regle!$G$23,IF(AA193=regle!$H$11,regle!$H$23,IF(AA193=regle!$I$11,regle!$I$23,IF(AA193=regle!$J$11,regle!$J$23,0)))))))))))</f>
        <v>0</v>
      </c>
      <c r="AL193" s="14">
        <f>IF($A193,$M193*(IF(AB193=regle!$B$11,regle!$B$23,IF(AB193=regle!$C$11,regle!$C$23,IF(AB193=regle!$D$11,regle!$D$23,IF(AB193=regle!$E$11,regle!$E$23,IF(AB193=regle!$F$11,regle!$F$23,IF(AB193=regle!$G$11,regle!$G$23,IF(AB193=regle!$H$11,regle!$H$23,IF(AB193=regle!$I$11,regle!$I$23,IF(AB193=regle!$J$11,regle!$J$23,0)))))))))))</f>
        <v>0</v>
      </c>
      <c r="AM193" s="14">
        <f>IF($A193,$M193*(IF(AC193=regle!$B$11,regle!$B$23,IF(AC193=regle!$C$11,regle!$C$23,IF(AC193=regle!$D$11,regle!$D$23,IF(AC193=regle!$E$11,regle!$E$23,IF(AC193=regle!$F$11,regle!$F$23,IF(AC193=regle!$G$11,regle!$G$23,IF(AC193=regle!$H$11,regle!$H$23,IF(AC193=regle!$I$11,regle!$I$23,IF(AC193=regle!$J$11,regle!$J$23,0)))))))))))</f>
        <v>0</v>
      </c>
      <c r="AN193" s="14">
        <f>IF($A193,$M193*(IF(AD193=regle!$B$11,regle!$B$23,IF(AD193=regle!$C$11,regle!$C$23,IF(AD193=regle!$D$11,regle!$D$23,IF(AD193=regle!$E$11,regle!$E$23,IF(AD193=regle!$F$11,regle!$F$23,IF(AD193=regle!$G$11,regle!$G$23,IF(AD193=regle!$H$11,regle!$H$23,IF(AD193=regle!$I$11,regle!$I$23,IF(AD193=regle!$J$11,regle!$J$23,0)))))))))))</f>
        <v>572.46</v>
      </c>
      <c r="AO193">
        <f>IF(AO$1=$AO$1,IF(regle!B$2-$Q193&gt;=regle!$J$12,-2,IF($S193,IF(regle!$B$2-$Q193&gt;=2,0,-1),regle!B$2-$Q193)),IF(AN193+1&gt;=regle!$J$12,-2,AN193+1))</f>
        <v>9</v>
      </c>
      <c r="AP193">
        <f>IF(AP$1=$AO$1,IF(regle!C$2-$Q193&gt;=regle!$J$12,-2,IF($S193,IF(regle!$B$2-$Q193&gt;=2,0,-1),regle!C$2-$Q193)),IF(AO193+1&gt;=regle!$J$12,-2,AO193+1))</f>
        <v>10</v>
      </c>
      <c r="AQ193">
        <f>IF(AQ$1=$AO$1,IF(regle!D$2-$Q193&gt;=regle!$J$12,-2,IF($S193,IF(regle!$B$2-$Q193&gt;=2,0,-1),regle!D$2-$Q193)),IF(AP193+1&gt;=regle!$J$12,-2,AP193+1))</f>
        <v>11</v>
      </c>
      <c r="AR193">
        <f>IF(AR$1=$AO$1,IF(regle!E$2-$Q193&gt;=regle!$J$12,-2,IF($S193,IF(regle!$B$2-$Q193&gt;=2,0,-1),regle!E$2-$Q193)),IF(AQ193+1&gt;=regle!$J$12,-2,AQ193+1))</f>
        <v>12</v>
      </c>
      <c r="AS193">
        <f>IF(AS$1=$AO$1,IF(regle!F$2-$Q193&gt;=regle!$J$12,-2,IF($S193,IF(regle!$B$2-$Q193&gt;=2,0,-1),regle!F$2-$Q193)),IF(AR193+1&gt;=regle!$J$12,-2,AR193+1))</f>
        <v>13</v>
      </c>
      <c r="AT193">
        <f>IF(AT$1=$AO$1,IF(regle!G$2-$Q193&gt;=regle!$J$12,-2,IF($S193,IF(regle!$B$2-$Q193&gt;=2,0,-1),regle!G$2-$Q193)),IF(AS193+1&gt;=regle!$J$12,-2,AS193+1))</f>
        <v>14</v>
      </c>
      <c r="AU193">
        <f>IF(AU$1=$AO$1,IF(regle!H$2-$Q193&gt;=regle!$J$12,-2,IF($S193,IF(regle!$B$2-$Q193&gt;=2,0,-1),regle!H$2-$Q193)),IF(AT193+1&gt;=regle!$J$12,-2,AT193+1))</f>
        <v>15</v>
      </c>
      <c r="AV193">
        <f>IF(AV$1=$AO$1,IF(regle!I$2-$Q193&gt;=regle!$J$12,-2,IF($S193,IF(regle!$B$2-$Q193&gt;=2,0,-1),regle!I$2-$Q193)),IF(AU193+1&gt;=regle!$J$12,-2,AU193+1))</f>
        <v>16</v>
      </c>
      <c r="AW193">
        <f>IF(AW$1=$AO$1,IF(regle!J$2-$Q193&gt;=regle!$J$12,-2,IF($S193,IF(regle!$B$2-$Q193&gt;=2,0,-1),regle!J$2-$Q193)),IF(AV193+1&gt;=regle!$J$12,-2,AV193+1))</f>
        <v>17</v>
      </c>
      <c r="AX193">
        <f>IF(AX$1=$AO$1,IF(regle!K$2-$Q193&gt;=regle!$J$12,-2,IF($S193,IF(regle!$B$2-$Q193&gt;=2,0,-1),regle!K$2-$Q193)),IF(AW193+1&gt;=regle!$J$12,-2,AW193+1))</f>
        <v>18</v>
      </c>
    </row>
    <row r="194" spans="1:50" x14ac:dyDescent="0.25">
      <c r="A194" t="b">
        <f>AND(modif0[[#This Row],[cdstr]]&lt;&gt;0,OR(regle!$H$27=FALSE,modif0[[#This Row],[essnc]]="PM"))</f>
        <v>1</v>
      </c>
      <c r="B194">
        <f>ROW(objet!A228)</f>
        <v>228</v>
      </c>
      <c r="C194" s="10" t="str">
        <f>objet!D228</f>
        <v>2020000B1220</v>
      </c>
      <c r="D194" t="str">
        <f>LEFT(modif0[[#This Row],[cdstr]],3)</f>
        <v>202</v>
      </c>
      <c r="E194" s="10" t="str">
        <f>objet!G228</f>
        <v>HOSTENS</v>
      </c>
      <c r="F194">
        <f>LEN(modif0[[#This Row],[l_dt]])</f>
        <v>8</v>
      </c>
      <c r="G194" s="10" t="str">
        <f>objet!H228</f>
        <v>LES BECS</v>
      </c>
      <c r="H194" s="10" t="str">
        <f>objet!C228</f>
        <v>B1220m</v>
      </c>
      <c r="I194" t="str">
        <f>IF(ISNUMBER(VALUE(RIGHT(LEFT(modif0[[#This Row],[idntfn]],2),1))),_xlfn.CONCAT(0,LEFT(modif0[[#This Row],[idntfn]],1)),LEFT(modif0[[#This Row],[idntfn]],2))</f>
        <v>0B</v>
      </c>
      <c r="J194">
        <f>VALUE(LEFT(RIGHT(modif0[[#This Row],[idntfn]],LEN(modif0[[#This Row],[idntfn]])-IF(LEFT(modif0[[#This Row],[sctn]],1)="0",1,2)),LEN(modif0[[#This Row],[idntfn]])-IF(LEFT(modif0[[#This Row],[sctn]],1)="0",1,2)-LEN(modif0[[#This Row],[lttr]])))</f>
        <v>1220</v>
      </c>
      <c r="K194" t="str">
        <f>IF(ISNUMBER(VALUE(RIGHT(modif0[[#This Row],[idntfn]],1))),"",IF(ISNUMBER(VALUE(LEFT(RIGHT(modif0[[#This Row],[idntfn]],2),1))),RIGHT(modif0[[#This Row],[idntfn]],1),RIGHT(modif0[[#This Row],[idntfn]],2)))</f>
        <v>m</v>
      </c>
      <c r="L194" s="10">
        <f>objet!I228</f>
        <v>8888</v>
      </c>
      <c r="M194" s="11">
        <f>modif0[[#This Row],[srfc]]/10000</f>
        <v>0.88880000000000003</v>
      </c>
      <c r="N194" s="10" t="str">
        <f>objet!Z228</f>
        <v>PM</v>
      </c>
      <c r="O194" s="10" t="str">
        <f>objet!AA228</f>
        <v>PLA2015</v>
      </c>
      <c r="P194" t="str">
        <f>IF(ISNUMBER(modif0[[#This Row],[trvx]]),"",LEFT(modif0[[#This Row],[trvx]],LEN(modif0[[#This Row],[trvx]])-4))</f>
        <v>PLA</v>
      </c>
      <c r="Q194">
        <f>VALUE(RIGHT(modif0[[#This Row],[trvx]],4))</f>
        <v>2015</v>
      </c>
      <c r="R194" t="str">
        <f>_xlfn.CONCAT(modif0[[#This Row],[tp]],"-",modif0[[#This Row],[essnc]],"_",modif0[[#This Row],[anns]])</f>
        <v>PLA-PM_2015</v>
      </c>
      <c r="S194" t="b">
        <f>modif0[[#This Row],[tp]]="CR"</f>
        <v>0</v>
      </c>
      <c r="T194">
        <v>40</v>
      </c>
      <c r="U194" t="str">
        <f>IF(NOT($A194),"",
IF(AO194=-2,regle!$J$11,
IF(AO194=regle!$B$12,regle!$B$11,
IF(AO194=regle!$C$12,regle!$C$11,
IF(AO194=regle!$D$12,regle!$D$11,
IF(AO194=regle!$E$12,regle!$E$11,
IF(AO194=regle!$F$12,regle!$F$11,
IF(AO194=regle!$G$12,regle!$G$11,
IF(AO194=regle!$H$12,regle!$H$11,
IF(AO194=regle!$I$12,regle!$I$11,""))))))))))</f>
        <v/>
      </c>
      <c r="V194" t="str">
        <f>IF(NOT($A194),"",
IF(AP194=-2,regle!$J$11,
IF(AP194=regle!$B$12,regle!$B$11,
IF(AP194=regle!$C$12,regle!$C$11,
IF(AP194=regle!$D$12,regle!$D$11,
IF(AP194=regle!$E$12,regle!$E$11,
IF(AP194=regle!$F$12,regle!$F$11,
IF(AP194=regle!$G$12,regle!$G$11,
IF(AP194=regle!$H$12,regle!$H$11,
IF(AP194=regle!$I$12,regle!$I$11,""))))))))))</f>
        <v/>
      </c>
      <c r="W194" t="str">
        <f>IF(NOT($A194),"",
IF(AQ194=-2,regle!$J$11,
IF(AQ194=regle!$B$12,regle!$B$11,
IF(AQ194=regle!$C$12,regle!$C$11,
IF(AQ194=regle!$D$12,regle!$D$11,
IF(AQ194=regle!$E$12,regle!$E$11,
IF(AQ194=regle!$F$12,regle!$F$11,
IF(AQ194=regle!$G$12,regle!$G$11,
IF(AQ194=regle!$H$12,regle!$H$11,
IF(AQ194=regle!$I$12,regle!$I$11,""))))))))))</f>
        <v/>
      </c>
      <c r="X194" t="str">
        <f>IF(NOT($A194),"",
IF(AR194=-2,regle!$J$11,
IF(AR194=regle!$B$12,regle!$B$11,
IF(AR194=regle!$C$12,regle!$C$11,
IF(AR194=regle!$D$12,regle!$D$11,
IF(AR194=regle!$E$12,regle!$E$11,
IF(AR194=regle!$F$12,regle!$F$11,
IF(AR194=regle!$G$12,regle!$G$11,
IF(AR194=regle!$H$12,regle!$H$11,
IF(AR194=regle!$I$12,regle!$I$11,""))))))))))</f>
        <v/>
      </c>
      <c r="Y194" t="str">
        <f>IF(NOT($A194),"",
IF(AS194=-2,regle!$J$11,
IF(AS194=regle!$B$12,regle!$B$11,
IF(AS194=regle!$C$12,regle!$C$11,
IF(AS194=regle!$D$12,regle!$D$11,
IF(AS194=regle!$E$12,regle!$E$11,
IF(AS194=regle!$F$12,regle!$F$11,
IF(AS194=regle!$G$12,regle!$G$11,
IF(AS194=regle!$H$12,regle!$H$11,
IF(AS194=regle!$I$12,regle!$I$11,""))))))))))</f>
        <v>EC1</v>
      </c>
      <c r="Z194" t="str">
        <f>IF(NOT($A194),"",
IF(AT194=-2,regle!$J$11,
IF(AT194=regle!$B$12,regle!$B$11,
IF(AT194=regle!$C$12,regle!$C$11,
IF(AT194=regle!$D$12,regle!$D$11,
IF(AT194=regle!$E$12,regle!$E$11,
IF(AT194=regle!$F$12,regle!$F$11,
IF(AT194=regle!$G$12,regle!$G$11,
IF(AT194=regle!$H$12,regle!$H$11,
IF(AT194=regle!$I$12,regle!$I$11,""))))))))))</f>
        <v/>
      </c>
      <c r="AA194" t="str">
        <f>IF(NOT($A194),"",
IF(AU194=-2,regle!$J$11,
IF(AU194=regle!$B$12,regle!$B$11,
IF(AU194=regle!$C$12,regle!$C$11,
IF(AU194=regle!$D$12,regle!$D$11,
IF(AU194=regle!$E$12,regle!$E$11,
IF(AU194=regle!$F$12,regle!$F$11,
IF(AU194=regle!$G$12,regle!$G$11,
IF(AU194=regle!$H$12,regle!$H$11,
IF(AU194=regle!$I$12,regle!$I$11,""))))))))))</f>
        <v/>
      </c>
      <c r="AB194" t="str">
        <f>IF(NOT($A194),"",
IF(AV194=-2,regle!$J$11,
IF(AV194=regle!$B$12,regle!$B$11,
IF(AV194=regle!$C$12,regle!$C$11,
IF(AV194=regle!$D$12,regle!$D$11,
IF(AV194=regle!$E$12,regle!$E$11,
IF(AV194=regle!$F$12,regle!$F$11,
IF(AV194=regle!$G$12,regle!$G$11,
IF(AV194=regle!$H$12,regle!$H$11,
IF(AV194=regle!$I$12,regle!$I$11,""))))))))))</f>
        <v/>
      </c>
      <c r="AC194" t="str">
        <f>IF(NOT($A194),"",
IF(AW194=-2,regle!$J$11,
IF(AW194=regle!$B$12,regle!$B$11,
IF(AW194=regle!$C$12,regle!$C$11,
IF(AW194=regle!$D$12,regle!$D$11,
IF(AW194=regle!$E$12,regle!$E$11,
IF(AW194=regle!$F$12,regle!$F$11,
IF(AW194=regle!$G$12,regle!$G$11,
IF(AW194=regle!$H$12,regle!$H$11,
IF(AW194=regle!$I$12,regle!$I$11,""))))))))))</f>
        <v/>
      </c>
      <c r="AD194" t="str">
        <f>IF(NOT($A194),"",
IF(AX194=-2,regle!$J$11,
IF(AX194=regle!$B$12,regle!$B$11,
IF(AX194=regle!$C$12,regle!$C$11,
IF(AX194=regle!$D$12,regle!$D$11,
IF(AX194=regle!$E$12,regle!$E$11,
IF(AX194=regle!$F$12,regle!$F$11,
IF(AX194=regle!$G$12,regle!$G$11,
IF(AX194=regle!$H$12,regle!$H$11,
IF(AX194=regle!$I$12,regle!$I$11,""))))))))))</f>
        <v>EC2</v>
      </c>
      <c r="AE194" s="14">
        <f>IF($A194,$M194*(IF(U194=regle!$B$11,regle!$B$23,IF(U194=regle!$C$11,regle!$C$23,IF(U194=regle!$D$11,regle!$D$23,IF(U194=regle!$E$11,regle!$E$23,IF(U194=regle!$F$11,regle!$F$23,IF(U194=regle!$G$11,regle!$G$23,IF(U194=regle!$H$11,regle!$H$23,IF(U194=regle!$I$11,regle!$I$23,IF(U194=regle!$J$11,regle!$J$23,0)))))))))))</f>
        <v>0</v>
      </c>
      <c r="AF194" s="14">
        <f>IF($A194,$M194*(IF(V194=regle!$B$11,regle!$B$23,IF(V194=regle!$C$11,regle!$C$23,IF(V194=regle!$D$11,regle!$D$23,IF(V194=regle!$E$11,regle!$E$23,IF(V194=regle!$F$11,regle!$F$23,IF(V194=regle!$G$11,regle!$G$23,IF(V194=regle!$H$11,regle!$H$23,IF(V194=regle!$I$11,regle!$I$23,IF(V194=regle!$J$11,regle!$J$23,0)))))))))))</f>
        <v>0</v>
      </c>
      <c r="AG194" s="14">
        <f>IF($A194,$M194*(IF(W194=regle!$B$11,regle!$B$23,IF(W194=regle!$C$11,regle!$C$23,IF(W194=regle!$D$11,regle!$D$23,IF(W194=regle!$E$11,regle!$E$23,IF(W194=regle!$F$11,regle!$F$23,IF(W194=regle!$G$11,regle!$G$23,IF(W194=regle!$H$11,regle!$H$23,IF(W194=regle!$I$11,regle!$I$23,IF(W194=regle!$J$11,regle!$J$23,0)))))))))))</f>
        <v>0</v>
      </c>
      <c r="AH194" s="14">
        <f>IF($A194,$M194*(IF(X194=regle!$B$11,regle!$B$23,IF(X194=regle!$C$11,regle!$C$23,IF(X194=regle!$D$11,regle!$D$23,IF(X194=regle!$E$11,regle!$E$23,IF(X194=regle!$F$11,regle!$F$23,IF(X194=regle!$G$11,regle!$G$23,IF(X194=regle!$H$11,regle!$H$23,IF(X194=regle!$I$11,regle!$I$23,IF(X194=regle!$J$11,regle!$J$23,0)))))))))))</f>
        <v>0</v>
      </c>
      <c r="AI194" s="14">
        <f>IF($A194,$M194*(IF(Y194=regle!$B$11,regle!$B$23,IF(Y194=regle!$C$11,regle!$C$23,IF(Y194=regle!$D$11,regle!$D$23,IF(Y194=regle!$E$11,regle!$E$23,IF(Y194=regle!$F$11,regle!$F$23,IF(Y194=regle!$G$11,regle!$G$23,IF(Y194=regle!$H$11,regle!$H$23,IF(Y194=regle!$I$11,regle!$I$23,IF(Y194=regle!$J$11,regle!$J$23,0)))))))))))</f>
        <v>511.94880000000001</v>
      </c>
      <c r="AJ194" s="14">
        <f>IF($A194,$M194*(IF(Z194=regle!$B$11,regle!$B$23,IF(Z194=regle!$C$11,regle!$C$23,IF(Z194=regle!$D$11,regle!$D$23,IF(Z194=regle!$E$11,regle!$E$23,IF(Z194=regle!$F$11,regle!$F$23,IF(Z194=regle!$G$11,regle!$G$23,IF(Z194=regle!$H$11,regle!$H$23,IF(Z194=regle!$I$11,regle!$I$23,IF(Z194=regle!$J$11,regle!$J$23,0)))))))))))</f>
        <v>0</v>
      </c>
      <c r="AK194" s="14">
        <f>IF($A194,$M194*(IF(AA194=regle!$B$11,regle!$B$23,IF(AA194=regle!$C$11,regle!$C$23,IF(AA194=regle!$D$11,regle!$D$23,IF(AA194=regle!$E$11,regle!$E$23,IF(AA194=regle!$F$11,regle!$F$23,IF(AA194=regle!$G$11,regle!$G$23,IF(AA194=regle!$H$11,regle!$H$23,IF(AA194=regle!$I$11,regle!$I$23,IF(AA194=regle!$J$11,regle!$J$23,0)))))))))))</f>
        <v>0</v>
      </c>
      <c r="AL194" s="14">
        <f>IF($A194,$M194*(IF(AB194=regle!$B$11,regle!$B$23,IF(AB194=regle!$C$11,regle!$C$23,IF(AB194=regle!$D$11,regle!$D$23,IF(AB194=regle!$E$11,regle!$E$23,IF(AB194=regle!$F$11,regle!$F$23,IF(AB194=regle!$G$11,regle!$G$23,IF(AB194=regle!$H$11,regle!$H$23,IF(AB194=regle!$I$11,regle!$I$23,IF(AB194=regle!$J$11,regle!$J$23,0)))))))))))</f>
        <v>0</v>
      </c>
      <c r="AM194" s="14">
        <f>IF($A194,$M194*(IF(AC194=regle!$B$11,regle!$B$23,IF(AC194=regle!$C$11,regle!$C$23,IF(AC194=regle!$D$11,regle!$D$23,IF(AC194=regle!$E$11,regle!$E$23,IF(AC194=regle!$F$11,regle!$F$23,IF(AC194=regle!$G$11,regle!$G$23,IF(AC194=regle!$H$11,regle!$H$23,IF(AC194=regle!$I$11,regle!$I$23,IF(AC194=regle!$J$11,regle!$J$23,0)))))))))))</f>
        <v>0</v>
      </c>
      <c r="AN194" s="14">
        <f>IF($A194,$M194*(IF(AD194=regle!$B$11,regle!$B$23,IF(AD194=regle!$C$11,regle!$C$23,IF(AD194=regle!$D$11,regle!$D$23,IF(AD194=regle!$E$11,regle!$E$23,IF(AD194=regle!$F$11,regle!$F$23,IF(AD194=regle!$G$11,regle!$G$23,IF(AD194=regle!$H$11,regle!$H$23,IF(AD194=regle!$I$11,regle!$I$23,IF(AD194=regle!$J$11,regle!$J$23,0)))))))))))</f>
        <v>746.59199999999998</v>
      </c>
      <c r="AO194">
        <f>IF(AO$1=$AO$1,IF(regle!B$2-$Q194&gt;=regle!$J$12,-2,IF($S194,IF(regle!$B$2-$Q194&gt;=2,0,-1),regle!B$2-$Q194)),IF(AN194+1&gt;=regle!$J$12,-2,AN194+1))</f>
        <v>9</v>
      </c>
      <c r="AP194">
        <f>IF(AP$1=$AO$1,IF(regle!C$2-$Q194&gt;=regle!$J$12,-2,IF($S194,IF(regle!$B$2-$Q194&gt;=2,0,-1),regle!C$2-$Q194)),IF(AO194+1&gt;=regle!$J$12,-2,AO194+1))</f>
        <v>10</v>
      </c>
      <c r="AQ194">
        <f>IF(AQ$1=$AO$1,IF(regle!D$2-$Q194&gt;=regle!$J$12,-2,IF($S194,IF(regle!$B$2-$Q194&gt;=2,0,-1),regle!D$2-$Q194)),IF(AP194+1&gt;=regle!$J$12,-2,AP194+1))</f>
        <v>11</v>
      </c>
      <c r="AR194">
        <f>IF(AR$1=$AO$1,IF(regle!E$2-$Q194&gt;=regle!$J$12,-2,IF($S194,IF(regle!$B$2-$Q194&gt;=2,0,-1),regle!E$2-$Q194)),IF(AQ194+1&gt;=regle!$J$12,-2,AQ194+1))</f>
        <v>12</v>
      </c>
      <c r="AS194">
        <f>IF(AS$1=$AO$1,IF(regle!F$2-$Q194&gt;=regle!$J$12,-2,IF($S194,IF(regle!$B$2-$Q194&gt;=2,0,-1),regle!F$2-$Q194)),IF(AR194+1&gt;=regle!$J$12,-2,AR194+1))</f>
        <v>13</v>
      </c>
      <c r="AT194">
        <f>IF(AT$1=$AO$1,IF(regle!G$2-$Q194&gt;=regle!$J$12,-2,IF($S194,IF(regle!$B$2-$Q194&gt;=2,0,-1),regle!G$2-$Q194)),IF(AS194+1&gt;=regle!$J$12,-2,AS194+1))</f>
        <v>14</v>
      </c>
      <c r="AU194">
        <f>IF(AU$1=$AO$1,IF(regle!H$2-$Q194&gt;=regle!$J$12,-2,IF($S194,IF(regle!$B$2-$Q194&gt;=2,0,-1),regle!H$2-$Q194)),IF(AT194+1&gt;=regle!$J$12,-2,AT194+1))</f>
        <v>15</v>
      </c>
      <c r="AV194">
        <f>IF(AV$1=$AO$1,IF(regle!I$2-$Q194&gt;=regle!$J$12,-2,IF($S194,IF(regle!$B$2-$Q194&gt;=2,0,-1),regle!I$2-$Q194)),IF(AU194+1&gt;=regle!$J$12,-2,AU194+1))</f>
        <v>16</v>
      </c>
      <c r="AW194">
        <f>IF(AW$1=$AO$1,IF(regle!J$2-$Q194&gt;=regle!$J$12,-2,IF($S194,IF(regle!$B$2-$Q194&gt;=2,0,-1),regle!J$2-$Q194)),IF(AV194+1&gt;=regle!$J$12,-2,AV194+1))</f>
        <v>17</v>
      </c>
      <c r="AX194">
        <f>IF(AX$1=$AO$1,IF(regle!K$2-$Q194&gt;=regle!$J$12,-2,IF($S194,IF(regle!$B$2-$Q194&gt;=2,0,-1),regle!K$2-$Q194)),IF(AW194+1&gt;=regle!$J$12,-2,AW194+1))</f>
        <v>18</v>
      </c>
    </row>
    <row r="195" spans="1:50" x14ac:dyDescent="0.25">
      <c r="A195" t="b">
        <f>AND(modif0[[#This Row],[cdstr]]&lt;&gt;0,OR(regle!$H$27=FALSE,modif0[[#This Row],[essnc]]="PM"))</f>
        <v>1</v>
      </c>
      <c r="B195">
        <f>ROW(objet!A229)</f>
        <v>229</v>
      </c>
      <c r="C195" s="10" t="str">
        <f>objet!D229</f>
        <v>2020000B1221</v>
      </c>
      <c r="D195" t="str">
        <f>LEFT(modif0[[#This Row],[cdstr]],3)</f>
        <v>202</v>
      </c>
      <c r="E195" s="10" t="str">
        <f>objet!G229</f>
        <v>HOSTENS</v>
      </c>
      <c r="F195">
        <f>LEN(modif0[[#This Row],[l_dt]])</f>
        <v>8</v>
      </c>
      <c r="G195" s="10" t="str">
        <f>objet!H229</f>
        <v>LES BECS</v>
      </c>
      <c r="H195" s="10" t="str">
        <f>objet!C229</f>
        <v>B1221</v>
      </c>
      <c r="I195" t="str">
        <f>IF(ISNUMBER(VALUE(RIGHT(LEFT(modif0[[#This Row],[idntfn]],2),1))),_xlfn.CONCAT(0,LEFT(modif0[[#This Row],[idntfn]],1)),LEFT(modif0[[#This Row],[idntfn]],2))</f>
        <v>0B</v>
      </c>
      <c r="J195">
        <f>VALUE(LEFT(RIGHT(modif0[[#This Row],[idntfn]],LEN(modif0[[#This Row],[idntfn]])-IF(LEFT(modif0[[#This Row],[sctn]],1)="0",1,2)),LEN(modif0[[#This Row],[idntfn]])-IF(LEFT(modif0[[#This Row],[sctn]],1)="0",1,2)-LEN(modif0[[#This Row],[lttr]])))</f>
        <v>1221</v>
      </c>
      <c r="K195" t="str">
        <f>IF(ISNUMBER(VALUE(RIGHT(modif0[[#This Row],[idntfn]],1))),"",IF(ISNUMBER(VALUE(LEFT(RIGHT(modif0[[#This Row],[idntfn]],2),1))),RIGHT(modif0[[#This Row],[idntfn]],1),RIGHT(modif0[[#This Row],[idntfn]],2)))</f>
        <v/>
      </c>
      <c r="L195" s="10">
        <f>objet!I229</f>
        <v>19770</v>
      </c>
      <c r="M195" s="11">
        <f>modif0[[#This Row],[srfc]]/10000</f>
        <v>1.9770000000000001</v>
      </c>
      <c r="N195" s="10" t="str">
        <f>objet!Z229</f>
        <v>PM</v>
      </c>
      <c r="O195" s="10" t="str">
        <f>objet!AA229</f>
        <v>PLA2015</v>
      </c>
      <c r="P195" t="str">
        <f>IF(ISNUMBER(modif0[[#This Row],[trvx]]),"",LEFT(modif0[[#This Row],[trvx]],LEN(modif0[[#This Row],[trvx]])-4))</f>
        <v>PLA</v>
      </c>
      <c r="Q195">
        <f>VALUE(RIGHT(modif0[[#This Row],[trvx]],4))</f>
        <v>2015</v>
      </c>
      <c r="R195" t="str">
        <f>_xlfn.CONCAT(modif0[[#This Row],[tp]],"-",modif0[[#This Row],[essnc]],"_",modif0[[#This Row],[anns]])</f>
        <v>PLA-PM_2015</v>
      </c>
      <c r="S195" t="b">
        <f>modif0[[#This Row],[tp]]="CR"</f>
        <v>0</v>
      </c>
      <c r="T195">
        <v>40</v>
      </c>
      <c r="U195" t="str">
        <f>IF(NOT($A195),"",
IF(AO195=-2,regle!$J$11,
IF(AO195=regle!$B$12,regle!$B$11,
IF(AO195=regle!$C$12,regle!$C$11,
IF(AO195=regle!$D$12,regle!$D$11,
IF(AO195=regle!$E$12,regle!$E$11,
IF(AO195=regle!$F$12,regle!$F$11,
IF(AO195=regle!$G$12,regle!$G$11,
IF(AO195=regle!$H$12,regle!$H$11,
IF(AO195=regle!$I$12,regle!$I$11,""))))))))))</f>
        <v/>
      </c>
      <c r="V195" t="str">
        <f>IF(NOT($A195),"",
IF(AP195=-2,regle!$J$11,
IF(AP195=regle!$B$12,regle!$B$11,
IF(AP195=regle!$C$12,regle!$C$11,
IF(AP195=regle!$D$12,regle!$D$11,
IF(AP195=regle!$E$12,regle!$E$11,
IF(AP195=regle!$F$12,regle!$F$11,
IF(AP195=regle!$G$12,regle!$G$11,
IF(AP195=regle!$H$12,regle!$H$11,
IF(AP195=regle!$I$12,regle!$I$11,""))))))))))</f>
        <v/>
      </c>
      <c r="W195" t="str">
        <f>IF(NOT($A195),"",
IF(AQ195=-2,regle!$J$11,
IF(AQ195=regle!$B$12,regle!$B$11,
IF(AQ195=regle!$C$12,regle!$C$11,
IF(AQ195=regle!$D$12,regle!$D$11,
IF(AQ195=regle!$E$12,regle!$E$11,
IF(AQ195=regle!$F$12,regle!$F$11,
IF(AQ195=regle!$G$12,regle!$G$11,
IF(AQ195=regle!$H$12,regle!$H$11,
IF(AQ195=regle!$I$12,regle!$I$11,""))))))))))</f>
        <v/>
      </c>
      <c r="X195" t="str">
        <f>IF(NOT($A195),"",
IF(AR195=-2,regle!$J$11,
IF(AR195=regle!$B$12,regle!$B$11,
IF(AR195=regle!$C$12,regle!$C$11,
IF(AR195=regle!$D$12,regle!$D$11,
IF(AR195=regle!$E$12,regle!$E$11,
IF(AR195=regle!$F$12,regle!$F$11,
IF(AR195=regle!$G$12,regle!$G$11,
IF(AR195=regle!$H$12,regle!$H$11,
IF(AR195=regle!$I$12,regle!$I$11,""))))))))))</f>
        <v/>
      </c>
      <c r="Y195" t="str">
        <f>IF(NOT($A195),"",
IF(AS195=-2,regle!$J$11,
IF(AS195=regle!$B$12,regle!$B$11,
IF(AS195=regle!$C$12,regle!$C$11,
IF(AS195=regle!$D$12,regle!$D$11,
IF(AS195=regle!$E$12,regle!$E$11,
IF(AS195=regle!$F$12,regle!$F$11,
IF(AS195=regle!$G$12,regle!$G$11,
IF(AS195=regle!$H$12,regle!$H$11,
IF(AS195=regle!$I$12,regle!$I$11,""))))))))))</f>
        <v>EC1</v>
      </c>
      <c r="Z195" t="str">
        <f>IF(NOT($A195),"",
IF(AT195=-2,regle!$J$11,
IF(AT195=regle!$B$12,regle!$B$11,
IF(AT195=regle!$C$12,regle!$C$11,
IF(AT195=regle!$D$12,regle!$D$11,
IF(AT195=regle!$E$12,regle!$E$11,
IF(AT195=regle!$F$12,regle!$F$11,
IF(AT195=regle!$G$12,regle!$G$11,
IF(AT195=regle!$H$12,regle!$H$11,
IF(AT195=regle!$I$12,regle!$I$11,""))))))))))</f>
        <v/>
      </c>
      <c r="AA195" t="str">
        <f>IF(NOT($A195),"",
IF(AU195=-2,regle!$J$11,
IF(AU195=regle!$B$12,regle!$B$11,
IF(AU195=regle!$C$12,regle!$C$11,
IF(AU195=regle!$D$12,regle!$D$11,
IF(AU195=regle!$E$12,regle!$E$11,
IF(AU195=regle!$F$12,regle!$F$11,
IF(AU195=regle!$G$12,regle!$G$11,
IF(AU195=regle!$H$12,regle!$H$11,
IF(AU195=regle!$I$12,regle!$I$11,""))))))))))</f>
        <v/>
      </c>
      <c r="AB195" t="str">
        <f>IF(NOT($A195),"",
IF(AV195=-2,regle!$J$11,
IF(AV195=regle!$B$12,regle!$B$11,
IF(AV195=regle!$C$12,regle!$C$11,
IF(AV195=regle!$D$12,regle!$D$11,
IF(AV195=regle!$E$12,regle!$E$11,
IF(AV195=regle!$F$12,regle!$F$11,
IF(AV195=regle!$G$12,regle!$G$11,
IF(AV195=regle!$H$12,regle!$H$11,
IF(AV195=regle!$I$12,regle!$I$11,""))))))))))</f>
        <v/>
      </c>
      <c r="AC195" t="str">
        <f>IF(NOT($A195),"",
IF(AW195=-2,regle!$J$11,
IF(AW195=regle!$B$12,regle!$B$11,
IF(AW195=regle!$C$12,regle!$C$11,
IF(AW195=regle!$D$12,regle!$D$11,
IF(AW195=regle!$E$12,regle!$E$11,
IF(AW195=regle!$F$12,regle!$F$11,
IF(AW195=regle!$G$12,regle!$G$11,
IF(AW195=regle!$H$12,regle!$H$11,
IF(AW195=regle!$I$12,regle!$I$11,""))))))))))</f>
        <v/>
      </c>
      <c r="AD195" t="str">
        <f>IF(NOT($A195),"",
IF(AX195=-2,regle!$J$11,
IF(AX195=regle!$B$12,regle!$B$11,
IF(AX195=regle!$C$12,regle!$C$11,
IF(AX195=regle!$D$12,regle!$D$11,
IF(AX195=regle!$E$12,regle!$E$11,
IF(AX195=regle!$F$12,regle!$F$11,
IF(AX195=regle!$G$12,regle!$G$11,
IF(AX195=regle!$H$12,regle!$H$11,
IF(AX195=regle!$I$12,regle!$I$11,""))))))))))</f>
        <v>EC2</v>
      </c>
      <c r="AE195" s="14">
        <f>IF($A195,$M195*(IF(U195=regle!$B$11,regle!$B$23,IF(U195=regle!$C$11,regle!$C$23,IF(U195=regle!$D$11,regle!$D$23,IF(U195=regle!$E$11,regle!$E$23,IF(U195=regle!$F$11,regle!$F$23,IF(U195=regle!$G$11,regle!$G$23,IF(U195=regle!$H$11,regle!$H$23,IF(U195=regle!$I$11,regle!$I$23,IF(U195=regle!$J$11,regle!$J$23,0)))))))))))</f>
        <v>0</v>
      </c>
      <c r="AF195" s="14">
        <f>IF($A195,$M195*(IF(V195=regle!$B$11,regle!$B$23,IF(V195=regle!$C$11,regle!$C$23,IF(V195=regle!$D$11,regle!$D$23,IF(V195=regle!$E$11,regle!$E$23,IF(V195=regle!$F$11,regle!$F$23,IF(V195=regle!$G$11,regle!$G$23,IF(V195=regle!$H$11,regle!$H$23,IF(V195=regle!$I$11,regle!$I$23,IF(V195=regle!$J$11,regle!$J$23,0)))))))))))</f>
        <v>0</v>
      </c>
      <c r="AG195" s="14">
        <f>IF($A195,$M195*(IF(W195=regle!$B$11,regle!$B$23,IF(W195=regle!$C$11,regle!$C$23,IF(W195=regle!$D$11,regle!$D$23,IF(W195=regle!$E$11,regle!$E$23,IF(W195=regle!$F$11,regle!$F$23,IF(W195=regle!$G$11,regle!$G$23,IF(W195=regle!$H$11,regle!$H$23,IF(W195=regle!$I$11,regle!$I$23,IF(W195=regle!$J$11,regle!$J$23,0)))))))))))</f>
        <v>0</v>
      </c>
      <c r="AH195" s="14">
        <f>IF($A195,$M195*(IF(X195=regle!$B$11,regle!$B$23,IF(X195=regle!$C$11,regle!$C$23,IF(X195=regle!$D$11,regle!$D$23,IF(X195=regle!$E$11,regle!$E$23,IF(X195=regle!$F$11,regle!$F$23,IF(X195=regle!$G$11,regle!$G$23,IF(X195=regle!$H$11,regle!$H$23,IF(X195=regle!$I$11,regle!$I$23,IF(X195=regle!$J$11,regle!$J$23,0)))))))))))</f>
        <v>0</v>
      </c>
      <c r="AI195" s="14">
        <f>IF($A195,$M195*(IF(Y195=regle!$B$11,regle!$B$23,IF(Y195=regle!$C$11,regle!$C$23,IF(Y195=regle!$D$11,regle!$D$23,IF(Y195=regle!$E$11,regle!$E$23,IF(Y195=regle!$F$11,regle!$F$23,IF(Y195=regle!$G$11,regle!$G$23,IF(Y195=regle!$H$11,regle!$H$23,IF(Y195=regle!$I$11,regle!$I$23,IF(Y195=regle!$J$11,regle!$J$23,0)))))))))))</f>
        <v>1138.752</v>
      </c>
      <c r="AJ195" s="14">
        <f>IF($A195,$M195*(IF(Z195=regle!$B$11,regle!$B$23,IF(Z195=regle!$C$11,regle!$C$23,IF(Z195=regle!$D$11,regle!$D$23,IF(Z195=regle!$E$11,regle!$E$23,IF(Z195=regle!$F$11,regle!$F$23,IF(Z195=regle!$G$11,regle!$G$23,IF(Z195=regle!$H$11,regle!$H$23,IF(Z195=regle!$I$11,regle!$I$23,IF(Z195=regle!$J$11,regle!$J$23,0)))))))))))</f>
        <v>0</v>
      </c>
      <c r="AK195" s="14">
        <f>IF($A195,$M195*(IF(AA195=regle!$B$11,regle!$B$23,IF(AA195=regle!$C$11,regle!$C$23,IF(AA195=regle!$D$11,regle!$D$23,IF(AA195=regle!$E$11,regle!$E$23,IF(AA195=regle!$F$11,regle!$F$23,IF(AA195=regle!$G$11,regle!$G$23,IF(AA195=regle!$H$11,regle!$H$23,IF(AA195=regle!$I$11,regle!$I$23,IF(AA195=regle!$J$11,regle!$J$23,0)))))))))))</f>
        <v>0</v>
      </c>
      <c r="AL195" s="14">
        <f>IF($A195,$M195*(IF(AB195=regle!$B$11,regle!$B$23,IF(AB195=regle!$C$11,regle!$C$23,IF(AB195=regle!$D$11,regle!$D$23,IF(AB195=regle!$E$11,regle!$E$23,IF(AB195=regle!$F$11,regle!$F$23,IF(AB195=regle!$G$11,regle!$G$23,IF(AB195=regle!$H$11,regle!$H$23,IF(AB195=regle!$I$11,regle!$I$23,IF(AB195=regle!$J$11,regle!$J$23,0)))))))))))</f>
        <v>0</v>
      </c>
      <c r="AM195" s="14">
        <f>IF($A195,$M195*(IF(AC195=regle!$B$11,regle!$B$23,IF(AC195=regle!$C$11,regle!$C$23,IF(AC195=regle!$D$11,regle!$D$23,IF(AC195=regle!$E$11,regle!$E$23,IF(AC195=regle!$F$11,regle!$F$23,IF(AC195=regle!$G$11,regle!$G$23,IF(AC195=regle!$H$11,regle!$H$23,IF(AC195=regle!$I$11,regle!$I$23,IF(AC195=regle!$J$11,regle!$J$23,0)))))))))))</f>
        <v>0</v>
      </c>
      <c r="AN195" s="14">
        <f>IF($A195,$M195*(IF(AD195=regle!$B$11,regle!$B$23,IF(AD195=regle!$C$11,regle!$C$23,IF(AD195=regle!$D$11,regle!$D$23,IF(AD195=regle!$E$11,regle!$E$23,IF(AD195=regle!$F$11,regle!$F$23,IF(AD195=regle!$G$11,regle!$G$23,IF(AD195=regle!$H$11,regle!$H$23,IF(AD195=regle!$I$11,regle!$I$23,IF(AD195=regle!$J$11,regle!$J$23,0)))))))))))</f>
        <v>1660.68</v>
      </c>
      <c r="AO195">
        <f>IF(AO$1=$AO$1,IF(regle!B$2-$Q195&gt;=regle!$J$12,-2,IF($S195,IF(regle!$B$2-$Q195&gt;=2,0,-1),regle!B$2-$Q195)),IF(AN195+1&gt;=regle!$J$12,-2,AN195+1))</f>
        <v>9</v>
      </c>
      <c r="AP195">
        <f>IF(AP$1=$AO$1,IF(regle!C$2-$Q195&gt;=regle!$J$12,-2,IF($S195,IF(regle!$B$2-$Q195&gt;=2,0,-1),regle!C$2-$Q195)),IF(AO195+1&gt;=regle!$J$12,-2,AO195+1))</f>
        <v>10</v>
      </c>
      <c r="AQ195">
        <f>IF(AQ$1=$AO$1,IF(regle!D$2-$Q195&gt;=regle!$J$12,-2,IF($S195,IF(regle!$B$2-$Q195&gt;=2,0,-1),regle!D$2-$Q195)),IF(AP195+1&gt;=regle!$J$12,-2,AP195+1))</f>
        <v>11</v>
      </c>
      <c r="AR195">
        <f>IF(AR$1=$AO$1,IF(regle!E$2-$Q195&gt;=regle!$J$12,-2,IF($S195,IF(regle!$B$2-$Q195&gt;=2,0,-1),regle!E$2-$Q195)),IF(AQ195+1&gt;=regle!$J$12,-2,AQ195+1))</f>
        <v>12</v>
      </c>
      <c r="AS195">
        <f>IF(AS$1=$AO$1,IF(regle!F$2-$Q195&gt;=regle!$J$12,-2,IF($S195,IF(regle!$B$2-$Q195&gt;=2,0,-1),regle!F$2-$Q195)),IF(AR195+1&gt;=regle!$J$12,-2,AR195+1))</f>
        <v>13</v>
      </c>
      <c r="AT195">
        <f>IF(AT$1=$AO$1,IF(regle!G$2-$Q195&gt;=regle!$J$12,-2,IF($S195,IF(regle!$B$2-$Q195&gt;=2,0,-1),regle!G$2-$Q195)),IF(AS195+1&gt;=regle!$J$12,-2,AS195+1))</f>
        <v>14</v>
      </c>
      <c r="AU195">
        <f>IF(AU$1=$AO$1,IF(regle!H$2-$Q195&gt;=regle!$J$12,-2,IF($S195,IF(regle!$B$2-$Q195&gt;=2,0,-1),regle!H$2-$Q195)),IF(AT195+1&gt;=regle!$J$12,-2,AT195+1))</f>
        <v>15</v>
      </c>
      <c r="AV195">
        <f>IF(AV$1=$AO$1,IF(regle!I$2-$Q195&gt;=regle!$J$12,-2,IF($S195,IF(regle!$B$2-$Q195&gt;=2,0,-1),regle!I$2-$Q195)),IF(AU195+1&gt;=regle!$J$12,-2,AU195+1))</f>
        <v>16</v>
      </c>
      <c r="AW195">
        <f>IF(AW$1=$AO$1,IF(regle!J$2-$Q195&gt;=regle!$J$12,-2,IF($S195,IF(regle!$B$2-$Q195&gt;=2,0,-1),regle!J$2-$Q195)),IF(AV195+1&gt;=regle!$J$12,-2,AV195+1))</f>
        <v>17</v>
      </c>
      <c r="AX195">
        <f>IF(AX$1=$AO$1,IF(regle!K$2-$Q195&gt;=regle!$J$12,-2,IF($S195,IF(regle!$B$2-$Q195&gt;=2,0,-1),regle!K$2-$Q195)),IF(AW195+1&gt;=regle!$J$12,-2,AW195+1))</f>
        <v>18</v>
      </c>
    </row>
    <row r="196" spans="1:50" x14ac:dyDescent="0.25">
      <c r="A196" t="b">
        <f>AND(modif0[[#This Row],[cdstr]]&lt;&gt;0,OR(regle!$H$27=FALSE,modif0[[#This Row],[essnc]]="PM"))</f>
        <v>1</v>
      </c>
      <c r="B196">
        <f>ROW(objet!A230)</f>
        <v>230</v>
      </c>
      <c r="C196" s="10" t="str">
        <f>objet!D230</f>
        <v>2020000B1222</v>
      </c>
      <c r="D196" t="str">
        <f>LEFT(modif0[[#This Row],[cdstr]],3)</f>
        <v>202</v>
      </c>
      <c r="E196" s="10" t="str">
        <f>objet!G230</f>
        <v>HOSTENS</v>
      </c>
      <c r="F196">
        <f>LEN(modif0[[#This Row],[l_dt]])</f>
        <v>13</v>
      </c>
      <c r="G196" s="10" t="str">
        <f>objet!H230</f>
        <v>LA BROUSTETTE</v>
      </c>
      <c r="H196" s="10" t="str">
        <f>objet!C230</f>
        <v>B1222</v>
      </c>
      <c r="I196" t="str">
        <f>IF(ISNUMBER(VALUE(RIGHT(LEFT(modif0[[#This Row],[idntfn]],2),1))),_xlfn.CONCAT(0,LEFT(modif0[[#This Row],[idntfn]],1)),LEFT(modif0[[#This Row],[idntfn]],2))</f>
        <v>0B</v>
      </c>
      <c r="J196">
        <f>VALUE(LEFT(RIGHT(modif0[[#This Row],[idntfn]],LEN(modif0[[#This Row],[idntfn]])-IF(LEFT(modif0[[#This Row],[sctn]],1)="0",1,2)),LEN(modif0[[#This Row],[idntfn]])-IF(LEFT(modif0[[#This Row],[sctn]],1)="0",1,2)-LEN(modif0[[#This Row],[lttr]])))</f>
        <v>1222</v>
      </c>
      <c r="K196" t="str">
        <f>IF(ISNUMBER(VALUE(RIGHT(modif0[[#This Row],[idntfn]],1))),"",IF(ISNUMBER(VALUE(LEFT(RIGHT(modif0[[#This Row],[idntfn]],2),1))),RIGHT(modif0[[#This Row],[idntfn]],1),RIGHT(modif0[[#This Row],[idntfn]],2)))</f>
        <v/>
      </c>
      <c r="L196" s="10">
        <f>objet!I230</f>
        <v>6010</v>
      </c>
      <c r="M196" s="11">
        <f>modif0[[#This Row],[srfc]]/10000</f>
        <v>0.60099999999999998</v>
      </c>
      <c r="N196" s="10" t="str">
        <f>objet!Z230</f>
        <v>PM</v>
      </c>
      <c r="O196" s="10" t="str">
        <f>objet!AA230</f>
        <v>SL1987</v>
      </c>
      <c r="P196" t="str">
        <f>IF(ISNUMBER(modif0[[#This Row],[trvx]]),"",LEFT(modif0[[#This Row],[trvx]],LEN(modif0[[#This Row],[trvx]])-4))</f>
        <v>SL</v>
      </c>
      <c r="Q196">
        <f>VALUE(RIGHT(modif0[[#This Row],[trvx]],4))</f>
        <v>1987</v>
      </c>
      <c r="R196" t="str">
        <f>_xlfn.CONCAT(modif0[[#This Row],[tp]],"-",modif0[[#This Row],[essnc]],"_",modif0[[#This Row],[anns]])</f>
        <v>SL-PM_1987</v>
      </c>
      <c r="S196" t="b">
        <f>modif0[[#This Row],[tp]]="CR"</f>
        <v>0</v>
      </c>
      <c r="T196">
        <v>40</v>
      </c>
      <c r="U196" t="str">
        <f>IF(NOT($A196),"",
IF(AO196=-2,regle!$J$11,
IF(AO196=regle!$B$12,regle!$B$11,
IF(AO196=regle!$C$12,regle!$C$11,
IF(AO196=regle!$D$12,regle!$D$11,
IF(AO196=regle!$E$12,regle!$E$11,
IF(AO196=regle!$F$12,regle!$F$11,
IF(AO196=regle!$G$12,regle!$G$11,
IF(AO196=regle!$H$12,regle!$H$11,
IF(AO196=regle!$I$12,regle!$I$11,""))))))))))</f>
        <v/>
      </c>
      <c r="V196" t="str">
        <f>IF(NOT($A196),"",
IF(AP196=-2,regle!$J$11,
IF(AP196=regle!$B$12,regle!$B$11,
IF(AP196=regle!$C$12,regle!$C$11,
IF(AP196=regle!$D$12,regle!$D$11,
IF(AP196=regle!$E$12,regle!$E$11,
IF(AP196=regle!$F$12,regle!$F$11,
IF(AP196=regle!$G$12,regle!$G$11,
IF(AP196=regle!$H$12,regle!$H$11,
IF(AP196=regle!$I$12,regle!$I$11,""))))))))))</f>
        <v/>
      </c>
      <c r="W196" t="str">
        <f>IF(NOT($A196),"",
IF(AQ196=-2,regle!$J$11,
IF(AQ196=regle!$B$12,regle!$B$11,
IF(AQ196=regle!$C$12,regle!$C$11,
IF(AQ196=regle!$D$12,regle!$D$11,
IF(AQ196=regle!$E$12,regle!$E$11,
IF(AQ196=regle!$F$12,regle!$F$11,
IF(AQ196=regle!$G$12,regle!$G$11,
IF(AQ196=regle!$H$12,regle!$H$11,
IF(AQ196=regle!$I$12,regle!$I$11,""))))))))))</f>
        <v/>
      </c>
      <c r="X196" t="str">
        <f>IF(NOT($A196),"",
IF(AR196=-2,regle!$J$11,
IF(AR196=regle!$B$12,regle!$B$11,
IF(AR196=regle!$C$12,regle!$C$11,
IF(AR196=regle!$D$12,regle!$D$11,
IF(AR196=regle!$E$12,regle!$E$11,
IF(AR196=regle!$F$12,regle!$F$11,
IF(AR196=regle!$G$12,regle!$G$11,
IF(AR196=regle!$H$12,regle!$H$11,
IF(AR196=regle!$I$12,regle!$I$11,""))))))))))</f>
        <v>CR</v>
      </c>
      <c r="Y196" t="str">
        <f>IF(NOT($A196),"",
IF(AS196=-2,regle!$J$11,
IF(AS196=regle!$B$12,regle!$B$11,
IF(AS196=regle!$C$12,regle!$C$11,
IF(AS196=regle!$D$12,regle!$D$11,
IF(AS196=regle!$E$12,regle!$E$11,
IF(AS196=regle!$F$12,regle!$F$11,
IF(AS196=regle!$G$12,regle!$G$11,
IF(AS196=regle!$H$12,regle!$H$11,
IF(AS196=regle!$I$12,regle!$I$11,""))))))))))</f>
        <v/>
      </c>
      <c r="Z196" t="str">
        <f>IF(NOT($A196),"",
IF(AT196=-2,regle!$J$11,
IF(AT196=regle!$B$12,regle!$B$11,
IF(AT196=regle!$C$12,regle!$C$11,
IF(AT196=regle!$D$12,regle!$D$11,
IF(AT196=regle!$E$12,regle!$E$11,
IF(AT196=regle!$F$12,regle!$F$11,
IF(AT196=regle!$G$12,regle!$G$11,
IF(AT196=regle!$H$12,regle!$H$11,
IF(AT196=regle!$I$12,regle!$I$11,""))))))))))</f>
        <v>RBST</v>
      </c>
      <c r="AA196" t="str">
        <f>IF(NOT($A196),"",
IF(AU196=-2,regle!$J$11,
IF(AU196=regle!$B$12,regle!$B$11,
IF(AU196=regle!$C$12,regle!$C$11,
IF(AU196=regle!$D$12,regle!$D$11,
IF(AU196=regle!$E$12,regle!$E$11,
IF(AU196=regle!$F$12,regle!$F$11,
IF(AU196=regle!$G$12,regle!$G$11,
IF(AU196=regle!$H$12,regle!$H$11,
IF(AU196=regle!$I$12,regle!$I$11,""))))))))))</f>
        <v/>
      </c>
      <c r="AB196" t="str">
        <f>IF(NOT($A196),"",
IF(AV196=-2,regle!$J$11,
IF(AV196=regle!$B$12,regle!$B$11,
IF(AV196=regle!$C$12,regle!$C$11,
IF(AV196=regle!$D$12,regle!$D$11,
IF(AV196=regle!$E$12,regle!$E$11,
IF(AV196=regle!$F$12,regle!$F$11,
IF(AV196=regle!$G$12,regle!$G$11,
IF(AV196=regle!$H$12,regle!$H$11,
IF(AV196=regle!$I$12,regle!$I$11,""))))))))))</f>
        <v>DGT</v>
      </c>
      <c r="AC196" t="str">
        <f>IF(NOT($A196),"",
IF(AW196=-2,regle!$J$11,
IF(AW196=regle!$B$12,regle!$B$11,
IF(AW196=regle!$C$12,regle!$C$11,
IF(AW196=regle!$D$12,regle!$D$11,
IF(AW196=regle!$E$12,regle!$E$11,
IF(AW196=regle!$F$12,regle!$F$11,
IF(AW196=regle!$G$12,regle!$G$11,
IF(AW196=regle!$H$12,regle!$H$11,
IF(AW196=regle!$I$12,regle!$I$11,""))))))))))</f>
        <v/>
      </c>
      <c r="AD196" t="str">
        <f>IF(NOT($A196),"",
IF(AX196=-2,regle!$J$11,
IF(AX196=regle!$B$12,regle!$B$11,
IF(AX196=regle!$C$12,regle!$C$11,
IF(AX196=regle!$D$12,regle!$D$11,
IF(AX196=regle!$E$12,regle!$E$11,
IF(AX196=regle!$F$12,regle!$F$11,
IF(AX196=regle!$G$12,regle!$G$11,
IF(AX196=regle!$H$12,regle!$H$11,
IF(AX196=regle!$I$12,regle!$I$11,""))))))))))</f>
        <v/>
      </c>
      <c r="AE196" s="14">
        <f>IF($A196,$M196*(IF(U196=regle!$B$11,regle!$B$23,IF(U196=regle!$C$11,regle!$C$23,IF(U196=regle!$D$11,regle!$D$23,IF(U196=regle!$E$11,regle!$E$23,IF(U196=regle!$F$11,regle!$F$23,IF(U196=regle!$G$11,regle!$G$23,IF(U196=regle!$H$11,regle!$H$23,IF(U196=regle!$I$11,regle!$I$23,IF(U196=regle!$J$11,regle!$J$23,0)))))))))))</f>
        <v>0</v>
      </c>
      <c r="AF196" s="14">
        <f>IF($A196,$M196*(IF(V196=regle!$B$11,regle!$B$23,IF(V196=regle!$C$11,regle!$C$23,IF(V196=regle!$D$11,regle!$D$23,IF(V196=regle!$E$11,regle!$E$23,IF(V196=regle!$F$11,regle!$F$23,IF(V196=regle!$G$11,regle!$G$23,IF(V196=regle!$H$11,regle!$H$23,IF(V196=regle!$I$11,regle!$I$23,IF(V196=regle!$J$11,regle!$J$23,0)))))))))))</f>
        <v>0</v>
      </c>
      <c r="AG196" s="14">
        <f>IF($A196,$M196*(IF(W196=regle!$B$11,regle!$B$23,IF(W196=regle!$C$11,regle!$C$23,IF(W196=regle!$D$11,regle!$D$23,IF(W196=regle!$E$11,regle!$E$23,IF(W196=regle!$F$11,regle!$F$23,IF(W196=regle!$G$11,regle!$G$23,IF(W196=regle!$H$11,regle!$H$23,IF(W196=regle!$I$11,regle!$I$23,IF(W196=regle!$J$11,regle!$J$23,0)))))))))))</f>
        <v>0</v>
      </c>
      <c r="AH196" s="14">
        <f>IF($A196,$M196*(IF(X196=regle!$B$11,regle!$B$23,IF(X196=regle!$C$11,regle!$C$23,IF(X196=regle!$D$11,regle!$D$23,IF(X196=regle!$E$11,regle!$E$23,IF(X196=regle!$F$11,regle!$F$23,IF(X196=regle!$G$11,regle!$G$23,IF(X196=regle!$H$11,regle!$H$23,IF(X196=regle!$I$11,regle!$I$23,IF(X196=regle!$J$11,regle!$J$23,0)))))))))))</f>
        <v>5288.8</v>
      </c>
      <c r="AI196" s="14">
        <f>IF($A196,$M196*(IF(Y196=regle!$B$11,regle!$B$23,IF(Y196=regle!$C$11,regle!$C$23,IF(Y196=regle!$D$11,regle!$D$23,IF(Y196=regle!$E$11,regle!$E$23,IF(Y196=regle!$F$11,regle!$F$23,IF(Y196=regle!$G$11,regle!$G$23,IF(Y196=regle!$H$11,regle!$H$23,IF(Y196=regle!$I$11,regle!$I$23,IF(Y196=regle!$J$11,regle!$J$23,0)))))))))))</f>
        <v>0</v>
      </c>
      <c r="AJ196" s="14">
        <f>IF($A196,$M196*(IF(Z196=regle!$B$11,regle!$B$23,IF(Z196=regle!$C$11,regle!$C$23,IF(Z196=regle!$D$11,regle!$D$23,IF(Z196=regle!$E$11,regle!$E$23,IF(Z196=regle!$F$11,regle!$F$23,IF(Z196=regle!$G$11,regle!$G$23,IF(Z196=regle!$H$11,regle!$H$23,IF(Z196=regle!$I$11,regle!$I$23,IF(Z196=regle!$J$11,regle!$J$23,0)))))))))))</f>
        <v>-1021.6999999999999</v>
      </c>
      <c r="AK196" s="14">
        <f>IF($A196,$M196*(IF(AA196=regle!$B$11,regle!$B$23,IF(AA196=regle!$C$11,regle!$C$23,IF(AA196=regle!$D$11,regle!$D$23,IF(AA196=regle!$E$11,regle!$E$23,IF(AA196=regle!$F$11,regle!$F$23,IF(AA196=regle!$G$11,regle!$G$23,IF(AA196=regle!$H$11,regle!$H$23,IF(AA196=regle!$I$11,regle!$I$23,IF(AA196=regle!$J$11,regle!$J$23,0)))))))))))</f>
        <v>0</v>
      </c>
      <c r="AL196" s="14">
        <f>IF($A196,$M196*(IF(AB196=regle!$B$11,regle!$B$23,IF(AB196=regle!$C$11,regle!$C$23,IF(AB196=regle!$D$11,regle!$D$23,IF(AB196=regle!$E$11,regle!$E$23,IF(AB196=regle!$F$11,regle!$F$23,IF(AB196=regle!$G$11,regle!$G$23,IF(AB196=regle!$H$11,regle!$H$23,IF(AB196=regle!$I$11,regle!$I$23,IF(AB196=regle!$J$11,regle!$J$23,0)))))))))))</f>
        <v>-45.074999999999996</v>
      </c>
      <c r="AM196" s="14">
        <f>IF($A196,$M196*(IF(AC196=regle!$B$11,regle!$B$23,IF(AC196=regle!$C$11,regle!$C$23,IF(AC196=regle!$D$11,regle!$D$23,IF(AC196=regle!$E$11,regle!$E$23,IF(AC196=regle!$F$11,regle!$F$23,IF(AC196=regle!$G$11,regle!$G$23,IF(AC196=regle!$H$11,regle!$H$23,IF(AC196=regle!$I$11,regle!$I$23,IF(AC196=regle!$J$11,regle!$J$23,0)))))))))))</f>
        <v>0</v>
      </c>
      <c r="AN196" s="14">
        <f>IF($A196,$M196*(IF(AD196=regle!$B$11,regle!$B$23,IF(AD196=regle!$C$11,regle!$C$23,IF(AD196=regle!$D$11,regle!$D$23,IF(AD196=regle!$E$11,regle!$E$23,IF(AD196=regle!$F$11,regle!$F$23,IF(AD196=regle!$G$11,regle!$G$23,IF(AD196=regle!$H$11,regle!$H$23,IF(AD196=regle!$I$11,regle!$I$23,IF(AD196=regle!$J$11,regle!$J$23,0)))))))))))</f>
        <v>0</v>
      </c>
      <c r="AO196">
        <f>IF(AO$1=$AO$1,IF(regle!B$2-$Q196&gt;=regle!$J$12,-2,IF($S196,IF(regle!$B$2-$Q196&gt;=2,0,-1),regle!B$2-$Q196)),IF(AN196+1&gt;=regle!$J$12,-2,AN196+1))</f>
        <v>37</v>
      </c>
      <c r="AP196">
        <f>IF(AP$1=$AO$1,IF(regle!C$2-$Q196&gt;=regle!$J$12,-2,IF($S196,IF(regle!$B$2-$Q196&gt;=2,0,-1),regle!C$2-$Q196)),IF(AO196+1&gt;=regle!$J$12,-2,AO196+1))</f>
        <v>38</v>
      </c>
      <c r="AQ196">
        <f>IF(AQ$1=$AO$1,IF(regle!D$2-$Q196&gt;=regle!$J$12,-2,IF($S196,IF(regle!$B$2-$Q196&gt;=2,0,-1),regle!D$2-$Q196)),IF(AP196+1&gt;=regle!$J$12,-2,AP196+1))</f>
        <v>39</v>
      </c>
      <c r="AR196">
        <f>IF(AR$1=$AO$1,IF(regle!E$2-$Q196&gt;=regle!$J$12,-2,IF($S196,IF(regle!$B$2-$Q196&gt;=2,0,-1),regle!E$2-$Q196)),IF(AQ196+1&gt;=regle!$J$12,-2,AQ196+1))</f>
        <v>-2</v>
      </c>
      <c r="AS196">
        <f>IF(AS$1=$AO$1,IF(regle!F$2-$Q196&gt;=regle!$J$12,-2,IF($S196,IF(regle!$B$2-$Q196&gt;=2,0,-1),regle!F$2-$Q196)),IF(AR196+1&gt;=regle!$J$12,-2,AR196+1))</f>
        <v>-1</v>
      </c>
      <c r="AT196">
        <f>IF(AT$1=$AO$1,IF(regle!G$2-$Q196&gt;=regle!$J$12,-2,IF($S196,IF(regle!$B$2-$Q196&gt;=2,0,-1),regle!G$2-$Q196)),IF(AS196+1&gt;=regle!$J$12,-2,AS196+1))</f>
        <v>0</v>
      </c>
      <c r="AU196">
        <f>IF(AU$1=$AO$1,IF(regle!H$2-$Q196&gt;=regle!$J$12,-2,IF($S196,IF(regle!$B$2-$Q196&gt;=2,0,-1),regle!H$2-$Q196)),IF(AT196+1&gt;=regle!$J$12,-2,AT196+1))</f>
        <v>1</v>
      </c>
      <c r="AV196">
        <f>IF(AV$1=$AO$1,IF(regle!I$2-$Q196&gt;=regle!$J$12,-2,IF($S196,IF(regle!$B$2-$Q196&gt;=2,0,-1),regle!I$2-$Q196)),IF(AU196+1&gt;=regle!$J$12,-2,AU196+1))</f>
        <v>2</v>
      </c>
      <c r="AW196">
        <f>IF(AW$1=$AO$1,IF(regle!J$2-$Q196&gt;=regle!$J$12,-2,IF($S196,IF(regle!$B$2-$Q196&gt;=2,0,-1),regle!J$2-$Q196)),IF(AV196+1&gt;=regle!$J$12,-2,AV196+1))</f>
        <v>3</v>
      </c>
      <c r="AX196">
        <f>IF(AX$1=$AO$1,IF(regle!K$2-$Q196&gt;=regle!$J$12,-2,IF($S196,IF(regle!$B$2-$Q196&gt;=2,0,-1),regle!K$2-$Q196)),IF(AW196+1&gt;=regle!$J$12,-2,AW196+1))</f>
        <v>4</v>
      </c>
    </row>
    <row r="197" spans="1:50" x14ac:dyDescent="0.25">
      <c r="A197" t="b">
        <f>AND(modif0[[#This Row],[cdstr]]&lt;&gt;0,OR(regle!$H$27=FALSE,modif0[[#This Row],[essnc]]="PM"))</f>
        <v>1</v>
      </c>
      <c r="B197">
        <f>ROW(objet!A232)</f>
        <v>232</v>
      </c>
      <c r="C197" s="10" t="str">
        <f>objet!D232</f>
        <v>2020000B1224</v>
      </c>
      <c r="D197" t="str">
        <f>LEFT(modif0[[#This Row],[cdstr]],3)</f>
        <v>202</v>
      </c>
      <c r="E197" s="10" t="str">
        <f>objet!G232</f>
        <v>HOSTENS</v>
      </c>
      <c r="F197">
        <f>LEN(modif0[[#This Row],[l_dt]])</f>
        <v>13</v>
      </c>
      <c r="G197" s="10" t="str">
        <f>objet!H232</f>
        <v>LA BROUSTETTE</v>
      </c>
      <c r="H197" s="10" t="str">
        <f>objet!C232</f>
        <v>B1224</v>
      </c>
      <c r="I197" t="str">
        <f>IF(ISNUMBER(VALUE(RIGHT(LEFT(modif0[[#This Row],[idntfn]],2),1))),_xlfn.CONCAT(0,LEFT(modif0[[#This Row],[idntfn]],1)),LEFT(modif0[[#This Row],[idntfn]],2))</f>
        <v>0B</v>
      </c>
      <c r="J197">
        <f>VALUE(LEFT(RIGHT(modif0[[#This Row],[idntfn]],LEN(modif0[[#This Row],[idntfn]])-IF(LEFT(modif0[[#This Row],[sctn]],1)="0",1,2)),LEN(modif0[[#This Row],[idntfn]])-IF(LEFT(modif0[[#This Row],[sctn]],1)="0",1,2)-LEN(modif0[[#This Row],[lttr]])))</f>
        <v>1224</v>
      </c>
      <c r="K197" t="str">
        <f>IF(ISNUMBER(VALUE(RIGHT(modif0[[#This Row],[idntfn]],1))),"",IF(ISNUMBER(VALUE(LEFT(RIGHT(modif0[[#This Row],[idntfn]],2),1))),RIGHT(modif0[[#This Row],[idntfn]],1),RIGHT(modif0[[#This Row],[idntfn]],2)))</f>
        <v/>
      </c>
      <c r="L197" s="10">
        <f>objet!I232</f>
        <v>36940</v>
      </c>
      <c r="M197" s="11">
        <f>modif0[[#This Row],[srfc]]/10000</f>
        <v>3.694</v>
      </c>
      <c r="N197" s="10" t="str">
        <f>objet!Z232</f>
        <v>PM</v>
      </c>
      <c r="O197" s="10" t="str">
        <f>objet!AA232</f>
        <v>SL1987</v>
      </c>
      <c r="P197" t="str">
        <f>IF(ISNUMBER(modif0[[#This Row],[trvx]]),"",LEFT(modif0[[#This Row],[trvx]],LEN(modif0[[#This Row],[trvx]])-4))</f>
        <v>SL</v>
      </c>
      <c r="Q197">
        <f>VALUE(RIGHT(modif0[[#This Row],[trvx]],4))</f>
        <v>1987</v>
      </c>
      <c r="R197" t="str">
        <f>_xlfn.CONCAT(modif0[[#This Row],[tp]],"-",modif0[[#This Row],[essnc]],"_",modif0[[#This Row],[anns]])</f>
        <v>SL-PM_1987</v>
      </c>
      <c r="S197" t="b">
        <f>modif0[[#This Row],[tp]]="CR"</f>
        <v>0</v>
      </c>
      <c r="T197">
        <v>40</v>
      </c>
      <c r="U197" t="str">
        <f>IF(NOT($A197),"",
IF(AO197=-2,regle!$J$11,
IF(AO197=regle!$B$12,regle!$B$11,
IF(AO197=regle!$C$12,regle!$C$11,
IF(AO197=regle!$D$12,regle!$D$11,
IF(AO197=regle!$E$12,regle!$E$11,
IF(AO197=regle!$F$12,regle!$F$11,
IF(AO197=regle!$G$12,regle!$G$11,
IF(AO197=regle!$H$12,regle!$H$11,
IF(AO197=regle!$I$12,regle!$I$11,""))))))))))</f>
        <v/>
      </c>
      <c r="V197" t="str">
        <f>IF(NOT($A197),"",
IF(AP197=-2,regle!$J$11,
IF(AP197=regle!$B$12,regle!$B$11,
IF(AP197=regle!$C$12,regle!$C$11,
IF(AP197=regle!$D$12,regle!$D$11,
IF(AP197=regle!$E$12,regle!$E$11,
IF(AP197=regle!$F$12,regle!$F$11,
IF(AP197=regle!$G$12,regle!$G$11,
IF(AP197=regle!$H$12,regle!$H$11,
IF(AP197=regle!$I$12,regle!$I$11,""))))))))))</f>
        <v/>
      </c>
      <c r="W197" t="str">
        <f>IF(NOT($A197),"",
IF(AQ197=-2,regle!$J$11,
IF(AQ197=regle!$B$12,regle!$B$11,
IF(AQ197=regle!$C$12,regle!$C$11,
IF(AQ197=regle!$D$12,regle!$D$11,
IF(AQ197=regle!$E$12,regle!$E$11,
IF(AQ197=regle!$F$12,regle!$F$11,
IF(AQ197=regle!$G$12,regle!$G$11,
IF(AQ197=regle!$H$12,regle!$H$11,
IF(AQ197=regle!$I$12,regle!$I$11,""))))))))))</f>
        <v/>
      </c>
      <c r="X197" t="str">
        <f>IF(NOT($A197),"",
IF(AR197=-2,regle!$J$11,
IF(AR197=regle!$B$12,regle!$B$11,
IF(AR197=regle!$C$12,regle!$C$11,
IF(AR197=regle!$D$12,regle!$D$11,
IF(AR197=regle!$E$12,regle!$E$11,
IF(AR197=regle!$F$12,regle!$F$11,
IF(AR197=regle!$G$12,regle!$G$11,
IF(AR197=regle!$H$12,regle!$H$11,
IF(AR197=regle!$I$12,regle!$I$11,""))))))))))</f>
        <v>CR</v>
      </c>
      <c r="Y197" t="str">
        <f>IF(NOT($A197),"",
IF(AS197=-2,regle!$J$11,
IF(AS197=regle!$B$12,regle!$B$11,
IF(AS197=regle!$C$12,regle!$C$11,
IF(AS197=regle!$D$12,regle!$D$11,
IF(AS197=regle!$E$12,regle!$E$11,
IF(AS197=regle!$F$12,regle!$F$11,
IF(AS197=regle!$G$12,regle!$G$11,
IF(AS197=regle!$H$12,regle!$H$11,
IF(AS197=regle!$I$12,regle!$I$11,""))))))))))</f>
        <v/>
      </c>
      <c r="Z197" t="str">
        <f>IF(NOT($A197),"",
IF(AT197=-2,regle!$J$11,
IF(AT197=regle!$B$12,regle!$B$11,
IF(AT197=regle!$C$12,regle!$C$11,
IF(AT197=regle!$D$12,regle!$D$11,
IF(AT197=regle!$E$12,regle!$E$11,
IF(AT197=regle!$F$12,regle!$F$11,
IF(AT197=regle!$G$12,regle!$G$11,
IF(AT197=regle!$H$12,regle!$H$11,
IF(AT197=regle!$I$12,regle!$I$11,""))))))))))</f>
        <v>RBST</v>
      </c>
      <c r="AA197" t="str">
        <f>IF(NOT($A197),"",
IF(AU197=-2,regle!$J$11,
IF(AU197=regle!$B$12,regle!$B$11,
IF(AU197=regle!$C$12,regle!$C$11,
IF(AU197=regle!$D$12,regle!$D$11,
IF(AU197=regle!$E$12,regle!$E$11,
IF(AU197=regle!$F$12,regle!$F$11,
IF(AU197=regle!$G$12,regle!$G$11,
IF(AU197=regle!$H$12,regle!$H$11,
IF(AU197=regle!$I$12,regle!$I$11,""))))))))))</f>
        <v/>
      </c>
      <c r="AB197" t="str">
        <f>IF(NOT($A197),"",
IF(AV197=-2,regle!$J$11,
IF(AV197=regle!$B$12,regle!$B$11,
IF(AV197=regle!$C$12,regle!$C$11,
IF(AV197=regle!$D$12,regle!$D$11,
IF(AV197=regle!$E$12,regle!$E$11,
IF(AV197=regle!$F$12,regle!$F$11,
IF(AV197=regle!$G$12,regle!$G$11,
IF(AV197=regle!$H$12,regle!$H$11,
IF(AV197=regle!$I$12,regle!$I$11,""))))))))))</f>
        <v>DGT</v>
      </c>
      <c r="AC197" t="str">
        <f>IF(NOT($A197),"",
IF(AW197=-2,regle!$J$11,
IF(AW197=regle!$B$12,regle!$B$11,
IF(AW197=regle!$C$12,regle!$C$11,
IF(AW197=regle!$D$12,regle!$D$11,
IF(AW197=regle!$E$12,regle!$E$11,
IF(AW197=regle!$F$12,regle!$F$11,
IF(AW197=regle!$G$12,regle!$G$11,
IF(AW197=regle!$H$12,regle!$H$11,
IF(AW197=regle!$I$12,regle!$I$11,""))))))))))</f>
        <v/>
      </c>
      <c r="AD197" t="str">
        <f>IF(NOT($A197),"",
IF(AX197=-2,regle!$J$11,
IF(AX197=regle!$B$12,regle!$B$11,
IF(AX197=regle!$C$12,regle!$C$11,
IF(AX197=regle!$D$12,regle!$D$11,
IF(AX197=regle!$E$12,regle!$E$11,
IF(AX197=regle!$F$12,regle!$F$11,
IF(AX197=regle!$G$12,regle!$G$11,
IF(AX197=regle!$H$12,regle!$H$11,
IF(AX197=regle!$I$12,regle!$I$11,""))))))))))</f>
        <v/>
      </c>
      <c r="AE197" s="14">
        <f>IF($A197,$M197*(IF(U197=regle!$B$11,regle!$B$23,IF(U197=regle!$C$11,regle!$C$23,IF(U197=regle!$D$11,regle!$D$23,IF(U197=regle!$E$11,regle!$E$23,IF(U197=regle!$F$11,regle!$F$23,IF(U197=regle!$G$11,regle!$G$23,IF(U197=regle!$H$11,regle!$H$23,IF(U197=regle!$I$11,regle!$I$23,IF(U197=regle!$J$11,regle!$J$23,0)))))))))))</f>
        <v>0</v>
      </c>
      <c r="AF197" s="14">
        <f>IF($A197,$M197*(IF(V197=regle!$B$11,regle!$B$23,IF(V197=regle!$C$11,regle!$C$23,IF(V197=regle!$D$11,regle!$D$23,IF(V197=regle!$E$11,regle!$E$23,IF(V197=regle!$F$11,regle!$F$23,IF(V197=regle!$G$11,regle!$G$23,IF(V197=regle!$H$11,regle!$H$23,IF(V197=regle!$I$11,regle!$I$23,IF(V197=regle!$J$11,regle!$J$23,0)))))))))))</f>
        <v>0</v>
      </c>
      <c r="AG197" s="14">
        <f>IF($A197,$M197*(IF(W197=regle!$B$11,regle!$B$23,IF(W197=regle!$C$11,regle!$C$23,IF(W197=regle!$D$11,regle!$D$23,IF(W197=regle!$E$11,regle!$E$23,IF(W197=regle!$F$11,regle!$F$23,IF(W197=regle!$G$11,regle!$G$23,IF(W197=regle!$H$11,regle!$H$23,IF(W197=regle!$I$11,regle!$I$23,IF(W197=regle!$J$11,regle!$J$23,0)))))))))))</f>
        <v>0</v>
      </c>
      <c r="AH197" s="14">
        <f>IF($A197,$M197*(IF(X197=regle!$B$11,regle!$B$23,IF(X197=regle!$C$11,regle!$C$23,IF(X197=regle!$D$11,regle!$D$23,IF(X197=regle!$E$11,regle!$E$23,IF(X197=regle!$F$11,regle!$F$23,IF(X197=regle!$G$11,regle!$G$23,IF(X197=regle!$H$11,regle!$H$23,IF(X197=regle!$I$11,regle!$I$23,IF(X197=regle!$J$11,regle!$J$23,0)))))))))))</f>
        <v>32507.200000000001</v>
      </c>
      <c r="AI197" s="14">
        <f>IF($A197,$M197*(IF(Y197=regle!$B$11,regle!$B$23,IF(Y197=regle!$C$11,regle!$C$23,IF(Y197=regle!$D$11,regle!$D$23,IF(Y197=regle!$E$11,regle!$E$23,IF(Y197=regle!$F$11,regle!$F$23,IF(Y197=regle!$G$11,regle!$G$23,IF(Y197=regle!$H$11,regle!$H$23,IF(Y197=regle!$I$11,regle!$I$23,IF(Y197=regle!$J$11,regle!$J$23,0)))))))))))</f>
        <v>0</v>
      </c>
      <c r="AJ197" s="14">
        <f>IF($A197,$M197*(IF(Z197=regle!$B$11,regle!$B$23,IF(Z197=regle!$C$11,regle!$C$23,IF(Z197=regle!$D$11,regle!$D$23,IF(Z197=regle!$E$11,regle!$E$23,IF(Z197=regle!$F$11,regle!$F$23,IF(Z197=regle!$G$11,regle!$G$23,IF(Z197=regle!$H$11,regle!$H$23,IF(Z197=regle!$I$11,regle!$I$23,IF(Z197=regle!$J$11,regle!$J$23,0)))))))))))</f>
        <v>-6279.8</v>
      </c>
      <c r="AK197" s="14">
        <f>IF($A197,$M197*(IF(AA197=regle!$B$11,regle!$B$23,IF(AA197=regle!$C$11,regle!$C$23,IF(AA197=regle!$D$11,regle!$D$23,IF(AA197=regle!$E$11,regle!$E$23,IF(AA197=regle!$F$11,regle!$F$23,IF(AA197=regle!$G$11,regle!$G$23,IF(AA197=regle!$H$11,regle!$H$23,IF(AA197=regle!$I$11,regle!$I$23,IF(AA197=regle!$J$11,regle!$J$23,0)))))))))))</f>
        <v>0</v>
      </c>
      <c r="AL197" s="14">
        <f>IF($A197,$M197*(IF(AB197=regle!$B$11,regle!$B$23,IF(AB197=regle!$C$11,regle!$C$23,IF(AB197=regle!$D$11,regle!$D$23,IF(AB197=regle!$E$11,regle!$E$23,IF(AB197=regle!$F$11,regle!$F$23,IF(AB197=regle!$G$11,regle!$G$23,IF(AB197=regle!$H$11,regle!$H$23,IF(AB197=regle!$I$11,regle!$I$23,IF(AB197=regle!$J$11,regle!$J$23,0)))))))))))</f>
        <v>-277.05</v>
      </c>
      <c r="AM197" s="14">
        <f>IF($A197,$M197*(IF(AC197=regle!$B$11,regle!$B$23,IF(AC197=regle!$C$11,regle!$C$23,IF(AC197=regle!$D$11,regle!$D$23,IF(AC197=regle!$E$11,regle!$E$23,IF(AC197=regle!$F$11,regle!$F$23,IF(AC197=regle!$G$11,regle!$G$23,IF(AC197=regle!$H$11,regle!$H$23,IF(AC197=regle!$I$11,regle!$I$23,IF(AC197=regle!$J$11,regle!$J$23,0)))))))))))</f>
        <v>0</v>
      </c>
      <c r="AN197" s="14">
        <f>IF($A197,$M197*(IF(AD197=regle!$B$11,regle!$B$23,IF(AD197=regle!$C$11,regle!$C$23,IF(AD197=regle!$D$11,regle!$D$23,IF(AD197=regle!$E$11,regle!$E$23,IF(AD197=regle!$F$11,regle!$F$23,IF(AD197=regle!$G$11,regle!$G$23,IF(AD197=regle!$H$11,regle!$H$23,IF(AD197=regle!$I$11,regle!$I$23,IF(AD197=regle!$J$11,regle!$J$23,0)))))))))))</f>
        <v>0</v>
      </c>
      <c r="AO197">
        <f>IF(AO$1=$AO$1,IF(regle!B$2-$Q197&gt;=regle!$J$12,-2,IF($S197,IF(regle!$B$2-$Q197&gt;=2,0,-1),regle!B$2-$Q197)),IF(AN197+1&gt;=regle!$J$12,-2,AN197+1))</f>
        <v>37</v>
      </c>
      <c r="AP197">
        <f>IF(AP$1=$AO$1,IF(regle!C$2-$Q197&gt;=regle!$J$12,-2,IF($S197,IF(regle!$B$2-$Q197&gt;=2,0,-1),regle!C$2-$Q197)),IF(AO197+1&gt;=regle!$J$12,-2,AO197+1))</f>
        <v>38</v>
      </c>
      <c r="AQ197">
        <f>IF(AQ$1=$AO$1,IF(regle!D$2-$Q197&gt;=regle!$J$12,-2,IF($S197,IF(regle!$B$2-$Q197&gt;=2,0,-1),regle!D$2-$Q197)),IF(AP197+1&gt;=regle!$J$12,-2,AP197+1))</f>
        <v>39</v>
      </c>
      <c r="AR197">
        <f>IF(AR$1=$AO$1,IF(regle!E$2-$Q197&gt;=regle!$J$12,-2,IF($S197,IF(regle!$B$2-$Q197&gt;=2,0,-1),regle!E$2-$Q197)),IF(AQ197+1&gt;=regle!$J$12,-2,AQ197+1))</f>
        <v>-2</v>
      </c>
      <c r="AS197">
        <f>IF(AS$1=$AO$1,IF(regle!F$2-$Q197&gt;=regle!$J$12,-2,IF($S197,IF(regle!$B$2-$Q197&gt;=2,0,-1),regle!F$2-$Q197)),IF(AR197+1&gt;=regle!$J$12,-2,AR197+1))</f>
        <v>-1</v>
      </c>
      <c r="AT197">
        <f>IF(AT$1=$AO$1,IF(regle!G$2-$Q197&gt;=regle!$J$12,-2,IF($S197,IF(regle!$B$2-$Q197&gt;=2,0,-1),regle!G$2-$Q197)),IF(AS197+1&gt;=regle!$J$12,-2,AS197+1))</f>
        <v>0</v>
      </c>
      <c r="AU197">
        <f>IF(AU$1=$AO$1,IF(regle!H$2-$Q197&gt;=regle!$J$12,-2,IF($S197,IF(regle!$B$2-$Q197&gt;=2,0,-1),regle!H$2-$Q197)),IF(AT197+1&gt;=regle!$J$12,-2,AT197+1))</f>
        <v>1</v>
      </c>
      <c r="AV197">
        <f>IF(AV$1=$AO$1,IF(regle!I$2-$Q197&gt;=regle!$J$12,-2,IF($S197,IF(regle!$B$2-$Q197&gt;=2,0,-1),regle!I$2-$Q197)),IF(AU197+1&gt;=regle!$J$12,-2,AU197+1))</f>
        <v>2</v>
      </c>
      <c r="AW197">
        <f>IF(AW$1=$AO$1,IF(regle!J$2-$Q197&gt;=regle!$J$12,-2,IF($S197,IF(regle!$B$2-$Q197&gt;=2,0,-1),regle!J$2-$Q197)),IF(AV197+1&gt;=regle!$J$12,-2,AV197+1))</f>
        <v>3</v>
      </c>
      <c r="AX197">
        <f>IF(AX$1=$AO$1,IF(regle!K$2-$Q197&gt;=regle!$J$12,-2,IF($S197,IF(regle!$B$2-$Q197&gt;=2,0,-1),regle!K$2-$Q197)),IF(AW197+1&gt;=regle!$J$12,-2,AW197+1))</f>
        <v>4</v>
      </c>
    </row>
    <row r="198" spans="1:50" x14ac:dyDescent="0.25">
      <c r="A198" t="b">
        <f>AND(modif0[[#This Row],[cdstr]]&lt;&gt;0,OR(regle!$H$27=FALSE,modif0[[#This Row],[essnc]]="PM"))</f>
        <v>1</v>
      </c>
      <c r="B198">
        <f>ROW(objet!A233)</f>
        <v>233</v>
      </c>
      <c r="C198" s="10" t="str">
        <f>objet!D233</f>
        <v>2020000B1225</v>
      </c>
      <c r="D198" t="str">
        <f>LEFT(modif0[[#This Row],[cdstr]],3)</f>
        <v>202</v>
      </c>
      <c r="E198" s="10" t="str">
        <f>objet!G233</f>
        <v>HOSTENS</v>
      </c>
      <c r="F198">
        <f>LEN(modif0[[#This Row],[l_dt]])</f>
        <v>13</v>
      </c>
      <c r="G198" s="10" t="str">
        <f>objet!H233</f>
        <v>LA BROUSTETTE</v>
      </c>
      <c r="H198" s="10" t="str">
        <f>objet!C233</f>
        <v>B1225</v>
      </c>
      <c r="I198" t="str">
        <f>IF(ISNUMBER(VALUE(RIGHT(LEFT(modif0[[#This Row],[idntfn]],2),1))),_xlfn.CONCAT(0,LEFT(modif0[[#This Row],[idntfn]],1)),LEFT(modif0[[#This Row],[idntfn]],2))</f>
        <v>0B</v>
      </c>
      <c r="J198">
        <f>VALUE(LEFT(RIGHT(modif0[[#This Row],[idntfn]],LEN(modif0[[#This Row],[idntfn]])-IF(LEFT(modif0[[#This Row],[sctn]],1)="0",1,2)),LEN(modif0[[#This Row],[idntfn]])-IF(LEFT(modif0[[#This Row],[sctn]],1)="0",1,2)-LEN(modif0[[#This Row],[lttr]])))</f>
        <v>1225</v>
      </c>
      <c r="K198" t="str">
        <f>IF(ISNUMBER(VALUE(RIGHT(modif0[[#This Row],[idntfn]],1))),"",IF(ISNUMBER(VALUE(LEFT(RIGHT(modif0[[#This Row],[idntfn]],2),1))),RIGHT(modif0[[#This Row],[idntfn]],1),RIGHT(modif0[[#This Row],[idntfn]],2)))</f>
        <v/>
      </c>
      <c r="L198" s="10">
        <f>objet!I233</f>
        <v>3700</v>
      </c>
      <c r="M198" s="11">
        <f>modif0[[#This Row],[srfc]]/10000</f>
        <v>0.37</v>
      </c>
      <c r="N198" s="10" t="str">
        <f>objet!Z233</f>
        <v>PM</v>
      </c>
      <c r="O198" s="10" t="str">
        <f>objet!AA233</f>
        <v>PLA2018</v>
      </c>
      <c r="P198" t="str">
        <f>IF(ISNUMBER(modif0[[#This Row],[trvx]]),"",LEFT(modif0[[#This Row],[trvx]],LEN(modif0[[#This Row],[trvx]])-4))</f>
        <v>PLA</v>
      </c>
      <c r="Q198">
        <f>VALUE(RIGHT(modif0[[#This Row],[trvx]],4))</f>
        <v>2018</v>
      </c>
      <c r="R198" t="str">
        <f>_xlfn.CONCAT(modif0[[#This Row],[tp]],"-",modif0[[#This Row],[essnc]],"_",modif0[[#This Row],[anns]])</f>
        <v>PLA-PM_2018</v>
      </c>
      <c r="S198" t="b">
        <f>modif0[[#This Row],[tp]]="CR"</f>
        <v>0</v>
      </c>
      <c r="T198">
        <v>40</v>
      </c>
      <c r="U198" t="str">
        <f>IF(NOT($A198),"",
IF(AO198=-2,regle!$J$11,
IF(AO198=regle!$B$12,regle!$B$11,
IF(AO198=regle!$C$12,regle!$C$11,
IF(AO198=regle!$D$12,regle!$D$11,
IF(AO198=regle!$E$12,regle!$E$11,
IF(AO198=regle!$F$12,regle!$F$11,
IF(AO198=regle!$G$12,regle!$G$11,
IF(AO198=regle!$H$12,regle!$H$11,
IF(AO198=regle!$I$12,regle!$I$11,""))))))))))</f>
        <v/>
      </c>
      <c r="V198" t="str">
        <f>IF(NOT($A198),"",
IF(AP198=-2,regle!$J$11,
IF(AP198=regle!$B$12,regle!$B$11,
IF(AP198=regle!$C$12,regle!$C$11,
IF(AP198=regle!$D$12,regle!$D$11,
IF(AP198=regle!$E$12,regle!$E$11,
IF(AP198=regle!$F$12,regle!$F$11,
IF(AP198=regle!$G$12,regle!$G$11,
IF(AP198=regle!$H$12,regle!$H$11,
IF(AP198=regle!$I$12,regle!$I$11,""))))))))))</f>
        <v/>
      </c>
      <c r="W198" t="str">
        <f>IF(NOT($A198),"",
IF(AQ198=-2,regle!$J$11,
IF(AQ198=regle!$B$12,regle!$B$11,
IF(AQ198=regle!$C$12,regle!$C$11,
IF(AQ198=regle!$D$12,regle!$D$11,
IF(AQ198=regle!$E$12,regle!$E$11,
IF(AQ198=regle!$F$12,regle!$F$11,
IF(AQ198=regle!$G$12,regle!$G$11,
IF(AQ198=regle!$H$12,regle!$H$11,
IF(AQ198=regle!$I$12,regle!$I$11,""))))))))))</f>
        <v>ENT2</v>
      </c>
      <c r="X198" t="str">
        <f>IF(NOT($A198),"",
IF(AR198=-2,regle!$J$11,
IF(AR198=regle!$B$12,regle!$B$11,
IF(AR198=regle!$C$12,regle!$C$11,
IF(AR198=regle!$D$12,regle!$D$11,
IF(AR198=regle!$E$12,regle!$E$11,
IF(AR198=regle!$F$12,regle!$F$11,
IF(AR198=regle!$G$12,regle!$G$11,
IF(AR198=regle!$H$12,regle!$H$11,
IF(AR198=regle!$I$12,regle!$I$11,""))))))))))</f>
        <v/>
      </c>
      <c r="Y198" t="str">
        <f>IF(NOT($A198),"",
IF(AS198=-2,regle!$J$11,
IF(AS198=regle!$B$12,regle!$B$11,
IF(AS198=regle!$C$12,regle!$C$11,
IF(AS198=regle!$D$12,regle!$D$11,
IF(AS198=regle!$E$12,regle!$E$11,
IF(AS198=regle!$F$12,regle!$F$11,
IF(AS198=regle!$G$12,regle!$G$11,
IF(AS198=regle!$H$12,regle!$H$11,
IF(AS198=regle!$I$12,regle!$I$11,""))))))))))</f>
        <v/>
      </c>
      <c r="Z198" t="str">
        <f>IF(NOT($A198),"",
IF(AT198=-2,regle!$J$11,
IF(AT198=regle!$B$12,regle!$B$11,
IF(AT198=regle!$C$12,regle!$C$11,
IF(AT198=regle!$D$12,regle!$D$11,
IF(AT198=regle!$E$12,regle!$E$11,
IF(AT198=regle!$F$12,regle!$F$11,
IF(AT198=regle!$G$12,regle!$G$11,
IF(AT198=regle!$H$12,regle!$H$11,
IF(AT198=regle!$I$12,regle!$I$11,""))))))))))</f>
        <v/>
      </c>
      <c r="AA198" t="str">
        <f>IF(NOT($A198),"",
IF(AU198=-2,regle!$J$11,
IF(AU198=regle!$B$12,regle!$B$11,
IF(AU198=regle!$C$12,regle!$C$11,
IF(AU198=regle!$D$12,regle!$D$11,
IF(AU198=regle!$E$12,regle!$E$11,
IF(AU198=regle!$F$12,regle!$F$11,
IF(AU198=regle!$G$12,regle!$G$11,
IF(AU198=regle!$H$12,regle!$H$11,
IF(AU198=regle!$I$12,regle!$I$11,""))))))))))</f>
        <v/>
      </c>
      <c r="AB198" t="str">
        <f>IF(NOT($A198),"",
IF(AV198=-2,regle!$J$11,
IF(AV198=regle!$B$12,regle!$B$11,
IF(AV198=regle!$C$12,regle!$C$11,
IF(AV198=regle!$D$12,regle!$D$11,
IF(AV198=regle!$E$12,regle!$E$11,
IF(AV198=regle!$F$12,regle!$F$11,
IF(AV198=regle!$G$12,regle!$G$11,
IF(AV198=regle!$H$12,regle!$H$11,
IF(AV198=regle!$I$12,regle!$I$11,""))))))))))</f>
        <v>EC1</v>
      </c>
      <c r="AC198" t="str">
        <f>IF(NOT($A198),"",
IF(AW198=-2,regle!$J$11,
IF(AW198=regle!$B$12,regle!$B$11,
IF(AW198=regle!$C$12,regle!$C$11,
IF(AW198=regle!$D$12,regle!$D$11,
IF(AW198=regle!$E$12,regle!$E$11,
IF(AW198=regle!$F$12,regle!$F$11,
IF(AW198=regle!$G$12,regle!$G$11,
IF(AW198=regle!$H$12,regle!$H$11,
IF(AW198=regle!$I$12,regle!$I$11,""))))))))))</f>
        <v/>
      </c>
      <c r="AD198" t="str">
        <f>IF(NOT($A198),"",
IF(AX198=-2,regle!$J$11,
IF(AX198=regle!$B$12,regle!$B$11,
IF(AX198=regle!$C$12,regle!$C$11,
IF(AX198=regle!$D$12,regle!$D$11,
IF(AX198=regle!$E$12,regle!$E$11,
IF(AX198=regle!$F$12,regle!$F$11,
IF(AX198=regle!$G$12,regle!$G$11,
IF(AX198=regle!$H$12,regle!$H$11,
IF(AX198=regle!$I$12,regle!$I$11,""))))))))))</f>
        <v/>
      </c>
      <c r="AE198" s="14">
        <f>IF($A198,$M198*(IF(U198=regle!$B$11,regle!$B$23,IF(U198=regle!$C$11,regle!$C$23,IF(U198=regle!$D$11,regle!$D$23,IF(U198=regle!$E$11,regle!$E$23,IF(U198=regle!$F$11,regle!$F$23,IF(U198=regle!$G$11,regle!$G$23,IF(U198=regle!$H$11,regle!$H$23,IF(U198=regle!$I$11,regle!$I$23,IF(U198=regle!$J$11,regle!$J$23,0)))))))))))</f>
        <v>0</v>
      </c>
      <c r="AF198" s="14">
        <f>IF($A198,$M198*(IF(V198=regle!$B$11,regle!$B$23,IF(V198=regle!$C$11,regle!$C$23,IF(V198=regle!$D$11,regle!$D$23,IF(V198=regle!$E$11,regle!$E$23,IF(V198=regle!$F$11,regle!$F$23,IF(V198=regle!$G$11,regle!$G$23,IF(V198=regle!$H$11,regle!$H$23,IF(V198=regle!$I$11,regle!$I$23,IF(V198=regle!$J$11,regle!$J$23,0)))))))))))</f>
        <v>0</v>
      </c>
      <c r="AG198" s="14">
        <f>IF($A198,$M198*(IF(W198=regle!$B$11,regle!$B$23,IF(W198=regle!$C$11,regle!$C$23,IF(W198=regle!$D$11,regle!$D$23,IF(W198=regle!$E$11,regle!$E$23,IF(W198=regle!$F$11,regle!$F$23,IF(W198=regle!$G$11,regle!$G$23,IF(W198=regle!$H$11,regle!$H$23,IF(W198=regle!$I$11,regle!$I$23,IF(W198=regle!$J$11,regle!$J$23,0)))))))))))</f>
        <v>-33.299999999999997</v>
      </c>
      <c r="AH198" s="14">
        <f>IF($A198,$M198*(IF(X198=regle!$B$11,regle!$B$23,IF(X198=regle!$C$11,regle!$C$23,IF(X198=regle!$D$11,regle!$D$23,IF(X198=regle!$E$11,regle!$E$23,IF(X198=regle!$F$11,regle!$F$23,IF(X198=regle!$G$11,regle!$G$23,IF(X198=regle!$H$11,regle!$H$23,IF(X198=regle!$I$11,regle!$I$23,IF(X198=regle!$J$11,regle!$J$23,0)))))))))))</f>
        <v>0</v>
      </c>
      <c r="AI198" s="14">
        <f>IF($A198,$M198*(IF(Y198=regle!$B$11,regle!$B$23,IF(Y198=regle!$C$11,regle!$C$23,IF(Y198=regle!$D$11,regle!$D$23,IF(Y198=regle!$E$11,regle!$E$23,IF(Y198=regle!$F$11,regle!$F$23,IF(Y198=regle!$G$11,regle!$G$23,IF(Y198=regle!$H$11,regle!$H$23,IF(Y198=regle!$I$11,regle!$I$23,IF(Y198=regle!$J$11,regle!$J$23,0)))))))))))</f>
        <v>0</v>
      </c>
      <c r="AJ198" s="14">
        <f>IF($A198,$M198*(IF(Z198=regle!$B$11,regle!$B$23,IF(Z198=regle!$C$11,regle!$C$23,IF(Z198=regle!$D$11,regle!$D$23,IF(Z198=regle!$E$11,regle!$E$23,IF(Z198=regle!$F$11,regle!$F$23,IF(Z198=regle!$G$11,regle!$G$23,IF(Z198=regle!$H$11,regle!$H$23,IF(Z198=regle!$I$11,regle!$I$23,IF(Z198=regle!$J$11,regle!$J$23,0)))))))))))</f>
        <v>0</v>
      </c>
      <c r="AK198" s="14">
        <f>IF($A198,$M198*(IF(AA198=regle!$B$11,regle!$B$23,IF(AA198=regle!$C$11,regle!$C$23,IF(AA198=regle!$D$11,regle!$D$23,IF(AA198=regle!$E$11,regle!$E$23,IF(AA198=regle!$F$11,regle!$F$23,IF(AA198=regle!$G$11,regle!$G$23,IF(AA198=regle!$H$11,regle!$H$23,IF(AA198=regle!$I$11,regle!$I$23,IF(AA198=regle!$J$11,regle!$J$23,0)))))))))))</f>
        <v>0</v>
      </c>
      <c r="AL198" s="14">
        <f>IF($A198,$M198*(IF(AB198=regle!$B$11,regle!$B$23,IF(AB198=regle!$C$11,regle!$C$23,IF(AB198=regle!$D$11,regle!$D$23,IF(AB198=regle!$E$11,regle!$E$23,IF(AB198=regle!$F$11,regle!$F$23,IF(AB198=regle!$G$11,regle!$G$23,IF(AB198=regle!$H$11,regle!$H$23,IF(AB198=regle!$I$11,regle!$I$23,IF(AB198=regle!$J$11,regle!$J$23,0)))))))))))</f>
        <v>213.12</v>
      </c>
      <c r="AM198" s="14">
        <f>IF($A198,$M198*(IF(AC198=regle!$B$11,regle!$B$23,IF(AC198=regle!$C$11,regle!$C$23,IF(AC198=regle!$D$11,regle!$D$23,IF(AC198=regle!$E$11,regle!$E$23,IF(AC198=regle!$F$11,regle!$F$23,IF(AC198=regle!$G$11,regle!$G$23,IF(AC198=regle!$H$11,regle!$H$23,IF(AC198=regle!$I$11,regle!$I$23,IF(AC198=regle!$J$11,regle!$J$23,0)))))))))))</f>
        <v>0</v>
      </c>
      <c r="AN198" s="14">
        <f>IF($A198,$M198*(IF(AD198=regle!$B$11,regle!$B$23,IF(AD198=regle!$C$11,regle!$C$23,IF(AD198=regle!$D$11,regle!$D$23,IF(AD198=regle!$E$11,regle!$E$23,IF(AD198=regle!$F$11,regle!$F$23,IF(AD198=regle!$G$11,regle!$G$23,IF(AD198=regle!$H$11,regle!$H$23,IF(AD198=regle!$I$11,regle!$I$23,IF(AD198=regle!$J$11,regle!$J$23,0)))))))))))</f>
        <v>0</v>
      </c>
      <c r="AO198">
        <f>IF(AO$1=$AO$1,IF(regle!B$2-$Q198&gt;=regle!$J$12,-2,IF($S198,IF(regle!$B$2-$Q198&gt;=2,0,-1),regle!B$2-$Q198)),IF(AN198+1&gt;=regle!$J$12,-2,AN198+1))</f>
        <v>6</v>
      </c>
      <c r="AP198">
        <f>IF(AP$1=$AO$1,IF(regle!C$2-$Q198&gt;=regle!$J$12,-2,IF($S198,IF(regle!$B$2-$Q198&gt;=2,0,-1),regle!C$2-$Q198)),IF(AO198+1&gt;=regle!$J$12,-2,AO198+1))</f>
        <v>7</v>
      </c>
      <c r="AQ198">
        <f>IF(AQ$1=$AO$1,IF(regle!D$2-$Q198&gt;=regle!$J$12,-2,IF($S198,IF(regle!$B$2-$Q198&gt;=2,0,-1),regle!D$2-$Q198)),IF(AP198+1&gt;=regle!$J$12,-2,AP198+1))</f>
        <v>8</v>
      </c>
      <c r="AR198">
        <f>IF(AR$1=$AO$1,IF(regle!E$2-$Q198&gt;=regle!$J$12,-2,IF($S198,IF(regle!$B$2-$Q198&gt;=2,0,-1),regle!E$2-$Q198)),IF(AQ198+1&gt;=regle!$J$12,-2,AQ198+1))</f>
        <v>9</v>
      </c>
      <c r="AS198">
        <f>IF(AS$1=$AO$1,IF(regle!F$2-$Q198&gt;=regle!$J$12,-2,IF($S198,IF(regle!$B$2-$Q198&gt;=2,0,-1),regle!F$2-$Q198)),IF(AR198+1&gt;=regle!$J$12,-2,AR198+1))</f>
        <v>10</v>
      </c>
      <c r="AT198">
        <f>IF(AT$1=$AO$1,IF(regle!G$2-$Q198&gt;=regle!$J$12,-2,IF($S198,IF(regle!$B$2-$Q198&gt;=2,0,-1),regle!G$2-$Q198)),IF(AS198+1&gt;=regle!$J$12,-2,AS198+1))</f>
        <v>11</v>
      </c>
      <c r="AU198">
        <f>IF(AU$1=$AO$1,IF(regle!H$2-$Q198&gt;=regle!$J$12,-2,IF($S198,IF(regle!$B$2-$Q198&gt;=2,0,-1),regle!H$2-$Q198)),IF(AT198+1&gt;=regle!$J$12,-2,AT198+1))</f>
        <v>12</v>
      </c>
      <c r="AV198">
        <f>IF(AV$1=$AO$1,IF(regle!I$2-$Q198&gt;=regle!$J$12,-2,IF($S198,IF(regle!$B$2-$Q198&gt;=2,0,-1),regle!I$2-$Q198)),IF(AU198+1&gt;=regle!$J$12,-2,AU198+1))</f>
        <v>13</v>
      </c>
      <c r="AW198">
        <f>IF(AW$1=$AO$1,IF(regle!J$2-$Q198&gt;=regle!$J$12,-2,IF($S198,IF(regle!$B$2-$Q198&gt;=2,0,-1),regle!J$2-$Q198)),IF(AV198+1&gt;=regle!$J$12,-2,AV198+1))</f>
        <v>14</v>
      </c>
      <c r="AX198">
        <f>IF(AX$1=$AO$1,IF(regle!K$2-$Q198&gt;=regle!$J$12,-2,IF($S198,IF(regle!$B$2-$Q198&gt;=2,0,-1),regle!K$2-$Q198)),IF(AW198+1&gt;=regle!$J$12,-2,AW198+1))</f>
        <v>15</v>
      </c>
    </row>
    <row r="199" spans="1:50" x14ac:dyDescent="0.25">
      <c r="A199" t="b">
        <f>AND(modif0[[#This Row],[cdstr]]&lt;&gt;0,OR(regle!$H$27=FALSE,modif0[[#This Row],[essnc]]="PM"))</f>
        <v>1</v>
      </c>
      <c r="B199">
        <f>ROW(objet!A234)</f>
        <v>234</v>
      </c>
      <c r="C199" s="10" t="str">
        <f>objet!D234</f>
        <v>2020000B1226</v>
      </c>
      <c r="D199" t="str">
        <f>LEFT(modif0[[#This Row],[cdstr]],3)</f>
        <v>202</v>
      </c>
      <c r="E199" s="10" t="str">
        <f>objet!G234</f>
        <v>HOSTENS</v>
      </c>
      <c r="F199">
        <f>LEN(modif0[[#This Row],[l_dt]])</f>
        <v>13</v>
      </c>
      <c r="G199" s="10" t="str">
        <f>objet!H234</f>
        <v>LA BROUSTETTE</v>
      </c>
      <c r="H199" s="10" t="str">
        <f>objet!C234</f>
        <v>B1226</v>
      </c>
      <c r="I199" t="str">
        <f>IF(ISNUMBER(VALUE(RIGHT(LEFT(modif0[[#This Row],[idntfn]],2),1))),_xlfn.CONCAT(0,LEFT(modif0[[#This Row],[idntfn]],1)),LEFT(modif0[[#This Row],[idntfn]],2))</f>
        <v>0B</v>
      </c>
      <c r="J199">
        <f>VALUE(LEFT(RIGHT(modif0[[#This Row],[idntfn]],LEN(modif0[[#This Row],[idntfn]])-IF(LEFT(modif0[[#This Row],[sctn]],1)="0",1,2)),LEN(modif0[[#This Row],[idntfn]])-IF(LEFT(modif0[[#This Row],[sctn]],1)="0",1,2)-LEN(modif0[[#This Row],[lttr]])))</f>
        <v>1226</v>
      </c>
      <c r="K199" t="str">
        <f>IF(ISNUMBER(VALUE(RIGHT(modif0[[#This Row],[idntfn]],1))),"",IF(ISNUMBER(VALUE(LEFT(RIGHT(modif0[[#This Row],[idntfn]],2),1))),RIGHT(modif0[[#This Row],[idntfn]],1),RIGHT(modif0[[#This Row],[idntfn]],2)))</f>
        <v/>
      </c>
      <c r="L199" s="10">
        <f>objet!I234</f>
        <v>8920</v>
      </c>
      <c r="M199" s="11">
        <f>modif0[[#This Row],[srfc]]/10000</f>
        <v>0.89200000000000002</v>
      </c>
      <c r="N199" s="10" t="str">
        <f>objet!Z234</f>
        <v>PM</v>
      </c>
      <c r="O199" s="10" t="str">
        <f>objet!AA234</f>
        <v>SL1987</v>
      </c>
      <c r="P199" t="str">
        <f>IF(ISNUMBER(modif0[[#This Row],[trvx]]),"",LEFT(modif0[[#This Row],[trvx]],LEN(modif0[[#This Row],[trvx]])-4))</f>
        <v>SL</v>
      </c>
      <c r="Q199">
        <f>VALUE(RIGHT(modif0[[#This Row],[trvx]],4))</f>
        <v>1987</v>
      </c>
      <c r="R199" t="str">
        <f>_xlfn.CONCAT(modif0[[#This Row],[tp]],"-",modif0[[#This Row],[essnc]],"_",modif0[[#This Row],[anns]])</f>
        <v>SL-PM_1987</v>
      </c>
      <c r="S199" t="b">
        <f>modif0[[#This Row],[tp]]="CR"</f>
        <v>0</v>
      </c>
      <c r="T199">
        <v>40</v>
      </c>
      <c r="U199" t="str">
        <f>IF(NOT($A199),"",
IF(AO199=-2,regle!$J$11,
IF(AO199=regle!$B$12,regle!$B$11,
IF(AO199=regle!$C$12,regle!$C$11,
IF(AO199=regle!$D$12,regle!$D$11,
IF(AO199=regle!$E$12,regle!$E$11,
IF(AO199=regle!$F$12,regle!$F$11,
IF(AO199=regle!$G$12,regle!$G$11,
IF(AO199=regle!$H$12,regle!$H$11,
IF(AO199=regle!$I$12,regle!$I$11,""))))))))))</f>
        <v/>
      </c>
      <c r="V199" t="str">
        <f>IF(NOT($A199),"",
IF(AP199=-2,regle!$J$11,
IF(AP199=regle!$B$12,regle!$B$11,
IF(AP199=regle!$C$12,regle!$C$11,
IF(AP199=regle!$D$12,regle!$D$11,
IF(AP199=regle!$E$12,regle!$E$11,
IF(AP199=regle!$F$12,regle!$F$11,
IF(AP199=regle!$G$12,regle!$G$11,
IF(AP199=regle!$H$12,regle!$H$11,
IF(AP199=regle!$I$12,regle!$I$11,""))))))))))</f>
        <v/>
      </c>
      <c r="W199" t="str">
        <f>IF(NOT($A199),"",
IF(AQ199=-2,regle!$J$11,
IF(AQ199=regle!$B$12,regle!$B$11,
IF(AQ199=regle!$C$12,regle!$C$11,
IF(AQ199=regle!$D$12,regle!$D$11,
IF(AQ199=regle!$E$12,regle!$E$11,
IF(AQ199=regle!$F$12,regle!$F$11,
IF(AQ199=regle!$G$12,regle!$G$11,
IF(AQ199=regle!$H$12,regle!$H$11,
IF(AQ199=regle!$I$12,regle!$I$11,""))))))))))</f>
        <v/>
      </c>
      <c r="X199" t="str">
        <f>IF(NOT($A199),"",
IF(AR199=-2,regle!$J$11,
IF(AR199=regle!$B$12,regle!$B$11,
IF(AR199=regle!$C$12,regle!$C$11,
IF(AR199=regle!$D$12,regle!$D$11,
IF(AR199=regle!$E$12,regle!$E$11,
IF(AR199=regle!$F$12,regle!$F$11,
IF(AR199=regle!$G$12,regle!$G$11,
IF(AR199=regle!$H$12,regle!$H$11,
IF(AR199=regle!$I$12,regle!$I$11,""))))))))))</f>
        <v>CR</v>
      </c>
      <c r="Y199" t="str">
        <f>IF(NOT($A199),"",
IF(AS199=-2,regle!$J$11,
IF(AS199=regle!$B$12,regle!$B$11,
IF(AS199=regle!$C$12,regle!$C$11,
IF(AS199=regle!$D$12,regle!$D$11,
IF(AS199=regle!$E$12,regle!$E$11,
IF(AS199=regle!$F$12,regle!$F$11,
IF(AS199=regle!$G$12,regle!$G$11,
IF(AS199=regle!$H$12,regle!$H$11,
IF(AS199=regle!$I$12,regle!$I$11,""))))))))))</f>
        <v/>
      </c>
      <c r="Z199" t="str">
        <f>IF(NOT($A199),"",
IF(AT199=-2,regle!$J$11,
IF(AT199=regle!$B$12,regle!$B$11,
IF(AT199=regle!$C$12,regle!$C$11,
IF(AT199=regle!$D$12,regle!$D$11,
IF(AT199=regle!$E$12,regle!$E$11,
IF(AT199=regle!$F$12,regle!$F$11,
IF(AT199=regle!$G$12,regle!$G$11,
IF(AT199=regle!$H$12,regle!$H$11,
IF(AT199=regle!$I$12,regle!$I$11,""))))))))))</f>
        <v>RBST</v>
      </c>
      <c r="AA199" t="str">
        <f>IF(NOT($A199),"",
IF(AU199=-2,regle!$J$11,
IF(AU199=regle!$B$12,regle!$B$11,
IF(AU199=regle!$C$12,regle!$C$11,
IF(AU199=regle!$D$12,regle!$D$11,
IF(AU199=regle!$E$12,regle!$E$11,
IF(AU199=regle!$F$12,regle!$F$11,
IF(AU199=regle!$G$12,regle!$G$11,
IF(AU199=regle!$H$12,regle!$H$11,
IF(AU199=regle!$I$12,regle!$I$11,""))))))))))</f>
        <v/>
      </c>
      <c r="AB199" t="str">
        <f>IF(NOT($A199),"",
IF(AV199=-2,regle!$J$11,
IF(AV199=regle!$B$12,regle!$B$11,
IF(AV199=regle!$C$12,regle!$C$11,
IF(AV199=regle!$D$12,regle!$D$11,
IF(AV199=regle!$E$12,regle!$E$11,
IF(AV199=regle!$F$12,regle!$F$11,
IF(AV199=regle!$G$12,regle!$G$11,
IF(AV199=regle!$H$12,regle!$H$11,
IF(AV199=regle!$I$12,regle!$I$11,""))))))))))</f>
        <v>DGT</v>
      </c>
      <c r="AC199" t="str">
        <f>IF(NOT($A199),"",
IF(AW199=-2,regle!$J$11,
IF(AW199=regle!$B$12,regle!$B$11,
IF(AW199=regle!$C$12,regle!$C$11,
IF(AW199=regle!$D$12,regle!$D$11,
IF(AW199=regle!$E$12,regle!$E$11,
IF(AW199=regle!$F$12,regle!$F$11,
IF(AW199=regle!$G$12,regle!$G$11,
IF(AW199=regle!$H$12,regle!$H$11,
IF(AW199=regle!$I$12,regle!$I$11,""))))))))))</f>
        <v/>
      </c>
      <c r="AD199" t="str">
        <f>IF(NOT($A199),"",
IF(AX199=-2,regle!$J$11,
IF(AX199=regle!$B$12,regle!$B$11,
IF(AX199=regle!$C$12,regle!$C$11,
IF(AX199=regle!$D$12,regle!$D$11,
IF(AX199=regle!$E$12,regle!$E$11,
IF(AX199=regle!$F$12,regle!$F$11,
IF(AX199=regle!$G$12,regle!$G$11,
IF(AX199=regle!$H$12,regle!$H$11,
IF(AX199=regle!$I$12,regle!$I$11,""))))))))))</f>
        <v/>
      </c>
      <c r="AE199" s="14">
        <f>IF($A199,$M199*(IF(U199=regle!$B$11,regle!$B$23,IF(U199=regle!$C$11,regle!$C$23,IF(U199=regle!$D$11,regle!$D$23,IF(U199=regle!$E$11,regle!$E$23,IF(U199=regle!$F$11,regle!$F$23,IF(U199=regle!$G$11,regle!$G$23,IF(U199=regle!$H$11,regle!$H$23,IF(U199=regle!$I$11,regle!$I$23,IF(U199=regle!$J$11,regle!$J$23,0)))))))))))</f>
        <v>0</v>
      </c>
      <c r="AF199" s="14">
        <f>IF($A199,$M199*(IF(V199=regle!$B$11,regle!$B$23,IF(V199=regle!$C$11,regle!$C$23,IF(V199=regle!$D$11,regle!$D$23,IF(V199=regle!$E$11,regle!$E$23,IF(V199=regle!$F$11,regle!$F$23,IF(V199=regle!$G$11,regle!$G$23,IF(V199=regle!$H$11,regle!$H$23,IF(V199=regle!$I$11,regle!$I$23,IF(V199=regle!$J$11,regle!$J$23,0)))))))))))</f>
        <v>0</v>
      </c>
      <c r="AG199" s="14">
        <f>IF($A199,$M199*(IF(W199=regle!$B$11,regle!$B$23,IF(W199=regle!$C$11,regle!$C$23,IF(W199=regle!$D$11,regle!$D$23,IF(W199=regle!$E$11,regle!$E$23,IF(W199=regle!$F$11,regle!$F$23,IF(W199=regle!$G$11,regle!$G$23,IF(W199=regle!$H$11,regle!$H$23,IF(W199=regle!$I$11,regle!$I$23,IF(W199=regle!$J$11,regle!$J$23,0)))))))))))</f>
        <v>0</v>
      </c>
      <c r="AH199" s="14">
        <f>IF($A199,$M199*(IF(X199=regle!$B$11,regle!$B$23,IF(X199=regle!$C$11,regle!$C$23,IF(X199=regle!$D$11,regle!$D$23,IF(X199=regle!$E$11,regle!$E$23,IF(X199=regle!$F$11,regle!$F$23,IF(X199=regle!$G$11,regle!$G$23,IF(X199=regle!$H$11,regle!$H$23,IF(X199=regle!$I$11,regle!$I$23,IF(X199=regle!$J$11,regle!$J$23,0)))))))))))</f>
        <v>7849.6</v>
      </c>
      <c r="AI199" s="14">
        <f>IF($A199,$M199*(IF(Y199=regle!$B$11,regle!$B$23,IF(Y199=regle!$C$11,regle!$C$23,IF(Y199=regle!$D$11,regle!$D$23,IF(Y199=regle!$E$11,regle!$E$23,IF(Y199=regle!$F$11,regle!$F$23,IF(Y199=regle!$G$11,regle!$G$23,IF(Y199=regle!$H$11,regle!$H$23,IF(Y199=regle!$I$11,regle!$I$23,IF(Y199=regle!$J$11,regle!$J$23,0)))))))))))</f>
        <v>0</v>
      </c>
      <c r="AJ199" s="14">
        <f>IF($A199,$M199*(IF(Z199=regle!$B$11,regle!$B$23,IF(Z199=regle!$C$11,regle!$C$23,IF(Z199=regle!$D$11,regle!$D$23,IF(Z199=regle!$E$11,regle!$E$23,IF(Z199=regle!$F$11,regle!$F$23,IF(Z199=regle!$G$11,regle!$G$23,IF(Z199=regle!$H$11,regle!$H$23,IF(Z199=regle!$I$11,regle!$I$23,IF(Z199=regle!$J$11,regle!$J$23,0)))))))))))</f>
        <v>-1516.4</v>
      </c>
      <c r="AK199" s="14">
        <f>IF($A199,$M199*(IF(AA199=regle!$B$11,regle!$B$23,IF(AA199=regle!$C$11,regle!$C$23,IF(AA199=regle!$D$11,regle!$D$23,IF(AA199=regle!$E$11,regle!$E$23,IF(AA199=regle!$F$11,regle!$F$23,IF(AA199=regle!$G$11,regle!$G$23,IF(AA199=regle!$H$11,regle!$H$23,IF(AA199=regle!$I$11,regle!$I$23,IF(AA199=regle!$J$11,regle!$J$23,0)))))))))))</f>
        <v>0</v>
      </c>
      <c r="AL199" s="14">
        <f>IF($A199,$M199*(IF(AB199=regle!$B$11,regle!$B$23,IF(AB199=regle!$C$11,regle!$C$23,IF(AB199=regle!$D$11,regle!$D$23,IF(AB199=regle!$E$11,regle!$E$23,IF(AB199=regle!$F$11,regle!$F$23,IF(AB199=regle!$G$11,regle!$G$23,IF(AB199=regle!$H$11,regle!$H$23,IF(AB199=regle!$I$11,regle!$I$23,IF(AB199=regle!$J$11,regle!$J$23,0)))))))))))</f>
        <v>-66.900000000000006</v>
      </c>
      <c r="AM199" s="14">
        <f>IF($A199,$M199*(IF(AC199=regle!$B$11,regle!$B$23,IF(AC199=regle!$C$11,regle!$C$23,IF(AC199=regle!$D$11,regle!$D$23,IF(AC199=regle!$E$11,regle!$E$23,IF(AC199=regle!$F$11,regle!$F$23,IF(AC199=regle!$G$11,regle!$G$23,IF(AC199=regle!$H$11,regle!$H$23,IF(AC199=regle!$I$11,regle!$I$23,IF(AC199=regle!$J$11,regle!$J$23,0)))))))))))</f>
        <v>0</v>
      </c>
      <c r="AN199" s="14">
        <f>IF($A199,$M199*(IF(AD199=regle!$B$11,regle!$B$23,IF(AD199=regle!$C$11,regle!$C$23,IF(AD199=regle!$D$11,regle!$D$23,IF(AD199=regle!$E$11,regle!$E$23,IF(AD199=regle!$F$11,regle!$F$23,IF(AD199=regle!$G$11,regle!$G$23,IF(AD199=regle!$H$11,regle!$H$23,IF(AD199=regle!$I$11,regle!$I$23,IF(AD199=regle!$J$11,regle!$J$23,0)))))))))))</f>
        <v>0</v>
      </c>
      <c r="AO199">
        <f>IF(AO$1=$AO$1,IF(regle!B$2-$Q199&gt;=regle!$J$12,-2,IF($S199,IF(regle!$B$2-$Q199&gt;=2,0,-1),regle!B$2-$Q199)),IF(AN199+1&gt;=regle!$J$12,-2,AN199+1))</f>
        <v>37</v>
      </c>
      <c r="AP199">
        <f>IF(AP$1=$AO$1,IF(regle!C$2-$Q199&gt;=regle!$J$12,-2,IF($S199,IF(regle!$B$2-$Q199&gt;=2,0,-1),regle!C$2-$Q199)),IF(AO199+1&gt;=regle!$J$12,-2,AO199+1))</f>
        <v>38</v>
      </c>
      <c r="AQ199">
        <f>IF(AQ$1=$AO$1,IF(regle!D$2-$Q199&gt;=regle!$J$12,-2,IF($S199,IF(regle!$B$2-$Q199&gt;=2,0,-1),regle!D$2-$Q199)),IF(AP199+1&gt;=regle!$J$12,-2,AP199+1))</f>
        <v>39</v>
      </c>
      <c r="AR199">
        <f>IF(AR$1=$AO$1,IF(regle!E$2-$Q199&gt;=regle!$J$12,-2,IF($S199,IF(regle!$B$2-$Q199&gt;=2,0,-1),regle!E$2-$Q199)),IF(AQ199+1&gt;=regle!$J$12,-2,AQ199+1))</f>
        <v>-2</v>
      </c>
      <c r="AS199">
        <f>IF(AS$1=$AO$1,IF(regle!F$2-$Q199&gt;=regle!$J$12,-2,IF($S199,IF(regle!$B$2-$Q199&gt;=2,0,-1),regle!F$2-$Q199)),IF(AR199+1&gt;=regle!$J$12,-2,AR199+1))</f>
        <v>-1</v>
      </c>
      <c r="AT199">
        <f>IF(AT$1=$AO$1,IF(regle!G$2-$Q199&gt;=regle!$J$12,-2,IF($S199,IF(regle!$B$2-$Q199&gt;=2,0,-1),regle!G$2-$Q199)),IF(AS199+1&gt;=regle!$J$12,-2,AS199+1))</f>
        <v>0</v>
      </c>
      <c r="AU199">
        <f>IF(AU$1=$AO$1,IF(regle!H$2-$Q199&gt;=regle!$J$12,-2,IF($S199,IF(regle!$B$2-$Q199&gt;=2,0,-1),regle!H$2-$Q199)),IF(AT199+1&gt;=regle!$J$12,-2,AT199+1))</f>
        <v>1</v>
      </c>
      <c r="AV199">
        <f>IF(AV$1=$AO$1,IF(regle!I$2-$Q199&gt;=regle!$J$12,-2,IF($S199,IF(regle!$B$2-$Q199&gt;=2,0,-1),regle!I$2-$Q199)),IF(AU199+1&gt;=regle!$J$12,-2,AU199+1))</f>
        <v>2</v>
      </c>
      <c r="AW199">
        <f>IF(AW$1=$AO$1,IF(regle!J$2-$Q199&gt;=regle!$J$12,-2,IF($S199,IF(regle!$B$2-$Q199&gt;=2,0,-1),regle!J$2-$Q199)),IF(AV199+1&gt;=regle!$J$12,-2,AV199+1))</f>
        <v>3</v>
      </c>
      <c r="AX199">
        <f>IF(AX$1=$AO$1,IF(regle!K$2-$Q199&gt;=regle!$J$12,-2,IF($S199,IF(regle!$B$2-$Q199&gt;=2,0,-1),regle!K$2-$Q199)),IF(AW199+1&gt;=regle!$J$12,-2,AW199+1))</f>
        <v>4</v>
      </c>
    </row>
    <row r="200" spans="1:50" x14ac:dyDescent="0.25">
      <c r="A200" t="b">
        <f>AND(modif0[[#This Row],[cdstr]]&lt;&gt;0,OR(regle!$H$27=FALSE,modif0[[#This Row],[essnc]]="PM"))</f>
        <v>1</v>
      </c>
      <c r="B200">
        <f>ROW(objet!A235)</f>
        <v>235</v>
      </c>
      <c r="C200" s="10" t="str">
        <f>objet!D235</f>
        <v>2020000B1227</v>
      </c>
      <c r="D200" t="str">
        <f>LEFT(modif0[[#This Row],[cdstr]],3)</f>
        <v>202</v>
      </c>
      <c r="E200" s="10" t="str">
        <f>objet!G235</f>
        <v>HOSTENS</v>
      </c>
      <c r="F200">
        <f>LEN(modif0[[#This Row],[l_dt]])</f>
        <v>13</v>
      </c>
      <c r="G200" s="10" t="str">
        <f>objet!H235</f>
        <v>LA BROUSTETTE</v>
      </c>
      <c r="H200" s="10" t="str">
        <f>objet!C235</f>
        <v>B1227</v>
      </c>
      <c r="I200" t="str">
        <f>IF(ISNUMBER(VALUE(RIGHT(LEFT(modif0[[#This Row],[idntfn]],2),1))),_xlfn.CONCAT(0,LEFT(modif0[[#This Row],[idntfn]],1)),LEFT(modif0[[#This Row],[idntfn]],2))</f>
        <v>0B</v>
      </c>
      <c r="J200">
        <f>VALUE(LEFT(RIGHT(modif0[[#This Row],[idntfn]],LEN(modif0[[#This Row],[idntfn]])-IF(LEFT(modif0[[#This Row],[sctn]],1)="0",1,2)),LEN(modif0[[#This Row],[idntfn]])-IF(LEFT(modif0[[#This Row],[sctn]],1)="0",1,2)-LEN(modif0[[#This Row],[lttr]])))</f>
        <v>1227</v>
      </c>
      <c r="K200" t="str">
        <f>IF(ISNUMBER(VALUE(RIGHT(modif0[[#This Row],[idntfn]],1))),"",IF(ISNUMBER(VALUE(LEFT(RIGHT(modif0[[#This Row],[idntfn]],2),1))),RIGHT(modif0[[#This Row],[idntfn]],1),RIGHT(modif0[[#This Row],[idntfn]],2)))</f>
        <v/>
      </c>
      <c r="L200" s="10">
        <f>objet!I235</f>
        <v>28620</v>
      </c>
      <c r="M200" s="11">
        <f>modif0[[#This Row],[srfc]]/10000</f>
        <v>2.8620000000000001</v>
      </c>
      <c r="N200" s="10" t="str">
        <f>objet!Z235</f>
        <v>PM</v>
      </c>
      <c r="O200" s="10" t="str">
        <f>objet!AA235</f>
        <v>PLA2018</v>
      </c>
      <c r="P200" t="str">
        <f>IF(ISNUMBER(modif0[[#This Row],[trvx]]),"",LEFT(modif0[[#This Row],[trvx]],LEN(modif0[[#This Row],[trvx]])-4))</f>
        <v>PLA</v>
      </c>
      <c r="Q200">
        <f>VALUE(RIGHT(modif0[[#This Row],[trvx]],4))</f>
        <v>2018</v>
      </c>
      <c r="R200" t="str">
        <f>_xlfn.CONCAT(modif0[[#This Row],[tp]],"-",modif0[[#This Row],[essnc]],"_",modif0[[#This Row],[anns]])</f>
        <v>PLA-PM_2018</v>
      </c>
      <c r="S200" t="b">
        <f>modif0[[#This Row],[tp]]="CR"</f>
        <v>0</v>
      </c>
      <c r="T200">
        <v>40</v>
      </c>
      <c r="U200" t="str">
        <f>IF(NOT($A200),"",
IF(AO200=-2,regle!$J$11,
IF(AO200=regle!$B$12,regle!$B$11,
IF(AO200=regle!$C$12,regle!$C$11,
IF(AO200=regle!$D$12,regle!$D$11,
IF(AO200=regle!$E$12,regle!$E$11,
IF(AO200=regle!$F$12,regle!$F$11,
IF(AO200=regle!$G$12,regle!$G$11,
IF(AO200=regle!$H$12,regle!$H$11,
IF(AO200=regle!$I$12,regle!$I$11,""))))))))))</f>
        <v/>
      </c>
      <c r="V200" t="str">
        <f>IF(NOT($A200),"",
IF(AP200=-2,regle!$J$11,
IF(AP200=regle!$B$12,regle!$B$11,
IF(AP200=regle!$C$12,regle!$C$11,
IF(AP200=regle!$D$12,regle!$D$11,
IF(AP200=regle!$E$12,regle!$E$11,
IF(AP200=regle!$F$12,regle!$F$11,
IF(AP200=regle!$G$12,regle!$G$11,
IF(AP200=regle!$H$12,regle!$H$11,
IF(AP200=regle!$I$12,regle!$I$11,""))))))))))</f>
        <v/>
      </c>
      <c r="W200" t="str">
        <f>IF(NOT($A200),"",
IF(AQ200=-2,regle!$J$11,
IF(AQ200=regle!$B$12,regle!$B$11,
IF(AQ200=regle!$C$12,regle!$C$11,
IF(AQ200=regle!$D$12,regle!$D$11,
IF(AQ200=regle!$E$12,regle!$E$11,
IF(AQ200=regle!$F$12,regle!$F$11,
IF(AQ200=regle!$G$12,regle!$G$11,
IF(AQ200=regle!$H$12,regle!$H$11,
IF(AQ200=regle!$I$12,regle!$I$11,""))))))))))</f>
        <v>ENT2</v>
      </c>
      <c r="X200" t="str">
        <f>IF(NOT($A200),"",
IF(AR200=-2,regle!$J$11,
IF(AR200=regle!$B$12,regle!$B$11,
IF(AR200=regle!$C$12,regle!$C$11,
IF(AR200=regle!$D$12,regle!$D$11,
IF(AR200=regle!$E$12,regle!$E$11,
IF(AR200=regle!$F$12,regle!$F$11,
IF(AR200=regle!$G$12,regle!$G$11,
IF(AR200=regle!$H$12,regle!$H$11,
IF(AR200=regle!$I$12,regle!$I$11,""))))))))))</f>
        <v/>
      </c>
      <c r="Y200" t="str">
        <f>IF(NOT($A200),"",
IF(AS200=-2,regle!$J$11,
IF(AS200=regle!$B$12,regle!$B$11,
IF(AS200=regle!$C$12,regle!$C$11,
IF(AS200=regle!$D$12,regle!$D$11,
IF(AS200=regle!$E$12,regle!$E$11,
IF(AS200=regle!$F$12,regle!$F$11,
IF(AS200=regle!$G$12,regle!$G$11,
IF(AS200=regle!$H$12,regle!$H$11,
IF(AS200=regle!$I$12,regle!$I$11,""))))))))))</f>
        <v/>
      </c>
      <c r="Z200" t="str">
        <f>IF(NOT($A200),"",
IF(AT200=-2,regle!$J$11,
IF(AT200=regle!$B$12,regle!$B$11,
IF(AT200=regle!$C$12,regle!$C$11,
IF(AT200=regle!$D$12,regle!$D$11,
IF(AT200=regle!$E$12,regle!$E$11,
IF(AT200=regle!$F$12,regle!$F$11,
IF(AT200=regle!$G$12,regle!$G$11,
IF(AT200=regle!$H$12,regle!$H$11,
IF(AT200=regle!$I$12,regle!$I$11,""))))))))))</f>
        <v/>
      </c>
      <c r="AA200" t="str">
        <f>IF(NOT($A200),"",
IF(AU200=-2,regle!$J$11,
IF(AU200=regle!$B$12,regle!$B$11,
IF(AU200=regle!$C$12,regle!$C$11,
IF(AU200=regle!$D$12,regle!$D$11,
IF(AU200=regle!$E$12,regle!$E$11,
IF(AU200=regle!$F$12,regle!$F$11,
IF(AU200=regle!$G$12,regle!$G$11,
IF(AU200=regle!$H$12,regle!$H$11,
IF(AU200=regle!$I$12,regle!$I$11,""))))))))))</f>
        <v/>
      </c>
      <c r="AB200" t="str">
        <f>IF(NOT($A200),"",
IF(AV200=-2,regle!$J$11,
IF(AV200=regle!$B$12,regle!$B$11,
IF(AV200=regle!$C$12,regle!$C$11,
IF(AV200=regle!$D$12,regle!$D$11,
IF(AV200=regle!$E$12,regle!$E$11,
IF(AV200=regle!$F$12,regle!$F$11,
IF(AV200=regle!$G$12,regle!$G$11,
IF(AV200=regle!$H$12,regle!$H$11,
IF(AV200=regle!$I$12,regle!$I$11,""))))))))))</f>
        <v>EC1</v>
      </c>
      <c r="AC200" t="str">
        <f>IF(NOT($A200),"",
IF(AW200=-2,regle!$J$11,
IF(AW200=regle!$B$12,regle!$B$11,
IF(AW200=regle!$C$12,regle!$C$11,
IF(AW200=regle!$D$12,regle!$D$11,
IF(AW200=regle!$E$12,regle!$E$11,
IF(AW200=regle!$F$12,regle!$F$11,
IF(AW200=regle!$G$12,regle!$G$11,
IF(AW200=regle!$H$12,regle!$H$11,
IF(AW200=regle!$I$12,regle!$I$11,""))))))))))</f>
        <v/>
      </c>
      <c r="AD200" t="str">
        <f>IF(NOT($A200),"",
IF(AX200=-2,regle!$J$11,
IF(AX200=regle!$B$12,regle!$B$11,
IF(AX200=regle!$C$12,regle!$C$11,
IF(AX200=regle!$D$12,regle!$D$11,
IF(AX200=regle!$E$12,regle!$E$11,
IF(AX200=regle!$F$12,regle!$F$11,
IF(AX200=regle!$G$12,regle!$G$11,
IF(AX200=regle!$H$12,regle!$H$11,
IF(AX200=regle!$I$12,regle!$I$11,""))))))))))</f>
        <v/>
      </c>
      <c r="AE200" s="14">
        <f>IF($A200,$M200*(IF(U200=regle!$B$11,regle!$B$23,IF(U200=regle!$C$11,regle!$C$23,IF(U200=regle!$D$11,regle!$D$23,IF(U200=regle!$E$11,regle!$E$23,IF(U200=regle!$F$11,regle!$F$23,IF(U200=regle!$G$11,regle!$G$23,IF(U200=regle!$H$11,regle!$H$23,IF(U200=regle!$I$11,regle!$I$23,IF(U200=regle!$J$11,regle!$J$23,0)))))))))))</f>
        <v>0</v>
      </c>
      <c r="AF200" s="14">
        <f>IF($A200,$M200*(IF(V200=regle!$B$11,regle!$B$23,IF(V200=regle!$C$11,regle!$C$23,IF(V200=regle!$D$11,regle!$D$23,IF(V200=regle!$E$11,regle!$E$23,IF(V200=regle!$F$11,regle!$F$23,IF(V200=regle!$G$11,regle!$G$23,IF(V200=regle!$H$11,regle!$H$23,IF(V200=regle!$I$11,regle!$I$23,IF(V200=regle!$J$11,regle!$J$23,0)))))))))))</f>
        <v>0</v>
      </c>
      <c r="AG200" s="14">
        <f>IF($A200,$M200*(IF(W200=regle!$B$11,regle!$B$23,IF(W200=regle!$C$11,regle!$C$23,IF(W200=regle!$D$11,regle!$D$23,IF(W200=regle!$E$11,regle!$E$23,IF(W200=regle!$F$11,regle!$F$23,IF(W200=regle!$G$11,regle!$G$23,IF(W200=regle!$H$11,regle!$H$23,IF(W200=regle!$I$11,regle!$I$23,IF(W200=regle!$J$11,regle!$J$23,0)))))))))))</f>
        <v>-257.58</v>
      </c>
      <c r="AH200" s="14">
        <f>IF($A200,$M200*(IF(X200=regle!$B$11,regle!$B$23,IF(X200=regle!$C$11,regle!$C$23,IF(X200=regle!$D$11,regle!$D$23,IF(X200=regle!$E$11,regle!$E$23,IF(X200=regle!$F$11,regle!$F$23,IF(X200=regle!$G$11,regle!$G$23,IF(X200=regle!$H$11,regle!$H$23,IF(X200=regle!$I$11,regle!$I$23,IF(X200=regle!$J$11,regle!$J$23,0)))))))))))</f>
        <v>0</v>
      </c>
      <c r="AI200" s="14">
        <f>IF($A200,$M200*(IF(Y200=regle!$B$11,regle!$B$23,IF(Y200=regle!$C$11,regle!$C$23,IF(Y200=regle!$D$11,regle!$D$23,IF(Y200=regle!$E$11,regle!$E$23,IF(Y200=regle!$F$11,regle!$F$23,IF(Y200=regle!$G$11,regle!$G$23,IF(Y200=regle!$H$11,regle!$H$23,IF(Y200=regle!$I$11,regle!$I$23,IF(Y200=regle!$J$11,regle!$J$23,0)))))))))))</f>
        <v>0</v>
      </c>
      <c r="AJ200" s="14">
        <f>IF($A200,$M200*(IF(Z200=regle!$B$11,regle!$B$23,IF(Z200=regle!$C$11,regle!$C$23,IF(Z200=regle!$D$11,regle!$D$23,IF(Z200=regle!$E$11,regle!$E$23,IF(Z200=regle!$F$11,regle!$F$23,IF(Z200=regle!$G$11,regle!$G$23,IF(Z200=regle!$H$11,regle!$H$23,IF(Z200=regle!$I$11,regle!$I$23,IF(Z200=regle!$J$11,regle!$J$23,0)))))))))))</f>
        <v>0</v>
      </c>
      <c r="AK200" s="14">
        <f>IF($A200,$M200*(IF(AA200=regle!$B$11,regle!$B$23,IF(AA200=regle!$C$11,regle!$C$23,IF(AA200=regle!$D$11,regle!$D$23,IF(AA200=regle!$E$11,regle!$E$23,IF(AA200=regle!$F$11,regle!$F$23,IF(AA200=regle!$G$11,regle!$G$23,IF(AA200=regle!$H$11,regle!$H$23,IF(AA200=regle!$I$11,regle!$I$23,IF(AA200=regle!$J$11,regle!$J$23,0)))))))))))</f>
        <v>0</v>
      </c>
      <c r="AL200" s="14">
        <f>IF($A200,$M200*(IF(AB200=regle!$B$11,regle!$B$23,IF(AB200=regle!$C$11,regle!$C$23,IF(AB200=regle!$D$11,regle!$D$23,IF(AB200=regle!$E$11,regle!$E$23,IF(AB200=regle!$F$11,regle!$F$23,IF(AB200=regle!$G$11,regle!$G$23,IF(AB200=regle!$H$11,regle!$H$23,IF(AB200=regle!$I$11,regle!$I$23,IF(AB200=regle!$J$11,regle!$J$23,0)))))))))))</f>
        <v>1648.5120000000002</v>
      </c>
      <c r="AM200" s="14">
        <f>IF($A200,$M200*(IF(AC200=regle!$B$11,regle!$B$23,IF(AC200=regle!$C$11,regle!$C$23,IF(AC200=regle!$D$11,regle!$D$23,IF(AC200=regle!$E$11,regle!$E$23,IF(AC200=regle!$F$11,regle!$F$23,IF(AC200=regle!$G$11,regle!$G$23,IF(AC200=regle!$H$11,regle!$H$23,IF(AC200=regle!$I$11,regle!$I$23,IF(AC200=regle!$J$11,regle!$J$23,0)))))))))))</f>
        <v>0</v>
      </c>
      <c r="AN200" s="14">
        <f>IF($A200,$M200*(IF(AD200=regle!$B$11,regle!$B$23,IF(AD200=regle!$C$11,regle!$C$23,IF(AD200=regle!$D$11,regle!$D$23,IF(AD200=regle!$E$11,regle!$E$23,IF(AD200=regle!$F$11,regle!$F$23,IF(AD200=regle!$G$11,regle!$G$23,IF(AD200=regle!$H$11,regle!$H$23,IF(AD200=regle!$I$11,regle!$I$23,IF(AD200=regle!$J$11,regle!$J$23,0)))))))))))</f>
        <v>0</v>
      </c>
      <c r="AO200">
        <f>IF(AO$1=$AO$1,IF(regle!B$2-$Q200&gt;=regle!$J$12,-2,IF($S200,IF(regle!$B$2-$Q200&gt;=2,0,-1),regle!B$2-$Q200)),IF(AN200+1&gt;=regle!$J$12,-2,AN200+1))</f>
        <v>6</v>
      </c>
      <c r="AP200">
        <f>IF(AP$1=$AO$1,IF(regle!C$2-$Q200&gt;=regle!$J$12,-2,IF($S200,IF(regle!$B$2-$Q200&gt;=2,0,-1),regle!C$2-$Q200)),IF(AO200+1&gt;=regle!$J$12,-2,AO200+1))</f>
        <v>7</v>
      </c>
      <c r="AQ200">
        <f>IF(AQ$1=$AO$1,IF(regle!D$2-$Q200&gt;=regle!$J$12,-2,IF($S200,IF(regle!$B$2-$Q200&gt;=2,0,-1),regle!D$2-$Q200)),IF(AP200+1&gt;=regle!$J$12,-2,AP200+1))</f>
        <v>8</v>
      </c>
      <c r="AR200">
        <f>IF(AR$1=$AO$1,IF(regle!E$2-$Q200&gt;=regle!$J$12,-2,IF($S200,IF(regle!$B$2-$Q200&gt;=2,0,-1),regle!E$2-$Q200)),IF(AQ200+1&gt;=regle!$J$12,-2,AQ200+1))</f>
        <v>9</v>
      </c>
      <c r="AS200">
        <f>IF(AS$1=$AO$1,IF(regle!F$2-$Q200&gt;=regle!$J$12,-2,IF($S200,IF(regle!$B$2-$Q200&gt;=2,0,-1),regle!F$2-$Q200)),IF(AR200+1&gt;=regle!$J$12,-2,AR200+1))</f>
        <v>10</v>
      </c>
      <c r="AT200">
        <f>IF(AT$1=$AO$1,IF(regle!G$2-$Q200&gt;=regle!$J$12,-2,IF($S200,IF(regle!$B$2-$Q200&gt;=2,0,-1),regle!G$2-$Q200)),IF(AS200+1&gt;=regle!$J$12,-2,AS200+1))</f>
        <v>11</v>
      </c>
      <c r="AU200">
        <f>IF(AU$1=$AO$1,IF(regle!H$2-$Q200&gt;=regle!$J$12,-2,IF($S200,IF(regle!$B$2-$Q200&gt;=2,0,-1),regle!H$2-$Q200)),IF(AT200+1&gt;=regle!$J$12,-2,AT200+1))</f>
        <v>12</v>
      </c>
      <c r="AV200">
        <f>IF(AV$1=$AO$1,IF(regle!I$2-$Q200&gt;=regle!$J$12,-2,IF($S200,IF(regle!$B$2-$Q200&gt;=2,0,-1),regle!I$2-$Q200)),IF(AU200+1&gt;=regle!$J$12,-2,AU200+1))</f>
        <v>13</v>
      </c>
      <c r="AW200">
        <f>IF(AW$1=$AO$1,IF(regle!J$2-$Q200&gt;=regle!$J$12,-2,IF($S200,IF(regle!$B$2-$Q200&gt;=2,0,-1),regle!J$2-$Q200)),IF(AV200+1&gt;=regle!$J$12,-2,AV200+1))</f>
        <v>14</v>
      </c>
      <c r="AX200">
        <f>IF(AX$1=$AO$1,IF(regle!K$2-$Q200&gt;=regle!$J$12,-2,IF($S200,IF(regle!$B$2-$Q200&gt;=2,0,-1),regle!K$2-$Q200)),IF(AW200+1&gt;=regle!$J$12,-2,AW200+1))</f>
        <v>15</v>
      </c>
    </row>
    <row r="201" spans="1:50" x14ac:dyDescent="0.25">
      <c r="A201" t="b">
        <f>AND(modif0[[#This Row],[cdstr]]&lt;&gt;0,OR(regle!$H$27=FALSE,modif0[[#This Row],[essnc]]="PM"))</f>
        <v>1</v>
      </c>
      <c r="B201">
        <f>ROW(objet!A236)</f>
        <v>236</v>
      </c>
      <c r="C201" s="10" t="str">
        <f>objet!D236</f>
        <v>2020000B1228</v>
      </c>
      <c r="D201" t="str">
        <f>LEFT(modif0[[#This Row],[cdstr]],3)</f>
        <v>202</v>
      </c>
      <c r="E201" s="10" t="str">
        <f>objet!G236</f>
        <v>HOSTENS</v>
      </c>
      <c r="F201">
        <f>LEN(modif0[[#This Row],[l_dt]])</f>
        <v>13</v>
      </c>
      <c r="G201" s="10" t="str">
        <f>objet!H236</f>
        <v>LA BROUSTETTE</v>
      </c>
      <c r="H201" s="10" t="str">
        <f>objet!C236</f>
        <v>B1228</v>
      </c>
      <c r="I201" t="str">
        <f>IF(ISNUMBER(VALUE(RIGHT(LEFT(modif0[[#This Row],[idntfn]],2),1))),_xlfn.CONCAT(0,LEFT(modif0[[#This Row],[idntfn]],1)),LEFT(modif0[[#This Row],[idntfn]],2))</f>
        <v>0B</v>
      </c>
      <c r="J201">
        <f>VALUE(LEFT(RIGHT(modif0[[#This Row],[idntfn]],LEN(modif0[[#This Row],[idntfn]])-IF(LEFT(modif0[[#This Row],[sctn]],1)="0",1,2)),LEN(modif0[[#This Row],[idntfn]])-IF(LEFT(modif0[[#This Row],[sctn]],1)="0",1,2)-LEN(modif0[[#This Row],[lttr]])))</f>
        <v>1228</v>
      </c>
      <c r="K201" t="str">
        <f>IF(ISNUMBER(VALUE(RIGHT(modif0[[#This Row],[idntfn]],1))),"",IF(ISNUMBER(VALUE(LEFT(RIGHT(modif0[[#This Row],[idntfn]],2),1))),RIGHT(modif0[[#This Row],[idntfn]],1),RIGHT(modif0[[#This Row],[idntfn]],2)))</f>
        <v/>
      </c>
      <c r="L201" s="10">
        <f>objet!I236</f>
        <v>5320</v>
      </c>
      <c r="M201" s="11">
        <f>modif0[[#This Row],[srfc]]/10000</f>
        <v>0.53200000000000003</v>
      </c>
      <c r="N201" s="10" t="str">
        <f>objet!Z236</f>
        <v>PM</v>
      </c>
      <c r="O201" s="10" t="str">
        <f>objet!AA236</f>
        <v>PLA2018</v>
      </c>
      <c r="P201" t="str">
        <f>IF(ISNUMBER(modif0[[#This Row],[trvx]]),"",LEFT(modif0[[#This Row],[trvx]],LEN(modif0[[#This Row],[trvx]])-4))</f>
        <v>PLA</v>
      </c>
      <c r="Q201">
        <f>VALUE(RIGHT(modif0[[#This Row],[trvx]],4))</f>
        <v>2018</v>
      </c>
      <c r="R201" t="str">
        <f>_xlfn.CONCAT(modif0[[#This Row],[tp]],"-",modif0[[#This Row],[essnc]],"_",modif0[[#This Row],[anns]])</f>
        <v>PLA-PM_2018</v>
      </c>
      <c r="S201" t="b">
        <f>modif0[[#This Row],[tp]]="CR"</f>
        <v>0</v>
      </c>
      <c r="T201">
        <v>40</v>
      </c>
      <c r="U201" t="str">
        <f>IF(NOT($A201),"",
IF(AO201=-2,regle!$J$11,
IF(AO201=regle!$B$12,regle!$B$11,
IF(AO201=regle!$C$12,regle!$C$11,
IF(AO201=regle!$D$12,regle!$D$11,
IF(AO201=regle!$E$12,regle!$E$11,
IF(AO201=regle!$F$12,regle!$F$11,
IF(AO201=regle!$G$12,regle!$G$11,
IF(AO201=regle!$H$12,regle!$H$11,
IF(AO201=regle!$I$12,regle!$I$11,""))))))))))</f>
        <v/>
      </c>
      <c r="V201" t="str">
        <f>IF(NOT($A201),"",
IF(AP201=-2,regle!$J$11,
IF(AP201=regle!$B$12,regle!$B$11,
IF(AP201=regle!$C$12,regle!$C$11,
IF(AP201=regle!$D$12,regle!$D$11,
IF(AP201=regle!$E$12,regle!$E$11,
IF(AP201=regle!$F$12,regle!$F$11,
IF(AP201=regle!$G$12,regle!$G$11,
IF(AP201=regle!$H$12,regle!$H$11,
IF(AP201=regle!$I$12,regle!$I$11,""))))))))))</f>
        <v/>
      </c>
      <c r="W201" t="str">
        <f>IF(NOT($A201),"",
IF(AQ201=-2,regle!$J$11,
IF(AQ201=regle!$B$12,regle!$B$11,
IF(AQ201=regle!$C$12,regle!$C$11,
IF(AQ201=regle!$D$12,regle!$D$11,
IF(AQ201=regle!$E$12,regle!$E$11,
IF(AQ201=regle!$F$12,regle!$F$11,
IF(AQ201=regle!$G$12,regle!$G$11,
IF(AQ201=regle!$H$12,regle!$H$11,
IF(AQ201=regle!$I$12,regle!$I$11,""))))))))))</f>
        <v>ENT2</v>
      </c>
      <c r="X201" t="str">
        <f>IF(NOT($A201),"",
IF(AR201=-2,regle!$J$11,
IF(AR201=regle!$B$12,regle!$B$11,
IF(AR201=regle!$C$12,regle!$C$11,
IF(AR201=regle!$D$12,regle!$D$11,
IF(AR201=regle!$E$12,regle!$E$11,
IF(AR201=regle!$F$12,regle!$F$11,
IF(AR201=regle!$G$12,regle!$G$11,
IF(AR201=regle!$H$12,regle!$H$11,
IF(AR201=regle!$I$12,regle!$I$11,""))))))))))</f>
        <v/>
      </c>
      <c r="Y201" t="str">
        <f>IF(NOT($A201),"",
IF(AS201=-2,regle!$J$11,
IF(AS201=regle!$B$12,regle!$B$11,
IF(AS201=regle!$C$12,regle!$C$11,
IF(AS201=regle!$D$12,regle!$D$11,
IF(AS201=regle!$E$12,regle!$E$11,
IF(AS201=regle!$F$12,regle!$F$11,
IF(AS201=regle!$G$12,regle!$G$11,
IF(AS201=regle!$H$12,regle!$H$11,
IF(AS201=regle!$I$12,regle!$I$11,""))))))))))</f>
        <v/>
      </c>
      <c r="Z201" t="str">
        <f>IF(NOT($A201),"",
IF(AT201=-2,regle!$J$11,
IF(AT201=regle!$B$12,regle!$B$11,
IF(AT201=regle!$C$12,regle!$C$11,
IF(AT201=regle!$D$12,regle!$D$11,
IF(AT201=regle!$E$12,regle!$E$11,
IF(AT201=regle!$F$12,regle!$F$11,
IF(AT201=regle!$G$12,regle!$G$11,
IF(AT201=regle!$H$12,regle!$H$11,
IF(AT201=regle!$I$12,regle!$I$11,""))))))))))</f>
        <v/>
      </c>
      <c r="AA201" t="str">
        <f>IF(NOT($A201),"",
IF(AU201=-2,regle!$J$11,
IF(AU201=regle!$B$12,regle!$B$11,
IF(AU201=regle!$C$12,regle!$C$11,
IF(AU201=regle!$D$12,regle!$D$11,
IF(AU201=regle!$E$12,regle!$E$11,
IF(AU201=regle!$F$12,regle!$F$11,
IF(AU201=regle!$G$12,regle!$G$11,
IF(AU201=regle!$H$12,regle!$H$11,
IF(AU201=regle!$I$12,regle!$I$11,""))))))))))</f>
        <v/>
      </c>
      <c r="AB201" t="str">
        <f>IF(NOT($A201),"",
IF(AV201=-2,regle!$J$11,
IF(AV201=regle!$B$12,regle!$B$11,
IF(AV201=regle!$C$12,regle!$C$11,
IF(AV201=regle!$D$12,regle!$D$11,
IF(AV201=regle!$E$12,regle!$E$11,
IF(AV201=regle!$F$12,regle!$F$11,
IF(AV201=regle!$G$12,regle!$G$11,
IF(AV201=regle!$H$12,regle!$H$11,
IF(AV201=regle!$I$12,regle!$I$11,""))))))))))</f>
        <v>EC1</v>
      </c>
      <c r="AC201" t="str">
        <f>IF(NOT($A201),"",
IF(AW201=-2,regle!$J$11,
IF(AW201=regle!$B$12,regle!$B$11,
IF(AW201=regle!$C$12,regle!$C$11,
IF(AW201=regle!$D$12,regle!$D$11,
IF(AW201=regle!$E$12,regle!$E$11,
IF(AW201=regle!$F$12,regle!$F$11,
IF(AW201=regle!$G$12,regle!$G$11,
IF(AW201=regle!$H$12,regle!$H$11,
IF(AW201=regle!$I$12,regle!$I$11,""))))))))))</f>
        <v/>
      </c>
      <c r="AD201" t="str">
        <f>IF(NOT($A201),"",
IF(AX201=-2,regle!$J$11,
IF(AX201=regle!$B$12,regle!$B$11,
IF(AX201=regle!$C$12,regle!$C$11,
IF(AX201=regle!$D$12,regle!$D$11,
IF(AX201=regle!$E$12,regle!$E$11,
IF(AX201=regle!$F$12,regle!$F$11,
IF(AX201=regle!$G$12,regle!$G$11,
IF(AX201=regle!$H$12,regle!$H$11,
IF(AX201=regle!$I$12,regle!$I$11,""))))))))))</f>
        <v/>
      </c>
      <c r="AE201" s="14">
        <f>IF($A201,$M201*(IF(U201=regle!$B$11,regle!$B$23,IF(U201=regle!$C$11,regle!$C$23,IF(U201=regle!$D$11,regle!$D$23,IF(U201=regle!$E$11,regle!$E$23,IF(U201=regle!$F$11,regle!$F$23,IF(U201=regle!$G$11,regle!$G$23,IF(U201=regle!$H$11,regle!$H$23,IF(U201=regle!$I$11,regle!$I$23,IF(U201=regle!$J$11,regle!$J$23,0)))))))))))</f>
        <v>0</v>
      </c>
      <c r="AF201" s="14">
        <f>IF($A201,$M201*(IF(V201=regle!$B$11,regle!$B$23,IF(V201=regle!$C$11,regle!$C$23,IF(V201=regle!$D$11,regle!$D$23,IF(V201=regle!$E$11,regle!$E$23,IF(V201=regle!$F$11,regle!$F$23,IF(V201=regle!$G$11,regle!$G$23,IF(V201=regle!$H$11,regle!$H$23,IF(V201=regle!$I$11,regle!$I$23,IF(V201=regle!$J$11,regle!$J$23,0)))))))))))</f>
        <v>0</v>
      </c>
      <c r="AG201" s="14">
        <f>IF($A201,$M201*(IF(W201=regle!$B$11,regle!$B$23,IF(W201=regle!$C$11,regle!$C$23,IF(W201=regle!$D$11,regle!$D$23,IF(W201=regle!$E$11,regle!$E$23,IF(W201=regle!$F$11,regle!$F$23,IF(W201=regle!$G$11,regle!$G$23,IF(W201=regle!$H$11,regle!$H$23,IF(W201=regle!$I$11,regle!$I$23,IF(W201=regle!$J$11,regle!$J$23,0)))))))))))</f>
        <v>-47.88</v>
      </c>
      <c r="AH201" s="14">
        <f>IF($A201,$M201*(IF(X201=regle!$B$11,regle!$B$23,IF(X201=regle!$C$11,regle!$C$23,IF(X201=regle!$D$11,regle!$D$23,IF(X201=regle!$E$11,regle!$E$23,IF(X201=regle!$F$11,regle!$F$23,IF(X201=regle!$G$11,regle!$G$23,IF(X201=regle!$H$11,regle!$H$23,IF(X201=regle!$I$11,regle!$I$23,IF(X201=regle!$J$11,regle!$J$23,0)))))))))))</f>
        <v>0</v>
      </c>
      <c r="AI201" s="14">
        <f>IF($A201,$M201*(IF(Y201=regle!$B$11,regle!$B$23,IF(Y201=regle!$C$11,regle!$C$23,IF(Y201=regle!$D$11,regle!$D$23,IF(Y201=regle!$E$11,regle!$E$23,IF(Y201=regle!$F$11,regle!$F$23,IF(Y201=regle!$G$11,regle!$G$23,IF(Y201=regle!$H$11,regle!$H$23,IF(Y201=regle!$I$11,regle!$I$23,IF(Y201=regle!$J$11,regle!$J$23,0)))))))))))</f>
        <v>0</v>
      </c>
      <c r="AJ201" s="14">
        <f>IF($A201,$M201*(IF(Z201=regle!$B$11,regle!$B$23,IF(Z201=regle!$C$11,regle!$C$23,IF(Z201=regle!$D$11,regle!$D$23,IF(Z201=regle!$E$11,regle!$E$23,IF(Z201=regle!$F$11,regle!$F$23,IF(Z201=regle!$G$11,regle!$G$23,IF(Z201=regle!$H$11,regle!$H$23,IF(Z201=regle!$I$11,regle!$I$23,IF(Z201=regle!$J$11,regle!$J$23,0)))))))))))</f>
        <v>0</v>
      </c>
      <c r="AK201" s="14">
        <f>IF($A201,$M201*(IF(AA201=regle!$B$11,regle!$B$23,IF(AA201=regle!$C$11,regle!$C$23,IF(AA201=regle!$D$11,regle!$D$23,IF(AA201=regle!$E$11,regle!$E$23,IF(AA201=regle!$F$11,regle!$F$23,IF(AA201=regle!$G$11,regle!$G$23,IF(AA201=regle!$H$11,regle!$H$23,IF(AA201=regle!$I$11,regle!$I$23,IF(AA201=regle!$J$11,regle!$J$23,0)))))))))))</f>
        <v>0</v>
      </c>
      <c r="AL201" s="14">
        <f>IF($A201,$M201*(IF(AB201=regle!$B$11,regle!$B$23,IF(AB201=regle!$C$11,regle!$C$23,IF(AB201=regle!$D$11,regle!$D$23,IF(AB201=regle!$E$11,regle!$E$23,IF(AB201=regle!$F$11,regle!$F$23,IF(AB201=regle!$G$11,regle!$G$23,IF(AB201=regle!$H$11,regle!$H$23,IF(AB201=regle!$I$11,regle!$I$23,IF(AB201=regle!$J$11,regle!$J$23,0)))))))))))</f>
        <v>306.43200000000002</v>
      </c>
      <c r="AM201" s="14">
        <f>IF($A201,$M201*(IF(AC201=regle!$B$11,regle!$B$23,IF(AC201=regle!$C$11,regle!$C$23,IF(AC201=regle!$D$11,regle!$D$23,IF(AC201=regle!$E$11,regle!$E$23,IF(AC201=regle!$F$11,regle!$F$23,IF(AC201=regle!$G$11,regle!$G$23,IF(AC201=regle!$H$11,regle!$H$23,IF(AC201=regle!$I$11,regle!$I$23,IF(AC201=regle!$J$11,regle!$J$23,0)))))))))))</f>
        <v>0</v>
      </c>
      <c r="AN201" s="14">
        <f>IF($A201,$M201*(IF(AD201=regle!$B$11,regle!$B$23,IF(AD201=regle!$C$11,regle!$C$23,IF(AD201=regle!$D$11,regle!$D$23,IF(AD201=regle!$E$11,regle!$E$23,IF(AD201=regle!$F$11,regle!$F$23,IF(AD201=regle!$G$11,regle!$G$23,IF(AD201=regle!$H$11,regle!$H$23,IF(AD201=regle!$I$11,regle!$I$23,IF(AD201=regle!$J$11,regle!$J$23,0)))))))))))</f>
        <v>0</v>
      </c>
      <c r="AO201">
        <f>IF(AO$1=$AO$1,IF(regle!B$2-$Q201&gt;=regle!$J$12,-2,IF($S201,IF(regle!$B$2-$Q201&gt;=2,0,-1),regle!B$2-$Q201)),IF(AN201+1&gt;=regle!$J$12,-2,AN201+1))</f>
        <v>6</v>
      </c>
      <c r="AP201">
        <f>IF(AP$1=$AO$1,IF(regle!C$2-$Q201&gt;=regle!$J$12,-2,IF($S201,IF(regle!$B$2-$Q201&gt;=2,0,-1),regle!C$2-$Q201)),IF(AO201+1&gt;=regle!$J$12,-2,AO201+1))</f>
        <v>7</v>
      </c>
      <c r="AQ201">
        <f>IF(AQ$1=$AO$1,IF(regle!D$2-$Q201&gt;=regle!$J$12,-2,IF($S201,IF(regle!$B$2-$Q201&gt;=2,0,-1),regle!D$2-$Q201)),IF(AP201+1&gt;=regle!$J$12,-2,AP201+1))</f>
        <v>8</v>
      </c>
      <c r="AR201">
        <f>IF(AR$1=$AO$1,IF(regle!E$2-$Q201&gt;=regle!$J$12,-2,IF($S201,IF(regle!$B$2-$Q201&gt;=2,0,-1),regle!E$2-$Q201)),IF(AQ201+1&gt;=regle!$J$12,-2,AQ201+1))</f>
        <v>9</v>
      </c>
      <c r="AS201">
        <f>IF(AS$1=$AO$1,IF(regle!F$2-$Q201&gt;=regle!$J$12,-2,IF($S201,IF(regle!$B$2-$Q201&gt;=2,0,-1),regle!F$2-$Q201)),IF(AR201+1&gt;=regle!$J$12,-2,AR201+1))</f>
        <v>10</v>
      </c>
      <c r="AT201">
        <f>IF(AT$1=$AO$1,IF(regle!G$2-$Q201&gt;=regle!$J$12,-2,IF($S201,IF(regle!$B$2-$Q201&gt;=2,0,-1),regle!G$2-$Q201)),IF(AS201+1&gt;=regle!$J$12,-2,AS201+1))</f>
        <v>11</v>
      </c>
      <c r="AU201">
        <f>IF(AU$1=$AO$1,IF(regle!H$2-$Q201&gt;=regle!$J$12,-2,IF($S201,IF(regle!$B$2-$Q201&gt;=2,0,-1),regle!H$2-$Q201)),IF(AT201+1&gt;=regle!$J$12,-2,AT201+1))</f>
        <v>12</v>
      </c>
      <c r="AV201">
        <f>IF(AV$1=$AO$1,IF(regle!I$2-$Q201&gt;=regle!$J$12,-2,IF($S201,IF(regle!$B$2-$Q201&gt;=2,0,-1),regle!I$2-$Q201)),IF(AU201+1&gt;=regle!$J$12,-2,AU201+1))</f>
        <v>13</v>
      </c>
      <c r="AW201">
        <f>IF(AW$1=$AO$1,IF(regle!J$2-$Q201&gt;=regle!$J$12,-2,IF($S201,IF(regle!$B$2-$Q201&gt;=2,0,-1),regle!J$2-$Q201)),IF(AV201+1&gt;=regle!$J$12,-2,AV201+1))</f>
        <v>14</v>
      </c>
      <c r="AX201">
        <f>IF(AX$1=$AO$1,IF(regle!K$2-$Q201&gt;=regle!$J$12,-2,IF($S201,IF(regle!$B$2-$Q201&gt;=2,0,-1),regle!K$2-$Q201)),IF(AW201+1&gt;=regle!$J$12,-2,AW201+1))</f>
        <v>15</v>
      </c>
    </row>
    <row r="202" spans="1:50" x14ac:dyDescent="0.25">
      <c r="A202" t="b">
        <f>AND(modif0[[#This Row],[cdstr]]&lt;&gt;0,OR(regle!$H$27=FALSE,modif0[[#This Row],[essnc]]="PM"))</f>
        <v>1</v>
      </c>
      <c r="B202">
        <f>ROW(objet!A243)</f>
        <v>243</v>
      </c>
      <c r="C202" s="10" t="str">
        <f>objet!D243</f>
        <v>2020000B1235</v>
      </c>
      <c r="D202" t="str">
        <f>LEFT(modif0[[#This Row],[cdstr]],3)</f>
        <v>202</v>
      </c>
      <c r="E202" s="10" t="str">
        <f>objet!G243</f>
        <v>HOSTENS</v>
      </c>
      <c r="F202">
        <f>LEN(modif0[[#This Row],[l_dt]])</f>
        <v>13</v>
      </c>
      <c r="G202" s="10" t="str">
        <f>objet!H243</f>
        <v>LA BROUSTETTE</v>
      </c>
      <c r="H202" s="10" t="str">
        <f>objet!C243</f>
        <v>B1235</v>
      </c>
      <c r="I202" t="str">
        <f>IF(ISNUMBER(VALUE(RIGHT(LEFT(modif0[[#This Row],[idntfn]],2),1))),_xlfn.CONCAT(0,LEFT(modif0[[#This Row],[idntfn]],1)),LEFT(modif0[[#This Row],[idntfn]],2))</f>
        <v>0B</v>
      </c>
      <c r="J202">
        <f>VALUE(LEFT(RIGHT(modif0[[#This Row],[idntfn]],LEN(modif0[[#This Row],[idntfn]])-IF(LEFT(modif0[[#This Row],[sctn]],1)="0",1,2)),LEN(modif0[[#This Row],[idntfn]])-IF(LEFT(modif0[[#This Row],[sctn]],1)="0",1,2)-LEN(modif0[[#This Row],[lttr]])))</f>
        <v>1235</v>
      </c>
      <c r="K202" t="str">
        <f>IF(ISNUMBER(VALUE(RIGHT(modif0[[#This Row],[idntfn]],1))),"",IF(ISNUMBER(VALUE(LEFT(RIGHT(modif0[[#This Row],[idntfn]],2),1))),RIGHT(modif0[[#This Row],[idntfn]],1),RIGHT(modif0[[#This Row],[idntfn]],2)))</f>
        <v/>
      </c>
      <c r="L202" s="10">
        <f>objet!I243</f>
        <v>13250</v>
      </c>
      <c r="M202" s="11">
        <f>modif0[[#This Row],[srfc]]/10000</f>
        <v>1.325</v>
      </c>
      <c r="N202" s="10" t="str">
        <f>objet!Z243</f>
        <v>PM</v>
      </c>
      <c r="O202" s="10" t="str">
        <f>objet!AA243</f>
        <v>PLA2018</v>
      </c>
      <c r="P202" t="str">
        <f>IF(ISNUMBER(modif0[[#This Row],[trvx]]),"",LEFT(modif0[[#This Row],[trvx]],LEN(modif0[[#This Row],[trvx]])-4))</f>
        <v>PLA</v>
      </c>
      <c r="Q202">
        <f>VALUE(RIGHT(modif0[[#This Row],[trvx]],4))</f>
        <v>2018</v>
      </c>
      <c r="R202" t="str">
        <f>_xlfn.CONCAT(modif0[[#This Row],[tp]],"-",modif0[[#This Row],[essnc]],"_",modif0[[#This Row],[anns]])</f>
        <v>PLA-PM_2018</v>
      </c>
      <c r="S202" t="b">
        <f>modif0[[#This Row],[tp]]="CR"</f>
        <v>0</v>
      </c>
      <c r="T202">
        <v>40</v>
      </c>
      <c r="U202" t="str">
        <f>IF(NOT($A202),"",
IF(AO202=-2,regle!$J$11,
IF(AO202=regle!$B$12,regle!$B$11,
IF(AO202=regle!$C$12,regle!$C$11,
IF(AO202=regle!$D$12,regle!$D$11,
IF(AO202=regle!$E$12,regle!$E$11,
IF(AO202=regle!$F$12,regle!$F$11,
IF(AO202=regle!$G$12,regle!$G$11,
IF(AO202=regle!$H$12,regle!$H$11,
IF(AO202=regle!$I$12,regle!$I$11,""))))))))))</f>
        <v/>
      </c>
      <c r="V202" t="str">
        <f>IF(NOT($A202),"",
IF(AP202=-2,regle!$J$11,
IF(AP202=regle!$B$12,regle!$B$11,
IF(AP202=regle!$C$12,regle!$C$11,
IF(AP202=regle!$D$12,regle!$D$11,
IF(AP202=regle!$E$12,regle!$E$11,
IF(AP202=regle!$F$12,regle!$F$11,
IF(AP202=regle!$G$12,regle!$G$11,
IF(AP202=regle!$H$12,regle!$H$11,
IF(AP202=regle!$I$12,regle!$I$11,""))))))))))</f>
        <v/>
      </c>
      <c r="W202" t="str">
        <f>IF(NOT($A202),"",
IF(AQ202=-2,regle!$J$11,
IF(AQ202=regle!$B$12,regle!$B$11,
IF(AQ202=regle!$C$12,regle!$C$11,
IF(AQ202=regle!$D$12,regle!$D$11,
IF(AQ202=regle!$E$12,regle!$E$11,
IF(AQ202=regle!$F$12,regle!$F$11,
IF(AQ202=regle!$G$12,regle!$G$11,
IF(AQ202=regle!$H$12,regle!$H$11,
IF(AQ202=regle!$I$12,regle!$I$11,""))))))))))</f>
        <v>ENT2</v>
      </c>
      <c r="X202" t="str">
        <f>IF(NOT($A202),"",
IF(AR202=-2,regle!$J$11,
IF(AR202=regle!$B$12,regle!$B$11,
IF(AR202=regle!$C$12,regle!$C$11,
IF(AR202=regle!$D$12,regle!$D$11,
IF(AR202=regle!$E$12,regle!$E$11,
IF(AR202=regle!$F$12,regle!$F$11,
IF(AR202=regle!$G$12,regle!$G$11,
IF(AR202=regle!$H$12,regle!$H$11,
IF(AR202=regle!$I$12,regle!$I$11,""))))))))))</f>
        <v/>
      </c>
      <c r="Y202" t="str">
        <f>IF(NOT($A202),"",
IF(AS202=-2,regle!$J$11,
IF(AS202=regle!$B$12,regle!$B$11,
IF(AS202=regle!$C$12,regle!$C$11,
IF(AS202=regle!$D$12,regle!$D$11,
IF(AS202=regle!$E$12,regle!$E$11,
IF(AS202=regle!$F$12,regle!$F$11,
IF(AS202=regle!$G$12,regle!$G$11,
IF(AS202=regle!$H$12,regle!$H$11,
IF(AS202=regle!$I$12,regle!$I$11,""))))))))))</f>
        <v/>
      </c>
      <c r="Z202" t="str">
        <f>IF(NOT($A202),"",
IF(AT202=-2,regle!$J$11,
IF(AT202=regle!$B$12,regle!$B$11,
IF(AT202=regle!$C$12,regle!$C$11,
IF(AT202=regle!$D$12,regle!$D$11,
IF(AT202=regle!$E$12,regle!$E$11,
IF(AT202=regle!$F$12,regle!$F$11,
IF(AT202=regle!$G$12,regle!$G$11,
IF(AT202=regle!$H$12,regle!$H$11,
IF(AT202=regle!$I$12,regle!$I$11,""))))))))))</f>
        <v/>
      </c>
      <c r="AA202" t="str">
        <f>IF(NOT($A202),"",
IF(AU202=-2,regle!$J$11,
IF(AU202=regle!$B$12,regle!$B$11,
IF(AU202=regle!$C$12,regle!$C$11,
IF(AU202=regle!$D$12,regle!$D$11,
IF(AU202=regle!$E$12,regle!$E$11,
IF(AU202=regle!$F$12,regle!$F$11,
IF(AU202=regle!$G$12,regle!$G$11,
IF(AU202=regle!$H$12,regle!$H$11,
IF(AU202=regle!$I$12,regle!$I$11,""))))))))))</f>
        <v/>
      </c>
      <c r="AB202" t="str">
        <f>IF(NOT($A202),"",
IF(AV202=-2,regle!$J$11,
IF(AV202=regle!$B$12,regle!$B$11,
IF(AV202=regle!$C$12,regle!$C$11,
IF(AV202=regle!$D$12,regle!$D$11,
IF(AV202=regle!$E$12,regle!$E$11,
IF(AV202=regle!$F$12,regle!$F$11,
IF(AV202=regle!$G$12,regle!$G$11,
IF(AV202=regle!$H$12,regle!$H$11,
IF(AV202=regle!$I$12,regle!$I$11,""))))))))))</f>
        <v>EC1</v>
      </c>
      <c r="AC202" t="str">
        <f>IF(NOT($A202),"",
IF(AW202=-2,regle!$J$11,
IF(AW202=regle!$B$12,regle!$B$11,
IF(AW202=regle!$C$12,regle!$C$11,
IF(AW202=regle!$D$12,regle!$D$11,
IF(AW202=regle!$E$12,regle!$E$11,
IF(AW202=regle!$F$12,regle!$F$11,
IF(AW202=regle!$G$12,regle!$G$11,
IF(AW202=regle!$H$12,regle!$H$11,
IF(AW202=regle!$I$12,regle!$I$11,""))))))))))</f>
        <v/>
      </c>
      <c r="AD202" t="str">
        <f>IF(NOT($A202),"",
IF(AX202=-2,regle!$J$11,
IF(AX202=regle!$B$12,regle!$B$11,
IF(AX202=regle!$C$12,regle!$C$11,
IF(AX202=regle!$D$12,regle!$D$11,
IF(AX202=regle!$E$12,regle!$E$11,
IF(AX202=regle!$F$12,regle!$F$11,
IF(AX202=regle!$G$12,regle!$G$11,
IF(AX202=regle!$H$12,regle!$H$11,
IF(AX202=regle!$I$12,regle!$I$11,""))))))))))</f>
        <v/>
      </c>
      <c r="AE202" s="14">
        <f>IF($A202,$M202*(IF(U202=regle!$B$11,regle!$B$23,IF(U202=regle!$C$11,regle!$C$23,IF(U202=regle!$D$11,regle!$D$23,IF(U202=regle!$E$11,regle!$E$23,IF(U202=regle!$F$11,regle!$F$23,IF(U202=regle!$G$11,regle!$G$23,IF(U202=regle!$H$11,regle!$H$23,IF(U202=regle!$I$11,regle!$I$23,IF(U202=regle!$J$11,regle!$J$23,0)))))))))))</f>
        <v>0</v>
      </c>
      <c r="AF202" s="14">
        <f>IF($A202,$M202*(IF(V202=regle!$B$11,regle!$B$23,IF(V202=regle!$C$11,regle!$C$23,IF(V202=regle!$D$11,regle!$D$23,IF(V202=regle!$E$11,regle!$E$23,IF(V202=regle!$F$11,regle!$F$23,IF(V202=regle!$G$11,regle!$G$23,IF(V202=regle!$H$11,regle!$H$23,IF(V202=regle!$I$11,regle!$I$23,IF(V202=regle!$J$11,regle!$J$23,0)))))))))))</f>
        <v>0</v>
      </c>
      <c r="AG202" s="14">
        <f>IF($A202,$M202*(IF(W202=regle!$B$11,regle!$B$23,IF(W202=regle!$C$11,regle!$C$23,IF(W202=regle!$D$11,regle!$D$23,IF(W202=regle!$E$11,regle!$E$23,IF(W202=regle!$F$11,regle!$F$23,IF(W202=regle!$G$11,regle!$G$23,IF(W202=regle!$H$11,regle!$H$23,IF(W202=regle!$I$11,regle!$I$23,IF(W202=regle!$J$11,regle!$J$23,0)))))))))))</f>
        <v>-119.25</v>
      </c>
      <c r="AH202" s="14">
        <f>IF($A202,$M202*(IF(X202=regle!$B$11,regle!$B$23,IF(X202=regle!$C$11,regle!$C$23,IF(X202=regle!$D$11,regle!$D$23,IF(X202=regle!$E$11,regle!$E$23,IF(X202=regle!$F$11,regle!$F$23,IF(X202=regle!$G$11,regle!$G$23,IF(X202=regle!$H$11,regle!$H$23,IF(X202=regle!$I$11,regle!$I$23,IF(X202=regle!$J$11,regle!$J$23,0)))))))))))</f>
        <v>0</v>
      </c>
      <c r="AI202" s="14">
        <f>IF($A202,$M202*(IF(Y202=regle!$B$11,regle!$B$23,IF(Y202=regle!$C$11,regle!$C$23,IF(Y202=regle!$D$11,regle!$D$23,IF(Y202=regle!$E$11,regle!$E$23,IF(Y202=regle!$F$11,regle!$F$23,IF(Y202=regle!$G$11,regle!$G$23,IF(Y202=regle!$H$11,regle!$H$23,IF(Y202=regle!$I$11,regle!$I$23,IF(Y202=regle!$J$11,regle!$J$23,0)))))))))))</f>
        <v>0</v>
      </c>
      <c r="AJ202" s="14">
        <f>IF($A202,$M202*(IF(Z202=regle!$B$11,regle!$B$23,IF(Z202=regle!$C$11,regle!$C$23,IF(Z202=regle!$D$11,regle!$D$23,IF(Z202=regle!$E$11,regle!$E$23,IF(Z202=regle!$F$11,regle!$F$23,IF(Z202=regle!$G$11,regle!$G$23,IF(Z202=regle!$H$11,regle!$H$23,IF(Z202=regle!$I$11,regle!$I$23,IF(Z202=regle!$J$11,regle!$J$23,0)))))))))))</f>
        <v>0</v>
      </c>
      <c r="AK202" s="14">
        <f>IF($A202,$M202*(IF(AA202=regle!$B$11,regle!$B$23,IF(AA202=regle!$C$11,regle!$C$23,IF(AA202=regle!$D$11,regle!$D$23,IF(AA202=regle!$E$11,regle!$E$23,IF(AA202=regle!$F$11,regle!$F$23,IF(AA202=regle!$G$11,regle!$G$23,IF(AA202=regle!$H$11,regle!$H$23,IF(AA202=regle!$I$11,regle!$I$23,IF(AA202=regle!$J$11,regle!$J$23,0)))))))))))</f>
        <v>0</v>
      </c>
      <c r="AL202" s="14">
        <f>IF($A202,$M202*(IF(AB202=regle!$B$11,regle!$B$23,IF(AB202=regle!$C$11,regle!$C$23,IF(AB202=regle!$D$11,regle!$D$23,IF(AB202=regle!$E$11,regle!$E$23,IF(AB202=regle!$F$11,regle!$F$23,IF(AB202=regle!$G$11,regle!$G$23,IF(AB202=regle!$H$11,regle!$H$23,IF(AB202=regle!$I$11,regle!$I$23,IF(AB202=regle!$J$11,regle!$J$23,0)))))))))))</f>
        <v>763.19999999999993</v>
      </c>
      <c r="AM202" s="14">
        <f>IF($A202,$M202*(IF(AC202=regle!$B$11,regle!$B$23,IF(AC202=regle!$C$11,regle!$C$23,IF(AC202=regle!$D$11,regle!$D$23,IF(AC202=regle!$E$11,regle!$E$23,IF(AC202=regle!$F$11,regle!$F$23,IF(AC202=regle!$G$11,regle!$G$23,IF(AC202=regle!$H$11,regle!$H$23,IF(AC202=regle!$I$11,regle!$I$23,IF(AC202=regle!$J$11,regle!$J$23,0)))))))))))</f>
        <v>0</v>
      </c>
      <c r="AN202" s="14">
        <f>IF($A202,$M202*(IF(AD202=regle!$B$11,regle!$B$23,IF(AD202=regle!$C$11,regle!$C$23,IF(AD202=regle!$D$11,regle!$D$23,IF(AD202=regle!$E$11,regle!$E$23,IF(AD202=regle!$F$11,regle!$F$23,IF(AD202=regle!$G$11,regle!$G$23,IF(AD202=regle!$H$11,regle!$H$23,IF(AD202=regle!$I$11,regle!$I$23,IF(AD202=regle!$J$11,regle!$J$23,0)))))))))))</f>
        <v>0</v>
      </c>
      <c r="AO202">
        <f>IF(AO$1=$AO$1,IF(regle!B$2-$Q202&gt;=regle!$J$12,-2,IF($S202,IF(regle!$B$2-$Q202&gt;=2,0,-1),regle!B$2-$Q202)),IF(AN202+1&gt;=regle!$J$12,-2,AN202+1))</f>
        <v>6</v>
      </c>
      <c r="AP202">
        <f>IF(AP$1=$AO$1,IF(regle!C$2-$Q202&gt;=regle!$J$12,-2,IF($S202,IF(regle!$B$2-$Q202&gt;=2,0,-1),regle!C$2-$Q202)),IF(AO202+1&gt;=regle!$J$12,-2,AO202+1))</f>
        <v>7</v>
      </c>
      <c r="AQ202">
        <f>IF(AQ$1=$AO$1,IF(regle!D$2-$Q202&gt;=regle!$J$12,-2,IF($S202,IF(regle!$B$2-$Q202&gt;=2,0,-1),regle!D$2-$Q202)),IF(AP202+1&gt;=regle!$J$12,-2,AP202+1))</f>
        <v>8</v>
      </c>
      <c r="AR202">
        <f>IF(AR$1=$AO$1,IF(regle!E$2-$Q202&gt;=regle!$J$12,-2,IF($S202,IF(regle!$B$2-$Q202&gt;=2,0,-1),regle!E$2-$Q202)),IF(AQ202+1&gt;=regle!$J$12,-2,AQ202+1))</f>
        <v>9</v>
      </c>
      <c r="AS202">
        <f>IF(AS$1=$AO$1,IF(regle!F$2-$Q202&gt;=regle!$J$12,-2,IF($S202,IF(regle!$B$2-$Q202&gt;=2,0,-1),regle!F$2-$Q202)),IF(AR202+1&gt;=regle!$J$12,-2,AR202+1))</f>
        <v>10</v>
      </c>
      <c r="AT202">
        <f>IF(AT$1=$AO$1,IF(regle!G$2-$Q202&gt;=regle!$J$12,-2,IF($S202,IF(regle!$B$2-$Q202&gt;=2,0,-1),regle!G$2-$Q202)),IF(AS202+1&gt;=regle!$J$12,-2,AS202+1))</f>
        <v>11</v>
      </c>
      <c r="AU202">
        <f>IF(AU$1=$AO$1,IF(regle!H$2-$Q202&gt;=regle!$J$12,-2,IF($S202,IF(regle!$B$2-$Q202&gt;=2,0,-1),regle!H$2-$Q202)),IF(AT202+1&gt;=regle!$J$12,-2,AT202+1))</f>
        <v>12</v>
      </c>
      <c r="AV202">
        <f>IF(AV$1=$AO$1,IF(regle!I$2-$Q202&gt;=regle!$J$12,-2,IF($S202,IF(regle!$B$2-$Q202&gt;=2,0,-1),regle!I$2-$Q202)),IF(AU202+1&gt;=regle!$J$12,-2,AU202+1))</f>
        <v>13</v>
      </c>
      <c r="AW202">
        <f>IF(AW$1=$AO$1,IF(regle!J$2-$Q202&gt;=regle!$J$12,-2,IF($S202,IF(regle!$B$2-$Q202&gt;=2,0,-1),regle!J$2-$Q202)),IF(AV202+1&gt;=regle!$J$12,-2,AV202+1))</f>
        <v>14</v>
      </c>
      <c r="AX202">
        <f>IF(AX$1=$AO$1,IF(regle!K$2-$Q202&gt;=regle!$J$12,-2,IF($S202,IF(regle!$B$2-$Q202&gt;=2,0,-1),regle!K$2-$Q202)),IF(AW202+1&gt;=regle!$J$12,-2,AW202+1))</f>
        <v>15</v>
      </c>
    </row>
    <row r="203" spans="1:50" x14ac:dyDescent="0.25">
      <c r="A203" t="b">
        <f>AND(modif0[[#This Row],[cdstr]]&lt;&gt;0,OR(regle!$H$27=FALSE,modif0[[#This Row],[essnc]]="PM"))</f>
        <v>1</v>
      </c>
      <c r="B203">
        <f>ROW(objet!A244)</f>
        <v>244</v>
      </c>
      <c r="C203" s="10" t="str">
        <f>objet!D244</f>
        <v>2020000B1236</v>
      </c>
      <c r="D203" t="str">
        <f>LEFT(modif0[[#This Row],[cdstr]],3)</f>
        <v>202</v>
      </c>
      <c r="E203" s="10" t="str">
        <f>objet!G244</f>
        <v>HOSTENS</v>
      </c>
      <c r="F203">
        <f>LEN(modif0[[#This Row],[l_dt]])</f>
        <v>13</v>
      </c>
      <c r="G203" s="10" t="str">
        <f>objet!H244</f>
        <v>LA BROUSTETTE</v>
      </c>
      <c r="H203" s="10" t="str">
        <f>objet!C244</f>
        <v>B1236</v>
      </c>
      <c r="I203" t="str">
        <f>IF(ISNUMBER(VALUE(RIGHT(LEFT(modif0[[#This Row],[idntfn]],2),1))),_xlfn.CONCAT(0,LEFT(modif0[[#This Row],[idntfn]],1)),LEFT(modif0[[#This Row],[idntfn]],2))</f>
        <v>0B</v>
      </c>
      <c r="J203">
        <f>VALUE(LEFT(RIGHT(modif0[[#This Row],[idntfn]],LEN(modif0[[#This Row],[idntfn]])-IF(LEFT(modif0[[#This Row],[sctn]],1)="0",1,2)),LEN(modif0[[#This Row],[idntfn]])-IF(LEFT(modif0[[#This Row],[sctn]],1)="0",1,2)-LEN(modif0[[#This Row],[lttr]])))</f>
        <v>1236</v>
      </c>
      <c r="K203" t="str">
        <f>IF(ISNUMBER(VALUE(RIGHT(modif0[[#This Row],[idntfn]],1))),"",IF(ISNUMBER(VALUE(LEFT(RIGHT(modif0[[#This Row],[idntfn]],2),1))),RIGHT(modif0[[#This Row],[idntfn]],1),RIGHT(modif0[[#This Row],[idntfn]],2)))</f>
        <v/>
      </c>
      <c r="L203" s="10">
        <f>objet!I244</f>
        <v>2930</v>
      </c>
      <c r="M203" s="11">
        <f>modif0[[#This Row],[srfc]]/10000</f>
        <v>0.29299999999999998</v>
      </c>
      <c r="N203" s="10" t="str">
        <f>objet!Z244</f>
        <v>PM</v>
      </c>
      <c r="O203" s="10" t="str">
        <f>objet!AA244</f>
        <v>PLA2018</v>
      </c>
      <c r="P203" t="str">
        <f>IF(ISNUMBER(modif0[[#This Row],[trvx]]),"",LEFT(modif0[[#This Row],[trvx]],LEN(modif0[[#This Row],[trvx]])-4))</f>
        <v>PLA</v>
      </c>
      <c r="Q203">
        <f>VALUE(RIGHT(modif0[[#This Row],[trvx]],4))</f>
        <v>2018</v>
      </c>
      <c r="R203" t="str">
        <f>_xlfn.CONCAT(modif0[[#This Row],[tp]],"-",modif0[[#This Row],[essnc]],"_",modif0[[#This Row],[anns]])</f>
        <v>PLA-PM_2018</v>
      </c>
      <c r="S203" t="b">
        <f>modif0[[#This Row],[tp]]="CR"</f>
        <v>0</v>
      </c>
      <c r="T203">
        <v>40</v>
      </c>
      <c r="U203" t="str">
        <f>IF(NOT($A203),"",
IF(AO203=-2,regle!$J$11,
IF(AO203=regle!$B$12,regle!$B$11,
IF(AO203=regle!$C$12,regle!$C$11,
IF(AO203=regle!$D$12,regle!$D$11,
IF(AO203=regle!$E$12,regle!$E$11,
IF(AO203=regle!$F$12,regle!$F$11,
IF(AO203=regle!$G$12,regle!$G$11,
IF(AO203=regle!$H$12,regle!$H$11,
IF(AO203=regle!$I$12,regle!$I$11,""))))))))))</f>
        <v/>
      </c>
      <c r="V203" t="str">
        <f>IF(NOT($A203),"",
IF(AP203=-2,regle!$J$11,
IF(AP203=regle!$B$12,regle!$B$11,
IF(AP203=regle!$C$12,regle!$C$11,
IF(AP203=regle!$D$12,regle!$D$11,
IF(AP203=regle!$E$12,regle!$E$11,
IF(AP203=regle!$F$12,regle!$F$11,
IF(AP203=regle!$G$12,regle!$G$11,
IF(AP203=regle!$H$12,regle!$H$11,
IF(AP203=regle!$I$12,regle!$I$11,""))))))))))</f>
        <v/>
      </c>
      <c r="W203" t="str">
        <f>IF(NOT($A203),"",
IF(AQ203=-2,regle!$J$11,
IF(AQ203=regle!$B$12,regle!$B$11,
IF(AQ203=regle!$C$12,regle!$C$11,
IF(AQ203=regle!$D$12,regle!$D$11,
IF(AQ203=regle!$E$12,regle!$E$11,
IF(AQ203=regle!$F$12,regle!$F$11,
IF(AQ203=regle!$G$12,regle!$G$11,
IF(AQ203=regle!$H$12,regle!$H$11,
IF(AQ203=regle!$I$12,regle!$I$11,""))))))))))</f>
        <v>ENT2</v>
      </c>
      <c r="X203" t="str">
        <f>IF(NOT($A203),"",
IF(AR203=-2,regle!$J$11,
IF(AR203=regle!$B$12,regle!$B$11,
IF(AR203=regle!$C$12,regle!$C$11,
IF(AR203=regle!$D$12,regle!$D$11,
IF(AR203=regle!$E$12,regle!$E$11,
IF(AR203=regle!$F$12,regle!$F$11,
IF(AR203=regle!$G$12,regle!$G$11,
IF(AR203=regle!$H$12,regle!$H$11,
IF(AR203=regle!$I$12,regle!$I$11,""))))))))))</f>
        <v/>
      </c>
      <c r="Y203" t="str">
        <f>IF(NOT($A203),"",
IF(AS203=-2,regle!$J$11,
IF(AS203=regle!$B$12,regle!$B$11,
IF(AS203=regle!$C$12,regle!$C$11,
IF(AS203=regle!$D$12,regle!$D$11,
IF(AS203=regle!$E$12,regle!$E$11,
IF(AS203=regle!$F$12,regle!$F$11,
IF(AS203=regle!$G$12,regle!$G$11,
IF(AS203=regle!$H$12,regle!$H$11,
IF(AS203=regle!$I$12,regle!$I$11,""))))))))))</f>
        <v/>
      </c>
      <c r="Z203" t="str">
        <f>IF(NOT($A203),"",
IF(AT203=-2,regle!$J$11,
IF(AT203=regle!$B$12,regle!$B$11,
IF(AT203=regle!$C$12,regle!$C$11,
IF(AT203=regle!$D$12,regle!$D$11,
IF(AT203=regle!$E$12,regle!$E$11,
IF(AT203=regle!$F$12,regle!$F$11,
IF(AT203=regle!$G$12,regle!$G$11,
IF(AT203=regle!$H$12,regle!$H$11,
IF(AT203=regle!$I$12,regle!$I$11,""))))))))))</f>
        <v/>
      </c>
      <c r="AA203" t="str">
        <f>IF(NOT($A203),"",
IF(AU203=-2,regle!$J$11,
IF(AU203=regle!$B$12,regle!$B$11,
IF(AU203=regle!$C$12,regle!$C$11,
IF(AU203=regle!$D$12,regle!$D$11,
IF(AU203=regle!$E$12,regle!$E$11,
IF(AU203=regle!$F$12,regle!$F$11,
IF(AU203=regle!$G$12,regle!$G$11,
IF(AU203=regle!$H$12,regle!$H$11,
IF(AU203=regle!$I$12,regle!$I$11,""))))))))))</f>
        <v/>
      </c>
      <c r="AB203" t="str">
        <f>IF(NOT($A203),"",
IF(AV203=-2,regle!$J$11,
IF(AV203=regle!$B$12,regle!$B$11,
IF(AV203=regle!$C$12,regle!$C$11,
IF(AV203=regle!$D$12,regle!$D$11,
IF(AV203=regle!$E$12,regle!$E$11,
IF(AV203=regle!$F$12,regle!$F$11,
IF(AV203=regle!$G$12,regle!$G$11,
IF(AV203=regle!$H$12,regle!$H$11,
IF(AV203=regle!$I$12,regle!$I$11,""))))))))))</f>
        <v>EC1</v>
      </c>
      <c r="AC203" t="str">
        <f>IF(NOT($A203),"",
IF(AW203=-2,regle!$J$11,
IF(AW203=regle!$B$12,regle!$B$11,
IF(AW203=regle!$C$12,regle!$C$11,
IF(AW203=regle!$D$12,regle!$D$11,
IF(AW203=regle!$E$12,regle!$E$11,
IF(AW203=regle!$F$12,regle!$F$11,
IF(AW203=regle!$G$12,regle!$G$11,
IF(AW203=regle!$H$12,regle!$H$11,
IF(AW203=regle!$I$12,regle!$I$11,""))))))))))</f>
        <v/>
      </c>
      <c r="AD203" t="str">
        <f>IF(NOT($A203),"",
IF(AX203=-2,regle!$J$11,
IF(AX203=regle!$B$12,regle!$B$11,
IF(AX203=regle!$C$12,regle!$C$11,
IF(AX203=regle!$D$12,regle!$D$11,
IF(AX203=regle!$E$12,regle!$E$11,
IF(AX203=regle!$F$12,regle!$F$11,
IF(AX203=regle!$G$12,regle!$G$11,
IF(AX203=regle!$H$12,regle!$H$11,
IF(AX203=regle!$I$12,regle!$I$11,""))))))))))</f>
        <v/>
      </c>
      <c r="AE203" s="14">
        <f>IF($A203,$M203*(IF(U203=regle!$B$11,regle!$B$23,IF(U203=regle!$C$11,regle!$C$23,IF(U203=regle!$D$11,regle!$D$23,IF(U203=regle!$E$11,regle!$E$23,IF(U203=regle!$F$11,regle!$F$23,IF(U203=regle!$G$11,regle!$G$23,IF(U203=regle!$H$11,regle!$H$23,IF(U203=regle!$I$11,regle!$I$23,IF(U203=regle!$J$11,regle!$J$23,0)))))))))))</f>
        <v>0</v>
      </c>
      <c r="AF203" s="14">
        <f>IF($A203,$M203*(IF(V203=regle!$B$11,regle!$B$23,IF(V203=regle!$C$11,regle!$C$23,IF(V203=regle!$D$11,regle!$D$23,IF(V203=regle!$E$11,regle!$E$23,IF(V203=regle!$F$11,regle!$F$23,IF(V203=regle!$G$11,regle!$G$23,IF(V203=regle!$H$11,regle!$H$23,IF(V203=regle!$I$11,regle!$I$23,IF(V203=regle!$J$11,regle!$J$23,0)))))))))))</f>
        <v>0</v>
      </c>
      <c r="AG203" s="14">
        <f>IF($A203,$M203*(IF(W203=regle!$B$11,regle!$B$23,IF(W203=regle!$C$11,regle!$C$23,IF(W203=regle!$D$11,regle!$D$23,IF(W203=regle!$E$11,regle!$E$23,IF(W203=regle!$F$11,regle!$F$23,IF(W203=regle!$G$11,regle!$G$23,IF(W203=regle!$H$11,regle!$H$23,IF(W203=regle!$I$11,regle!$I$23,IF(W203=regle!$J$11,regle!$J$23,0)))))))))))</f>
        <v>-26.369999999999997</v>
      </c>
      <c r="AH203" s="14">
        <f>IF($A203,$M203*(IF(X203=regle!$B$11,regle!$B$23,IF(X203=regle!$C$11,regle!$C$23,IF(X203=regle!$D$11,regle!$D$23,IF(X203=regle!$E$11,regle!$E$23,IF(X203=regle!$F$11,regle!$F$23,IF(X203=regle!$G$11,regle!$G$23,IF(X203=regle!$H$11,regle!$H$23,IF(X203=regle!$I$11,regle!$I$23,IF(X203=regle!$J$11,regle!$J$23,0)))))))))))</f>
        <v>0</v>
      </c>
      <c r="AI203" s="14">
        <f>IF($A203,$M203*(IF(Y203=regle!$B$11,regle!$B$23,IF(Y203=regle!$C$11,regle!$C$23,IF(Y203=regle!$D$11,regle!$D$23,IF(Y203=regle!$E$11,regle!$E$23,IF(Y203=regle!$F$11,regle!$F$23,IF(Y203=regle!$G$11,regle!$G$23,IF(Y203=regle!$H$11,regle!$H$23,IF(Y203=regle!$I$11,regle!$I$23,IF(Y203=regle!$J$11,regle!$J$23,0)))))))))))</f>
        <v>0</v>
      </c>
      <c r="AJ203" s="14">
        <f>IF($A203,$M203*(IF(Z203=regle!$B$11,regle!$B$23,IF(Z203=regle!$C$11,regle!$C$23,IF(Z203=regle!$D$11,regle!$D$23,IF(Z203=regle!$E$11,regle!$E$23,IF(Z203=regle!$F$11,regle!$F$23,IF(Z203=regle!$G$11,regle!$G$23,IF(Z203=regle!$H$11,regle!$H$23,IF(Z203=regle!$I$11,regle!$I$23,IF(Z203=regle!$J$11,regle!$J$23,0)))))))))))</f>
        <v>0</v>
      </c>
      <c r="AK203" s="14">
        <f>IF($A203,$M203*(IF(AA203=regle!$B$11,regle!$B$23,IF(AA203=regle!$C$11,regle!$C$23,IF(AA203=regle!$D$11,regle!$D$23,IF(AA203=regle!$E$11,regle!$E$23,IF(AA203=regle!$F$11,regle!$F$23,IF(AA203=regle!$G$11,regle!$G$23,IF(AA203=regle!$H$11,regle!$H$23,IF(AA203=regle!$I$11,regle!$I$23,IF(AA203=regle!$J$11,regle!$J$23,0)))))))))))</f>
        <v>0</v>
      </c>
      <c r="AL203" s="14">
        <f>IF($A203,$M203*(IF(AB203=regle!$B$11,regle!$B$23,IF(AB203=regle!$C$11,regle!$C$23,IF(AB203=regle!$D$11,regle!$D$23,IF(AB203=regle!$E$11,regle!$E$23,IF(AB203=regle!$F$11,regle!$F$23,IF(AB203=regle!$G$11,regle!$G$23,IF(AB203=regle!$H$11,regle!$H$23,IF(AB203=regle!$I$11,regle!$I$23,IF(AB203=regle!$J$11,regle!$J$23,0)))))))))))</f>
        <v>168.768</v>
      </c>
      <c r="AM203" s="14">
        <f>IF($A203,$M203*(IF(AC203=regle!$B$11,regle!$B$23,IF(AC203=regle!$C$11,regle!$C$23,IF(AC203=regle!$D$11,regle!$D$23,IF(AC203=regle!$E$11,regle!$E$23,IF(AC203=regle!$F$11,regle!$F$23,IF(AC203=regle!$G$11,regle!$G$23,IF(AC203=regle!$H$11,regle!$H$23,IF(AC203=regle!$I$11,regle!$I$23,IF(AC203=regle!$J$11,regle!$J$23,0)))))))))))</f>
        <v>0</v>
      </c>
      <c r="AN203" s="14">
        <f>IF($A203,$M203*(IF(AD203=regle!$B$11,regle!$B$23,IF(AD203=regle!$C$11,regle!$C$23,IF(AD203=regle!$D$11,regle!$D$23,IF(AD203=regle!$E$11,regle!$E$23,IF(AD203=regle!$F$11,regle!$F$23,IF(AD203=regle!$G$11,regle!$G$23,IF(AD203=regle!$H$11,regle!$H$23,IF(AD203=regle!$I$11,regle!$I$23,IF(AD203=regle!$J$11,regle!$J$23,0)))))))))))</f>
        <v>0</v>
      </c>
      <c r="AO203">
        <f>IF(AO$1=$AO$1,IF(regle!B$2-$Q203&gt;=regle!$J$12,-2,IF($S203,IF(regle!$B$2-$Q203&gt;=2,0,-1),regle!B$2-$Q203)),IF(AN203+1&gt;=regle!$J$12,-2,AN203+1))</f>
        <v>6</v>
      </c>
      <c r="AP203">
        <f>IF(AP$1=$AO$1,IF(regle!C$2-$Q203&gt;=regle!$J$12,-2,IF($S203,IF(regle!$B$2-$Q203&gt;=2,0,-1),regle!C$2-$Q203)),IF(AO203+1&gt;=regle!$J$12,-2,AO203+1))</f>
        <v>7</v>
      </c>
      <c r="AQ203">
        <f>IF(AQ$1=$AO$1,IF(regle!D$2-$Q203&gt;=regle!$J$12,-2,IF($S203,IF(regle!$B$2-$Q203&gt;=2,0,-1),regle!D$2-$Q203)),IF(AP203+1&gt;=regle!$J$12,-2,AP203+1))</f>
        <v>8</v>
      </c>
      <c r="AR203">
        <f>IF(AR$1=$AO$1,IF(regle!E$2-$Q203&gt;=regle!$J$12,-2,IF($S203,IF(regle!$B$2-$Q203&gt;=2,0,-1),regle!E$2-$Q203)),IF(AQ203+1&gt;=regle!$J$12,-2,AQ203+1))</f>
        <v>9</v>
      </c>
      <c r="AS203">
        <f>IF(AS$1=$AO$1,IF(regle!F$2-$Q203&gt;=regle!$J$12,-2,IF($S203,IF(regle!$B$2-$Q203&gt;=2,0,-1),regle!F$2-$Q203)),IF(AR203+1&gt;=regle!$J$12,-2,AR203+1))</f>
        <v>10</v>
      </c>
      <c r="AT203">
        <f>IF(AT$1=$AO$1,IF(regle!G$2-$Q203&gt;=regle!$J$12,-2,IF($S203,IF(regle!$B$2-$Q203&gt;=2,0,-1),regle!G$2-$Q203)),IF(AS203+1&gt;=regle!$J$12,-2,AS203+1))</f>
        <v>11</v>
      </c>
      <c r="AU203">
        <f>IF(AU$1=$AO$1,IF(regle!H$2-$Q203&gt;=regle!$J$12,-2,IF($S203,IF(regle!$B$2-$Q203&gt;=2,0,-1),regle!H$2-$Q203)),IF(AT203+1&gt;=regle!$J$12,-2,AT203+1))</f>
        <v>12</v>
      </c>
      <c r="AV203">
        <f>IF(AV$1=$AO$1,IF(regle!I$2-$Q203&gt;=regle!$J$12,-2,IF($S203,IF(regle!$B$2-$Q203&gt;=2,0,-1),regle!I$2-$Q203)),IF(AU203+1&gt;=regle!$J$12,-2,AU203+1))</f>
        <v>13</v>
      </c>
      <c r="AW203">
        <f>IF(AW$1=$AO$1,IF(regle!J$2-$Q203&gt;=regle!$J$12,-2,IF($S203,IF(regle!$B$2-$Q203&gt;=2,0,-1),regle!J$2-$Q203)),IF(AV203+1&gt;=regle!$J$12,-2,AV203+1))</f>
        <v>14</v>
      </c>
      <c r="AX203">
        <f>IF(AX$1=$AO$1,IF(regle!K$2-$Q203&gt;=regle!$J$12,-2,IF($S203,IF(regle!$B$2-$Q203&gt;=2,0,-1),regle!K$2-$Q203)),IF(AW203+1&gt;=regle!$J$12,-2,AW203+1))</f>
        <v>15</v>
      </c>
    </row>
    <row r="204" spans="1:50" x14ac:dyDescent="0.25">
      <c r="A204" t="b">
        <f>AND(modif0[[#This Row],[cdstr]]&lt;&gt;0,OR(regle!$H$27=FALSE,modif0[[#This Row],[essnc]]="PM"))</f>
        <v>1</v>
      </c>
      <c r="B204">
        <f>ROW(objet!A245)</f>
        <v>245</v>
      </c>
      <c r="C204" s="10" t="str">
        <f>objet!D245</f>
        <v>2020000B1237</v>
      </c>
      <c r="D204" t="str">
        <f>LEFT(modif0[[#This Row],[cdstr]],3)</f>
        <v>202</v>
      </c>
      <c r="E204" s="10" t="str">
        <f>objet!G245</f>
        <v>HOSTENS</v>
      </c>
      <c r="F204">
        <f>LEN(modif0[[#This Row],[l_dt]])</f>
        <v>13</v>
      </c>
      <c r="G204" s="10" t="str">
        <f>objet!H245</f>
        <v>LA BROUSTETTE</v>
      </c>
      <c r="H204" s="10" t="str">
        <f>objet!C245</f>
        <v>B1237</v>
      </c>
      <c r="I204" t="str">
        <f>IF(ISNUMBER(VALUE(RIGHT(LEFT(modif0[[#This Row],[idntfn]],2),1))),_xlfn.CONCAT(0,LEFT(modif0[[#This Row],[idntfn]],1)),LEFT(modif0[[#This Row],[idntfn]],2))</f>
        <v>0B</v>
      </c>
      <c r="J204">
        <f>VALUE(LEFT(RIGHT(modif0[[#This Row],[idntfn]],LEN(modif0[[#This Row],[idntfn]])-IF(LEFT(modif0[[#This Row],[sctn]],1)="0",1,2)),LEN(modif0[[#This Row],[idntfn]])-IF(LEFT(modif0[[#This Row],[sctn]],1)="0",1,2)-LEN(modif0[[#This Row],[lttr]])))</f>
        <v>1237</v>
      </c>
      <c r="K204" t="str">
        <f>IF(ISNUMBER(VALUE(RIGHT(modif0[[#This Row],[idntfn]],1))),"",IF(ISNUMBER(VALUE(LEFT(RIGHT(modif0[[#This Row],[idntfn]],2),1))),RIGHT(modif0[[#This Row],[idntfn]],1),RIGHT(modif0[[#This Row],[idntfn]],2)))</f>
        <v/>
      </c>
      <c r="L204" s="10">
        <f>objet!I245</f>
        <v>9375</v>
      </c>
      <c r="M204" s="11">
        <f>modif0[[#This Row],[srfc]]/10000</f>
        <v>0.9375</v>
      </c>
      <c r="N204" s="10" t="str">
        <f>objet!Z245</f>
        <v>PM</v>
      </c>
      <c r="O204" s="10" t="str">
        <f>objet!AA245</f>
        <v>SL1987</v>
      </c>
      <c r="P204" t="str">
        <f>IF(ISNUMBER(modif0[[#This Row],[trvx]]),"",LEFT(modif0[[#This Row],[trvx]],LEN(modif0[[#This Row],[trvx]])-4))</f>
        <v>SL</v>
      </c>
      <c r="Q204">
        <f>VALUE(RIGHT(modif0[[#This Row],[trvx]],4))</f>
        <v>1987</v>
      </c>
      <c r="R204" t="str">
        <f>_xlfn.CONCAT(modif0[[#This Row],[tp]],"-",modif0[[#This Row],[essnc]],"_",modif0[[#This Row],[anns]])</f>
        <v>SL-PM_1987</v>
      </c>
      <c r="S204" t="b">
        <f>modif0[[#This Row],[tp]]="CR"</f>
        <v>0</v>
      </c>
      <c r="T204">
        <v>40</v>
      </c>
      <c r="U204" t="str">
        <f>IF(NOT($A204),"",
IF(AO204=-2,regle!$J$11,
IF(AO204=regle!$B$12,regle!$B$11,
IF(AO204=regle!$C$12,regle!$C$11,
IF(AO204=regle!$D$12,regle!$D$11,
IF(AO204=regle!$E$12,regle!$E$11,
IF(AO204=regle!$F$12,regle!$F$11,
IF(AO204=regle!$G$12,regle!$G$11,
IF(AO204=regle!$H$12,regle!$H$11,
IF(AO204=regle!$I$12,regle!$I$11,""))))))))))</f>
        <v/>
      </c>
      <c r="V204" t="str">
        <f>IF(NOT($A204),"",
IF(AP204=-2,regle!$J$11,
IF(AP204=regle!$B$12,regle!$B$11,
IF(AP204=regle!$C$12,regle!$C$11,
IF(AP204=regle!$D$12,regle!$D$11,
IF(AP204=regle!$E$12,regle!$E$11,
IF(AP204=regle!$F$12,regle!$F$11,
IF(AP204=regle!$G$12,regle!$G$11,
IF(AP204=regle!$H$12,regle!$H$11,
IF(AP204=regle!$I$12,regle!$I$11,""))))))))))</f>
        <v/>
      </c>
      <c r="W204" t="str">
        <f>IF(NOT($A204),"",
IF(AQ204=-2,regle!$J$11,
IF(AQ204=regle!$B$12,regle!$B$11,
IF(AQ204=regle!$C$12,regle!$C$11,
IF(AQ204=regle!$D$12,regle!$D$11,
IF(AQ204=regle!$E$12,regle!$E$11,
IF(AQ204=regle!$F$12,regle!$F$11,
IF(AQ204=regle!$G$12,regle!$G$11,
IF(AQ204=regle!$H$12,regle!$H$11,
IF(AQ204=regle!$I$12,regle!$I$11,""))))))))))</f>
        <v/>
      </c>
      <c r="X204" t="str">
        <f>IF(NOT($A204),"",
IF(AR204=-2,regle!$J$11,
IF(AR204=regle!$B$12,regle!$B$11,
IF(AR204=regle!$C$12,regle!$C$11,
IF(AR204=regle!$D$12,regle!$D$11,
IF(AR204=regle!$E$12,regle!$E$11,
IF(AR204=regle!$F$12,regle!$F$11,
IF(AR204=regle!$G$12,regle!$G$11,
IF(AR204=regle!$H$12,regle!$H$11,
IF(AR204=regle!$I$12,regle!$I$11,""))))))))))</f>
        <v>CR</v>
      </c>
      <c r="Y204" t="str">
        <f>IF(NOT($A204),"",
IF(AS204=-2,regle!$J$11,
IF(AS204=regle!$B$12,regle!$B$11,
IF(AS204=regle!$C$12,regle!$C$11,
IF(AS204=regle!$D$12,regle!$D$11,
IF(AS204=regle!$E$12,regle!$E$11,
IF(AS204=regle!$F$12,regle!$F$11,
IF(AS204=regle!$G$12,regle!$G$11,
IF(AS204=regle!$H$12,regle!$H$11,
IF(AS204=regle!$I$12,regle!$I$11,""))))))))))</f>
        <v/>
      </c>
      <c r="Z204" t="str">
        <f>IF(NOT($A204),"",
IF(AT204=-2,regle!$J$11,
IF(AT204=regle!$B$12,regle!$B$11,
IF(AT204=regle!$C$12,regle!$C$11,
IF(AT204=regle!$D$12,regle!$D$11,
IF(AT204=regle!$E$12,regle!$E$11,
IF(AT204=regle!$F$12,regle!$F$11,
IF(AT204=regle!$G$12,regle!$G$11,
IF(AT204=regle!$H$12,regle!$H$11,
IF(AT204=regle!$I$12,regle!$I$11,""))))))))))</f>
        <v>RBST</v>
      </c>
      <c r="AA204" t="str">
        <f>IF(NOT($A204),"",
IF(AU204=-2,regle!$J$11,
IF(AU204=regle!$B$12,regle!$B$11,
IF(AU204=regle!$C$12,regle!$C$11,
IF(AU204=regle!$D$12,regle!$D$11,
IF(AU204=regle!$E$12,regle!$E$11,
IF(AU204=regle!$F$12,regle!$F$11,
IF(AU204=regle!$G$12,regle!$G$11,
IF(AU204=regle!$H$12,regle!$H$11,
IF(AU204=regle!$I$12,regle!$I$11,""))))))))))</f>
        <v/>
      </c>
      <c r="AB204" t="str">
        <f>IF(NOT($A204),"",
IF(AV204=-2,regle!$J$11,
IF(AV204=regle!$B$12,regle!$B$11,
IF(AV204=regle!$C$12,regle!$C$11,
IF(AV204=regle!$D$12,regle!$D$11,
IF(AV204=regle!$E$12,regle!$E$11,
IF(AV204=regle!$F$12,regle!$F$11,
IF(AV204=regle!$G$12,regle!$G$11,
IF(AV204=regle!$H$12,regle!$H$11,
IF(AV204=regle!$I$12,regle!$I$11,""))))))))))</f>
        <v>DGT</v>
      </c>
      <c r="AC204" t="str">
        <f>IF(NOT($A204),"",
IF(AW204=-2,regle!$J$11,
IF(AW204=regle!$B$12,regle!$B$11,
IF(AW204=regle!$C$12,regle!$C$11,
IF(AW204=regle!$D$12,regle!$D$11,
IF(AW204=regle!$E$12,regle!$E$11,
IF(AW204=regle!$F$12,regle!$F$11,
IF(AW204=regle!$G$12,regle!$G$11,
IF(AW204=regle!$H$12,regle!$H$11,
IF(AW204=regle!$I$12,regle!$I$11,""))))))))))</f>
        <v/>
      </c>
      <c r="AD204" t="str">
        <f>IF(NOT($A204),"",
IF(AX204=-2,regle!$J$11,
IF(AX204=regle!$B$12,regle!$B$11,
IF(AX204=regle!$C$12,regle!$C$11,
IF(AX204=regle!$D$12,regle!$D$11,
IF(AX204=regle!$E$12,regle!$E$11,
IF(AX204=regle!$F$12,regle!$F$11,
IF(AX204=regle!$G$12,regle!$G$11,
IF(AX204=regle!$H$12,regle!$H$11,
IF(AX204=regle!$I$12,regle!$I$11,""))))))))))</f>
        <v/>
      </c>
      <c r="AE204" s="14">
        <f>IF($A204,$M204*(IF(U204=regle!$B$11,regle!$B$23,IF(U204=regle!$C$11,regle!$C$23,IF(U204=regle!$D$11,regle!$D$23,IF(U204=regle!$E$11,regle!$E$23,IF(U204=regle!$F$11,regle!$F$23,IF(U204=regle!$G$11,regle!$G$23,IF(U204=regle!$H$11,regle!$H$23,IF(U204=regle!$I$11,regle!$I$23,IF(U204=regle!$J$11,regle!$J$23,0)))))))))))</f>
        <v>0</v>
      </c>
      <c r="AF204" s="14">
        <f>IF($A204,$M204*(IF(V204=regle!$B$11,regle!$B$23,IF(V204=regle!$C$11,regle!$C$23,IF(V204=regle!$D$11,regle!$D$23,IF(V204=regle!$E$11,regle!$E$23,IF(V204=regle!$F$11,regle!$F$23,IF(V204=regle!$G$11,regle!$G$23,IF(V204=regle!$H$11,regle!$H$23,IF(V204=regle!$I$11,regle!$I$23,IF(V204=regle!$J$11,regle!$J$23,0)))))))))))</f>
        <v>0</v>
      </c>
      <c r="AG204" s="14">
        <f>IF($A204,$M204*(IF(W204=regle!$B$11,regle!$B$23,IF(W204=regle!$C$11,regle!$C$23,IF(W204=regle!$D$11,regle!$D$23,IF(W204=regle!$E$11,regle!$E$23,IF(W204=regle!$F$11,regle!$F$23,IF(W204=regle!$G$11,regle!$G$23,IF(W204=regle!$H$11,regle!$H$23,IF(W204=regle!$I$11,regle!$I$23,IF(W204=regle!$J$11,regle!$J$23,0)))))))))))</f>
        <v>0</v>
      </c>
      <c r="AH204" s="14">
        <f>IF($A204,$M204*(IF(X204=regle!$B$11,regle!$B$23,IF(X204=regle!$C$11,regle!$C$23,IF(X204=regle!$D$11,regle!$D$23,IF(X204=regle!$E$11,regle!$E$23,IF(X204=regle!$F$11,regle!$F$23,IF(X204=regle!$G$11,regle!$G$23,IF(X204=regle!$H$11,regle!$H$23,IF(X204=regle!$I$11,regle!$I$23,IF(X204=regle!$J$11,regle!$J$23,0)))))))))))</f>
        <v>8250</v>
      </c>
      <c r="AI204" s="14">
        <f>IF($A204,$M204*(IF(Y204=regle!$B$11,regle!$B$23,IF(Y204=regle!$C$11,regle!$C$23,IF(Y204=regle!$D$11,regle!$D$23,IF(Y204=regle!$E$11,regle!$E$23,IF(Y204=regle!$F$11,regle!$F$23,IF(Y204=regle!$G$11,regle!$G$23,IF(Y204=regle!$H$11,regle!$H$23,IF(Y204=regle!$I$11,regle!$I$23,IF(Y204=regle!$J$11,regle!$J$23,0)))))))))))</f>
        <v>0</v>
      </c>
      <c r="AJ204" s="14">
        <f>IF($A204,$M204*(IF(Z204=regle!$B$11,regle!$B$23,IF(Z204=regle!$C$11,regle!$C$23,IF(Z204=regle!$D$11,regle!$D$23,IF(Z204=regle!$E$11,regle!$E$23,IF(Z204=regle!$F$11,regle!$F$23,IF(Z204=regle!$G$11,regle!$G$23,IF(Z204=regle!$H$11,regle!$H$23,IF(Z204=regle!$I$11,regle!$I$23,IF(Z204=regle!$J$11,regle!$J$23,0)))))))))))</f>
        <v>-1593.75</v>
      </c>
      <c r="AK204" s="14">
        <f>IF($A204,$M204*(IF(AA204=regle!$B$11,regle!$B$23,IF(AA204=regle!$C$11,regle!$C$23,IF(AA204=regle!$D$11,regle!$D$23,IF(AA204=regle!$E$11,regle!$E$23,IF(AA204=regle!$F$11,regle!$F$23,IF(AA204=regle!$G$11,regle!$G$23,IF(AA204=regle!$H$11,regle!$H$23,IF(AA204=regle!$I$11,regle!$I$23,IF(AA204=regle!$J$11,regle!$J$23,0)))))))))))</f>
        <v>0</v>
      </c>
      <c r="AL204" s="14">
        <f>IF($A204,$M204*(IF(AB204=regle!$B$11,regle!$B$23,IF(AB204=regle!$C$11,regle!$C$23,IF(AB204=regle!$D$11,regle!$D$23,IF(AB204=regle!$E$11,regle!$E$23,IF(AB204=regle!$F$11,regle!$F$23,IF(AB204=regle!$G$11,regle!$G$23,IF(AB204=regle!$H$11,regle!$H$23,IF(AB204=regle!$I$11,regle!$I$23,IF(AB204=regle!$J$11,regle!$J$23,0)))))))))))</f>
        <v>-70.3125</v>
      </c>
      <c r="AM204" s="14">
        <f>IF($A204,$M204*(IF(AC204=regle!$B$11,regle!$B$23,IF(AC204=regle!$C$11,regle!$C$23,IF(AC204=regle!$D$11,regle!$D$23,IF(AC204=regle!$E$11,regle!$E$23,IF(AC204=regle!$F$11,regle!$F$23,IF(AC204=regle!$G$11,regle!$G$23,IF(AC204=regle!$H$11,regle!$H$23,IF(AC204=regle!$I$11,regle!$I$23,IF(AC204=regle!$J$11,regle!$J$23,0)))))))))))</f>
        <v>0</v>
      </c>
      <c r="AN204" s="14">
        <f>IF($A204,$M204*(IF(AD204=regle!$B$11,regle!$B$23,IF(AD204=regle!$C$11,regle!$C$23,IF(AD204=regle!$D$11,regle!$D$23,IF(AD204=regle!$E$11,regle!$E$23,IF(AD204=regle!$F$11,regle!$F$23,IF(AD204=regle!$G$11,regle!$G$23,IF(AD204=regle!$H$11,regle!$H$23,IF(AD204=regle!$I$11,regle!$I$23,IF(AD204=regle!$J$11,regle!$J$23,0)))))))))))</f>
        <v>0</v>
      </c>
      <c r="AO204">
        <f>IF(AO$1=$AO$1,IF(regle!B$2-$Q204&gt;=regle!$J$12,-2,IF($S204,IF(regle!$B$2-$Q204&gt;=2,0,-1),regle!B$2-$Q204)),IF(AN204+1&gt;=regle!$J$12,-2,AN204+1))</f>
        <v>37</v>
      </c>
      <c r="AP204">
        <f>IF(AP$1=$AO$1,IF(regle!C$2-$Q204&gt;=regle!$J$12,-2,IF($S204,IF(regle!$B$2-$Q204&gt;=2,0,-1),regle!C$2-$Q204)),IF(AO204+1&gt;=regle!$J$12,-2,AO204+1))</f>
        <v>38</v>
      </c>
      <c r="AQ204">
        <f>IF(AQ$1=$AO$1,IF(regle!D$2-$Q204&gt;=regle!$J$12,-2,IF($S204,IF(regle!$B$2-$Q204&gt;=2,0,-1),regle!D$2-$Q204)),IF(AP204+1&gt;=regle!$J$12,-2,AP204+1))</f>
        <v>39</v>
      </c>
      <c r="AR204">
        <f>IF(AR$1=$AO$1,IF(regle!E$2-$Q204&gt;=regle!$J$12,-2,IF($S204,IF(regle!$B$2-$Q204&gt;=2,0,-1),regle!E$2-$Q204)),IF(AQ204+1&gt;=regle!$J$12,-2,AQ204+1))</f>
        <v>-2</v>
      </c>
      <c r="AS204">
        <f>IF(AS$1=$AO$1,IF(regle!F$2-$Q204&gt;=regle!$J$12,-2,IF($S204,IF(regle!$B$2-$Q204&gt;=2,0,-1),regle!F$2-$Q204)),IF(AR204+1&gt;=regle!$J$12,-2,AR204+1))</f>
        <v>-1</v>
      </c>
      <c r="AT204">
        <f>IF(AT$1=$AO$1,IF(regle!G$2-$Q204&gt;=regle!$J$12,-2,IF($S204,IF(regle!$B$2-$Q204&gt;=2,0,-1),regle!G$2-$Q204)),IF(AS204+1&gt;=regle!$J$12,-2,AS204+1))</f>
        <v>0</v>
      </c>
      <c r="AU204">
        <f>IF(AU$1=$AO$1,IF(regle!H$2-$Q204&gt;=regle!$J$12,-2,IF($S204,IF(regle!$B$2-$Q204&gt;=2,0,-1),regle!H$2-$Q204)),IF(AT204+1&gt;=regle!$J$12,-2,AT204+1))</f>
        <v>1</v>
      </c>
      <c r="AV204">
        <f>IF(AV$1=$AO$1,IF(regle!I$2-$Q204&gt;=regle!$J$12,-2,IF($S204,IF(regle!$B$2-$Q204&gt;=2,0,-1),regle!I$2-$Q204)),IF(AU204+1&gt;=regle!$J$12,-2,AU204+1))</f>
        <v>2</v>
      </c>
      <c r="AW204">
        <f>IF(AW$1=$AO$1,IF(regle!J$2-$Q204&gt;=regle!$J$12,-2,IF($S204,IF(regle!$B$2-$Q204&gt;=2,0,-1),regle!J$2-$Q204)),IF(AV204+1&gt;=regle!$J$12,-2,AV204+1))</f>
        <v>3</v>
      </c>
      <c r="AX204">
        <f>IF(AX$1=$AO$1,IF(regle!K$2-$Q204&gt;=regle!$J$12,-2,IF($S204,IF(regle!$B$2-$Q204&gt;=2,0,-1),regle!K$2-$Q204)),IF(AW204+1&gt;=regle!$J$12,-2,AW204+1))</f>
        <v>4</v>
      </c>
    </row>
    <row r="205" spans="1:50" x14ac:dyDescent="0.25">
      <c r="A205" t="b">
        <f>AND(modif0[[#This Row],[cdstr]]&lt;&gt;0,OR(regle!$H$27=FALSE,modif0[[#This Row],[essnc]]="PM"))</f>
        <v>1</v>
      </c>
      <c r="B205">
        <f>ROW(objet!A246)</f>
        <v>246</v>
      </c>
      <c r="C205" s="10" t="str">
        <f>objet!D246</f>
        <v>2020000B1244</v>
      </c>
      <c r="D205" t="str">
        <f>LEFT(modif0[[#This Row],[cdstr]],3)</f>
        <v>202</v>
      </c>
      <c r="E205" s="10" t="str">
        <f>objet!G246</f>
        <v>HOSTENS</v>
      </c>
      <c r="F205">
        <f>LEN(modif0[[#This Row],[l_dt]])</f>
        <v>13</v>
      </c>
      <c r="G205" s="10" t="str">
        <f>objet!H246</f>
        <v>LA BROUSTETTE</v>
      </c>
      <c r="H205" s="10" t="str">
        <f>objet!C246</f>
        <v>B1244j</v>
      </c>
      <c r="I205" t="str">
        <f>IF(ISNUMBER(VALUE(RIGHT(LEFT(modif0[[#This Row],[idntfn]],2),1))),_xlfn.CONCAT(0,LEFT(modif0[[#This Row],[idntfn]],1)),LEFT(modif0[[#This Row],[idntfn]],2))</f>
        <v>0B</v>
      </c>
      <c r="J205">
        <f>VALUE(LEFT(RIGHT(modif0[[#This Row],[idntfn]],LEN(modif0[[#This Row],[idntfn]])-IF(LEFT(modif0[[#This Row],[sctn]],1)="0",1,2)),LEN(modif0[[#This Row],[idntfn]])-IF(LEFT(modif0[[#This Row],[sctn]],1)="0",1,2)-LEN(modif0[[#This Row],[lttr]])))</f>
        <v>1244</v>
      </c>
      <c r="K205" t="str">
        <f>IF(ISNUMBER(VALUE(RIGHT(modif0[[#This Row],[idntfn]],1))),"",IF(ISNUMBER(VALUE(LEFT(RIGHT(modif0[[#This Row],[idntfn]],2),1))),RIGHT(modif0[[#This Row],[idntfn]],1),RIGHT(modif0[[#This Row],[idntfn]],2)))</f>
        <v>j</v>
      </c>
      <c r="L205" s="10">
        <f>objet!I246</f>
        <v>13512</v>
      </c>
      <c r="M205" s="11">
        <f>modif0[[#This Row],[srfc]]/10000</f>
        <v>1.3512</v>
      </c>
      <c r="N205" s="10" t="str">
        <f>objet!Z246</f>
        <v>PM</v>
      </c>
      <c r="O205" s="10" t="str">
        <f>objet!AA246</f>
        <v>PLA2008</v>
      </c>
      <c r="P205" t="str">
        <f>IF(ISNUMBER(modif0[[#This Row],[trvx]]),"",LEFT(modif0[[#This Row],[trvx]],LEN(modif0[[#This Row],[trvx]])-4))</f>
        <v>PLA</v>
      </c>
      <c r="Q205">
        <f>VALUE(RIGHT(modif0[[#This Row],[trvx]],4))</f>
        <v>2008</v>
      </c>
      <c r="R205" t="str">
        <f>_xlfn.CONCAT(modif0[[#This Row],[tp]],"-",modif0[[#This Row],[essnc]],"_",modif0[[#This Row],[anns]])</f>
        <v>PLA-PM_2008</v>
      </c>
      <c r="S205" t="b">
        <f>modif0[[#This Row],[tp]]="CR"</f>
        <v>0</v>
      </c>
      <c r="T205">
        <v>40</v>
      </c>
      <c r="U205" t="str">
        <f>IF(NOT($A205),"",
IF(AO205=-2,regle!$J$11,
IF(AO205=regle!$B$12,regle!$B$11,
IF(AO205=regle!$C$12,regle!$C$11,
IF(AO205=regle!$D$12,regle!$D$11,
IF(AO205=regle!$E$12,regle!$E$11,
IF(AO205=regle!$F$12,regle!$F$11,
IF(AO205=regle!$G$12,regle!$G$11,
IF(AO205=regle!$H$12,regle!$H$11,
IF(AO205=regle!$I$12,regle!$I$11,""))))))))))</f>
        <v/>
      </c>
      <c r="V205" t="str">
        <f>IF(NOT($A205),"",
IF(AP205=-2,regle!$J$11,
IF(AP205=regle!$B$12,regle!$B$11,
IF(AP205=regle!$C$12,regle!$C$11,
IF(AP205=regle!$D$12,regle!$D$11,
IF(AP205=regle!$E$12,regle!$E$11,
IF(AP205=regle!$F$12,regle!$F$11,
IF(AP205=regle!$G$12,regle!$G$11,
IF(AP205=regle!$H$12,regle!$H$11,
IF(AP205=regle!$I$12,regle!$I$11,""))))))))))</f>
        <v/>
      </c>
      <c r="W205" t="str">
        <f>IF(NOT($A205),"",
IF(AQ205=-2,regle!$J$11,
IF(AQ205=regle!$B$12,regle!$B$11,
IF(AQ205=regle!$C$12,regle!$C$11,
IF(AQ205=regle!$D$12,regle!$D$11,
IF(AQ205=regle!$E$12,regle!$E$11,
IF(AQ205=regle!$F$12,regle!$F$11,
IF(AQ205=regle!$G$12,regle!$G$11,
IF(AQ205=regle!$H$12,regle!$H$11,
IF(AQ205=regle!$I$12,regle!$I$11,""))))))))))</f>
        <v>EC2</v>
      </c>
      <c r="X205" t="str">
        <f>IF(NOT($A205),"",
IF(AR205=-2,regle!$J$11,
IF(AR205=regle!$B$12,regle!$B$11,
IF(AR205=regle!$C$12,regle!$C$11,
IF(AR205=regle!$D$12,regle!$D$11,
IF(AR205=regle!$E$12,regle!$E$11,
IF(AR205=regle!$F$12,regle!$F$11,
IF(AR205=regle!$G$12,regle!$G$11,
IF(AR205=regle!$H$12,regle!$H$11,
IF(AR205=regle!$I$12,regle!$I$11,""))))))))))</f>
        <v/>
      </c>
      <c r="Y205" t="str">
        <f>IF(NOT($A205),"",
IF(AS205=-2,regle!$J$11,
IF(AS205=regle!$B$12,regle!$B$11,
IF(AS205=regle!$C$12,regle!$C$11,
IF(AS205=regle!$D$12,regle!$D$11,
IF(AS205=regle!$E$12,regle!$E$11,
IF(AS205=regle!$F$12,regle!$F$11,
IF(AS205=regle!$G$12,regle!$G$11,
IF(AS205=regle!$H$12,regle!$H$11,
IF(AS205=regle!$I$12,regle!$I$11,""))))))))))</f>
        <v/>
      </c>
      <c r="Z205" t="str">
        <f>IF(NOT($A205),"",
IF(AT205=-2,regle!$J$11,
IF(AT205=regle!$B$12,regle!$B$11,
IF(AT205=regle!$C$12,regle!$C$11,
IF(AT205=regle!$D$12,regle!$D$11,
IF(AT205=regle!$E$12,regle!$E$11,
IF(AT205=regle!$F$12,regle!$F$11,
IF(AT205=regle!$G$12,regle!$G$11,
IF(AT205=regle!$H$12,regle!$H$11,
IF(AT205=regle!$I$12,regle!$I$11,""))))))))))</f>
        <v/>
      </c>
      <c r="AA205" t="str">
        <f>IF(NOT($A205),"",
IF(AU205=-2,regle!$J$11,
IF(AU205=regle!$B$12,regle!$B$11,
IF(AU205=regle!$C$12,regle!$C$11,
IF(AU205=regle!$D$12,regle!$D$11,
IF(AU205=regle!$E$12,regle!$E$11,
IF(AU205=regle!$F$12,regle!$F$11,
IF(AU205=regle!$G$12,regle!$G$11,
IF(AU205=regle!$H$12,regle!$H$11,
IF(AU205=regle!$I$12,regle!$I$11,""))))))))))</f>
        <v/>
      </c>
      <c r="AB205" t="str">
        <f>IF(NOT($A205),"",
IF(AV205=-2,regle!$J$11,
IF(AV205=regle!$B$12,regle!$B$11,
IF(AV205=regle!$C$12,regle!$C$11,
IF(AV205=regle!$D$12,regle!$D$11,
IF(AV205=regle!$E$12,regle!$E$11,
IF(AV205=regle!$F$12,regle!$F$11,
IF(AV205=regle!$G$12,regle!$G$11,
IF(AV205=regle!$H$12,regle!$H$11,
IF(AV205=regle!$I$12,regle!$I$11,""))))))))))</f>
        <v>EC3</v>
      </c>
      <c r="AC205" t="str">
        <f>IF(NOT($A205),"",
IF(AW205=-2,regle!$J$11,
IF(AW205=regle!$B$12,regle!$B$11,
IF(AW205=regle!$C$12,regle!$C$11,
IF(AW205=regle!$D$12,regle!$D$11,
IF(AW205=regle!$E$12,regle!$E$11,
IF(AW205=regle!$F$12,regle!$F$11,
IF(AW205=regle!$G$12,regle!$G$11,
IF(AW205=regle!$H$12,regle!$H$11,
IF(AW205=regle!$I$12,regle!$I$11,""))))))))))</f>
        <v/>
      </c>
      <c r="AD205" t="str">
        <f>IF(NOT($A205),"",
IF(AX205=-2,regle!$J$11,
IF(AX205=regle!$B$12,regle!$B$11,
IF(AX205=regle!$C$12,regle!$C$11,
IF(AX205=regle!$D$12,regle!$D$11,
IF(AX205=regle!$E$12,regle!$E$11,
IF(AX205=regle!$F$12,regle!$F$11,
IF(AX205=regle!$G$12,regle!$G$11,
IF(AX205=regle!$H$12,regle!$H$11,
IF(AX205=regle!$I$12,regle!$I$11,""))))))))))</f>
        <v/>
      </c>
      <c r="AE205" s="14">
        <f>IF($A205,$M205*(IF(U205=regle!$B$11,regle!$B$23,IF(U205=regle!$C$11,regle!$C$23,IF(U205=regle!$D$11,regle!$D$23,IF(U205=regle!$E$11,regle!$E$23,IF(U205=regle!$F$11,regle!$F$23,IF(U205=regle!$G$11,regle!$G$23,IF(U205=regle!$H$11,regle!$H$23,IF(U205=regle!$I$11,regle!$I$23,IF(U205=regle!$J$11,regle!$J$23,0)))))))))))</f>
        <v>0</v>
      </c>
      <c r="AF205" s="14">
        <f>IF($A205,$M205*(IF(V205=regle!$B$11,regle!$B$23,IF(V205=regle!$C$11,regle!$C$23,IF(V205=regle!$D$11,regle!$D$23,IF(V205=regle!$E$11,regle!$E$23,IF(V205=regle!$F$11,regle!$F$23,IF(V205=regle!$G$11,regle!$G$23,IF(V205=regle!$H$11,regle!$H$23,IF(V205=regle!$I$11,regle!$I$23,IF(V205=regle!$J$11,regle!$J$23,0)))))))))))</f>
        <v>0</v>
      </c>
      <c r="AG205" s="14">
        <f>IF($A205,$M205*(IF(W205=regle!$B$11,regle!$B$23,IF(W205=regle!$C$11,regle!$C$23,IF(W205=regle!$D$11,regle!$D$23,IF(W205=regle!$E$11,regle!$E$23,IF(W205=regle!$F$11,regle!$F$23,IF(W205=regle!$G$11,regle!$G$23,IF(W205=regle!$H$11,regle!$H$23,IF(W205=regle!$I$11,regle!$I$23,IF(W205=regle!$J$11,regle!$J$23,0)))))))))))</f>
        <v>1135.008</v>
      </c>
      <c r="AH205" s="14">
        <f>IF($A205,$M205*(IF(X205=regle!$B$11,regle!$B$23,IF(X205=regle!$C$11,regle!$C$23,IF(X205=regle!$D$11,regle!$D$23,IF(X205=regle!$E$11,regle!$E$23,IF(X205=regle!$F$11,regle!$F$23,IF(X205=regle!$G$11,regle!$G$23,IF(X205=regle!$H$11,regle!$H$23,IF(X205=regle!$I$11,regle!$I$23,IF(X205=regle!$J$11,regle!$J$23,0)))))))))))</f>
        <v>0</v>
      </c>
      <c r="AI205" s="14">
        <f>IF($A205,$M205*(IF(Y205=regle!$B$11,regle!$B$23,IF(Y205=regle!$C$11,regle!$C$23,IF(Y205=regle!$D$11,regle!$D$23,IF(Y205=regle!$E$11,regle!$E$23,IF(Y205=regle!$F$11,regle!$F$23,IF(Y205=regle!$G$11,regle!$G$23,IF(Y205=regle!$H$11,regle!$H$23,IF(Y205=regle!$I$11,regle!$I$23,IF(Y205=regle!$J$11,regle!$J$23,0)))))))))))</f>
        <v>0</v>
      </c>
      <c r="AJ205" s="14">
        <f>IF($A205,$M205*(IF(Z205=regle!$B$11,regle!$B$23,IF(Z205=regle!$C$11,regle!$C$23,IF(Z205=regle!$D$11,regle!$D$23,IF(Z205=regle!$E$11,regle!$E$23,IF(Z205=regle!$F$11,regle!$F$23,IF(Z205=regle!$G$11,regle!$G$23,IF(Z205=regle!$H$11,regle!$H$23,IF(Z205=regle!$I$11,regle!$I$23,IF(Z205=regle!$J$11,regle!$J$23,0)))))))))))</f>
        <v>0</v>
      </c>
      <c r="AK205" s="14">
        <f>IF($A205,$M205*(IF(AA205=regle!$B$11,regle!$B$23,IF(AA205=regle!$C$11,regle!$C$23,IF(AA205=regle!$D$11,regle!$D$23,IF(AA205=regle!$E$11,regle!$E$23,IF(AA205=regle!$F$11,regle!$F$23,IF(AA205=regle!$G$11,regle!$G$23,IF(AA205=regle!$H$11,regle!$H$23,IF(AA205=regle!$I$11,regle!$I$23,IF(AA205=regle!$J$11,regle!$J$23,0)))))))))))</f>
        <v>0</v>
      </c>
      <c r="AL205" s="14">
        <f>IF($A205,$M205*(IF(AB205=regle!$B$11,regle!$B$23,IF(AB205=regle!$C$11,regle!$C$23,IF(AB205=regle!$D$11,regle!$D$23,IF(AB205=regle!$E$11,regle!$E$23,IF(AB205=regle!$F$11,regle!$F$23,IF(AB205=regle!$G$11,regle!$G$23,IF(AB205=regle!$H$11,regle!$H$23,IF(AB205=regle!$I$11,regle!$I$23,IF(AB205=regle!$J$11,regle!$J$23,0)))))))))))</f>
        <v>1902.4895999999999</v>
      </c>
      <c r="AM205" s="14">
        <f>IF($A205,$M205*(IF(AC205=regle!$B$11,regle!$B$23,IF(AC205=regle!$C$11,regle!$C$23,IF(AC205=regle!$D$11,regle!$D$23,IF(AC205=regle!$E$11,regle!$E$23,IF(AC205=regle!$F$11,regle!$F$23,IF(AC205=regle!$G$11,regle!$G$23,IF(AC205=regle!$H$11,regle!$H$23,IF(AC205=regle!$I$11,regle!$I$23,IF(AC205=regle!$J$11,regle!$J$23,0)))))))))))</f>
        <v>0</v>
      </c>
      <c r="AN205" s="14">
        <f>IF($A205,$M205*(IF(AD205=regle!$B$11,regle!$B$23,IF(AD205=regle!$C$11,regle!$C$23,IF(AD205=regle!$D$11,regle!$D$23,IF(AD205=regle!$E$11,regle!$E$23,IF(AD205=regle!$F$11,regle!$F$23,IF(AD205=regle!$G$11,regle!$G$23,IF(AD205=regle!$H$11,regle!$H$23,IF(AD205=regle!$I$11,regle!$I$23,IF(AD205=regle!$J$11,regle!$J$23,0)))))))))))</f>
        <v>0</v>
      </c>
      <c r="AO205">
        <f>IF(AO$1=$AO$1,IF(regle!B$2-$Q205&gt;=regle!$J$12,-2,IF($S205,IF(regle!$B$2-$Q205&gt;=2,0,-1),regle!B$2-$Q205)),IF(AN205+1&gt;=regle!$J$12,-2,AN205+1))</f>
        <v>16</v>
      </c>
      <c r="AP205">
        <f>IF(AP$1=$AO$1,IF(regle!C$2-$Q205&gt;=regle!$J$12,-2,IF($S205,IF(regle!$B$2-$Q205&gt;=2,0,-1),regle!C$2-$Q205)),IF(AO205+1&gt;=regle!$J$12,-2,AO205+1))</f>
        <v>17</v>
      </c>
      <c r="AQ205">
        <f>IF(AQ$1=$AO$1,IF(regle!D$2-$Q205&gt;=regle!$J$12,-2,IF($S205,IF(regle!$B$2-$Q205&gt;=2,0,-1),regle!D$2-$Q205)),IF(AP205+1&gt;=regle!$J$12,-2,AP205+1))</f>
        <v>18</v>
      </c>
      <c r="AR205">
        <f>IF(AR$1=$AO$1,IF(regle!E$2-$Q205&gt;=regle!$J$12,-2,IF($S205,IF(regle!$B$2-$Q205&gt;=2,0,-1),regle!E$2-$Q205)),IF(AQ205+1&gt;=regle!$J$12,-2,AQ205+1))</f>
        <v>19</v>
      </c>
      <c r="AS205">
        <f>IF(AS$1=$AO$1,IF(regle!F$2-$Q205&gt;=regle!$J$12,-2,IF($S205,IF(regle!$B$2-$Q205&gt;=2,0,-1),regle!F$2-$Q205)),IF(AR205+1&gt;=regle!$J$12,-2,AR205+1))</f>
        <v>20</v>
      </c>
      <c r="AT205">
        <f>IF(AT$1=$AO$1,IF(regle!G$2-$Q205&gt;=regle!$J$12,-2,IF($S205,IF(regle!$B$2-$Q205&gt;=2,0,-1),regle!G$2-$Q205)),IF(AS205+1&gt;=regle!$J$12,-2,AS205+1))</f>
        <v>21</v>
      </c>
      <c r="AU205">
        <f>IF(AU$1=$AO$1,IF(regle!H$2-$Q205&gt;=regle!$J$12,-2,IF($S205,IF(regle!$B$2-$Q205&gt;=2,0,-1),regle!H$2-$Q205)),IF(AT205+1&gt;=regle!$J$12,-2,AT205+1))</f>
        <v>22</v>
      </c>
      <c r="AV205">
        <f>IF(AV$1=$AO$1,IF(regle!I$2-$Q205&gt;=regle!$J$12,-2,IF($S205,IF(regle!$B$2-$Q205&gt;=2,0,-1),regle!I$2-$Q205)),IF(AU205+1&gt;=regle!$J$12,-2,AU205+1))</f>
        <v>23</v>
      </c>
      <c r="AW205">
        <f>IF(AW$1=$AO$1,IF(regle!J$2-$Q205&gt;=regle!$J$12,-2,IF($S205,IF(regle!$B$2-$Q205&gt;=2,0,-1),regle!J$2-$Q205)),IF(AV205+1&gt;=regle!$J$12,-2,AV205+1))</f>
        <v>24</v>
      </c>
      <c r="AX205">
        <f>IF(AX$1=$AO$1,IF(regle!K$2-$Q205&gt;=regle!$J$12,-2,IF($S205,IF(regle!$B$2-$Q205&gt;=2,0,-1),regle!K$2-$Q205)),IF(AW205+1&gt;=regle!$J$12,-2,AW205+1))</f>
        <v>25</v>
      </c>
    </row>
    <row r="206" spans="1:50" x14ac:dyDescent="0.25">
      <c r="A206" t="b">
        <f>AND(modif0[[#This Row],[cdstr]]&lt;&gt;0,OR(regle!$H$27=FALSE,modif0[[#This Row],[essnc]]="PM"))</f>
        <v>1</v>
      </c>
      <c r="B206">
        <f>ROW(objet!A247)</f>
        <v>247</v>
      </c>
      <c r="C206" s="10" t="str">
        <f>objet!D247</f>
        <v>2020000B1244</v>
      </c>
      <c r="D206" t="str">
        <f>LEFT(modif0[[#This Row],[cdstr]],3)</f>
        <v>202</v>
      </c>
      <c r="E206" s="10" t="str">
        <f>objet!G247</f>
        <v>HOSTENS</v>
      </c>
      <c r="F206">
        <f>LEN(modif0[[#This Row],[l_dt]])</f>
        <v>13</v>
      </c>
      <c r="G206" s="10" t="str">
        <f>objet!H247</f>
        <v>LA BROUSTETTE</v>
      </c>
      <c r="H206" s="10" t="str">
        <f>objet!C247</f>
        <v>B1244k</v>
      </c>
      <c r="I206" t="str">
        <f>IF(ISNUMBER(VALUE(RIGHT(LEFT(modif0[[#This Row],[idntfn]],2),1))),_xlfn.CONCAT(0,LEFT(modif0[[#This Row],[idntfn]],1)),LEFT(modif0[[#This Row],[idntfn]],2))</f>
        <v>0B</v>
      </c>
      <c r="J206">
        <f>VALUE(LEFT(RIGHT(modif0[[#This Row],[idntfn]],LEN(modif0[[#This Row],[idntfn]])-IF(LEFT(modif0[[#This Row],[sctn]],1)="0",1,2)),LEN(modif0[[#This Row],[idntfn]])-IF(LEFT(modif0[[#This Row],[sctn]],1)="0",1,2)-LEN(modif0[[#This Row],[lttr]])))</f>
        <v>1244</v>
      </c>
      <c r="K206" t="str">
        <f>IF(ISNUMBER(VALUE(RIGHT(modif0[[#This Row],[idntfn]],1))),"",IF(ISNUMBER(VALUE(LEFT(RIGHT(modif0[[#This Row],[idntfn]],2),1))),RIGHT(modif0[[#This Row],[idntfn]],1),RIGHT(modif0[[#This Row],[idntfn]],2)))</f>
        <v>k</v>
      </c>
      <c r="L206" s="10">
        <f>objet!I247</f>
        <v>4427</v>
      </c>
      <c r="M206" s="11">
        <f>modif0[[#This Row],[srfc]]/10000</f>
        <v>0.44269999999999998</v>
      </c>
      <c r="N206" s="10" t="str">
        <f>objet!Z247</f>
        <v>PM</v>
      </c>
      <c r="O206" s="10" t="str">
        <f>objet!AA247</f>
        <v>PLA2018</v>
      </c>
      <c r="P206" t="str">
        <f>IF(ISNUMBER(modif0[[#This Row],[trvx]]),"",LEFT(modif0[[#This Row],[trvx]],LEN(modif0[[#This Row],[trvx]])-4))</f>
        <v>PLA</v>
      </c>
      <c r="Q206">
        <f>VALUE(RIGHT(modif0[[#This Row],[trvx]],4))</f>
        <v>2018</v>
      </c>
      <c r="R206" t="str">
        <f>_xlfn.CONCAT(modif0[[#This Row],[tp]],"-",modif0[[#This Row],[essnc]],"_",modif0[[#This Row],[anns]])</f>
        <v>PLA-PM_2018</v>
      </c>
      <c r="S206" t="b">
        <f>modif0[[#This Row],[tp]]="CR"</f>
        <v>0</v>
      </c>
      <c r="T206">
        <v>40</v>
      </c>
      <c r="U206" t="str">
        <f>IF(NOT($A206),"",
IF(AO206=-2,regle!$J$11,
IF(AO206=regle!$B$12,regle!$B$11,
IF(AO206=regle!$C$12,regle!$C$11,
IF(AO206=regle!$D$12,regle!$D$11,
IF(AO206=regle!$E$12,regle!$E$11,
IF(AO206=regle!$F$12,regle!$F$11,
IF(AO206=regle!$G$12,regle!$G$11,
IF(AO206=regle!$H$12,regle!$H$11,
IF(AO206=regle!$I$12,regle!$I$11,""))))))))))</f>
        <v/>
      </c>
      <c r="V206" t="str">
        <f>IF(NOT($A206),"",
IF(AP206=-2,regle!$J$11,
IF(AP206=regle!$B$12,regle!$B$11,
IF(AP206=regle!$C$12,regle!$C$11,
IF(AP206=regle!$D$12,regle!$D$11,
IF(AP206=regle!$E$12,regle!$E$11,
IF(AP206=regle!$F$12,regle!$F$11,
IF(AP206=regle!$G$12,regle!$G$11,
IF(AP206=regle!$H$12,regle!$H$11,
IF(AP206=regle!$I$12,regle!$I$11,""))))))))))</f>
        <v/>
      </c>
      <c r="W206" t="str">
        <f>IF(NOT($A206),"",
IF(AQ206=-2,regle!$J$11,
IF(AQ206=regle!$B$12,regle!$B$11,
IF(AQ206=regle!$C$12,regle!$C$11,
IF(AQ206=regle!$D$12,regle!$D$11,
IF(AQ206=regle!$E$12,regle!$E$11,
IF(AQ206=regle!$F$12,regle!$F$11,
IF(AQ206=regle!$G$12,regle!$G$11,
IF(AQ206=regle!$H$12,regle!$H$11,
IF(AQ206=regle!$I$12,regle!$I$11,""))))))))))</f>
        <v>ENT2</v>
      </c>
      <c r="X206" t="str">
        <f>IF(NOT($A206),"",
IF(AR206=-2,regle!$J$11,
IF(AR206=regle!$B$12,regle!$B$11,
IF(AR206=regle!$C$12,regle!$C$11,
IF(AR206=regle!$D$12,regle!$D$11,
IF(AR206=regle!$E$12,regle!$E$11,
IF(AR206=regle!$F$12,regle!$F$11,
IF(AR206=regle!$G$12,regle!$G$11,
IF(AR206=regle!$H$12,regle!$H$11,
IF(AR206=regle!$I$12,regle!$I$11,""))))))))))</f>
        <v/>
      </c>
      <c r="Y206" t="str">
        <f>IF(NOT($A206),"",
IF(AS206=-2,regle!$J$11,
IF(AS206=regle!$B$12,regle!$B$11,
IF(AS206=regle!$C$12,regle!$C$11,
IF(AS206=regle!$D$12,regle!$D$11,
IF(AS206=regle!$E$12,regle!$E$11,
IF(AS206=regle!$F$12,regle!$F$11,
IF(AS206=regle!$G$12,regle!$G$11,
IF(AS206=regle!$H$12,regle!$H$11,
IF(AS206=regle!$I$12,regle!$I$11,""))))))))))</f>
        <v/>
      </c>
      <c r="Z206" t="str">
        <f>IF(NOT($A206),"",
IF(AT206=-2,regle!$J$11,
IF(AT206=regle!$B$12,regle!$B$11,
IF(AT206=regle!$C$12,regle!$C$11,
IF(AT206=regle!$D$12,regle!$D$11,
IF(AT206=regle!$E$12,regle!$E$11,
IF(AT206=regle!$F$12,regle!$F$11,
IF(AT206=regle!$G$12,regle!$G$11,
IF(AT206=regle!$H$12,regle!$H$11,
IF(AT206=regle!$I$12,regle!$I$11,""))))))))))</f>
        <v/>
      </c>
      <c r="AA206" t="str">
        <f>IF(NOT($A206),"",
IF(AU206=-2,regle!$J$11,
IF(AU206=regle!$B$12,regle!$B$11,
IF(AU206=regle!$C$12,regle!$C$11,
IF(AU206=regle!$D$12,regle!$D$11,
IF(AU206=regle!$E$12,regle!$E$11,
IF(AU206=regle!$F$12,regle!$F$11,
IF(AU206=regle!$G$12,regle!$G$11,
IF(AU206=regle!$H$12,regle!$H$11,
IF(AU206=regle!$I$12,regle!$I$11,""))))))))))</f>
        <v/>
      </c>
      <c r="AB206" t="str">
        <f>IF(NOT($A206),"",
IF(AV206=-2,regle!$J$11,
IF(AV206=regle!$B$12,regle!$B$11,
IF(AV206=regle!$C$12,regle!$C$11,
IF(AV206=regle!$D$12,regle!$D$11,
IF(AV206=regle!$E$12,regle!$E$11,
IF(AV206=regle!$F$12,regle!$F$11,
IF(AV206=regle!$G$12,regle!$G$11,
IF(AV206=regle!$H$12,regle!$H$11,
IF(AV206=regle!$I$12,regle!$I$11,""))))))))))</f>
        <v>EC1</v>
      </c>
      <c r="AC206" t="str">
        <f>IF(NOT($A206),"",
IF(AW206=-2,regle!$J$11,
IF(AW206=regle!$B$12,regle!$B$11,
IF(AW206=regle!$C$12,regle!$C$11,
IF(AW206=regle!$D$12,regle!$D$11,
IF(AW206=regle!$E$12,regle!$E$11,
IF(AW206=regle!$F$12,regle!$F$11,
IF(AW206=regle!$G$12,regle!$G$11,
IF(AW206=regle!$H$12,regle!$H$11,
IF(AW206=regle!$I$12,regle!$I$11,""))))))))))</f>
        <v/>
      </c>
      <c r="AD206" t="str">
        <f>IF(NOT($A206),"",
IF(AX206=-2,regle!$J$11,
IF(AX206=regle!$B$12,regle!$B$11,
IF(AX206=regle!$C$12,regle!$C$11,
IF(AX206=regle!$D$12,regle!$D$11,
IF(AX206=regle!$E$12,regle!$E$11,
IF(AX206=regle!$F$12,regle!$F$11,
IF(AX206=regle!$G$12,regle!$G$11,
IF(AX206=regle!$H$12,regle!$H$11,
IF(AX206=regle!$I$12,regle!$I$11,""))))))))))</f>
        <v/>
      </c>
      <c r="AE206" s="14">
        <f>IF($A206,$M206*(IF(U206=regle!$B$11,regle!$B$23,IF(U206=regle!$C$11,regle!$C$23,IF(U206=regle!$D$11,regle!$D$23,IF(U206=regle!$E$11,regle!$E$23,IF(U206=regle!$F$11,regle!$F$23,IF(U206=regle!$G$11,regle!$G$23,IF(U206=regle!$H$11,regle!$H$23,IF(U206=regle!$I$11,regle!$I$23,IF(U206=regle!$J$11,regle!$J$23,0)))))))))))</f>
        <v>0</v>
      </c>
      <c r="AF206" s="14">
        <f>IF($A206,$M206*(IF(V206=regle!$B$11,regle!$B$23,IF(V206=regle!$C$11,regle!$C$23,IF(V206=regle!$D$11,regle!$D$23,IF(V206=regle!$E$11,regle!$E$23,IF(V206=regle!$F$11,regle!$F$23,IF(V206=regle!$G$11,regle!$G$23,IF(V206=regle!$H$11,regle!$H$23,IF(V206=regle!$I$11,regle!$I$23,IF(V206=regle!$J$11,regle!$J$23,0)))))))))))</f>
        <v>0</v>
      </c>
      <c r="AG206" s="14">
        <f>IF($A206,$M206*(IF(W206=regle!$B$11,regle!$B$23,IF(W206=regle!$C$11,regle!$C$23,IF(W206=regle!$D$11,regle!$D$23,IF(W206=regle!$E$11,regle!$E$23,IF(W206=regle!$F$11,regle!$F$23,IF(W206=regle!$G$11,regle!$G$23,IF(W206=regle!$H$11,regle!$H$23,IF(W206=regle!$I$11,regle!$I$23,IF(W206=regle!$J$11,regle!$J$23,0)))))))))))</f>
        <v>-39.842999999999996</v>
      </c>
      <c r="AH206" s="14">
        <f>IF($A206,$M206*(IF(X206=regle!$B$11,regle!$B$23,IF(X206=regle!$C$11,regle!$C$23,IF(X206=regle!$D$11,regle!$D$23,IF(X206=regle!$E$11,regle!$E$23,IF(X206=regle!$F$11,regle!$F$23,IF(X206=regle!$G$11,regle!$G$23,IF(X206=regle!$H$11,regle!$H$23,IF(X206=regle!$I$11,regle!$I$23,IF(X206=regle!$J$11,regle!$J$23,0)))))))))))</f>
        <v>0</v>
      </c>
      <c r="AI206" s="14">
        <f>IF($A206,$M206*(IF(Y206=regle!$B$11,regle!$B$23,IF(Y206=regle!$C$11,regle!$C$23,IF(Y206=regle!$D$11,regle!$D$23,IF(Y206=regle!$E$11,regle!$E$23,IF(Y206=regle!$F$11,regle!$F$23,IF(Y206=regle!$G$11,regle!$G$23,IF(Y206=regle!$H$11,regle!$H$23,IF(Y206=regle!$I$11,regle!$I$23,IF(Y206=regle!$J$11,regle!$J$23,0)))))))))))</f>
        <v>0</v>
      </c>
      <c r="AJ206" s="14">
        <f>IF($A206,$M206*(IF(Z206=regle!$B$11,regle!$B$23,IF(Z206=regle!$C$11,regle!$C$23,IF(Z206=regle!$D$11,regle!$D$23,IF(Z206=regle!$E$11,regle!$E$23,IF(Z206=regle!$F$11,regle!$F$23,IF(Z206=regle!$G$11,regle!$G$23,IF(Z206=regle!$H$11,regle!$H$23,IF(Z206=regle!$I$11,regle!$I$23,IF(Z206=regle!$J$11,regle!$J$23,0)))))))))))</f>
        <v>0</v>
      </c>
      <c r="AK206" s="14">
        <f>IF($A206,$M206*(IF(AA206=regle!$B$11,regle!$B$23,IF(AA206=regle!$C$11,regle!$C$23,IF(AA206=regle!$D$11,regle!$D$23,IF(AA206=regle!$E$11,regle!$E$23,IF(AA206=regle!$F$11,regle!$F$23,IF(AA206=regle!$G$11,regle!$G$23,IF(AA206=regle!$H$11,regle!$H$23,IF(AA206=regle!$I$11,regle!$I$23,IF(AA206=regle!$J$11,regle!$J$23,0)))))))))))</f>
        <v>0</v>
      </c>
      <c r="AL206" s="14">
        <f>IF($A206,$M206*(IF(AB206=regle!$B$11,regle!$B$23,IF(AB206=regle!$C$11,regle!$C$23,IF(AB206=regle!$D$11,regle!$D$23,IF(AB206=regle!$E$11,regle!$E$23,IF(AB206=regle!$F$11,regle!$F$23,IF(AB206=regle!$G$11,regle!$G$23,IF(AB206=regle!$H$11,regle!$H$23,IF(AB206=regle!$I$11,regle!$I$23,IF(AB206=regle!$J$11,regle!$J$23,0)))))))))))</f>
        <v>254.99519999999998</v>
      </c>
      <c r="AM206" s="14">
        <f>IF($A206,$M206*(IF(AC206=regle!$B$11,regle!$B$23,IF(AC206=regle!$C$11,regle!$C$23,IF(AC206=regle!$D$11,regle!$D$23,IF(AC206=regle!$E$11,regle!$E$23,IF(AC206=regle!$F$11,regle!$F$23,IF(AC206=regle!$G$11,regle!$G$23,IF(AC206=regle!$H$11,regle!$H$23,IF(AC206=regle!$I$11,regle!$I$23,IF(AC206=regle!$J$11,regle!$J$23,0)))))))))))</f>
        <v>0</v>
      </c>
      <c r="AN206" s="14">
        <f>IF($A206,$M206*(IF(AD206=regle!$B$11,regle!$B$23,IF(AD206=regle!$C$11,regle!$C$23,IF(AD206=regle!$D$11,regle!$D$23,IF(AD206=regle!$E$11,regle!$E$23,IF(AD206=regle!$F$11,regle!$F$23,IF(AD206=regle!$G$11,regle!$G$23,IF(AD206=regle!$H$11,regle!$H$23,IF(AD206=regle!$I$11,regle!$I$23,IF(AD206=regle!$J$11,regle!$J$23,0)))))))))))</f>
        <v>0</v>
      </c>
      <c r="AO206">
        <f>IF(AO$1=$AO$1,IF(regle!B$2-$Q206&gt;=regle!$J$12,-2,IF($S206,IF(regle!$B$2-$Q206&gt;=2,0,-1),regle!B$2-$Q206)),IF(AN206+1&gt;=regle!$J$12,-2,AN206+1))</f>
        <v>6</v>
      </c>
      <c r="AP206">
        <f>IF(AP$1=$AO$1,IF(regle!C$2-$Q206&gt;=regle!$J$12,-2,IF($S206,IF(regle!$B$2-$Q206&gt;=2,0,-1),regle!C$2-$Q206)),IF(AO206+1&gt;=regle!$J$12,-2,AO206+1))</f>
        <v>7</v>
      </c>
      <c r="AQ206">
        <f>IF(AQ$1=$AO$1,IF(regle!D$2-$Q206&gt;=regle!$J$12,-2,IF($S206,IF(regle!$B$2-$Q206&gt;=2,0,-1),regle!D$2-$Q206)),IF(AP206+1&gt;=regle!$J$12,-2,AP206+1))</f>
        <v>8</v>
      </c>
      <c r="AR206">
        <f>IF(AR$1=$AO$1,IF(regle!E$2-$Q206&gt;=regle!$J$12,-2,IF($S206,IF(regle!$B$2-$Q206&gt;=2,0,-1),regle!E$2-$Q206)),IF(AQ206+1&gt;=regle!$J$12,-2,AQ206+1))</f>
        <v>9</v>
      </c>
      <c r="AS206">
        <f>IF(AS$1=$AO$1,IF(regle!F$2-$Q206&gt;=regle!$J$12,-2,IF($S206,IF(regle!$B$2-$Q206&gt;=2,0,-1),regle!F$2-$Q206)),IF(AR206+1&gt;=regle!$J$12,-2,AR206+1))</f>
        <v>10</v>
      </c>
      <c r="AT206">
        <f>IF(AT$1=$AO$1,IF(regle!G$2-$Q206&gt;=regle!$J$12,-2,IF($S206,IF(regle!$B$2-$Q206&gt;=2,0,-1),regle!G$2-$Q206)),IF(AS206+1&gt;=regle!$J$12,-2,AS206+1))</f>
        <v>11</v>
      </c>
      <c r="AU206">
        <f>IF(AU$1=$AO$1,IF(regle!H$2-$Q206&gt;=regle!$J$12,-2,IF($S206,IF(regle!$B$2-$Q206&gt;=2,0,-1),regle!H$2-$Q206)),IF(AT206+1&gt;=regle!$J$12,-2,AT206+1))</f>
        <v>12</v>
      </c>
      <c r="AV206">
        <f>IF(AV$1=$AO$1,IF(regle!I$2-$Q206&gt;=regle!$J$12,-2,IF($S206,IF(regle!$B$2-$Q206&gt;=2,0,-1),regle!I$2-$Q206)),IF(AU206+1&gt;=regle!$J$12,-2,AU206+1))</f>
        <v>13</v>
      </c>
      <c r="AW206">
        <f>IF(AW$1=$AO$1,IF(regle!J$2-$Q206&gt;=regle!$J$12,-2,IF($S206,IF(regle!$B$2-$Q206&gt;=2,0,-1),regle!J$2-$Q206)),IF(AV206+1&gt;=regle!$J$12,-2,AV206+1))</f>
        <v>14</v>
      </c>
      <c r="AX206">
        <f>IF(AX$1=$AO$1,IF(regle!K$2-$Q206&gt;=regle!$J$12,-2,IF($S206,IF(regle!$B$2-$Q206&gt;=2,0,-1),regle!K$2-$Q206)),IF(AW206+1&gt;=regle!$J$12,-2,AW206+1))</f>
        <v>15</v>
      </c>
    </row>
    <row r="207" spans="1:50" x14ac:dyDescent="0.25">
      <c r="A207" t="b">
        <f>AND(modif0[[#This Row],[cdstr]]&lt;&gt;0,OR(regle!$H$27=FALSE,modif0[[#This Row],[essnc]]="PM"))</f>
        <v>1</v>
      </c>
      <c r="B207">
        <f>ROW(objet!A248)</f>
        <v>248</v>
      </c>
      <c r="C207" s="10" t="str">
        <f>objet!D248</f>
        <v>2020000B1244</v>
      </c>
      <c r="D207" t="str">
        <f>LEFT(modif0[[#This Row],[cdstr]],3)</f>
        <v>202</v>
      </c>
      <c r="E207" s="10" t="str">
        <f>objet!G248</f>
        <v>HOSTENS</v>
      </c>
      <c r="F207">
        <f>LEN(modif0[[#This Row],[l_dt]])</f>
        <v>13</v>
      </c>
      <c r="G207" s="10" t="str">
        <f>objet!H248</f>
        <v>LA BROUSTETTE</v>
      </c>
      <c r="H207" s="10" t="str">
        <f>objet!C248</f>
        <v>B1244l</v>
      </c>
      <c r="I207" t="str">
        <f>IF(ISNUMBER(VALUE(RIGHT(LEFT(modif0[[#This Row],[idntfn]],2),1))),_xlfn.CONCAT(0,LEFT(modif0[[#This Row],[idntfn]],1)),LEFT(modif0[[#This Row],[idntfn]],2))</f>
        <v>0B</v>
      </c>
      <c r="J207">
        <f>VALUE(LEFT(RIGHT(modif0[[#This Row],[idntfn]],LEN(modif0[[#This Row],[idntfn]])-IF(LEFT(modif0[[#This Row],[sctn]],1)="0",1,2)),LEN(modif0[[#This Row],[idntfn]])-IF(LEFT(modif0[[#This Row],[sctn]],1)="0",1,2)-LEN(modif0[[#This Row],[lttr]])))</f>
        <v>1244</v>
      </c>
      <c r="K207" t="str">
        <f>IF(ISNUMBER(VALUE(RIGHT(modif0[[#This Row],[idntfn]],1))),"",IF(ISNUMBER(VALUE(LEFT(RIGHT(modif0[[#This Row],[idntfn]],2),1))),RIGHT(modif0[[#This Row],[idntfn]],1),RIGHT(modif0[[#This Row],[idntfn]],2)))</f>
        <v>l</v>
      </c>
      <c r="L207" s="10">
        <f>objet!I248</f>
        <v>476</v>
      </c>
      <c r="M207" s="11">
        <f>modif0[[#This Row],[srfc]]/10000</f>
        <v>4.7600000000000003E-2</v>
      </c>
      <c r="N207" s="10" t="str">
        <f>objet!Z248</f>
        <v>PM</v>
      </c>
      <c r="O207" s="10" t="str">
        <f>objet!AA248</f>
        <v>PLA2008</v>
      </c>
      <c r="P207" t="str">
        <f>IF(ISNUMBER(modif0[[#This Row],[trvx]]),"",LEFT(modif0[[#This Row],[trvx]],LEN(modif0[[#This Row],[trvx]])-4))</f>
        <v>PLA</v>
      </c>
      <c r="Q207">
        <f>VALUE(RIGHT(modif0[[#This Row],[trvx]],4))</f>
        <v>2008</v>
      </c>
      <c r="R207" t="str">
        <f>_xlfn.CONCAT(modif0[[#This Row],[tp]],"-",modif0[[#This Row],[essnc]],"_",modif0[[#This Row],[anns]])</f>
        <v>PLA-PM_2008</v>
      </c>
      <c r="S207" t="b">
        <f>modif0[[#This Row],[tp]]="CR"</f>
        <v>0</v>
      </c>
      <c r="T207">
        <v>40</v>
      </c>
      <c r="U207" t="str">
        <f>IF(NOT($A207),"",
IF(AO207=-2,regle!$J$11,
IF(AO207=regle!$B$12,regle!$B$11,
IF(AO207=regle!$C$12,regle!$C$11,
IF(AO207=regle!$D$12,regle!$D$11,
IF(AO207=regle!$E$12,regle!$E$11,
IF(AO207=regle!$F$12,regle!$F$11,
IF(AO207=regle!$G$12,regle!$G$11,
IF(AO207=regle!$H$12,regle!$H$11,
IF(AO207=regle!$I$12,regle!$I$11,""))))))))))</f>
        <v/>
      </c>
      <c r="V207" t="str">
        <f>IF(NOT($A207),"",
IF(AP207=-2,regle!$J$11,
IF(AP207=regle!$B$12,regle!$B$11,
IF(AP207=regle!$C$12,regle!$C$11,
IF(AP207=regle!$D$12,regle!$D$11,
IF(AP207=regle!$E$12,regle!$E$11,
IF(AP207=regle!$F$12,regle!$F$11,
IF(AP207=regle!$G$12,regle!$G$11,
IF(AP207=regle!$H$12,regle!$H$11,
IF(AP207=regle!$I$12,regle!$I$11,""))))))))))</f>
        <v/>
      </c>
      <c r="W207" t="str">
        <f>IF(NOT($A207),"",
IF(AQ207=-2,regle!$J$11,
IF(AQ207=regle!$B$12,regle!$B$11,
IF(AQ207=regle!$C$12,regle!$C$11,
IF(AQ207=regle!$D$12,regle!$D$11,
IF(AQ207=regle!$E$12,regle!$E$11,
IF(AQ207=regle!$F$12,regle!$F$11,
IF(AQ207=regle!$G$12,regle!$G$11,
IF(AQ207=regle!$H$12,regle!$H$11,
IF(AQ207=regle!$I$12,regle!$I$11,""))))))))))</f>
        <v>EC2</v>
      </c>
      <c r="X207" t="str">
        <f>IF(NOT($A207),"",
IF(AR207=-2,regle!$J$11,
IF(AR207=regle!$B$12,regle!$B$11,
IF(AR207=regle!$C$12,regle!$C$11,
IF(AR207=regle!$D$12,regle!$D$11,
IF(AR207=regle!$E$12,regle!$E$11,
IF(AR207=regle!$F$12,regle!$F$11,
IF(AR207=regle!$G$12,regle!$G$11,
IF(AR207=regle!$H$12,regle!$H$11,
IF(AR207=regle!$I$12,regle!$I$11,""))))))))))</f>
        <v/>
      </c>
      <c r="Y207" t="str">
        <f>IF(NOT($A207),"",
IF(AS207=-2,regle!$J$11,
IF(AS207=regle!$B$12,regle!$B$11,
IF(AS207=regle!$C$12,regle!$C$11,
IF(AS207=regle!$D$12,regle!$D$11,
IF(AS207=regle!$E$12,regle!$E$11,
IF(AS207=regle!$F$12,regle!$F$11,
IF(AS207=regle!$G$12,regle!$G$11,
IF(AS207=regle!$H$12,regle!$H$11,
IF(AS207=regle!$I$12,regle!$I$11,""))))))))))</f>
        <v/>
      </c>
      <c r="Z207" t="str">
        <f>IF(NOT($A207),"",
IF(AT207=-2,regle!$J$11,
IF(AT207=regle!$B$12,regle!$B$11,
IF(AT207=regle!$C$12,regle!$C$11,
IF(AT207=regle!$D$12,regle!$D$11,
IF(AT207=regle!$E$12,regle!$E$11,
IF(AT207=regle!$F$12,regle!$F$11,
IF(AT207=regle!$G$12,regle!$G$11,
IF(AT207=regle!$H$12,regle!$H$11,
IF(AT207=regle!$I$12,regle!$I$11,""))))))))))</f>
        <v/>
      </c>
      <c r="AA207" t="str">
        <f>IF(NOT($A207),"",
IF(AU207=-2,regle!$J$11,
IF(AU207=regle!$B$12,regle!$B$11,
IF(AU207=regle!$C$12,regle!$C$11,
IF(AU207=regle!$D$12,regle!$D$11,
IF(AU207=regle!$E$12,regle!$E$11,
IF(AU207=regle!$F$12,regle!$F$11,
IF(AU207=regle!$G$12,regle!$G$11,
IF(AU207=regle!$H$12,regle!$H$11,
IF(AU207=regle!$I$12,regle!$I$11,""))))))))))</f>
        <v/>
      </c>
      <c r="AB207" t="str">
        <f>IF(NOT($A207),"",
IF(AV207=-2,regle!$J$11,
IF(AV207=regle!$B$12,regle!$B$11,
IF(AV207=regle!$C$12,regle!$C$11,
IF(AV207=regle!$D$12,regle!$D$11,
IF(AV207=regle!$E$12,regle!$E$11,
IF(AV207=regle!$F$12,regle!$F$11,
IF(AV207=regle!$G$12,regle!$G$11,
IF(AV207=regle!$H$12,regle!$H$11,
IF(AV207=regle!$I$12,regle!$I$11,""))))))))))</f>
        <v>EC3</v>
      </c>
      <c r="AC207" t="str">
        <f>IF(NOT($A207),"",
IF(AW207=-2,regle!$J$11,
IF(AW207=regle!$B$12,regle!$B$11,
IF(AW207=regle!$C$12,regle!$C$11,
IF(AW207=regle!$D$12,regle!$D$11,
IF(AW207=regle!$E$12,regle!$E$11,
IF(AW207=regle!$F$12,regle!$F$11,
IF(AW207=regle!$G$12,regle!$G$11,
IF(AW207=regle!$H$12,regle!$H$11,
IF(AW207=regle!$I$12,regle!$I$11,""))))))))))</f>
        <v/>
      </c>
      <c r="AD207" t="str">
        <f>IF(NOT($A207),"",
IF(AX207=-2,regle!$J$11,
IF(AX207=regle!$B$12,regle!$B$11,
IF(AX207=regle!$C$12,regle!$C$11,
IF(AX207=regle!$D$12,regle!$D$11,
IF(AX207=regle!$E$12,regle!$E$11,
IF(AX207=regle!$F$12,regle!$F$11,
IF(AX207=regle!$G$12,regle!$G$11,
IF(AX207=regle!$H$12,regle!$H$11,
IF(AX207=regle!$I$12,regle!$I$11,""))))))))))</f>
        <v/>
      </c>
      <c r="AE207" s="14">
        <f>IF($A207,$M207*(IF(U207=regle!$B$11,regle!$B$23,IF(U207=regle!$C$11,regle!$C$23,IF(U207=regle!$D$11,regle!$D$23,IF(U207=regle!$E$11,regle!$E$23,IF(U207=regle!$F$11,regle!$F$23,IF(U207=regle!$G$11,regle!$G$23,IF(U207=regle!$H$11,regle!$H$23,IF(U207=regle!$I$11,regle!$I$23,IF(U207=regle!$J$11,regle!$J$23,0)))))))))))</f>
        <v>0</v>
      </c>
      <c r="AF207" s="14">
        <f>IF($A207,$M207*(IF(V207=regle!$B$11,regle!$B$23,IF(V207=regle!$C$11,regle!$C$23,IF(V207=regle!$D$11,regle!$D$23,IF(V207=regle!$E$11,regle!$E$23,IF(V207=regle!$F$11,regle!$F$23,IF(V207=regle!$G$11,regle!$G$23,IF(V207=regle!$H$11,regle!$H$23,IF(V207=regle!$I$11,regle!$I$23,IF(V207=regle!$J$11,regle!$J$23,0)))))))))))</f>
        <v>0</v>
      </c>
      <c r="AG207" s="14">
        <f>IF($A207,$M207*(IF(W207=regle!$B$11,regle!$B$23,IF(W207=regle!$C$11,regle!$C$23,IF(W207=regle!$D$11,regle!$D$23,IF(W207=regle!$E$11,regle!$E$23,IF(W207=regle!$F$11,regle!$F$23,IF(W207=regle!$G$11,regle!$G$23,IF(W207=regle!$H$11,regle!$H$23,IF(W207=regle!$I$11,regle!$I$23,IF(W207=regle!$J$11,regle!$J$23,0)))))))))))</f>
        <v>39.984000000000002</v>
      </c>
      <c r="AH207" s="14">
        <f>IF($A207,$M207*(IF(X207=regle!$B$11,regle!$B$23,IF(X207=regle!$C$11,regle!$C$23,IF(X207=regle!$D$11,regle!$D$23,IF(X207=regle!$E$11,regle!$E$23,IF(X207=regle!$F$11,regle!$F$23,IF(X207=regle!$G$11,regle!$G$23,IF(X207=regle!$H$11,regle!$H$23,IF(X207=regle!$I$11,regle!$I$23,IF(X207=regle!$J$11,regle!$J$23,0)))))))))))</f>
        <v>0</v>
      </c>
      <c r="AI207" s="14">
        <f>IF($A207,$M207*(IF(Y207=regle!$B$11,regle!$B$23,IF(Y207=regle!$C$11,regle!$C$23,IF(Y207=regle!$D$11,regle!$D$23,IF(Y207=regle!$E$11,regle!$E$23,IF(Y207=regle!$F$11,regle!$F$23,IF(Y207=regle!$G$11,regle!$G$23,IF(Y207=regle!$H$11,regle!$H$23,IF(Y207=regle!$I$11,regle!$I$23,IF(Y207=regle!$J$11,regle!$J$23,0)))))))))))</f>
        <v>0</v>
      </c>
      <c r="AJ207" s="14">
        <f>IF($A207,$M207*(IF(Z207=regle!$B$11,regle!$B$23,IF(Z207=regle!$C$11,regle!$C$23,IF(Z207=regle!$D$11,regle!$D$23,IF(Z207=regle!$E$11,regle!$E$23,IF(Z207=regle!$F$11,regle!$F$23,IF(Z207=regle!$G$11,regle!$G$23,IF(Z207=regle!$H$11,regle!$H$23,IF(Z207=regle!$I$11,regle!$I$23,IF(Z207=regle!$J$11,regle!$J$23,0)))))))))))</f>
        <v>0</v>
      </c>
      <c r="AK207" s="14">
        <f>IF($A207,$M207*(IF(AA207=regle!$B$11,regle!$B$23,IF(AA207=regle!$C$11,regle!$C$23,IF(AA207=regle!$D$11,regle!$D$23,IF(AA207=regle!$E$11,regle!$E$23,IF(AA207=regle!$F$11,regle!$F$23,IF(AA207=regle!$G$11,regle!$G$23,IF(AA207=regle!$H$11,regle!$H$23,IF(AA207=regle!$I$11,regle!$I$23,IF(AA207=regle!$J$11,regle!$J$23,0)))))))))))</f>
        <v>0</v>
      </c>
      <c r="AL207" s="14">
        <f>IF($A207,$M207*(IF(AB207=regle!$B$11,regle!$B$23,IF(AB207=regle!$C$11,regle!$C$23,IF(AB207=regle!$D$11,regle!$D$23,IF(AB207=regle!$E$11,regle!$E$23,IF(AB207=regle!$F$11,regle!$F$23,IF(AB207=regle!$G$11,regle!$G$23,IF(AB207=regle!$H$11,regle!$H$23,IF(AB207=regle!$I$11,regle!$I$23,IF(AB207=regle!$J$11,regle!$J$23,0)))))))))))</f>
        <v>67.020800000000008</v>
      </c>
      <c r="AM207" s="14">
        <f>IF($A207,$M207*(IF(AC207=regle!$B$11,regle!$B$23,IF(AC207=regle!$C$11,regle!$C$23,IF(AC207=regle!$D$11,regle!$D$23,IF(AC207=regle!$E$11,regle!$E$23,IF(AC207=regle!$F$11,regle!$F$23,IF(AC207=regle!$G$11,regle!$G$23,IF(AC207=regle!$H$11,regle!$H$23,IF(AC207=regle!$I$11,regle!$I$23,IF(AC207=regle!$J$11,regle!$J$23,0)))))))))))</f>
        <v>0</v>
      </c>
      <c r="AN207" s="14">
        <f>IF($A207,$M207*(IF(AD207=regle!$B$11,regle!$B$23,IF(AD207=regle!$C$11,regle!$C$23,IF(AD207=regle!$D$11,regle!$D$23,IF(AD207=regle!$E$11,regle!$E$23,IF(AD207=regle!$F$11,regle!$F$23,IF(AD207=regle!$G$11,regle!$G$23,IF(AD207=regle!$H$11,regle!$H$23,IF(AD207=regle!$I$11,regle!$I$23,IF(AD207=regle!$J$11,regle!$J$23,0)))))))))))</f>
        <v>0</v>
      </c>
      <c r="AO207">
        <f>IF(AO$1=$AO$1,IF(regle!B$2-$Q207&gt;=regle!$J$12,-2,IF($S207,IF(regle!$B$2-$Q207&gt;=2,0,-1),regle!B$2-$Q207)),IF(AN207+1&gt;=regle!$J$12,-2,AN207+1))</f>
        <v>16</v>
      </c>
      <c r="AP207">
        <f>IF(AP$1=$AO$1,IF(regle!C$2-$Q207&gt;=regle!$J$12,-2,IF($S207,IF(regle!$B$2-$Q207&gt;=2,0,-1),regle!C$2-$Q207)),IF(AO207+1&gt;=regle!$J$12,-2,AO207+1))</f>
        <v>17</v>
      </c>
      <c r="AQ207">
        <f>IF(AQ$1=$AO$1,IF(regle!D$2-$Q207&gt;=regle!$J$12,-2,IF($S207,IF(regle!$B$2-$Q207&gt;=2,0,-1),regle!D$2-$Q207)),IF(AP207+1&gt;=regle!$J$12,-2,AP207+1))</f>
        <v>18</v>
      </c>
      <c r="AR207">
        <f>IF(AR$1=$AO$1,IF(regle!E$2-$Q207&gt;=regle!$J$12,-2,IF($S207,IF(regle!$B$2-$Q207&gt;=2,0,-1),regle!E$2-$Q207)),IF(AQ207+1&gt;=regle!$J$12,-2,AQ207+1))</f>
        <v>19</v>
      </c>
      <c r="AS207">
        <f>IF(AS$1=$AO$1,IF(regle!F$2-$Q207&gt;=regle!$J$12,-2,IF($S207,IF(regle!$B$2-$Q207&gt;=2,0,-1),regle!F$2-$Q207)),IF(AR207+1&gt;=regle!$J$12,-2,AR207+1))</f>
        <v>20</v>
      </c>
      <c r="AT207">
        <f>IF(AT$1=$AO$1,IF(regle!G$2-$Q207&gt;=regle!$J$12,-2,IF($S207,IF(regle!$B$2-$Q207&gt;=2,0,-1),regle!G$2-$Q207)),IF(AS207+1&gt;=regle!$J$12,-2,AS207+1))</f>
        <v>21</v>
      </c>
      <c r="AU207">
        <f>IF(AU$1=$AO$1,IF(regle!H$2-$Q207&gt;=regle!$J$12,-2,IF($S207,IF(regle!$B$2-$Q207&gt;=2,0,-1),regle!H$2-$Q207)),IF(AT207+1&gt;=regle!$J$12,-2,AT207+1))</f>
        <v>22</v>
      </c>
      <c r="AV207">
        <f>IF(AV$1=$AO$1,IF(regle!I$2-$Q207&gt;=regle!$J$12,-2,IF($S207,IF(regle!$B$2-$Q207&gt;=2,0,-1),regle!I$2-$Q207)),IF(AU207+1&gt;=regle!$J$12,-2,AU207+1))</f>
        <v>23</v>
      </c>
      <c r="AW207">
        <f>IF(AW$1=$AO$1,IF(regle!J$2-$Q207&gt;=regle!$J$12,-2,IF($S207,IF(regle!$B$2-$Q207&gt;=2,0,-1),regle!J$2-$Q207)),IF(AV207+1&gt;=regle!$J$12,-2,AV207+1))</f>
        <v>24</v>
      </c>
      <c r="AX207">
        <f>IF(AX$1=$AO$1,IF(regle!K$2-$Q207&gt;=regle!$J$12,-2,IF($S207,IF(regle!$B$2-$Q207&gt;=2,0,-1),regle!K$2-$Q207)),IF(AW207+1&gt;=regle!$J$12,-2,AW207+1))</f>
        <v>25</v>
      </c>
    </row>
    <row r="208" spans="1:50" x14ac:dyDescent="0.25">
      <c r="A208" t="b">
        <f>AND(modif0[[#This Row],[cdstr]]&lt;&gt;0,OR(regle!$H$27=FALSE,modif0[[#This Row],[essnc]]="PM"))</f>
        <v>1</v>
      </c>
      <c r="B208">
        <f>ROW(objet!A249)</f>
        <v>249</v>
      </c>
      <c r="C208" s="10" t="str">
        <f>objet!D249</f>
        <v>2020000B1245</v>
      </c>
      <c r="D208" t="str">
        <f>LEFT(modif0[[#This Row],[cdstr]],3)</f>
        <v>202</v>
      </c>
      <c r="E208" s="10" t="str">
        <f>objet!G249</f>
        <v>HOSTENS</v>
      </c>
      <c r="F208">
        <f>LEN(modif0[[#This Row],[l_dt]])</f>
        <v>13</v>
      </c>
      <c r="G208" s="10" t="str">
        <f>objet!H249</f>
        <v>LA BROUSTETTE</v>
      </c>
      <c r="H208" s="10" t="str">
        <f>objet!C249</f>
        <v>B1245</v>
      </c>
      <c r="I208" t="str">
        <f>IF(ISNUMBER(VALUE(RIGHT(LEFT(modif0[[#This Row],[idntfn]],2),1))),_xlfn.CONCAT(0,LEFT(modif0[[#This Row],[idntfn]],1)),LEFT(modif0[[#This Row],[idntfn]],2))</f>
        <v>0B</v>
      </c>
      <c r="J208">
        <f>VALUE(LEFT(RIGHT(modif0[[#This Row],[idntfn]],LEN(modif0[[#This Row],[idntfn]])-IF(LEFT(modif0[[#This Row],[sctn]],1)="0",1,2)),LEN(modif0[[#This Row],[idntfn]])-IF(LEFT(modif0[[#This Row],[sctn]],1)="0",1,2)-LEN(modif0[[#This Row],[lttr]])))</f>
        <v>1245</v>
      </c>
      <c r="K208" t="str">
        <f>IF(ISNUMBER(VALUE(RIGHT(modif0[[#This Row],[idntfn]],1))),"",IF(ISNUMBER(VALUE(LEFT(RIGHT(modif0[[#This Row],[idntfn]],2),1))),RIGHT(modif0[[#This Row],[idntfn]],1),RIGHT(modif0[[#This Row],[idntfn]],2)))</f>
        <v/>
      </c>
      <c r="L208" s="10">
        <f>objet!I249</f>
        <v>2555</v>
      </c>
      <c r="M208" s="11">
        <f>modif0[[#This Row],[srfc]]/10000</f>
        <v>0.2555</v>
      </c>
      <c r="N208" s="10" t="str">
        <f>objet!Z249</f>
        <v>PM</v>
      </c>
      <c r="O208" s="10" t="str">
        <f>objet!AA249</f>
        <v>PLA2008</v>
      </c>
      <c r="P208" t="str">
        <f>IF(ISNUMBER(modif0[[#This Row],[trvx]]),"",LEFT(modif0[[#This Row],[trvx]],LEN(modif0[[#This Row],[trvx]])-4))</f>
        <v>PLA</v>
      </c>
      <c r="Q208">
        <f>VALUE(RIGHT(modif0[[#This Row],[trvx]],4))</f>
        <v>2008</v>
      </c>
      <c r="R208" t="str">
        <f>_xlfn.CONCAT(modif0[[#This Row],[tp]],"-",modif0[[#This Row],[essnc]],"_",modif0[[#This Row],[anns]])</f>
        <v>PLA-PM_2008</v>
      </c>
      <c r="S208" t="b">
        <f>modif0[[#This Row],[tp]]="CR"</f>
        <v>0</v>
      </c>
      <c r="T208">
        <v>40</v>
      </c>
      <c r="U208" t="str">
        <f>IF(NOT($A208),"",
IF(AO208=-2,regle!$J$11,
IF(AO208=regle!$B$12,regle!$B$11,
IF(AO208=regle!$C$12,regle!$C$11,
IF(AO208=regle!$D$12,regle!$D$11,
IF(AO208=regle!$E$12,regle!$E$11,
IF(AO208=regle!$F$12,regle!$F$11,
IF(AO208=regle!$G$12,regle!$G$11,
IF(AO208=regle!$H$12,regle!$H$11,
IF(AO208=regle!$I$12,regle!$I$11,""))))))))))</f>
        <v/>
      </c>
      <c r="V208" t="str">
        <f>IF(NOT($A208),"",
IF(AP208=-2,regle!$J$11,
IF(AP208=regle!$B$12,regle!$B$11,
IF(AP208=regle!$C$12,regle!$C$11,
IF(AP208=regle!$D$12,regle!$D$11,
IF(AP208=regle!$E$12,regle!$E$11,
IF(AP208=regle!$F$12,regle!$F$11,
IF(AP208=regle!$G$12,regle!$G$11,
IF(AP208=regle!$H$12,regle!$H$11,
IF(AP208=regle!$I$12,regle!$I$11,""))))))))))</f>
        <v/>
      </c>
      <c r="W208" t="str">
        <f>IF(NOT($A208),"",
IF(AQ208=-2,regle!$J$11,
IF(AQ208=regle!$B$12,regle!$B$11,
IF(AQ208=regle!$C$12,regle!$C$11,
IF(AQ208=regle!$D$12,regle!$D$11,
IF(AQ208=regle!$E$12,regle!$E$11,
IF(AQ208=regle!$F$12,regle!$F$11,
IF(AQ208=regle!$G$12,regle!$G$11,
IF(AQ208=regle!$H$12,regle!$H$11,
IF(AQ208=regle!$I$12,regle!$I$11,""))))))))))</f>
        <v>EC2</v>
      </c>
      <c r="X208" t="str">
        <f>IF(NOT($A208),"",
IF(AR208=-2,regle!$J$11,
IF(AR208=regle!$B$12,regle!$B$11,
IF(AR208=regle!$C$12,regle!$C$11,
IF(AR208=regle!$D$12,regle!$D$11,
IF(AR208=regle!$E$12,regle!$E$11,
IF(AR208=regle!$F$12,regle!$F$11,
IF(AR208=regle!$G$12,regle!$G$11,
IF(AR208=regle!$H$12,regle!$H$11,
IF(AR208=regle!$I$12,regle!$I$11,""))))))))))</f>
        <v/>
      </c>
      <c r="Y208" t="str">
        <f>IF(NOT($A208),"",
IF(AS208=-2,regle!$J$11,
IF(AS208=regle!$B$12,regle!$B$11,
IF(AS208=regle!$C$12,regle!$C$11,
IF(AS208=regle!$D$12,regle!$D$11,
IF(AS208=regle!$E$12,regle!$E$11,
IF(AS208=regle!$F$12,regle!$F$11,
IF(AS208=regle!$G$12,regle!$G$11,
IF(AS208=regle!$H$12,regle!$H$11,
IF(AS208=regle!$I$12,regle!$I$11,""))))))))))</f>
        <v/>
      </c>
      <c r="Z208" t="str">
        <f>IF(NOT($A208),"",
IF(AT208=-2,regle!$J$11,
IF(AT208=regle!$B$12,regle!$B$11,
IF(AT208=regle!$C$12,regle!$C$11,
IF(AT208=regle!$D$12,regle!$D$11,
IF(AT208=regle!$E$12,regle!$E$11,
IF(AT208=regle!$F$12,regle!$F$11,
IF(AT208=regle!$G$12,regle!$G$11,
IF(AT208=regle!$H$12,regle!$H$11,
IF(AT208=regle!$I$12,regle!$I$11,""))))))))))</f>
        <v/>
      </c>
      <c r="AA208" t="str">
        <f>IF(NOT($A208),"",
IF(AU208=-2,regle!$J$11,
IF(AU208=regle!$B$12,regle!$B$11,
IF(AU208=regle!$C$12,regle!$C$11,
IF(AU208=regle!$D$12,regle!$D$11,
IF(AU208=regle!$E$12,regle!$E$11,
IF(AU208=regle!$F$12,regle!$F$11,
IF(AU208=regle!$G$12,regle!$G$11,
IF(AU208=regle!$H$12,regle!$H$11,
IF(AU208=regle!$I$12,regle!$I$11,""))))))))))</f>
        <v/>
      </c>
      <c r="AB208" t="str">
        <f>IF(NOT($A208),"",
IF(AV208=-2,regle!$J$11,
IF(AV208=regle!$B$12,regle!$B$11,
IF(AV208=regle!$C$12,regle!$C$11,
IF(AV208=regle!$D$12,regle!$D$11,
IF(AV208=regle!$E$12,regle!$E$11,
IF(AV208=regle!$F$12,regle!$F$11,
IF(AV208=regle!$G$12,regle!$G$11,
IF(AV208=regle!$H$12,regle!$H$11,
IF(AV208=regle!$I$12,regle!$I$11,""))))))))))</f>
        <v>EC3</v>
      </c>
      <c r="AC208" t="str">
        <f>IF(NOT($A208),"",
IF(AW208=-2,regle!$J$11,
IF(AW208=regle!$B$12,regle!$B$11,
IF(AW208=regle!$C$12,regle!$C$11,
IF(AW208=regle!$D$12,regle!$D$11,
IF(AW208=regle!$E$12,regle!$E$11,
IF(AW208=regle!$F$12,regle!$F$11,
IF(AW208=regle!$G$12,regle!$G$11,
IF(AW208=regle!$H$12,regle!$H$11,
IF(AW208=regle!$I$12,regle!$I$11,""))))))))))</f>
        <v/>
      </c>
      <c r="AD208" t="str">
        <f>IF(NOT($A208),"",
IF(AX208=-2,regle!$J$11,
IF(AX208=regle!$B$12,regle!$B$11,
IF(AX208=regle!$C$12,regle!$C$11,
IF(AX208=regle!$D$12,regle!$D$11,
IF(AX208=regle!$E$12,regle!$E$11,
IF(AX208=regle!$F$12,regle!$F$11,
IF(AX208=regle!$G$12,regle!$G$11,
IF(AX208=regle!$H$12,regle!$H$11,
IF(AX208=regle!$I$12,regle!$I$11,""))))))))))</f>
        <v/>
      </c>
      <c r="AE208" s="14">
        <f>IF($A208,$M208*(IF(U208=regle!$B$11,regle!$B$23,IF(U208=regle!$C$11,regle!$C$23,IF(U208=regle!$D$11,regle!$D$23,IF(U208=regle!$E$11,regle!$E$23,IF(U208=regle!$F$11,regle!$F$23,IF(U208=regle!$G$11,regle!$G$23,IF(U208=regle!$H$11,regle!$H$23,IF(U208=regle!$I$11,regle!$I$23,IF(U208=regle!$J$11,regle!$J$23,0)))))))))))</f>
        <v>0</v>
      </c>
      <c r="AF208" s="14">
        <f>IF($A208,$M208*(IF(V208=regle!$B$11,regle!$B$23,IF(V208=regle!$C$11,regle!$C$23,IF(V208=regle!$D$11,regle!$D$23,IF(V208=regle!$E$11,regle!$E$23,IF(V208=regle!$F$11,regle!$F$23,IF(V208=regle!$G$11,regle!$G$23,IF(V208=regle!$H$11,regle!$H$23,IF(V208=regle!$I$11,regle!$I$23,IF(V208=regle!$J$11,regle!$J$23,0)))))))))))</f>
        <v>0</v>
      </c>
      <c r="AG208" s="14">
        <f>IF($A208,$M208*(IF(W208=regle!$B$11,regle!$B$23,IF(W208=regle!$C$11,regle!$C$23,IF(W208=regle!$D$11,regle!$D$23,IF(W208=regle!$E$11,regle!$E$23,IF(W208=regle!$F$11,regle!$F$23,IF(W208=regle!$G$11,regle!$G$23,IF(W208=regle!$H$11,regle!$H$23,IF(W208=regle!$I$11,regle!$I$23,IF(W208=regle!$J$11,regle!$J$23,0)))))))))))</f>
        <v>214.62</v>
      </c>
      <c r="AH208" s="14">
        <f>IF($A208,$M208*(IF(X208=regle!$B$11,regle!$B$23,IF(X208=regle!$C$11,regle!$C$23,IF(X208=regle!$D$11,regle!$D$23,IF(X208=regle!$E$11,regle!$E$23,IF(X208=regle!$F$11,regle!$F$23,IF(X208=regle!$G$11,regle!$G$23,IF(X208=regle!$H$11,regle!$H$23,IF(X208=regle!$I$11,regle!$I$23,IF(X208=regle!$J$11,regle!$J$23,0)))))))))))</f>
        <v>0</v>
      </c>
      <c r="AI208" s="14">
        <f>IF($A208,$M208*(IF(Y208=regle!$B$11,regle!$B$23,IF(Y208=regle!$C$11,regle!$C$23,IF(Y208=regle!$D$11,regle!$D$23,IF(Y208=regle!$E$11,regle!$E$23,IF(Y208=regle!$F$11,regle!$F$23,IF(Y208=regle!$G$11,regle!$G$23,IF(Y208=regle!$H$11,regle!$H$23,IF(Y208=regle!$I$11,regle!$I$23,IF(Y208=regle!$J$11,regle!$J$23,0)))))))))))</f>
        <v>0</v>
      </c>
      <c r="AJ208" s="14">
        <f>IF($A208,$M208*(IF(Z208=regle!$B$11,regle!$B$23,IF(Z208=regle!$C$11,regle!$C$23,IF(Z208=regle!$D$11,regle!$D$23,IF(Z208=regle!$E$11,regle!$E$23,IF(Z208=regle!$F$11,regle!$F$23,IF(Z208=regle!$G$11,regle!$G$23,IF(Z208=regle!$H$11,regle!$H$23,IF(Z208=regle!$I$11,regle!$I$23,IF(Z208=regle!$J$11,regle!$J$23,0)))))))))))</f>
        <v>0</v>
      </c>
      <c r="AK208" s="14">
        <f>IF($A208,$M208*(IF(AA208=regle!$B$11,regle!$B$23,IF(AA208=regle!$C$11,regle!$C$23,IF(AA208=regle!$D$11,regle!$D$23,IF(AA208=regle!$E$11,regle!$E$23,IF(AA208=regle!$F$11,regle!$F$23,IF(AA208=regle!$G$11,regle!$G$23,IF(AA208=regle!$H$11,regle!$H$23,IF(AA208=regle!$I$11,regle!$I$23,IF(AA208=regle!$J$11,regle!$J$23,0)))))))))))</f>
        <v>0</v>
      </c>
      <c r="AL208" s="14">
        <f>IF($A208,$M208*(IF(AB208=regle!$B$11,regle!$B$23,IF(AB208=regle!$C$11,regle!$C$23,IF(AB208=regle!$D$11,regle!$D$23,IF(AB208=regle!$E$11,regle!$E$23,IF(AB208=regle!$F$11,regle!$F$23,IF(AB208=regle!$G$11,regle!$G$23,IF(AB208=regle!$H$11,regle!$H$23,IF(AB208=regle!$I$11,regle!$I$23,IF(AB208=regle!$J$11,regle!$J$23,0)))))))))))</f>
        <v>359.74400000000003</v>
      </c>
      <c r="AM208" s="14">
        <f>IF($A208,$M208*(IF(AC208=regle!$B$11,regle!$B$23,IF(AC208=regle!$C$11,regle!$C$23,IF(AC208=regle!$D$11,regle!$D$23,IF(AC208=regle!$E$11,regle!$E$23,IF(AC208=regle!$F$11,regle!$F$23,IF(AC208=regle!$G$11,regle!$G$23,IF(AC208=regle!$H$11,regle!$H$23,IF(AC208=regle!$I$11,regle!$I$23,IF(AC208=regle!$J$11,regle!$J$23,0)))))))))))</f>
        <v>0</v>
      </c>
      <c r="AN208" s="14">
        <f>IF($A208,$M208*(IF(AD208=regle!$B$11,regle!$B$23,IF(AD208=regle!$C$11,regle!$C$23,IF(AD208=regle!$D$11,regle!$D$23,IF(AD208=regle!$E$11,regle!$E$23,IF(AD208=regle!$F$11,regle!$F$23,IF(AD208=regle!$G$11,regle!$G$23,IF(AD208=regle!$H$11,regle!$H$23,IF(AD208=regle!$I$11,regle!$I$23,IF(AD208=regle!$J$11,regle!$J$23,0)))))))))))</f>
        <v>0</v>
      </c>
      <c r="AO208">
        <f>IF(AO$1=$AO$1,IF(regle!B$2-$Q208&gt;=regle!$J$12,-2,IF($S208,IF(regle!$B$2-$Q208&gt;=2,0,-1),regle!B$2-$Q208)),IF(AN208+1&gt;=regle!$J$12,-2,AN208+1))</f>
        <v>16</v>
      </c>
      <c r="AP208">
        <f>IF(AP$1=$AO$1,IF(regle!C$2-$Q208&gt;=regle!$J$12,-2,IF($S208,IF(regle!$B$2-$Q208&gt;=2,0,-1),regle!C$2-$Q208)),IF(AO208+1&gt;=regle!$J$12,-2,AO208+1))</f>
        <v>17</v>
      </c>
      <c r="AQ208">
        <f>IF(AQ$1=$AO$1,IF(regle!D$2-$Q208&gt;=regle!$J$12,-2,IF($S208,IF(regle!$B$2-$Q208&gt;=2,0,-1),regle!D$2-$Q208)),IF(AP208+1&gt;=regle!$J$12,-2,AP208+1))</f>
        <v>18</v>
      </c>
      <c r="AR208">
        <f>IF(AR$1=$AO$1,IF(regle!E$2-$Q208&gt;=regle!$J$12,-2,IF($S208,IF(regle!$B$2-$Q208&gt;=2,0,-1),regle!E$2-$Q208)),IF(AQ208+1&gt;=regle!$J$12,-2,AQ208+1))</f>
        <v>19</v>
      </c>
      <c r="AS208">
        <f>IF(AS$1=$AO$1,IF(regle!F$2-$Q208&gt;=regle!$J$12,-2,IF($S208,IF(regle!$B$2-$Q208&gt;=2,0,-1),regle!F$2-$Q208)),IF(AR208+1&gt;=regle!$J$12,-2,AR208+1))</f>
        <v>20</v>
      </c>
      <c r="AT208">
        <f>IF(AT$1=$AO$1,IF(regle!G$2-$Q208&gt;=regle!$J$12,-2,IF($S208,IF(regle!$B$2-$Q208&gt;=2,0,-1),regle!G$2-$Q208)),IF(AS208+1&gt;=regle!$J$12,-2,AS208+1))</f>
        <v>21</v>
      </c>
      <c r="AU208">
        <f>IF(AU$1=$AO$1,IF(regle!H$2-$Q208&gt;=regle!$J$12,-2,IF($S208,IF(regle!$B$2-$Q208&gt;=2,0,-1),regle!H$2-$Q208)),IF(AT208+1&gt;=regle!$J$12,-2,AT208+1))</f>
        <v>22</v>
      </c>
      <c r="AV208">
        <f>IF(AV$1=$AO$1,IF(regle!I$2-$Q208&gt;=regle!$J$12,-2,IF($S208,IF(regle!$B$2-$Q208&gt;=2,0,-1),regle!I$2-$Q208)),IF(AU208+1&gt;=regle!$J$12,-2,AU208+1))</f>
        <v>23</v>
      </c>
      <c r="AW208">
        <f>IF(AW$1=$AO$1,IF(regle!J$2-$Q208&gt;=regle!$J$12,-2,IF($S208,IF(regle!$B$2-$Q208&gt;=2,0,-1),regle!J$2-$Q208)),IF(AV208+1&gt;=regle!$J$12,-2,AV208+1))</f>
        <v>24</v>
      </c>
      <c r="AX208">
        <f>IF(AX$1=$AO$1,IF(regle!K$2-$Q208&gt;=regle!$J$12,-2,IF($S208,IF(regle!$B$2-$Q208&gt;=2,0,-1),regle!K$2-$Q208)),IF(AW208+1&gt;=regle!$J$12,-2,AW208+1))</f>
        <v>25</v>
      </c>
    </row>
    <row r="209" spans="1:50" x14ac:dyDescent="0.25">
      <c r="A209" t="b">
        <f>AND(modif0[[#This Row],[cdstr]]&lt;&gt;0,OR(regle!$H$27=FALSE,modif0[[#This Row],[essnc]]="PM"))</f>
        <v>1</v>
      </c>
      <c r="B209">
        <f>ROW(objet!A250)</f>
        <v>250</v>
      </c>
      <c r="C209" s="10" t="str">
        <f>objet!D250</f>
        <v>2020000B1246</v>
      </c>
      <c r="D209" t="str">
        <f>LEFT(modif0[[#This Row],[cdstr]],3)</f>
        <v>202</v>
      </c>
      <c r="E209" s="10" t="str">
        <f>objet!G250</f>
        <v>HOSTENS</v>
      </c>
      <c r="F209">
        <f>LEN(modif0[[#This Row],[l_dt]])</f>
        <v>13</v>
      </c>
      <c r="G209" s="10" t="str">
        <f>objet!H250</f>
        <v>LA BROUSTETTE</v>
      </c>
      <c r="H209" s="10" t="str">
        <f>objet!C250</f>
        <v>B1246j</v>
      </c>
      <c r="I209" t="str">
        <f>IF(ISNUMBER(VALUE(RIGHT(LEFT(modif0[[#This Row],[idntfn]],2),1))),_xlfn.CONCAT(0,LEFT(modif0[[#This Row],[idntfn]],1)),LEFT(modif0[[#This Row],[idntfn]],2))</f>
        <v>0B</v>
      </c>
      <c r="J209">
        <f>VALUE(LEFT(RIGHT(modif0[[#This Row],[idntfn]],LEN(modif0[[#This Row],[idntfn]])-IF(LEFT(modif0[[#This Row],[sctn]],1)="0",1,2)),LEN(modif0[[#This Row],[idntfn]])-IF(LEFT(modif0[[#This Row],[sctn]],1)="0",1,2)-LEN(modif0[[#This Row],[lttr]])))</f>
        <v>1246</v>
      </c>
      <c r="K209" t="str">
        <f>IF(ISNUMBER(VALUE(RIGHT(modif0[[#This Row],[idntfn]],1))),"",IF(ISNUMBER(VALUE(LEFT(RIGHT(modif0[[#This Row],[idntfn]],2),1))),RIGHT(modif0[[#This Row],[idntfn]],1),RIGHT(modif0[[#This Row],[idntfn]],2)))</f>
        <v>j</v>
      </c>
      <c r="L209" s="10">
        <f>objet!I250</f>
        <v>3987</v>
      </c>
      <c r="M209" s="11">
        <f>modif0[[#This Row],[srfc]]/10000</f>
        <v>0.3987</v>
      </c>
      <c r="N209" s="10" t="str">
        <f>objet!Z250</f>
        <v>PM</v>
      </c>
      <c r="O209" s="10" t="str">
        <f>objet!AA250</f>
        <v>PLA2008</v>
      </c>
      <c r="P209" t="str">
        <f>IF(ISNUMBER(modif0[[#This Row],[trvx]]),"",LEFT(modif0[[#This Row],[trvx]],LEN(modif0[[#This Row],[trvx]])-4))</f>
        <v>PLA</v>
      </c>
      <c r="Q209">
        <f>VALUE(RIGHT(modif0[[#This Row],[trvx]],4))</f>
        <v>2008</v>
      </c>
      <c r="R209" t="str">
        <f>_xlfn.CONCAT(modif0[[#This Row],[tp]],"-",modif0[[#This Row],[essnc]],"_",modif0[[#This Row],[anns]])</f>
        <v>PLA-PM_2008</v>
      </c>
      <c r="S209" t="b">
        <f>modif0[[#This Row],[tp]]="CR"</f>
        <v>0</v>
      </c>
      <c r="T209">
        <v>40</v>
      </c>
      <c r="U209" t="str">
        <f>IF(NOT($A209),"",
IF(AO209=-2,regle!$J$11,
IF(AO209=regle!$B$12,regle!$B$11,
IF(AO209=regle!$C$12,regle!$C$11,
IF(AO209=regle!$D$12,regle!$D$11,
IF(AO209=regle!$E$12,regle!$E$11,
IF(AO209=regle!$F$12,regle!$F$11,
IF(AO209=regle!$G$12,regle!$G$11,
IF(AO209=regle!$H$12,regle!$H$11,
IF(AO209=regle!$I$12,regle!$I$11,""))))))))))</f>
        <v/>
      </c>
      <c r="V209" t="str">
        <f>IF(NOT($A209),"",
IF(AP209=-2,regle!$J$11,
IF(AP209=regle!$B$12,regle!$B$11,
IF(AP209=regle!$C$12,regle!$C$11,
IF(AP209=regle!$D$12,regle!$D$11,
IF(AP209=regle!$E$12,regle!$E$11,
IF(AP209=regle!$F$12,regle!$F$11,
IF(AP209=regle!$G$12,regle!$G$11,
IF(AP209=regle!$H$12,regle!$H$11,
IF(AP209=regle!$I$12,regle!$I$11,""))))))))))</f>
        <v/>
      </c>
      <c r="W209" t="str">
        <f>IF(NOT($A209),"",
IF(AQ209=-2,regle!$J$11,
IF(AQ209=regle!$B$12,regle!$B$11,
IF(AQ209=regle!$C$12,regle!$C$11,
IF(AQ209=regle!$D$12,regle!$D$11,
IF(AQ209=regle!$E$12,regle!$E$11,
IF(AQ209=regle!$F$12,regle!$F$11,
IF(AQ209=regle!$G$12,regle!$G$11,
IF(AQ209=regle!$H$12,regle!$H$11,
IF(AQ209=regle!$I$12,regle!$I$11,""))))))))))</f>
        <v>EC2</v>
      </c>
      <c r="X209" t="str">
        <f>IF(NOT($A209),"",
IF(AR209=-2,regle!$J$11,
IF(AR209=regle!$B$12,regle!$B$11,
IF(AR209=regle!$C$12,regle!$C$11,
IF(AR209=regle!$D$12,regle!$D$11,
IF(AR209=regle!$E$12,regle!$E$11,
IF(AR209=regle!$F$12,regle!$F$11,
IF(AR209=regle!$G$12,regle!$G$11,
IF(AR209=regle!$H$12,regle!$H$11,
IF(AR209=regle!$I$12,regle!$I$11,""))))))))))</f>
        <v/>
      </c>
      <c r="Y209" t="str">
        <f>IF(NOT($A209),"",
IF(AS209=-2,regle!$J$11,
IF(AS209=regle!$B$12,regle!$B$11,
IF(AS209=regle!$C$12,regle!$C$11,
IF(AS209=regle!$D$12,regle!$D$11,
IF(AS209=regle!$E$12,regle!$E$11,
IF(AS209=regle!$F$12,regle!$F$11,
IF(AS209=regle!$G$12,regle!$G$11,
IF(AS209=regle!$H$12,regle!$H$11,
IF(AS209=regle!$I$12,regle!$I$11,""))))))))))</f>
        <v/>
      </c>
      <c r="Z209" t="str">
        <f>IF(NOT($A209),"",
IF(AT209=-2,regle!$J$11,
IF(AT209=regle!$B$12,regle!$B$11,
IF(AT209=regle!$C$12,regle!$C$11,
IF(AT209=regle!$D$12,regle!$D$11,
IF(AT209=regle!$E$12,regle!$E$11,
IF(AT209=regle!$F$12,regle!$F$11,
IF(AT209=regle!$G$12,regle!$G$11,
IF(AT209=regle!$H$12,regle!$H$11,
IF(AT209=regle!$I$12,regle!$I$11,""))))))))))</f>
        <v/>
      </c>
      <c r="AA209" t="str">
        <f>IF(NOT($A209),"",
IF(AU209=-2,regle!$J$11,
IF(AU209=regle!$B$12,regle!$B$11,
IF(AU209=regle!$C$12,regle!$C$11,
IF(AU209=regle!$D$12,regle!$D$11,
IF(AU209=regle!$E$12,regle!$E$11,
IF(AU209=regle!$F$12,regle!$F$11,
IF(AU209=regle!$G$12,regle!$G$11,
IF(AU209=regle!$H$12,regle!$H$11,
IF(AU209=regle!$I$12,regle!$I$11,""))))))))))</f>
        <v/>
      </c>
      <c r="AB209" t="str">
        <f>IF(NOT($A209),"",
IF(AV209=-2,regle!$J$11,
IF(AV209=regle!$B$12,regle!$B$11,
IF(AV209=regle!$C$12,regle!$C$11,
IF(AV209=regle!$D$12,regle!$D$11,
IF(AV209=regle!$E$12,regle!$E$11,
IF(AV209=regle!$F$12,regle!$F$11,
IF(AV209=regle!$G$12,regle!$G$11,
IF(AV209=regle!$H$12,regle!$H$11,
IF(AV209=regle!$I$12,regle!$I$11,""))))))))))</f>
        <v>EC3</v>
      </c>
      <c r="AC209" t="str">
        <f>IF(NOT($A209),"",
IF(AW209=-2,regle!$J$11,
IF(AW209=regle!$B$12,regle!$B$11,
IF(AW209=regle!$C$12,regle!$C$11,
IF(AW209=regle!$D$12,regle!$D$11,
IF(AW209=regle!$E$12,regle!$E$11,
IF(AW209=regle!$F$12,regle!$F$11,
IF(AW209=regle!$G$12,regle!$G$11,
IF(AW209=regle!$H$12,regle!$H$11,
IF(AW209=regle!$I$12,regle!$I$11,""))))))))))</f>
        <v/>
      </c>
      <c r="AD209" t="str">
        <f>IF(NOT($A209),"",
IF(AX209=-2,regle!$J$11,
IF(AX209=regle!$B$12,regle!$B$11,
IF(AX209=regle!$C$12,regle!$C$11,
IF(AX209=regle!$D$12,regle!$D$11,
IF(AX209=regle!$E$12,regle!$E$11,
IF(AX209=regle!$F$12,regle!$F$11,
IF(AX209=regle!$G$12,regle!$G$11,
IF(AX209=regle!$H$12,regle!$H$11,
IF(AX209=regle!$I$12,regle!$I$11,""))))))))))</f>
        <v/>
      </c>
      <c r="AE209" s="14">
        <f>IF($A209,$M209*(IF(U209=regle!$B$11,regle!$B$23,IF(U209=regle!$C$11,regle!$C$23,IF(U209=regle!$D$11,regle!$D$23,IF(U209=regle!$E$11,regle!$E$23,IF(U209=regle!$F$11,regle!$F$23,IF(U209=regle!$G$11,regle!$G$23,IF(U209=regle!$H$11,regle!$H$23,IF(U209=regle!$I$11,regle!$I$23,IF(U209=regle!$J$11,regle!$J$23,0)))))))))))</f>
        <v>0</v>
      </c>
      <c r="AF209" s="14">
        <f>IF($A209,$M209*(IF(V209=regle!$B$11,regle!$B$23,IF(V209=regle!$C$11,regle!$C$23,IF(V209=regle!$D$11,regle!$D$23,IF(V209=regle!$E$11,regle!$E$23,IF(V209=regle!$F$11,regle!$F$23,IF(V209=regle!$G$11,regle!$G$23,IF(V209=regle!$H$11,regle!$H$23,IF(V209=regle!$I$11,regle!$I$23,IF(V209=regle!$J$11,regle!$J$23,0)))))))))))</f>
        <v>0</v>
      </c>
      <c r="AG209" s="14">
        <f>IF($A209,$M209*(IF(W209=regle!$B$11,regle!$B$23,IF(W209=regle!$C$11,regle!$C$23,IF(W209=regle!$D$11,regle!$D$23,IF(W209=regle!$E$11,regle!$E$23,IF(W209=regle!$F$11,regle!$F$23,IF(W209=regle!$G$11,regle!$G$23,IF(W209=regle!$H$11,regle!$H$23,IF(W209=regle!$I$11,regle!$I$23,IF(W209=regle!$J$11,regle!$J$23,0)))))))))))</f>
        <v>334.90800000000002</v>
      </c>
      <c r="AH209" s="14">
        <f>IF($A209,$M209*(IF(X209=regle!$B$11,regle!$B$23,IF(X209=regle!$C$11,regle!$C$23,IF(X209=regle!$D$11,regle!$D$23,IF(X209=regle!$E$11,regle!$E$23,IF(X209=regle!$F$11,regle!$F$23,IF(X209=regle!$G$11,regle!$G$23,IF(X209=regle!$H$11,regle!$H$23,IF(X209=regle!$I$11,regle!$I$23,IF(X209=regle!$J$11,regle!$J$23,0)))))))))))</f>
        <v>0</v>
      </c>
      <c r="AI209" s="14">
        <f>IF($A209,$M209*(IF(Y209=regle!$B$11,regle!$B$23,IF(Y209=regle!$C$11,regle!$C$23,IF(Y209=regle!$D$11,regle!$D$23,IF(Y209=regle!$E$11,regle!$E$23,IF(Y209=regle!$F$11,regle!$F$23,IF(Y209=regle!$G$11,regle!$G$23,IF(Y209=regle!$H$11,regle!$H$23,IF(Y209=regle!$I$11,regle!$I$23,IF(Y209=regle!$J$11,regle!$J$23,0)))))))))))</f>
        <v>0</v>
      </c>
      <c r="AJ209" s="14">
        <f>IF($A209,$M209*(IF(Z209=regle!$B$11,regle!$B$23,IF(Z209=regle!$C$11,regle!$C$23,IF(Z209=regle!$D$11,regle!$D$23,IF(Z209=regle!$E$11,regle!$E$23,IF(Z209=regle!$F$11,regle!$F$23,IF(Z209=regle!$G$11,regle!$G$23,IF(Z209=regle!$H$11,regle!$H$23,IF(Z209=regle!$I$11,regle!$I$23,IF(Z209=regle!$J$11,regle!$J$23,0)))))))))))</f>
        <v>0</v>
      </c>
      <c r="AK209" s="14">
        <f>IF($A209,$M209*(IF(AA209=regle!$B$11,regle!$B$23,IF(AA209=regle!$C$11,regle!$C$23,IF(AA209=regle!$D$11,regle!$D$23,IF(AA209=regle!$E$11,regle!$E$23,IF(AA209=regle!$F$11,regle!$F$23,IF(AA209=regle!$G$11,regle!$G$23,IF(AA209=regle!$H$11,regle!$H$23,IF(AA209=regle!$I$11,regle!$I$23,IF(AA209=regle!$J$11,regle!$J$23,0)))))))))))</f>
        <v>0</v>
      </c>
      <c r="AL209" s="14">
        <f>IF($A209,$M209*(IF(AB209=regle!$B$11,regle!$B$23,IF(AB209=regle!$C$11,regle!$C$23,IF(AB209=regle!$D$11,regle!$D$23,IF(AB209=regle!$E$11,regle!$E$23,IF(AB209=regle!$F$11,regle!$F$23,IF(AB209=regle!$G$11,regle!$G$23,IF(AB209=regle!$H$11,regle!$H$23,IF(AB209=regle!$I$11,regle!$I$23,IF(AB209=regle!$J$11,regle!$J$23,0)))))))))))</f>
        <v>561.36959999999999</v>
      </c>
      <c r="AM209" s="14">
        <f>IF($A209,$M209*(IF(AC209=regle!$B$11,regle!$B$23,IF(AC209=regle!$C$11,regle!$C$23,IF(AC209=regle!$D$11,regle!$D$23,IF(AC209=regle!$E$11,regle!$E$23,IF(AC209=regle!$F$11,regle!$F$23,IF(AC209=regle!$G$11,regle!$G$23,IF(AC209=regle!$H$11,regle!$H$23,IF(AC209=regle!$I$11,regle!$I$23,IF(AC209=regle!$J$11,regle!$J$23,0)))))))))))</f>
        <v>0</v>
      </c>
      <c r="AN209" s="14">
        <f>IF($A209,$M209*(IF(AD209=regle!$B$11,regle!$B$23,IF(AD209=regle!$C$11,regle!$C$23,IF(AD209=regle!$D$11,regle!$D$23,IF(AD209=regle!$E$11,regle!$E$23,IF(AD209=regle!$F$11,regle!$F$23,IF(AD209=regle!$G$11,regle!$G$23,IF(AD209=regle!$H$11,regle!$H$23,IF(AD209=regle!$I$11,regle!$I$23,IF(AD209=regle!$J$11,regle!$J$23,0)))))))))))</f>
        <v>0</v>
      </c>
      <c r="AO209">
        <f>IF(AO$1=$AO$1,IF(regle!B$2-$Q209&gt;=regle!$J$12,-2,IF($S209,IF(regle!$B$2-$Q209&gt;=2,0,-1),regle!B$2-$Q209)),IF(AN209+1&gt;=regle!$J$12,-2,AN209+1))</f>
        <v>16</v>
      </c>
      <c r="AP209">
        <f>IF(AP$1=$AO$1,IF(regle!C$2-$Q209&gt;=regle!$J$12,-2,IF($S209,IF(regle!$B$2-$Q209&gt;=2,0,-1),regle!C$2-$Q209)),IF(AO209+1&gt;=regle!$J$12,-2,AO209+1))</f>
        <v>17</v>
      </c>
      <c r="AQ209">
        <f>IF(AQ$1=$AO$1,IF(regle!D$2-$Q209&gt;=regle!$J$12,-2,IF($S209,IF(regle!$B$2-$Q209&gt;=2,0,-1),regle!D$2-$Q209)),IF(AP209+1&gt;=regle!$J$12,-2,AP209+1))</f>
        <v>18</v>
      </c>
      <c r="AR209">
        <f>IF(AR$1=$AO$1,IF(regle!E$2-$Q209&gt;=regle!$J$12,-2,IF($S209,IF(regle!$B$2-$Q209&gt;=2,0,-1),regle!E$2-$Q209)),IF(AQ209+1&gt;=regle!$J$12,-2,AQ209+1))</f>
        <v>19</v>
      </c>
      <c r="AS209">
        <f>IF(AS$1=$AO$1,IF(regle!F$2-$Q209&gt;=regle!$J$12,-2,IF($S209,IF(regle!$B$2-$Q209&gt;=2,0,-1),regle!F$2-$Q209)),IF(AR209+1&gt;=regle!$J$12,-2,AR209+1))</f>
        <v>20</v>
      </c>
      <c r="AT209">
        <f>IF(AT$1=$AO$1,IF(regle!G$2-$Q209&gt;=regle!$J$12,-2,IF($S209,IF(regle!$B$2-$Q209&gt;=2,0,-1),regle!G$2-$Q209)),IF(AS209+1&gt;=regle!$J$12,-2,AS209+1))</f>
        <v>21</v>
      </c>
      <c r="AU209">
        <f>IF(AU$1=$AO$1,IF(regle!H$2-$Q209&gt;=regle!$J$12,-2,IF($S209,IF(regle!$B$2-$Q209&gt;=2,0,-1),regle!H$2-$Q209)),IF(AT209+1&gt;=regle!$J$12,-2,AT209+1))</f>
        <v>22</v>
      </c>
      <c r="AV209">
        <f>IF(AV$1=$AO$1,IF(regle!I$2-$Q209&gt;=regle!$J$12,-2,IF($S209,IF(regle!$B$2-$Q209&gt;=2,0,-1),regle!I$2-$Q209)),IF(AU209+1&gt;=regle!$J$12,-2,AU209+1))</f>
        <v>23</v>
      </c>
      <c r="AW209">
        <f>IF(AW$1=$AO$1,IF(regle!J$2-$Q209&gt;=regle!$J$12,-2,IF($S209,IF(regle!$B$2-$Q209&gt;=2,0,-1),regle!J$2-$Q209)),IF(AV209+1&gt;=regle!$J$12,-2,AV209+1))</f>
        <v>24</v>
      </c>
      <c r="AX209">
        <f>IF(AX$1=$AO$1,IF(regle!K$2-$Q209&gt;=regle!$J$12,-2,IF($S209,IF(regle!$B$2-$Q209&gt;=2,0,-1),regle!K$2-$Q209)),IF(AW209+1&gt;=regle!$J$12,-2,AW209+1))</f>
        <v>25</v>
      </c>
    </row>
    <row r="210" spans="1:50" x14ac:dyDescent="0.25">
      <c r="A210" t="b">
        <f>AND(modif0[[#This Row],[cdstr]]&lt;&gt;0,OR(regle!$H$27=FALSE,modif0[[#This Row],[essnc]]="PM"))</f>
        <v>1</v>
      </c>
      <c r="B210">
        <f>ROW(objet!A251)</f>
        <v>251</v>
      </c>
      <c r="C210" s="10" t="str">
        <f>objet!D251</f>
        <v>2020000B1246</v>
      </c>
      <c r="D210" t="str">
        <f>LEFT(modif0[[#This Row],[cdstr]],3)</f>
        <v>202</v>
      </c>
      <c r="E210" s="10" t="str">
        <f>objet!G251</f>
        <v>HOSTENS</v>
      </c>
      <c r="F210">
        <f>LEN(modif0[[#This Row],[l_dt]])</f>
        <v>13</v>
      </c>
      <c r="G210" s="10" t="str">
        <f>objet!H251</f>
        <v>LA BROUSTETTE</v>
      </c>
      <c r="H210" s="10" t="str">
        <f>objet!C251</f>
        <v>B1246k</v>
      </c>
      <c r="I210" t="str">
        <f>IF(ISNUMBER(VALUE(RIGHT(LEFT(modif0[[#This Row],[idntfn]],2),1))),_xlfn.CONCAT(0,LEFT(modif0[[#This Row],[idntfn]],1)),LEFT(modif0[[#This Row],[idntfn]],2))</f>
        <v>0B</v>
      </c>
      <c r="J210">
        <f>VALUE(LEFT(RIGHT(modif0[[#This Row],[idntfn]],LEN(modif0[[#This Row],[idntfn]])-IF(LEFT(modif0[[#This Row],[sctn]],1)="0",1,2)),LEN(modif0[[#This Row],[idntfn]])-IF(LEFT(modif0[[#This Row],[sctn]],1)="0",1,2)-LEN(modif0[[#This Row],[lttr]])))</f>
        <v>1246</v>
      </c>
      <c r="K210" t="str">
        <f>IF(ISNUMBER(VALUE(RIGHT(modif0[[#This Row],[idntfn]],1))),"",IF(ISNUMBER(VALUE(LEFT(RIGHT(modif0[[#This Row],[idntfn]],2),1))),RIGHT(modif0[[#This Row],[idntfn]],1),RIGHT(modif0[[#This Row],[idntfn]],2)))</f>
        <v>k</v>
      </c>
      <c r="L210" s="10">
        <f>objet!I251</f>
        <v>2233</v>
      </c>
      <c r="M210" s="11">
        <f>modif0[[#This Row],[srfc]]/10000</f>
        <v>0.2233</v>
      </c>
      <c r="N210" s="10" t="str">
        <f>objet!Z251</f>
        <v>PM</v>
      </c>
      <c r="O210" s="10" t="str">
        <f>objet!AA251</f>
        <v>PLA2018</v>
      </c>
      <c r="P210" t="str">
        <f>IF(ISNUMBER(modif0[[#This Row],[trvx]]),"",LEFT(modif0[[#This Row],[trvx]],LEN(modif0[[#This Row],[trvx]])-4))</f>
        <v>PLA</v>
      </c>
      <c r="Q210">
        <f>VALUE(RIGHT(modif0[[#This Row],[trvx]],4))</f>
        <v>2018</v>
      </c>
      <c r="R210" t="str">
        <f>_xlfn.CONCAT(modif0[[#This Row],[tp]],"-",modif0[[#This Row],[essnc]],"_",modif0[[#This Row],[anns]])</f>
        <v>PLA-PM_2018</v>
      </c>
      <c r="S210" t="b">
        <f>modif0[[#This Row],[tp]]="CR"</f>
        <v>0</v>
      </c>
      <c r="T210">
        <v>40</v>
      </c>
      <c r="U210" t="str">
        <f>IF(NOT($A210),"",
IF(AO210=-2,regle!$J$11,
IF(AO210=regle!$B$12,regle!$B$11,
IF(AO210=regle!$C$12,regle!$C$11,
IF(AO210=regle!$D$12,regle!$D$11,
IF(AO210=regle!$E$12,regle!$E$11,
IF(AO210=regle!$F$12,regle!$F$11,
IF(AO210=regle!$G$12,regle!$G$11,
IF(AO210=regle!$H$12,regle!$H$11,
IF(AO210=regle!$I$12,regle!$I$11,""))))))))))</f>
        <v/>
      </c>
      <c r="V210" t="str">
        <f>IF(NOT($A210),"",
IF(AP210=-2,regle!$J$11,
IF(AP210=regle!$B$12,regle!$B$11,
IF(AP210=regle!$C$12,regle!$C$11,
IF(AP210=regle!$D$12,regle!$D$11,
IF(AP210=regle!$E$12,regle!$E$11,
IF(AP210=regle!$F$12,regle!$F$11,
IF(AP210=regle!$G$12,regle!$G$11,
IF(AP210=regle!$H$12,regle!$H$11,
IF(AP210=regle!$I$12,regle!$I$11,""))))))))))</f>
        <v/>
      </c>
      <c r="W210" t="str">
        <f>IF(NOT($A210),"",
IF(AQ210=-2,regle!$J$11,
IF(AQ210=regle!$B$12,regle!$B$11,
IF(AQ210=regle!$C$12,regle!$C$11,
IF(AQ210=regle!$D$12,regle!$D$11,
IF(AQ210=regle!$E$12,regle!$E$11,
IF(AQ210=regle!$F$12,regle!$F$11,
IF(AQ210=regle!$G$12,regle!$G$11,
IF(AQ210=regle!$H$12,regle!$H$11,
IF(AQ210=regle!$I$12,regle!$I$11,""))))))))))</f>
        <v>ENT2</v>
      </c>
      <c r="X210" t="str">
        <f>IF(NOT($A210),"",
IF(AR210=-2,regle!$J$11,
IF(AR210=regle!$B$12,regle!$B$11,
IF(AR210=regle!$C$12,regle!$C$11,
IF(AR210=regle!$D$12,regle!$D$11,
IF(AR210=regle!$E$12,regle!$E$11,
IF(AR210=regle!$F$12,regle!$F$11,
IF(AR210=regle!$G$12,regle!$G$11,
IF(AR210=regle!$H$12,regle!$H$11,
IF(AR210=regle!$I$12,regle!$I$11,""))))))))))</f>
        <v/>
      </c>
      <c r="Y210" t="str">
        <f>IF(NOT($A210),"",
IF(AS210=-2,regle!$J$11,
IF(AS210=regle!$B$12,regle!$B$11,
IF(AS210=regle!$C$12,regle!$C$11,
IF(AS210=regle!$D$12,regle!$D$11,
IF(AS210=regle!$E$12,regle!$E$11,
IF(AS210=regle!$F$12,regle!$F$11,
IF(AS210=regle!$G$12,regle!$G$11,
IF(AS210=regle!$H$12,regle!$H$11,
IF(AS210=regle!$I$12,regle!$I$11,""))))))))))</f>
        <v/>
      </c>
      <c r="Z210" t="str">
        <f>IF(NOT($A210),"",
IF(AT210=-2,regle!$J$11,
IF(AT210=regle!$B$12,regle!$B$11,
IF(AT210=regle!$C$12,regle!$C$11,
IF(AT210=regle!$D$12,regle!$D$11,
IF(AT210=regle!$E$12,regle!$E$11,
IF(AT210=regle!$F$12,regle!$F$11,
IF(AT210=regle!$G$12,regle!$G$11,
IF(AT210=regle!$H$12,regle!$H$11,
IF(AT210=regle!$I$12,regle!$I$11,""))))))))))</f>
        <v/>
      </c>
      <c r="AA210" t="str">
        <f>IF(NOT($A210),"",
IF(AU210=-2,regle!$J$11,
IF(AU210=regle!$B$12,regle!$B$11,
IF(AU210=regle!$C$12,regle!$C$11,
IF(AU210=regle!$D$12,regle!$D$11,
IF(AU210=regle!$E$12,regle!$E$11,
IF(AU210=regle!$F$12,regle!$F$11,
IF(AU210=regle!$G$12,regle!$G$11,
IF(AU210=regle!$H$12,regle!$H$11,
IF(AU210=regle!$I$12,regle!$I$11,""))))))))))</f>
        <v/>
      </c>
      <c r="AB210" t="str">
        <f>IF(NOT($A210),"",
IF(AV210=-2,regle!$J$11,
IF(AV210=regle!$B$12,regle!$B$11,
IF(AV210=regle!$C$12,regle!$C$11,
IF(AV210=regle!$D$12,regle!$D$11,
IF(AV210=regle!$E$12,regle!$E$11,
IF(AV210=regle!$F$12,regle!$F$11,
IF(AV210=regle!$G$12,regle!$G$11,
IF(AV210=regle!$H$12,regle!$H$11,
IF(AV210=regle!$I$12,regle!$I$11,""))))))))))</f>
        <v>EC1</v>
      </c>
      <c r="AC210" t="str">
        <f>IF(NOT($A210),"",
IF(AW210=-2,regle!$J$11,
IF(AW210=regle!$B$12,regle!$B$11,
IF(AW210=regle!$C$12,regle!$C$11,
IF(AW210=regle!$D$12,regle!$D$11,
IF(AW210=regle!$E$12,regle!$E$11,
IF(AW210=regle!$F$12,regle!$F$11,
IF(AW210=regle!$G$12,regle!$G$11,
IF(AW210=regle!$H$12,regle!$H$11,
IF(AW210=regle!$I$12,regle!$I$11,""))))))))))</f>
        <v/>
      </c>
      <c r="AD210" t="str">
        <f>IF(NOT($A210),"",
IF(AX210=-2,regle!$J$11,
IF(AX210=regle!$B$12,regle!$B$11,
IF(AX210=regle!$C$12,regle!$C$11,
IF(AX210=regle!$D$12,regle!$D$11,
IF(AX210=regle!$E$12,regle!$E$11,
IF(AX210=regle!$F$12,regle!$F$11,
IF(AX210=regle!$G$12,regle!$G$11,
IF(AX210=regle!$H$12,regle!$H$11,
IF(AX210=regle!$I$12,regle!$I$11,""))))))))))</f>
        <v/>
      </c>
      <c r="AE210" s="14">
        <f>IF($A210,$M210*(IF(U210=regle!$B$11,regle!$B$23,IF(U210=regle!$C$11,regle!$C$23,IF(U210=regle!$D$11,regle!$D$23,IF(U210=regle!$E$11,regle!$E$23,IF(U210=regle!$F$11,regle!$F$23,IF(U210=regle!$G$11,regle!$G$23,IF(U210=regle!$H$11,regle!$H$23,IF(U210=regle!$I$11,regle!$I$23,IF(U210=regle!$J$11,regle!$J$23,0)))))))))))</f>
        <v>0</v>
      </c>
      <c r="AF210" s="14">
        <f>IF($A210,$M210*(IF(V210=regle!$B$11,regle!$B$23,IF(V210=regle!$C$11,regle!$C$23,IF(V210=regle!$D$11,regle!$D$23,IF(V210=regle!$E$11,regle!$E$23,IF(V210=regle!$F$11,regle!$F$23,IF(V210=regle!$G$11,regle!$G$23,IF(V210=regle!$H$11,regle!$H$23,IF(V210=regle!$I$11,regle!$I$23,IF(V210=regle!$J$11,regle!$J$23,0)))))))))))</f>
        <v>0</v>
      </c>
      <c r="AG210" s="14">
        <f>IF($A210,$M210*(IF(W210=regle!$B$11,regle!$B$23,IF(W210=regle!$C$11,regle!$C$23,IF(W210=regle!$D$11,regle!$D$23,IF(W210=regle!$E$11,regle!$E$23,IF(W210=regle!$F$11,regle!$F$23,IF(W210=regle!$G$11,regle!$G$23,IF(W210=regle!$H$11,regle!$H$23,IF(W210=regle!$I$11,regle!$I$23,IF(W210=regle!$J$11,regle!$J$23,0)))))))))))</f>
        <v>-20.097000000000001</v>
      </c>
      <c r="AH210" s="14">
        <f>IF($A210,$M210*(IF(X210=regle!$B$11,regle!$B$23,IF(X210=regle!$C$11,regle!$C$23,IF(X210=regle!$D$11,regle!$D$23,IF(X210=regle!$E$11,regle!$E$23,IF(X210=regle!$F$11,regle!$F$23,IF(X210=regle!$G$11,regle!$G$23,IF(X210=regle!$H$11,regle!$H$23,IF(X210=regle!$I$11,regle!$I$23,IF(X210=regle!$J$11,regle!$J$23,0)))))))))))</f>
        <v>0</v>
      </c>
      <c r="AI210" s="14">
        <f>IF($A210,$M210*(IF(Y210=regle!$B$11,regle!$B$23,IF(Y210=regle!$C$11,regle!$C$23,IF(Y210=regle!$D$11,regle!$D$23,IF(Y210=regle!$E$11,regle!$E$23,IF(Y210=regle!$F$11,regle!$F$23,IF(Y210=regle!$G$11,regle!$G$23,IF(Y210=regle!$H$11,regle!$H$23,IF(Y210=regle!$I$11,regle!$I$23,IF(Y210=regle!$J$11,regle!$J$23,0)))))))))))</f>
        <v>0</v>
      </c>
      <c r="AJ210" s="14">
        <f>IF($A210,$M210*(IF(Z210=regle!$B$11,regle!$B$23,IF(Z210=regle!$C$11,regle!$C$23,IF(Z210=regle!$D$11,regle!$D$23,IF(Z210=regle!$E$11,regle!$E$23,IF(Z210=regle!$F$11,regle!$F$23,IF(Z210=regle!$G$11,regle!$G$23,IF(Z210=regle!$H$11,regle!$H$23,IF(Z210=regle!$I$11,regle!$I$23,IF(Z210=regle!$J$11,regle!$J$23,0)))))))))))</f>
        <v>0</v>
      </c>
      <c r="AK210" s="14">
        <f>IF($A210,$M210*(IF(AA210=regle!$B$11,regle!$B$23,IF(AA210=regle!$C$11,regle!$C$23,IF(AA210=regle!$D$11,regle!$D$23,IF(AA210=regle!$E$11,regle!$E$23,IF(AA210=regle!$F$11,regle!$F$23,IF(AA210=regle!$G$11,regle!$G$23,IF(AA210=regle!$H$11,regle!$H$23,IF(AA210=regle!$I$11,regle!$I$23,IF(AA210=regle!$J$11,regle!$J$23,0)))))))))))</f>
        <v>0</v>
      </c>
      <c r="AL210" s="14">
        <f>IF($A210,$M210*(IF(AB210=regle!$B$11,regle!$B$23,IF(AB210=regle!$C$11,regle!$C$23,IF(AB210=regle!$D$11,regle!$D$23,IF(AB210=regle!$E$11,regle!$E$23,IF(AB210=regle!$F$11,regle!$F$23,IF(AB210=regle!$G$11,regle!$G$23,IF(AB210=regle!$H$11,regle!$H$23,IF(AB210=regle!$I$11,regle!$I$23,IF(AB210=regle!$J$11,regle!$J$23,0)))))))))))</f>
        <v>128.6208</v>
      </c>
      <c r="AM210" s="14">
        <f>IF($A210,$M210*(IF(AC210=regle!$B$11,regle!$B$23,IF(AC210=regle!$C$11,regle!$C$23,IF(AC210=regle!$D$11,regle!$D$23,IF(AC210=regle!$E$11,regle!$E$23,IF(AC210=regle!$F$11,regle!$F$23,IF(AC210=regle!$G$11,regle!$G$23,IF(AC210=regle!$H$11,regle!$H$23,IF(AC210=regle!$I$11,regle!$I$23,IF(AC210=regle!$J$11,regle!$J$23,0)))))))))))</f>
        <v>0</v>
      </c>
      <c r="AN210" s="14">
        <f>IF($A210,$M210*(IF(AD210=regle!$B$11,regle!$B$23,IF(AD210=regle!$C$11,regle!$C$23,IF(AD210=regle!$D$11,regle!$D$23,IF(AD210=regle!$E$11,regle!$E$23,IF(AD210=regle!$F$11,regle!$F$23,IF(AD210=regle!$G$11,regle!$G$23,IF(AD210=regle!$H$11,regle!$H$23,IF(AD210=regle!$I$11,regle!$I$23,IF(AD210=regle!$J$11,regle!$J$23,0)))))))))))</f>
        <v>0</v>
      </c>
      <c r="AO210">
        <f>IF(AO$1=$AO$1,IF(regle!B$2-$Q210&gt;=regle!$J$12,-2,IF($S210,IF(regle!$B$2-$Q210&gt;=2,0,-1),regle!B$2-$Q210)),IF(AN210+1&gt;=regle!$J$12,-2,AN210+1))</f>
        <v>6</v>
      </c>
      <c r="AP210">
        <f>IF(AP$1=$AO$1,IF(regle!C$2-$Q210&gt;=regle!$J$12,-2,IF($S210,IF(regle!$B$2-$Q210&gt;=2,0,-1),regle!C$2-$Q210)),IF(AO210+1&gt;=regle!$J$12,-2,AO210+1))</f>
        <v>7</v>
      </c>
      <c r="AQ210">
        <f>IF(AQ$1=$AO$1,IF(regle!D$2-$Q210&gt;=regle!$J$12,-2,IF($S210,IF(regle!$B$2-$Q210&gt;=2,0,-1),regle!D$2-$Q210)),IF(AP210+1&gt;=regle!$J$12,-2,AP210+1))</f>
        <v>8</v>
      </c>
      <c r="AR210">
        <f>IF(AR$1=$AO$1,IF(regle!E$2-$Q210&gt;=regle!$J$12,-2,IF($S210,IF(regle!$B$2-$Q210&gt;=2,0,-1),regle!E$2-$Q210)),IF(AQ210+1&gt;=regle!$J$12,-2,AQ210+1))</f>
        <v>9</v>
      </c>
      <c r="AS210">
        <f>IF(AS$1=$AO$1,IF(regle!F$2-$Q210&gt;=regle!$J$12,-2,IF($S210,IF(regle!$B$2-$Q210&gt;=2,0,-1),regle!F$2-$Q210)),IF(AR210+1&gt;=regle!$J$12,-2,AR210+1))</f>
        <v>10</v>
      </c>
      <c r="AT210">
        <f>IF(AT$1=$AO$1,IF(regle!G$2-$Q210&gt;=regle!$J$12,-2,IF($S210,IF(regle!$B$2-$Q210&gt;=2,0,-1),regle!G$2-$Q210)),IF(AS210+1&gt;=regle!$J$12,-2,AS210+1))</f>
        <v>11</v>
      </c>
      <c r="AU210">
        <f>IF(AU$1=$AO$1,IF(regle!H$2-$Q210&gt;=regle!$J$12,-2,IF($S210,IF(regle!$B$2-$Q210&gt;=2,0,-1),regle!H$2-$Q210)),IF(AT210+1&gt;=regle!$J$12,-2,AT210+1))</f>
        <v>12</v>
      </c>
      <c r="AV210">
        <f>IF(AV$1=$AO$1,IF(regle!I$2-$Q210&gt;=regle!$J$12,-2,IF($S210,IF(regle!$B$2-$Q210&gt;=2,0,-1),regle!I$2-$Q210)),IF(AU210+1&gt;=regle!$J$12,-2,AU210+1))</f>
        <v>13</v>
      </c>
      <c r="AW210">
        <f>IF(AW$1=$AO$1,IF(regle!J$2-$Q210&gt;=regle!$J$12,-2,IF($S210,IF(regle!$B$2-$Q210&gt;=2,0,-1),regle!J$2-$Q210)),IF(AV210+1&gt;=regle!$J$12,-2,AV210+1))</f>
        <v>14</v>
      </c>
      <c r="AX210">
        <f>IF(AX$1=$AO$1,IF(regle!K$2-$Q210&gt;=regle!$J$12,-2,IF($S210,IF(regle!$B$2-$Q210&gt;=2,0,-1),regle!K$2-$Q210)),IF(AW210+1&gt;=regle!$J$12,-2,AW210+1))</f>
        <v>15</v>
      </c>
    </row>
    <row r="211" spans="1:50" x14ac:dyDescent="0.25">
      <c r="A211" t="b">
        <f>AND(modif0[[#This Row],[cdstr]]&lt;&gt;0,OR(regle!$H$27=FALSE,modif0[[#This Row],[essnc]]="PM"))</f>
        <v>1</v>
      </c>
      <c r="B211">
        <f>ROW(objet!A252)</f>
        <v>252</v>
      </c>
      <c r="C211" s="10" t="str">
        <f>objet!D252</f>
        <v>2020000B1246</v>
      </c>
      <c r="D211" t="str">
        <f>LEFT(modif0[[#This Row],[cdstr]],3)</f>
        <v>202</v>
      </c>
      <c r="E211" s="10" t="str">
        <f>objet!G252</f>
        <v>HOSTENS</v>
      </c>
      <c r="F211">
        <f>LEN(modif0[[#This Row],[l_dt]])</f>
        <v>13</v>
      </c>
      <c r="G211" s="10" t="str">
        <f>objet!H252</f>
        <v>LA BROUSTETTE</v>
      </c>
      <c r="H211" s="10" t="str">
        <f>objet!C252</f>
        <v>B1246l</v>
      </c>
      <c r="I211" t="str">
        <f>IF(ISNUMBER(VALUE(RIGHT(LEFT(modif0[[#This Row],[idntfn]],2),1))),_xlfn.CONCAT(0,LEFT(modif0[[#This Row],[idntfn]],1)),LEFT(modif0[[#This Row],[idntfn]],2))</f>
        <v>0B</v>
      </c>
      <c r="J211">
        <f>VALUE(LEFT(RIGHT(modif0[[#This Row],[idntfn]],LEN(modif0[[#This Row],[idntfn]])-IF(LEFT(modif0[[#This Row],[sctn]],1)="0",1,2)),LEN(modif0[[#This Row],[idntfn]])-IF(LEFT(modif0[[#This Row],[sctn]],1)="0",1,2)-LEN(modif0[[#This Row],[lttr]])))</f>
        <v>1246</v>
      </c>
      <c r="K211" t="str">
        <f>IF(ISNUMBER(VALUE(RIGHT(modif0[[#This Row],[idntfn]],1))),"",IF(ISNUMBER(VALUE(LEFT(RIGHT(modif0[[#This Row],[idntfn]],2),1))),RIGHT(modif0[[#This Row],[idntfn]],1),RIGHT(modif0[[#This Row],[idntfn]],2)))</f>
        <v>l</v>
      </c>
      <c r="L211" s="10">
        <f>objet!I252</f>
        <v>3970</v>
      </c>
      <c r="M211" s="11">
        <f>modif0[[#This Row],[srfc]]/10000</f>
        <v>0.39700000000000002</v>
      </c>
      <c r="N211" s="10" t="str">
        <f>objet!Z252</f>
        <v>PM</v>
      </c>
      <c r="O211" s="10" t="str">
        <f>objet!AA252</f>
        <v>SL1987</v>
      </c>
      <c r="P211" t="str">
        <f>IF(ISNUMBER(modif0[[#This Row],[trvx]]),"",LEFT(modif0[[#This Row],[trvx]],LEN(modif0[[#This Row],[trvx]])-4))</f>
        <v>SL</v>
      </c>
      <c r="Q211">
        <f>VALUE(RIGHT(modif0[[#This Row],[trvx]],4))</f>
        <v>1987</v>
      </c>
      <c r="R211" t="str">
        <f>_xlfn.CONCAT(modif0[[#This Row],[tp]],"-",modif0[[#This Row],[essnc]],"_",modif0[[#This Row],[anns]])</f>
        <v>SL-PM_1987</v>
      </c>
      <c r="S211" t="b">
        <f>modif0[[#This Row],[tp]]="CR"</f>
        <v>0</v>
      </c>
      <c r="T211">
        <v>40</v>
      </c>
      <c r="U211" t="str">
        <f>IF(NOT($A211),"",
IF(AO211=-2,regle!$J$11,
IF(AO211=regle!$B$12,regle!$B$11,
IF(AO211=regle!$C$12,regle!$C$11,
IF(AO211=regle!$D$12,regle!$D$11,
IF(AO211=regle!$E$12,regle!$E$11,
IF(AO211=regle!$F$12,regle!$F$11,
IF(AO211=regle!$G$12,regle!$G$11,
IF(AO211=regle!$H$12,regle!$H$11,
IF(AO211=regle!$I$12,regle!$I$11,""))))))))))</f>
        <v/>
      </c>
      <c r="V211" t="str">
        <f>IF(NOT($A211),"",
IF(AP211=-2,regle!$J$11,
IF(AP211=regle!$B$12,regle!$B$11,
IF(AP211=regle!$C$12,regle!$C$11,
IF(AP211=regle!$D$12,regle!$D$11,
IF(AP211=regle!$E$12,regle!$E$11,
IF(AP211=regle!$F$12,regle!$F$11,
IF(AP211=regle!$G$12,regle!$G$11,
IF(AP211=regle!$H$12,regle!$H$11,
IF(AP211=regle!$I$12,regle!$I$11,""))))))))))</f>
        <v/>
      </c>
      <c r="W211" t="str">
        <f>IF(NOT($A211),"",
IF(AQ211=-2,regle!$J$11,
IF(AQ211=regle!$B$12,regle!$B$11,
IF(AQ211=regle!$C$12,regle!$C$11,
IF(AQ211=regle!$D$12,regle!$D$11,
IF(AQ211=regle!$E$12,regle!$E$11,
IF(AQ211=regle!$F$12,regle!$F$11,
IF(AQ211=regle!$G$12,regle!$G$11,
IF(AQ211=regle!$H$12,regle!$H$11,
IF(AQ211=regle!$I$12,regle!$I$11,""))))))))))</f>
        <v/>
      </c>
      <c r="X211" t="str">
        <f>IF(NOT($A211),"",
IF(AR211=-2,regle!$J$11,
IF(AR211=regle!$B$12,regle!$B$11,
IF(AR211=regle!$C$12,regle!$C$11,
IF(AR211=regle!$D$12,regle!$D$11,
IF(AR211=regle!$E$12,regle!$E$11,
IF(AR211=regle!$F$12,regle!$F$11,
IF(AR211=regle!$G$12,regle!$G$11,
IF(AR211=regle!$H$12,regle!$H$11,
IF(AR211=regle!$I$12,regle!$I$11,""))))))))))</f>
        <v>CR</v>
      </c>
      <c r="Y211" t="str">
        <f>IF(NOT($A211),"",
IF(AS211=-2,regle!$J$11,
IF(AS211=regle!$B$12,regle!$B$11,
IF(AS211=regle!$C$12,regle!$C$11,
IF(AS211=regle!$D$12,regle!$D$11,
IF(AS211=regle!$E$12,regle!$E$11,
IF(AS211=regle!$F$12,regle!$F$11,
IF(AS211=regle!$G$12,regle!$G$11,
IF(AS211=regle!$H$12,regle!$H$11,
IF(AS211=regle!$I$12,regle!$I$11,""))))))))))</f>
        <v/>
      </c>
      <c r="Z211" t="str">
        <f>IF(NOT($A211),"",
IF(AT211=-2,regle!$J$11,
IF(AT211=regle!$B$12,regle!$B$11,
IF(AT211=regle!$C$12,regle!$C$11,
IF(AT211=regle!$D$12,regle!$D$11,
IF(AT211=regle!$E$12,regle!$E$11,
IF(AT211=regle!$F$12,regle!$F$11,
IF(AT211=regle!$G$12,regle!$G$11,
IF(AT211=regle!$H$12,regle!$H$11,
IF(AT211=regle!$I$12,regle!$I$11,""))))))))))</f>
        <v>RBST</v>
      </c>
      <c r="AA211" t="str">
        <f>IF(NOT($A211),"",
IF(AU211=-2,regle!$J$11,
IF(AU211=regle!$B$12,regle!$B$11,
IF(AU211=regle!$C$12,regle!$C$11,
IF(AU211=regle!$D$12,regle!$D$11,
IF(AU211=regle!$E$12,regle!$E$11,
IF(AU211=regle!$F$12,regle!$F$11,
IF(AU211=regle!$G$12,regle!$G$11,
IF(AU211=regle!$H$12,regle!$H$11,
IF(AU211=regle!$I$12,regle!$I$11,""))))))))))</f>
        <v/>
      </c>
      <c r="AB211" t="str">
        <f>IF(NOT($A211),"",
IF(AV211=-2,regle!$J$11,
IF(AV211=regle!$B$12,regle!$B$11,
IF(AV211=regle!$C$12,regle!$C$11,
IF(AV211=regle!$D$12,regle!$D$11,
IF(AV211=regle!$E$12,regle!$E$11,
IF(AV211=regle!$F$12,regle!$F$11,
IF(AV211=regle!$G$12,regle!$G$11,
IF(AV211=regle!$H$12,regle!$H$11,
IF(AV211=regle!$I$12,regle!$I$11,""))))))))))</f>
        <v>DGT</v>
      </c>
      <c r="AC211" t="str">
        <f>IF(NOT($A211),"",
IF(AW211=-2,regle!$J$11,
IF(AW211=regle!$B$12,regle!$B$11,
IF(AW211=regle!$C$12,regle!$C$11,
IF(AW211=regle!$D$12,regle!$D$11,
IF(AW211=regle!$E$12,regle!$E$11,
IF(AW211=regle!$F$12,regle!$F$11,
IF(AW211=regle!$G$12,regle!$G$11,
IF(AW211=regle!$H$12,regle!$H$11,
IF(AW211=regle!$I$12,regle!$I$11,""))))))))))</f>
        <v/>
      </c>
      <c r="AD211" t="str">
        <f>IF(NOT($A211),"",
IF(AX211=-2,regle!$J$11,
IF(AX211=regle!$B$12,regle!$B$11,
IF(AX211=regle!$C$12,regle!$C$11,
IF(AX211=regle!$D$12,regle!$D$11,
IF(AX211=regle!$E$12,regle!$E$11,
IF(AX211=regle!$F$12,regle!$F$11,
IF(AX211=regle!$G$12,regle!$G$11,
IF(AX211=regle!$H$12,regle!$H$11,
IF(AX211=regle!$I$12,regle!$I$11,""))))))))))</f>
        <v/>
      </c>
      <c r="AE211" s="14">
        <f>IF($A211,$M211*(IF(U211=regle!$B$11,regle!$B$23,IF(U211=regle!$C$11,regle!$C$23,IF(U211=regle!$D$11,regle!$D$23,IF(U211=regle!$E$11,regle!$E$23,IF(U211=regle!$F$11,regle!$F$23,IF(U211=regle!$G$11,regle!$G$23,IF(U211=regle!$H$11,regle!$H$23,IF(U211=regle!$I$11,regle!$I$23,IF(U211=regle!$J$11,regle!$J$23,0)))))))))))</f>
        <v>0</v>
      </c>
      <c r="AF211" s="14">
        <f>IF($A211,$M211*(IF(V211=regle!$B$11,regle!$B$23,IF(V211=regle!$C$11,regle!$C$23,IF(V211=regle!$D$11,regle!$D$23,IF(V211=regle!$E$11,regle!$E$23,IF(V211=regle!$F$11,regle!$F$23,IF(V211=regle!$G$11,regle!$G$23,IF(V211=regle!$H$11,regle!$H$23,IF(V211=regle!$I$11,regle!$I$23,IF(V211=regle!$J$11,regle!$J$23,0)))))))))))</f>
        <v>0</v>
      </c>
      <c r="AG211" s="14">
        <f>IF($A211,$M211*(IF(W211=regle!$B$11,regle!$B$23,IF(W211=regle!$C$11,regle!$C$23,IF(W211=regle!$D$11,regle!$D$23,IF(W211=regle!$E$11,regle!$E$23,IF(W211=regle!$F$11,regle!$F$23,IF(W211=regle!$G$11,regle!$G$23,IF(W211=regle!$H$11,regle!$H$23,IF(W211=regle!$I$11,regle!$I$23,IF(W211=regle!$J$11,regle!$J$23,0)))))))))))</f>
        <v>0</v>
      </c>
      <c r="AH211" s="14">
        <f>IF($A211,$M211*(IF(X211=regle!$B$11,regle!$B$23,IF(X211=regle!$C$11,regle!$C$23,IF(X211=regle!$D$11,regle!$D$23,IF(X211=regle!$E$11,regle!$E$23,IF(X211=regle!$F$11,regle!$F$23,IF(X211=regle!$G$11,regle!$G$23,IF(X211=regle!$H$11,regle!$H$23,IF(X211=regle!$I$11,regle!$I$23,IF(X211=regle!$J$11,regle!$J$23,0)))))))))))</f>
        <v>3493.6000000000004</v>
      </c>
      <c r="AI211" s="14">
        <f>IF($A211,$M211*(IF(Y211=regle!$B$11,regle!$B$23,IF(Y211=regle!$C$11,regle!$C$23,IF(Y211=regle!$D$11,regle!$D$23,IF(Y211=regle!$E$11,regle!$E$23,IF(Y211=regle!$F$11,regle!$F$23,IF(Y211=regle!$G$11,regle!$G$23,IF(Y211=regle!$H$11,regle!$H$23,IF(Y211=regle!$I$11,regle!$I$23,IF(Y211=regle!$J$11,regle!$J$23,0)))))))))))</f>
        <v>0</v>
      </c>
      <c r="AJ211" s="14">
        <f>IF($A211,$M211*(IF(Z211=regle!$B$11,regle!$B$23,IF(Z211=regle!$C$11,regle!$C$23,IF(Z211=regle!$D$11,regle!$D$23,IF(Z211=regle!$E$11,regle!$E$23,IF(Z211=regle!$F$11,regle!$F$23,IF(Z211=regle!$G$11,regle!$G$23,IF(Z211=regle!$H$11,regle!$H$23,IF(Z211=regle!$I$11,regle!$I$23,IF(Z211=regle!$J$11,regle!$J$23,0)))))))))))</f>
        <v>-674.9</v>
      </c>
      <c r="AK211" s="14">
        <f>IF($A211,$M211*(IF(AA211=regle!$B$11,regle!$B$23,IF(AA211=regle!$C$11,regle!$C$23,IF(AA211=regle!$D$11,regle!$D$23,IF(AA211=regle!$E$11,regle!$E$23,IF(AA211=regle!$F$11,regle!$F$23,IF(AA211=regle!$G$11,regle!$G$23,IF(AA211=regle!$H$11,regle!$H$23,IF(AA211=regle!$I$11,regle!$I$23,IF(AA211=regle!$J$11,regle!$J$23,0)))))))))))</f>
        <v>0</v>
      </c>
      <c r="AL211" s="14">
        <f>IF($A211,$M211*(IF(AB211=regle!$B$11,regle!$B$23,IF(AB211=regle!$C$11,regle!$C$23,IF(AB211=regle!$D$11,regle!$D$23,IF(AB211=regle!$E$11,regle!$E$23,IF(AB211=regle!$F$11,regle!$F$23,IF(AB211=regle!$G$11,regle!$G$23,IF(AB211=regle!$H$11,regle!$H$23,IF(AB211=regle!$I$11,regle!$I$23,IF(AB211=regle!$J$11,regle!$J$23,0)))))))))))</f>
        <v>-29.775000000000002</v>
      </c>
      <c r="AM211" s="14">
        <f>IF($A211,$M211*(IF(AC211=regle!$B$11,regle!$B$23,IF(AC211=regle!$C$11,regle!$C$23,IF(AC211=regle!$D$11,regle!$D$23,IF(AC211=regle!$E$11,regle!$E$23,IF(AC211=regle!$F$11,regle!$F$23,IF(AC211=regle!$G$11,regle!$G$23,IF(AC211=regle!$H$11,regle!$H$23,IF(AC211=regle!$I$11,regle!$I$23,IF(AC211=regle!$J$11,regle!$J$23,0)))))))))))</f>
        <v>0</v>
      </c>
      <c r="AN211" s="14">
        <f>IF($A211,$M211*(IF(AD211=regle!$B$11,regle!$B$23,IF(AD211=regle!$C$11,regle!$C$23,IF(AD211=regle!$D$11,regle!$D$23,IF(AD211=regle!$E$11,regle!$E$23,IF(AD211=regle!$F$11,regle!$F$23,IF(AD211=regle!$G$11,regle!$G$23,IF(AD211=regle!$H$11,regle!$H$23,IF(AD211=regle!$I$11,regle!$I$23,IF(AD211=regle!$J$11,regle!$J$23,0)))))))))))</f>
        <v>0</v>
      </c>
      <c r="AO211">
        <f>IF(AO$1=$AO$1,IF(regle!B$2-$Q211&gt;=regle!$J$12,-2,IF($S211,IF(regle!$B$2-$Q211&gt;=2,0,-1),regle!B$2-$Q211)),IF(AN211+1&gt;=regle!$J$12,-2,AN211+1))</f>
        <v>37</v>
      </c>
      <c r="AP211">
        <f>IF(AP$1=$AO$1,IF(regle!C$2-$Q211&gt;=regle!$J$12,-2,IF($S211,IF(regle!$B$2-$Q211&gt;=2,0,-1),regle!C$2-$Q211)),IF(AO211+1&gt;=regle!$J$12,-2,AO211+1))</f>
        <v>38</v>
      </c>
      <c r="AQ211">
        <f>IF(AQ$1=$AO$1,IF(regle!D$2-$Q211&gt;=regle!$J$12,-2,IF($S211,IF(regle!$B$2-$Q211&gt;=2,0,-1),regle!D$2-$Q211)),IF(AP211+1&gt;=regle!$J$12,-2,AP211+1))</f>
        <v>39</v>
      </c>
      <c r="AR211">
        <f>IF(AR$1=$AO$1,IF(regle!E$2-$Q211&gt;=regle!$J$12,-2,IF($S211,IF(regle!$B$2-$Q211&gt;=2,0,-1),regle!E$2-$Q211)),IF(AQ211+1&gt;=regle!$J$12,-2,AQ211+1))</f>
        <v>-2</v>
      </c>
      <c r="AS211">
        <f>IF(AS$1=$AO$1,IF(regle!F$2-$Q211&gt;=regle!$J$12,-2,IF($S211,IF(regle!$B$2-$Q211&gt;=2,0,-1),regle!F$2-$Q211)),IF(AR211+1&gt;=regle!$J$12,-2,AR211+1))</f>
        <v>-1</v>
      </c>
      <c r="AT211">
        <f>IF(AT$1=$AO$1,IF(regle!G$2-$Q211&gt;=regle!$J$12,-2,IF($S211,IF(regle!$B$2-$Q211&gt;=2,0,-1),regle!G$2-$Q211)),IF(AS211+1&gt;=regle!$J$12,-2,AS211+1))</f>
        <v>0</v>
      </c>
      <c r="AU211">
        <f>IF(AU$1=$AO$1,IF(regle!H$2-$Q211&gt;=regle!$J$12,-2,IF($S211,IF(regle!$B$2-$Q211&gt;=2,0,-1),regle!H$2-$Q211)),IF(AT211+1&gt;=regle!$J$12,-2,AT211+1))</f>
        <v>1</v>
      </c>
      <c r="AV211">
        <f>IF(AV$1=$AO$1,IF(regle!I$2-$Q211&gt;=regle!$J$12,-2,IF($S211,IF(regle!$B$2-$Q211&gt;=2,0,-1),regle!I$2-$Q211)),IF(AU211+1&gt;=regle!$J$12,-2,AU211+1))</f>
        <v>2</v>
      </c>
      <c r="AW211">
        <f>IF(AW$1=$AO$1,IF(regle!J$2-$Q211&gt;=regle!$J$12,-2,IF($S211,IF(regle!$B$2-$Q211&gt;=2,0,-1),regle!J$2-$Q211)),IF(AV211+1&gt;=regle!$J$12,-2,AV211+1))</f>
        <v>3</v>
      </c>
      <c r="AX211">
        <f>IF(AX$1=$AO$1,IF(regle!K$2-$Q211&gt;=regle!$J$12,-2,IF($S211,IF(regle!$B$2-$Q211&gt;=2,0,-1),regle!K$2-$Q211)),IF(AW211+1&gt;=regle!$J$12,-2,AW211+1))</f>
        <v>4</v>
      </c>
    </row>
    <row r="212" spans="1:50" x14ac:dyDescent="0.25">
      <c r="A212" t="b">
        <f>AND(modif0[[#This Row],[cdstr]]&lt;&gt;0,OR(regle!$H$27=FALSE,modif0[[#This Row],[essnc]]="PM"))</f>
        <v>1</v>
      </c>
      <c r="B212">
        <f>ROW(objet!A253)</f>
        <v>253</v>
      </c>
      <c r="C212" s="10" t="str">
        <f>objet!D253</f>
        <v>2020000B1247</v>
      </c>
      <c r="D212" t="str">
        <f>LEFT(modif0[[#This Row],[cdstr]],3)</f>
        <v>202</v>
      </c>
      <c r="E212" s="10" t="str">
        <f>objet!G253</f>
        <v>HOSTENS</v>
      </c>
      <c r="F212">
        <f>LEN(modif0[[#This Row],[l_dt]])</f>
        <v>13</v>
      </c>
      <c r="G212" s="10" t="str">
        <f>objet!H253</f>
        <v>LA BROUSTETTE</v>
      </c>
      <c r="H212" s="10" t="str">
        <f>objet!C253</f>
        <v>B1247</v>
      </c>
      <c r="I212" t="str">
        <f>IF(ISNUMBER(VALUE(RIGHT(LEFT(modif0[[#This Row],[idntfn]],2),1))),_xlfn.CONCAT(0,LEFT(modif0[[#This Row],[idntfn]],1)),LEFT(modif0[[#This Row],[idntfn]],2))</f>
        <v>0B</v>
      </c>
      <c r="J212">
        <f>VALUE(LEFT(RIGHT(modif0[[#This Row],[idntfn]],LEN(modif0[[#This Row],[idntfn]])-IF(LEFT(modif0[[#This Row],[sctn]],1)="0",1,2)),LEN(modif0[[#This Row],[idntfn]])-IF(LEFT(modif0[[#This Row],[sctn]],1)="0",1,2)-LEN(modif0[[#This Row],[lttr]])))</f>
        <v>1247</v>
      </c>
      <c r="K212" t="str">
        <f>IF(ISNUMBER(VALUE(RIGHT(modif0[[#This Row],[idntfn]],1))),"",IF(ISNUMBER(VALUE(LEFT(RIGHT(modif0[[#This Row],[idntfn]],2),1))),RIGHT(modif0[[#This Row],[idntfn]],1),RIGHT(modif0[[#This Row],[idntfn]],2)))</f>
        <v/>
      </c>
      <c r="L212" s="10">
        <f>objet!I253</f>
        <v>20000</v>
      </c>
      <c r="M212" s="11">
        <f>modif0[[#This Row],[srfc]]/10000</f>
        <v>2</v>
      </c>
      <c r="N212" s="10" t="str">
        <f>objet!Z253</f>
        <v>PM</v>
      </c>
      <c r="O212" s="10" t="str">
        <f>objet!AA253</f>
        <v>SL1987</v>
      </c>
      <c r="P212" t="str">
        <f>IF(ISNUMBER(modif0[[#This Row],[trvx]]),"",LEFT(modif0[[#This Row],[trvx]],LEN(modif0[[#This Row],[trvx]])-4))</f>
        <v>SL</v>
      </c>
      <c r="Q212">
        <f>VALUE(RIGHT(modif0[[#This Row],[trvx]],4))</f>
        <v>1987</v>
      </c>
      <c r="R212" t="str">
        <f>_xlfn.CONCAT(modif0[[#This Row],[tp]],"-",modif0[[#This Row],[essnc]],"_",modif0[[#This Row],[anns]])</f>
        <v>SL-PM_1987</v>
      </c>
      <c r="S212" t="b">
        <f>modif0[[#This Row],[tp]]="CR"</f>
        <v>0</v>
      </c>
      <c r="T212">
        <v>40</v>
      </c>
      <c r="U212" t="str">
        <f>IF(NOT($A212),"",
IF(AO212=-2,regle!$J$11,
IF(AO212=regle!$B$12,regle!$B$11,
IF(AO212=regle!$C$12,regle!$C$11,
IF(AO212=regle!$D$12,regle!$D$11,
IF(AO212=regle!$E$12,regle!$E$11,
IF(AO212=regle!$F$12,regle!$F$11,
IF(AO212=regle!$G$12,regle!$G$11,
IF(AO212=regle!$H$12,regle!$H$11,
IF(AO212=regle!$I$12,regle!$I$11,""))))))))))</f>
        <v/>
      </c>
      <c r="V212" t="str">
        <f>IF(NOT($A212),"",
IF(AP212=-2,regle!$J$11,
IF(AP212=regle!$B$12,regle!$B$11,
IF(AP212=regle!$C$12,regle!$C$11,
IF(AP212=regle!$D$12,regle!$D$11,
IF(AP212=regle!$E$12,regle!$E$11,
IF(AP212=regle!$F$12,regle!$F$11,
IF(AP212=regle!$G$12,regle!$G$11,
IF(AP212=regle!$H$12,regle!$H$11,
IF(AP212=regle!$I$12,regle!$I$11,""))))))))))</f>
        <v/>
      </c>
      <c r="W212" t="str">
        <f>IF(NOT($A212),"",
IF(AQ212=-2,regle!$J$11,
IF(AQ212=regle!$B$12,regle!$B$11,
IF(AQ212=regle!$C$12,regle!$C$11,
IF(AQ212=regle!$D$12,regle!$D$11,
IF(AQ212=regle!$E$12,regle!$E$11,
IF(AQ212=regle!$F$12,regle!$F$11,
IF(AQ212=regle!$G$12,regle!$G$11,
IF(AQ212=regle!$H$12,regle!$H$11,
IF(AQ212=regle!$I$12,regle!$I$11,""))))))))))</f>
        <v/>
      </c>
      <c r="X212" t="str">
        <f>IF(NOT($A212),"",
IF(AR212=-2,regle!$J$11,
IF(AR212=regle!$B$12,regle!$B$11,
IF(AR212=regle!$C$12,regle!$C$11,
IF(AR212=regle!$D$12,regle!$D$11,
IF(AR212=regle!$E$12,regle!$E$11,
IF(AR212=regle!$F$12,regle!$F$11,
IF(AR212=regle!$G$12,regle!$G$11,
IF(AR212=regle!$H$12,regle!$H$11,
IF(AR212=regle!$I$12,regle!$I$11,""))))))))))</f>
        <v>CR</v>
      </c>
      <c r="Y212" t="str">
        <f>IF(NOT($A212),"",
IF(AS212=-2,regle!$J$11,
IF(AS212=regle!$B$12,regle!$B$11,
IF(AS212=regle!$C$12,regle!$C$11,
IF(AS212=regle!$D$12,regle!$D$11,
IF(AS212=regle!$E$12,regle!$E$11,
IF(AS212=regle!$F$12,regle!$F$11,
IF(AS212=regle!$G$12,regle!$G$11,
IF(AS212=regle!$H$12,regle!$H$11,
IF(AS212=regle!$I$12,regle!$I$11,""))))))))))</f>
        <v/>
      </c>
      <c r="Z212" t="str">
        <f>IF(NOT($A212),"",
IF(AT212=-2,regle!$J$11,
IF(AT212=regle!$B$12,regle!$B$11,
IF(AT212=regle!$C$12,regle!$C$11,
IF(AT212=regle!$D$12,regle!$D$11,
IF(AT212=regle!$E$12,regle!$E$11,
IF(AT212=regle!$F$12,regle!$F$11,
IF(AT212=regle!$G$12,regle!$G$11,
IF(AT212=regle!$H$12,regle!$H$11,
IF(AT212=regle!$I$12,regle!$I$11,""))))))))))</f>
        <v>RBST</v>
      </c>
      <c r="AA212" t="str">
        <f>IF(NOT($A212),"",
IF(AU212=-2,regle!$J$11,
IF(AU212=regle!$B$12,regle!$B$11,
IF(AU212=regle!$C$12,regle!$C$11,
IF(AU212=regle!$D$12,regle!$D$11,
IF(AU212=regle!$E$12,regle!$E$11,
IF(AU212=regle!$F$12,regle!$F$11,
IF(AU212=regle!$G$12,regle!$G$11,
IF(AU212=regle!$H$12,regle!$H$11,
IF(AU212=regle!$I$12,regle!$I$11,""))))))))))</f>
        <v/>
      </c>
      <c r="AB212" t="str">
        <f>IF(NOT($A212),"",
IF(AV212=-2,regle!$J$11,
IF(AV212=regle!$B$12,regle!$B$11,
IF(AV212=regle!$C$12,regle!$C$11,
IF(AV212=regle!$D$12,regle!$D$11,
IF(AV212=regle!$E$12,regle!$E$11,
IF(AV212=regle!$F$12,regle!$F$11,
IF(AV212=regle!$G$12,regle!$G$11,
IF(AV212=regle!$H$12,regle!$H$11,
IF(AV212=regle!$I$12,regle!$I$11,""))))))))))</f>
        <v>DGT</v>
      </c>
      <c r="AC212" t="str">
        <f>IF(NOT($A212),"",
IF(AW212=-2,regle!$J$11,
IF(AW212=regle!$B$12,regle!$B$11,
IF(AW212=regle!$C$12,regle!$C$11,
IF(AW212=regle!$D$12,regle!$D$11,
IF(AW212=regle!$E$12,regle!$E$11,
IF(AW212=regle!$F$12,regle!$F$11,
IF(AW212=regle!$G$12,regle!$G$11,
IF(AW212=regle!$H$12,regle!$H$11,
IF(AW212=regle!$I$12,regle!$I$11,""))))))))))</f>
        <v/>
      </c>
      <c r="AD212" t="str">
        <f>IF(NOT($A212),"",
IF(AX212=-2,regle!$J$11,
IF(AX212=regle!$B$12,regle!$B$11,
IF(AX212=regle!$C$12,regle!$C$11,
IF(AX212=regle!$D$12,regle!$D$11,
IF(AX212=regle!$E$12,regle!$E$11,
IF(AX212=regle!$F$12,regle!$F$11,
IF(AX212=regle!$G$12,regle!$G$11,
IF(AX212=regle!$H$12,regle!$H$11,
IF(AX212=regle!$I$12,regle!$I$11,""))))))))))</f>
        <v/>
      </c>
      <c r="AE212" s="14">
        <f>IF($A212,$M212*(IF(U212=regle!$B$11,regle!$B$23,IF(U212=regle!$C$11,regle!$C$23,IF(U212=regle!$D$11,regle!$D$23,IF(U212=regle!$E$11,regle!$E$23,IF(U212=regle!$F$11,regle!$F$23,IF(U212=regle!$G$11,regle!$G$23,IF(U212=regle!$H$11,regle!$H$23,IF(U212=regle!$I$11,regle!$I$23,IF(U212=regle!$J$11,regle!$J$23,0)))))))))))</f>
        <v>0</v>
      </c>
      <c r="AF212" s="14">
        <f>IF($A212,$M212*(IF(V212=regle!$B$11,regle!$B$23,IF(V212=regle!$C$11,regle!$C$23,IF(V212=regle!$D$11,regle!$D$23,IF(V212=regle!$E$11,regle!$E$23,IF(V212=regle!$F$11,regle!$F$23,IF(V212=regle!$G$11,regle!$G$23,IF(V212=regle!$H$11,regle!$H$23,IF(V212=regle!$I$11,regle!$I$23,IF(V212=regle!$J$11,regle!$J$23,0)))))))))))</f>
        <v>0</v>
      </c>
      <c r="AG212" s="14">
        <f>IF($A212,$M212*(IF(W212=regle!$B$11,regle!$B$23,IF(W212=regle!$C$11,regle!$C$23,IF(W212=regle!$D$11,regle!$D$23,IF(W212=regle!$E$11,regle!$E$23,IF(W212=regle!$F$11,regle!$F$23,IF(W212=regle!$G$11,regle!$G$23,IF(W212=regle!$H$11,regle!$H$23,IF(W212=regle!$I$11,regle!$I$23,IF(W212=regle!$J$11,regle!$J$23,0)))))))))))</f>
        <v>0</v>
      </c>
      <c r="AH212" s="14">
        <f>IF($A212,$M212*(IF(X212=regle!$B$11,regle!$B$23,IF(X212=regle!$C$11,regle!$C$23,IF(X212=regle!$D$11,regle!$D$23,IF(X212=regle!$E$11,regle!$E$23,IF(X212=regle!$F$11,regle!$F$23,IF(X212=regle!$G$11,regle!$G$23,IF(X212=regle!$H$11,regle!$H$23,IF(X212=regle!$I$11,regle!$I$23,IF(X212=regle!$J$11,regle!$J$23,0)))))))))))</f>
        <v>17600</v>
      </c>
      <c r="AI212" s="14">
        <f>IF($A212,$M212*(IF(Y212=regle!$B$11,regle!$B$23,IF(Y212=regle!$C$11,regle!$C$23,IF(Y212=regle!$D$11,regle!$D$23,IF(Y212=regle!$E$11,regle!$E$23,IF(Y212=regle!$F$11,regle!$F$23,IF(Y212=regle!$G$11,regle!$G$23,IF(Y212=regle!$H$11,regle!$H$23,IF(Y212=regle!$I$11,regle!$I$23,IF(Y212=regle!$J$11,regle!$J$23,0)))))))))))</f>
        <v>0</v>
      </c>
      <c r="AJ212" s="14">
        <f>IF($A212,$M212*(IF(Z212=regle!$B$11,regle!$B$23,IF(Z212=regle!$C$11,regle!$C$23,IF(Z212=regle!$D$11,regle!$D$23,IF(Z212=regle!$E$11,regle!$E$23,IF(Z212=regle!$F$11,regle!$F$23,IF(Z212=regle!$G$11,regle!$G$23,IF(Z212=regle!$H$11,regle!$H$23,IF(Z212=regle!$I$11,regle!$I$23,IF(Z212=regle!$J$11,regle!$J$23,0)))))))))))</f>
        <v>-3400</v>
      </c>
      <c r="AK212" s="14">
        <f>IF($A212,$M212*(IF(AA212=regle!$B$11,regle!$B$23,IF(AA212=regle!$C$11,regle!$C$23,IF(AA212=regle!$D$11,regle!$D$23,IF(AA212=regle!$E$11,regle!$E$23,IF(AA212=regle!$F$11,regle!$F$23,IF(AA212=regle!$G$11,regle!$G$23,IF(AA212=regle!$H$11,regle!$H$23,IF(AA212=regle!$I$11,regle!$I$23,IF(AA212=regle!$J$11,regle!$J$23,0)))))))))))</f>
        <v>0</v>
      </c>
      <c r="AL212" s="14">
        <f>IF($A212,$M212*(IF(AB212=regle!$B$11,regle!$B$23,IF(AB212=regle!$C$11,regle!$C$23,IF(AB212=regle!$D$11,regle!$D$23,IF(AB212=regle!$E$11,regle!$E$23,IF(AB212=regle!$F$11,regle!$F$23,IF(AB212=regle!$G$11,regle!$G$23,IF(AB212=regle!$H$11,regle!$H$23,IF(AB212=regle!$I$11,regle!$I$23,IF(AB212=regle!$J$11,regle!$J$23,0)))))))))))</f>
        <v>-150</v>
      </c>
      <c r="AM212" s="14">
        <f>IF($A212,$M212*(IF(AC212=regle!$B$11,regle!$B$23,IF(AC212=regle!$C$11,regle!$C$23,IF(AC212=regle!$D$11,regle!$D$23,IF(AC212=regle!$E$11,regle!$E$23,IF(AC212=regle!$F$11,regle!$F$23,IF(AC212=regle!$G$11,regle!$G$23,IF(AC212=regle!$H$11,regle!$H$23,IF(AC212=regle!$I$11,regle!$I$23,IF(AC212=regle!$J$11,regle!$J$23,0)))))))))))</f>
        <v>0</v>
      </c>
      <c r="AN212" s="14">
        <f>IF($A212,$M212*(IF(AD212=regle!$B$11,regle!$B$23,IF(AD212=regle!$C$11,regle!$C$23,IF(AD212=regle!$D$11,regle!$D$23,IF(AD212=regle!$E$11,regle!$E$23,IF(AD212=regle!$F$11,regle!$F$23,IF(AD212=regle!$G$11,regle!$G$23,IF(AD212=regle!$H$11,regle!$H$23,IF(AD212=regle!$I$11,regle!$I$23,IF(AD212=regle!$J$11,regle!$J$23,0)))))))))))</f>
        <v>0</v>
      </c>
      <c r="AO212">
        <f>IF(AO$1=$AO$1,IF(regle!B$2-$Q212&gt;=regle!$J$12,-2,IF($S212,IF(regle!$B$2-$Q212&gt;=2,0,-1),regle!B$2-$Q212)),IF(AN212+1&gt;=regle!$J$12,-2,AN212+1))</f>
        <v>37</v>
      </c>
      <c r="AP212">
        <f>IF(AP$1=$AO$1,IF(regle!C$2-$Q212&gt;=regle!$J$12,-2,IF($S212,IF(regle!$B$2-$Q212&gt;=2,0,-1),regle!C$2-$Q212)),IF(AO212+1&gt;=regle!$J$12,-2,AO212+1))</f>
        <v>38</v>
      </c>
      <c r="AQ212">
        <f>IF(AQ$1=$AO$1,IF(regle!D$2-$Q212&gt;=regle!$J$12,-2,IF($S212,IF(regle!$B$2-$Q212&gt;=2,0,-1),regle!D$2-$Q212)),IF(AP212+1&gt;=regle!$J$12,-2,AP212+1))</f>
        <v>39</v>
      </c>
      <c r="AR212">
        <f>IF(AR$1=$AO$1,IF(regle!E$2-$Q212&gt;=regle!$J$12,-2,IF($S212,IF(regle!$B$2-$Q212&gt;=2,0,-1),regle!E$2-$Q212)),IF(AQ212+1&gt;=regle!$J$12,-2,AQ212+1))</f>
        <v>-2</v>
      </c>
      <c r="AS212">
        <f>IF(AS$1=$AO$1,IF(regle!F$2-$Q212&gt;=regle!$J$12,-2,IF($S212,IF(regle!$B$2-$Q212&gt;=2,0,-1),regle!F$2-$Q212)),IF(AR212+1&gt;=regle!$J$12,-2,AR212+1))</f>
        <v>-1</v>
      </c>
      <c r="AT212">
        <f>IF(AT$1=$AO$1,IF(regle!G$2-$Q212&gt;=regle!$J$12,-2,IF($S212,IF(regle!$B$2-$Q212&gt;=2,0,-1),regle!G$2-$Q212)),IF(AS212+1&gt;=regle!$J$12,-2,AS212+1))</f>
        <v>0</v>
      </c>
      <c r="AU212">
        <f>IF(AU$1=$AO$1,IF(regle!H$2-$Q212&gt;=regle!$J$12,-2,IF($S212,IF(regle!$B$2-$Q212&gt;=2,0,-1),regle!H$2-$Q212)),IF(AT212+1&gt;=regle!$J$12,-2,AT212+1))</f>
        <v>1</v>
      </c>
      <c r="AV212">
        <f>IF(AV$1=$AO$1,IF(regle!I$2-$Q212&gt;=regle!$J$12,-2,IF($S212,IF(regle!$B$2-$Q212&gt;=2,0,-1),regle!I$2-$Q212)),IF(AU212+1&gt;=regle!$J$12,-2,AU212+1))</f>
        <v>2</v>
      </c>
      <c r="AW212">
        <f>IF(AW$1=$AO$1,IF(regle!J$2-$Q212&gt;=regle!$J$12,-2,IF($S212,IF(regle!$B$2-$Q212&gt;=2,0,-1),regle!J$2-$Q212)),IF(AV212+1&gt;=regle!$J$12,-2,AV212+1))</f>
        <v>3</v>
      </c>
      <c r="AX212">
        <f>IF(AX$1=$AO$1,IF(regle!K$2-$Q212&gt;=regle!$J$12,-2,IF($S212,IF(regle!$B$2-$Q212&gt;=2,0,-1),regle!K$2-$Q212)),IF(AW212+1&gt;=regle!$J$12,-2,AW212+1))</f>
        <v>4</v>
      </c>
    </row>
    <row r="213" spans="1:50" x14ac:dyDescent="0.25">
      <c r="A213" t="b">
        <f>AND(modif0[[#This Row],[cdstr]]&lt;&gt;0,OR(regle!$H$27=FALSE,modif0[[#This Row],[essnc]]="PM"))</f>
        <v>1</v>
      </c>
      <c r="B213">
        <f>ROW(objet!A254)</f>
        <v>254</v>
      </c>
      <c r="C213" s="10" t="str">
        <f>objet!D254</f>
        <v>2020000B1248</v>
      </c>
      <c r="D213" t="str">
        <f>LEFT(modif0[[#This Row],[cdstr]],3)</f>
        <v>202</v>
      </c>
      <c r="E213" s="10" t="str">
        <f>objet!G254</f>
        <v>HOSTENS</v>
      </c>
      <c r="F213">
        <f>LEN(modif0[[#This Row],[l_dt]])</f>
        <v>13</v>
      </c>
      <c r="G213" s="10" t="str">
        <f>objet!H254</f>
        <v>LA BROUSTETTE</v>
      </c>
      <c r="H213" s="10" t="str">
        <f>objet!C254</f>
        <v>B1248</v>
      </c>
      <c r="I213" t="str">
        <f>IF(ISNUMBER(VALUE(RIGHT(LEFT(modif0[[#This Row],[idntfn]],2),1))),_xlfn.CONCAT(0,LEFT(modif0[[#This Row],[idntfn]],1)),LEFT(modif0[[#This Row],[idntfn]],2))</f>
        <v>0B</v>
      </c>
      <c r="J213">
        <f>VALUE(LEFT(RIGHT(modif0[[#This Row],[idntfn]],LEN(modif0[[#This Row],[idntfn]])-IF(LEFT(modif0[[#This Row],[sctn]],1)="0",1,2)),LEN(modif0[[#This Row],[idntfn]])-IF(LEFT(modif0[[#This Row],[sctn]],1)="0",1,2)-LEN(modif0[[#This Row],[lttr]])))</f>
        <v>1248</v>
      </c>
      <c r="K213" t="str">
        <f>IF(ISNUMBER(VALUE(RIGHT(modif0[[#This Row],[idntfn]],1))),"",IF(ISNUMBER(VALUE(LEFT(RIGHT(modif0[[#This Row],[idntfn]],2),1))),RIGHT(modif0[[#This Row],[idntfn]],1),RIGHT(modif0[[#This Row],[idntfn]],2)))</f>
        <v/>
      </c>
      <c r="L213" s="10">
        <f>objet!I254</f>
        <v>2285</v>
      </c>
      <c r="M213" s="11">
        <f>modif0[[#This Row],[srfc]]/10000</f>
        <v>0.22850000000000001</v>
      </c>
      <c r="N213" s="10" t="str">
        <f>objet!Z254</f>
        <v>PM</v>
      </c>
      <c r="O213" s="10" t="str">
        <f>objet!AA254</f>
        <v>SL1987</v>
      </c>
      <c r="P213" t="str">
        <f>IF(ISNUMBER(modif0[[#This Row],[trvx]]),"",LEFT(modif0[[#This Row],[trvx]],LEN(modif0[[#This Row],[trvx]])-4))</f>
        <v>SL</v>
      </c>
      <c r="Q213">
        <f>VALUE(RIGHT(modif0[[#This Row],[trvx]],4))</f>
        <v>1987</v>
      </c>
      <c r="R213" t="str">
        <f>_xlfn.CONCAT(modif0[[#This Row],[tp]],"-",modif0[[#This Row],[essnc]],"_",modif0[[#This Row],[anns]])</f>
        <v>SL-PM_1987</v>
      </c>
      <c r="S213" t="b">
        <f>modif0[[#This Row],[tp]]="CR"</f>
        <v>0</v>
      </c>
      <c r="T213">
        <v>40</v>
      </c>
      <c r="U213" t="str">
        <f>IF(NOT($A213),"",
IF(AO213=-2,regle!$J$11,
IF(AO213=regle!$B$12,regle!$B$11,
IF(AO213=regle!$C$12,regle!$C$11,
IF(AO213=regle!$D$12,regle!$D$11,
IF(AO213=regle!$E$12,regle!$E$11,
IF(AO213=regle!$F$12,regle!$F$11,
IF(AO213=regle!$G$12,regle!$G$11,
IF(AO213=regle!$H$12,regle!$H$11,
IF(AO213=regle!$I$12,regle!$I$11,""))))))))))</f>
        <v/>
      </c>
      <c r="V213" t="str">
        <f>IF(NOT($A213),"",
IF(AP213=-2,regle!$J$11,
IF(AP213=regle!$B$12,regle!$B$11,
IF(AP213=regle!$C$12,regle!$C$11,
IF(AP213=regle!$D$12,regle!$D$11,
IF(AP213=regle!$E$12,regle!$E$11,
IF(AP213=regle!$F$12,regle!$F$11,
IF(AP213=regle!$G$12,regle!$G$11,
IF(AP213=regle!$H$12,regle!$H$11,
IF(AP213=regle!$I$12,regle!$I$11,""))))))))))</f>
        <v/>
      </c>
      <c r="W213" t="str">
        <f>IF(NOT($A213),"",
IF(AQ213=-2,regle!$J$11,
IF(AQ213=regle!$B$12,regle!$B$11,
IF(AQ213=regle!$C$12,regle!$C$11,
IF(AQ213=regle!$D$12,regle!$D$11,
IF(AQ213=regle!$E$12,regle!$E$11,
IF(AQ213=regle!$F$12,regle!$F$11,
IF(AQ213=regle!$G$12,regle!$G$11,
IF(AQ213=regle!$H$12,regle!$H$11,
IF(AQ213=regle!$I$12,regle!$I$11,""))))))))))</f>
        <v/>
      </c>
      <c r="X213" t="str">
        <f>IF(NOT($A213),"",
IF(AR213=-2,regle!$J$11,
IF(AR213=regle!$B$12,regle!$B$11,
IF(AR213=regle!$C$12,regle!$C$11,
IF(AR213=regle!$D$12,regle!$D$11,
IF(AR213=regle!$E$12,regle!$E$11,
IF(AR213=regle!$F$12,regle!$F$11,
IF(AR213=regle!$G$12,regle!$G$11,
IF(AR213=regle!$H$12,regle!$H$11,
IF(AR213=regle!$I$12,regle!$I$11,""))))))))))</f>
        <v>CR</v>
      </c>
      <c r="Y213" t="str">
        <f>IF(NOT($A213),"",
IF(AS213=-2,regle!$J$11,
IF(AS213=regle!$B$12,regle!$B$11,
IF(AS213=regle!$C$12,regle!$C$11,
IF(AS213=regle!$D$12,regle!$D$11,
IF(AS213=regle!$E$12,regle!$E$11,
IF(AS213=regle!$F$12,regle!$F$11,
IF(AS213=regle!$G$12,regle!$G$11,
IF(AS213=regle!$H$12,regle!$H$11,
IF(AS213=regle!$I$12,regle!$I$11,""))))))))))</f>
        <v/>
      </c>
      <c r="Z213" t="str">
        <f>IF(NOT($A213),"",
IF(AT213=-2,regle!$J$11,
IF(AT213=regle!$B$12,regle!$B$11,
IF(AT213=regle!$C$12,regle!$C$11,
IF(AT213=regle!$D$12,regle!$D$11,
IF(AT213=regle!$E$12,regle!$E$11,
IF(AT213=regle!$F$12,regle!$F$11,
IF(AT213=regle!$G$12,regle!$G$11,
IF(AT213=regle!$H$12,regle!$H$11,
IF(AT213=regle!$I$12,regle!$I$11,""))))))))))</f>
        <v>RBST</v>
      </c>
      <c r="AA213" t="str">
        <f>IF(NOT($A213),"",
IF(AU213=-2,regle!$J$11,
IF(AU213=regle!$B$12,regle!$B$11,
IF(AU213=regle!$C$12,regle!$C$11,
IF(AU213=regle!$D$12,regle!$D$11,
IF(AU213=regle!$E$12,regle!$E$11,
IF(AU213=regle!$F$12,regle!$F$11,
IF(AU213=regle!$G$12,regle!$G$11,
IF(AU213=regle!$H$12,regle!$H$11,
IF(AU213=regle!$I$12,regle!$I$11,""))))))))))</f>
        <v/>
      </c>
      <c r="AB213" t="str">
        <f>IF(NOT($A213),"",
IF(AV213=-2,regle!$J$11,
IF(AV213=regle!$B$12,regle!$B$11,
IF(AV213=regle!$C$12,regle!$C$11,
IF(AV213=regle!$D$12,regle!$D$11,
IF(AV213=regle!$E$12,regle!$E$11,
IF(AV213=regle!$F$12,regle!$F$11,
IF(AV213=regle!$G$12,regle!$G$11,
IF(AV213=regle!$H$12,regle!$H$11,
IF(AV213=regle!$I$12,regle!$I$11,""))))))))))</f>
        <v>DGT</v>
      </c>
      <c r="AC213" t="str">
        <f>IF(NOT($A213),"",
IF(AW213=-2,regle!$J$11,
IF(AW213=regle!$B$12,regle!$B$11,
IF(AW213=regle!$C$12,regle!$C$11,
IF(AW213=regle!$D$12,regle!$D$11,
IF(AW213=regle!$E$12,regle!$E$11,
IF(AW213=regle!$F$12,regle!$F$11,
IF(AW213=regle!$G$12,regle!$G$11,
IF(AW213=regle!$H$12,regle!$H$11,
IF(AW213=regle!$I$12,regle!$I$11,""))))))))))</f>
        <v/>
      </c>
      <c r="AD213" t="str">
        <f>IF(NOT($A213),"",
IF(AX213=-2,regle!$J$11,
IF(AX213=regle!$B$12,regle!$B$11,
IF(AX213=regle!$C$12,regle!$C$11,
IF(AX213=regle!$D$12,regle!$D$11,
IF(AX213=regle!$E$12,regle!$E$11,
IF(AX213=regle!$F$12,regle!$F$11,
IF(AX213=regle!$G$12,regle!$G$11,
IF(AX213=regle!$H$12,regle!$H$11,
IF(AX213=regle!$I$12,regle!$I$11,""))))))))))</f>
        <v/>
      </c>
      <c r="AE213" s="14">
        <f>IF($A213,$M213*(IF(U213=regle!$B$11,regle!$B$23,IF(U213=regle!$C$11,regle!$C$23,IF(U213=regle!$D$11,regle!$D$23,IF(U213=regle!$E$11,regle!$E$23,IF(U213=regle!$F$11,regle!$F$23,IF(U213=regle!$G$11,regle!$G$23,IF(U213=regle!$H$11,regle!$H$23,IF(U213=regle!$I$11,regle!$I$23,IF(U213=regle!$J$11,regle!$J$23,0)))))))))))</f>
        <v>0</v>
      </c>
      <c r="AF213" s="14">
        <f>IF($A213,$M213*(IF(V213=regle!$B$11,regle!$B$23,IF(V213=regle!$C$11,regle!$C$23,IF(V213=regle!$D$11,regle!$D$23,IF(V213=regle!$E$11,regle!$E$23,IF(V213=regle!$F$11,regle!$F$23,IF(V213=regle!$G$11,regle!$G$23,IF(V213=regle!$H$11,regle!$H$23,IF(V213=regle!$I$11,regle!$I$23,IF(V213=regle!$J$11,regle!$J$23,0)))))))))))</f>
        <v>0</v>
      </c>
      <c r="AG213" s="14">
        <f>IF($A213,$M213*(IF(W213=regle!$B$11,regle!$B$23,IF(W213=regle!$C$11,regle!$C$23,IF(W213=regle!$D$11,regle!$D$23,IF(W213=regle!$E$11,regle!$E$23,IF(W213=regle!$F$11,regle!$F$23,IF(W213=regle!$G$11,regle!$G$23,IF(W213=regle!$H$11,regle!$H$23,IF(W213=regle!$I$11,regle!$I$23,IF(W213=regle!$J$11,regle!$J$23,0)))))))))))</f>
        <v>0</v>
      </c>
      <c r="AH213" s="14">
        <f>IF($A213,$M213*(IF(X213=regle!$B$11,regle!$B$23,IF(X213=regle!$C$11,regle!$C$23,IF(X213=regle!$D$11,regle!$D$23,IF(X213=regle!$E$11,regle!$E$23,IF(X213=regle!$F$11,regle!$F$23,IF(X213=regle!$G$11,regle!$G$23,IF(X213=regle!$H$11,regle!$H$23,IF(X213=regle!$I$11,regle!$I$23,IF(X213=regle!$J$11,regle!$J$23,0)))))))))))</f>
        <v>2010.8000000000002</v>
      </c>
      <c r="AI213" s="14">
        <f>IF($A213,$M213*(IF(Y213=regle!$B$11,regle!$B$23,IF(Y213=regle!$C$11,regle!$C$23,IF(Y213=regle!$D$11,regle!$D$23,IF(Y213=regle!$E$11,regle!$E$23,IF(Y213=regle!$F$11,regle!$F$23,IF(Y213=regle!$G$11,regle!$G$23,IF(Y213=regle!$H$11,regle!$H$23,IF(Y213=regle!$I$11,regle!$I$23,IF(Y213=regle!$J$11,regle!$J$23,0)))))))))))</f>
        <v>0</v>
      </c>
      <c r="AJ213" s="14">
        <f>IF($A213,$M213*(IF(Z213=regle!$B$11,regle!$B$23,IF(Z213=regle!$C$11,regle!$C$23,IF(Z213=regle!$D$11,regle!$D$23,IF(Z213=regle!$E$11,regle!$E$23,IF(Z213=regle!$F$11,regle!$F$23,IF(Z213=regle!$G$11,regle!$G$23,IF(Z213=regle!$H$11,regle!$H$23,IF(Z213=regle!$I$11,regle!$I$23,IF(Z213=regle!$J$11,regle!$J$23,0)))))))))))</f>
        <v>-388.45</v>
      </c>
      <c r="AK213" s="14">
        <f>IF($A213,$M213*(IF(AA213=regle!$B$11,regle!$B$23,IF(AA213=regle!$C$11,regle!$C$23,IF(AA213=regle!$D$11,regle!$D$23,IF(AA213=regle!$E$11,regle!$E$23,IF(AA213=regle!$F$11,regle!$F$23,IF(AA213=regle!$G$11,regle!$G$23,IF(AA213=regle!$H$11,regle!$H$23,IF(AA213=regle!$I$11,regle!$I$23,IF(AA213=regle!$J$11,regle!$J$23,0)))))))))))</f>
        <v>0</v>
      </c>
      <c r="AL213" s="14">
        <f>IF($A213,$M213*(IF(AB213=regle!$B$11,regle!$B$23,IF(AB213=regle!$C$11,regle!$C$23,IF(AB213=regle!$D$11,regle!$D$23,IF(AB213=regle!$E$11,regle!$E$23,IF(AB213=regle!$F$11,regle!$F$23,IF(AB213=regle!$G$11,regle!$G$23,IF(AB213=regle!$H$11,regle!$H$23,IF(AB213=regle!$I$11,regle!$I$23,IF(AB213=regle!$J$11,regle!$J$23,0)))))))))))</f>
        <v>-17.137499999999999</v>
      </c>
      <c r="AM213" s="14">
        <f>IF($A213,$M213*(IF(AC213=regle!$B$11,regle!$B$23,IF(AC213=regle!$C$11,regle!$C$23,IF(AC213=regle!$D$11,regle!$D$23,IF(AC213=regle!$E$11,regle!$E$23,IF(AC213=regle!$F$11,regle!$F$23,IF(AC213=regle!$G$11,regle!$G$23,IF(AC213=regle!$H$11,regle!$H$23,IF(AC213=regle!$I$11,regle!$I$23,IF(AC213=regle!$J$11,regle!$J$23,0)))))))))))</f>
        <v>0</v>
      </c>
      <c r="AN213" s="14">
        <f>IF($A213,$M213*(IF(AD213=regle!$B$11,regle!$B$23,IF(AD213=regle!$C$11,regle!$C$23,IF(AD213=regle!$D$11,regle!$D$23,IF(AD213=regle!$E$11,regle!$E$23,IF(AD213=regle!$F$11,regle!$F$23,IF(AD213=regle!$G$11,regle!$G$23,IF(AD213=regle!$H$11,regle!$H$23,IF(AD213=regle!$I$11,regle!$I$23,IF(AD213=regle!$J$11,regle!$J$23,0)))))))))))</f>
        <v>0</v>
      </c>
      <c r="AO213">
        <f>IF(AO$1=$AO$1,IF(regle!B$2-$Q213&gt;=regle!$J$12,-2,IF($S213,IF(regle!$B$2-$Q213&gt;=2,0,-1),regle!B$2-$Q213)),IF(AN213+1&gt;=regle!$J$12,-2,AN213+1))</f>
        <v>37</v>
      </c>
      <c r="AP213">
        <f>IF(AP$1=$AO$1,IF(regle!C$2-$Q213&gt;=regle!$J$12,-2,IF($S213,IF(regle!$B$2-$Q213&gt;=2,0,-1),regle!C$2-$Q213)),IF(AO213+1&gt;=regle!$J$12,-2,AO213+1))</f>
        <v>38</v>
      </c>
      <c r="AQ213">
        <f>IF(AQ$1=$AO$1,IF(regle!D$2-$Q213&gt;=regle!$J$12,-2,IF($S213,IF(regle!$B$2-$Q213&gt;=2,0,-1),regle!D$2-$Q213)),IF(AP213+1&gt;=regle!$J$12,-2,AP213+1))</f>
        <v>39</v>
      </c>
      <c r="AR213">
        <f>IF(AR$1=$AO$1,IF(regle!E$2-$Q213&gt;=regle!$J$12,-2,IF($S213,IF(regle!$B$2-$Q213&gt;=2,0,-1),regle!E$2-$Q213)),IF(AQ213+1&gt;=regle!$J$12,-2,AQ213+1))</f>
        <v>-2</v>
      </c>
      <c r="AS213">
        <f>IF(AS$1=$AO$1,IF(regle!F$2-$Q213&gt;=regle!$J$12,-2,IF($S213,IF(regle!$B$2-$Q213&gt;=2,0,-1),regle!F$2-$Q213)),IF(AR213+1&gt;=regle!$J$12,-2,AR213+1))</f>
        <v>-1</v>
      </c>
      <c r="AT213">
        <f>IF(AT$1=$AO$1,IF(regle!G$2-$Q213&gt;=regle!$J$12,-2,IF($S213,IF(regle!$B$2-$Q213&gt;=2,0,-1),regle!G$2-$Q213)),IF(AS213+1&gt;=regle!$J$12,-2,AS213+1))</f>
        <v>0</v>
      </c>
      <c r="AU213">
        <f>IF(AU$1=$AO$1,IF(regle!H$2-$Q213&gt;=regle!$J$12,-2,IF($S213,IF(regle!$B$2-$Q213&gt;=2,0,-1),regle!H$2-$Q213)),IF(AT213+1&gt;=regle!$J$12,-2,AT213+1))</f>
        <v>1</v>
      </c>
      <c r="AV213">
        <f>IF(AV$1=$AO$1,IF(regle!I$2-$Q213&gt;=regle!$J$12,-2,IF($S213,IF(regle!$B$2-$Q213&gt;=2,0,-1),regle!I$2-$Q213)),IF(AU213+1&gt;=regle!$J$12,-2,AU213+1))</f>
        <v>2</v>
      </c>
      <c r="AW213">
        <f>IF(AW$1=$AO$1,IF(regle!J$2-$Q213&gt;=regle!$J$12,-2,IF($S213,IF(regle!$B$2-$Q213&gt;=2,0,-1),regle!J$2-$Q213)),IF(AV213+1&gt;=regle!$J$12,-2,AV213+1))</f>
        <v>3</v>
      </c>
      <c r="AX213">
        <f>IF(AX$1=$AO$1,IF(regle!K$2-$Q213&gt;=regle!$J$12,-2,IF($S213,IF(regle!$B$2-$Q213&gt;=2,0,-1),regle!K$2-$Q213)),IF(AW213+1&gt;=regle!$J$12,-2,AW213+1))</f>
        <v>4</v>
      </c>
    </row>
    <row r="214" spans="1:50" x14ac:dyDescent="0.25">
      <c r="A214" t="b">
        <f>AND(modif0[[#This Row],[cdstr]]&lt;&gt;0,OR(regle!$H$27=FALSE,modif0[[#This Row],[essnc]]="PM"))</f>
        <v>1</v>
      </c>
      <c r="B214">
        <f>ROW(objet!A255)</f>
        <v>255</v>
      </c>
      <c r="C214" s="10" t="str">
        <f>objet!D255</f>
        <v>2020000B1249</v>
      </c>
      <c r="D214" t="str">
        <f>LEFT(modif0[[#This Row],[cdstr]],3)</f>
        <v>202</v>
      </c>
      <c r="E214" s="10" t="str">
        <f>objet!G255</f>
        <v>HOSTENS</v>
      </c>
      <c r="F214">
        <f>LEN(modif0[[#This Row],[l_dt]])</f>
        <v>13</v>
      </c>
      <c r="G214" s="10" t="str">
        <f>objet!H255</f>
        <v>LA BROUSTETTE</v>
      </c>
      <c r="H214" s="10" t="str">
        <f>objet!C255</f>
        <v>B1249j</v>
      </c>
      <c r="I214" t="str">
        <f>IF(ISNUMBER(VALUE(RIGHT(LEFT(modif0[[#This Row],[idntfn]],2),1))),_xlfn.CONCAT(0,LEFT(modif0[[#This Row],[idntfn]],1)),LEFT(modif0[[#This Row],[idntfn]],2))</f>
        <v>0B</v>
      </c>
      <c r="J214">
        <f>VALUE(LEFT(RIGHT(modif0[[#This Row],[idntfn]],LEN(modif0[[#This Row],[idntfn]])-IF(LEFT(modif0[[#This Row],[sctn]],1)="0",1,2)),LEN(modif0[[#This Row],[idntfn]])-IF(LEFT(modif0[[#This Row],[sctn]],1)="0",1,2)-LEN(modif0[[#This Row],[lttr]])))</f>
        <v>1249</v>
      </c>
      <c r="K214" t="str">
        <f>IF(ISNUMBER(VALUE(RIGHT(modif0[[#This Row],[idntfn]],1))),"",IF(ISNUMBER(VALUE(LEFT(RIGHT(modif0[[#This Row],[idntfn]],2),1))),RIGHT(modif0[[#This Row],[idntfn]],1),RIGHT(modif0[[#This Row],[idntfn]],2)))</f>
        <v>j</v>
      </c>
      <c r="L214" s="10">
        <f>objet!I255</f>
        <v>52429</v>
      </c>
      <c r="M214" s="11">
        <f>modif0[[#This Row],[srfc]]/10000</f>
        <v>5.2428999999999997</v>
      </c>
      <c r="N214" s="10" t="str">
        <f>objet!Z255</f>
        <v>PM</v>
      </c>
      <c r="O214" s="10" t="str">
        <f>objet!AA255</f>
        <v>PLA2008</v>
      </c>
      <c r="P214" t="str">
        <f>IF(ISNUMBER(modif0[[#This Row],[trvx]]),"",LEFT(modif0[[#This Row],[trvx]],LEN(modif0[[#This Row],[trvx]])-4))</f>
        <v>PLA</v>
      </c>
      <c r="Q214">
        <f>VALUE(RIGHT(modif0[[#This Row],[trvx]],4))</f>
        <v>2008</v>
      </c>
      <c r="R214" t="str">
        <f>_xlfn.CONCAT(modif0[[#This Row],[tp]],"-",modif0[[#This Row],[essnc]],"_",modif0[[#This Row],[anns]])</f>
        <v>PLA-PM_2008</v>
      </c>
      <c r="S214" t="b">
        <f>modif0[[#This Row],[tp]]="CR"</f>
        <v>0</v>
      </c>
      <c r="T214">
        <v>40</v>
      </c>
      <c r="U214" t="str">
        <f>IF(NOT($A214),"",
IF(AO214=-2,regle!$J$11,
IF(AO214=regle!$B$12,regle!$B$11,
IF(AO214=regle!$C$12,regle!$C$11,
IF(AO214=regle!$D$12,regle!$D$11,
IF(AO214=regle!$E$12,regle!$E$11,
IF(AO214=regle!$F$12,regle!$F$11,
IF(AO214=regle!$G$12,regle!$G$11,
IF(AO214=regle!$H$12,regle!$H$11,
IF(AO214=regle!$I$12,regle!$I$11,""))))))))))</f>
        <v/>
      </c>
      <c r="V214" t="str">
        <f>IF(NOT($A214),"",
IF(AP214=-2,regle!$J$11,
IF(AP214=regle!$B$12,regle!$B$11,
IF(AP214=regle!$C$12,regle!$C$11,
IF(AP214=regle!$D$12,regle!$D$11,
IF(AP214=regle!$E$12,regle!$E$11,
IF(AP214=regle!$F$12,regle!$F$11,
IF(AP214=regle!$G$12,regle!$G$11,
IF(AP214=regle!$H$12,regle!$H$11,
IF(AP214=regle!$I$12,regle!$I$11,""))))))))))</f>
        <v/>
      </c>
      <c r="W214" t="str">
        <f>IF(NOT($A214),"",
IF(AQ214=-2,regle!$J$11,
IF(AQ214=regle!$B$12,regle!$B$11,
IF(AQ214=regle!$C$12,regle!$C$11,
IF(AQ214=regle!$D$12,regle!$D$11,
IF(AQ214=regle!$E$12,regle!$E$11,
IF(AQ214=regle!$F$12,regle!$F$11,
IF(AQ214=regle!$G$12,regle!$G$11,
IF(AQ214=regle!$H$12,regle!$H$11,
IF(AQ214=regle!$I$12,regle!$I$11,""))))))))))</f>
        <v>EC2</v>
      </c>
      <c r="X214" t="str">
        <f>IF(NOT($A214),"",
IF(AR214=-2,regle!$J$11,
IF(AR214=regle!$B$12,regle!$B$11,
IF(AR214=regle!$C$12,regle!$C$11,
IF(AR214=regle!$D$12,regle!$D$11,
IF(AR214=regle!$E$12,regle!$E$11,
IF(AR214=regle!$F$12,regle!$F$11,
IF(AR214=regle!$G$12,regle!$G$11,
IF(AR214=regle!$H$12,regle!$H$11,
IF(AR214=regle!$I$12,regle!$I$11,""))))))))))</f>
        <v/>
      </c>
      <c r="Y214" t="str">
        <f>IF(NOT($A214),"",
IF(AS214=-2,regle!$J$11,
IF(AS214=regle!$B$12,regle!$B$11,
IF(AS214=regle!$C$12,regle!$C$11,
IF(AS214=regle!$D$12,regle!$D$11,
IF(AS214=regle!$E$12,regle!$E$11,
IF(AS214=regle!$F$12,regle!$F$11,
IF(AS214=regle!$G$12,regle!$G$11,
IF(AS214=regle!$H$12,regle!$H$11,
IF(AS214=regle!$I$12,regle!$I$11,""))))))))))</f>
        <v/>
      </c>
      <c r="Z214" t="str">
        <f>IF(NOT($A214),"",
IF(AT214=-2,regle!$J$11,
IF(AT214=regle!$B$12,regle!$B$11,
IF(AT214=regle!$C$12,regle!$C$11,
IF(AT214=regle!$D$12,regle!$D$11,
IF(AT214=regle!$E$12,regle!$E$11,
IF(AT214=regle!$F$12,regle!$F$11,
IF(AT214=regle!$G$12,regle!$G$11,
IF(AT214=regle!$H$12,regle!$H$11,
IF(AT214=regle!$I$12,regle!$I$11,""))))))))))</f>
        <v/>
      </c>
      <c r="AA214" t="str">
        <f>IF(NOT($A214),"",
IF(AU214=-2,regle!$J$11,
IF(AU214=regle!$B$12,regle!$B$11,
IF(AU214=regle!$C$12,regle!$C$11,
IF(AU214=regle!$D$12,regle!$D$11,
IF(AU214=regle!$E$12,regle!$E$11,
IF(AU214=regle!$F$12,regle!$F$11,
IF(AU214=regle!$G$12,regle!$G$11,
IF(AU214=regle!$H$12,regle!$H$11,
IF(AU214=regle!$I$12,regle!$I$11,""))))))))))</f>
        <v/>
      </c>
      <c r="AB214" t="str">
        <f>IF(NOT($A214),"",
IF(AV214=-2,regle!$J$11,
IF(AV214=regle!$B$12,regle!$B$11,
IF(AV214=regle!$C$12,regle!$C$11,
IF(AV214=regle!$D$12,regle!$D$11,
IF(AV214=regle!$E$12,regle!$E$11,
IF(AV214=regle!$F$12,regle!$F$11,
IF(AV214=regle!$G$12,regle!$G$11,
IF(AV214=regle!$H$12,regle!$H$11,
IF(AV214=regle!$I$12,regle!$I$11,""))))))))))</f>
        <v>EC3</v>
      </c>
      <c r="AC214" t="str">
        <f>IF(NOT($A214),"",
IF(AW214=-2,regle!$J$11,
IF(AW214=regle!$B$12,regle!$B$11,
IF(AW214=regle!$C$12,regle!$C$11,
IF(AW214=regle!$D$12,regle!$D$11,
IF(AW214=regle!$E$12,regle!$E$11,
IF(AW214=regle!$F$12,regle!$F$11,
IF(AW214=regle!$G$12,regle!$G$11,
IF(AW214=regle!$H$12,regle!$H$11,
IF(AW214=regle!$I$12,regle!$I$11,""))))))))))</f>
        <v/>
      </c>
      <c r="AD214" t="str">
        <f>IF(NOT($A214),"",
IF(AX214=-2,regle!$J$11,
IF(AX214=regle!$B$12,regle!$B$11,
IF(AX214=regle!$C$12,regle!$C$11,
IF(AX214=regle!$D$12,regle!$D$11,
IF(AX214=regle!$E$12,regle!$E$11,
IF(AX214=regle!$F$12,regle!$F$11,
IF(AX214=regle!$G$12,regle!$G$11,
IF(AX214=regle!$H$12,regle!$H$11,
IF(AX214=regle!$I$12,regle!$I$11,""))))))))))</f>
        <v/>
      </c>
      <c r="AE214" s="14">
        <f>IF($A214,$M214*(IF(U214=regle!$B$11,regle!$B$23,IF(U214=regle!$C$11,regle!$C$23,IF(U214=regle!$D$11,regle!$D$23,IF(U214=regle!$E$11,regle!$E$23,IF(U214=regle!$F$11,regle!$F$23,IF(U214=regle!$G$11,regle!$G$23,IF(U214=regle!$H$11,regle!$H$23,IF(U214=regle!$I$11,regle!$I$23,IF(U214=regle!$J$11,regle!$J$23,0)))))))))))</f>
        <v>0</v>
      </c>
      <c r="AF214" s="14">
        <f>IF($A214,$M214*(IF(V214=regle!$B$11,regle!$B$23,IF(V214=regle!$C$11,regle!$C$23,IF(V214=regle!$D$11,regle!$D$23,IF(V214=regle!$E$11,regle!$E$23,IF(V214=regle!$F$11,regle!$F$23,IF(V214=regle!$G$11,regle!$G$23,IF(V214=regle!$H$11,regle!$H$23,IF(V214=regle!$I$11,regle!$I$23,IF(V214=regle!$J$11,regle!$J$23,0)))))))))))</f>
        <v>0</v>
      </c>
      <c r="AG214" s="14">
        <f>IF($A214,$M214*(IF(W214=regle!$B$11,regle!$B$23,IF(W214=regle!$C$11,regle!$C$23,IF(W214=regle!$D$11,regle!$D$23,IF(W214=regle!$E$11,regle!$E$23,IF(W214=regle!$F$11,regle!$F$23,IF(W214=regle!$G$11,regle!$G$23,IF(W214=regle!$H$11,regle!$H$23,IF(W214=regle!$I$11,regle!$I$23,IF(W214=regle!$J$11,regle!$J$23,0)))))))))))</f>
        <v>4404.0360000000001</v>
      </c>
      <c r="AH214" s="14">
        <f>IF($A214,$M214*(IF(X214=regle!$B$11,regle!$B$23,IF(X214=regle!$C$11,regle!$C$23,IF(X214=regle!$D$11,regle!$D$23,IF(X214=regle!$E$11,regle!$E$23,IF(X214=regle!$F$11,regle!$F$23,IF(X214=regle!$G$11,regle!$G$23,IF(X214=regle!$H$11,regle!$H$23,IF(X214=regle!$I$11,regle!$I$23,IF(X214=regle!$J$11,regle!$J$23,0)))))))))))</f>
        <v>0</v>
      </c>
      <c r="AI214" s="14">
        <f>IF($A214,$M214*(IF(Y214=regle!$B$11,regle!$B$23,IF(Y214=regle!$C$11,regle!$C$23,IF(Y214=regle!$D$11,regle!$D$23,IF(Y214=regle!$E$11,regle!$E$23,IF(Y214=regle!$F$11,regle!$F$23,IF(Y214=regle!$G$11,regle!$G$23,IF(Y214=regle!$H$11,regle!$H$23,IF(Y214=regle!$I$11,regle!$I$23,IF(Y214=regle!$J$11,regle!$J$23,0)))))))))))</f>
        <v>0</v>
      </c>
      <c r="AJ214" s="14">
        <f>IF($A214,$M214*(IF(Z214=regle!$B$11,regle!$B$23,IF(Z214=regle!$C$11,regle!$C$23,IF(Z214=regle!$D$11,regle!$D$23,IF(Z214=regle!$E$11,regle!$E$23,IF(Z214=regle!$F$11,regle!$F$23,IF(Z214=regle!$G$11,regle!$G$23,IF(Z214=regle!$H$11,regle!$H$23,IF(Z214=regle!$I$11,regle!$I$23,IF(Z214=regle!$J$11,regle!$J$23,0)))))))))))</f>
        <v>0</v>
      </c>
      <c r="AK214" s="14">
        <f>IF($A214,$M214*(IF(AA214=regle!$B$11,regle!$B$23,IF(AA214=regle!$C$11,regle!$C$23,IF(AA214=regle!$D$11,regle!$D$23,IF(AA214=regle!$E$11,regle!$E$23,IF(AA214=regle!$F$11,regle!$F$23,IF(AA214=regle!$G$11,regle!$G$23,IF(AA214=regle!$H$11,regle!$H$23,IF(AA214=regle!$I$11,regle!$I$23,IF(AA214=regle!$J$11,regle!$J$23,0)))))))))))</f>
        <v>0</v>
      </c>
      <c r="AL214" s="14">
        <f>IF($A214,$M214*(IF(AB214=regle!$B$11,regle!$B$23,IF(AB214=regle!$C$11,regle!$C$23,IF(AB214=regle!$D$11,regle!$D$23,IF(AB214=regle!$E$11,regle!$E$23,IF(AB214=regle!$F$11,regle!$F$23,IF(AB214=regle!$G$11,regle!$G$23,IF(AB214=regle!$H$11,regle!$H$23,IF(AB214=regle!$I$11,regle!$I$23,IF(AB214=regle!$J$11,regle!$J$23,0)))))))))))</f>
        <v>7382.0031999999992</v>
      </c>
      <c r="AM214" s="14">
        <f>IF($A214,$M214*(IF(AC214=regle!$B$11,regle!$B$23,IF(AC214=regle!$C$11,regle!$C$23,IF(AC214=regle!$D$11,regle!$D$23,IF(AC214=regle!$E$11,regle!$E$23,IF(AC214=regle!$F$11,regle!$F$23,IF(AC214=regle!$G$11,regle!$G$23,IF(AC214=regle!$H$11,regle!$H$23,IF(AC214=regle!$I$11,regle!$I$23,IF(AC214=regle!$J$11,regle!$J$23,0)))))))))))</f>
        <v>0</v>
      </c>
      <c r="AN214" s="14">
        <f>IF($A214,$M214*(IF(AD214=regle!$B$11,regle!$B$23,IF(AD214=regle!$C$11,regle!$C$23,IF(AD214=regle!$D$11,regle!$D$23,IF(AD214=regle!$E$11,regle!$E$23,IF(AD214=regle!$F$11,regle!$F$23,IF(AD214=regle!$G$11,regle!$G$23,IF(AD214=regle!$H$11,regle!$H$23,IF(AD214=regle!$I$11,regle!$I$23,IF(AD214=regle!$J$11,regle!$J$23,0)))))))))))</f>
        <v>0</v>
      </c>
      <c r="AO214">
        <f>IF(AO$1=$AO$1,IF(regle!B$2-$Q214&gt;=regle!$J$12,-2,IF($S214,IF(regle!$B$2-$Q214&gt;=2,0,-1),regle!B$2-$Q214)),IF(AN214+1&gt;=regle!$J$12,-2,AN214+1))</f>
        <v>16</v>
      </c>
      <c r="AP214">
        <f>IF(AP$1=$AO$1,IF(regle!C$2-$Q214&gt;=regle!$J$12,-2,IF($S214,IF(regle!$B$2-$Q214&gt;=2,0,-1),regle!C$2-$Q214)),IF(AO214+1&gt;=regle!$J$12,-2,AO214+1))</f>
        <v>17</v>
      </c>
      <c r="AQ214">
        <f>IF(AQ$1=$AO$1,IF(regle!D$2-$Q214&gt;=regle!$J$12,-2,IF($S214,IF(regle!$B$2-$Q214&gt;=2,0,-1),regle!D$2-$Q214)),IF(AP214+1&gt;=regle!$J$12,-2,AP214+1))</f>
        <v>18</v>
      </c>
      <c r="AR214">
        <f>IF(AR$1=$AO$1,IF(regle!E$2-$Q214&gt;=regle!$J$12,-2,IF($S214,IF(regle!$B$2-$Q214&gt;=2,0,-1),regle!E$2-$Q214)),IF(AQ214+1&gt;=regle!$J$12,-2,AQ214+1))</f>
        <v>19</v>
      </c>
      <c r="AS214">
        <f>IF(AS$1=$AO$1,IF(regle!F$2-$Q214&gt;=regle!$J$12,-2,IF($S214,IF(regle!$B$2-$Q214&gt;=2,0,-1),regle!F$2-$Q214)),IF(AR214+1&gt;=regle!$J$12,-2,AR214+1))</f>
        <v>20</v>
      </c>
      <c r="AT214">
        <f>IF(AT$1=$AO$1,IF(regle!G$2-$Q214&gt;=regle!$J$12,-2,IF($S214,IF(regle!$B$2-$Q214&gt;=2,0,-1),regle!G$2-$Q214)),IF(AS214+1&gt;=regle!$J$12,-2,AS214+1))</f>
        <v>21</v>
      </c>
      <c r="AU214">
        <f>IF(AU$1=$AO$1,IF(regle!H$2-$Q214&gt;=regle!$J$12,-2,IF($S214,IF(regle!$B$2-$Q214&gt;=2,0,-1),regle!H$2-$Q214)),IF(AT214+1&gt;=regle!$J$12,-2,AT214+1))</f>
        <v>22</v>
      </c>
      <c r="AV214">
        <f>IF(AV$1=$AO$1,IF(regle!I$2-$Q214&gt;=regle!$J$12,-2,IF($S214,IF(regle!$B$2-$Q214&gt;=2,0,-1),regle!I$2-$Q214)),IF(AU214+1&gt;=regle!$J$12,-2,AU214+1))</f>
        <v>23</v>
      </c>
      <c r="AW214">
        <f>IF(AW$1=$AO$1,IF(regle!J$2-$Q214&gt;=regle!$J$12,-2,IF($S214,IF(regle!$B$2-$Q214&gt;=2,0,-1),regle!J$2-$Q214)),IF(AV214+1&gt;=regle!$J$12,-2,AV214+1))</f>
        <v>24</v>
      </c>
      <c r="AX214">
        <f>IF(AX$1=$AO$1,IF(regle!K$2-$Q214&gt;=regle!$J$12,-2,IF($S214,IF(regle!$B$2-$Q214&gt;=2,0,-1),regle!K$2-$Q214)),IF(AW214+1&gt;=regle!$J$12,-2,AW214+1))</f>
        <v>25</v>
      </c>
    </row>
    <row r="215" spans="1:50" x14ac:dyDescent="0.25">
      <c r="A215" t="b">
        <f>AND(modif0[[#This Row],[cdstr]]&lt;&gt;0,OR(regle!$H$27=FALSE,modif0[[#This Row],[essnc]]="PM"))</f>
        <v>1</v>
      </c>
      <c r="B215">
        <f>ROW(objet!A256)</f>
        <v>256</v>
      </c>
      <c r="C215" s="10" t="str">
        <f>objet!D256</f>
        <v>2020000B1249</v>
      </c>
      <c r="D215" t="str">
        <f>LEFT(modif0[[#This Row],[cdstr]],3)</f>
        <v>202</v>
      </c>
      <c r="E215" s="10" t="str">
        <f>objet!G256</f>
        <v>HOSTENS</v>
      </c>
      <c r="F215">
        <f>LEN(modif0[[#This Row],[l_dt]])</f>
        <v>13</v>
      </c>
      <c r="G215" s="10" t="str">
        <f>objet!H256</f>
        <v>LA BROUSTETTE</v>
      </c>
      <c r="H215" s="10" t="str">
        <f>objet!C256</f>
        <v>B1249k</v>
      </c>
      <c r="I215" t="str">
        <f>IF(ISNUMBER(VALUE(RIGHT(LEFT(modif0[[#This Row],[idntfn]],2),1))),_xlfn.CONCAT(0,LEFT(modif0[[#This Row],[idntfn]],1)),LEFT(modif0[[#This Row],[idntfn]],2))</f>
        <v>0B</v>
      </c>
      <c r="J215">
        <f>VALUE(LEFT(RIGHT(modif0[[#This Row],[idntfn]],LEN(modif0[[#This Row],[idntfn]])-IF(LEFT(modif0[[#This Row],[sctn]],1)="0",1,2)),LEN(modif0[[#This Row],[idntfn]])-IF(LEFT(modif0[[#This Row],[sctn]],1)="0",1,2)-LEN(modif0[[#This Row],[lttr]])))</f>
        <v>1249</v>
      </c>
      <c r="K215" t="str">
        <f>IF(ISNUMBER(VALUE(RIGHT(modif0[[#This Row],[idntfn]],1))),"",IF(ISNUMBER(VALUE(LEFT(RIGHT(modif0[[#This Row],[idntfn]],2),1))),RIGHT(modif0[[#This Row],[idntfn]],1),RIGHT(modif0[[#This Row],[idntfn]],2)))</f>
        <v>k</v>
      </c>
      <c r="L215" s="10">
        <f>objet!I256</f>
        <v>56863</v>
      </c>
      <c r="M215" s="11">
        <f>modif0[[#This Row],[srfc]]/10000</f>
        <v>5.6863000000000001</v>
      </c>
      <c r="N215" s="10" t="str">
        <f>objet!Z256</f>
        <v>PM</v>
      </c>
      <c r="O215" s="10" t="str">
        <f>objet!AA256</f>
        <v>PLA2018</v>
      </c>
      <c r="P215" t="str">
        <f>IF(ISNUMBER(modif0[[#This Row],[trvx]]),"",LEFT(modif0[[#This Row],[trvx]],LEN(modif0[[#This Row],[trvx]])-4))</f>
        <v>PLA</v>
      </c>
      <c r="Q215">
        <f>VALUE(RIGHT(modif0[[#This Row],[trvx]],4))</f>
        <v>2018</v>
      </c>
      <c r="R215" t="str">
        <f>_xlfn.CONCAT(modif0[[#This Row],[tp]],"-",modif0[[#This Row],[essnc]],"_",modif0[[#This Row],[anns]])</f>
        <v>PLA-PM_2018</v>
      </c>
      <c r="S215" t="b">
        <f>modif0[[#This Row],[tp]]="CR"</f>
        <v>0</v>
      </c>
      <c r="T215">
        <v>40</v>
      </c>
      <c r="U215" t="str">
        <f>IF(NOT($A215),"",
IF(AO215=-2,regle!$J$11,
IF(AO215=regle!$B$12,regle!$B$11,
IF(AO215=regle!$C$12,regle!$C$11,
IF(AO215=regle!$D$12,regle!$D$11,
IF(AO215=regle!$E$12,regle!$E$11,
IF(AO215=regle!$F$12,regle!$F$11,
IF(AO215=regle!$G$12,regle!$G$11,
IF(AO215=regle!$H$12,regle!$H$11,
IF(AO215=regle!$I$12,regle!$I$11,""))))))))))</f>
        <v/>
      </c>
      <c r="V215" t="str">
        <f>IF(NOT($A215),"",
IF(AP215=-2,regle!$J$11,
IF(AP215=regle!$B$12,regle!$B$11,
IF(AP215=regle!$C$12,regle!$C$11,
IF(AP215=regle!$D$12,regle!$D$11,
IF(AP215=regle!$E$12,regle!$E$11,
IF(AP215=regle!$F$12,regle!$F$11,
IF(AP215=regle!$G$12,regle!$G$11,
IF(AP215=regle!$H$12,regle!$H$11,
IF(AP215=regle!$I$12,regle!$I$11,""))))))))))</f>
        <v/>
      </c>
      <c r="W215" t="str">
        <f>IF(NOT($A215),"",
IF(AQ215=-2,regle!$J$11,
IF(AQ215=regle!$B$12,regle!$B$11,
IF(AQ215=regle!$C$12,regle!$C$11,
IF(AQ215=regle!$D$12,regle!$D$11,
IF(AQ215=regle!$E$12,regle!$E$11,
IF(AQ215=regle!$F$12,regle!$F$11,
IF(AQ215=regle!$G$12,regle!$G$11,
IF(AQ215=regle!$H$12,regle!$H$11,
IF(AQ215=regle!$I$12,regle!$I$11,""))))))))))</f>
        <v>ENT2</v>
      </c>
      <c r="X215" t="str">
        <f>IF(NOT($A215),"",
IF(AR215=-2,regle!$J$11,
IF(AR215=regle!$B$12,regle!$B$11,
IF(AR215=regle!$C$12,regle!$C$11,
IF(AR215=regle!$D$12,regle!$D$11,
IF(AR215=regle!$E$12,regle!$E$11,
IF(AR215=regle!$F$12,regle!$F$11,
IF(AR215=regle!$G$12,regle!$G$11,
IF(AR215=regle!$H$12,regle!$H$11,
IF(AR215=regle!$I$12,regle!$I$11,""))))))))))</f>
        <v/>
      </c>
      <c r="Y215" t="str">
        <f>IF(NOT($A215),"",
IF(AS215=-2,regle!$J$11,
IF(AS215=regle!$B$12,regle!$B$11,
IF(AS215=regle!$C$12,regle!$C$11,
IF(AS215=regle!$D$12,regle!$D$11,
IF(AS215=regle!$E$12,regle!$E$11,
IF(AS215=regle!$F$12,regle!$F$11,
IF(AS215=regle!$G$12,regle!$G$11,
IF(AS215=regle!$H$12,regle!$H$11,
IF(AS215=regle!$I$12,regle!$I$11,""))))))))))</f>
        <v/>
      </c>
      <c r="Z215" t="str">
        <f>IF(NOT($A215),"",
IF(AT215=-2,regle!$J$11,
IF(AT215=regle!$B$12,regle!$B$11,
IF(AT215=regle!$C$12,regle!$C$11,
IF(AT215=regle!$D$12,regle!$D$11,
IF(AT215=regle!$E$12,regle!$E$11,
IF(AT215=regle!$F$12,regle!$F$11,
IF(AT215=regle!$G$12,regle!$G$11,
IF(AT215=regle!$H$12,regle!$H$11,
IF(AT215=regle!$I$12,regle!$I$11,""))))))))))</f>
        <v/>
      </c>
      <c r="AA215" t="str">
        <f>IF(NOT($A215),"",
IF(AU215=-2,regle!$J$11,
IF(AU215=regle!$B$12,regle!$B$11,
IF(AU215=regle!$C$12,regle!$C$11,
IF(AU215=regle!$D$12,regle!$D$11,
IF(AU215=regle!$E$12,regle!$E$11,
IF(AU215=regle!$F$12,regle!$F$11,
IF(AU215=regle!$G$12,regle!$G$11,
IF(AU215=regle!$H$12,regle!$H$11,
IF(AU215=regle!$I$12,regle!$I$11,""))))))))))</f>
        <v/>
      </c>
      <c r="AB215" t="str">
        <f>IF(NOT($A215),"",
IF(AV215=-2,regle!$J$11,
IF(AV215=regle!$B$12,regle!$B$11,
IF(AV215=regle!$C$12,regle!$C$11,
IF(AV215=regle!$D$12,regle!$D$11,
IF(AV215=regle!$E$12,regle!$E$11,
IF(AV215=regle!$F$12,regle!$F$11,
IF(AV215=regle!$G$12,regle!$G$11,
IF(AV215=regle!$H$12,regle!$H$11,
IF(AV215=regle!$I$12,regle!$I$11,""))))))))))</f>
        <v>EC1</v>
      </c>
      <c r="AC215" t="str">
        <f>IF(NOT($A215),"",
IF(AW215=-2,regle!$J$11,
IF(AW215=regle!$B$12,regle!$B$11,
IF(AW215=regle!$C$12,regle!$C$11,
IF(AW215=regle!$D$12,regle!$D$11,
IF(AW215=regle!$E$12,regle!$E$11,
IF(AW215=regle!$F$12,regle!$F$11,
IF(AW215=regle!$G$12,regle!$G$11,
IF(AW215=regle!$H$12,regle!$H$11,
IF(AW215=regle!$I$12,regle!$I$11,""))))))))))</f>
        <v/>
      </c>
      <c r="AD215" t="str">
        <f>IF(NOT($A215),"",
IF(AX215=-2,regle!$J$11,
IF(AX215=regle!$B$12,regle!$B$11,
IF(AX215=regle!$C$12,regle!$C$11,
IF(AX215=regle!$D$12,regle!$D$11,
IF(AX215=regle!$E$12,regle!$E$11,
IF(AX215=regle!$F$12,regle!$F$11,
IF(AX215=regle!$G$12,regle!$G$11,
IF(AX215=regle!$H$12,regle!$H$11,
IF(AX215=regle!$I$12,regle!$I$11,""))))))))))</f>
        <v/>
      </c>
      <c r="AE215" s="14">
        <f>IF($A215,$M215*(IF(U215=regle!$B$11,regle!$B$23,IF(U215=regle!$C$11,regle!$C$23,IF(U215=regle!$D$11,regle!$D$23,IF(U215=regle!$E$11,regle!$E$23,IF(U215=regle!$F$11,regle!$F$23,IF(U215=regle!$G$11,regle!$G$23,IF(U215=regle!$H$11,regle!$H$23,IF(U215=regle!$I$11,regle!$I$23,IF(U215=regle!$J$11,regle!$J$23,0)))))))))))</f>
        <v>0</v>
      </c>
      <c r="AF215" s="14">
        <f>IF($A215,$M215*(IF(V215=regle!$B$11,regle!$B$23,IF(V215=regle!$C$11,regle!$C$23,IF(V215=regle!$D$11,regle!$D$23,IF(V215=regle!$E$11,regle!$E$23,IF(V215=regle!$F$11,regle!$F$23,IF(V215=regle!$G$11,regle!$G$23,IF(V215=regle!$H$11,regle!$H$23,IF(V215=regle!$I$11,regle!$I$23,IF(V215=regle!$J$11,regle!$J$23,0)))))))))))</f>
        <v>0</v>
      </c>
      <c r="AG215" s="14">
        <f>IF($A215,$M215*(IF(W215=regle!$B$11,regle!$B$23,IF(W215=regle!$C$11,regle!$C$23,IF(W215=regle!$D$11,regle!$D$23,IF(W215=regle!$E$11,regle!$E$23,IF(W215=regle!$F$11,regle!$F$23,IF(W215=regle!$G$11,regle!$G$23,IF(W215=regle!$H$11,regle!$H$23,IF(W215=regle!$I$11,regle!$I$23,IF(W215=regle!$J$11,regle!$J$23,0)))))))))))</f>
        <v>-511.767</v>
      </c>
      <c r="AH215" s="14">
        <f>IF($A215,$M215*(IF(X215=regle!$B$11,regle!$B$23,IF(X215=regle!$C$11,regle!$C$23,IF(X215=regle!$D$11,regle!$D$23,IF(X215=regle!$E$11,regle!$E$23,IF(X215=regle!$F$11,regle!$F$23,IF(X215=regle!$G$11,regle!$G$23,IF(X215=regle!$H$11,regle!$H$23,IF(X215=regle!$I$11,regle!$I$23,IF(X215=regle!$J$11,regle!$J$23,0)))))))))))</f>
        <v>0</v>
      </c>
      <c r="AI215" s="14">
        <f>IF($A215,$M215*(IF(Y215=regle!$B$11,regle!$B$23,IF(Y215=regle!$C$11,regle!$C$23,IF(Y215=regle!$D$11,regle!$D$23,IF(Y215=regle!$E$11,regle!$E$23,IF(Y215=regle!$F$11,regle!$F$23,IF(Y215=regle!$G$11,regle!$G$23,IF(Y215=regle!$H$11,regle!$H$23,IF(Y215=regle!$I$11,regle!$I$23,IF(Y215=regle!$J$11,regle!$J$23,0)))))))))))</f>
        <v>0</v>
      </c>
      <c r="AJ215" s="14">
        <f>IF($A215,$M215*(IF(Z215=regle!$B$11,regle!$B$23,IF(Z215=regle!$C$11,regle!$C$23,IF(Z215=regle!$D$11,regle!$D$23,IF(Z215=regle!$E$11,regle!$E$23,IF(Z215=regle!$F$11,regle!$F$23,IF(Z215=regle!$G$11,regle!$G$23,IF(Z215=regle!$H$11,regle!$H$23,IF(Z215=regle!$I$11,regle!$I$23,IF(Z215=regle!$J$11,regle!$J$23,0)))))))))))</f>
        <v>0</v>
      </c>
      <c r="AK215" s="14">
        <f>IF($A215,$M215*(IF(AA215=regle!$B$11,regle!$B$23,IF(AA215=regle!$C$11,regle!$C$23,IF(AA215=regle!$D$11,regle!$D$23,IF(AA215=regle!$E$11,regle!$E$23,IF(AA215=regle!$F$11,regle!$F$23,IF(AA215=regle!$G$11,regle!$G$23,IF(AA215=regle!$H$11,regle!$H$23,IF(AA215=regle!$I$11,regle!$I$23,IF(AA215=regle!$J$11,regle!$J$23,0)))))))))))</f>
        <v>0</v>
      </c>
      <c r="AL215" s="14">
        <f>IF($A215,$M215*(IF(AB215=regle!$B$11,regle!$B$23,IF(AB215=regle!$C$11,regle!$C$23,IF(AB215=regle!$D$11,regle!$D$23,IF(AB215=regle!$E$11,regle!$E$23,IF(AB215=regle!$F$11,regle!$F$23,IF(AB215=regle!$G$11,regle!$G$23,IF(AB215=regle!$H$11,regle!$H$23,IF(AB215=regle!$I$11,regle!$I$23,IF(AB215=regle!$J$11,regle!$J$23,0)))))))))))</f>
        <v>3275.3088000000002</v>
      </c>
      <c r="AM215" s="14">
        <f>IF($A215,$M215*(IF(AC215=regle!$B$11,regle!$B$23,IF(AC215=regle!$C$11,regle!$C$23,IF(AC215=regle!$D$11,regle!$D$23,IF(AC215=regle!$E$11,regle!$E$23,IF(AC215=regle!$F$11,regle!$F$23,IF(AC215=regle!$G$11,regle!$G$23,IF(AC215=regle!$H$11,regle!$H$23,IF(AC215=regle!$I$11,regle!$I$23,IF(AC215=regle!$J$11,regle!$J$23,0)))))))))))</f>
        <v>0</v>
      </c>
      <c r="AN215" s="14">
        <f>IF($A215,$M215*(IF(AD215=regle!$B$11,regle!$B$23,IF(AD215=regle!$C$11,regle!$C$23,IF(AD215=regle!$D$11,regle!$D$23,IF(AD215=regle!$E$11,regle!$E$23,IF(AD215=regle!$F$11,regle!$F$23,IF(AD215=regle!$G$11,regle!$G$23,IF(AD215=regle!$H$11,regle!$H$23,IF(AD215=regle!$I$11,regle!$I$23,IF(AD215=regle!$J$11,regle!$J$23,0)))))))))))</f>
        <v>0</v>
      </c>
      <c r="AO215">
        <f>IF(AO$1=$AO$1,IF(regle!B$2-$Q215&gt;=regle!$J$12,-2,IF($S215,IF(regle!$B$2-$Q215&gt;=2,0,-1),regle!B$2-$Q215)),IF(AN215+1&gt;=regle!$J$12,-2,AN215+1))</f>
        <v>6</v>
      </c>
      <c r="AP215">
        <f>IF(AP$1=$AO$1,IF(regle!C$2-$Q215&gt;=regle!$J$12,-2,IF($S215,IF(regle!$B$2-$Q215&gt;=2,0,-1),regle!C$2-$Q215)),IF(AO215+1&gt;=regle!$J$12,-2,AO215+1))</f>
        <v>7</v>
      </c>
      <c r="AQ215">
        <f>IF(AQ$1=$AO$1,IF(regle!D$2-$Q215&gt;=regle!$J$12,-2,IF($S215,IF(regle!$B$2-$Q215&gt;=2,0,-1),regle!D$2-$Q215)),IF(AP215+1&gt;=regle!$J$12,-2,AP215+1))</f>
        <v>8</v>
      </c>
      <c r="AR215">
        <f>IF(AR$1=$AO$1,IF(regle!E$2-$Q215&gt;=regle!$J$12,-2,IF($S215,IF(regle!$B$2-$Q215&gt;=2,0,-1),regle!E$2-$Q215)),IF(AQ215+1&gt;=regle!$J$12,-2,AQ215+1))</f>
        <v>9</v>
      </c>
      <c r="AS215">
        <f>IF(AS$1=$AO$1,IF(regle!F$2-$Q215&gt;=regle!$J$12,-2,IF($S215,IF(regle!$B$2-$Q215&gt;=2,0,-1),regle!F$2-$Q215)),IF(AR215+1&gt;=regle!$J$12,-2,AR215+1))</f>
        <v>10</v>
      </c>
      <c r="AT215">
        <f>IF(AT$1=$AO$1,IF(regle!G$2-$Q215&gt;=regle!$J$12,-2,IF($S215,IF(regle!$B$2-$Q215&gt;=2,0,-1),regle!G$2-$Q215)),IF(AS215+1&gt;=regle!$J$12,-2,AS215+1))</f>
        <v>11</v>
      </c>
      <c r="AU215">
        <f>IF(AU$1=$AO$1,IF(regle!H$2-$Q215&gt;=regle!$J$12,-2,IF($S215,IF(regle!$B$2-$Q215&gt;=2,0,-1),regle!H$2-$Q215)),IF(AT215+1&gt;=regle!$J$12,-2,AT215+1))</f>
        <v>12</v>
      </c>
      <c r="AV215">
        <f>IF(AV$1=$AO$1,IF(regle!I$2-$Q215&gt;=regle!$J$12,-2,IF($S215,IF(regle!$B$2-$Q215&gt;=2,0,-1),regle!I$2-$Q215)),IF(AU215+1&gt;=regle!$J$12,-2,AU215+1))</f>
        <v>13</v>
      </c>
      <c r="AW215">
        <f>IF(AW$1=$AO$1,IF(regle!J$2-$Q215&gt;=regle!$J$12,-2,IF($S215,IF(regle!$B$2-$Q215&gt;=2,0,-1),regle!J$2-$Q215)),IF(AV215+1&gt;=regle!$J$12,-2,AV215+1))</f>
        <v>14</v>
      </c>
      <c r="AX215">
        <f>IF(AX$1=$AO$1,IF(regle!K$2-$Q215&gt;=regle!$J$12,-2,IF($S215,IF(regle!$B$2-$Q215&gt;=2,0,-1),regle!K$2-$Q215)),IF(AW215+1&gt;=regle!$J$12,-2,AW215+1))</f>
        <v>15</v>
      </c>
    </row>
    <row r="216" spans="1:50" x14ac:dyDescent="0.25">
      <c r="A216" t="b">
        <f>AND(modif0[[#This Row],[cdstr]]&lt;&gt;0,OR(regle!$H$27=FALSE,modif0[[#This Row],[essnc]]="PM"))</f>
        <v>1</v>
      </c>
      <c r="B216">
        <f>ROW(objet!A257)</f>
        <v>257</v>
      </c>
      <c r="C216" s="10" t="str">
        <f>objet!D257</f>
        <v>2020000B1249</v>
      </c>
      <c r="D216" t="str">
        <f>LEFT(modif0[[#This Row],[cdstr]],3)</f>
        <v>202</v>
      </c>
      <c r="E216" s="10" t="str">
        <f>objet!G257</f>
        <v>HOSTENS</v>
      </c>
      <c r="F216">
        <f>LEN(modif0[[#This Row],[l_dt]])</f>
        <v>13</v>
      </c>
      <c r="G216" s="10" t="str">
        <f>objet!H257</f>
        <v>LA BROUSTETTE</v>
      </c>
      <c r="H216" s="10" t="str">
        <f>objet!C257</f>
        <v>B1249l</v>
      </c>
      <c r="I216" t="str">
        <f>IF(ISNUMBER(VALUE(RIGHT(LEFT(modif0[[#This Row],[idntfn]],2),1))),_xlfn.CONCAT(0,LEFT(modif0[[#This Row],[idntfn]],1)),LEFT(modif0[[#This Row],[idntfn]],2))</f>
        <v>0B</v>
      </c>
      <c r="J216">
        <f>VALUE(LEFT(RIGHT(modif0[[#This Row],[idntfn]],LEN(modif0[[#This Row],[idntfn]])-IF(LEFT(modif0[[#This Row],[sctn]],1)="0",1,2)),LEN(modif0[[#This Row],[idntfn]])-IF(LEFT(modif0[[#This Row],[sctn]],1)="0",1,2)-LEN(modif0[[#This Row],[lttr]])))</f>
        <v>1249</v>
      </c>
      <c r="K216" t="str">
        <f>IF(ISNUMBER(VALUE(RIGHT(modif0[[#This Row],[idntfn]],1))),"",IF(ISNUMBER(VALUE(LEFT(RIGHT(modif0[[#This Row],[idntfn]],2),1))),RIGHT(modif0[[#This Row],[idntfn]],1),RIGHT(modif0[[#This Row],[idntfn]],2)))</f>
        <v>l</v>
      </c>
      <c r="L216" s="10">
        <f>objet!I257</f>
        <v>78768</v>
      </c>
      <c r="M216" s="11">
        <f>modif0[[#This Row],[srfc]]/10000</f>
        <v>7.8768000000000002</v>
      </c>
      <c r="N216" s="10" t="str">
        <f>objet!Z257</f>
        <v>PM</v>
      </c>
      <c r="O216" s="10" t="str">
        <f>objet!AA257</f>
        <v>SL1987</v>
      </c>
      <c r="P216" t="str">
        <f>IF(ISNUMBER(modif0[[#This Row],[trvx]]),"",LEFT(modif0[[#This Row],[trvx]],LEN(modif0[[#This Row],[trvx]])-4))</f>
        <v>SL</v>
      </c>
      <c r="Q216">
        <f>VALUE(RIGHT(modif0[[#This Row],[trvx]],4))</f>
        <v>1987</v>
      </c>
      <c r="R216" t="str">
        <f>_xlfn.CONCAT(modif0[[#This Row],[tp]],"-",modif0[[#This Row],[essnc]],"_",modif0[[#This Row],[anns]])</f>
        <v>SL-PM_1987</v>
      </c>
      <c r="S216" t="b">
        <f>modif0[[#This Row],[tp]]="CR"</f>
        <v>0</v>
      </c>
      <c r="T216">
        <v>40</v>
      </c>
      <c r="U216" t="str">
        <f>IF(NOT($A216),"",
IF(AO216=-2,regle!$J$11,
IF(AO216=regle!$B$12,regle!$B$11,
IF(AO216=regle!$C$12,regle!$C$11,
IF(AO216=regle!$D$12,regle!$D$11,
IF(AO216=regle!$E$12,regle!$E$11,
IF(AO216=regle!$F$12,regle!$F$11,
IF(AO216=regle!$G$12,regle!$G$11,
IF(AO216=regle!$H$12,regle!$H$11,
IF(AO216=regle!$I$12,regle!$I$11,""))))))))))</f>
        <v/>
      </c>
      <c r="V216" t="str">
        <f>IF(NOT($A216),"",
IF(AP216=-2,regle!$J$11,
IF(AP216=regle!$B$12,regle!$B$11,
IF(AP216=regle!$C$12,regle!$C$11,
IF(AP216=regle!$D$12,regle!$D$11,
IF(AP216=regle!$E$12,regle!$E$11,
IF(AP216=regle!$F$12,regle!$F$11,
IF(AP216=regle!$G$12,regle!$G$11,
IF(AP216=regle!$H$12,regle!$H$11,
IF(AP216=regle!$I$12,regle!$I$11,""))))))))))</f>
        <v/>
      </c>
      <c r="W216" t="str">
        <f>IF(NOT($A216),"",
IF(AQ216=-2,regle!$J$11,
IF(AQ216=regle!$B$12,regle!$B$11,
IF(AQ216=regle!$C$12,regle!$C$11,
IF(AQ216=regle!$D$12,regle!$D$11,
IF(AQ216=regle!$E$12,regle!$E$11,
IF(AQ216=regle!$F$12,regle!$F$11,
IF(AQ216=regle!$G$12,regle!$G$11,
IF(AQ216=regle!$H$12,regle!$H$11,
IF(AQ216=regle!$I$12,regle!$I$11,""))))))))))</f>
        <v/>
      </c>
      <c r="X216" t="str">
        <f>IF(NOT($A216),"",
IF(AR216=-2,regle!$J$11,
IF(AR216=regle!$B$12,regle!$B$11,
IF(AR216=regle!$C$12,regle!$C$11,
IF(AR216=regle!$D$12,regle!$D$11,
IF(AR216=regle!$E$12,regle!$E$11,
IF(AR216=regle!$F$12,regle!$F$11,
IF(AR216=regle!$G$12,regle!$G$11,
IF(AR216=regle!$H$12,regle!$H$11,
IF(AR216=regle!$I$12,regle!$I$11,""))))))))))</f>
        <v>CR</v>
      </c>
      <c r="Y216" t="str">
        <f>IF(NOT($A216),"",
IF(AS216=-2,regle!$J$11,
IF(AS216=regle!$B$12,regle!$B$11,
IF(AS216=regle!$C$12,regle!$C$11,
IF(AS216=regle!$D$12,regle!$D$11,
IF(AS216=regle!$E$12,regle!$E$11,
IF(AS216=regle!$F$12,regle!$F$11,
IF(AS216=regle!$G$12,regle!$G$11,
IF(AS216=regle!$H$12,regle!$H$11,
IF(AS216=regle!$I$12,regle!$I$11,""))))))))))</f>
        <v/>
      </c>
      <c r="Z216" t="str">
        <f>IF(NOT($A216),"",
IF(AT216=-2,regle!$J$11,
IF(AT216=regle!$B$12,regle!$B$11,
IF(AT216=regle!$C$12,regle!$C$11,
IF(AT216=regle!$D$12,regle!$D$11,
IF(AT216=regle!$E$12,regle!$E$11,
IF(AT216=regle!$F$12,regle!$F$11,
IF(AT216=regle!$G$12,regle!$G$11,
IF(AT216=regle!$H$12,regle!$H$11,
IF(AT216=regle!$I$12,regle!$I$11,""))))))))))</f>
        <v>RBST</v>
      </c>
      <c r="AA216" t="str">
        <f>IF(NOT($A216),"",
IF(AU216=-2,regle!$J$11,
IF(AU216=regle!$B$12,regle!$B$11,
IF(AU216=regle!$C$12,regle!$C$11,
IF(AU216=regle!$D$12,regle!$D$11,
IF(AU216=regle!$E$12,regle!$E$11,
IF(AU216=regle!$F$12,regle!$F$11,
IF(AU216=regle!$G$12,regle!$G$11,
IF(AU216=regle!$H$12,regle!$H$11,
IF(AU216=regle!$I$12,regle!$I$11,""))))))))))</f>
        <v/>
      </c>
      <c r="AB216" t="str">
        <f>IF(NOT($A216),"",
IF(AV216=-2,regle!$J$11,
IF(AV216=regle!$B$12,regle!$B$11,
IF(AV216=regle!$C$12,regle!$C$11,
IF(AV216=regle!$D$12,regle!$D$11,
IF(AV216=regle!$E$12,regle!$E$11,
IF(AV216=regle!$F$12,regle!$F$11,
IF(AV216=regle!$G$12,regle!$G$11,
IF(AV216=regle!$H$12,regle!$H$11,
IF(AV216=regle!$I$12,regle!$I$11,""))))))))))</f>
        <v>DGT</v>
      </c>
      <c r="AC216" t="str">
        <f>IF(NOT($A216),"",
IF(AW216=-2,regle!$J$11,
IF(AW216=regle!$B$12,regle!$B$11,
IF(AW216=regle!$C$12,regle!$C$11,
IF(AW216=regle!$D$12,regle!$D$11,
IF(AW216=regle!$E$12,regle!$E$11,
IF(AW216=regle!$F$12,regle!$F$11,
IF(AW216=regle!$G$12,regle!$G$11,
IF(AW216=regle!$H$12,regle!$H$11,
IF(AW216=regle!$I$12,regle!$I$11,""))))))))))</f>
        <v/>
      </c>
      <c r="AD216" t="str">
        <f>IF(NOT($A216),"",
IF(AX216=-2,regle!$J$11,
IF(AX216=regle!$B$12,regle!$B$11,
IF(AX216=regle!$C$12,regle!$C$11,
IF(AX216=regle!$D$12,regle!$D$11,
IF(AX216=regle!$E$12,regle!$E$11,
IF(AX216=regle!$F$12,regle!$F$11,
IF(AX216=regle!$G$12,regle!$G$11,
IF(AX216=regle!$H$12,regle!$H$11,
IF(AX216=regle!$I$12,regle!$I$11,""))))))))))</f>
        <v/>
      </c>
      <c r="AE216" s="14">
        <f>IF($A216,$M216*(IF(U216=regle!$B$11,regle!$B$23,IF(U216=regle!$C$11,regle!$C$23,IF(U216=regle!$D$11,regle!$D$23,IF(U216=regle!$E$11,regle!$E$23,IF(U216=regle!$F$11,regle!$F$23,IF(U216=regle!$G$11,regle!$G$23,IF(U216=regle!$H$11,regle!$H$23,IF(U216=regle!$I$11,regle!$I$23,IF(U216=regle!$J$11,regle!$J$23,0)))))))))))</f>
        <v>0</v>
      </c>
      <c r="AF216" s="14">
        <f>IF($A216,$M216*(IF(V216=regle!$B$11,regle!$B$23,IF(V216=regle!$C$11,regle!$C$23,IF(V216=regle!$D$11,regle!$D$23,IF(V216=regle!$E$11,regle!$E$23,IF(V216=regle!$F$11,regle!$F$23,IF(V216=regle!$G$11,regle!$G$23,IF(V216=regle!$H$11,regle!$H$23,IF(V216=regle!$I$11,regle!$I$23,IF(V216=regle!$J$11,regle!$J$23,0)))))))))))</f>
        <v>0</v>
      </c>
      <c r="AG216" s="14">
        <f>IF($A216,$M216*(IF(W216=regle!$B$11,regle!$B$23,IF(W216=regle!$C$11,regle!$C$23,IF(W216=regle!$D$11,regle!$D$23,IF(W216=regle!$E$11,regle!$E$23,IF(W216=regle!$F$11,regle!$F$23,IF(W216=regle!$G$11,regle!$G$23,IF(W216=regle!$H$11,regle!$H$23,IF(W216=regle!$I$11,regle!$I$23,IF(W216=regle!$J$11,regle!$J$23,0)))))))))))</f>
        <v>0</v>
      </c>
      <c r="AH216" s="14">
        <f>IF($A216,$M216*(IF(X216=regle!$B$11,regle!$B$23,IF(X216=regle!$C$11,regle!$C$23,IF(X216=regle!$D$11,regle!$D$23,IF(X216=regle!$E$11,regle!$E$23,IF(X216=regle!$F$11,regle!$F$23,IF(X216=regle!$G$11,regle!$G$23,IF(X216=regle!$H$11,regle!$H$23,IF(X216=regle!$I$11,regle!$I$23,IF(X216=regle!$J$11,regle!$J$23,0)))))))))))</f>
        <v>69315.839999999997</v>
      </c>
      <c r="AI216" s="14">
        <f>IF($A216,$M216*(IF(Y216=regle!$B$11,regle!$B$23,IF(Y216=regle!$C$11,regle!$C$23,IF(Y216=regle!$D$11,regle!$D$23,IF(Y216=regle!$E$11,regle!$E$23,IF(Y216=regle!$F$11,regle!$F$23,IF(Y216=regle!$G$11,regle!$G$23,IF(Y216=regle!$H$11,regle!$H$23,IF(Y216=regle!$I$11,regle!$I$23,IF(Y216=regle!$J$11,regle!$J$23,0)))))))))))</f>
        <v>0</v>
      </c>
      <c r="AJ216" s="14">
        <f>IF($A216,$M216*(IF(Z216=regle!$B$11,regle!$B$23,IF(Z216=regle!$C$11,regle!$C$23,IF(Z216=regle!$D$11,regle!$D$23,IF(Z216=regle!$E$11,regle!$E$23,IF(Z216=regle!$F$11,regle!$F$23,IF(Z216=regle!$G$11,regle!$G$23,IF(Z216=regle!$H$11,regle!$H$23,IF(Z216=regle!$I$11,regle!$I$23,IF(Z216=regle!$J$11,regle!$J$23,0)))))))))))</f>
        <v>-13390.560000000001</v>
      </c>
      <c r="AK216" s="14">
        <f>IF($A216,$M216*(IF(AA216=regle!$B$11,regle!$B$23,IF(AA216=regle!$C$11,regle!$C$23,IF(AA216=regle!$D$11,regle!$D$23,IF(AA216=regle!$E$11,regle!$E$23,IF(AA216=regle!$F$11,regle!$F$23,IF(AA216=regle!$G$11,regle!$G$23,IF(AA216=regle!$H$11,regle!$H$23,IF(AA216=regle!$I$11,regle!$I$23,IF(AA216=regle!$J$11,regle!$J$23,0)))))))))))</f>
        <v>0</v>
      </c>
      <c r="AL216" s="14">
        <f>IF($A216,$M216*(IF(AB216=regle!$B$11,regle!$B$23,IF(AB216=regle!$C$11,regle!$C$23,IF(AB216=regle!$D$11,regle!$D$23,IF(AB216=regle!$E$11,regle!$E$23,IF(AB216=regle!$F$11,regle!$F$23,IF(AB216=regle!$G$11,regle!$G$23,IF(AB216=regle!$H$11,regle!$H$23,IF(AB216=regle!$I$11,regle!$I$23,IF(AB216=regle!$J$11,regle!$J$23,0)))))))))))</f>
        <v>-590.76</v>
      </c>
      <c r="AM216" s="14">
        <f>IF($A216,$M216*(IF(AC216=regle!$B$11,regle!$B$23,IF(AC216=regle!$C$11,regle!$C$23,IF(AC216=regle!$D$11,regle!$D$23,IF(AC216=regle!$E$11,regle!$E$23,IF(AC216=regle!$F$11,regle!$F$23,IF(AC216=regle!$G$11,regle!$G$23,IF(AC216=regle!$H$11,regle!$H$23,IF(AC216=regle!$I$11,regle!$I$23,IF(AC216=regle!$J$11,regle!$J$23,0)))))))))))</f>
        <v>0</v>
      </c>
      <c r="AN216" s="14">
        <f>IF($A216,$M216*(IF(AD216=regle!$B$11,regle!$B$23,IF(AD216=regle!$C$11,regle!$C$23,IF(AD216=regle!$D$11,regle!$D$23,IF(AD216=regle!$E$11,regle!$E$23,IF(AD216=regle!$F$11,regle!$F$23,IF(AD216=regle!$G$11,regle!$G$23,IF(AD216=regle!$H$11,regle!$H$23,IF(AD216=regle!$I$11,regle!$I$23,IF(AD216=regle!$J$11,regle!$J$23,0)))))))))))</f>
        <v>0</v>
      </c>
      <c r="AO216">
        <f>IF(AO$1=$AO$1,IF(regle!B$2-$Q216&gt;=regle!$J$12,-2,IF($S216,IF(regle!$B$2-$Q216&gt;=2,0,-1),regle!B$2-$Q216)),IF(AN216+1&gt;=regle!$J$12,-2,AN216+1))</f>
        <v>37</v>
      </c>
      <c r="AP216">
        <f>IF(AP$1=$AO$1,IF(regle!C$2-$Q216&gt;=regle!$J$12,-2,IF($S216,IF(regle!$B$2-$Q216&gt;=2,0,-1),regle!C$2-$Q216)),IF(AO216+1&gt;=regle!$J$12,-2,AO216+1))</f>
        <v>38</v>
      </c>
      <c r="AQ216">
        <f>IF(AQ$1=$AO$1,IF(regle!D$2-$Q216&gt;=regle!$J$12,-2,IF($S216,IF(regle!$B$2-$Q216&gt;=2,0,-1),regle!D$2-$Q216)),IF(AP216+1&gt;=regle!$J$12,-2,AP216+1))</f>
        <v>39</v>
      </c>
      <c r="AR216">
        <f>IF(AR$1=$AO$1,IF(regle!E$2-$Q216&gt;=regle!$J$12,-2,IF($S216,IF(regle!$B$2-$Q216&gt;=2,0,-1),regle!E$2-$Q216)),IF(AQ216+1&gt;=regle!$J$12,-2,AQ216+1))</f>
        <v>-2</v>
      </c>
      <c r="AS216">
        <f>IF(AS$1=$AO$1,IF(regle!F$2-$Q216&gt;=regle!$J$12,-2,IF($S216,IF(regle!$B$2-$Q216&gt;=2,0,-1),regle!F$2-$Q216)),IF(AR216+1&gt;=regle!$J$12,-2,AR216+1))</f>
        <v>-1</v>
      </c>
      <c r="AT216">
        <f>IF(AT$1=$AO$1,IF(regle!G$2-$Q216&gt;=regle!$J$12,-2,IF($S216,IF(regle!$B$2-$Q216&gt;=2,0,-1),regle!G$2-$Q216)),IF(AS216+1&gt;=regle!$J$12,-2,AS216+1))</f>
        <v>0</v>
      </c>
      <c r="AU216">
        <f>IF(AU$1=$AO$1,IF(regle!H$2-$Q216&gt;=regle!$J$12,-2,IF($S216,IF(regle!$B$2-$Q216&gt;=2,0,-1),regle!H$2-$Q216)),IF(AT216+1&gt;=regle!$J$12,-2,AT216+1))</f>
        <v>1</v>
      </c>
      <c r="AV216">
        <f>IF(AV$1=$AO$1,IF(regle!I$2-$Q216&gt;=regle!$J$12,-2,IF($S216,IF(regle!$B$2-$Q216&gt;=2,0,-1),regle!I$2-$Q216)),IF(AU216+1&gt;=regle!$J$12,-2,AU216+1))</f>
        <v>2</v>
      </c>
      <c r="AW216">
        <f>IF(AW$1=$AO$1,IF(regle!J$2-$Q216&gt;=regle!$J$12,-2,IF($S216,IF(regle!$B$2-$Q216&gt;=2,0,-1),regle!J$2-$Q216)),IF(AV216+1&gt;=regle!$J$12,-2,AV216+1))</f>
        <v>3</v>
      </c>
      <c r="AX216">
        <f>IF(AX$1=$AO$1,IF(regle!K$2-$Q216&gt;=regle!$J$12,-2,IF($S216,IF(regle!$B$2-$Q216&gt;=2,0,-1),regle!K$2-$Q216)),IF(AW216+1&gt;=regle!$J$12,-2,AW216+1))</f>
        <v>4</v>
      </c>
    </row>
    <row r="217" spans="1:50" x14ac:dyDescent="0.25">
      <c r="A217" t="b">
        <f>AND(modif0[[#This Row],[cdstr]]&lt;&gt;0,OR(regle!$H$27=FALSE,modif0[[#This Row],[essnc]]="PM"))</f>
        <v>1</v>
      </c>
      <c r="B217">
        <f>ROW(objet!A258)</f>
        <v>258</v>
      </c>
      <c r="C217" s="10" t="str">
        <f>objet!D258</f>
        <v>2020000B1249</v>
      </c>
      <c r="D217" t="str">
        <f>LEFT(modif0[[#This Row],[cdstr]],3)</f>
        <v>202</v>
      </c>
      <c r="E217" s="10" t="str">
        <f>objet!G258</f>
        <v>HOSTENS</v>
      </c>
      <c r="F217">
        <f>LEN(modif0[[#This Row],[l_dt]])</f>
        <v>13</v>
      </c>
      <c r="G217" s="10" t="str">
        <f>objet!H258</f>
        <v>LA BROUSTETTE</v>
      </c>
      <c r="H217" s="10" t="str">
        <f>objet!C258</f>
        <v>B1249m</v>
      </c>
      <c r="I217" t="str">
        <f>IF(ISNUMBER(VALUE(RIGHT(LEFT(modif0[[#This Row],[idntfn]],2),1))),_xlfn.CONCAT(0,LEFT(modif0[[#This Row],[idntfn]],1)),LEFT(modif0[[#This Row],[idntfn]],2))</f>
        <v>0B</v>
      </c>
      <c r="J217">
        <f>VALUE(LEFT(RIGHT(modif0[[#This Row],[idntfn]],LEN(modif0[[#This Row],[idntfn]])-IF(LEFT(modif0[[#This Row],[sctn]],1)="0",1,2)),LEN(modif0[[#This Row],[idntfn]])-IF(LEFT(modif0[[#This Row],[sctn]],1)="0",1,2)-LEN(modif0[[#This Row],[lttr]])))</f>
        <v>1249</v>
      </c>
      <c r="K217" t="str">
        <f>IF(ISNUMBER(VALUE(RIGHT(modif0[[#This Row],[idntfn]],1))),"",IF(ISNUMBER(VALUE(LEFT(RIGHT(modif0[[#This Row],[idntfn]],2),1))),RIGHT(modif0[[#This Row],[idntfn]],1),RIGHT(modif0[[#This Row],[idntfn]],2)))</f>
        <v>m</v>
      </c>
      <c r="L217" s="10">
        <f>objet!I258</f>
        <v>50458</v>
      </c>
      <c r="M217" s="11">
        <f>modif0[[#This Row],[srfc]]/10000</f>
        <v>5.0457999999999998</v>
      </c>
      <c r="N217" s="10" t="str">
        <f>objet!Z258</f>
        <v>PM</v>
      </c>
      <c r="O217" s="10" t="str">
        <f>objet!AA258</f>
        <v>PLA2004</v>
      </c>
      <c r="P217" t="str">
        <f>IF(ISNUMBER(modif0[[#This Row],[trvx]]),"",LEFT(modif0[[#This Row],[trvx]],LEN(modif0[[#This Row],[trvx]])-4))</f>
        <v>PLA</v>
      </c>
      <c r="Q217">
        <f>VALUE(RIGHT(modif0[[#This Row],[trvx]],4))</f>
        <v>2004</v>
      </c>
      <c r="R217" t="str">
        <f>_xlfn.CONCAT(modif0[[#This Row],[tp]],"-",modif0[[#This Row],[essnc]],"_",modif0[[#This Row],[anns]])</f>
        <v>PLA-PM_2004</v>
      </c>
      <c r="S217" t="b">
        <f>modif0[[#This Row],[tp]]="CR"</f>
        <v>0</v>
      </c>
      <c r="T217">
        <v>40</v>
      </c>
      <c r="U217" t="str">
        <f>IF(NOT($A217),"",
IF(AO217=-2,regle!$J$11,
IF(AO217=regle!$B$12,regle!$B$11,
IF(AO217=regle!$C$12,regle!$C$11,
IF(AO217=regle!$D$12,regle!$D$11,
IF(AO217=regle!$E$12,regle!$E$11,
IF(AO217=regle!$F$12,regle!$F$11,
IF(AO217=regle!$G$12,regle!$G$11,
IF(AO217=regle!$H$12,regle!$H$11,
IF(AO217=regle!$I$12,regle!$I$11,""))))))))))</f>
        <v/>
      </c>
      <c r="V217" t="str">
        <f>IF(NOT($A217),"",
IF(AP217=-2,regle!$J$11,
IF(AP217=regle!$B$12,regle!$B$11,
IF(AP217=regle!$C$12,regle!$C$11,
IF(AP217=regle!$D$12,regle!$D$11,
IF(AP217=regle!$E$12,regle!$E$11,
IF(AP217=regle!$F$12,regle!$F$11,
IF(AP217=regle!$G$12,regle!$G$11,
IF(AP217=regle!$H$12,regle!$H$11,
IF(AP217=regle!$I$12,regle!$I$11,""))))))))))</f>
        <v/>
      </c>
      <c r="W217" t="str">
        <f>IF(NOT($A217),"",
IF(AQ217=-2,regle!$J$11,
IF(AQ217=regle!$B$12,regle!$B$11,
IF(AQ217=regle!$C$12,regle!$C$11,
IF(AQ217=regle!$D$12,regle!$D$11,
IF(AQ217=regle!$E$12,regle!$E$11,
IF(AQ217=regle!$F$12,regle!$F$11,
IF(AQ217=regle!$G$12,regle!$G$11,
IF(AQ217=regle!$H$12,regle!$H$11,
IF(AQ217=regle!$I$12,regle!$I$11,""))))))))))</f>
        <v/>
      </c>
      <c r="X217" t="str">
        <f>IF(NOT($A217),"",
IF(AR217=-2,regle!$J$11,
IF(AR217=regle!$B$12,regle!$B$11,
IF(AR217=regle!$C$12,regle!$C$11,
IF(AR217=regle!$D$12,regle!$D$11,
IF(AR217=regle!$E$12,regle!$E$11,
IF(AR217=regle!$F$12,regle!$F$11,
IF(AR217=regle!$G$12,regle!$G$11,
IF(AR217=regle!$H$12,regle!$H$11,
IF(AR217=regle!$I$12,regle!$I$11,""))))))))))</f>
        <v>EC3</v>
      </c>
      <c r="Y217" t="str">
        <f>IF(NOT($A217),"",
IF(AS217=-2,regle!$J$11,
IF(AS217=regle!$B$12,regle!$B$11,
IF(AS217=regle!$C$12,regle!$C$11,
IF(AS217=regle!$D$12,regle!$D$11,
IF(AS217=regle!$E$12,regle!$E$11,
IF(AS217=regle!$F$12,regle!$F$11,
IF(AS217=regle!$G$12,regle!$G$11,
IF(AS217=regle!$H$12,regle!$H$11,
IF(AS217=regle!$I$12,regle!$I$11,""))))))))))</f>
        <v/>
      </c>
      <c r="Z217" t="str">
        <f>IF(NOT($A217),"",
IF(AT217=-2,regle!$J$11,
IF(AT217=regle!$B$12,regle!$B$11,
IF(AT217=regle!$C$12,regle!$C$11,
IF(AT217=regle!$D$12,regle!$D$11,
IF(AT217=regle!$E$12,regle!$E$11,
IF(AT217=regle!$F$12,regle!$F$11,
IF(AT217=regle!$G$12,regle!$G$11,
IF(AT217=regle!$H$12,regle!$H$11,
IF(AT217=regle!$I$12,regle!$I$11,""))))))))))</f>
        <v/>
      </c>
      <c r="AA217" t="str">
        <f>IF(NOT($A217),"",
IF(AU217=-2,regle!$J$11,
IF(AU217=regle!$B$12,regle!$B$11,
IF(AU217=regle!$C$12,regle!$C$11,
IF(AU217=regle!$D$12,regle!$D$11,
IF(AU217=regle!$E$12,regle!$E$11,
IF(AU217=regle!$F$12,regle!$F$11,
IF(AU217=regle!$G$12,regle!$G$11,
IF(AU217=regle!$H$12,regle!$H$11,
IF(AU217=regle!$I$12,regle!$I$11,""))))))))))</f>
        <v/>
      </c>
      <c r="AB217" t="str">
        <f>IF(NOT($A217),"",
IF(AV217=-2,regle!$J$11,
IF(AV217=regle!$B$12,regle!$B$11,
IF(AV217=regle!$C$12,regle!$C$11,
IF(AV217=regle!$D$12,regle!$D$11,
IF(AV217=regle!$E$12,regle!$E$11,
IF(AV217=regle!$F$12,regle!$F$11,
IF(AV217=regle!$G$12,regle!$G$11,
IF(AV217=regle!$H$12,regle!$H$11,
IF(AV217=regle!$I$12,regle!$I$11,""))))))))))</f>
        <v/>
      </c>
      <c r="AC217" t="str">
        <f>IF(NOT($A217),"",
IF(AW217=-2,regle!$J$11,
IF(AW217=regle!$B$12,regle!$B$11,
IF(AW217=regle!$C$12,regle!$C$11,
IF(AW217=regle!$D$12,regle!$D$11,
IF(AW217=regle!$E$12,regle!$E$11,
IF(AW217=regle!$F$12,regle!$F$11,
IF(AW217=regle!$G$12,regle!$G$11,
IF(AW217=regle!$H$12,regle!$H$11,
IF(AW217=regle!$I$12,regle!$I$11,""))))))))))</f>
        <v>EC4</v>
      </c>
      <c r="AD217" t="str">
        <f>IF(NOT($A217),"",
IF(AX217=-2,regle!$J$11,
IF(AX217=regle!$B$12,regle!$B$11,
IF(AX217=regle!$C$12,regle!$C$11,
IF(AX217=regle!$D$12,regle!$D$11,
IF(AX217=regle!$E$12,regle!$E$11,
IF(AX217=regle!$F$12,regle!$F$11,
IF(AX217=regle!$G$12,regle!$G$11,
IF(AX217=regle!$H$12,regle!$H$11,
IF(AX217=regle!$I$12,regle!$I$11,""))))))))))</f>
        <v/>
      </c>
      <c r="AE217" s="14">
        <f>IF($A217,$M217*(IF(U217=regle!$B$11,regle!$B$23,IF(U217=regle!$C$11,regle!$C$23,IF(U217=regle!$D$11,regle!$D$23,IF(U217=regle!$E$11,regle!$E$23,IF(U217=regle!$F$11,regle!$F$23,IF(U217=regle!$G$11,regle!$G$23,IF(U217=regle!$H$11,regle!$H$23,IF(U217=regle!$I$11,regle!$I$23,IF(U217=regle!$J$11,regle!$J$23,0)))))))))))</f>
        <v>0</v>
      </c>
      <c r="AF217" s="14">
        <f>IF($A217,$M217*(IF(V217=regle!$B$11,regle!$B$23,IF(V217=regle!$C$11,regle!$C$23,IF(V217=regle!$D$11,regle!$D$23,IF(V217=regle!$E$11,regle!$E$23,IF(V217=regle!$F$11,regle!$F$23,IF(V217=regle!$G$11,regle!$G$23,IF(V217=regle!$H$11,regle!$H$23,IF(V217=regle!$I$11,regle!$I$23,IF(V217=regle!$J$11,regle!$J$23,0)))))))))))</f>
        <v>0</v>
      </c>
      <c r="AG217" s="14">
        <f>IF($A217,$M217*(IF(W217=regle!$B$11,regle!$B$23,IF(W217=regle!$C$11,regle!$C$23,IF(W217=regle!$D$11,regle!$D$23,IF(W217=regle!$E$11,regle!$E$23,IF(W217=regle!$F$11,regle!$F$23,IF(W217=regle!$G$11,regle!$G$23,IF(W217=regle!$H$11,regle!$H$23,IF(W217=regle!$I$11,regle!$I$23,IF(W217=regle!$J$11,regle!$J$23,0)))))))))))</f>
        <v>0</v>
      </c>
      <c r="AH217" s="14">
        <f>IF($A217,$M217*(IF(X217=regle!$B$11,regle!$B$23,IF(X217=regle!$C$11,regle!$C$23,IF(X217=regle!$D$11,regle!$D$23,IF(X217=regle!$E$11,regle!$E$23,IF(X217=regle!$F$11,regle!$F$23,IF(X217=regle!$G$11,regle!$G$23,IF(X217=regle!$H$11,regle!$H$23,IF(X217=regle!$I$11,regle!$I$23,IF(X217=regle!$J$11,regle!$J$23,0)))))))))))</f>
        <v>7104.4863999999998</v>
      </c>
      <c r="AI217" s="14">
        <f>IF($A217,$M217*(IF(Y217=regle!$B$11,regle!$B$23,IF(Y217=regle!$C$11,regle!$C$23,IF(Y217=regle!$D$11,regle!$D$23,IF(Y217=regle!$E$11,regle!$E$23,IF(Y217=regle!$F$11,regle!$F$23,IF(Y217=regle!$G$11,regle!$G$23,IF(Y217=regle!$H$11,regle!$H$23,IF(Y217=regle!$I$11,regle!$I$23,IF(Y217=regle!$J$11,regle!$J$23,0)))))))))))</f>
        <v>0</v>
      </c>
      <c r="AJ217" s="14">
        <f>IF($A217,$M217*(IF(Z217=regle!$B$11,regle!$B$23,IF(Z217=regle!$C$11,regle!$C$23,IF(Z217=regle!$D$11,regle!$D$23,IF(Z217=regle!$E$11,regle!$E$23,IF(Z217=regle!$F$11,regle!$F$23,IF(Z217=regle!$G$11,regle!$G$23,IF(Z217=regle!$H$11,regle!$H$23,IF(Z217=regle!$I$11,regle!$I$23,IF(Z217=regle!$J$11,regle!$J$23,0)))))))))))</f>
        <v>0</v>
      </c>
      <c r="AK217" s="14">
        <f>IF($A217,$M217*(IF(AA217=regle!$B$11,regle!$B$23,IF(AA217=regle!$C$11,regle!$C$23,IF(AA217=regle!$D$11,regle!$D$23,IF(AA217=regle!$E$11,regle!$E$23,IF(AA217=regle!$F$11,regle!$F$23,IF(AA217=regle!$G$11,regle!$G$23,IF(AA217=regle!$H$11,regle!$H$23,IF(AA217=regle!$I$11,regle!$I$23,IF(AA217=regle!$J$11,regle!$J$23,0)))))))))))</f>
        <v>0</v>
      </c>
      <c r="AL217" s="14">
        <f>IF($A217,$M217*(IF(AB217=regle!$B$11,regle!$B$23,IF(AB217=regle!$C$11,regle!$C$23,IF(AB217=regle!$D$11,regle!$D$23,IF(AB217=regle!$E$11,regle!$E$23,IF(AB217=regle!$F$11,regle!$F$23,IF(AB217=regle!$G$11,regle!$G$23,IF(AB217=regle!$H$11,regle!$H$23,IF(AB217=regle!$I$11,regle!$I$23,IF(AB217=regle!$J$11,regle!$J$23,0)))))))))))</f>
        <v>0</v>
      </c>
      <c r="AM217" s="14">
        <f>IF($A217,$M217*(IF(AC217=regle!$B$11,regle!$B$23,IF(AC217=regle!$C$11,regle!$C$23,IF(AC217=regle!$D$11,regle!$D$23,IF(AC217=regle!$E$11,regle!$E$23,IF(AC217=regle!$F$11,regle!$F$23,IF(AC217=regle!$G$11,regle!$G$23,IF(AC217=regle!$H$11,regle!$H$23,IF(AC217=regle!$I$11,regle!$I$23,IF(AC217=regle!$J$11,regle!$J$23,0)))))))))))</f>
        <v>6458.6239999999998</v>
      </c>
      <c r="AN217" s="14">
        <f>IF($A217,$M217*(IF(AD217=regle!$B$11,regle!$B$23,IF(AD217=regle!$C$11,regle!$C$23,IF(AD217=regle!$D$11,regle!$D$23,IF(AD217=regle!$E$11,regle!$E$23,IF(AD217=regle!$F$11,regle!$F$23,IF(AD217=regle!$G$11,regle!$G$23,IF(AD217=regle!$H$11,regle!$H$23,IF(AD217=regle!$I$11,regle!$I$23,IF(AD217=regle!$J$11,regle!$J$23,0)))))))))))</f>
        <v>0</v>
      </c>
      <c r="AO217">
        <f>IF(AO$1=$AO$1,IF(regle!B$2-$Q217&gt;=regle!$J$12,-2,IF($S217,IF(regle!$B$2-$Q217&gt;=2,0,-1),regle!B$2-$Q217)),IF(AN217+1&gt;=regle!$J$12,-2,AN217+1))</f>
        <v>20</v>
      </c>
      <c r="AP217">
        <f>IF(AP$1=$AO$1,IF(regle!C$2-$Q217&gt;=regle!$J$12,-2,IF($S217,IF(regle!$B$2-$Q217&gt;=2,0,-1),regle!C$2-$Q217)),IF(AO217+1&gt;=regle!$J$12,-2,AO217+1))</f>
        <v>21</v>
      </c>
      <c r="AQ217">
        <f>IF(AQ$1=$AO$1,IF(regle!D$2-$Q217&gt;=regle!$J$12,-2,IF($S217,IF(regle!$B$2-$Q217&gt;=2,0,-1),regle!D$2-$Q217)),IF(AP217+1&gt;=regle!$J$12,-2,AP217+1))</f>
        <v>22</v>
      </c>
      <c r="AR217">
        <f>IF(AR$1=$AO$1,IF(regle!E$2-$Q217&gt;=regle!$J$12,-2,IF($S217,IF(regle!$B$2-$Q217&gt;=2,0,-1),regle!E$2-$Q217)),IF(AQ217+1&gt;=regle!$J$12,-2,AQ217+1))</f>
        <v>23</v>
      </c>
      <c r="AS217">
        <f>IF(AS$1=$AO$1,IF(regle!F$2-$Q217&gt;=regle!$J$12,-2,IF($S217,IF(regle!$B$2-$Q217&gt;=2,0,-1),regle!F$2-$Q217)),IF(AR217+1&gt;=regle!$J$12,-2,AR217+1))</f>
        <v>24</v>
      </c>
      <c r="AT217">
        <f>IF(AT$1=$AO$1,IF(regle!G$2-$Q217&gt;=regle!$J$12,-2,IF($S217,IF(regle!$B$2-$Q217&gt;=2,0,-1),regle!G$2-$Q217)),IF(AS217+1&gt;=regle!$J$12,-2,AS217+1))</f>
        <v>25</v>
      </c>
      <c r="AU217">
        <f>IF(AU$1=$AO$1,IF(regle!H$2-$Q217&gt;=regle!$J$12,-2,IF($S217,IF(regle!$B$2-$Q217&gt;=2,0,-1),regle!H$2-$Q217)),IF(AT217+1&gt;=regle!$J$12,-2,AT217+1))</f>
        <v>26</v>
      </c>
      <c r="AV217">
        <f>IF(AV$1=$AO$1,IF(regle!I$2-$Q217&gt;=regle!$J$12,-2,IF($S217,IF(regle!$B$2-$Q217&gt;=2,0,-1),regle!I$2-$Q217)),IF(AU217+1&gt;=regle!$J$12,-2,AU217+1))</f>
        <v>27</v>
      </c>
      <c r="AW217">
        <f>IF(AW$1=$AO$1,IF(regle!J$2-$Q217&gt;=regle!$J$12,-2,IF($S217,IF(regle!$B$2-$Q217&gt;=2,0,-1),regle!J$2-$Q217)),IF(AV217+1&gt;=regle!$J$12,-2,AV217+1))</f>
        <v>28</v>
      </c>
      <c r="AX217">
        <f>IF(AX$1=$AO$1,IF(regle!K$2-$Q217&gt;=regle!$J$12,-2,IF($S217,IF(regle!$B$2-$Q217&gt;=2,0,-1),regle!K$2-$Q217)),IF(AW217+1&gt;=regle!$J$12,-2,AW217+1))</f>
        <v>29</v>
      </c>
    </row>
    <row r="218" spans="1:50" x14ac:dyDescent="0.25">
      <c r="A218" t="b">
        <f>AND(modif0[[#This Row],[cdstr]]&lt;&gt;0,OR(regle!$H$27=FALSE,modif0[[#This Row],[essnc]]="PM"))</f>
        <v>1</v>
      </c>
      <c r="B218">
        <f>ROW(objet!A260)</f>
        <v>260</v>
      </c>
      <c r="C218" s="10" t="str">
        <f>objet!D260</f>
        <v>2020000B1249</v>
      </c>
      <c r="D218" t="str">
        <f>LEFT(modif0[[#This Row],[cdstr]],3)</f>
        <v>202</v>
      </c>
      <c r="E218" s="10" t="str">
        <f>objet!G260</f>
        <v>HOSTENS</v>
      </c>
      <c r="F218">
        <f>LEN(modif0[[#This Row],[l_dt]])</f>
        <v>13</v>
      </c>
      <c r="G218" s="10" t="str">
        <f>objet!H260</f>
        <v>LA BROUSTETTE</v>
      </c>
      <c r="H218" s="10" t="str">
        <f>objet!C260</f>
        <v>B1249o</v>
      </c>
      <c r="I218" t="str">
        <f>IF(ISNUMBER(VALUE(RIGHT(LEFT(modif0[[#This Row],[idntfn]],2),1))),_xlfn.CONCAT(0,LEFT(modif0[[#This Row],[idntfn]],1)),LEFT(modif0[[#This Row],[idntfn]],2))</f>
        <v>0B</v>
      </c>
      <c r="J218">
        <f>VALUE(LEFT(RIGHT(modif0[[#This Row],[idntfn]],LEN(modif0[[#This Row],[idntfn]])-IF(LEFT(modif0[[#This Row],[sctn]],1)="0",1,2)),LEN(modif0[[#This Row],[idntfn]])-IF(LEFT(modif0[[#This Row],[sctn]],1)="0",1,2)-LEN(modif0[[#This Row],[lttr]])))</f>
        <v>1249</v>
      </c>
      <c r="K218" t="str">
        <f>IF(ISNUMBER(VALUE(RIGHT(modif0[[#This Row],[idntfn]],1))),"",IF(ISNUMBER(VALUE(LEFT(RIGHT(modif0[[#This Row],[idntfn]],2),1))),RIGHT(modif0[[#This Row],[idntfn]],1),RIGHT(modif0[[#This Row],[idntfn]],2)))</f>
        <v>o</v>
      </c>
      <c r="L218" s="10">
        <f>objet!I260</f>
        <v>7853</v>
      </c>
      <c r="M218" s="11">
        <f>modif0[[#This Row],[srfc]]/10000</f>
        <v>0.7853</v>
      </c>
      <c r="N218" s="10" t="str">
        <f>objet!Z260</f>
        <v>PM</v>
      </c>
      <c r="O218" s="10" t="str">
        <f>objet!AA260</f>
        <v>SL1987</v>
      </c>
      <c r="P218" t="str">
        <f>IF(ISNUMBER(modif0[[#This Row],[trvx]]),"",LEFT(modif0[[#This Row],[trvx]],LEN(modif0[[#This Row],[trvx]])-4))</f>
        <v>SL</v>
      </c>
      <c r="Q218">
        <f>VALUE(RIGHT(modif0[[#This Row],[trvx]],4))</f>
        <v>1987</v>
      </c>
      <c r="R218" t="str">
        <f>_xlfn.CONCAT(modif0[[#This Row],[tp]],"-",modif0[[#This Row],[essnc]],"_",modif0[[#This Row],[anns]])</f>
        <v>SL-PM_1987</v>
      </c>
      <c r="S218" t="b">
        <f>modif0[[#This Row],[tp]]="CR"</f>
        <v>0</v>
      </c>
      <c r="T218">
        <v>40</v>
      </c>
      <c r="U218" t="str">
        <f>IF(NOT($A218),"",
IF(AO218=-2,regle!$J$11,
IF(AO218=regle!$B$12,regle!$B$11,
IF(AO218=regle!$C$12,regle!$C$11,
IF(AO218=regle!$D$12,regle!$D$11,
IF(AO218=regle!$E$12,regle!$E$11,
IF(AO218=regle!$F$12,regle!$F$11,
IF(AO218=regle!$G$12,regle!$G$11,
IF(AO218=regle!$H$12,regle!$H$11,
IF(AO218=regle!$I$12,regle!$I$11,""))))))))))</f>
        <v/>
      </c>
      <c r="V218" t="str">
        <f>IF(NOT($A218),"",
IF(AP218=-2,regle!$J$11,
IF(AP218=regle!$B$12,regle!$B$11,
IF(AP218=regle!$C$12,regle!$C$11,
IF(AP218=regle!$D$12,regle!$D$11,
IF(AP218=regle!$E$12,regle!$E$11,
IF(AP218=regle!$F$12,regle!$F$11,
IF(AP218=regle!$G$12,regle!$G$11,
IF(AP218=regle!$H$12,regle!$H$11,
IF(AP218=regle!$I$12,regle!$I$11,""))))))))))</f>
        <v/>
      </c>
      <c r="W218" t="str">
        <f>IF(NOT($A218),"",
IF(AQ218=-2,regle!$J$11,
IF(AQ218=regle!$B$12,regle!$B$11,
IF(AQ218=regle!$C$12,regle!$C$11,
IF(AQ218=regle!$D$12,regle!$D$11,
IF(AQ218=regle!$E$12,regle!$E$11,
IF(AQ218=regle!$F$12,regle!$F$11,
IF(AQ218=regle!$G$12,regle!$G$11,
IF(AQ218=regle!$H$12,regle!$H$11,
IF(AQ218=regle!$I$12,regle!$I$11,""))))))))))</f>
        <v/>
      </c>
      <c r="X218" t="str">
        <f>IF(NOT($A218),"",
IF(AR218=-2,regle!$J$11,
IF(AR218=regle!$B$12,regle!$B$11,
IF(AR218=regle!$C$12,regle!$C$11,
IF(AR218=regle!$D$12,regle!$D$11,
IF(AR218=regle!$E$12,regle!$E$11,
IF(AR218=regle!$F$12,regle!$F$11,
IF(AR218=regle!$G$12,regle!$G$11,
IF(AR218=regle!$H$12,regle!$H$11,
IF(AR218=regle!$I$12,regle!$I$11,""))))))))))</f>
        <v>CR</v>
      </c>
      <c r="Y218" t="str">
        <f>IF(NOT($A218),"",
IF(AS218=-2,regle!$J$11,
IF(AS218=regle!$B$12,regle!$B$11,
IF(AS218=regle!$C$12,regle!$C$11,
IF(AS218=regle!$D$12,regle!$D$11,
IF(AS218=regle!$E$12,regle!$E$11,
IF(AS218=regle!$F$12,regle!$F$11,
IF(AS218=regle!$G$12,regle!$G$11,
IF(AS218=regle!$H$12,regle!$H$11,
IF(AS218=regle!$I$12,regle!$I$11,""))))))))))</f>
        <v/>
      </c>
      <c r="Z218" t="str">
        <f>IF(NOT($A218),"",
IF(AT218=-2,regle!$J$11,
IF(AT218=regle!$B$12,regle!$B$11,
IF(AT218=regle!$C$12,regle!$C$11,
IF(AT218=regle!$D$12,regle!$D$11,
IF(AT218=regle!$E$12,regle!$E$11,
IF(AT218=regle!$F$12,regle!$F$11,
IF(AT218=regle!$G$12,regle!$G$11,
IF(AT218=regle!$H$12,regle!$H$11,
IF(AT218=regle!$I$12,regle!$I$11,""))))))))))</f>
        <v>RBST</v>
      </c>
      <c r="AA218" t="str">
        <f>IF(NOT($A218),"",
IF(AU218=-2,regle!$J$11,
IF(AU218=regle!$B$12,regle!$B$11,
IF(AU218=regle!$C$12,regle!$C$11,
IF(AU218=regle!$D$12,regle!$D$11,
IF(AU218=regle!$E$12,regle!$E$11,
IF(AU218=regle!$F$12,regle!$F$11,
IF(AU218=regle!$G$12,regle!$G$11,
IF(AU218=regle!$H$12,regle!$H$11,
IF(AU218=regle!$I$12,regle!$I$11,""))))))))))</f>
        <v/>
      </c>
      <c r="AB218" t="str">
        <f>IF(NOT($A218),"",
IF(AV218=-2,regle!$J$11,
IF(AV218=regle!$B$12,regle!$B$11,
IF(AV218=regle!$C$12,regle!$C$11,
IF(AV218=regle!$D$12,regle!$D$11,
IF(AV218=regle!$E$12,regle!$E$11,
IF(AV218=regle!$F$12,regle!$F$11,
IF(AV218=regle!$G$12,regle!$G$11,
IF(AV218=regle!$H$12,regle!$H$11,
IF(AV218=regle!$I$12,regle!$I$11,""))))))))))</f>
        <v>DGT</v>
      </c>
      <c r="AC218" t="str">
        <f>IF(NOT($A218),"",
IF(AW218=-2,regle!$J$11,
IF(AW218=regle!$B$12,regle!$B$11,
IF(AW218=regle!$C$12,regle!$C$11,
IF(AW218=regle!$D$12,regle!$D$11,
IF(AW218=regle!$E$12,regle!$E$11,
IF(AW218=regle!$F$12,regle!$F$11,
IF(AW218=regle!$G$12,regle!$G$11,
IF(AW218=regle!$H$12,regle!$H$11,
IF(AW218=regle!$I$12,regle!$I$11,""))))))))))</f>
        <v/>
      </c>
      <c r="AD218" t="str">
        <f>IF(NOT($A218),"",
IF(AX218=-2,regle!$J$11,
IF(AX218=regle!$B$12,regle!$B$11,
IF(AX218=regle!$C$12,regle!$C$11,
IF(AX218=regle!$D$12,regle!$D$11,
IF(AX218=regle!$E$12,regle!$E$11,
IF(AX218=regle!$F$12,regle!$F$11,
IF(AX218=regle!$G$12,regle!$G$11,
IF(AX218=regle!$H$12,regle!$H$11,
IF(AX218=regle!$I$12,regle!$I$11,""))))))))))</f>
        <v/>
      </c>
      <c r="AE218" s="14">
        <f>IF($A218,$M218*(IF(U218=regle!$B$11,regle!$B$23,IF(U218=regle!$C$11,regle!$C$23,IF(U218=regle!$D$11,regle!$D$23,IF(U218=regle!$E$11,regle!$E$23,IF(U218=regle!$F$11,regle!$F$23,IF(U218=regle!$G$11,regle!$G$23,IF(U218=regle!$H$11,regle!$H$23,IF(U218=regle!$I$11,regle!$I$23,IF(U218=regle!$J$11,regle!$J$23,0)))))))))))</f>
        <v>0</v>
      </c>
      <c r="AF218" s="14">
        <f>IF($A218,$M218*(IF(V218=regle!$B$11,regle!$B$23,IF(V218=regle!$C$11,regle!$C$23,IF(V218=regle!$D$11,regle!$D$23,IF(V218=regle!$E$11,regle!$E$23,IF(V218=regle!$F$11,regle!$F$23,IF(V218=regle!$G$11,regle!$G$23,IF(V218=regle!$H$11,regle!$H$23,IF(V218=regle!$I$11,regle!$I$23,IF(V218=regle!$J$11,regle!$J$23,0)))))))))))</f>
        <v>0</v>
      </c>
      <c r="AG218" s="14">
        <f>IF($A218,$M218*(IF(W218=regle!$B$11,regle!$B$23,IF(W218=regle!$C$11,regle!$C$23,IF(W218=regle!$D$11,regle!$D$23,IF(W218=regle!$E$11,regle!$E$23,IF(W218=regle!$F$11,regle!$F$23,IF(W218=regle!$G$11,regle!$G$23,IF(W218=regle!$H$11,regle!$H$23,IF(W218=regle!$I$11,regle!$I$23,IF(W218=regle!$J$11,regle!$J$23,0)))))))))))</f>
        <v>0</v>
      </c>
      <c r="AH218" s="14">
        <f>IF($A218,$M218*(IF(X218=regle!$B$11,regle!$B$23,IF(X218=regle!$C$11,regle!$C$23,IF(X218=regle!$D$11,regle!$D$23,IF(X218=regle!$E$11,regle!$E$23,IF(X218=regle!$F$11,regle!$F$23,IF(X218=regle!$G$11,regle!$G$23,IF(X218=regle!$H$11,regle!$H$23,IF(X218=regle!$I$11,regle!$I$23,IF(X218=regle!$J$11,regle!$J$23,0)))))))))))</f>
        <v>6910.64</v>
      </c>
      <c r="AI218" s="14">
        <f>IF($A218,$M218*(IF(Y218=regle!$B$11,regle!$B$23,IF(Y218=regle!$C$11,regle!$C$23,IF(Y218=regle!$D$11,regle!$D$23,IF(Y218=regle!$E$11,regle!$E$23,IF(Y218=regle!$F$11,regle!$F$23,IF(Y218=regle!$G$11,regle!$G$23,IF(Y218=regle!$H$11,regle!$H$23,IF(Y218=regle!$I$11,regle!$I$23,IF(Y218=regle!$J$11,regle!$J$23,0)))))))))))</f>
        <v>0</v>
      </c>
      <c r="AJ218" s="14">
        <f>IF($A218,$M218*(IF(Z218=regle!$B$11,regle!$B$23,IF(Z218=regle!$C$11,regle!$C$23,IF(Z218=regle!$D$11,regle!$D$23,IF(Z218=regle!$E$11,regle!$E$23,IF(Z218=regle!$F$11,regle!$F$23,IF(Z218=regle!$G$11,regle!$G$23,IF(Z218=regle!$H$11,regle!$H$23,IF(Z218=regle!$I$11,regle!$I$23,IF(Z218=regle!$J$11,regle!$J$23,0)))))))))))</f>
        <v>-1335.01</v>
      </c>
      <c r="AK218" s="14">
        <f>IF($A218,$M218*(IF(AA218=regle!$B$11,regle!$B$23,IF(AA218=regle!$C$11,regle!$C$23,IF(AA218=regle!$D$11,regle!$D$23,IF(AA218=regle!$E$11,regle!$E$23,IF(AA218=regle!$F$11,regle!$F$23,IF(AA218=regle!$G$11,regle!$G$23,IF(AA218=regle!$H$11,regle!$H$23,IF(AA218=regle!$I$11,regle!$I$23,IF(AA218=regle!$J$11,regle!$J$23,0)))))))))))</f>
        <v>0</v>
      </c>
      <c r="AL218" s="14">
        <f>IF($A218,$M218*(IF(AB218=regle!$B$11,regle!$B$23,IF(AB218=regle!$C$11,regle!$C$23,IF(AB218=regle!$D$11,regle!$D$23,IF(AB218=regle!$E$11,regle!$E$23,IF(AB218=regle!$F$11,regle!$F$23,IF(AB218=regle!$G$11,regle!$G$23,IF(AB218=regle!$H$11,regle!$H$23,IF(AB218=regle!$I$11,regle!$I$23,IF(AB218=regle!$J$11,regle!$J$23,0)))))))))))</f>
        <v>-58.897500000000001</v>
      </c>
      <c r="AM218" s="14">
        <f>IF($A218,$M218*(IF(AC218=regle!$B$11,regle!$B$23,IF(AC218=regle!$C$11,regle!$C$23,IF(AC218=regle!$D$11,regle!$D$23,IF(AC218=regle!$E$11,regle!$E$23,IF(AC218=regle!$F$11,regle!$F$23,IF(AC218=regle!$G$11,regle!$G$23,IF(AC218=regle!$H$11,regle!$H$23,IF(AC218=regle!$I$11,regle!$I$23,IF(AC218=regle!$J$11,regle!$J$23,0)))))))))))</f>
        <v>0</v>
      </c>
      <c r="AN218" s="14">
        <f>IF($A218,$M218*(IF(AD218=regle!$B$11,regle!$B$23,IF(AD218=regle!$C$11,regle!$C$23,IF(AD218=regle!$D$11,regle!$D$23,IF(AD218=regle!$E$11,regle!$E$23,IF(AD218=regle!$F$11,regle!$F$23,IF(AD218=regle!$G$11,regle!$G$23,IF(AD218=regle!$H$11,regle!$H$23,IF(AD218=regle!$I$11,regle!$I$23,IF(AD218=regle!$J$11,regle!$J$23,0)))))))))))</f>
        <v>0</v>
      </c>
      <c r="AO218">
        <f>IF(AO$1=$AO$1,IF(regle!B$2-$Q218&gt;=regle!$J$12,-2,IF($S218,IF(regle!$B$2-$Q218&gt;=2,0,-1),regle!B$2-$Q218)),IF(AN218+1&gt;=regle!$J$12,-2,AN218+1))</f>
        <v>37</v>
      </c>
      <c r="AP218">
        <f>IF(AP$1=$AO$1,IF(regle!C$2-$Q218&gt;=regle!$J$12,-2,IF($S218,IF(regle!$B$2-$Q218&gt;=2,0,-1),regle!C$2-$Q218)),IF(AO218+1&gt;=regle!$J$12,-2,AO218+1))</f>
        <v>38</v>
      </c>
      <c r="AQ218">
        <f>IF(AQ$1=$AO$1,IF(regle!D$2-$Q218&gt;=regle!$J$12,-2,IF($S218,IF(regle!$B$2-$Q218&gt;=2,0,-1),regle!D$2-$Q218)),IF(AP218+1&gt;=regle!$J$12,-2,AP218+1))</f>
        <v>39</v>
      </c>
      <c r="AR218">
        <f>IF(AR$1=$AO$1,IF(regle!E$2-$Q218&gt;=regle!$J$12,-2,IF($S218,IF(regle!$B$2-$Q218&gt;=2,0,-1),regle!E$2-$Q218)),IF(AQ218+1&gt;=regle!$J$12,-2,AQ218+1))</f>
        <v>-2</v>
      </c>
      <c r="AS218">
        <f>IF(AS$1=$AO$1,IF(regle!F$2-$Q218&gt;=regle!$J$12,-2,IF($S218,IF(regle!$B$2-$Q218&gt;=2,0,-1),regle!F$2-$Q218)),IF(AR218+1&gt;=regle!$J$12,-2,AR218+1))</f>
        <v>-1</v>
      </c>
      <c r="AT218">
        <f>IF(AT$1=$AO$1,IF(regle!G$2-$Q218&gt;=regle!$J$12,-2,IF($S218,IF(regle!$B$2-$Q218&gt;=2,0,-1),regle!G$2-$Q218)),IF(AS218+1&gt;=regle!$J$12,-2,AS218+1))</f>
        <v>0</v>
      </c>
      <c r="AU218">
        <f>IF(AU$1=$AO$1,IF(regle!H$2-$Q218&gt;=regle!$J$12,-2,IF($S218,IF(regle!$B$2-$Q218&gt;=2,0,-1),regle!H$2-$Q218)),IF(AT218+1&gt;=regle!$J$12,-2,AT218+1))</f>
        <v>1</v>
      </c>
      <c r="AV218">
        <f>IF(AV$1=$AO$1,IF(regle!I$2-$Q218&gt;=regle!$J$12,-2,IF($S218,IF(regle!$B$2-$Q218&gt;=2,0,-1),regle!I$2-$Q218)),IF(AU218+1&gt;=regle!$J$12,-2,AU218+1))</f>
        <v>2</v>
      </c>
      <c r="AW218">
        <f>IF(AW$1=$AO$1,IF(regle!J$2-$Q218&gt;=regle!$J$12,-2,IF($S218,IF(regle!$B$2-$Q218&gt;=2,0,-1),regle!J$2-$Q218)),IF(AV218+1&gt;=regle!$J$12,-2,AV218+1))</f>
        <v>3</v>
      </c>
      <c r="AX218">
        <f>IF(AX$1=$AO$1,IF(regle!K$2-$Q218&gt;=regle!$J$12,-2,IF($S218,IF(regle!$B$2-$Q218&gt;=2,0,-1),regle!K$2-$Q218)),IF(AW218+1&gt;=regle!$J$12,-2,AW218+1))</f>
        <v>4</v>
      </c>
    </row>
    <row r="219" spans="1:50" x14ac:dyDescent="0.25">
      <c r="A219" t="b">
        <f>AND(modif0[[#This Row],[cdstr]]&lt;&gt;0,OR(regle!$H$27=FALSE,modif0[[#This Row],[essnc]]="PM"))</f>
        <v>1</v>
      </c>
      <c r="B219">
        <f>ROW(objet!A261)</f>
        <v>261</v>
      </c>
      <c r="C219" s="10" t="str">
        <f>objet!D261</f>
        <v>2020000B1249</v>
      </c>
      <c r="D219" t="str">
        <f>LEFT(modif0[[#This Row],[cdstr]],3)</f>
        <v>202</v>
      </c>
      <c r="E219" s="10" t="str">
        <f>objet!G261</f>
        <v>HOSTENS</v>
      </c>
      <c r="F219">
        <f>LEN(modif0[[#This Row],[l_dt]])</f>
        <v>13</v>
      </c>
      <c r="G219" s="10" t="str">
        <f>objet!H261</f>
        <v>LA BROUSTETTE</v>
      </c>
      <c r="H219" s="10" t="str">
        <f>objet!C261</f>
        <v>B1249p</v>
      </c>
      <c r="I219" t="str">
        <f>IF(ISNUMBER(VALUE(RIGHT(LEFT(modif0[[#This Row],[idntfn]],2),1))),_xlfn.CONCAT(0,LEFT(modif0[[#This Row],[idntfn]],1)),LEFT(modif0[[#This Row],[idntfn]],2))</f>
        <v>0B</v>
      </c>
      <c r="J219">
        <f>VALUE(LEFT(RIGHT(modif0[[#This Row],[idntfn]],LEN(modif0[[#This Row],[idntfn]])-IF(LEFT(modif0[[#This Row],[sctn]],1)="0",1,2)),LEN(modif0[[#This Row],[idntfn]])-IF(LEFT(modif0[[#This Row],[sctn]],1)="0",1,2)-LEN(modif0[[#This Row],[lttr]])))</f>
        <v>1249</v>
      </c>
      <c r="K219" t="str">
        <f>IF(ISNUMBER(VALUE(RIGHT(modif0[[#This Row],[idntfn]],1))),"",IF(ISNUMBER(VALUE(LEFT(RIGHT(modif0[[#This Row],[idntfn]],2),1))),RIGHT(modif0[[#This Row],[idntfn]],1),RIGHT(modif0[[#This Row],[idntfn]],2)))</f>
        <v>p</v>
      </c>
      <c r="L219" s="10">
        <f>objet!I261</f>
        <v>18421</v>
      </c>
      <c r="M219" s="11">
        <f>modif0[[#This Row],[srfc]]/10000</f>
        <v>1.8421000000000001</v>
      </c>
      <c r="N219" s="10" t="str">
        <f>objet!Z261</f>
        <v>PM</v>
      </c>
      <c r="O219" s="10" t="str">
        <f>objet!AA261</f>
        <v>PLA2018</v>
      </c>
      <c r="P219" t="str">
        <f>IF(ISNUMBER(modif0[[#This Row],[trvx]]),"",LEFT(modif0[[#This Row],[trvx]],LEN(modif0[[#This Row],[trvx]])-4))</f>
        <v>PLA</v>
      </c>
      <c r="Q219">
        <f>VALUE(RIGHT(modif0[[#This Row],[trvx]],4))</f>
        <v>2018</v>
      </c>
      <c r="R219" t="str">
        <f>_xlfn.CONCAT(modif0[[#This Row],[tp]],"-",modif0[[#This Row],[essnc]],"_",modif0[[#This Row],[anns]])</f>
        <v>PLA-PM_2018</v>
      </c>
      <c r="S219" t="b">
        <f>modif0[[#This Row],[tp]]="CR"</f>
        <v>0</v>
      </c>
      <c r="T219">
        <v>40</v>
      </c>
      <c r="U219" t="str">
        <f>IF(NOT($A219),"",
IF(AO219=-2,regle!$J$11,
IF(AO219=regle!$B$12,regle!$B$11,
IF(AO219=regle!$C$12,regle!$C$11,
IF(AO219=regle!$D$12,regle!$D$11,
IF(AO219=regle!$E$12,regle!$E$11,
IF(AO219=regle!$F$12,regle!$F$11,
IF(AO219=regle!$G$12,regle!$G$11,
IF(AO219=regle!$H$12,regle!$H$11,
IF(AO219=regle!$I$12,regle!$I$11,""))))))))))</f>
        <v/>
      </c>
      <c r="V219" t="str">
        <f>IF(NOT($A219),"",
IF(AP219=-2,regle!$J$11,
IF(AP219=regle!$B$12,regle!$B$11,
IF(AP219=regle!$C$12,regle!$C$11,
IF(AP219=regle!$D$12,regle!$D$11,
IF(AP219=regle!$E$12,regle!$E$11,
IF(AP219=regle!$F$12,regle!$F$11,
IF(AP219=regle!$G$12,regle!$G$11,
IF(AP219=regle!$H$12,regle!$H$11,
IF(AP219=regle!$I$12,regle!$I$11,""))))))))))</f>
        <v/>
      </c>
      <c r="W219" t="str">
        <f>IF(NOT($A219),"",
IF(AQ219=-2,regle!$J$11,
IF(AQ219=regle!$B$12,regle!$B$11,
IF(AQ219=regle!$C$12,regle!$C$11,
IF(AQ219=regle!$D$12,regle!$D$11,
IF(AQ219=regle!$E$12,regle!$E$11,
IF(AQ219=regle!$F$12,regle!$F$11,
IF(AQ219=regle!$G$12,regle!$G$11,
IF(AQ219=regle!$H$12,regle!$H$11,
IF(AQ219=regle!$I$12,regle!$I$11,""))))))))))</f>
        <v>ENT2</v>
      </c>
      <c r="X219" t="str">
        <f>IF(NOT($A219),"",
IF(AR219=-2,regle!$J$11,
IF(AR219=regle!$B$12,regle!$B$11,
IF(AR219=regle!$C$12,regle!$C$11,
IF(AR219=regle!$D$12,regle!$D$11,
IF(AR219=regle!$E$12,regle!$E$11,
IF(AR219=regle!$F$12,regle!$F$11,
IF(AR219=regle!$G$12,regle!$G$11,
IF(AR219=regle!$H$12,regle!$H$11,
IF(AR219=regle!$I$12,regle!$I$11,""))))))))))</f>
        <v/>
      </c>
      <c r="Y219" t="str">
        <f>IF(NOT($A219),"",
IF(AS219=-2,regle!$J$11,
IF(AS219=regle!$B$12,regle!$B$11,
IF(AS219=regle!$C$12,regle!$C$11,
IF(AS219=regle!$D$12,regle!$D$11,
IF(AS219=regle!$E$12,regle!$E$11,
IF(AS219=regle!$F$12,regle!$F$11,
IF(AS219=regle!$G$12,regle!$G$11,
IF(AS219=regle!$H$12,regle!$H$11,
IF(AS219=regle!$I$12,regle!$I$11,""))))))))))</f>
        <v/>
      </c>
      <c r="Z219" t="str">
        <f>IF(NOT($A219),"",
IF(AT219=-2,regle!$J$11,
IF(AT219=regle!$B$12,regle!$B$11,
IF(AT219=regle!$C$12,regle!$C$11,
IF(AT219=regle!$D$12,regle!$D$11,
IF(AT219=regle!$E$12,regle!$E$11,
IF(AT219=regle!$F$12,regle!$F$11,
IF(AT219=regle!$G$12,regle!$G$11,
IF(AT219=regle!$H$12,regle!$H$11,
IF(AT219=regle!$I$12,regle!$I$11,""))))))))))</f>
        <v/>
      </c>
      <c r="AA219" t="str">
        <f>IF(NOT($A219),"",
IF(AU219=-2,regle!$J$11,
IF(AU219=regle!$B$12,regle!$B$11,
IF(AU219=regle!$C$12,regle!$C$11,
IF(AU219=regle!$D$12,regle!$D$11,
IF(AU219=regle!$E$12,regle!$E$11,
IF(AU219=regle!$F$12,regle!$F$11,
IF(AU219=regle!$G$12,regle!$G$11,
IF(AU219=regle!$H$12,regle!$H$11,
IF(AU219=regle!$I$12,regle!$I$11,""))))))))))</f>
        <v/>
      </c>
      <c r="AB219" t="str">
        <f>IF(NOT($A219),"",
IF(AV219=-2,regle!$J$11,
IF(AV219=regle!$B$12,regle!$B$11,
IF(AV219=regle!$C$12,regle!$C$11,
IF(AV219=regle!$D$12,regle!$D$11,
IF(AV219=regle!$E$12,regle!$E$11,
IF(AV219=regle!$F$12,regle!$F$11,
IF(AV219=regle!$G$12,regle!$G$11,
IF(AV219=regle!$H$12,regle!$H$11,
IF(AV219=regle!$I$12,regle!$I$11,""))))))))))</f>
        <v>EC1</v>
      </c>
      <c r="AC219" t="str">
        <f>IF(NOT($A219),"",
IF(AW219=-2,regle!$J$11,
IF(AW219=regle!$B$12,regle!$B$11,
IF(AW219=regle!$C$12,regle!$C$11,
IF(AW219=regle!$D$12,regle!$D$11,
IF(AW219=regle!$E$12,regle!$E$11,
IF(AW219=regle!$F$12,regle!$F$11,
IF(AW219=regle!$G$12,regle!$G$11,
IF(AW219=regle!$H$12,regle!$H$11,
IF(AW219=regle!$I$12,regle!$I$11,""))))))))))</f>
        <v/>
      </c>
      <c r="AD219" t="str">
        <f>IF(NOT($A219),"",
IF(AX219=-2,regle!$J$11,
IF(AX219=regle!$B$12,regle!$B$11,
IF(AX219=regle!$C$12,regle!$C$11,
IF(AX219=regle!$D$12,regle!$D$11,
IF(AX219=regle!$E$12,regle!$E$11,
IF(AX219=regle!$F$12,regle!$F$11,
IF(AX219=regle!$G$12,regle!$G$11,
IF(AX219=regle!$H$12,regle!$H$11,
IF(AX219=regle!$I$12,regle!$I$11,""))))))))))</f>
        <v/>
      </c>
      <c r="AE219" s="14">
        <f>IF($A219,$M219*(IF(U219=regle!$B$11,regle!$B$23,IF(U219=regle!$C$11,regle!$C$23,IF(U219=regle!$D$11,regle!$D$23,IF(U219=regle!$E$11,regle!$E$23,IF(U219=regle!$F$11,regle!$F$23,IF(U219=regle!$G$11,regle!$G$23,IF(U219=regle!$H$11,regle!$H$23,IF(U219=regle!$I$11,regle!$I$23,IF(U219=regle!$J$11,regle!$J$23,0)))))))))))</f>
        <v>0</v>
      </c>
      <c r="AF219" s="14">
        <f>IF($A219,$M219*(IF(V219=regle!$B$11,regle!$B$23,IF(V219=regle!$C$11,regle!$C$23,IF(V219=regle!$D$11,regle!$D$23,IF(V219=regle!$E$11,regle!$E$23,IF(V219=regle!$F$11,regle!$F$23,IF(V219=regle!$G$11,regle!$G$23,IF(V219=regle!$H$11,regle!$H$23,IF(V219=regle!$I$11,regle!$I$23,IF(V219=regle!$J$11,regle!$J$23,0)))))))))))</f>
        <v>0</v>
      </c>
      <c r="AG219" s="14">
        <f>IF($A219,$M219*(IF(W219=regle!$B$11,regle!$B$23,IF(W219=regle!$C$11,regle!$C$23,IF(W219=regle!$D$11,regle!$D$23,IF(W219=regle!$E$11,regle!$E$23,IF(W219=regle!$F$11,regle!$F$23,IF(W219=regle!$G$11,regle!$G$23,IF(W219=regle!$H$11,regle!$H$23,IF(W219=regle!$I$11,regle!$I$23,IF(W219=regle!$J$11,regle!$J$23,0)))))))))))</f>
        <v>-165.78900000000002</v>
      </c>
      <c r="AH219" s="14">
        <f>IF($A219,$M219*(IF(X219=regle!$B$11,regle!$B$23,IF(X219=regle!$C$11,regle!$C$23,IF(X219=regle!$D$11,regle!$D$23,IF(X219=regle!$E$11,regle!$E$23,IF(X219=regle!$F$11,regle!$F$23,IF(X219=regle!$G$11,regle!$G$23,IF(X219=regle!$H$11,regle!$H$23,IF(X219=regle!$I$11,regle!$I$23,IF(X219=regle!$J$11,regle!$J$23,0)))))))))))</f>
        <v>0</v>
      </c>
      <c r="AI219" s="14">
        <f>IF($A219,$M219*(IF(Y219=regle!$B$11,regle!$B$23,IF(Y219=regle!$C$11,regle!$C$23,IF(Y219=regle!$D$11,regle!$D$23,IF(Y219=regle!$E$11,regle!$E$23,IF(Y219=regle!$F$11,regle!$F$23,IF(Y219=regle!$G$11,regle!$G$23,IF(Y219=regle!$H$11,regle!$H$23,IF(Y219=regle!$I$11,regle!$I$23,IF(Y219=regle!$J$11,regle!$J$23,0)))))))))))</f>
        <v>0</v>
      </c>
      <c r="AJ219" s="14">
        <f>IF($A219,$M219*(IF(Z219=regle!$B$11,regle!$B$23,IF(Z219=regle!$C$11,regle!$C$23,IF(Z219=regle!$D$11,regle!$D$23,IF(Z219=regle!$E$11,regle!$E$23,IF(Z219=regle!$F$11,regle!$F$23,IF(Z219=regle!$G$11,regle!$G$23,IF(Z219=regle!$H$11,regle!$H$23,IF(Z219=regle!$I$11,regle!$I$23,IF(Z219=regle!$J$11,regle!$J$23,0)))))))))))</f>
        <v>0</v>
      </c>
      <c r="AK219" s="14">
        <f>IF($A219,$M219*(IF(AA219=regle!$B$11,regle!$B$23,IF(AA219=regle!$C$11,regle!$C$23,IF(AA219=regle!$D$11,regle!$D$23,IF(AA219=regle!$E$11,regle!$E$23,IF(AA219=regle!$F$11,regle!$F$23,IF(AA219=regle!$G$11,regle!$G$23,IF(AA219=regle!$H$11,regle!$H$23,IF(AA219=regle!$I$11,regle!$I$23,IF(AA219=regle!$J$11,regle!$J$23,0)))))))))))</f>
        <v>0</v>
      </c>
      <c r="AL219" s="14">
        <f>IF($A219,$M219*(IF(AB219=regle!$B$11,regle!$B$23,IF(AB219=regle!$C$11,regle!$C$23,IF(AB219=regle!$D$11,regle!$D$23,IF(AB219=regle!$E$11,regle!$E$23,IF(AB219=regle!$F$11,regle!$F$23,IF(AB219=regle!$G$11,regle!$G$23,IF(AB219=regle!$H$11,regle!$H$23,IF(AB219=regle!$I$11,regle!$I$23,IF(AB219=regle!$J$11,regle!$J$23,0)))))))))))</f>
        <v>1061.0496000000001</v>
      </c>
      <c r="AM219" s="14">
        <f>IF($A219,$M219*(IF(AC219=regle!$B$11,regle!$B$23,IF(AC219=regle!$C$11,regle!$C$23,IF(AC219=regle!$D$11,regle!$D$23,IF(AC219=regle!$E$11,regle!$E$23,IF(AC219=regle!$F$11,regle!$F$23,IF(AC219=regle!$G$11,regle!$G$23,IF(AC219=regle!$H$11,regle!$H$23,IF(AC219=regle!$I$11,regle!$I$23,IF(AC219=regle!$J$11,regle!$J$23,0)))))))))))</f>
        <v>0</v>
      </c>
      <c r="AN219" s="14">
        <f>IF($A219,$M219*(IF(AD219=regle!$B$11,regle!$B$23,IF(AD219=regle!$C$11,regle!$C$23,IF(AD219=regle!$D$11,regle!$D$23,IF(AD219=regle!$E$11,regle!$E$23,IF(AD219=regle!$F$11,regle!$F$23,IF(AD219=regle!$G$11,regle!$G$23,IF(AD219=regle!$H$11,regle!$H$23,IF(AD219=regle!$I$11,regle!$I$23,IF(AD219=regle!$J$11,regle!$J$23,0)))))))))))</f>
        <v>0</v>
      </c>
      <c r="AO219">
        <f>IF(AO$1=$AO$1,IF(regle!B$2-$Q219&gt;=regle!$J$12,-2,IF($S219,IF(regle!$B$2-$Q219&gt;=2,0,-1),regle!B$2-$Q219)),IF(AN219+1&gt;=regle!$J$12,-2,AN219+1))</f>
        <v>6</v>
      </c>
      <c r="AP219">
        <f>IF(AP$1=$AO$1,IF(regle!C$2-$Q219&gt;=regle!$J$12,-2,IF($S219,IF(regle!$B$2-$Q219&gt;=2,0,-1),regle!C$2-$Q219)),IF(AO219+1&gt;=regle!$J$12,-2,AO219+1))</f>
        <v>7</v>
      </c>
      <c r="AQ219">
        <f>IF(AQ$1=$AO$1,IF(regle!D$2-$Q219&gt;=regle!$J$12,-2,IF($S219,IF(regle!$B$2-$Q219&gt;=2,0,-1),regle!D$2-$Q219)),IF(AP219+1&gt;=regle!$J$12,-2,AP219+1))</f>
        <v>8</v>
      </c>
      <c r="AR219">
        <f>IF(AR$1=$AO$1,IF(regle!E$2-$Q219&gt;=regle!$J$12,-2,IF($S219,IF(regle!$B$2-$Q219&gt;=2,0,-1),regle!E$2-$Q219)),IF(AQ219+1&gt;=regle!$J$12,-2,AQ219+1))</f>
        <v>9</v>
      </c>
      <c r="AS219">
        <f>IF(AS$1=$AO$1,IF(regle!F$2-$Q219&gt;=regle!$J$12,-2,IF($S219,IF(regle!$B$2-$Q219&gt;=2,0,-1),regle!F$2-$Q219)),IF(AR219+1&gt;=regle!$J$12,-2,AR219+1))</f>
        <v>10</v>
      </c>
      <c r="AT219">
        <f>IF(AT$1=$AO$1,IF(regle!G$2-$Q219&gt;=regle!$J$12,-2,IF($S219,IF(regle!$B$2-$Q219&gt;=2,0,-1),regle!G$2-$Q219)),IF(AS219+1&gt;=regle!$J$12,-2,AS219+1))</f>
        <v>11</v>
      </c>
      <c r="AU219">
        <f>IF(AU$1=$AO$1,IF(regle!H$2-$Q219&gt;=regle!$J$12,-2,IF($S219,IF(regle!$B$2-$Q219&gt;=2,0,-1),regle!H$2-$Q219)),IF(AT219+1&gt;=regle!$J$12,-2,AT219+1))</f>
        <v>12</v>
      </c>
      <c r="AV219">
        <f>IF(AV$1=$AO$1,IF(regle!I$2-$Q219&gt;=regle!$J$12,-2,IF($S219,IF(regle!$B$2-$Q219&gt;=2,0,-1),regle!I$2-$Q219)),IF(AU219+1&gt;=regle!$J$12,-2,AU219+1))</f>
        <v>13</v>
      </c>
      <c r="AW219">
        <f>IF(AW$1=$AO$1,IF(regle!J$2-$Q219&gt;=regle!$J$12,-2,IF($S219,IF(regle!$B$2-$Q219&gt;=2,0,-1),regle!J$2-$Q219)),IF(AV219+1&gt;=regle!$J$12,-2,AV219+1))</f>
        <v>14</v>
      </c>
      <c r="AX219">
        <f>IF(AX$1=$AO$1,IF(regle!K$2-$Q219&gt;=regle!$J$12,-2,IF($S219,IF(regle!$B$2-$Q219&gt;=2,0,-1),regle!K$2-$Q219)),IF(AW219+1&gt;=regle!$J$12,-2,AW219+1))</f>
        <v>15</v>
      </c>
    </row>
    <row r="220" spans="1:50" x14ac:dyDescent="0.25">
      <c r="A220" t="b">
        <f>AND(modif0[[#This Row],[cdstr]]&lt;&gt;0,OR(regle!$H$27=FALSE,modif0[[#This Row],[essnc]]="PM"))</f>
        <v>1</v>
      </c>
      <c r="B220">
        <f>ROW(objet!A262)</f>
        <v>262</v>
      </c>
      <c r="C220" s="10" t="str">
        <f>objet!D262</f>
        <v>2020000B1258</v>
      </c>
      <c r="D220" t="str">
        <f>LEFT(modif0[[#This Row],[cdstr]],3)</f>
        <v>202</v>
      </c>
      <c r="E220" s="10" t="str">
        <f>objet!G262</f>
        <v>HOSTENS</v>
      </c>
      <c r="F220">
        <f>LEN(modif0[[#This Row],[l_dt]])</f>
        <v>13</v>
      </c>
      <c r="G220" s="10" t="str">
        <f>objet!H262</f>
        <v>LA BROUSTETTE</v>
      </c>
      <c r="H220" s="10" t="str">
        <f>objet!C262</f>
        <v>B1258</v>
      </c>
      <c r="I220" t="str">
        <f>IF(ISNUMBER(VALUE(RIGHT(LEFT(modif0[[#This Row],[idntfn]],2),1))),_xlfn.CONCAT(0,LEFT(modif0[[#This Row],[idntfn]],1)),LEFT(modif0[[#This Row],[idntfn]],2))</f>
        <v>0B</v>
      </c>
      <c r="J220">
        <f>VALUE(LEFT(RIGHT(modif0[[#This Row],[idntfn]],LEN(modif0[[#This Row],[idntfn]])-IF(LEFT(modif0[[#This Row],[sctn]],1)="0",1,2)),LEN(modif0[[#This Row],[idntfn]])-IF(LEFT(modif0[[#This Row],[sctn]],1)="0",1,2)-LEN(modif0[[#This Row],[lttr]])))</f>
        <v>1258</v>
      </c>
      <c r="K220" t="str">
        <f>IF(ISNUMBER(VALUE(RIGHT(modif0[[#This Row],[idntfn]],1))),"",IF(ISNUMBER(VALUE(LEFT(RIGHT(modif0[[#This Row],[idntfn]],2),1))),RIGHT(modif0[[#This Row],[idntfn]],1),RIGHT(modif0[[#This Row],[idntfn]],2)))</f>
        <v/>
      </c>
      <c r="L220" s="10">
        <f>objet!I262</f>
        <v>7220</v>
      </c>
      <c r="M220" s="11">
        <f>modif0[[#This Row],[srfc]]/10000</f>
        <v>0.72199999999999998</v>
      </c>
      <c r="N220" s="10" t="str">
        <f>objet!Z262</f>
        <v>PM</v>
      </c>
      <c r="O220" s="10" t="str">
        <f>objet!AA262</f>
        <v>PLA2004</v>
      </c>
      <c r="P220" t="str">
        <f>IF(ISNUMBER(modif0[[#This Row],[trvx]]),"",LEFT(modif0[[#This Row],[trvx]],LEN(modif0[[#This Row],[trvx]])-4))</f>
        <v>PLA</v>
      </c>
      <c r="Q220">
        <f>VALUE(RIGHT(modif0[[#This Row],[trvx]],4))</f>
        <v>2004</v>
      </c>
      <c r="R220" t="str">
        <f>_xlfn.CONCAT(modif0[[#This Row],[tp]],"-",modif0[[#This Row],[essnc]],"_",modif0[[#This Row],[anns]])</f>
        <v>PLA-PM_2004</v>
      </c>
      <c r="S220" t="b">
        <f>modif0[[#This Row],[tp]]="CR"</f>
        <v>0</v>
      </c>
      <c r="T220">
        <v>40</v>
      </c>
      <c r="U220" t="str">
        <f>IF(NOT($A220),"",
IF(AO220=-2,regle!$J$11,
IF(AO220=regle!$B$12,regle!$B$11,
IF(AO220=regle!$C$12,regle!$C$11,
IF(AO220=regle!$D$12,regle!$D$11,
IF(AO220=regle!$E$12,regle!$E$11,
IF(AO220=regle!$F$12,regle!$F$11,
IF(AO220=regle!$G$12,regle!$G$11,
IF(AO220=regle!$H$12,regle!$H$11,
IF(AO220=regle!$I$12,regle!$I$11,""))))))))))</f>
        <v/>
      </c>
      <c r="V220" t="str">
        <f>IF(NOT($A220),"",
IF(AP220=-2,regle!$J$11,
IF(AP220=regle!$B$12,regle!$B$11,
IF(AP220=regle!$C$12,regle!$C$11,
IF(AP220=regle!$D$12,regle!$D$11,
IF(AP220=regle!$E$12,regle!$E$11,
IF(AP220=regle!$F$12,regle!$F$11,
IF(AP220=regle!$G$12,regle!$G$11,
IF(AP220=regle!$H$12,regle!$H$11,
IF(AP220=regle!$I$12,regle!$I$11,""))))))))))</f>
        <v/>
      </c>
      <c r="W220" t="str">
        <f>IF(NOT($A220),"",
IF(AQ220=-2,regle!$J$11,
IF(AQ220=regle!$B$12,regle!$B$11,
IF(AQ220=regle!$C$12,regle!$C$11,
IF(AQ220=regle!$D$12,regle!$D$11,
IF(AQ220=regle!$E$12,regle!$E$11,
IF(AQ220=regle!$F$12,regle!$F$11,
IF(AQ220=regle!$G$12,regle!$G$11,
IF(AQ220=regle!$H$12,regle!$H$11,
IF(AQ220=regle!$I$12,regle!$I$11,""))))))))))</f>
        <v/>
      </c>
      <c r="X220" t="str">
        <f>IF(NOT($A220),"",
IF(AR220=-2,regle!$J$11,
IF(AR220=regle!$B$12,regle!$B$11,
IF(AR220=regle!$C$12,regle!$C$11,
IF(AR220=regle!$D$12,regle!$D$11,
IF(AR220=regle!$E$12,regle!$E$11,
IF(AR220=regle!$F$12,regle!$F$11,
IF(AR220=regle!$G$12,regle!$G$11,
IF(AR220=regle!$H$12,regle!$H$11,
IF(AR220=regle!$I$12,regle!$I$11,""))))))))))</f>
        <v>EC3</v>
      </c>
      <c r="Y220" t="str">
        <f>IF(NOT($A220),"",
IF(AS220=-2,regle!$J$11,
IF(AS220=regle!$B$12,regle!$B$11,
IF(AS220=regle!$C$12,regle!$C$11,
IF(AS220=regle!$D$12,regle!$D$11,
IF(AS220=regle!$E$12,regle!$E$11,
IF(AS220=regle!$F$12,regle!$F$11,
IF(AS220=regle!$G$12,regle!$G$11,
IF(AS220=regle!$H$12,regle!$H$11,
IF(AS220=regle!$I$12,regle!$I$11,""))))))))))</f>
        <v/>
      </c>
      <c r="Z220" t="str">
        <f>IF(NOT($A220),"",
IF(AT220=-2,regle!$J$11,
IF(AT220=regle!$B$12,regle!$B$11,
IF(AT220=regle!$C$12,regle!$C$11,
IF(AT220=regle!$D$12,regle!$D$11,
IF(AT220=regle!$E$12,regle!$E$11,
IF(AT220=regle!$F$12,regle!$F$11,
IF(AT220=regle!$G$12,regle!$G$11,
IF(AT220=regle!$H$12,regle!$H$11,
IF(AT220=regle!$I$12,regle!$I$11,""))))))))))</f>
        <v/>
      </c>
      <c r="AA220" t="str">
        <f>IF(NOT($A220),"",
IF(AU220=-2,regle!$J$11,
IF(AU220=regle!$B$12,regle!$B$11,
IF(AU220=regle!$C$12,regle!$C$11,
IF(AU220=regle!$D$12,regle!$D$11,
IF(AU220=regle!$E$12,regle!$E$11,
IF(AU220=regle!$F$12,regle!$F$11,
IF(AU220=regle!$G$12,regle!$G$11,
IF(AU220=regle!$H$12,regle!$H$11,
IF(AU220=regle!$I$12,regle!$I$11,""))))))))))</f>
        <v/>
      </c>
      <c r="AB220" t="str">
        <f>IF(NOT($A220),"",
IF(AV220=-2,regle!$J$11,
IF(AV220=regle!$B$12,regle!$B$11,
IF(AV220=regle!$C$12,regle!$C$11,
IF(AV220=regle!$D$12,regle!$D$11,
IF(AV220=regle!$E$12,regle!$E$11,
IF(AV220=regle!$F$12,regle!$F$11,
IF(AV220=regle!$G$12,regle!$G$11,
IF(AV220=regle!$H$12,regle!$H$11,
IF(AV220=regle!$I$12,regle!$I$11,""))))))))))</f>
        <v/>
      </c>
      <c r="AC220" t="str">
        <f>IF(NOT($A220),"",
IF(AW220=-2,regle!$J$11,
IF(AW220=regle!$B$12,regle!$B$11,
IF(AW220=regle!$C$12,regle!$C$11,
IF(AW220=regle!$D$12,regle!$D$11,
IF(AW220=regle!$E$12,regle!$E$11,
IF(AW220=regle!$F$12,regle!$F$11,
IF(AW220=regle!$G$12,regle!$G$11,
IF(AW220=regle!$H$12,regle!$H$11,
IF(AW220=regle!$I$12,regle!$I$11,""))))))))))</f>
        <v>EC4</v>
      </c>
      <c r="AD220" t="str">
        <f>IF(NOT($A220),"",
IF(AX220=-2,regle!$J$11,
IF(AX220=regle!$B$12,regle!$B$11,
IF(AX220=regle!$C$12,regle!$C$11,
IF(AX220=regle!$D$12,regle!$D$11,
IF(AX220=regle!$E$12,regle!$E$11,
IF(AX220=regle!$F$12,regle!$F$11,
IF(AX220=regle!$G$12,regle!$G$11,
IF(AX220=regle!$H$12,regle!$H$11,
IF(AX220=regle!$I$12,regle!$I$11,""))))))))))</f>
        <v/>
      </c>
      <c r="AE220" s="14">
        <f>IF($A220,$M220*(IF(U220=regle!$B$11,regle!$B$23,IF(U220=regle!$C$11,regle!$C$23,IF(U220=regle!$D$11,regle!$D$23,IF(U220=regle!$E$11,regle!$E$23,IF(U220=regle!$F$11,regle!$F$23,IF(U220=regle!$G$11,regle!$G$23,IF(U220=regle!$H$11,regle!$H$23,IF(U220=regle!$I$11,regle!$I$23,IF(U220=regle!$J$11,regle!$J$23,0)))))))))))</f>
        <v>0</v>
      </c>
      <c r="AF220" s="14">
        <f>IF($A220,$M220*(IF(V220=regle!$B$11,regle!$B$23,IF(V220=regle!$C$11,regle!$C$23,IF(V220=regle!$D$11,regle!$D$23,IF(V220=regle!$E$11,regle!$E$23,IF(V220=regle!$F$11,regle!$F$23,IF(V220=regle!$G$11,regle!$G$23,IF(V220=regle!$H$11,regle!$H$23,IF(V220=regle!$I$11,regle!$I$23,IF(V220=regle!$J$11,regle!$J$23,0)))))))))))</f>
        <v>0</v>
      </c>
      <c r="AG220" s="14">
        <f>IF($A220,$M220*(IF(W220=regle!$B$11,regle!$B$23,IF(W220=regle!$C$11,regle!$C$23,IF(W220=regle!$D$11,regle!$D$23,IF(W220=regle!$E$11,regle!$E$23,IF(W220=regle!$F$11,regle!$F$23,IF(W220=regle!$G$11,regle!$G$23,IF(W220=regle!$H$11,regle!$H$23,IF(W220=regle!$I$11,regle!$I$23,IF(W220=regle!$J$11,regle!$J$23,0)))))))))))</f>
        <v>0</v>
      </c>
      <c r="AH220" s="14">
        <f>IF($A220,$M220*(IF(X220=regle!$B$11,regle!$B$23,IF(X220=regle!$C$11,regle!$C$23,IF(X220=regle!$D$11,regle!$D$23,IF(X220=regle!$E$11,regle!$E$23,IF(X220=regle!$F$11,regle!$F$23,IF(X220=regle!$G$11,regle!$G$23,IF(X220=regle!$H$11,regle!$H$23,IF(X220=regle!$I$11,regle!$I$23,IF(X220=regle!$J$11,regle!$J$23,0)))))))))))</f>
        <v>1016.576</v>
      </c>
      <c r="AI220" s="14">
        <f>IF($A220,$M220*(IF(Y220=regle!$B$11,regle!$B$23,IF(Y220=regle!$C$11,regle!$C$23,IF(Y220=regle!$D$11,regle!$D$23,IF(Y220=regle!$E$11,regle!$E$23,IF(Y220=regle!$F$11,regle!$F$23,IF(Y220=regle!$G$11,regle!$G$23,IF(Y220=regle!$H$11,regle!$H$23,IF(Y220=regle!$I$11,regle!$I$23,IF(Y220=regle!$J$11,regle!$J$23,0)))))))))))</f>
        <v>0</v>
      </c>
      <c r="AJ220" s="14">
        <f>IF($A220,$M220*(IF(Z220=regle!$B$11,regle!$B$23,IF(Z220=regle!$C$11,regle!$C$23,IF(Z220=regle!$D$11,regle!$D$23,IF(Z220=regle!$E$11,regle!$E$23,IF(Z220=regle!$F$11,regle!$F$23,IF(Z220=regle!$G$11,regle!$G$23,IF(Z220=regle!$H$11,regle!$H$23,IF(Z220=regle!$I$11,regle!$I$23,IF(Z220=regle!$J$11,regle!$J$23,0)))))))))))</f>
        <v>0</v>
      </c>
      <c r="AK220" s="14">
        <f>IF($A220,$M220*(IF(AA220=regle!$B$11,regle!$B$23,IF(AA220=regle!$C$11,regle!$C$23,IF(AA220=regle!$D$11,regle!$D$23,IF(AA220=regle!$E$11,regle!$E$23,IF(AA220=regle!$F$11,regle!$F$23,IF(AA220=regle!$G$11,regle!$G$23,IF(AA220=regle!$H$11,regle!$H$23,IF(AA220=regle!$I$11,regle!$I$23,IF(AA220=regle!$J$11,regle!$J$23,0)))))))))))</f>
        <v>0</v>
      </c>
      <c r="AL220" s="14">
        <f>IF($A220,$M220*(IF(AB220=regle!$B$11,regle!$B$23,IF(AB220=regle!$C$11,regle!$C$23,IF(AB220=regle!$D$11,regle!$D$23,IF(AB220=regle!$E$11,regle!$E$23,IF(AB220=regle!$F$11,regle!$F$23,IF(AB220=regle!$G$11,regle!$G$23,IF(AB220=regle!$H$11,regle!$H$23,IF(AB220=regle!$I$11,regle!$I$23,IF(AB220=regle!$J$11,regle!$J$23,0)))))))))))</f>
        <v>0</v>
      </c>
      <c r="AM220" s="14">
        <f>IF($A220,$M220*(IF(AC220=regle!$B$11,regle!$B$23,IF(AC220=regle!$C$11,regle!$C$23,IF(AC220=regle!$D$11,regle!$D$23,IF(AC220=regle!$E$11,regle!$E$23,IF(AC220=regle!$F$11,regle!$F$23,IF(AC220=regle!$G$11,regle!$G$23,IF(AC220=regle!$H$11,regle!$H$23,IF(AC220=regle!$I$11,regle!$I$23,IF(AC220=regle!$J$11,regle!$J$23,0)))))))))))</f>
        <v>924.16</v>
      </c>
      <c r="AN220" s="14">
        <f>IF($A220,$M220*(IF(AD220=regle!$B$11,regle!$B$23,IF(AD220=regle!$C$11,regle!$C$23,IF(AD220=regle!$D$11,regle!$D$23,IF(AD220=regle!$E$11,regle!$E$23,IF(AD220=regle!$F$11,regle!$F$23,IF(AD220=regle!$G$11,regle!$G$23,IF(AD220=regle!$H$11,regle!$H$23,IF(AD220=regle!$I$11,regle!$I$23,IF(AD220=regle!$J$11,regle!$J$23,0)))))))))))</f>
        <v>0</v>
      </c>
      <c r="AO220">
        <f>IF(AO$1=$AO$1,IF(regle!B$2-$Q220&gt;=regle!$J$12,-2,IF($S220,IF(regle!$B$2-$Q220&gt;=2,0,-1),regle!B$2-$Q220)),IF(AN220+1&gt;=regle!$J$12,-2,AN220+1))</f>
        <v>20</v>
      </c>
      <c r="AP220">
        <f>IF(AP$1=$AO$1,IF(regle!C$2-$Q220&gt;=regle!$J$12,-2,IF($S220,IF(regle!$B$2-$Q220&gt;=2,0,-1),regle!C$2-$Q220)),IF(AO220+1&gt;=regle!$J$12,-2,AO220+1))</f>
        <v>21</v>
      </c>
      <c r="AQ220">
        <f>IF(AQ$1=$AO$1,IF(regle!D$2-$Q220&gt;=regle!$J$12,-2,IF($S220,IF(regle!$B$2-$Q220&gt;=2,0,-1),regle!D$2-$Q220)),IF(AP220+1&gt;=regle!$J$12,-2,AP220+1))</f>
        <v>22</v>
      </c>
      <c r="AR220">
        <f>IF(AR$1=$AO$1,IF(regle!E$2-$Q220&gt;=regle!$J$12,-2,IF($S220,IF(regle!$B$2-$Q220&gt;=2,0,-1),regle!E$2-$Q220)),IF(AQ220+1&gt;=regle!$J$12,-2,AQ220+1))</f>
        <v>23</v>
      </c>
      <c r="AS220">
        <f>IF(AS$1=$AO$1,IF(regle!F$2-$Q220&gt;=regle!$J$12,-2,IF($S220,IF(regle!$B$2-$Q220&gt;=2,0,-1),regle!F$2-$Q220)),IF(AR220+1&gt;=regle!$J$12,-2,AR220+1))</f>
        <v>24</v>
      </c>
      <c r="AT220">
        <f>IF(AT$1=$AO$1,IF(regle!G$2-$Q220&gt;=regle!$J$12,-2,IF($S220,IF(regle!$B$2-$Q220&gt;=2,0,-1),regle!G$2-$Q220)),IF(AS220+1&gt;=regle!$J$12,-2,AS220+1))</f>
        <v>25</v>
      </c>
      <c r="AU220">
        <f>IF(AU$1=$AO$1,IF(regle!H$2-$Q220&gt;=regle!$J$12,-2,IF($S220,IF(regle!$B$2-$Q220&gt;=2,0,-1),regle!H$2-$Q220)),IF(AT220+1&gt;=regle!$J$12,-2,AT220+1))</f>
        <v>26</v>
      </c>
      <c r="AV220">
        <f>IF(AV$1=$AO$1,IF(regle!I$2-$Q220&gt;=regle!$J$12,-2,IF($S220,IF(regle!$B$2-$Q220&gt;=2,0,-1),regle!I$2-$Q220)),IF(AU220+1&gt;=regle!$J$12,-2,AU220+1))</f>
        <v>27</v>
      </c>
      <c r="AW220">
        <f>IF(AW$1=$AO$1,IF(regle!J$2-$Q220&gt;=regle!$J$12,-2,IF($S220,IF(regle!$B$2-$Q220&gt;=2,0,-1),regle!J$2-$Q220)),IF(AV220+1&gt;=regle!$J$12,-2,AV220+1))</f>
        <v>28</v>
      </c>
      <c r="AX220">
        <f>IF(AX$1=$AO$1,IF(regle!K$2-$Q220&gt;=regle!$J$12,-2,IF($S220,IF(regle!$B$2-$Q220&gt;=2,0,-1),regle!K$2-$Q220)),IF(AW220+1&gt;=regle!$J$12,-2,AW220+1))</f>
        <v>29</v>
      </c>
    </row>
    <row r="221" spans="1:50" x14ac:dyDescent="0.25">
      <c r="A221" t="b">
        <f>AND(modif0[[#This Row],[cdstr]]&lt;&gt;0,OR(regle!$H$27=FALSE,modif0[[#This Row],[essnc]]="PM"))</f>
        <v>1</v>
      </c>
      <c r="B221">
        <f>ROW(objet!A263)</f>
        <v>263</v>
      </c>
      <c r="C221" s="10" t="str">
        <f>objet!D263</f>
        <v>2020000B1259</v>
      </c>
      <c r="D221" t="str">
        <f>LEFT(modif0[[#This Row],[cdstr]],3)</f>
        <v>202</v>
      </c>
      <c r="E221" s="10" t="str">
        <f>objet!G263</f>
        <v>HOSTENS</v>
      </c>
      <c r="F221">
        <f>LEN(modif0[[#This Row],[l_dt]])</f>
        <v>13</v>
      </c>
      <c r="G221" s="10" t="str">
        <f>objet!H263</f>
        <v>LA BROUSTETTE</v>
      </c>
      <c r="H221" s="10" t="str">
        <f>objet!C263</f>
        <v>B1259</v>
      </c>
      <c r="I221" t="str">
        <f>IF(ISNUMBER(VALUE(RIGHT(LEFT(modif0[[#This Row],[idntfn]],2),1))),_xlfn.CONCAT(0,LEFT(modif0[[#This Row],[idntfn]],1)),LEFT(modif0[[#This Row],[idntfn]],2))</f>
        <v>0B</v>
      </c>
      <c r="J221">
        <f>VALUE(LEFT(RIGHT(modif0[[#This Row],[idntfn]],LEN(modif0[[#This Row],[idntfn]])-IF(LEFT(modif0[[#This Row],[sctn]],1)="0",1,2)),LEN(modif0[[#This Row],[idntfn]])-IF(LEFT(modif0[[#This Row],[sctn]],1)="0",1,2)-LEN(modif0[[#This Row],[lttr]])))</f>
        <v>1259</v>
      </c>
      <c r="K221" t="str">
        <f>IF(ISNUMBER(VALUE(RIGHT(modif0[[#This Row],[idntfn]],1))),"",IF(ISNUMBER(VALUE(LEFT(RIGHT(modif0[[#This Row],[idntfn]],2),1))),RIGHT(modif0[[#This Row],[idntfn]],1),RIGHT(modif0[[#This Row],[idntfn]],2)))</f>
        <v/>
      </c>
      <c r="L221" s="10">
        <f>objet!I263</f>
        <v>710</v>
      </c>
      <c r="M221" s="11">
        <f>modif0[[#This Row],[srfc]]/10000</f>
        <v>7.0999999999999994E-2</v>
      </c>
      <c r="N221" s="10" t="str">
        <f>objet!Z263</f>
        <v>PM</v>
      </c>
      <c r="O221" s="10" t="str">
        <f>objet!AA263</f>
        <v>PLA2004</v>
      </c>
      <c r="P221" t="str">
        <f>IF(ISNUMBER(modif0[[#This Row],[trvx]]),"",LEFT(modif0[[#This Row],[trvx]],LEN(modif0[[#This Row],[trvx]])-4))</f>
        <v>PLA</v>
      </c>
      <c r="Q221">
        <f>VALUE(RIGHT(modif0[[#This Row],[trvx]],4))</f>
        <v>2004</v>
      </c>
      <c r="R221" t="str">
        <f>_xlfn.CONCAT(modif0[[#This Row],[tp]],"-",modif0[[#This Row],[essnc]],"_",modif0[[#This Row],[anns]])</f>
        <v>PLA-PM_2004</v>
      </c>
      <c r="S221" t="b">
        <f>modif0[[#This Row],[tp]]="CR"</f>
        <v>0</v>
      </c>
      <c r="T221">
        <v>40</v>
      </c>
      <c r="U221" t="str">
        <f>IF(NOT($A221),"",
IF(AO221=-2,regle!$J$11,
IF(AO221=regle!$B$12,regle!$B$11,
IF(AO221=regle!$C$12,regle!$C$11,
IF(AO221=regle!$D$12,regle!$D$11,
IF(AO221=regle!$E$12,regle!$E$11,
IF(AO221=regle!$F$12,regle!$F$11,
IF(AO221=regle!$G$12,regle!$G$11,
IF(AO221=regle!$H$12,regle!$H$11,
IF(AO221=regle!$I$12,regle!$I$11,""))))))))))</f>
        <v/>
      </c>
      <c r="V221" t="str">
        <f>IF(NOT($A221),"",
IF(AP221=-2,regle!$J$11,
IF(AP221=regle!$B$12,regle!$B$11,
IF(AP221=regle!$C$12,regle!$C$11,
IF(AP221=regle!$D$12,regle!$D$11,
IF(AP221=regle!$E$12,regle!$E$11,
IF(AP221=regle!$F$12,regle!$F$11,
IF(AP221=regle!$G$12,regle!$G$11,
IF(AP221=regle!$H$12,regle!$H$11,
IF(AP221=regle!$I$12,regle!$I$11,""))))))))))</f>
        <v/>
      </c>
      <c r="W221" t="str">
        <f>IF(NOT($A221),"",
IF(AQ221=-2,regle!$J$11,
IF(AQ221=regle!$B$12,regle!$B$11,
IF(AQ221=regle!$C$12,regle!$C$11,
IF(AQ221=regle!$D$12,regle!$D$11,
IF(AQ221=regle!$E$12,regle!$E$11,
IF(AQ221=regle!$F$12,regle!$F$11,
IF(AQ221=regle!$G$12,regle!$G$11,
IF(AQ221=regle!$H$12,regle!$H$11,
IF(AQ221=regle!$I$12,regle!$I$11,""))))))))))</f>
        <v/>
      </c>
      <c r="X221" t="str">
        <f>IF(NOT($A221),"",
IF(AR221=-2,regle!$J$11,
IF(AR221=regle!$B$12,regle!$B$11,
IF(AR221=regle!$C$12,regle!$C$11,
IF(AR221=regle!$D$12,regle!$D$11,
IF(AR221=regle!$E$12,regle!$E$11,
IF(AR221=regle!$F$12,regle!$F$11,
IF(AR221=regle!$G$12,regle!$G$11,
IF(AR221=regle!$H$12,regle!$H$11,
IF(AR221=regle!$I$12,regle!$I$11,""))))))))))</f>
        <v>EC3</v>
      </c>
      <c r="Y221" t="str">
        <f>IF(NOT($A221),"",
IF(AS221=-2,regle!$J$11,
IF(AS221=regle!$B$12,regle!$B$11,
IF(AS221=regle!$C$12,regle!$C$11,
IF(AS221=regle!$D$12,regle!$D$11,
IF(AS221=regle!$E$12,regle!$E$11,
IF(AS221=regle!$F$12,regle!$F$11,
IF(AS221=regle!$G$12,regle!$G$11,
IF(AS221=regle!$H$12,regle!$H$11,
IF(AS221=regle!$I$12,regle!$I$11,""))))))))))</f>
        <v/>
      </c>
      <c r="Z221" t="str">
        <f>IF(NOT($A221),"",
IF(AT221=-2,regle!$J$11,
IF(AT221=regle!$B$12,regle!$B$11,
IF(AT221=regle!$C$12,regle!$C$11,
IF(AT221=regle!$D$12,regle!$D$11,
IF(AT221=regle!$E$12,regle!$E$11,
IF(AT221=regle!$F$12,regle!$F$11,
IF(AT221=regle!$G$12,regle!$G$11,
IF(AT221=regle!$H$12,regle!$H$11,
IF(AT221=regle!$I$12,regle!$I$11,""))))))))))</f>
        <v/>
      </c>
      <c r="AA221" t="str">
        <f>IF(NOT($A221),"",
IF(AU221=-2,regle!$J$11,
IF(AU221=regle!$B$12,regle!$B$11,
IF(AU221=regle!$C$12,regle!$C$11,
IF(AU221=regle!$D$12,regle!$D$11,
IF(AU221=regle!$E$12,regle!$E$11,
IF(AU221=regle!$F$12,regle!$F$11,
IF(AU221=regle!$G$12,regle!$G$11,
IF(AU221=regle!$H$12,regle!$H$11,
IF(AU221=regle!$I$12,regle!$I$11,""))))))))))</f>
        <v/>
      </c>
      <c r="AB221" t="str">
        <f>IF(NOT($A221),"",
IF(AV221=-2,regle!$J$11,
IF(AV221=regle!$B$12,regle!$B$11,
IF(AV221=regle!$C$12,regle!$C$11,
IF(AV221=regle!$D$12,regle!$D$11,
IF(AV221=regle!$E$12,regle!$E$11,
IF(AV221=regle!$F$12,regle!$F$11,
IF(AV221=regle!$G$12,regle!$G$11,
IF(AV221=regle!$H$12,regle!$H$11,
IF(AV221=regle!$I$12,regle!$I$11,""))))))))))</f>
        <v/>
      </c>
      <c r="AC221" t="str">
        <f>IF(NOT($A221),"",
IF(AW221=-2,regle!$J$11,
IF(AW221=regle!$B$12,regle!$B$11,
IF(AW221=regle!$C$12,regle!$C$11,
IF(AW221=regle!$D$12,regle!$D$11,
IF(AW221=regle!$E$12,regle!$E$11,
IF(AW221=regle!$F$12,regle!$F$11,
IF(AW221=regle!$G$12,regle!$G$11,
IF(AW221=regle!$H$12,regle!$H$11,
IF(AW221=regle!$I$12,regle!$I$11,""))))))))))</f>
        <v>EC4</v>
      </c>
      <c r="AD221" t="str">
        <f>IF(NOT($A221),"",
IF(AX221=-2,regle!$J$11,
IF(AX221=regle!$B$12,regle!$B$11,
IF(AX221=regle!$C$12,regle!$C$11,
IF(AX221=regle!$D$12,regle!$D$11,
IF(AX221=regle!$E$12,regle!$E$11,
IF(AX221=regle!$F$12,regle!$F$11,
IF(AX221=regle!$G$12,regle!$G$11,
IF(AX221=regle!$H$12,regle!$H$11,
IF(AX221=regle!$I$12,regle!$I$11,""))))))))))</f>
        <v/>
      </c>
      <c r="AE221" s="14">
        <f>IF($A221,$M221*(IF(U221=regle!$B$11,regle!$B$23,IF(U221=regle!$C$11,regle!$C$23,IF(U221=regle!$D$11,regle!$D$23,IF(U221=regle!$E$11,regle!$E$23,IF(U221=regle!$F$11,regle!$F$23,IF(U221=regle!$G$11,regle!$G$23,IF(U221=regle!$H$11,regle!$H$23,IF(U221=regle!$I$11,regle!$I$23,IF(U221=regle!$J$11,regle!$J$23,0)))))))))))</f>
        <v>0</v>
      </c>
      <c r="AF221" s="14">
        <f>IF($A221,$M221*(IF(V221=regle!$B$11,regle!$B$23,IF(V221=regle!$C$11,regle!$C$23,IF(V221=regle!$D$11,regle!$D$23,IF(V221=regle!$E$11,regle!$E$23,IF(V221=regle!$F$11,regle!$F$23,IF(V221=regle!$G$11,regle!$G$23,IF(V221=regle!$H$11,regle!$H$23,IF(V221=regle!$I$11,regle!$I$23,IF(V221=regle!$J$11,regle!$J$23,0)))))))))))</f>
        <v>0</v>
      </c>
      <c r="AG221" s="14">
        <f>IF($A221,$M221*(IF(W221=regle!$B$11,regle!$B$23,IF(W221=regle!$C$11,regle!$C$23,IF(W221=regle!$D$11,regle!$D$23,IF(W221=regle!$E$11,regle!$E$23,IF(W221=regle!$F$11,regle!$F$23,IF(W221=regle!$G$11,regle!$G$23,IF(W221=regle!$H$11,regle!$H$23,IF(W221=regle!$I$11,regle!$I$23,IF(W221=regle!$J$11,regle!$J$23,0)))))))))))</f>
        <v>0</v>
      </c>
      <c r="AH221" s="14">
        <f>IF($A221,$M221*(IF(X221=regle!$B$11,regle!$B$23,IF(X221=regle!$C$11,regle!$C$23,IF(X221=regle!$D$11,regle!$D$23,IF(X221=regle!$E$11,regle!$E$23,IF(X221=regle!$F$11,regle!$F$23,IF(X221=regle!$G$11,regle!$G$23,IF(X221=regle!$H$11,regle!$H$23,IF(X221=regle!$I$11,regle!$I$23,IF(X221=regle!$J$11,regle!$J$23,0)))))))))))</f>
        <v>99.967999999999989</v>
      </c>
      <c r="AI221" s="14">
        <f>IF($A221,$M221*(IF(Y221=regle!$B$11,regle!$B$23,IF(Y221=regle!$C$11,regle!$C$23,IF(Y221=regle!$D$11,regle!$D$23,IF(Y221=regle!$E$11,regle!$E$23,IF(Y221=regle!$F$11,regle!$F$23,IF(Y221=regle!$G$11,regle!$G$23,IF(Y221=regle!$H$11,regle!$H$23,IF(Y221=regle!$I$11,regle!$I$23,IF(Y221=regle!$J$11,regle!$J$23,0)))))))))))</f>
        <v>0</v>
      </c>
      <c r="AJ221" s="14">
        <f>IF($A221,$M221*(IF(Z221=regle!$B$11,regle!$B$23,IF(Z221=regle!$C$11,regle!$C$23,IF(Z221=regle!$D$11,regle!$D$23,IF(Z221=regle!$E$11,regle!$E$23,IF(Z221=regle!$F$11,regle!$F$23,IF(Z221=regle!$G$11,regle!$G$23,IF(Z221=regle!$H$11,regle!$H$23,IF(Z221=regle!$I$11,regle!$I$23,IF(Z221=regle!$J$11,regle!$J$23,0)))))))))))</f>
        <v>0</v>
      </c>
      <c r="AK221" s="14">
        <f>IF($A221,$M221*(IF(AA221=regle!$B$11,regle!$B$23,IF(AA221=regle!$C$11,regle!$C$23,IF(AA221=regle!$D$11,regle!$D$23,IF(AA221=regle!$E$11,regle!$E$23,IF(AA221=regle!$F$11,regle!$F$23,IF(AA221=regle!$G$11,regle!$G$23,IF(AA221=regle!$H$11,regle!$H$23,IF(AA221=regle!$I$11,regle!$I$23,IF(AA221=regle!$J$11,regle!$J$23,0)))))))))))</f>
        <v>0</v>
      </c>
      <c r="AL221" s="14">
        <f>IF($A221,$M221*(IF(AB221=regle!$B$11,regle!$B$23,IF(AB221=regle!$C$11,regle!$C$23,IF(AB221=regle!$D$11,regle!$D$23,IF(AB221=regle!$E$11,regle!$E$23,IF(AB221=regle!$F$11,regle!$F$23,IF(AB221=regle!$G$11,regle!$G$23,IF(AB221=regle!$H$11,regle!$H$23,IF(AB221=regle!$I$11,regle!$I$23,IF(AB221=regle!$J$11,regle!$J$23,0)))))))))))</f>
        <v>0</v>
      </c>
      <c r="AM221" s="14">
        <f>IF($A221,$M221*(IF(AC221=regle!$B$11,regle!$B$23,IF(AC221=regle!$C$11,regle!$C$23,IF(AC221=regle!$D$11,regle!$D$23,IF(AC221=regle!$E$11,regle!$E$23,IF(AC221=regle!$F$11,regle!$F$23,IF(AC221=regle!$G$11,regle!$G$23,IF(AC221=regle!$H$11,regle!$H$23,IF(AC221=regle!$I$11,regle!$I$23,IF(AC221=regle!$J$11,regle!$J$23,0)))))))))))</f>
        <v>90.88</v>
      </c>
      <c r="AN221" s="14">
        <f>IF($A221,$M221*(IF(AD221=regle!$B$11,regle!$B$23,IF(AD221=regle!$C$11,regle!$C$23,IF(AD221=regle!$D$11,regle!$D$23,IF(AD221=regle!$E$11,regle!$E$23,IF(AD221=regle!$F$11,regle!$F$23,IF(AD221=regle!$G$11,regle!$G$23,IF(AD221=regle!$H$11,regle!$H$23,IF(AD221=regle!$I$11,regle!$I$23,IF(AD221=regle!$J$11,regle!$J$23,0)))))))))))</f>
        <v>0</v>
      </c>
      <c r="AO221">
        <f>IF(AO$1=$AO$1,IF(regle!B$2-$Q221&gt;=regle!$J$12,-2,IF($S221,IF(regle!$B$2-$Q221&gt;=2,0,-1),regle!B$2-$Q221)),IF(AN221+1&gt;=regle!$J$12,-2,AN221+1))</f>
        <v>20</v>
      </c>
      <c r="AP221">
        <f>IF(AP$1=$AO$1,IF(regle!C$2-$Q221&gt;=regle!$J$12,-2,IF($S221,IF(regle!$B$2-$Q221&gt;=2,0,-1),regle!C$2-$Q221)),IF(AO221+1&gt;=regle!$J$12,-2,AO221+1))</f>
        <v>21</v>
      </c>
      <c r="AQ221">
        <f>IF(AQ$1=$AO$1,IF(regle!D$2-$Q221&gt;=regle!$J$12,-2,IF($S221,IF(regle!$B$2-$Q221&gt;=2,0,-1),regle!D$2-$Q221)),IF(AP221+1&gt;=regle!$J$12,-2,AP221+1))</f>
        <v>22</v>
      </c>
      <c r="AR221">
        <f>IF(AR$1=$AO$1,IF(regle!E$2-$Q221&gt;=regle!$J$12,-2,IF($S221,IF(regle!$B$2-$Q221&gt;=2,0,-1),regle!E$2-$Q221)),IF(AQ221+1&gt;=regle!$J$12,-2,AQ221+1))</f>
        <v>23</v>
      </c>
      <c r="AS221">
        <f>IF(AS$1=$AO$1,IF(regle!F$2-$Q221&gt;=regle!$J$12,-2,IF($S221,IF(regle!$B$2-$Q221&gt;=2,0,-1),regle!F$2-$Q221)),IF(AR221+1&gt;=regle!$J$12,-2,AR221+1))</f>
        <v>24</v>
      </c>
      <c r="AT221">
        <f>IF(AT$1=$AO$1,IF(regle!G$2-$Q221&gt;=regle!$J$12,-2,IF($S221,IF(regle!$B$2-$Q221&gt;=2,0,-1),regle!G$2-$Q221)),IF(AS221+1&gt;=regle!$J$12,-2,AS221+1))</f>
        <v>25</v>
      </c>
      <c r="AU221">
        <f>IF(AU$1=$AO$1,IF(regle!H$2-$Q221&gt;=regle!$J$12,-2,IF($S221,IF(regle!$B$2-$Q221&gt;=2,0,-1),regle!H$2-$Q221)),IF(AT221+1&gt;=regle!$J$12,-2,AT221+1))</f>
        <v>26</v>
      </c>
      <c r="AV221">
        <f>IF(AV$1=$AO$1,IF(regle!I$2-$Q221&gt;=regle!$J$12,-2,IF($S221,IF(regle!$B$2-$Q221&gt;=2,0,-1),regle!I$2-$Q221)),IF(AU221+1&gt;=regle!$J$12,-2,AU221+1))</f>
        <v>27</v>
      </c>
      <c r="AW221">
        <f>IF(AW$1=$AO$1,IF(regle!J$2-$Q221&gt;=regle!$J$12,-2,IF($S221,IF(regle!$B$2-$Q221&gt;=2,0,-1),regle!J$2-$Q221)),IF(AV221+1&gt;=regle!$J$12,-2,AV221+1))</f>
        <v>28</v>
      </c>
      <c r="AX221">
        <f>IF(AX$1=$AO$1,IF(regle!K$2-$Q221&gt;=regle!$J$12,-2,IF($S221,IF(regle!$B$2-$Q221&gt;=2,0,-1),regle!K$2-$Q221)),IF(AW221+1&gt;=regle!$J$12,-2,AW221+1))</f>
        <v>29</v>
      </c>
    </row>
    <row r="222" spans="1:50" x14ac:dyDescent="0.25">
      <c r="A222" t="b">
        <f>AND(modif0[[#This Row],[cdstr]]&lt;&gt;0,OR(regle!$H$27=FALSE,modif0[[#This Row],[essnc]]="PM"))</f>
        <v>1</v>
      </c>
      <c r="B222">
        <f>ROW(objet!A264)</f>
        <v>264</v>
      </c>
      <c r="C222" s="10" t="str">
        <f>objet!D264</f>
        <v>2020000B1260</v>
      </c>
      <c r="D222" t="str">
        <f>LEFT(modif0[[#This Row],[cdstr]],3)</f>
        <v>202</v>
      </c>
      <c r="E222" s="10" t="str">
        <f>objet!G264</f>
        <v>HOSTENS</v>
      </c>
      <c r="F222">
        <f>LEN(modif0[[#This Row],[l_dt]])</f>
        <v>13</v>
      </c>
      <c r="G222" s="10" t="str">
        <f>objet!H264</f>
        <v>LA BROUSTETTE</v>
      </c>
      <c r="H222" s="10" t="str">
        <f>objet!C264</f>
        <v>B1260</v>
      </c>
      <c r="I222" t="str">
        <f>IF(ISNUMBER(VALUE(RIGHT(LEFT(modif0[[#This Row],[idntfn]],2),1))),_xlfn.CONCAT(0,LEFT(modif0[[#This Row],[idntfn]],1)),LEFT(modif0[[#This Row],[idntfn]],2))</f>
        <v>0B</v>
      </c>
      <c r="J222">
        <f>VALUE(LEFT(RIGHT(modif0[[#This Row],[idntfn]],LEN(modif0[[#This Row],[idntfn]])-IF(LEFT(modif0[[#This Row],[sctn]],1)="0",1,2)),LEN(modif0[[#This Row],[idntfn]])-IF(LEFT(modif0[[#This Row],[sctn]],1)="0",1,2)-LEN(modif0[[#This Row],[lttr]])))</f>
        <v>1260</v>
      </c>
      <c r="K222" t="str">
        <f>IF(ISNUMBER(VALUE(RIGHT(modif0[[#This Row],[idntfn]],1))),"",IF(ISNUMBER(VALUE(LEFT(RIGHT(modif0[[#This Row],[idntfn]],2),1))),RIGHT(modif0[[#This Row],[idntfn]],1),RIGHT(modif0[[#This Row],[idntfn]],2)))</f>
        <v/>
      </c>
      <c r="L222" s="10">
        <f>objet!I264</f>
        <v>14185</v>
      </c>
      <c r="M222" s="11">
        <f>modif0[[#This Row],[srfc]]/10000</f>
        <v>1.4185000000000001</v>
      </c>
      <c r="N222" s="10" t="str">
        <f>objet!Z264</f>
        <v>PM</v>
      </c>
      <c r="O222" s="10" t="str">
        <f>objet!AA264</f>
        <v>PLA2004</v>
      </c>
      <c r="P222" t="str">
        <f>IF(ISNUMBER(modif0[[#This Row],[trvx]]),"",LEFT(modif0[[#This Row],[trvx]],LEN(modif0[[#This Row],[trvx]])-4))</f>
        <v>PLA</v>
      </c>
      <c r="Q222">
        <f>VALUE(RIGHT(modif0[[#This Row],[trvx]],4))</f>
        <v>2004</v>
      </c>
      <c r="R222" t="str">
        <f>_xlfn.CONCAT(modif0[[#This Row],[tp]],"-",modif0[[#This Row],[essnc]],"_",modif0[[#This Row],[anns]])</f>
        <v>PLA-PM_2004</v>
      </c>
      <c r="S222" t="b">
        <f>modif0[[#This Row],[tp]]="CR"</f>
        <v>0</v>
      </c>
      <c r="T222">
        <v>40</v>
      </c>
      <c r="U222" t="str">
        <f>IF(NOT($A222),"",
IF(AO222=-2,regle!$J$11,
IF(AO222=regle!$B$12,regle!$B$11,
IF(AO222=regle!$C$12,regle!$C$11,
IF(AO222=regle!$D$12,regle!$D$11,
IF(AO222=regle!$E$12,regle!$E$11,
IF(AO222=regle!$F$12,regle!$F$11,
IF(AO222=regle!$G$12,regle!$G$11,
IF(AO222=regle!$H$12,regle!$H$11,
IF(AO222=regle!$I$12,regle!$I$11,""))))))))))</f>
        <v/>
      </c>
      <c r="V222" t="str">
        <f>IF(NOT($A222),"",
IF(AP222=-2,regle!$J$11,
IF(AP222=regle!$B$12,regle!$B$11,
IF(AP222=regle!$C$12,regle!$C$11,
IF(AP222=regle!$D$12,regle!$D$11,
IF(AP222=regle!$E$12,regle!$E$11,
IF(AP222=regle!$F$12,regle!$F$11,
IF(AP222=regle!$G$12,regle!$G$11,
IF(AP222=regle!$H$12,regle!$H$11,
IF(AP222=regle!$I$12,regle!$I$11,""))))))))))</f>
        <v/>
      </c>
      <c r="W222" t="str">
        <f>IF(NOT($A222),"",
IF(AQ222=-2,regle!$J$11,
IF(AQ222=regle!$B$12,regle!$B$11,
IF(AQ222=regle!$C$12,regle!$C$11,
IF(AQ222=regle!$D$12,regle!$D$11,
IF(AQ222=regle!$E$12,regle!$E$11,
IF(AQ222=regle!$F$12,regle!$F$11,
IF(AQ222=regle!$G$12,regle!$G$11,
IF(AQ222=regle!$H$12,regle!$H$11,
IF(AQ222=regle!$I$12,regle!$I$11,""))))))))))</f>
        <v/>
      </c>
      <c r="X222" t="str">
        <f>IF(NOT($A222),"",
IF(AR222=-2,regle!$J$11,
IF(AR222=regle!$B$12,regle!$B$11,
IF(AR222=regle!$C$12,regle!$C$11,
IF(AR222=regle!$D$12,regle!$D$11,
IF(AR222=regle!$E$12,regle!$E$11,
IF(AR222=regle!$F$12,regle!$F$11,
IF(AR222=regle!$G$12,regle!$G$11,
IF(AR222=regle!$H$12,regle!$H$11,
IF(AR222=regle!$I$12,regle!$I$11,""))))))))))</f>
        <v>EC3</v>
      </c>
      <c r="Y222" t="str">
        <f>IF(NOT($A222),"",
IF(AS222=-2,regle!$J$11,
IF(AS222=regle!$B$12,regle!$B$11,
IF(AS222=regle!$C$12,regle!$C$11,
IF(AS222=regle!$D$12,regle!$D$11,
IF(AS222=regle!$E$12,regle!$E$11,
IF(AS222=regle!$F$12,regle!$F$11,
IF(AS222=regle!$G$12,regle!$G$11,
IF(AS222=regle!$H$12,regle!$H$11,
IF(AS222=regle!$I$12,regle!$I$11,""))))))))))</f>
        <v/>
      </c>
      <c r="Z222" t="str">
        <f>IF(NOT($A222),"",
IF(AT222=-2,regle!$J$11,
IF(AT222=regle!$B$12,regle!$B$11,
IF(AT222=regle!$C$12,regle!$C$11,
IF(AT222=regle!$D$12,regle!$D$11,
IF(AT222=regle!$E$12,regle!$E$11,
IF(AT222=regle!$F$12,regle!$F$11,
IF(AT222=regle!$G$12,regle!$G$11,
IF(AT222=regle!$H$12,regle!$H$11,
IF(AT222=regle!$I$12,regle!$I$11,""))))))))))</f>
        <v/>
      </c>
      <c r="AA222" t="str">
        <f>IF(NOT($A222),"",
IF(AU222=-2,regle!$J$11,
IF(AU222=regle!$B$12,regle!$B$11,
IF(AU222=regle!$C$12,regle!$C$11,
IF(AU222=regle!$D$12,regle!$D$11,
IF(AU222=regle!$E$12,regle!$E$11,
IF(AU222=regle!$F$12,regle!$F$11,
IF(AU222=regle!$G$12,regle!$G$11,
IF(AU222=regle!$H$12,regle!$H$11,
IF(AU222=regle!$I$12,regle!$I$11,""))))))))))</f>
        <v/>
      </c>
      <c r="AB222" t="str">
        <f>IF(NOT($A222),"",
IF(AV222=-2,regle!$J$11,
IF(AV222=regle!$B$12,regle!$B$11,
IF(AV222=regle!$C$12,regle!$C$11,
IF(AV222=regle!$D$12,regle!$D$11,
IF(AV222=regle!$E$12,regle!$E$11,
IF(AV222=regle!$F$12,regle!$F$11,
IF(AV222=regle!$G$12,regle!$G$11,
IF(AV222=regle!$H$12,regle!$H$11,
IF(AV222=regle!$I$12,regle!$I$11,""))))))))))</f>
        <v/>
      </c>
      <c r="AC222" t="str">
        <f>IF(NOT($A222),"",
IF(AW222=-2,regle!$J$11,
IF(AW222=regle!$B$12,regle!$B$11,
IF(AW222=regle!$C$12,regle!$C$11,
IF(AW222=regle!$D$12,regle!$D$11,
IF(AW222=regle!$E$12,regle!$E$11,
IF(AW222=regle!$F$12,regle!$F$11,
IF(AW222=regle!$G$12,regle!$G$11,
IF(AW222=regle!$H$12,regle!$H$11,
IF(AW222=regle!$I$12,regle!$I$11,""))))))))))</f>
        <v>EC4</v>
      </c>
      <c r="AD222" t="str">
        <f>IF(NOT($A222),"",
IF(AX222=-2,regle!$J$11,
IF(AX222=regle!$B$12,regle!$B$11,
IF(AX222=regle!$C$12,regle!$C$11,
IF(AX222=regle!$D$12,regle!$D$11,
IF(AX222=regle!$E$12,regle!$E$11,
IF(AX222=regle!$F$12,regle!$F$11,
IF(AX222=regle!$G$12,regle!$G$11,
IF(AX222=regle!$H$12,regle!$H$11,
IF(AX222=regle!$I$12,regle!$I$11,""))))))))))</f>
        <v/>
      </c>
      <c r="AE222" s="14">
        <f>IF($A222,$M222*(IF(U222=regle!$B$11,regle!$B$23,IF(U222=regle!$C$11,regle!$C$23,IF(U222=regle!$D$11,regle!$D$23,IF(U222=regle!$E$11,regle!$E$23,IF(U222=regle!$F$11,regle!$F$23,IF(U222=regle!$G$11,regle!$G$23,IF(U222=regle!$H$11,regle!$H$23,IF(U222=regle!$I$11,regle!$I$23,IF(U222=regle!$J$11,regle!$J$23,0)))))))))))</f>
        <v>0</v>
      </c>
      <c r="AF222" s="14">
        <f>IF($A222,$M222*(IF(V222=regle!$B$11,regle!$B$23,IF(V222=regle!$C$11,regle!$C$23,IF(V222=regle!$D$11,regle!$D$23,IF(V222=regle!$E$11,regle!$E$23,IF(V222=regle!$F$11,regle!$F$23,IF(V222=regle!$G$11,regle!$G$23,IF(V222=regle!$H$11,regle!$H$23,IF(V222=regle!$I$11,regle!$I$23,IF(V222=regle!$J$11,regle!$J$23,0)))))))))))</f>
        <v>0</v>
      </c>
      <c r="AG222" s="14">
        <f>IF($A222,$M222*(IF(W222=regle!$B$11,regle!$B$23,IF(W222=regle!$C$11,regle!$C$23,IF(W222=regle!$D$11,regle!$D$23,IF(W222=regle!$E$11,regle!$E$23,IF(W222=regle!$F$11,regle!$F$23,IF(W222=regle!$G$11,regle!$G$23,IF(W222=regle!$H$11,regle!$H$23,IF(W222=regle!$I$11,regle!$I$23,IF(W222=regle!$J$11,regle!$J$23,0)))))))))))</f>
        <v>0</v>
      </c>
      <c r="AH222" s="14">
        <f>IF($A222,$M222*(IF(X222=regle!$B$11,regle!$B$23,IF(X222=regle!$C$11,regle!$C$23,IF(X222=regle!$D$11,regle!$D$23,IF(X222=regle!$E$11,regle!$E$23,IF(X222=regle!$F$11,regle!$F$23,IF(X222=regle!$G$11,regle!$G$23,IF(X222=regle!$H$11,regle!$H$23,IF(X222=regle!$I$11,regle!$I$23,IF(X222=regle!$J$11,regle!$J$23,0)))))))))))</f>
        <v>1997.248</v>
      </c>
      <c r="AI222" s="14">
        <f>IF($A222,$M222*(IF(Y222=regle!$B$11,regle!$B$23,IF(Y222=regle!$C$11,regle!$C$23,IF(Y222=regle!$D$11,regle!$D$23,IF(Y222=regle!$E$11,regle!$E$23,IF(Y222=regle!$F$11,regle!$F$23,IF(Y222=regle!$G$11,regle!$G$23,IF(Y222=regle!$H$11,regle!$H$23,IF(Y222=regle!$I$11,regle!$I$23,IF(Y222=regle!$J$11,regle!$J$23,0)))))))))))</f>
        <v>0</v>
      </c>
      <c r="AJ222" s="14">
        <f>IF($A222,$M222*(IF(Z222=regle!$B$11,regle!$B$23,IF(Z222=regle!$C$11,regle!$C$23,IF(Z222=regle!$D$11,regle!$D$23,IF(Z222=regle!$E$11,regle!$E$23,IF(Z222=regle!$F$11,regle!$F$23,IF(Z222=regle!$G$11,regle!$G$23,IF(Z222=regle!$H$11,regle!$H$23,IF(Z222=regle!$I$11,regle!$I$23,IF(Z222=regle!$J$11,regle!$J$23,0)))))))))))</f>
        <v>0</v>
      </c>
      <c r="AK222" s="14">
        <f>IF($A222,$M222*(IF(AA222=regle!$B$11,regle!$B$23,IF(AA222=regle!$C$11,regle!$C$23,IF(AA222=regle!$D$11,regle!$D$23,IF(AA222=regle!$E$11,regle!$E$23,IF(AA222=regle!$F$11,regle!$F$23,IF(AA222=regle!$G$11,regle!$G$23,IF(AA222=regle!$H$11,regle!$H$23,IF(AA222=regle!$I$11,regle!$I$23,IF(AA222=regle!$J$11,regle!$J$23,0)))))))))))</f>
        <v>0</v>
      </c>
      <c r="AL222" s="14">
        <f>IF($A222,$M222*(IF(AB222=regle!$B$11,regle!$B$23,IF(AB222=regle!$C$11,regle!$C$23,IF(AB222=regle!$D$11,regle!$D$23,IF(AB222=regle!$E$11,regle!$E$23,IF(AB222=regle!$F$11,regle!$F$23,IF(AB222=regle!$G$11,regle!$G$23,IF(AB222=regle!$H$11,regle!$H$23,IF(AB222=regle!$I$11,regle!$I$23,IF(AB222=regle!$J$11,regle!$J$23,0)))))))))))</f>
        <v>0</v>
      </c>
      <c r="AM222" s="14">
        <f>IF($A222,$M222*(IF(AC222=regle!$B$11,regle!$B$23,IF(AC222=regle!$C$11,regle!$C$23,IF(AC222=regle!$D$11,regle!$D$23,IF(AC222=regle!$E$11,regle!$E$23,IF(AC222=regle!$F$11,regle!$F$23,IF(AC222=regle!$G$11,regle!$G$23,IF(AC222=regle!$H$11,regle!$H$23,IF(AC222=regle!$I$11,regle!$I$23,IF(AC222=regle!$J$11,regle!$J$23,0)))))))))))</f>
        <v>1815.68</v>
      </c>
      <c r="AN222" s="14">
        <f>IF($A222,$M222*(IF(AD222=regle!$B$11,regle!$B$23,IF(AD222=regle!$C$11,regle!$C$23,IF(AD222=regle!$D$11,regle!$D$23,IF(AD222=regle!$E$11,regle!$E$23,IF(AD222=regle!$F$11,regle!$F$23,IF(AD222=regle!$G$11,regle!$G$23,IF(AD222=regle!$H$11,regle!$H$23,IF(AD222=regle!$I$11,regle!$I$23,IF(AD222=regle!$J$11,regle!$J$23,0)))))))))))</f>
        <v>0</v>
      </c>
      <c r="AO222">
        <f>IF(AO$1=$AO$1,IF(regle!B$2-$Q222&gt;=regle!$J$12,-2,IF($S222,IF(regle!$B$2-$Q222&gt;=2,0,-1),regle!B$2-$Q222)),IF(AN222+1&gt;=regle!$J$12,-2,AN222+1))</f>
        <v>20</v>
      </c>
      <c r="AP222">
        <f>IF(AP$1=$AO$1,IF(regle!C$2-$Q222&gt;=regle!$J$12,-2,IF($S222,IF(regle!$B$2-$Q222&gt;=2,0,-1),regle!C$2-$Q222)),IF(AO222+1&gt;=regle!$J$12,-2,AO222+1))</f>
        <v>21</v>
      </c>
      <c r="AQ222">
        <f>IF(AQ$1=$AO$1,IF(regle!D$2-$Q222&gt;=regle!$J$12,-2,IF($S222,IF(regle!$B$2-$Q222&gt;=2,0,-1),regle!D$2-$Q222)),IF(AP222+1&gt;=regle!$J$12,-2,AP222+1))</f>
        <v>22</v>
      </c>
      <c r="AR222">
        <f>IF(AR$1=$AO$1,IF(regle!E$2-$Q222&gt;=regle!$J$12,-2,IF($S222,IF(regle!$B$2-$Q222&gt;=2,0,-1),regle!E$2-$Q222)),IF(AQ222+1&gt;=regle!$J$12,-2,AQ222+1))</f>
        <v>23</v>
      </c>
      <c r="AS222">
        <f>IF(AS$1=$AO$1,IF(regle!F$2-$Q222&gt;=regle!$J$12,-2,IF($S222,IF(regle!$B$2-$Q222&gt;=2,0,-1),regle!F$2-$Q222)),IF(AR222+1&gt;=regle!$J$12,-2,AR222+1))</f>
        <v>24</v>
      </c>
      <c r="AT222">
        <f>IF(AT$1=$AO$1,IF(regle!G$2-$Q222&gt;=regle!$J$12,-2,IF($S222,IF(regle!$B$2-$Q222&gt;=2,0,-1),regle!G$2-$Q222)),IF(AS222+1&gt;=regle!$J$12,-2,AS222+1))</f>
        <v>25</v>
      </c>
      <c r="AU222">
        <f>IF(AU$1=$AO$1,IF(regle!H$2-$Q222&gt;=regle!$J$12,-2,IF($S222,IF(regle!$B$2-$Q222&gt;=2,0,-1),regle!H$2-$Q222)),IF(AT222+1&gt;=regle!$J$12,-2,AT222+1))</f>
        <v>26</v>
      </c>
      <c r="AV222">
        <f>IF(AV$1=$AO$1,IF(regle!I$2-$Q222&gt;=regle!$J$12,-2,IF($S222,IF(regle!$B$2-$Q222&gt;=2,0,-1),regle!I$2-$Q222)),IF(AU222+1&gt;=regle!$J$12,-2,AU222+1))</f>
        <v>27</v>
      </c>
      <c r="AW222">
        <f>IF(AW$1=$AO$1,IF(regle!J$2-$Q222&gt;=regle!$J$12,-2,IF($S222,IF(regle!$B$2-$Q222&gt;=2,0,-1),regle!J$2-$Q222)),IF(AV222+1&gt;=regle!$J$12,-2,AV222+1))</f>
        <v>28</v>
      </c>
      <c r="AX222">
        <f>IF(AX$1=$AO$1,IF(regle!K$2-$Q222&gt;=regle!$J$12,-2,IF($S222,IF(regle!$B$2-$Q222&gt;=2,0,-1),regle!K$2-$Q222)),IF(AW222+1&gt;=regle!$J$12,-2,AW222+1))</f>
        <v>29</v>
      </c>
    </row>
    <row r="223" spans="1:50" x14ac:dyDescent="0.25">
      <c r="A223" t="b">
        <f>AND(modif0[[#This Row],[cdstr]]&lt;&gt;0,OR(regle!$H$27=FALSE,modif0[[#This Row],[essnc]]="PM"))</f>
        <v>1</v>
      </c>
      <c r="B223">
        <f>ROW(objet!A265)</f>
        <v>265</v>
      </c>
      <c r="C223" s="10" t="str">
        <f>objet!D265</f>
        <v>2020000B1261</v>
      </c>
      <c r="D223" t="str">
        <f>LEFT(modif0[[#This Row],[cdstr]],3)</f>
        <v>202</v>
      </c>
      <c r="E223" s="10" t="str">
        <f>objet!G265</f>
        <v>HOSTENS</v>
      </c>
      <c r="F223">
        <f>LEN(modif0[[#This Row],[l_dt]])</f>
        <v>13</v>
      </c>
      <c r="G223" s="10" t="str">
        <f>objet!H265</f>
        <v>LA BROUSTETTE</v>
      </c>
      <c r="H223" s="10" t="str">
        <f>objet!C265</f>
        <v>B1261</v>
      </c>
      <c r="I223" t="str">
        <f>IF(ISNUMBER(VALUE(RIGHT(LEFT(modif0[[#This Row],[idntfn]],2),1))),_xlfn.CONCAT(0,LEFT(modif0[[#This Row],[idntfn]],1)),LEFT(modif0[[#This Row],[idntfn]],2))</f>
        <v>0B</v>
      </c>
      <c r="J223">
        <f>VALUE(LEFT(RIGHT(modif0[[#This Row],[idntfn]],LEN(modif0[[#This Row],[idntfn]])-IF(LEFT(modif0[[#This Row],[sctn]],1)="0",1,2)),LEN(modif0[[#This Row],[idntfn]])-IF(LEFT(modif0[[#This Row],[sctn]],1)="0",1,2)-LEN(modif0[[#This Row],[lttr]])))</f>
        <v>1261</v>
      </c>
      <c r="K223" t="str">
        <f>IF(ISNUMBER(VALUE(RIGHT(modif0[[#This Row],[idntfn]],1))),"",IF(ISNUMBER(VALUE(LEFT(RIGHT(modif0[[#This Row],[idntfn]],2),1))),RIGHT(modif0[[#This Row],[idntfn]],1),RIGHT(modif0[[#This Row],[idntfn]],2)))</f>
        <v/>
      </c>
      <c r="L223" s="10">
        <f>objet!I265</f>
        <v>5650</v>
      </c>
      <c r="M223" s="11">
        <f>modif0[[#This Row],[srfc]]/10000</f>
        <v>0.56499999999999995</v>
      </c>
      <c r="N223" s="10" t="str">
        <f>objet!Z265</f>
        <v>PM</v>
      </c>
      <c r="O223" s="10" t="str">
        <f>objet!AA265</f>
        <v>PLA2004</v>
      </c>
      <c r="P223" t="str">
        <f>IF(ISNUMBER(modif0[[#This Row],[trvx]]),"",LEFT(modif0[[#This Row],[trvx]],LEN(modif0[[#This Row],[trvx]])-4))</f>
        <v>PLA</v>
      </c>
      <c r="Q223">
        <f>VALUE(RIGHT(modif0[[#This Row],[trvx]],4))</f>
        <v>2004</v>
      </c>
      <c r="R223" t="str">
        <f>_xlfn.CONCAT(modif0[[#This Row],[tp]],"-",modif0[[#This Row],[essnc]],"_",modif0[[#This Row],[anns]])</f>
        <v>PLA-PM_2004</v>
      </c>
      <c r="S223" t="b">
        <f>modif0[[#This Row],[tp]]="CR"</f>
        <v>0</v>
      </c>
      <c r="T223">
        <v>40</v>
      </c>
      <c r="U223" t="str">
        <f>IF(NOT($A223),"",
IF(AO223=-2,regle!$J$11,
IF(AO223=regle!$B$12,regle!$B$11,
IF(AO223=regle!$C$12,regle!$C$11,
IF(AO223=regle!$D$12,regle!$D$11,
IF(AO223=regle!$E$12,regle!$E$11,
IF(AO223=regle!$F$12,regle!$F$11,
IF(AO223=regle!$G$12,regle!$G$11,
IF(AO223=regle!$H$12,regle!$H$11,
IF(AO223=regle!$I$12,regle!$I$11,""))))))))))</f>
        <v/>
      </c>
      <c r="V223" t="str">
        <f>IF(NOT($A223),"",
IF(AP223=-2,regle!$J$11,
IF(AP223=regle!$B$12,regle!$B$11,
IF(AP223=regle!$C$12,regle!$C$11,
IF(AP223=regle!$D$12,regle!$D$11,
IF(AP223=regle!$E$12,regle!$E$11,
IF(AP223=regle!$F$12,regle!$F$11,
IF(AP223=regle!$G$12,regle!$G$11,
IF(AP223=regle!$H$12,regle!$H$11,
IF(AP223=regle!$I$12,regle!$I$11,""))))))))))</f>
        <v/>
      </c>
      <c r="W223" t="str">
        <f>IF(NOT($A223),"",
IF(AQ223=-2,regle!$J$11,
IF(AQ223=regle!$B$12,regle!$B$11,
IF(AQ223=regle!$C$12,regle!$C$11,
IF(AQ223=regle!$D$12,regle!$D$11,
IF(AQ223=regle!$E$12,regle!$E$11,
IF(AQ223=regle!$F$12,regle!$F$11,
IF(AQ223=regle!$G$12,regle!$G$11,
IF(AQ223=regle!$H$12,regle!$H$11,
IF(AQ223=regle!$I$12,regle!$I$11,""))))))))))</f>
        <v/>
      </c>
      <c r="X223" t="str">
        <f>IF(NOT($A223),"",
IF(AR223=-2,regle!$J$11,
IF(AR223=regle!$B$12,regle!$B$11,
IF(AR223=regle!$C$12,regle!$C$11,
IF(AR223=regle!$D$12,regle!$D$11,
IF(AR223=regle!$E$12,regle!$E$11,
IF(AR223=regle!$F$12,regle!$F$11,
IF(AR223=regle!$G$12,regle!$G$11,
IF(AR223=regle!$H$12,regle!$H$11,
IF(AR223=regle!$I$12,regle!$I$11,""))))))))))</f>
        <v>EC3</v>
      </c>
      <c r="Y223" t="str">
        <f>IF(NOT($A223),"",
IF(AS223=-2,regle!$J$11,
IF(AS223=regle!$B$12,regle!$B$11,
IF(AS223=regle!$C$12,regle!$C$11,
IF(AS223=regle!$D$12,regle!$D$11,
IF(AS223=regle!$E$12,regle!$E$11,
IF(AS223=regle!$F$12,regle!$F$11,
IF(AS223=regle!$G$12,regle!$G$11,
IF(AS223=regle!$H$12,regle!$H$11,
IF(AS223=regle!$I$12,regle!$I$11,""))))))))))</f>
        <v/>
      </c>
      <c r="Z223" t="str">
        <f>IF(NOT($A223),"",
IF(AT223=-2,regle!$J$11,
IF(AT223=regle!$B$12,regle!$B$11,
IF(AT223=regle!$C$12,regle!$C$11,
IF(AT223=regle!$D$12,regle!$D$11,
IF(AT223=regle!$E$12,regle!$E$11,
IF(AT223=regle!$F$12,regle!$F$11,
IF(AT223=regle!$G$12,regle!$G$11,
IF(AT223=regle!$H$12,regle!$H$11,
IF(AT223=regle!$I$12,regle!$I$11,""))))))))))</f>
        <v/>
      </c>
      <c r="AA223" t="str">
        <f>IF(NOT($A223),"",
IF(AU223=-2,regle!$J$11,
IF(AU223=regle!$B$12,regle!$B$11,
IF(AU223=regle!$C$12,regle!$C$11,
IF(AU223=regle!$D$12,regle!$D$11,
IF(AU223=regle!$E$12,regle!$E$11,
IF(AU223=regle!$F$12,regle!$F$11,
IF(AU223=regle!$G$12,regle!$G$11,
IF(AU223=regle!$H$12,regle!$H$11,
IF(AU223=regle!$I$12,regle!$I$11,""))))))))))</f>
        <v/>
      </c>
      <c r="AB223" t="str">
        <f>IF(NOT($A223),"",
IF(AV223=-2,regle!$J$11,
IF(AV223=regle!$B$12,regle!$B$11,
IF(AV223=regle!$C$12,regle!$C$11,
IF(AV223=regle!$D$12,regle!$D$11,
IF(AV223=regle!$E$12,regle!$E$11,
IF(AV223=regle!$F$12,regle!$F$11,
IF(AV223=regle!$G$12,regle!$G$11,
IF(AV223=regle!$H$12,regle!$H$11,
IF(AV223=regle!$I$12,regle!$I$11,""))))))))))</f>
        <v/>
      </c>
      <c r="AC223" t="str">
        <f>IF(NOT($A223),"",
IF(AW223=-2,regle!$J$11,
IF(AW223=regle!$B$12,regle!$B$11,
IF(AW223=regle!$C$12,regle!$C$11,
IF(AW223=regle!$D$12,regle!$D$11,
IF(AW223=regle!$E$12,regle!$E$11,
IF(AW223=regle!$F$12,regle!$F$11,
IF(AW223=regle!$G$12,regle!$G$11,
IF(AW223=regle!$H$12,regle!$H$11,
IF(AW223=regle!$I$12,regle!$I$11,""))))))))))</f>
        <v>EC4</v>
      </c>
      <c r="AD223" t="str">
        <f>IF(NOT($A223),"",
IF(AX223=-2,regle!$J$11,
IF(AX223=regle!$B$12,regle!$B$11,
IF(AX223=regle!$C$12,regle!$C$11,
IF(AX223=regle!$D$12,regle!$D$11,
IF(AX223=regle!$E$12,regle!$E$11,
IF(AX223=regle!$F$12,regle!$F$11,
IF(AX223=regle!$G$12,regle!$G$11,
IF(AX223=regle!$H$12,regle!$H$11,
IF(AX223=regle!$I$12,regle!$I$11,""))))))))))</f>
        <v/>
      </c>
      <c r="AE223" s="14">
        <f>IF($A223,$M223*(IF(U223=regle!$B$11,regle!$B$23,IF(U223=regle!$C$11,regle!$C$23,IF(U223=regle!$D$11,regle!$D$23,IF(U223=regle!$E$11,regle!$E$23,IF(U223=regle!$F$11,regle!$F$23,IF(U223=regle!$G$11,regle!$G$23,IF(U223=regle!$H$11,regle!$H$23,IF(U223=regle!$I$11,regle!$I$23,IF(U223=regle!$J$11,regle!$J$23,0)))))))))))</f>
        <v>0</v>
      </c>
      <c r="AF223" s="14">
        <f>IF($A223,$M223*(IF(V223=regle!$B$11,regle!$B$23,IF(V223=regle!$C$11,regle!$C$23,IF(V223=regle!$D$11,regle!$D$23,IF(V223=regle!$E$11,regle!$E$23,IF(V223=regle!$F$11,regle!$F$23,IF(V223=regle!$G$11,regle!$G$23,IF(V223=regle!$H$11,regle!$H$23,IF(V223=regle!$I$11,regle!$I$23,IF(V223=regle!$J$11,regle!$J$23,0)))))))))))</f>
        <v>0</v>
      </c>
      <c r="AG223" s="14">
        <f>IF($A223,$M223*(IF(W223=regle!$B$11,regle!$B$23,IF(W223=regle!$C$11,regle!$C$23,IF(W223=regle!$D$11,regle!$D$23,IF(W223=regle!$E$11,regle!$E$23,IF(W223=regle!$F$11,regle!$F$23,IF(W223=regle!$G$11,regle!$G$23,IF(W223=regle!$H$11,regle!$H$23,IF(W223=regle!$I$11,regle!$I$23,IF(W223=regle!$J$11,regle!$J$23,0)))))))))))</f>
        <v>0</v>
      </c>
      <c r="AH223" s="14">
        <f>IF($A223,$M223*(IF(X223=regle!$B$11,regle!$B$23,IF(X223=regle!$C$11,regle!$C$23,IF(X223=regle!$D$11,regle!$D$23,IF(X223=regle!$E$11,regle!$E$23,IF(X223=regle!$F$11,regle!$F$23,IF(X223=regle!$G$11,regle!$G$23,IF(X223=regle!$H$11,regle!$H$23,IF(X223=regle!$I$11,regle!$I$23,IF(X223=regle!$J$11,regle!$J$23,0)))))))))))</f>
        <v>795.52</v>
      </c>
      <c r="AI223" s="14">
        <f>IF($A223,$M223*(IF(Y223=regle!$B$11,regle!$B$23,IF(Y223=regle!$C$11,regle!$C$23,IF(Y223=regle!$D$11,regle!$D$23,IF(Y223=regle!$E$11,regle!$E$23,IF(Y223=regle!$F$11,regle!$F$23,IF(Y223=regle!$G$11,regle!$G$23,IF(Y223=regle!$H$11,regle!$H$23,IF(Y223=regle!$I$11,regle!$I$23,IF(Y223=regle!$J$11,regle!$J$23,0)))))))))))</f>
        <v>0</v>
      </c>
      <c r="AJ223" s="14">
        <f>IF($A223,$M223*(IF(Z223=regle!$B$11,regle!$B$23,IF(Z223=regle!$C$11,regle!$C$23,IF(Z223=regle!$D$11,regle!$D$23,IF(Z223=regle!$E$11,regle!$E$23,IF(Z223=regle!$F$11,regle!$F$23,IF(Z223=regle!$G$11,regle!$G$23,IF(Z223=regle!$H$11,regle!$H$23,IF(Z223=regle!$I$11,regle!$I$23,IF(Z223=regle!$J$11,regle!$J$23,0)))))))))))</f>
        <v>0</v>
      </c>
      <c r="AK223" s="14">
        <f>IF($A223,$M223*(IF(AA223=regle!$B$11,regle!$B$23,IF(AA223=regle!$C$11,regle!$C$23,IF(AA223=regle!$D$11,regle!$D$23,IF(AA223=regle!$E$11,regle!$E$23,IF(AA223=regle!$F$11,regle!$F$23,IF(AA223=regle!$G$11,regle!$G$23,IF(AA223=regle!$H$11,regle!$H$23,IF(AA223=regle!$I$11,regle!$I$23,IF(AA223=regle!$J$11,regle!$J$23,0)))))))))))</f>
        <v>0</v>
      </c>
      <c r="AL223" s="14">
        <f>IF($A223,$M223*(IF(AB223=regle!$B$11,regle!$B$23,IF(AB223=regle!$C$11,regle!$C$23,IF(AB223=regle!$D$11,regle!$D$23,IF(AB223=regle!$E$11,regle!$E$23,IF(AB223=regle!$F$11,regle!$F$23,IF(AB223=regle!$G$11,regle!$G$23,IF(AB223=regle!$H$11,regle!$H$23,IF(AB223=regle!$I$11,regle!$I$23,IF(AB223=regle!$J$11,regle!$J$23,0)))))))))))</f>
        <v>0</v>
      </c>
      <c r="AM223" s="14">
        <f>IF($A223,$M223*(IF(AC223=regle!$B$11,regle!$B$23,IF(AC223=regle!$C$11,regle!$C$23,IF(AC223=regle!$D$11,regle!$D$23,IF(AC223=regle!$E$11,regle!$E$23,IF(AC223=regle!$F$11,regle!$F$23,IF(AC223=regle!$G$11,regle!$G$23,IF(AC223=regle!$H$11,regle!$H$23,IF(AC223=regle!$I$11,regle!$I$23,IF(AC223=regle!$J$11,regle!$J$23,0)))))))))))</f>
        <v>723.19999999999993</v>
      </c>
      <c r="AN223" s="14">
        <f>IF($A223,$M223*(IF(AD223=regle!$B$11,regle!$B$23,IF(AD223=regle!$C$11,regle!$C$23,IF(AD223=regle!$D$11,regle!$D$23,IF(AD223=regle!$E$11,regle!$E$23,IF(AD223=regle!$F$11,regle!$F$23,IF(AD223=regle!$G$11,regle!$G$23,IF(AD223=regle!$H$11,regle!$H$23,IF(AD223=regle!$I$11,regle!$I$23,IF(AD223=regle!$J$11,regle!$J$23,0)))))))))))</f>
        <v>0</v>
      </c>
      <c r="AO223">
        <f>IF(AO$1=$AO$1,IF(regle!B$2-$Q223&gt;=regle!$J$12,-2,IF($S223,IF(regle!$B$2-$Q223&gt;=2,0,-1),regle!B$2-$Q223)),IF(AN223+1&gt;=regle!$J$12,-2,AN223+1))</f>
        <v>20</v>
      </c>
      <c r="AP223">
        <f>IF(AP$1=$AO$1,IF(regle!C$2-$Q223&gt;=regle!$J$12,-2,IF($S223,IF(regle!$B$2-$Q223&gt;=2,0,-1),regle!C$2-$Q223)),IF(AO223+1&gt;=regle!$J$12,-2,AO223+1))</f>
        <v>21</v>
      </c>
      <c r="AQ223">
        <f>IF(AQ$1=$AO$1,IF(regle!D$2-$Q223&gt;=regle!$J$12,-2,IF($S223,IF(regle!$B$2-$Q223&gt;=2,0,-1),regle!D$2-$Q223)),IF(AP223+1&gt;=regle!$J$12,-2,AP223+1))</f>
        <v>22</v>
      </c>
      <c r="AR223">
        <f>IF(AR$1=$AO$1,IF(regle!E$2-$Q223&gt;=regle!$J$12,-2,IF($S223,IF(regle!$B$2-$Q223&gt;=2,0,-1),regle!E$2-$Q223)),IF(AQ223+1&gt;=regle!$J$12,-2,AQ223+1))</f>
        <v>23</v>
      </c>
      <c r="AS223">
        <f>IF(AS$1=$AO$1,IF(regle!F$2-$Q223&gt;=regle!$J$12,-2,IF($S223,IF(regle!$B$2-$Q223&gt;=2,0,-1),regle!F$2-$Q223)),IF(AR223+1&gt;=regle!$J$12,-2,AR223+1))</f>
        <v>24</v>
      </c>
      <c r="AT223">
        <f>IF(AT$1=$AO$1,IF(regle!G$2-$Q223&gt;=regle!$J$12,-2,IF($S223,IF(regle!$B$2-$Q223&gt;=2,0,-1),regle!G$2-$Q223)),IF(AS223+1&gt;=regle!$J$12,-2,AS223+1))</f>
        <v>25</v>
      </c>
      <c r="AU223">
        <f>IF(AU$1=$AO$1,IF(regle!H$2-$Q223&gt;=regle!$J$12,-2,IF($S223,IF(regle!$B$2-$Q223&gt;=2,0,-1),regle!H$2-$Q223)),IF(AT223+1&gt;=regle!$J$12,-2,AT223+1))</f>
        <v>26</v>
      </c>
      <c r="AV223">
        <f>IF(AV$1=$AO$1,IF(regle!I$2-$Q223&gt;=regle!$J$12,-2,IF($S223,IF(regle!$B$2-$Q223&gt;=2,0,-1),regle!I$2-$Q223)),IF(AU223+1&gt;=regle!$J$12,-2,AU223+1))</f>
        <v>27</v>
      </c>
      <c r="AW223">
        <f>IF(AW$1=$AO$1,IF(regle!J$2-$Q223&gt;=regle!$J$12,-2,IF($S223,IF(regle!$B$2-$Q223&gt;=2,0,-1),regle!J$2-$Q223)),IF(AV223+1&gt;=regle!$J$12,-2,AV223+1))</f>
        <v>28</v>
      </c>
      <c r="AX223">
        <f>IF(AX$1=$AO$1,IF(regle!K$2-$Q223&gt;=regle!$J$12,-2,IF($S223,IF(regle!$B$2-$Q223&gt;=2,0,-1),regle!K$2-$Q223)),IF(AW223+1&gt;=regle!$J$12,-2,AW223+1))</f>
        <v>29</v>
      </c>
    </row>
    <row r="224" spans="1:50" x14ac:dyDescent="0.25">
      <c r="A224" t="b">
        <f>AND(modif0[[#This Row],[cdstr]]&lt;&gt;0,OR(regle!$H$27=FALSE,modif0[[#This Row],[essnc]]="PM"))</f>
        <v>1</v>
      </c>
      <c r="B224">
        <f>ROW(objet!A266)</f>
        <v>266</v>
      </c>
      <c r="C224" s="10" t="str">
        <f>objet!D266</f>
        <v>2020000B1262</v>
      </c>
      <c r="D224" t="str">
        <f>LEFT(modif0[[#This Row],[cdstr]],3)</f>
        <v>202</v>
      </c>
      <c r="E224" s="10" t="str">
        <f>objet!G266</f>
        <v>HOSTENS</v>
      </c>
      <c r="F224">
        <f>LEN(modif0[[#This Row],[l_dt]])</f>
        <v>13</v>
      </c>
      <c r="G224" s="10" t="str">
        <f>objet!H266</f>
        <v>LA BROUSTETTE</v>
      </c>
      <c r="H224" s="10" t="str">
        <f>objet!C266</f>
        <v>B1262</v>
      </c>
      <c r="I224" t="str">
        <f>IF(ISNUMBER(VALUE(RIGHT(LEFT(modif0[[#This Row],[idntfn]],2),1))),_xlfn.CONCAT(0,LEFT(modif0[[#This Row],[idntfn]],1)),LEFT(modif0[[#This Row],[idntfn]],2))</f>
        <v>0B</v>
      </c>
      <c r="J224">
        <f>VALUE(LEFT(RIGHT(modif0[[#This Row],[idntfn]],LEN(modif0[[#This Row],[idntfn]])-IF(LEFT(modif0[[#This Row],[sctn]],1)="0",1,2)),LEN(modif0[[#This Row],[idntfn]])-IF(LEFT(modif0[[#This Row],[sctn]],1)="0",1,2)-LEN(modif0[[#This Row],[lttr]])))</f>
        <v>1262</v>
      </c>
      <c r="K224" t="str">
        <f>IF(ISNUMBER(VALUE(RIGHT(modif0[[#This Row],[idntfn]],1))),"",IF(ISNUMBER(VALUE(LEFT(RIGHT(modif0[[#This Row],[idntfn]],2),1))),RIGHT(modif0[[#This Row],[idntfn]],1),RIGHT(modif0[[#This Row],[idntfn]],2)))</f>
        <v/>
      </c>
      <c r="L224" s="10">
        <f>objet!I266</f>
        <v>4020</v>
      </c>
      <c r="M224" s="11">
        <f>modif0[[#This Row],[srfc]]/10000</f>
        <v>0.40200000000000002</v>
      </c>
      <c r="N224" s="10" t="str">
        <f>objet!Z266</f>
        <v>PM</v>
      </c>
      <c r="O224" s="10" t="str">
        <f>objet!AA266</f>
        <v>PLA2004</v>
      </c>
      <c r="P224" t="str">
        <f>IF(ISNUMBER(modif0[[#This Row],[trvx]]),"",LEFT(modif0[[#This Row],[trvx]],LEN(modif0[[#This Row],[trvx]])-4))</f>
        <v>PLA</v>
      </c>
      <c r="Q224">
        <f>VALUE(RIGHT(modif0[[#This Row],[trvx]],4))</f>
        <v>2004</v>
      </c>
      <c r="R224" t="str">
        <f>_xlfn.CONCAT(modif0[[#This Row],[tp]],"-",modif0[[#This Row],[essnc]],"_",modif0[[#This Row],[anns]])</f>
        <v>PLA-PM_2004</v>
      </c>
      <c r="S224" t="b">
        <f>modif0[[#This Row],[tp]]="CR"</f>
        <v>0</v>
      </c>
      <c r="T224">
        <v>40</v>
      </c>
      <c r="U224" t="str">
        <f>IF(NOT($A224),"",
IF(AO224=-2,regle!$J$11,
IF(AO224=regle!$B$12,regle!$B$11,
IF(AO224=regle!$C$12,regle!$C$11,
IF(AO224=regle!$D$12,regle!$D$11,
IF(AO224=regle!$E$12,regle!$E$11,
IF(AO224=regle!$F$12,regle!$F$11,
IF(AO224=regle!$G$12,regle!$G$11,
IF(AO224=regle!$H$12,regle!$H$11,
IF(AO224=regle!$I$12,regle!$I$11,""))))))))))</f>
        <v/>
      </c>
      <c r="V224" t="str">
        <f>IF(NOT($A224),"",
IF(AP224=-2,regle!$J$11,
IF(AP224=regle!$B$12,regle!$B$11,
IF(AP224=regle!$C$12,regle!$C$11,
IF(AP224=regle!$D$12,regle!$D$11,
IF(AP224=regle!$E$12,regle!$E$11,
IF(AP224=regle!$F$12,regle!$F$11,
IF(AP224=regle!$G$12,regle!$G$11,
IF(AP224=regle!$H$12,regle!$H$11,
IF(AP224=regle!$I$12,regle!$I$11,""))))))))))</f>
        <v/>
      </c>
      <c r="W224" t="str">
        <f>IF(NOT($A224),"",
IF(AQ224=-2,regle!$J$11,
IF(AQ224=regle!$B$12,regle!$B$11,
IF(AQ224=regle!$C$12,regle!$C$11,
IF(AQ224=regle!$D$12,regle!$D$11,
IF(AQ224=regle!$E$12,regle!$E$11,
IF(AQ224=regle!$F$12,regle!$F$11,
IF(AQ224=regle!$G$12,regle!$G$11,
IF(AQ224=regle!$H$12,regle!$H$11,
IF(AQ224=regle!$I$12,regle!$I$11,""))))))))))</f>
        <v/>
      </c>
      <c r="X224" t="str">
        <f>IF(NOT($A224),"",
IF(AR224=-2,regle!$J$11,
IF(AR224=regle!$B$12,regle!$B$11,
IF(AR224=regle!$C$12,regle!$C$11,
IF(AR224=regle!$D$12,regle!$D$11,
IF(AR224=regle!$E$12,regle!$E$11,
IF(AR224=regle!$F$12,regle!$F$11,
IF(AR224=regle!$G$12,regle!$G$11,
IF(AR224=regle!$H$12,regle!$H$11,
IF(AR224=regle!$I$12,regle!$I$11,""))))))))))</f>
        <v>EC3</v>
      </c>
      <c r="Y224" t="str">
        <f>IF(NOT($A224),"",
IF(AS224=-2,regle!$J$11,
IF(AS224=regle!$B$12,regle!$B$11,
IF(AS224=regle!$C$12,regle!$C$11,
IF(AS224=regle!$D$12,regle!$D$11,
IF(AS224=regle!$E$12,regle!$E$11,
IF(AS224=regle!$F$12,regle!$F$11,
IF(AS224=regle!$G$12,regle!$G$11,
IF(AS224=regle!$H$12,regle!$H$11,
IF(AS224=regle!$I$12,regle!$I$11,""))))))))))</f>
        <v/>
      </c>
      <c r="Z224" t="str">
        <f>IF(NOT($A224),"",
IF(AT224=-2,regle!$J$11,
IF(AT224=regle!$B$12,regle!$B$11,
IF(AT224=regle!$C$12,regle!$C$11,
IF(AT224=regle!$D$12,regle!$D$11,
IF(AT224=regle!$E$12,regle!$E$11,
IF(AT224=regle!$F$12,regle!$F$11,
IF(AT224=regle!$G$12,regle!$G$11,
IF(AT224=regle!$H$12,regle!$H$11,
IF(AT224=regle!$I$12,regle!$I$11,""))))))))))</f>
        <v/>
      </c>
      <c r="AA224" t="str">
        <f>IF(NOT($A224),"",
IF(AU224=-2,regle!$J$11,
IF(AU224=regle!$B$12,regle!$B$11,
IF(AU224=regle!$C$12,regle!$C$11,
IF(AU224=regle!$D$12,regle!$D$11,
IF(AU224=regle!$E$12,regle!$E$11,
IF(AU224=regle!$F$12,regle!$F$11,
IF(AU224=regle!$G$12,regle!$G$11,
IF(AU224=regle!$H$12,regle!$H$11,
IF(AU224=regle!$I$12,regle!$I$11,""))))))))))</f>
        <v/>
      </c>
      <c r="AB224" t="str">
        <f>IF(NOT($A224),"",
IF(AV224=-2,regle!$J$11,
IF(AV224=regle!$B$12,regle!$B$11,
IF(AV224=regle!$C$12,regle!$C$11,
IF(AV224=regle!$D$12,regle!$D$11,
IF(AV224=regle!$E$12,regle!$E$11,
IF(AV224=regle!$F$12,regle!$F$11,
IF(AV224=regle!$G$12,regle!$G$11,
IF(AV224=regle!$H$12,regle!$H$11,
IF(AV224=regle!$I$12,regle!$I$11,""))))))))))</f>
        <v/>
      </c>
      <c r="AC224" t="str">
        <f>IF(NOT($A224),"",
IF(AW224=-2,regle!$J$11,
IF(AW224=regle!$B$12,regle!$B$11,
IF(AW224=regle!$C$12,regle!$C$11,
IF(AW224=regle!$D$12,regle!$D$11,
IF(AW224=regle!$E$12,regle!$E$11,
IF(AW224=regle!$F$12,regle!$F$11,
IF(AW224=regle!$G$12,regle!$G$11,
IF(AW224=regle!$H$12,regle!$H$11,
IF(AW224=regle!$I$12,regle!$I$11,""))))))))))</f>
        <v>EC4</v>
      </c>
      <c r="AD224" t="str">
        <f>IF(NOT($A224),"",
IF(AX224=-2,regle!$J$11,
IF(AX224=regle!$B$12,regle!$B$11,
IF(AX224=regle!$C$12,regle!$C$11,
IF(AX224=regle!$D$12,regle!$D$11,
IF(AX224=regle!$E$12,regle!$E$11,
IF(AX224=regle!$F$12,regle!$F$11,
IF(AX224=regle!$G$12,regle!$G$11,
IF(AX224=regle!$H$12,regle!$H$11,
IF(AX224=regle!$I$12,regle!$I$11,""))))))))))</f>
        <v/>
      </c>
      <c r="AE224" s="14">
        <f>IF($A224,$M224*(IF(U224=regle!$B$11,regle!$B$23,IF(U224=regle!$C$11,regle!$C$23,IF(U224=regle!$D$11,regle!$D$23,IF(U224=regle!$E$11,regle!$E$23,IF(U224=regle!$F$11,regle!$F$23,IF(U224=regle!$G$11,regle!$G$23,IF(U224=regle!$H$11,regle!$H$23,IF(U224=regle!$I$11,regle!$I$23,IF(U224=regle!$J$11,regle!$J$23,0)))))))))))</f>
        <v>0</v>
      </c>
      <c r="AF224" s="14">
        <f>IF($A224,$M224*(IF(V224=regle!$B$11,regle!$B$23,IF(V224=regle!$C$11,regle!$C$23,IF(V224=regle!$D$11,regle!$D$23,IF(V224=regle!$E$11,regle!$E$23,IF(V224=regle!$F$11,regle!$F$23,IF(V224=regle!$G$11,regle!$G$23,IF(V224=regle!$H$11,regle!$H$23,IF(V224=regle!$I$11,regle!$I$23,IF(V224=regle!$J$11,regle!$J$23,0)))))))))))</f>
        <v>0</v>
      </c>
      <c r="AG224" s="14">
        <f>IF($A224,$M224*(IF(W224=regle!$B$11,regle!$B$23,IF(W224=regle!$C$11,regle!$C$23,IF(W224=regle!$D$11,regle!$D$23,IF(W224=regle!$E$11,regle!$E$23,IF(W224=regle!$F$11,regle!$F$23,IF(W224=regle!$G$11,regle!$G$23,IF(W224=regle!$H$11,regle!$H$23,IF(W224=regle!$I$11,regle!$I$23,IF(W224=regle!$J$11,regle!$J$23,0)))))))))))</f>
        <v>0</v>
      </c>
      <c r="AH224" s="14">
        <f>IF($A224,$M224*(IF(X224=regle!$B$11,regle!$B$23,IF(X224=regle!$C$11,regle!$C$23,IF(X224=regle!$D$11,regle!$D$23,IF(X224=regle!$E$11,regle!$E$23,IF(X224=regle!$F$11,regle!$F$23,IF(X224=regle!$G$11,regle!$G$23,IF(X224=regle!$H$11,regle!$H$23,IF(X224=regle!$I$11,regle!$I$23,IF(X224=regle!$J$11,regle!$J$23,0)))))))))))</f>
        <v>566.01600000000008</v>
      </c>
      <c r="AI224" s="14">
        <f>IF($A224,$M224*(IF(Y224=regle!$B$11,regle!$B$23,IF(Y224=regle!$C$11,regle!$C$23,IF(Y224=regle!$D$11,regle!$D$23,IF(Y224=regle!$E$11,regle!$E$23,IF(Y224=regle!$F$11,regle!$F$23,IF(Y224=regle!$G$11,regle!$G$23,IF(Y224=regle!$H$11,regle!$H$23,IF(Y224=regle!$I$11,regle!$I$23,IF(Y224=regle!$J$11,regle!$J$23,0)))))))))))</f>
        <v>0</v>
      </c>
      <c r="AJ224" s="14">
        <f>IF($A224,$M224*(IF(Z224=regle!$B$11,regle!$B$23,IF(Z224=regle!$C$11,regle!$C$23,IF(Z224=regle!$D$11,regle!$D$23,IF(Z224=regle!$E$11,regle!$E$23,IF(Z224=regle!$F$11,regle!$F$23,IF(Z224=regle!$G$11,regle!$G$23,IF(Z224=regle!$H$11,regle!$H$23,IF(Z224=regle!$I$11,regle!$I$23,IF(Z224=regle!$J$11,regle!$J$23,0)))))))))))</f>
        <v>0</v>
      </c>
      <c r="AK224" s="14">
        <f>IF($A224,$M224*(IF(AA224=regle!$B$11,regle!$B$23,IF(AA224=regle!$C$11,regle!$C$23,IF(AA224=regle!$D$11,regle!$D$23,IF(AA224=regle!$E$11,regle!$E$23,IF(AA224=regle!$F$11,regle!$F$23,IF(AA224=regle!$G$11,regle!$G$23,IF(AA224=regle!$H$11,regle!$H$23,IF(AA224=regle!$I$11,regle!$I$23,IF(AA224=regle!$J$11,regle!$J$23,0)))))))))))</f>
        <v>0</v>
      </c>
      <c r="AL224" s="14">
        <f>IF($A224,$M224*(IF(AB224=regle!$B$11,regle!$B$23,IF(AB224=regle!$C$11,regle!$C$23,IF(AB224=regle!$D$11,regle!$D$23,IF(AB224=regle!$E$11,regle!$E$23,IF(AB224=regle!$F$11,regle!$F$23,IF(AB224=regle!$G$11,regle!$G$23,IF(AB224=regle!$H$11,regle!$H$23,IF(AB224=regle!$I$11,regle!$I$23,IF(AB224=regle!$J$11,regle!$J$23,0)))))))))))</f>
        <v>0</v>
      </c>
      <c r="AM224" s="14">
        <f>IF($A224,$M224*(IF(AC224=regle!$B$11,regle!$B$23,IF(AC224=regle!$C$11,regle!$C$23,IF(AC224=regle!$D$11,regle!$D$23,IF(AC224=regle!$E$11,regle!$E$23,IF(AC224=regle!$F$11,regle!$F$23,IF(AC224=regle!$G$11,regle!$G$23,IF(AC224=regle!$H$11,regle!$H$23,IF(AC224=regle!$I$11,regle!$I$23,IF(AC224=regle!$J$11,regle!$J$23,0)))))))))))</f>
        <v>514.56000000000006</v>
      </c>
      <c r="AN224" s="14">
        <f>IF($A224,$M224*(IF(AD224=regle!$B$11,regle!$B$23,IF(AD224=regle!$C$11,regle!$C$23,IF(AD224=regle!$D$11,regle!$D$23,IF(AD224=regle!$E$11,regle!$E$23,IF(AD224=regle!$F$11,regle!$F$23,IF(AD224=regle!$G$11,regle!$G$23,IF(AD224=regle!$H$11,regle!$H$23,IF(AD224=regle!$I$11,regle!$I$23,IF(AD224=regle!$J$11,regle!$J$23,0)))))))))))</f>
        <v>0</v>
      </c>
      <c r="AO224">
        <f>IF(AO$1=$AO$1,IF(regle!B$2-$Q224&gt;=regle!$J$12,-2,IF($S224,IF(regle!$B$2-$Q224&gt;=2,0,-1),regle!B$2-$Q224)),IF(AN224+1&gt;=regle!$J$12,-2,AN224+1))</f>
        <v>20</v>
      </c>
      <c r="AP224">
        <f>IF(AP$1=$AO$1,IF(regle!C$2-$Q224&gt;=regle!$J$12,-2,IF($S224,IF(regle!$B$2-$Q224&gt;=2,0,-1),regle!C$2-$Q224)),IF(AO224+1&gt;=regle!$J$12,-2,AO224+1))</f>
        <v>21</v>
      </c>
      <c r="AQ224">
        <f>IF(AQ$1=$AO$1,IF(regle!D$2-$Q224&gt;=regle!$J$12,-2,IF($S224,IF(regle!$B$2-$Q224&gt;=2,0,-1),regle!D$2-$Q224)),IF(AP224+1&gt;=regle!$J$12,-2,AP224+1))</f>
        <v>22</v>
      </c>
      <c r="AR224">
        <f>IF(AR$1=$AO$1,IF(regle!E$2-$Q224&gt;=regle!$J$12,-2,IF($S224,IF(regle!$B$2-$Q224&gt;=2,0,-1),regle!E$2-$Q224)),IF(AQ224+1&gt;=regle!$J$12,-2,AQ224+1))</f>
        <v>23</v>
      </c>
      <c r="AS224">
        <f>IF(AS$1=$AO$1,IF(regle!F$2-$Q224&gt;=regle!$J$12,-2,IF($S224,IF(regle!$B$2-$Q224&gt;=2,0,-1),regle!F$2-$Q224)),IF(AR224+1&gt;=regle!$J$12,-2,AR224+1))</f>
        <v>24</v>
      </c>
      <c r="AT224">
        <f>IF(AT$1=$AO$1,IF(regle!G$2-$Q224&gt;=regle!$J$12,-2,IF($S224,IF(regle!$B$2-$Q224&gt;=2,0,-1),regle!G$2-$Q224)),IF(AS224+1&gt;=regle!$J$12,-2,AS224+1))</f>
        <v>25</v>
      </c>
      <c r="AU224">
        <f>IF(AU$1=$AO$1,IF(regle!H$2-$Q224&gt;=regle!$J$12,-2,IF($S224,IF(regle!$B$2-$Q224&gt;=2,0,-1),regle!H$2-$Q224)),IF(AT224+1&gt;=regle!$J$12,-2,AT224+1))</f>
        <v>26</v>
      </c>
      <c r="AV224">
        <f>IF(AV$1=$AO$1,IF(regle!I$2-$Q224&gt;=regle!$J$12,-2,IF($S224,IF(regle!$B$2-$Q224&gt;=2,0,-1),regle!I$2-$Q224)),IF(AU224+1&gt;=regle!$J$12,-2,AU224+1))</f>
        <v>27</v>
      </c>
      <c r="AW224">
        <f>IF(AW$1=$AO$1,IF(regle!J$2-$Q224&gt;=regle!$J$12,-2,IF($S224,IF(regle!$B$2-$Q224&gt;=2,0,-1),regle!J$2-$Q224)),IF(AV224+1&gt;=regle!$J$12,-2,AV224+1))</f>
        <v>28</v>
      </c>
      <c r="AX224">
        <f>IF(AX$1=$AO$1,IF(regle!K$2-$Q224&gt;=regle!$J$12,-2,IF($S224,IF(regle!$B$2-$Q224&gt;=2,0,-1),regle!K$2-$Q224)),IF(AW224+1&gt;=regle!$J$12,-2,AW224+1))</f>
        <v>29</v>
      </c>
    </row>
    <row r="225" spans="1:50" x14ac:dyDescent="0.25">
      <c r="A225" t="b">
        <f>AND(modif0[[#This Row],[cdstr]]&lt;&gt;0,OR(regle!$H$27=FALSE,modif0[[#This Row],[essnc]]="PM"))</f>
        <v>1</v>
      </c>
      <c r="B225">
        <f>ROW(objet!A267)</f>
        <v>267</v>
      </c>
      <c r="C225" s="10" t="str">
        <f>objet!D267</f>
        <v>2020000B1263</v>
      </c>
      <c r="D225" t="str">
        <f>LEFT(modif0[[#This Row],[cdstr]],3)</f>
        <v>202</v>
      </c>
      <c r="E225" s="10" t="str">
        <f>objet!G267</f>
        <v>HOSTENS</v>
      </c>
      <c r="F225">
        <f>LEN(modif0[[#This Row],[l_dt]])</f>
        <v>13</v>
      </c>
      <c r="G225" s="10" t="str">
        <f>objet!H267</f>
        <v>LA BROUSTETTE</v>
      </c>
      <c r="H225" s="10" t="str">
        <f>objet!C267</f>
        <v>B1263</v>
      </c>
      <c r="I225" t="str">
        <f>IF(ISNUMBER(VALUE(RIGHT(LEFT(modif0[[#This Row],[idntfn]],2),1))),_xlfn.CONCAT(0,LEFT(modif0[[#This Row],[idntfn]],1)),LEFT(modif0[[#This Row],[idntfn]],2))</f>
        <v>0B</v>
      </c>
      <c r="J225">
        <f>VALUE(LEFT(RIGHT(modif0[[#This Row],[idntfn]],LEN(modif0[[#This Row],[idntfn]])-IF(LEFT(modif0[[#This Row],[sctn]],1)="0",1,2)),LEN(modif0[[#This Row],[idntfn]])-IF(LEFT(modif0[[#This Row],[sctn]],1)="0",1,2)-LEN(modif0[[#This Row],[lttr]])))</f>
        <v>1263</v>
      </c>
      <c r="K225" t="str">
        <f>IF(ISNUMBER(VALUE(RIGHT(modif0[[#This Row],[idntfn]],1))),"",IF(ISNUMBER(VALUE(LEFT(RIGHT(modif0[[#This Row],[idntfn]],2),1))),RIGHT(modif0[[#This Row],[idntfn]],1),RIGHT(modif0[[#This Row],[idntfn]],2)))</f>
        <v/>
      </c>
      <c r="L225" s="10">
        <f>objet!I267</f>
        <v>60</v>
      </c>
      <c r="M225" s="11">
        <f>modif0[[#This Row],[srfc]]/10000</f>
        <v>6.0000000000000001E-3</v>
      </c>
      <c r="N225" s="10" t="str">
        <f>objet!Z267</f>
        <v>PM</v>
      </c>
      <c r="O225" s="10" t="str">
        <f>objet!AA267</f>
        <v>PLA2004</v>
      </c>
      <c r="P225" t="str">
        <f>IF(ISNUMBER(modif0[[#This Row],[trvx]]),"",LEFT(modif0[[#This Row],[trvx]],LEN(modif0[[#This Row],[trvx]])-4))</f>
        <v>PLA</v>
      </c>
      <c r="Q225">
        <f>VALUE(RIGHT(modif0[[#This Row],[trvx]],4))</f>
        <v>2004</v>
      </c>
      <c r="R225" t="str">
        <f>_xlfn.CONCAT(modif0[[#This Row],[tp]],"-",modif0[[#This Row],[essnc]],"_",modif0[[#This Row],[anns]])</f>
        <v>PLA-PM_2004</v>
      </c>
      <c r="S225" t="b">
        <f>modif0[[#This Row],[tp]]="CR"</f>
        <v>0</v>
      </c>
      <c r="T225">
        <v>40</v>
      </c>
      <c r="U225" t="str">
        <f>IF(NOT($A225),"",
IF(AO225=-2,regle!$J$11,
IF(AO225=regle!$B$12,regle!$B$11,
IF(AO225=regle!$C$12,regle!$C$11,
IF(AO225=regle!$D$12,regle!$D$11,
IF(AO225=regle!$E$12,regle!$E$11,
IF(AO225=regle!$F$12,regle!$F$11,
IF(AO225=regle!$G$12,regle!$G$11,
IF(AO225=regle!$H$12,regle!$H$11,
IF(AO225=regle!$I$12,regle!$I$11,""))))))))))</f>
        <v/>
      </c>
      <c r="V225" t="str">
        <f>IF(NOT($A225),"",
IF(AP225=-2,regle!$J$11,
IF(AP225=regle!$B$12,regle!$B$11,
IF(AP225=regle!$C$12,regle!$C$11,
IF(AP225=regle!$D$12,regle!$D$11,
IF(AP225=regle!$E$12,regle!$E$11,
IF(AP225=regle!$F$12,regle!$F$11,
IF(AP225=regle!$G$12,regle!$G$11,
IF(AP225=regle!$H$12,regle!$H$11,
IF(AP225=regle!$I$12,regle!$I$11,""))))))))))</f>
        <v/>
      </c>
      <c r="W225" t="str">
        <f>IF(NOT($A225),"",
IF(AQ225=-2,regle!$J$11,
IF(AQ225=regle!$B$12,regle!$B$11,
IF(AQ225=regle!$C$12,regle!$C$11,
IF(AQ225=regle!$D$12,regle!$D$11,
IF(AQ225=regle!$E$12,regle!$E$11,
IF(AQ225=regle!$F$12,regle!$F$11,
IF(AQ225=regle!$G$12,regle!$G$11,
IF(AQ225=regle!$H$12,regle!$H$11,
IF(AQ225=regle!$I$12,regle!$I$11,""))))))))))</f>
        <v/>
      </c>
      <c r="X225" t="str">
        <f>IF(NOT($A225),"",
IF(AR225=-2,regle!$J$11,
IF(AR225=regle!$B$12,regle!$B$11,
IF(AR225=regle!$C$12,regle!$C$11,
IF(AR225=regle!$D$12,regle!$D$11,
IF(AR225=regle!$E$12,regle!$E$11,
IF(AR225=regle!$F$12,regle!$F$11,
IF(AR225=regle!$G$12,regle!$G$11,
IF(AR225=regle!$H$12,regle!$H$11,
IF(AR225=regle!$I$12,regle!$I$11,""))))))))))</f>
        <v>EC3</v>
      </c>
      <c r="Y225" t="str">
        <f>IF(NOT($A225),"",
IF(AS225=-2,regle!$J$11,
IF(AS225=regle!$B$12,regle!$B$11,
IF(AS225=regle!$C$12,regle!$C$11,
IF(AS225=regle!$D$12,regle!$D$11,
IF(AS225=regle!$E$12,regle!$E$11,
IF(AS225=regle!$F$12,regle!$F$11,
IF(AS225=regle!$G$12,regle!$G$11,
IF(AS225=regle!$H$12,regle!$H$11,
IF(AS225=regle!$I$12,regle!$I$11,""))))))))))</f>
        <v/>
      </c>
      <c r="Z225" t="str">
        <f>IF(NOT($A225),"",
IF(AT225=-2,regle!$J$11,
IF(AT225=regle!$B$12,regle!$B$11,
IF(AT225=regle!$C$12,regle!$C$11,
IF(AT225=regle!$D$12,regle!$D$11,
IF(AT225=regle!$E$12,regle!$E$11,
IF(AT225=regle!$F$12,regle!$F$11,
IF(AT225=regle!$G$12,regle!$G$11,
IF(AT225=regle!$H$12,regle!$H$11,
IF(AT225=regle!$I$12,regle!$I$11,""))))))))))</f>
        <v/>
      </c>
      <c r="AA225" t="str">
        <f>IF(NOT($A225),"",
IF(AU225=-2,regle!$J$11,
IF(AU225=regle!$B$12,regle!$B$11,
IF(AU225=regle!$C$12,regle!$C$11,
IF(AU225=regle!$D$12,regle!$D$11,
IF(AU225=regle!$E$12,regle!$E$11,
IF(AU225=regle!$F$12,regle!$F$11,
IF(AU225=regle!$G$12,regle!$G$11,
IF(AU225=regle!$H$12,regle!$H$11,
IF(AU225=regle!$I$12,regle!$I$11,""))))))))))</f>
        <v/>
      </c>
      <c r="AB225" t="str">
        <f>IF(NOT($A225),"",
IF(AV225=-2,regle!$J$11,
IF(AV225=regle!$B$12,regle!$B$11,
IF(AV225=regle!$C$12,regle!$C$11,
IF(AV225=regle!$D$12,regle!$D$11,
IF(AV225=regle!$E$12,regle!$E$11,
IF(AV225=regle!$F$12,regle!$F$11,
IF(AV225=regle!$G$12,regle!$G$11,
IF(AV225=regle!$H$12,regle!$H$11,
IF(AV225=regle!$I$12,regle!$I$11,""))))))))))</f>
        <v/>
      </c>
      <c r="AC225" t="str">
        <f>IF(NOT($A225),"",
IF(AW225=-2,regle!$J$11,
IF(AW225=regle!$B$12,regle!$B$11,
IF(AW225=regle!$C$12,regle!$C$11,
IF(AW225=regle!$D$12,regle!$D$11,
IF(AW225=regle!$E$12,regle!$E$11,
IF(AW225=regle!$F$12,regle!$F$11,
IF(AW225=regle!$G$12,regle!$G$11,
IF(AW225=regle!$H$12,regle!$H$11,
IF(AW225=regle!$I$12,regle!$I$11,""))))))))))</f>
        <v>EC4</v>
      </c>
      <c r="AD225" t="str">
        <f>IF(NOT($A225),"",
IF(AX225=-2,regle!$J$11,
IF(AX225=regle!$B$12,regle!$B$11,
IF(AX225=regle!$C$12,regle!$C$11,
IF(AX225=regle!$D$12,regle!$D$11,
IF(AX225=regle!$E$12,regle!$E$11,
IF(AX225=regle!$F$12,regle!$F$11,
IF(AX225=regle!$G$12,regle!$G$11,
IF(AX225=regle!$H$12,regle!$H$11,
IF(AX225=regle!$I$12,regle!$I$11,""))))))))))</f>
        <v/>
      </c>
      <c r="AE225" s="14">
        <f>IF($A225,$M225*(IF(U225=regle!$B$11,regle!$B$23,IF(U225=regle!$C$11,regle!$C$23,IF(U225=regle!$D$11,regle!$D$23,IF(U225=regle!$E$11,regle!$E$23,IF(U225=regle!$F$11,regle!$F$23,IF(U225=regle!$G$11,regle!$G$23,IF(U225=regle!$H$11,regle!$H$23,IF(U225=regle!$I$11,regle!$I$23,IF(U225=regle!$J$11,regle!$J$23,0)))))))))))</f>
        <v>0</v>
      </c>
      <c r="AF225" s="14">
        <f>IF($A225,$M225*(IF(V225=regle!$B$11,regle!$B$23,IF(V225=regle!$C$11,regle!$C$23,IF(V225=regle!$D$11,regle!$D$23,IF(V225=regle!$E$11,regle!$E$23,IF(V225=regle!$F$11,regle!$F$23,IF(V225=regle!$G$11,regle!$G$23,IF(V225=regle!$H$11,regle!$H$23,IF(V225=regle!$I$11,regle!$I$23,IF(V225=regle!$J$11,regle!$J$23,0)))))))))))</f>
        <v>0</v>
      </c>
      <c r="AG225" s="14">
        <f>IF($A225,$M225*(IF(W225=regle!$B$11,regle!$B$23,IF(W225=regle!$C$11,regle!$C$23,IF(W225=regle!$D$11,regle!$D$23,IF(W225=regle!$E$11,regle!$E$23,IF(W225=regle!$F$11,regle!$F$23,IF(W225=regle!$G$11,regle!$G$23,IF(W225=regle!$H$11,regle!$H$23,IF(W225=regle!$I$11,regle!$I$23,IF(W225=regle!$J$11,regle!$J$23,0)))))))))))</f>
        <v>0</v>
      </c>
      <c r="AH225" s="14">
        <f>IF($A225,$M225*(IF(X225=regle!$B$11,regle!$B$23,IF(X225=regle!$C$11,regle!$C$23,IF(X225=regle!$D$11,regle!$D$23,IF(X225=regle!$E$11,regle!$E$23,IF(X225=regle!$F$11,regle!$F$23,IF(X225=regle!$G$11,regle!$G$23,IF(X225=regle!$H$11,regle!$H$23,IF(X225=regle!$I$11,regle!$I$23,IF(X225=regle!$J$11,regle!$J$23,0)))))))))))</f>
        <v>8.4480000000000004</v>
      </c>
      <c r="AI225" s="14">
        <f>IF($A225,$M225*(IF(Y225=regle!$B$11,regle!$B$23,IF(Y225=regle!$C$11,regle!$C$23,IF(Y225=regle!$D$11,regle!$D$23,IF(Y225=regle!$E$11,regle!$E$23,IF(Y225=regle!$F$11,regle!$F$23,IF(Y225=regle!$G$11,regle!$G$23,IF(Y225=regle!$H$11,regle!$H$23,IF(Y225=regle!$I$11,regle!$I$23,IF(Y225=regle!$J$11,regle!$J$23,0)))))))))))</f>
        <v>0</v>
      </c>
      <c r="AJ225" s="14">
        <f>IF($A225,$M225*(IF(Z225=regle!$B$11,regle!$B$23,IF(Z225=regle!$C$11,regle!$C$23,IF(Z225=regle!$D$11,regle!$D$23,IF(Z225=regle!$E$11,regle!$E$23,IF(Z225=regle!$F$11,regle!$F$23,IF(Z225=regle!$G$11,regle!$G$23,IF(Z225=regle!$H$11,regle!$H$23,IF(Z225=regle!$I$11,regle!$I$23,IF(Z225=regle!$J$11,regle!$J$23,0)))))))))))</f>
        <v>0</v>
      </c>
      <c r="AK225" s="14">
        <f>IF($A225,$M225*(IF(AA225=regle!$B$11,regle!$B$23,IF(AA225=regle!$C$11,regle!$C$23,IF(AA225=regle!$D$11,regle!$D$23,IF(AA225=regle!$E$11,regle!$E$23,IF(AA225=regle!$F$11,regle!$F$23,IF(AA225=regle!$G$11,regle!$G$23,IF(AA225=regle!$H$11,regle!$H$23,IF(AA225=regle!$I$11,regle!$I$23,IF(AA225=regle!$J$11,regle!$J$23,0)))))))))))</f>
        <v>0</v>
      </c>
      <c r="AL225" s="14">
        <f>IF($A225,$M225*(IF(AB225=regle!$B$11,regle!$B$23,IF(AB225=regle!$C$11,regle!$C$23,IF(AB225=regle!$D$11,regle!$D$23,IF(AB225=regle!$E$11,regle!$E$23,IF(AB225=regle!$F$11,regle!$F$23,IF(AB225=regle!$G$11,regle!$G$23,IF(AB225=regle!$H$11,regle!$H$23,IF(AB225=regle!$I$11,regle!$I$23,IF(AB225=regle!$J$11,regle!$J$23,0)))))))))))</f>
        <v>0</v>
      </c>
      <c r="AM225" s="14">
        <f>IF($A225,$M225*(IF(AC225=regle!$B$11,regle!$B$23,IF(AC225=regle!$C$11,regle!$C$23,IF(AC225=regle!$D$11,regle!$D$23,IF(AC225=regle!$E$11,regle!$E$23,IF(AC225=regle!$F$11,regle!$F$23,IF(AC225=regle!$G$11,regle!$G$23,IF(AC225=regle!$H$11,regle!$H$23,IF(AC225=regle!$I$11,regle!$I$23,IF(AC225=regle!$J$11,regle!$J$23,0)))))))))))</f>
        <v>7.68</v>
      </c>
      <c r="AN225" s="14">
        <f>IF($A225,$M225*(IF(AD225=regle!$B$11,regle!$B$23,IF(AD225=regle!$C$11,regle!$C$23,IF(AD225=regle!$D$11,regle!$D$23,IF(AD225=regle!$E$11,regle!$E$23,IF(AD225=regle!$F$11,regle!$F$23,IF(AD225=regle!$G$11,regle!$G$23,IF(AD225=regle!$H$11,regle!$H$23,IF(AD225=regle!$I$11,regle!$I$23,IF(AD225=regle!$J$11,regle!$J$23,0)))))))))))</f>
        <v>0</v>
      </c>
      <c r="AO225">
        <f>IF(AO$1=$AO$1,IF(regle!B$2-$Q225&gt;=regle!$J$12,-2,IF($S225,IF(regle!$B$2-$Q225&gt;=2,0,-1),regle!B$2-$Q225)),IF(AN225+1&gt;=regle!$J$12,-2,AN225+1))</f>
        <v>20</v>
      </c>
      <c r="AP225">
        <f>IF(AP$1=$AO$1,IF(regle!C$2-$Q225&gt;=regle!$J$12,-2,IF($S225,IF(regle!$B$2-$Q225&gt;=2,0,-1),regle!C$2-$Q225)),IF(AO225+1&gt;=regle!$J$12,-2,AO225+1))</f>
        <v>21</v>
      </c>
      <c r="AQ225">
        <f>IF(AQ$1=$AO$1,IF(regle!D$2-$Q225&gt;=regle!$J$12,-2,IF($S225,IF(regle!$B$2-$Q225&gt;=2,0,-1),regle!D$2-$Q225)),IF(AP225+1&gt;=regle!$J$12,-2,AP225+1))</f>
        <v>22</v>
      </c>
      <c r="AR225">
        <f>IF(AR$1=$AO$1,IF(regle!E$2-$Q225&gt;=regle!$J$12,-2,IF($S225,IF(regle!$B$2-$Q225&gt;=2,0,-1),regle!E$2-$Q225)),IF(AQ225+1&gt;=regle!$J$12,-2,AQ225+1))</f>
        <v>23</v>
      </c>
      <c r="AS225">
        <f>IF(AS$1=$AO$1,IF(regle!F$2-$Q225&gt;=regle!$J$12,-2,IF($S225,IF(regle!$B$2-$Q225&gt;=2,0,-1),regle!F$2-$Q225)),IF(AR225+1&gt;=regle!$J$12,-2,AR225+1))</f>
        <v>24</v>
      </c>
      <c r="AT225">
        <f>IF(AT$1=$AO$1,IF(regle!G$2-$Q225&gt;=regle!$J$12,-2,IF($S225,IF(regle!$B$2-$Q225&gt;=2,0,-1),regle!G$2-$Q225)),IF(AS225+1&gt;=regle!$J$12,-2,AS225+1))</f>
        <v>25</v>
      </c>
      <c r="AU225">
        <f>IF(AU$1=$AO$1,IF(regle!H$2-$Q225&gt;=regle!$J$12,-2,IF($S225,IF(regle!$B$2-$Q225&gt;=2,0,-1),regle!H$2-$Q225)),IF(AT225+1&gt;=regle!$J$12,-2,AT225+1))</f>
        <v>26</v>
      </c>
      <c r="AV225">
        <f>IF(AV$1=$AO$1,IF(regle!I$2-$Q225&gt;=regle!$J$12,-2,IF($S225,IF(regle!$B$2-$Q225&gt;=2,0,-1),regle!I$2-$Q225)),IF(AU225+1&gt;=regle!$J$12,-2,AU225+1))</f>
        <v>27</v>
      </c>
      <c r="AW225">
        <f>IF(AW$1=$AO$1,IF(regle!J$2-$Q225&gt;=regle!$J$12,-2,IF($S225,IF(regle!$B$2-$Q225&gt;=2,0,-1),regle!J$2-$Q225)),IF(AV225+1&gt;=regle!$J$12,-2,AV225+1))</f>
        <v>28</v>
      </c>
      <c r="AX225">
        <f>IF(AX$1=$AO$1,IF(regle!K$2-$Q225&gt;=regle!$J$12,-2,IF($S225,IF(regle!$B$2-$Q225&gt;=2,0,-1),regle!K$2-$Q225)),IF(AW225+1&gt;=regle!$J$12,-2,AW225+1))</f>
        <v>29</v>
      </c>
    </row>
    <row r="226" spans="1:50" x14ac:dyDescent="0.25">
      <c r="A226" t="b">
        <f>AND(modif0[[#This Row],[cdstr]]&lt;&gt;0,OR(regle!$H$27=FALSE,modif0[[#This Row],[essnc]]="PM"))</f>
        <v>1</v>
      </c>
      <c r="B226">
        <f>ROW(objet!A268)</f>
        <v>268</v>
      </c>
      <c r="C226" s="10" t="str">
        <f>objet!D268</f>
        <v>2020000B1264</v>
      </c>
      <c r="D226" t="str">
        <f>LEFT(modif0[[#This Row],[cdstr]],3)</f>
        <v>202</v>
      </c>
      <c r="E226" s="10" t="str">
        <f>objet!G268</f>
        <v>HOSTENS</v>
      </c>
      <c r="F226">
        <f>LEN(modif0[[#This Row],[l_dt]])</f>
        <v>13</v>
      </c>
      <c r="G226" s="10" t="str">
        <f>objet!H268</f>
        <v>LA BROUSTETTE</v>
      </c>
      <c r="H226" s="10" t="str">
        <f>objet!C268</f>
        <v>B1264</v>
      </c>
      <c r="I226" t="str">
        <f>IF(ISNUMBER(VALUE(RIGHT(LEFT(modif0[[#This Row],[idntfn]],2),1))),_xlfn.CONCAT(0,LEFT(modif0[[#This Row],[idntfn]],1)),LEFT(modif0[[#This Row],[idntfn]],2))</f>
        <v>0B</v>
      </c>
      <c r="J226">
        <f>VALUE(LEFT(RIGHT(modif0[[#This Row],[idntfn]],LEN(modif0[[#This Row],[idntfn]])-IF(LEFT(modif0[[#This Row],[sctn]],1)="0",1,2)),LEN(modif0[[#This Row],[idntfn]])-IF(LEFT(modif0[[#This Row],[sctn]],1)="0",1,2)-LEN(modif0[[#This Row],[lttr]])))</f>
        <v>1264</v>
      </c>
      <c r="K226" t="str">
        <f>IF(ISNUMBER(VALUE(RIGHT(modif0[[#This Row],[idntfn]],1))),"",IF(ISNUMBER(VALUE(LEFT(RIGHT(modif0[[#This Row],[idntfn]],2),1))),RIGHT(modif0[[#This Row],[idntfn]],1),RIGHT(modif0[[#This Row],[idntfn]],2)))</f>
        <v/>
      </c>
      <c r="L226" s="10">
        <f>objet!I268</f>
        <v>180</v>
      </c>
      <c r="M226" s="11">
        <f>modif0[[#This Row],[srfc]]/10000</f>
        <v>1.7999999999999999E-2</v>
      </c>
      <c r="N226" s="10" t="str">
        <f>objet!Z268</f>
        <v>PM</v>
      </c>
      <c r="O226" s="10" t="str">
        <f>objet!AA268</f>
        <v>PLA2004</v>
      </c>
      <c r="P226" t="str">
        <f>IF(ISNUMBER(modif0[[#This Row],[trvx]]),"",LEFT(modif0[[#This Row],[trvx]],LEN(modif0[[#This Row],[trvx]])-4))</f>
        <v>PLA</v>
      </c>
      <c r="Q226">
        <f>VALUE(RIGHT(modif0[[#This Row],[trvx]],4))</f>
        <v>2004</v>
      </c>
      <c r="R226" t="str">
        <f>_xlfn.CONCAT(modif0[[#This Row],[tp]],"-",modif0[[#This Row],[essnc]],"_",modif0[[#This Row],[anns]])</f>
        <v>PLA-PM_2004</v>
      </c>
      <c r="S226" t="b">
        <f>modif0[[#This Row],[tp]]="CR"</f>
        <v>0</v>
      </c>
      <c r="T226">
        <v>40</v>
      </c>
      <c r="U226" t="str">
        <f>IF(NOT($A226),"",
IF(AO226=-2,regle!$J$11,
IF(AO226=regle!$B$12,regle!$B$11,
IF(AO226=regle!$C$12,regle!$C$11,
IF(AO226=regle!$D$12,regle!$D$11,
IF(AO226=regle!$E$12,regle!$E$11,
IF(AO226=regle!$F$12,regle!$F$11,
IF(AO226=regle!$G$12,regle!$G$11,
IF(AO226=regle!$H$12,regle!$H$11,
IF(AO226=regle!$I$12,regle!$I$11,""))))))))))</f>
        <v/>
      </c>
      <c r="V226" t="str">
        <f>IF(NOT($A226),"",
IF(AP226=-2,regle!$J$11,
IF(AP226=regle!$B$12,regle!$B$11,
IF(AP226=regle!$C$12,regle!$C$11,
IF(AP226=regle!$D$12,regle!$D$11,
IF(AP226=regle!$E$12,regle!$E$11,
IF(AP226=regle!$F$12,regle!$F$11,
IF(AP226=regle!$G$12,regle!$G$11,
IF(AP226=regle!$H$12,regle!$H$11,
IF(AP226=regle!$I$12,regle!$I$11,""))))))))))</f>
        <v/>
      </c>
      <c r="W226" t="str">
        <f>IF(NOT($A226),"",
IF(AQ226=-2,regle!$J$11,
IF(AQ226=regle!$B$12,regle!$B$11,
IF(AQ226=regle!$C$12,regle!$C$11,
IF(AQ226=regle!$D$12,regle!$D$11,
IF(AQ226=regle!$E$12,regle!$E$11,
IF(AQ226=regle!$F$12,regle!$F$11,
IF(AQ226=regle!$G$12,regle!$G$11,
IF(AQ226=regle!$H$12,regle!$H$11,
IF(AQ226=regle!$I$12,regle!$I$11,""))))))))))</f>
        <v/>
      </c>
      <c r="X226" t="str">
        <f>IF(NOT($A226),"",
IF(AR226=-2,regle!$J$11,
IF(AR226=regle!$B$12,regle!$B$11,
IF(AR226=regle!$C$12,regle!$C$11,
IF(AR226=regle!$D$12,regle!$D$11,
IF(AR226=regle!$E$12,regle!$E$11,
IF(AR226=regle!$F$12,regle!$F$11,
IF(AR226=regle!$G$12,regle!$G$11,
IF(AR226=regle!$H$12,regle!$H$11,
IF(AR226=regle!$I$12,regle!$I$11,""))))))))))</f>
        <v>EC3</v>
      </c>
      <c r="Y226" t="str">
        <f>IF(NOT($A226),"",
IF(AS226=-2,regle!$J$11,
IF(AS226=regle!$B$12,regle!$B$11,
IF(AS226=regle!$C$12,regle!$C$11,
IF(AS226=regle!$D$12,regle!$D$11,
IF(AS226=regle!$E$12,regle!$E$11,
IF(AS226=regle!$F$12,regle!$F$11,
IF(AS226=regle!$G$12,regle!$G$11,
IF(AS226=regle!$H$12,regle!$H$11,
IF(AS226=regle!$I$12,regle!$I$11,""))))))))))</f>
        <v/>
      </c>
      <c r="Z226" t="str">
        <f>IF(NOT($A226),"",
IF(AT226=-2,regle!$J$11,
IF(AT226=regle!$B$12,regle!$B$11,
IF(AT226=regle!$C$12,regle!$C$11,
IF(AT226=regle!$D$12,regle!$D$11,
IF(AT226=regle!$E$12,regle!$E$11,
IF(AT226=regle!$F$12,regle!$F$11,
IF(AT226=regle!$G$12,regle!$G$11,
IF(AT226=regle!$H$12,regle!$H$11,
IF(AT226=regle!$I$12,regle!$I$11,""))))))))))</f>
        <v/>
      </c>
      <c r="AA226" t="str">
        <f>IF(NOT($A226),"",
IF(AU226=-2,regle!$J$11,
IF(AU226=regle!$B$12,regle!$B$11,
IF(AU226=regle!$C$12,regle!$C$11,
IF(AU226=regle!$D$12,regle!$D$11,
IF(AU226=regle!$E$12,regle!$E$11,
IF(AU226=regle!$F$12,regle!$F$11,
IF(AU226=regle!$G$12,regle!$G$11,
IF(AU226=regle!$H$12,regle!$H$11,
IF(AU226=regle!$I$12,regle!$I$11,""))))))))))</f>
        <v/>
      </c>
      <c r="AB226" t="str">
        <f>IF(NOT($A226),"",
IF(AV226=-2,regle!$J$11,
IF(AV226=regle!$B$12,regle!$B$11,
IF(AV226=regle!$C$12,regle!$C$11,
IF(AV226=regle!$D$12,regle!$D$11,
IF(AV226=regle!$E$12,regle!$E$11,
IF(AV226=regle!$F$12,regle!$F$11,
IF(AV226=regle!$G$12,regle!$G$11,
IF(AV226=regle!$H$12,regle!$H$11,
IF(AV226=regle!$I$12,regle!$I$11,""))))))))))</f>
        <v/>
      </c>
      <c r="AC226" t="str">
        <f>IF(NOT($A226),"",
IF(AW226=-2,regle!$J$11,
IF(AW226=regle!$B$12,regle!$B$11,
IF(AW226=regle!$C$12,regle!$C$11,
IF(AW226=regle!$D$12,regle!$D$11,
IF(AW226=regle!$E$12,regle!$E$11,
IF(AW226=regle!$F$12,regle!$F$11,
IF(AW226=regle!$G$12,regle!$G$11,
IF(AW226=regle!$H$12,regle!$H$11,
IF(AW226=regle!$I$12,regle!$I$11,""))))))))))</f>
        <v>EC4</v>
      </c>
      <c r="AD226" t="str">
        <f>IF(NOT($A226),"",
IF(AX226=-2,regle!$J$11,
IF(AX226=regle!$B$12,regle!$B$11,
IF(AX226=regle!$C$12,regle!$C$11,
IF(AX226=regle!$D$12,regle!$D$11,
IF(AX226=regle!$E$12,regle!$E$11,
IF(AX226=regle!$F$12,regle!$F$11,
IF(AX226=regle!$G$12,regle!$G$11,
IF(AX226=regle!$H$12,regle!$H$11,
IF(AX226=regle!$I$12,regle!$I$11,""))))))))))</f>
        <v/>
      </c>
      <c r="AE226" s="14">
        <f>IF($A226,$M226*(IF(U226=regle!$B$11,regle!$B$23,IF(U226=regle!$C$11,regle!$C$23,IF(U226=regle!$D$11,regle!$D$23,IF(U226=regle!$E$11,regle!$E$23,IF(U226=regle!$F$11,regle!$F$23,IF(U226=regle!$G$11,regle!$G$23,IF(U226=regle!$H$11,regle!$H$23,IF(U226=regle!$I$11,regle!$I$23,IF(U226=regle!$J$11,regle!$J$23,0)))))))))))</f>
        <v>0</v>
      </c>
      <c r="AF226" s="14">
        <f>IF($A226,$M226*(IF(V226=regle!$B$11,regle!$B$23,IF(V226=regle!$C$11,regle!$C$23,IF(V226=regle!$D$11,regle!$D$23,IF(V226=regle!$E$11,regle!$E$23,IF(V226=regle!$F$11,regle!$F$23,IF(V226=regle!$G$11,regle!$G$23,IF(V226=regle!$H$11,regle!$H$23,IF(V226=regle!$I$11,regle!$I$23,IF(V226=regle!$J$11,regle!$J$23,0)))))))))))</f>
        <v>0</v>
      </c>
      <c r="AG226" s="14">
        <f>IF($A226,$M226*(IF(W226=regle!$B$11,regle!$B$23,IF(W226=regle!$C$11,regle!$C$23,IF(W226=regle!$D$11,regle!$D$23,IF(W226=regle!$E$11,regle!$E$23,IF(W226=regle!$F$11,regle!$F$23,IF(W226=regle!$G$11,regle!$G$23,IF(W226=regle!$H$11,regle!$H$23,IF(W226=regle!$I$11,regle!$I$23,IF(W226=regle!$J$11,regle!$J$23,0)))))))))))</f>
        <v>0</v>
      </c>
      <c r="AH226" s="14">
        <f>IF($A226,$M226*(IF(X226=regle!$B$11,regle!$B$23,IF(X226=regle!$C$11,regle!$C$23,IF(X226=regle!$D$11,regle!$D$23,IF(X226=regle!$E$11,regle!$E$23,IF(X226=regle!$F$11,regle!$F$23,IF(X226=regle!$G$11,regle!$G$23,IF(X226=regle!$H$11,regle!$H$23,IF(X226=regle!$I$11,regle!$I$23,IF(X226=regle!$J$11,regle!$J$23,0)))))))))))</f>
        <v>25.343999999999998</v>
      </c>
      <c r="AI226" s="14">
        <f>IF($A226,$M226*(IF(Y226=regle!$B$11,regle!$B$23,IF(Y226=regle!$C$11,regle!$C$23,IF(Y226=regle!$D$11,regle!$D$23,IF(Y226=regle!$E$11,regle!$E$23,IF(Y226=regle!$F$11,regle!$F$23,IF(Y226=regle!$G$11,regle!$G$23,IF(Y226=regle!$H$11,regle!$H$23,IF(Y226=regle!$I$11,regle!$I$23,IF(Y226=regle!$J$11,regle!$J$23,0)))))))))))</f>
        <v>0</v>
      </c>
      <c r="AJ226" s="14">
        <f>IF($A226,$M226*(IF(Z226=regle!$B$11,regle!$B$23,IF(Z226=regle!$C$11,regle!$C$23,IF(Z226=regle!$D$11,regle!$D$23,IF(Z226=regle!$E$11,regle!$E$23,IF(Z226=regle!$F$11,regle!$F$23,IF(Z226=regle!$G$11,regle!$G$23,IF(Z226=regle!$H$11,regle!$H$23,IF(Z226=regle!$I$11,regle!$I$23,IF(Z226=regle!$J$11,regle!$J$23,0)))))))))))</f>
        <v>0</v>
      </c>
      <c r="AK226" s="14">
        <f>IF($A226,$M226*(IF(AA226=regle!$B$11,regle!$B$23,IF(AA226=regle!$C$11,regle!$C$23,IF(AA226=regle!$D$11,regle!$D$23,IF(AA226=regle!$E$11,regle!$E$23,IF(AA226=regle!$F$11,regle!$F$23,IF(AA226=regle!$G$11,regle!$G$23,IF(AA226=regle!$H$11,regle!$H$23,IF(AA226=regle!$I$11,regle!$I$23,IF(AA226=regle!$J$11,regle!$J$23,0)))))))))))</f>
        <v>0</v>
      </c>
      <c r="AL226" s="14">
        <f>IF($A226,$M226*(IF(AB226=regle!$B$11,regle!$B$23,IF(AB226=regle!$C$11,regle!$C$23,IF(AB226=regle!$D$11,regle!$D$23,IF(AB226=regle!$E$11,regle!$E$23,IF(AB226=regle!$F$11,regle!$F$23,IF(AB226=regle!$G$11,regle!$G$23,IF(AB226=regle!$H$11,regle!$H$23,IF(AB226=regle!$I$11,regle!$I$23,IF(AB226=regle!$J$11,regle!$J$23,0)))))))))))</f>
        <v>0</v>
      </c>
      <c r="AM226" s="14">
        <f>IF($A226,$M226*(IF(AC226=regle!$B$11,regle!$B$23,IF(AC226=regle!$C$11,regle!$C$23,IF(AC226=regle!$D$11,regle!$D$23,IF(AC226=regle!$E$11,regle!$E$23,IF(AC226=regle!$F$11,regle!$F$23,IF(AC226=regle!$G$11,regle!$G$23,IF(AC226=regle!$H$11,regle!$H$23,IF(AC226=regle!$I$11,regle!$I$23,IF(AC226=regle!$J$11,regle!$J$23,0)))))))))))</f>
        <v>23.04</v>
      </c>
      <c r="AN226" s="14">
        <f>IF($A226,$M226*(IF(AD226=regle!$B$11,regle!$B$23,IF(AD226=regle!$C$11,regle!$C$23,IF(AD226=regle!$D$11,regle!$D$23,IF(AD226=regle!$E$11,regle!$E$23,IF(AD226=regle!$F$11,regle!$F$23,IF(AD226=regle!$G$11,regle!$G$23,IF(AD226=regle!$H$11,regle!$H$23,IF(AD226=regle!$I$11,regle!$I$23,IF(AD226=regle!$J$11,regle!$J$23,0)))))))))))</f>
        <v>0</v>
      </c>
      <c r="AO226">
        <f>IF(AO$1=$AO$1,IF(regle!B$2-$Q226&gt;=regle!$J$12,-2,IF($S226,IF(regle!$B$2-$Q226&gt;=2,0,-1),regle!B$2-$Q226)),IF(AN226+1&gt;=regle!$J$12,-2,AN226+1))</f>
        <v>20</v>
      </c>
      <c r="AP226">
        <f>IF(AP$1=$AO$1,IF(regle!C$2-$Q226&gt;=regle!$J$12,-2,IF($S226,IF(regle!$B$2-$Q226&gt;=2,0,-1),regle!C$2-$Q226)),IF(AO226+1&gt;=regle!$J$12,-2,AO226+1))</f>
        <v>21</v>
      </c>
      <c r="AQ226">
        <f>IF(AQ$1=$AO$1,IF(regle!D$2-$Q226&gt;=regle!$J$12,-2,IF($S226,IF(regle!$B$2-$Q226&gt;=2,0,-1),regle!D$2-$Q226)),IF(AP226+1&gt;=regle!$J$12,-2,AP226+1))</f>
        <v>22</v>
      </c>
      <c r="AR226">
        <f>IF(AR$1=$AO$1,IF(regle!E$2-$Q226&gt;=regle!$J$12,-2,IF($S226,IF(regle!$B$2-$Q226&gt;=2,0,-1),regle!E$2-$Q226)),IF(AQ226+1&gt;=regle!$J$12,-2,AQ226+1))</f>
        <v>23</v>
      </c>
      <c r="AS226">
        <f>IF(AS$1=$AO$1,IF(regle!F$2-$Q226&gt;=regle!$J$12,-2,IF($S226,IF(regle!$B$2-$Q226&gt;=2,0,-1),regle!F$2-$Q226)),IF(AR226+1&gt;=regle!$J$12,-2,AR226+1))</f>
        <v>24</v>
      </c>
      <c r="AT226">
        <f>IF(AT$1=$AO$1,IF(regle!G$2-$Q226&gt;=regle!$J$12,-2,IF($S226,IF(regle!$B$2-$Q226&gt;=2,0,-1),regle!G$2-$Q226)),IF(AS226+1&gt;=regle!$J$12,-2,AS226+1))</f>
        <v>25</v>
      </c>
      <c r="AU226">
        <f>IF(AU$1=$AO$1,IF(regle!H$2-$Q226&gt;=regle!$J$12,-2,IF($S226,IF(regle!$B$2-$Q226&gt;=2,0,-1),regle!H$2-$Q226)),IF(AT226+1&gt;=regle!$J$12,-2,AT226+1))</f>
        <v>26</v>
      </c>
      <c r="AV226">
        <f>IF(AV$1=$AO$1,IF(regle!I$2-$Q226&gt;=regle!$J$12,-2,IF($S226,IF(regle!$B$2-$Q226&gt;=2,0,-1),regle!I$2-$Q226)),IF(AU226+1&gt;=regle!$J$12,-2,AU226+1))</f>
        <v>27</v>
      </c>
      <c r="AW226">
        <f>IF(AW$1=$AO$1,IF(regle!J$2-$Q226&gt;=regle!$J$12,-2,IF($S226,IF(regle!$B$2-$Q226&gt;=2,0,-1),regle!J$2-$Q226)),IF(AV226+1&gt;=regle!$J$12,-2,AV226+1))</f>
        <v>28</v>
      </c>
      <c r="AX226">
        <f>IF(AX$1=$AO$1,IF(regle!K$2-$Q226&gt;=regle!$J$12,-2,IF($S226,IF(regle!$B$2-$Q226&gt;=2,0,-1),regle!K$2-$Q226)),IF(AW226+1&gt;=regle!$J$12,-2,AW226+1))</f>
        <v>29</v>
      </c>
    </row>
    <row r="227" spans="1:50" x14ac:dyDescent="0.25">
      <c r="A227" t="b">
        <f>AND(modif0[[#This Row],[cdstr]]&lt;&gt;0,OR(regle!$H$27=FALSE,modif0[[#This Row],[essnc]]="PM"))</f>
        <v>1</v>
      </c>
      <c r="B227">
        <f>ROW(objet!A269)</f>
        <v>269</v>
      </c>
      <c r="C227" s="10" t="str">
        <f>objet!D269</f>
        <v>2020000B1573</v>
      </c>
      <c r="D227" t="str">
        <f>LEFT(modif0[[#This Row],[cdstr]],3)</f>
        <v>202</v>
      </c>
      <c r="E227" s="10" t="str">
        <f>objet!G269</f>
        <v>HOSTENS</v>
      </c>
      <c r="F227">
        <f>LEN(modif0[[#This Row],[l_dt]])</f>
        <v>11</v>
      </c>
      <c r="G227" s="10" t="str">
        <f>objet!H269</f>
        <v>LES CAZALAS</v>
      </c>
      <c r="H227" s="10" t="str">
        <f>objet!C269</f>
        <v>B1573</v>
      </c>
      <c r="I227" t="str">
        <f>IF(ISNUMBER(VALUE(RIGHT(LEFT(modif0[[#This Row],[idntfn]],2),1))),_xlfn.CONCAT(0,LEFT(modif0[[#This Row],[idntfn]],1)),LEFT(modif0[[#This Row],[idntfn]],2))</f>
        <v>0B</v>
      </c>
      <c r="J227">
        <f>VALUE(LEFT(RIGHT(modif0[[#This Row],[idntfn]],LEN(modif0[[#This Row],[idntfn]])-IF(LEFT(modif0[[#This Row],[sctn]],1)="0",1,2)),LEN(modif0[[#This Row],[idntfn]])-IF(LEFT(modif0[[#This Row],[sctn]],1)="0",1,2)-LEN(modif0[[#This Row],[lttr]])))</f>
        <v>1573</v>
      </c>
      <c r="K227" t="str">
        <f>IF(ISNUMBER(VALUE(RIGHT(modif0[[#This Row],[idntfn]],1))),"",IF(ISNUMBER(VALUE(LEFT(RIGHT(modif0[[#This Row],[idntfn]],2),1))),RIGHT(modif0[[#This Row],[idntfn]],1),RIGHT(modif0[[#This Row],[idntfn]],2)))</f>
        <v/>
      </c>
      <c r="L227" s="10">
        <f>objet!I269</f>
        <v>6075</v>
      </c>
      <c r="M227" s="11">
        <f>modif0[[#This Row],[srfc]]/10000</f>
        <v>0.60750000000000004</v>
      </c>
      <c r="N227" s="10" t="str">
        <f>objet!Z269</f>
        <v>PM</v>
      </c>
      <c r="O227" s="10" t="str">
        <f>objet!AA269</f>
        <v>PLA2015</v>
      </c>
      <c r="P227" t="str">
        <f>IF(ISNUMBER(modif0[[#This Row],[trvx]]),"",LEFT(modif0[[#This Row],[trvx]],LEN(modif0[[#This Row],[trvx]])-4))</f>
        <v>PLA</v>
      </c>
      <c r="Q227">
        <f>VALUE(RIGHT(modif0[[#This Row],[trvx]],4))</f>
        <v>2015</v>
      </c>
      <c r="R227" t="str">
        <f>_xlfn.CONCAT(modif0[[#This Row],[tp]],"-",modif0[[#This Row],[essnc]],"_",modif0[[#This Row],[anns]])</f>
        <v>PLA-PM_2015</v>
      </c>
      <c r="S227" t="b">
        <f>modif0[[#This Row],[tp]]="CR"</f>
        <v>0</v>
      </c>
      <c r="T227">
        <v>40</v>
      </c>
      <c r="U227" t="str">
        <f>IF(NOT($A227),"",
IF(AO227=-2,regle!$J$11,
IF(AO227=regle!$B$12,regle!$B$11,
IF(AO227=regle!$C$12,regle!$C$11,
IF(AO227=regle!$D$12,regle!$D$11,
IF(AO227=regle!$E$12,regle!$E$11,
IF(AO227=regle!$F$12,regle!$F$11,
IF(AO227=regle!$G$12,regle!$G$11,
IF(AO227=regle!$H$12,regle!$H$11,
IF(AO227=regle!$I$12,regle!$I$11,""))))))))))</f>
        <v/>
      </c>
      <c r="V227" t="str">
        <f>IF(NOT($A227),"",
IF(AP227=-2,regle!$J$11,
IF(AP227=regle!$B$12,regle!$B$11,
IF(AP227=regle!$C$12,regle!$C$11,
IF(AP227=regle!$D$12,regle!$D$11,
IF(AP227=regle!$E$12,regle!$E$11,
IF(AP227=regle!$F$12,regle!$F$11,
IF(AP227=regle!$G$12,regle!$G$11,
IF(AP227=regle!$H$12,regle!$H$11,
IF(AP227=regle!$I$12,regle!$I$11,""))))))))))</f>
        <v/>
      </c>
      <c r="W227" t="str">
        <f>IF(NOT($A227),"",
IF(AQ227=-2,regle!$J$11,
IF(AQ227=regle!$B$12,regle!$B$11,
IF(AQ227=regle!$C$12,regle!$C$11,
IF(AQ227=regle!$D$12,regle!$D$11,
IF(AQ227=regle!$E$12,regle!$E$11,
IF(AQ227=regle!$F$12,regle!$F$11,
IF(AQ227=regle!$G$12,regle!$G$11,
IF(AQ227=regle!$H$12,regle!$H$11,
IF(AQ227=regle!$I$12,regle!$I$11,""))))))))))</f>
        <v/>
      </c>
      <c r="X227" t="str">
        <f>IF(NOT($A227),"",
IF(AR227=-2,regle!$J$11,
IF(AR227=regle!$B$12,regle!$B$11,
IF(AR227=regle!$C$12,regle!$C$11,
IF(AR227=regle!$D$12,regle!$D$11,
IF(AR227=regle!$E$12,regle!$E$11,
IF(AR227=regle!$F$12,regle!$F$11,
IF(AR227=regle!$G$12,regle!$G$11,
IF(AR227=regle!$H$12,regle!$H$11,
IF(AR227=regle!$I$12,regle!$I$11,""))))))))))</f>
        <v/>
      </c>
      <c r="Y227" t="str">
        <f>IF(NOT($A227),"",
IF(AS227=-2,regle!$J$11,
IF(AS227=regle!$B$12,regle!$B$11,
IF(AS227=regle!$C$12,regle!$C$11,
IF(AS227=regle!$D$12,regle!$D$11,
IF(AS227=regle!$E$12,regle!$E$11,
IF(AS227=regle!$F$12,regle!$F$11,
IF(AS227=regle!$G$12,regle!$G$11,
IF(AS227=regle!$H$12,regle!$H$11,
IF(AS227=regle!$I$12,regle!$I$11,""))))))))))</f>
        <v>EC1</v>
      </c>
      <c r="Z227" t="str">
        <f>IF(NOT($A227),"",
IF(AT227=-2,regle!$J$11,
IF(AT227=regle!$B$12,regle!$B$11,
IF(AT227=regle!$C$12,regle!$C$11,
IF(AT227=regle!$D$12,regle!$D$11,
IF(AT227=regle!$E$12,regle!$E$11,
IF(AT227=regle!$F$12,regle!$F$11,
IF(AT227=regle!$G$12,regle!$G$11,
IF(AT227=regle!$H$12,regle!$H$11,
IF(AT227=regle!$I$12,regle!$I$11,""))))))))))</f>
        <v/>
      </c>
      <c r="AA227" t="str">
        <f>IF(NOT($A227),"",
IF(AU227=-2,regle!$J$11,
IF(AU227=regle!$B$12,regle!$B$11,
IF(AU227=regle!$C$12,regle!$C$11,
IF(AU227=regle!$D$12,regle!$D$11,
IF(AU227=regle!$E$12,regle!$E$11,
IF(AU227=regle!$F$12,regle!$F$11,
IF(AU227=regle!$G$12,regle!$G$11,
IF(AU227=regle!$H$12,regle!$H$11,
IF(AU227=regle!$I$12,regle!$I$11,""))))))))))</f>
        <v/>
      </c>
      <c r="AB227" t="str">
        <f>IF(NOT($A227),"",
IF(AV227=-2,regle!$J$11,
IF(AV227=regle!$B$12,regle!$B$11,
IF(AV227=regle!$C$12,regle!$C$11,
IF(AV227=regle!$D$12,regle!$D$11,
IF(AV227=regle!$E$12,regle!$E$11,
IF(AV227=regle!$F$12,regle!$F$11,
IF(AV227=regle!$G$12,regle!$G$11,
IF(AV227=regle!$H$12,regle!$H$11,
IF(AV227=regle!$I$12,regle!$I$11,""))))))))))</f>
        <v/>
      </c>
      <c r="AC227" t="str">
        <f>IF(NOT($A227),"",
IF(AW227=-2,regle!$J$11,
IF(AW227=regle!$B$12,regle!$B$11,
IF(AW227=regle!$C$12,regle!$C$11,
IF(AW227=regle!$D$12,regle!$D$11,
IF(AW227=regle!$E$12,regle!$E$11,
IF(AW227=regle!$F$12,regle!$F$11,
IF(AW227=regle!$G$12,regle!$G$11,
IF(AW227=regle!$H$12,regle!$H$11,
IF(AW227=regle!$I$12,regle!$I$11,""))))))))))</f>
        <v/>
      </c>
      <c r="AD227" t="str">
        <f>IF(NOT($A227),"",
IF(AX227=-2,regle!$J$11,
IF(AX227=regle!$B$12,regle!$B$11,
IF(AX227=regle!$C$12,regle!$C$11,
IF(AX227=regle!$D$12,regle!$D$11,
IF(AX227=regle!$E$12,regle!$E$11,
IF(AX227=regle!$F$12,regle!$F$11,
IF(AX227=regle!$G$12,regle!$G$11,
IF(AX227=regle!$H$12,regle!$H$11,
IF(AX227=regle!$I$12,regle!$I$11,""))))))))))</f>
        <v>EC2</v>
      </c>
      <c r="AE227" s="14">
        <f>IF($A227,$M227*(IF(U227=regle!$B$11,regle!$B$23,IF(U227=regle!$C$11,regle!$C$23,IF(U227=regle!$D$11,regle!$D$23,IF(U227=regle!$E$11,regle!$E$23,IF(U227=regle!$F$11,regle!$F$23,IF(U227=regle!$G$11,regle!$G$23,IF(U227=regle!$H$11,regle!$H$23,IF(U227=regle!$I$11,regle!$I$23,IF(U227=regle!$J$11,regle!$J$23,0)))))))))))</f>
        <v>0</v>
      </c>
      <c r="AF227" s="14">
        <f>IF($A227,$M227*(IF(V227=regle!$B$11,regle!$B$23,IF(V227=regle!$C$11,regle!$C$23,IF(V227=regle!$D$11,regle!$D$23,IF(V227=regle!$E$11,regle!$E$23,IF(V227=regle!$F$11,regle!$F$23,IF(V227=regle!$G$11,regle!$G$23,IF(V227=regle!$H$11,regle!$H$23,IF(V227=regle!$I$11,regle!$I$23,IF(V227=regle!$J$11,regle!$J$23,0)))))))))))</f>
        <v>0</v>
      </c>
      <c r="AG227" s="14">
        <f>IF($A227,$M227*(IF(W227=regle!$B$11,regle!$B$23,IF(W227=regle!$C$11,regle!$C$23,IF(W227=regle!$D$11,regle!$D$23,IF(W227=regle!$E$11,regle!$E$23,IF(W227=regle!$F$11,regle!$F$23,IF(W227=regle!$G$11,regle!$G$23,IF(W227=regle!$H$11,regle!$H$23,IF(W227=regle!$I$11,regle!$I$23,IF(W227=regle!$J$11,regle!$J$23,0)))))))))))</f>
        <v>0</v>
      </c>
      <c r="AH227" s="14">
        <f>IF($A227,$M227*(IF(X227=regle!$B$11,regle!$B$23,IF(X227=regle!$C$11,regle!$C$23,IF(X227=regle!$D$11,regle!$D$23,IF(X227=regle!$E$11,regle!$E$23,IF(X227=regle!$F$11,regle!$F$23,IF(X227=regle!$G$11,regle!$G$23,IF(X227=regle!$H$11,regle!$H$23,IF(X227=regle!$I$11,regle!$I$23,IF(X227=regle!$J$11,regle!$J$23,0)))))))))))</f>
        <v>0</v>
      </c>
      <c r="AI227" s="14">
        <f>IF($A227,$M227*(IF(Y227=regle!$B$11,regle!$B$23,IF(Y227=regle!$C$11,regle!$C$23,IF(Y227=regle!$D$11,regle!$D$23,IF(Y227=regle!$E$11,regle!$E$23,IF(Y227=regle!$F$11,regle!$F$23,IF(Y227=regle!$G$11,regle!$G$23,IF(Y227=regle!$H$11,regle!$H$23,IF(Y227=regle!$I$11,regle!$I$23,IF(Y227=regle!$J$11,regle!$J$23,0)))))))))))</f>
        <v>349.92</v>
      </c>
      <c r="AJ227" s="14">
        <f>IF($A227,$M227*(IF(Z227=regle!$B$11,regle!$B$23,IF(Z227=regle!$C$11,regle!$C$23,IF(Z227=regle!$D$11,regle!$D$23,IF(Z227=regle!$E$11,regle!$E$23,IF(Z227=regle!$F$11,regle!$F$23,IF(Z227=regle!$G$11,regle!$G$23,IF(Z227=regle!$H$11,regle!$H$23,IF(Z227=regle!$I$11,regle!$I$23,IF(Z227=regle!$J$11,regle!$J$23,0)))))))))))</f>
        <v>0</v>
      </c>
      <c r="AK227" s="14">
        <f>IF($A227,$M227*(IF(AA227=regle!$B$11,regle!$B$23,IF(AA227=regle!$C$11,regle!$C$23,IF(AA227=regle!$D$11,regle!$D$23,IF(AA227=regle!$E$11,regle!$E$23,IF(AA227=regle!$F$11,regle!$F$23,IF(AA227=regle!$G$11,regle!$G$23,IF(AA227=regle!$H$11,regle!$H$23,IF(AA227=regle!$I$11,regle!$I$23,IF(AA227=regle!$J$11,regle!$J$23,0)))))))))))</f>
        <v>0</v>
      </c>
      <c r="AL227" s="14">
        <f>IF($A227,$M227*(IF(AB227=regle!$B$11,regle!$B$23,IF(AB227=regle!$C$11,regle!$C$23,IF(AB227=regle!$D$11,regle!$D$23,IF(AB227=regle!$E$11,regle!$E$23,IF(AB227=regle!$F$11,regle!$F$23,IF(AB227=regle!$G$11,regle!$G$23,IF(AB227=regle!$H$11,regle!$H$23,IF(AB227=regle!$I$11,regle!$I$23,IF(AB227=regle!$J$11,regle!$J$23,0)))))))))))</f>
        <v>0</v>
      </c>
      <c r="AM227" s="14">
        <f>IF($A227,$M227*(IF(AC227=regle!$B$11,regle!$B$23,IF(AC227=regle!$C$11,regle!$C$23,IF(AC227=regle!$D$11,regle!$D$23,IF(AC227=regle!$E$11,regle!$E$23,IF(AC227=regle!$F$11,regle!$F$23,IF(AC227=regle!$G$11,regle!$G$23,IF(AC227=regle!$H$11,regle!$H$23,IF(AC227=regle!$I$11,regle!$I$23,IF(AC227=regle!$J$11,regle!$J$23,0)))))))))))</f>
        <v>0</v>
      </c>
      <c r="AN227" s="14">
        <f>IF($A227,$M227*(IF(AD227=regle!$B$11,regle!$B$23,IF(AD227=regle!$C$11,regle!$C$23,IF(AD227=regle!$D$11,regle!$D$23,IF(AD227=regle!$E$11,regle!$E$23,IF(AD227=regle!$F$11,regle!$F$23,IF(AD227=regle!$G$11,regle!$G$23,IF(AD227=regle!$H$11,regle!$H$23,IF(AD227=regle!$I$11,regle!$I$23,IF(AD227=regle!$J$11,regle!$J$23,0)))))))))))</f>
        <v>510.3</v>
      </c>
      <c r="AO227">
        <f>IF(AO$1=$AO$1,IF(regle!B$2-$Q227&gt;=regle!$J$12,-2,IF($S227,IF(regle!$B$2-$Q227&gt;=2,0,-1),regle!B$2-$Q227)),IF(AN227+1&gt;=regle!$J$12,-2,AN227+1))</f>
        <v>9</v>
      </c>
      <c r="AP227">
        <f>IF(AP$1=$AO$1,IF(regle!C$2-$Q227&gt;=regle!$J$12,-2,IF($S227,IF(regle!$B$2-$Q227&gt;=2,0,-1),regle!C$2-$Q227)),IF(AO227+1&gt;=regle!$J$12,-2,AO227+1))</f>
        <v>10</v>
      </c>
      <c r="AQ227">
        <f>IF(AQ$1=$AO$1,IF(regle!D$2-$Q227&gt;=regle!$J$12,-2,IF($S227,IF(regle!$B$2-$Q227&gt;=2,0,-1),regle!D$2-$Q227)),IF(AP227+1&gt;=regle!$J$12,-2,AP227+1))</f>
        <v>11</v>
      </c>
      <c r="AR227">
        <f>IF(AR$1=$AO$1,IF(regle!E$2-$Q227&gt;=regle!$J$12,-2,IF($S227,IF(regle!$B$2-$Q227&gt;=2,0,-1),regle!E$2-$Q227)),IF(AQ227+1&gt;=regle!$J$12,-2,AQ227+1))</f>
        <v>12</v>
      </c>
      <c r="AS227">
        <f>IF(AS$1=$AO$1,IF(regle!F$2-$Q227&gt;=regle!$J$12,-2,IF($S227,IF(regle!$B$2-$Q227&gt;=2,0,-1),regle!F$2-$Q227)),IF(AR227+1&gt;=regle!$J$12,-2,AR227+1))</f>
        <v>13</v>
      </c>
      <c r="AT227">
        <f>IF(AT$1=$AO$1,IF(regle!G$2-$Q227&gt;=regle!$J$12,-2,IF($S227,IF(regle!$B$2-$Q227&gt;=2,0,-1),regle!G$2-$Q227)),IF(AS227+1&gt;=regle!$J$12,-2,AS227+1))</f>
        <v>14</v>
      </c>
      <c r="AU227">
        <f>IF(AU$1=$AO$1,IF(regle!H$2-$Q227&gt;=regle!$J$12,-2,IF($S227,IF(regle!$B$2-$Q227&gt;=2,0,-1),regle!H$2-$Q227)),IF(AT227+1&gt;=regle!$J$12,-2,AT227+1))</f>
        <v>15</v>
      </c>
      <c r="AV227">
        <f>IF(AV$1=$AO$1,IF(regle!I$2-$Q227&gt;=regle!$J$12,-2,IF($S227,IF(regle!$B$2-$Q227&gt;=2,0,-1),regle!I$2-$Q227)),IF(AU227+1&gt;=regle!$J$12,-2,AU227+1))</f>
        <v>16</v>
      </c>
      <c r="AW227">
        <f>IF(AW$1=$AO$1,IF(regle!J$2-$Q227&gt;=regle!$J$12,-2,IF($S227,IF(regle!$B$2-$Q227&gt;=2,0,-1),regle!J$2-$Q227)),IF(AV227+1&gt;=regle!$J$12,-2,AV227+1))</f>
        <v>17</v>
      </c>
      <c r="AX227">
        <f>IF(AX$1=$AO$1,IF(regle!K$2-$Q227&gt;=regle!$J$12,-2,IF($S227,IF(regle!$B$2-$Q227&gt;=2,0,-1),regle!K$2-$Q227)),IF(AW227+1&gt;=regle!$J$12,-2,AW227+1))</f>
        <v>18</v>
      </c>
    </row>
    <row r="228" spans="1:50" x14ac:dyDescent="0.25">
      <c r="A228" t="b">
        <f>AND(modif0[[#This Row],[cdstr]]&lt;&gt;0,OR(regle!$H$27=FALSE,modif0[[#This Row],[essnc]]="PM"))</f>
        <v>1</v>
      </c>
      <c r="B228">
        <f>ROW(objet!A270)</f>
        <v>270</v>
      </c>
      <c r="C228" s="10" t="str">
        <f>objet!D270</f>
        <v>2020000B1574</v>
      </c>
      <c r="D228" t="str">
        <f>LEFT(modif0[[#This Row],[cdstr]],3)</f>
        <v>202</v>
      </c>
      <c r="E228" s="10" t="str">
        <f>objet!G270</f>
        <v>HOSTENS</v>
      </c>
      <c r="F228">
        <f>LEN(modif0[[#This Row],[l_dt]])</f>
        <v>11</v>
      </c>
      <c r="G228" s="10" t="str">
        <f>objet!H270</f>
        <v>LES CAZALAS</v>
      </c>
      <c r="H228" s="10" t="str">
        <f>objet!C270</f>
        <v>B1574</v>
      </c>
      <c r="I228" t="str">
        <f>IF(ISNUMBER(VALUE(RIGHT(LEFT(modif0[[#This Row],[idntfn]],2),1))),_xlfn.CONCAT(0,LEFT(modif0[[#This Row],[idntfn]],1)),LEFT(modif0[[#This Row],[idntfn]],2))</f>
        <v>0B</v>
      </c>
      <c r="J228">
        <f>VALUE(LEFT(RIGHT(modif0[[#This Row],[idntfn]],LEN(modif0[[#This Row],[idntfn]])-IF(LEFT(modif0[[#This Row],[sctn]],1)="0",1,2)),LEN(modif0[[#This Row],[idntfn]])-IF(LEFT(modif0[[#This Row],[sctn]],1)="0",1,2)-LEN(modif0[[#This Row],[lttr]])))</f>
        <v>1574</v>
      </c>
      <c r="K228" t="str">
        <f>IF(ISNUMBER(VALUE(RIGHT(modif0[[#This Row],[idntfn]],1))),"",IF(ISNUMBER(VALUE(LEFT(RIGHT(modif0[[#This Row],[idntfn]],2),1))),RIGHT(modif0[[#This Row],[idntfn]],1),RIGHT(modif0[[#This Row],[idntfn]],2)))</f>
        <v/>
      </c>
      <c r="L228" s="10">
        <f>objet!I270</f>
        <v>659</v>
      </c>
      <c r="M228" s="11">
        <f>modif0[[#This Row],[srfc]]/10000</f>
        <v>6.59E-2</v>
      </c>
      <c r="N228" s="10" t="str">
        <f>objet!Z270</f>
        <v>PM</v>
      </c>
      <c r="O228" s="10" t="str">
        <f>objet!AA270</f>
        <v>PLA2015</v>
      </c>
      <c r="P228" t="str">
        <f>IF(ISNUMBER(modif0[[#This Row],[trvx]]),"",LEFT(modif0[[#This Row],[trvx]],LEN(modif0[[#This Row],[trvx]])-4))</f>
        <v>PLA</v>
      </c>
      <c r="Q228">
        <f>VALUE(RIGHT(modif0[[#This Row],[trvx]],4))</f>
        <v>2015</v>
      </c>
      <c r="R228" t="str">
        <f>_xlfn.CONCAT(modif0[[#This Row],[tp]],"-",modif0[[#This Row],[essnc]],"_",modif0[[#This Row],[anns]])</f>
        <v>PLA-PM_2015</v>
      </c>
      <c r="S228" t="b">
        <f>modif0[[#This Row],[tp]]="CR"</f>
        <v>0</v>
      </c>
      <c r="T228">
        <v>40</v>
      </c>
      <c r="U228" t="str">
        <f>IF(NOT($A228),"",
IF(AO228=-2,regle!$J$11,
IF(AO228=regle!$B$12,regle!$B$11,
IF(AO228=regle!$C$12,regle!$C$11,
IF(AO228=regle!$D$12,regle!$D$11,
IF(AO228=regle!$E$12,regle!$E$11,
IF(AO228=regle!$F$12,regle!$F$11,
IF(AO228=regle!$G$12,regle!$G$11,
IF(AO228=regle!$H$12,regle!$H$11,
IF(AO228=regle!$I$12,regle!$I$11,""))))))))))</f>
        <v/>
      </c>
      <c r="V228" t="str">
        <f>IF(NOT($A228),"",
IF(AP228=-2,regle!$J$11,
IF(AP228=regle!$B$12,regle!$B$11,
IF(AP228=regle!$C$12,regle!$C$11,
IF(AP228=regle!$D$12,regle!$D$11,
IF(AP228=regle!$E$12,regle!$E$11,
IF(AP228=regle!$F$12,regle!$F$11,
IF(AP228=regle!$G$12,regle!$G$11,
IF(AP228=regle!$H$12,regle!$H$11,
IF(AP228=regle!$I$12,regle!$I$11,""))))))))))</f>
        <v/>
      </c>
      <c r="W228" t="str">
        <f>IF(NOT($A228),"",
IF(AQ228=-2,regle!$J$11,
IF(AQ228=regle!$B$12,regle!$B$11,
IF(AQ228=regle!$C$12,regle!$C$11,
IF(AQ228=regle!$D$12,regle!$D$11,
IF(AQ228=regle!$E$12,regle!$E$11,
IF(AQ228=regle!$F$12,regle!$F$11,
IF(AQ228=regle!$G$12,regle!$G$11,
IF(AQ228=regle!$H$12,regle!$H$11,
IF(AQ228=regle!$I$12,regle!$I$11,""))))))))))</f>
        <v/>
      </c>
      <c r="X228" t="str">
        <f>IF(NOT($A228),"",
IF(AR228=-2,regle!$J$11,
IF(AR228=regle!$B$12,regle!$B$11,
IF(AR228=regle!$C$12,regle!$C$11,
IF(AR228=regle!$D$12,regle!$D$11,
IF(AR228=regle!$E$12,regle!$E$11,
IF(AR228=regle!$F$12,regle!$F$11,
IF(AR228=regle!$G$12,regle!$G$11,
IF(AR228=regle!$H$12,regle!$H$11,
IF(AR228=regle!$I$12,regle!$I$11,""))))))))))</f>
        <v/>
      </c>
      <c r="Y228" t="str">
        <f>IF(NOT($A228),"",
IF(AS228=-2,regle!$J$11,
IF(AS228=regle!$B$12,regle!$B$11,
IF(AS228=regle!$C$12,regle!$C$11,
IF(AS228=regle!$D$12,regle!$D$11,
IF(AS228=regle!$E$12,regle!$E$11,
IF(AS228=regle!$F$12,regle!$F$11,
IF(AS228=regle!$G$12,regle!$G$11,
IF(AS228=regle!$H$12,regle!$H$11,
IF(AS228=regle!$I$12,regle!$I$11,""))))))))))</f>
        <v>EC1</v>
      </c>
      <c r="Z228" t="str">
        <f>IF(NOT($A228),"",
IF(AT228=-2,regle!$J$11,
IF(AT228=regle!$B$12,regle!$B$11,
IF(AT228=regle!$C$12,regle!$C$11,
IF(AT228=regle!$D$12,regle!$D$11,
IF(AT228=regle!$E$12,regle!$E$11,
IF(AT228=regle!$F$12,regle!$F$11,
IF(AT228=regle!$G$12,regle!$G$11,
IF(AT228=regle!$H$12,regle!$H$11,
IF(AT228=regle!$I$12,regle!$I$11,""))))))))))</f>
        <v/>
      </c>
      <c r="AA228" t="str">
        <f>IF(NOT($A228),"",
IF(AU228=-2,regle!$J$11,
IF(AU228=regle!$B$12,regle!$B$11,
IF(AU228=regle!$C$12,regle!$C$11,
IF(AU228=regle!$D$12,regle!$D$11,
IF(AU228=regle!$E$12,regle!$E$11,
IF(AU228=regle!$F$12,regle!$F$11,
IF(AU228=regle!$G$12,regle!$G$11,
IF(AU228=regle!$H$12,regle!$H$11,
IF(AU228=regle!$I$12,regle!$I$11,""))))))))))</f>
        <v/>
      </c>
      <c r="AB228" t="str">
        <f>IF(NOT($A228),"",
IF(AV228=-2,regle!$J$11,
IF(AV228=regle!$B$12,regle!$B$11,
IF(AV228=regle!$C$12,regle!$C$11,
IF(AV228=regle!$D$12,regle!$D$11,
IF(AV228=regle!$E$12,regle!$E$11,
IF(AV228=regle!$F$12,regle!$F$11,
IF(AV228=regle!$G$12,regle!$G$11,
IF(AV228=regle!$H$12,regle!$H$11,
IF(AV228=regle!$I$12,regle!$I$11,""))))))))))</f>
        <v/>
      </c>
      <c r="AC228" t="str">
        <f>IF(NOT($A228),"",
IF(AW228=-2,regle!$J$11,
IF(AW228=regle!$B$12,regle!$B$11,
IF(AW228=regle!$C$12,regle!$C$11,
IF(AW228=regle!$D$12,regle!$D$11,
IF(AW228=regle!$E$12,regle!$E$11,
IF(AW228=regle!$F$12,regle!$F$11,
IF(AW228=regle!$G$12,regle!$G$11,
IF(AW228=regle!$H$12,regle!$H$11,
IF(AW228=regle!$I$12,regle!$I$11,""))))))))))</f>
        <v/>
      </c>
      <c r="AD228" t="str">
        <f>IF(NOT($A228),"",
IF(AX228=-2,regle!$J$11,
IF(AX228=regle!$B$12,regle!$B$11,
IF(AX228=regle!$C$12,regle!$C$11,
IF(AX228=regle!$D$12,regle!$D$11,
IF(AX228=regle!$E$12,regle!$E$11,
IF(AX228=regle!$F$12,regle!$F$11,
IF(AX228=regle!$G$12,regle!$G$11,
IF(AX228=regle!$H$12,regle!$H$11,
IF(AX228=regle!$I$12,regle!$I$11,""))))))))))</f>
        <v>EC2</v>
      </c>
      <c r="AE228" s="14">
        <f>IF($A228,$M228*(IF(U228=regle!$B$11,regle!$B$23,IF(U228=regle!$C$11,regle!$C$23,IF(U228=regle!$D$11,regle!$D$23,IF(U228=regle!$E$11,regle!$E$23,IF(U228=regle!$F$11,regle!$F$23,IF(U228=regle!$G$11,regle!$G$23,IF(U228=regle!$H$11,regle!$H$23,IF(U228=regle!$I$11,regle!$I$23,IF(U228=regle!$J$11,regle!$J$23,0)))))))))))</f>
        <v>0</v>
      </c>
      <c r="AF228" s="14">
        <f>IF($A228,$M228*(IF(V228=regle!$B$11,regle!$B$23,IF(V228=regle!$C$11,regle!$C$23,IF(V228=regle!$D$11,regle!$D$23,IF(V228=regle!$E$11,regle!$E$23,IF(V228=regle!$F$11,regle!$F$23,IF(V228=regle!$G$11,regle!$G$23,IF(V228=regle!$H$11,regle!$H$23,IF(V228=regle!$I$11,regle!$I$23,IF(V228=regle!$J$11,regle!$J$23,0)))))))))))</f>
        <v>0</v>
      </c>
      <c r="AG228" s="14">
        <f>IF($A228,$M228*(IF(W228=regle!$B$11,regle!$B$23,IF(W228=regle!$C$11,regle!$C$23,IF(W228=regle!$D$11,regle!$D$23,IF(W228=regle!$E$11,regle!$E$23,IF(W228=regle!$F$11,regle!$F$23,IF(W228=regle!$G$11,regle!$G$23,IF(W228=regle!$H$11,regle!$H$23,IF(W228=regle!$I$11,regle!$I$23,IF(W228=regle!$J$11,regle!$J$23,0)))))))))))</f>
        <v>0</v>
      </c>
      <c r="AH228" s="14">
        <f>IF($A228,$M228*(IF(X228=regle!$B$11,regle!$B$23,IF(X228=regle!$C$11,regle!$C$23,IF(X228=regle!$D$11,regle!$D$23,IF(X228=regle!$E$11,regle!$E$23,IF(X228=regle!$F$11,regle!$F$23,IF(X228=regle!$G$11,regle!$G$23,IF(X228=regle!$H$11,regle!$H$23,IF(X228=regle!$I$11,regle!$I$23,IF(X228=regle!$J$11,regle!$J$23,0)))))))))))</f>
        <v>0</v>
      </c>
      <c r="AI228" s="14">
        <f>IF($A228,$M228*(IF(Y228=regle!$B$11,regle!$B$23,IF(Y228=regle!$C$11,regle!$C$23,IF(Y228=regle!$D$11,regle!$D$23,IF(Y228=regle!$E$11,regle!$E$23,IF(Y228=regle!$F$11,regle!$F$23,IF(Y228=regle!$G$11,regle!$G$23,IF(Y228=regle!$H$11,regle!$H$23,IF(Y228=regle!$I$11,regle!$I$23,IF(Y228=regle!$J$11,regle!$J$23,0)))))))))))</f>
        <v>37.958399999999997</v>
      </c>
      <c r="AJ228" s="14">
        <f>IF($A228,$M228*(IF(Z228=regle!$B$11,regle!$B$23,IF(Z228=regle!$C$11,regle!$C$23,IF(Z228=regle!$D$11,regle!$D$23,IF(Z228=regle!$E$11,regle!$E$23,IF(Z228=regle!$F$11,regle!$F$23,IF(Z228=regle!$G$11,regle!$G$23,IF(Z228=regle!$H$11,regle!$H$23,IF(Z228=regle!$I$11,regle!$I$23,IF(Z228=regle!$J$11,regle!$J$23,0)))))))))))</f>
        <v>0</v>
      </c>
      <c r="AK228" s="14">
        <f>IF($A228,$M228*(IF(AA228=regle!$B$11,regle!$B$23,IF(AA228=regle!$C$11,regle!$C$23,IF(AA228=regle!$D$11,regle!$D$23,IF(AA228=regle!$E$11,regle!$E$23,IF(AA228=regle!$F$11,regle!$F$23,IF(AA228=regle!$G$11,regle!$G$23,IF(AA228=regle!$H$11,regle!$H$23,IF(AA228=regle!$I$11,regle!$I$23,IF(AA228=regle!$J$11,regle!$J$23,0)))))))))))</f>
        <v>0</v>
      </c>
      <c r="AL228" s="14">
        <f>IF($A228,$M228*(IF(AB228=regle!$B$11,regle!$B$23,IF(AB228=regle!$C$11,regle!$C$23,IF(AB228=regle!$D$11,regle!$D$23,IF(AB228=regle!$E$11,regle!$E$23,IF(AB228=regle!$F$11,regle!$F$23,IF(AB228=regle!$G$11,regle!$G$23,IF(AB228=regle!$H$11,regle!$H$23,IF(AB228=regle!$I$11,regle!$I$23,IF(AB228=regle!$J$11,regle!$J$23,0)))))))))))</f>
        <v>0</v>
      </c>
      <c r="AM228" s="14">
        <f>IF($A228,$M228*(IF(AC228=regle!$B$11,regle!$B$23,IF(AC228=regle!$C$11,regle!$C$23,IF(AC228=regle!$D$11,regle!$D$23,IF(AC228=regle!$E$11,regle!$E$23,IF(AC228=regle!$F$11,regle!$F$23,IF(AC228=regle!$G$11,regle!$G$23,IF(AC228=regle!$H$11,regle!$H$23,IF(AC228=regle!$I$11,regle!$I$23,IF(AC228=regle!$J$11,regle!$J$23,0)))))))))))</f>
        <v>0</v>
      </c>
      <c r="AN228" s="14">
        <f>IF($A228,$M228*(IF(AD228=regle!$B$11,regle!$B$23,IF(AD228=regle!$C$11,regle!$C$23,IF(AD228=regle!$D$11,regle!$D$23,IF(AD228=regle!$E$11,regle!$E$23,IF(AD228=regle!$F$11,regle!$F$23,IF(AD228=regle!$G$11,regle!$G$23,IF(AD228=regle!$H$11,regle!$H$23,IF(AD228=regle!$I$11,regle!$I$23,IF(AD228=regle!$J$11,regle!$J$23,0)))))))))))</f>
        <v>55.356000000000002</v>
      </c>
      <c r="AO228">
        <f>IF(AO$1=$AO$1,IF(regle!B$2-$Q228&gt;=regle!$J$12,-2,IF($S228,IF(regle!$B$2-$Q228&gt;=2,0,-1),regle!B$2-$Q228)),IF(AN228+1&gt;=regle!$J$12,-2,AN228+1))</f>
        <v>9</v>
      </c>
      <c r="AP228">
        <f>IF(AP$1=$AO$1,IF(regle!C$2-$Q228&gt;=regle!$J$12,-2,IF($S228,IF(regle!$B$2-$Q228&gt;=2,0,-1),regle!C$2-$Q228)),IF(AO228+1&gt;=regle!$J$12,-2,AO228+1))</f>
        <v>10</v>
      </c>
      <c r="AQ228">
        <f>IF(AQ$1=$AO$1,IF(regle!D$2-$Q228&gt;=regle!$J$12,-2,IF($S228,IF(regle!$B$2-$Q228&gt;=2,0,-1),regle!D$2-$Q228)),IF(AP228+1&gt;=regle!$J$12,-2,AP228+1))</f>
        <v>11</v>
      </c>
      <c r="AR228">
        <f>IF(AR$1=$AO$1,IF(regle!E$2-$Q228&gt;=regle!$J$12,-2,IF($S228,IF(regle!$B$2-$Q228&gt;=2,0,-1),regle!E$2-$Q228)),IF(AQ228+1&gt;=regle!$J$12,-2,AQ228+1))</f>
        <v>12</v>
      </c>
      <c r="AS228">
        <f>IF(AS$1=$AO$1,IF(regle!F$2-$Q228&gt;=regle!$J$12,-2,IF($S228,IF(regle!$B$2-$Q228&gt;=2,0,-1),regle!F$2-$Q228)),IF(AR228+1&gt;=regle!$J$12,-2,AR228+1))</f>
        <v>13</v>
      </c>
      <c r="AT228">
        <f>IF(AT$1=$AO$1,IF(regle!G$2-$Q228&gt;=regle!$J$12,-2,IF($S228,IF(regle!$B$2-$Q228&gt;=2,0,-1),regle!G$2-$Q228)),IF(AS228+1&gt;=regle!$J$12,-2,AS228+1))</f>
        <v>14</v>
      </c>
      <c r="AU228">
        <f>IF(AU$1=$AO$1,IF(regle!H$2-$Q228&gt;=regle!$J$12,-2,IF($S228,IF(regle!$B$2-$Q228&gt;=2,0,-1),regle!H$2-$Q228)),IF(AT228+1&gt;=regle!$J$12,-2,AT228+1))</f>
        <v>15</v>
      </c>
      <c r="AV228">
        <f>IF(AV$1=$AO$1,IF(regle!I$2-$Q228&gt;=regle!$J$12,-2,IF($S228,IF(regle!$B$2-$Q228&gt;=2,0,-1),regle!I$2-$Q228)),IF(AU228+1&gt;=regle!$J$12,-2,AU228+1))</f>
        <v>16</v>
      </c>
      <c r="AW228">
        <f>IF(AW$1=$AO$1,IF(regle!J$2-$Q228&gt;=regle!$J$12,-2,IF($S228,IF(regle!$B$2-$Q228&gt;=2,0,-1),regle!J$2-$Q228)),IF(AV228+1&gt;=regle!$J$12,-2,AV228+1))</f>
        <v>17</v>
      </c>
      <c r="AX228">
        <f>IF(AX$1=$AO$1,IF(regle!K$2-$Q228&gt;=regle!$J$12,-2,IF($S228,IF(regle!$B$2-$Q228&gt;=2,0,-1),regle!K$2-$Q228)),IF(AW228+1&gt;=regle!$J$12,-2,AW228+1))</f>
        <v>18</v>
      </c>
    </row>
    <row r="229" spans="1:50" x14ac:dyDescent="0.25">
      <c r="A229" t="b">
        <f>AND(modif0[[#This Row],[cdstr]]&lt;&gt;0,OR(regle!$H$27=FALSE,modif0[[#This Row],[essnc]]="PM"))</f>
        <v>1</v>
      </c>
      <c r="B229">
        <f>ROW(objet!A271)</f>
        <v>271</v>
      </c>
      <c r="C229" s="10" t="str">
        <f>objet!D271</f>
        <v>2020000B1575</v>
      </c>
      <c r="D229" t="str">
        <f>LEFT(modif0[[#This Row],[cdstr]],3)</f>
        <v>202</v>
      </c>
      <c r="E229" s="10" t="str">
        <f>objet!G271</f>
        <v>HOSTENS</v>
      </c>
      <c r="F229">
        <f>LEN(modif0[[#This Row],[l_dt]])</f>
        <v>11</v>
      </c>
      <c r="G229" s="10" t="str">
        <f>objet!H271</f>
        <v>LES CAZALAS</v>
      </c>
      <c r="H229" s="10" t="str">
        <f>objet!C271</f>
        <v>B1575</v>
      </c>
      <c r="I229" t="str">
        <f>IF(ISNUMBER(VALUE(RIGHT(LEFT(modif0[[#This Row],[idntfn]],2),1))),_xlfn.CONCAT(0,LEFT(modif0[[#This Row],[idntfn]],1)),LEFT(modif0[[#This Row],[idntfn]],2))</f>
        <v>0B</v>
      </c>
      <c r="J229">
        <f>VALUE(LEFT(RIGHT(modif0[[#This Row],[idntfn]],LEN(modif0[[#This Row],[idntfn]])-IF(LEFT(modif0[[#This Row],[sctn]],1)="0",1,2)),LEN(modif0[[#This Row],[idntfn]])-IF(LEFT(modif0[[#This Row],[sctn]],1)="0",1,2)-LEN(modif0[[#This Row],[lttr]])))</f>
        <v>1575</v>
      </c>
      <c r="K229" t="str">
        <f>IF(ISNUMBER(VALUE(RIGHT(modif0[[#This Row],[idntfn]],1))),"",IF(ISNUMBER(VALUE(LEFT(RIGHT(modif0[[#This Row],[idntfn]],2),1))),RIGHT(modif0[[#This Row],[idntfn]],1),RIGHT(modif0[[#This Row],[idntfn]],2)))</f>
        <v/>
      </c>
      <c r="L229" s="10">
        <f>objet!I271</f>
        <v>961</v>
      </c>
      <c r="M229" s="11">
        <f>modif0[[#This Row],[srfc]]/10000</f>
        <v>9.6100000000000005E-2</v>
      </c>
      <c r="N229" s="10" t="str">
        <f>objet!Z271</f>
        <v>PM</v>
      </c>
      <c r="O229" s="10" t="str">
        <f>objet!AA271</f>
        <v>PLA2015</v>
      </c>
      <c r="P229" t="str">
        <f>IF(ISNUMBER(modif0[[#This Row],[trvx]]),"",LEFT(modif0[[#This Row],[trvx]],LEN(modif0[[#This Row],[trvx]])-4))</f>
        <v>PLA</v>
      </c>
      <c r="Q229">
        <f>VALUE(RIGHT(modif0[[#This Row],[trvx]],4))</f>
        <v>2015</v>
      </c>
      <c r="R229" t="str">
        <f>_xlfn.CONCAT(modif0[[#This Row],[tp]],"-",modif0[[#This Row],[essnc]],"_",modif0[[#This Row],[anns]])</f>
        <v>PLA-PM_2015</v>
      </c>
      <c r="S229" t="b">
        <f>modif0[[#This Row],[tp]]="CR"</f>
        <v>0</v>
      </c>
      <c r="T229">
        <v>40</v>
      </c>
      <c r="U229" t="str">
        <f>IF(NOT($A229),"",
IF(AO229=-2,regle!$J$11,
IF(AO229=regle!$B$12,regle!$B$11,
IF(AO229=regle!$C$12,regle!$C$11,
IF(AO229=regle!$D$12,regle!$D$11,
IF(AO229=regle!$E$12,regle!$E$11,
IF(AO229=regle!$F$12,regle!$F$11,
IF(AO229=regle!$G$12,regle!$G$11,
IF(AO229=regle!$H$12,regle!$H$11,
IF(AO229=regle!$I$12,regle!$I$11,""))))))))))</f>
        <v/>
      </c>
      <c r="V229" t="str">
        <f>IF(NOT($A229),"",
IF(AP229=-2,regle!$J$11,
IF(AP229=regle!$B$12,regle!$B$11,
IF(AP229=regle!$C$12,regle!$C$11,
IF(AP229=regle!$D$12,regle!$D$11,
IF(AP229=regle!$E$12,regle!$E$11,
IF(AP229=regle!$F$12,regle!$F$11,
IF(AP229=regle!$G$12,regle!$G$11,
IF(AP229=regle!$H$12,regle!$H$11,
IF(AP229=regle!$I$12,regle!$I$11,""))))))))))</f>
        <v/>
      </c>
      <c r="W229" t="str">
        <f>IF(NOT($A229),"",
IF(AQ229=-2,regle!$J$11,
IF(AQ229=regle!$B$12,regle!$B$11,
IF(AQ229=regle!$C$12,regle!$C$11,
IF(AQ229=regle!$D$12,regle!$D$11,
IF(AQ229=regle!$E$12,regle!$E$11,
IF(AQ229=regle!$F$12,regle!$F$11,
IF(AQ229=regle!$G$12,regle!$G$11,
IF(AQ229=regle!$H$12,regle!$H$11,
IF(AQ229=regle!$I$12,regle!$I$11,""))))))))))</f>
        <v/>
      </c>
      <c r="X229" t="str">
        <f>IF(NOT($A229),"",
IF(AR229=-2,regle!$J$11,
IF(AR229=regle!$B$12,regle!$B$11,
IF(AR229=regle!$C$12,regle!$C$11,
IF(AR229=regle!$D$12,regle!$D$11,
IF(AR229=regle!$E$12,regle!$E$11,
IF(AR229=regle!$F$12,regle!$F$11,
IF(AR229=regle!$G$12,regle!$G$11,
IF(AR229=regle!$H$12,regle!$H$11,
IF(AR229=regle!$I$12,regle!$I$11,""))))))))))</f>
        <v/>
      </c>
      <c r="Y229" t="str">
        <f>IF(NOT($A229),"",
IF(AS229=-2,regle!$J$11,
IF(AS229=regle!$B$12,regle!$B$11,
IF(AS229=regle!$C$12,regle!$C$11,
IF(AS229=regle!$D$12,regle!$D$11,
IF(AS229=regle!$E$12,regle!$E$11,
IF(AS229=regle!$F$12,regle!$F$11,
IF(AS229=regle!$G$12,regle!$G$11,
IF(AS229=regle!$H$12,regle!$H$11,
IF(AS229=regle!$I$12,regle!$I$11,""))))))))))</f>
        <v>EC1</v>
      </c>
      <c r="Z229" t="str">
        <f>IF(NOT($A229),"",
IF(AT229=-2,regle!$J$11,
IF(AT229=regle!$B$12,regle!$B$11,
IF(AT229=regle!$C$12,regle!$C$11,
IF(AT229=regle!$D$12,regle!$D$11,
IF(AT229=regle!$E$12,regle!$E$11,
IF(AT229=regle!$F$12,regle!$F$11,
IF(AT229=regle!$G$12,regle!$G$11,
IF(AT229=regle!$H$12,regle!$H$11,
IF(AT229=regle!$I$12,regle!$I$11,""))))))))))</f>
        <v/>
      </c>
      <c r="AA229" t="str">
        <f>IF(NOT($A229),"",
IF(AU229=-2,regle!$J$11,
IF(AU229=regle!$B$12,regle!$B$11,
IF(AU229=regle!$C$12,regle!$C$11,
IF(AU229=regle!$D$12,regle!$D$11,
IF(AU229=regle!$E$12,regle!$E$11,
IF(AU229=regle!$F$12,regle!$F$11,
IF(AU229=regle!$G$12,regle!$G$11,
IF(AU229=regle!$H$12,regle!$H$11,
IF(AU229=regle!$I$12,regle!$I$11,""))))))))))</f>
        <v/>
      </c>
      <c r="AB229" t="str">
        <f>IF(NOT($A229),"",
IF(AV229=-2,regle!$J$11,
IF(AV229=regle!$B$12,regle!$B$11,
IF(AV229=regle!$C$12,regle!$C$11,
IF(AV229=regle!$D$12,regle!$D$11,
IF(AV229=regle!$E$12,regle!$E$11,
IF(AV229=regle!$F$12,regle!$F$11,
IF(AV229=regle!$G$12,regle!$G$11,
IF(AV229=regle!$H$12,regle!$H$11,
IF(AV229=regle!$I$12,regle!$I$11,""))))))))))</f>
        <v/>
      </c>
      <c r="AC229" t="str">
        <f>IF(NOT($A229),"",
IF(AW229=-2,regle!$J$11,
IF(AW229=regle!$B$12,regle!$B$11,
IF(AW229=regle!$C$12,regle!$C$11,
IF(AW229=regle!$D$12,regle!$D$11,
IF(AW229=regle!$E$12,regle!$E$11,
IF(AW229=regle!$F$12,regle!$F$11,
IF(AW229=regle!$G$12,regle!$G$11,
IF(AW229=regle!$H$12,regle!$H$11,
IF(AW229=regle!$I$12,regle!$I$11,""))))))))))</f>
        <v/>
      </c>
      <c r="AD229" t="str">
        <f>IF(NOT($A229),"",
IF(AX229=-2,regle!$J$11,
IF(AX229=regle!$B$12,regle!$B$11,
IF(AX229=regle!$C$12,regle!$C$11,
IF(AX229=regle!$D$12,regle!$D$11,
IF(AX229=regle!$E$12,regle!$E$11,
IF(AX229=regle!$F$12,regle!$F$11,
IF(AX229=regle!$G$12,regle!$G$11,
IF(AX229=regle!$H$12,regle!$H$11,
IF(AX229=regle!$I$12,regle!$I$11,""))))))))))</f>
        <v>EC2</v>
      </c>
      <c r="AE229" s="14">
        <f>IF($A229,$M229*(IF(U229=regle!$B$11,regle!$B$23,IF(U229=regle!$C$11,regle!$C$23,IF(U229=regle!$D$11,regle!$D$23,IF(U229=regle!$E$11,regle!$E$23,IF(U229=regle!$F$11,regle!$F$23,IF(U229=regle!$G$11,regle!$G$23,IF(U229=regle!$H$11,regle!$H$23,IF(U229=regle!$I$11,regle!$I$23,IF(U229=regle!$J$11,regle!$J$23,0)))))))))))</f>
        <v>0</v>
      </c>
      <c r="AF229" s="14">
        <f>IF($A229,$M229*(IF(V229=regle!$B$11,regle!$B$23,IF(V229=regle!$C$11,regle!$C$23,IF(V229=regle!$D$11,regle!$D$23,IF(V229=regle!$E$11,regle!$E$23,IF(V229=regle!$F$11,regle!$F$23,IF(V229=regle!$G$11,regle!$G$23,IF(V229=regle!$H$11,regle!$H$23,IF(V229=regle!$I$11,regle!$I$23,IF(V229=regle!$J$11,regle!$J$23,0)))))))))))</f>
        <v>0</v>
      </c>
      <c r="AG229" s="14">
        <f>IF($A229,$M229*(IF(W229=regle!$B$11,regle!$B$23,IF(W229=regle!$C$11,regle!$C$23,IF(W229=regle!$D$11,regle!$D$23,IF(W229=regle!$E$11,regle!$E$23,IF(W229=regle!$F$11,regle!$F$23,IF(W229=regle!$G$11,regle!$G$23,IF(W229=regle!$H$11,regle!$H$23,IF(W229=regle!$I$11,regle!$I$23,IF(W229=regle!$J$11,regle!$J$23,0)))))))))))</f>
        <v>0</v>
      </c>
      <c r="AH229" s="14">
        <f>IF($A229,$M229*(IF(X229=regle!$B$11,regle!$B$23,IF(X229=regle!$C$11,regle!$C$23,IF(X229=regle!$D$11,regle!$D$23,IF(X229=regle!$E$11,regle!$E$23,IF(X229=regle!$F$11,regle!$F$23,IF(X229=regle!$G$11,regle!$G$23,IF(X229=regle!$H$11,regle!$H$23,IF(X229=regle!$I$11,regle!$I$23,IF(X229=regle!$J$11,regle!$J$23,0)))))))))))</f>
        <v>0</v>
      </c>
      <c r="AI229" s="14">
        <f>IF($A229,$M229*(IF(Y229=regle!$B$11,regle!$B$23,IF(Y229=regle!$C$11,regle!$C$23,IF(Y229=regle!$D$11,regle!$D$23,IF(Y229=regle!$E$11,regle!$E$23,IF(Y229=regle!$F$11,regle!$F$23,IF(Y229=regle!$G$11,regle!$G$23,IF(Y229=regle!$H$11,regle!$H$23,IF(Y229=regle!$I$11,regle!$I$23,IF(Y229=regle!$J$11,regle!$J$23,0)))))))))))</f>
        <v>55.3536</v>
      </c>
      <c r="AJ229" s="14">
        <f>IF($A229,$M229*(IF(Z229=regle!$B$11,regle!$B$23,IF(Z229=regle!$C$11,regle!$C$23,IF(Z229=regle!$D$11,regle!$D$23,IF(Z229=regle!$E$11,regle!$E$23,IF(Z229=regle!$F$11,regle!$F$23,IF(Z229=regle!$G$11,regle!$G$23,IF(Z229=regle!$H$11,regle!$H$23,IF(Z229=regle!$I$11,regle!$I$23,IF(Z229=regle!$J$11,regle!$J$23,0)))))))))))</f>
        <v>0</v>
      </c>
      <c r="AK229" s="14">
        <f>IF($A229,$M229*(IF(AA229=regle!$B$11,regle!$B$23,IF(AA229=regle!$C$11,regle!$C$23,IF(AA229=regle!$D$11,regle!$D$23,IF(AA229=regle!$E$11,regle!$E$23,IF(AA229=regle!$F$11,regle!$F$23,IF(AA229=regle!$G$11,regle!$G$23,IF(AA229=regle!$H$11,regle!$H$23,IF(AA229=regle!$I$11,regle!$I$23,IF(AA229=regle!$J$11,regle!$J$23,0)))))))))))</f>
        <v>0</v>
      </c>
      <c r="AL229" s="14">
        <f>IF($A229,$M229*(IF(AB229=regle!$B$11,regle!$B$23,IF(AB229=regle!$C$11,regle!$C$23,IF(AB229=regle!$D$11,regle!$D$23,IF(AB229=regle!$E$11,regle!$E$23,IF(AB229=regle!$F$11,regle!$F$23,IF(AB229=regle!$G$11,regle!$G$23,IF(AB229=regle!$H$11,regle!$H$23,IF(AB229=regle!$I$11,regle!$I$23,IF(AB229=regle!$J$11,regle!$J$23,0)))))))))))</f>
        <v>0</v>
      </c>
      <c r="AM229" s="14">
        <f>IF($A229,$M229*(IF(AC229=regle!$B$11,regle!$B$23,IF(AC229=regle!$C$11,regle!$C$23,IF(AC229=regle!$D$11,regle!$D$23,IF(AC229=regle!$E$11,regle!$E$23,IF(AC229=regle!$F$11,regle!$F$23,IF(AC229=regle!$G$11,regle!$G$23,IF(AC229=regle!$H$11,regle!$H$23,IF(AC229=regle!$I$11,regle!$I$23,IF(AC229=regle!$J$11,regle!$J$23,0)))))))))))</f>
        <v>0</v>
      </c>
      <c r="AN229" s="14">
        <f>IF($A229,$M229*(IF(AD229=regle!$B$11,regle!$B$23,IF(AD229=regle!$C$11,regle!$C$23,IF(AD229=regle!$D$11,regle!$D$23,IF(AD229=regle!$E$11,regle!$E$23,IF(AD229=regle!$F$11,regle!$F$23,IF(AD229=regle!$G$11,regle!$G$23,IF(AD229=regle!$H$11,regle!$H$23,IF(AD229=regle!$I$11,regle!$I$23,IF(AD229=regle!$J$11,regle!$J$23,0)))))))))))</f>
        <v>80.724000000000004</v>
      </c>
      <c r="AO229">
        <f>IF(AO$1=$AO$1,IF(regle!B$2-$Q229&gt;=regle!$J$12,-2,IF($S229,IF(regle!$B$2-$Q229&gt;=2,0,-1),regle!B$2-$Q229)),IF(AN229+1&gt;=regle!$J$12,-2,AN229+1))</f>
        <v>9</v>
      </c>
      <c r="AP229">
        <f>IF(AP$1=$AO$1,IF(regle!C$2-$Q229&gt;=regle!$J$12,-2,IF($S229,IF(regle!$B$2-$Q229&gt;=2,0,-1),regle!C$2-$Q229)),IF(AO229+1&gt;=regle!$J$12,-2,AO229+1))</f>
        <v>10</v>
      </c>
      <c r="AQ229">
        <f>IF(AQ$1=$AO$1,IF(regle!D$2-$Q229&gt;=regle!$J$12,-2,IF($S229,IF(regle!$B$2-$Q229&gt;=2,0,-1),regle!D$2-$Q229)),IF(AP229+1&gt;=regle!$J$12,-2,AP229+1))</f>
        <v>11</v>
      </c>
      <c r="AR229">
        <f>IF(AR$1=$AO$1,IF(regle!E$2-$Q229&gt;=regle!$J$12,-2,IF($S229,IF(regle!$B$2-$Q229&gt;=2,0,-1),regle!E$2-$Q229)),IF(AQ229+1&gt;=regle!$J$12,-2,AQ229+1))</f>
        <v>12</v>
      </c>
      <c r="AS229">
        <f>IF(AS$1=$AO$1,IF(regle!F$2-$Q229&gt;=regle!$J$12,-2,IF($S229,IF(regle!$B$2-$Q229&gt;=2,0,-1),regle!F$2-$Q229)),IF(AR229+1&gt;=regle!$J$12,-2,AR229+1))</f>
        <v>13</v>
      </c>
      <c r="AT229">
        <f>IF(AT$1=$AO$1,IF(regle!G$2-$Q229&gt;=regle!$J$12,-2,IF($S229,IF(regle!$B$2-$Q229&gt;=2,0,-1),regle!G$2-$Q229)),IF(AS229+1&gt;=regle!$J$12,-2,AS229+1))</f>
        <v>14</v>
      </c>
      <c r="AU229">
        <f>IF(AU$1=$AO$1,IF(regle!H$2-$Q229&gt;=regle!$J$12,-2,IF($S229,IF(regle!$B$2-$Q229&gt;=2,0,-1),regle!H$2-$Q229)),IF(AT229+1&gt;=regle!$J$12,-2,AT229+1))</f>
        <v>15</v>
      </c>
      <c r="AV229">
        <f>IF(AV$1=$AO$1,IF(regle!I$2-$Q229&gt;=regle!$J$12,-2,IF($S229,IF(regle!$B$2-$Q229&gt;=2,0,-1),regle!I$2-$Q229)),IF(AU229+1&gt;=regle!$J$12,-2,AU229+1))</f>
        <v>16</v>
      </c>
      <c r="AW229">
        <f>IF(AW$1=$AO$1,IF(regle!J$2-$Q229&gt;=regle!$J$12,-2,IF($S229,IF(regle!$B$2-$Q229&gt;=2,0,-1),regle!J$2-$Q229)),IF(AV229+1&gt;=regle!$J$12,-2,AV229+1))</f>
        <v>17</v>
      </c>
      <c r="AX229">
        <f>IF(AX$1=$AO$1,IF(regle!K$2-$Q229&gt;=regle!$J$12,-2,IF($S229,IF(regle!$B$2-$Q229&gt;=2,0,-1),regle!K$2-$Q229)),IF(AW229+1&gt;=regle!$J$12,-2,AW229+1))</f>
        <v>18</v>
      </c>
    </row>
    <row r="230" spans="1:50" x14ac:dyDescent="0.25">
      <c r="A230" t="b">
        <f>AND(modif0[[#This Row],[cdstr]]&lt;&gt;0,OR(regle!$H$27=FALSE,modif0[[#This Row],[essnc]]="PM"))</f>
        <v>1</v>
      </c>
      <c r="B230">
        <f>ROW(objet!A272)</f>
        <v>272</v>
      </c>
      <c r="C230" s="10" t="str">
        <f>objet!D272</f>
        <v>2020000B1576</v>
      </c>
      <c r="D230" t="str">
        <f>LEFT(modif0[[#This Row],[cdstr]],3)</f>
        <v>202</v>
      </c>
      <c r="E230" s="10" t="str">
        <f>objet!G272</f>
        <v>HOSTENS</v>
      </c>
      <c r="F230">
        <f>LEN(modif0[[#This Row],[l_dt]])</f>
        <v>11</v>
      </c>
      <c r="G230" s="10" t="str">
        <f>objet!H272</f>
        <v>LES CAZALAS</v>
      </c>
      <c r="H230" s="10" t="str">
        <f>objet!C272</f>
        <v>B1576</v>
      </c>
      <c r="I230" t="str">
        <f>IF(ISNUMBER(VALUE(RIGHT(LEFT(modif0[[#This Row],[idntfn]],2),1))),_xlfn.CONCAT(0,LEFT(modif0[[#This Row],[idntfn]],1)),LEFT(modif0[[#This Row],[idntfn]],2))</f>
        <v>0B</v>
      </c>
      <c r="J230">
        <f>VALUE(LEFT(RIGHT(modif0[[#This Row],[idntfn]],LEN(modif0[[#This Row],[idntfn]])-IF(LEFT(modif0[[#This Row],[sctn]],1)="0",1,2)),LEN(modif0[[#This Row],[idntfn]])-IF(LEFT(modif0[[#This Row],[sctn]],1)="0",1,2)-LEN(modif0[[#This Row],[lttr]])))</f>
        <v>1576</v>
      </c>
      <c r="K230" t="str">
        <f>IF(ISNUMBER(VALUE(RIGHT(modif0[[#This Row],[idntfn]],1))),"",IF(ISNUMBER(VALUE(LEFT(RIGHT(modif0[[#This Row],[idntfn]],2),1))),RIGHT(modif0[[#This Row],[idntfn]],1),RIGHT(modif0[[#This Row],[idntfn]],2)))</f>
        <v/>
      </c>
      <c r="L230" s="10">
        <f>objet!I272</f>
        <v>3188</v>
      </c>
      <c r="M230" s="11">
        <f>modif0[[#This Row],[srfc]]/10000</f>
        <v>0.31879999999999997</v>
      </c>
      <c r="N230" s="10" t="str">
        <f>objet!Z272</f>
        <v>PM</v>
      </c>
      <c r="O230" s="10" t="str">
        <f>objet!AA272</f>
        <v>PLA2015</v>
      </c>
      <c r="P230" t="str">
        <f>IF(ISNUMBER(modif0[[#This Row],[trvx]]),"",LEFT(modif0[[#This Row],[trvx]],LEN(modif0[[#This Row],[trvx]])-4))</f>
        <v>PLA</v>
      </c>
      <c r="Q230">
        <f>VALUE(RIGHT(modif0[[#This Row],[trvx]],4))</f>
        <v>2015</v>
      </c>
      <c r="R230" t="str">
        <f>_xlfn.CONCAT(modif0[[#This Row],[tp]],"-",modif0[[#This Row],[essnc]],"_",modif0[[#This Row],[anns]])</f>
        <v>PLA-PM_2015</v>
      </c>
      <c r="S230" t="b">
        <f>modif0[[#This Row],[tp]]="CR"</f>
        <v>0</v>
      </c>
      <c r="T230">
        <v>40</v>
      </c>
      <c r="U230" t="str">
        <f>IF(NOT($A230),"",
IF(AO230=-2,regle!$J$11,
IF(AO230=regle!$B$12,regle!$B$11,
IF(AO230=regle!$C$12,regle!$C$11,
IF(AO230=regle!$D$12,regle!$D$11,
IF(AO230=regle!$E$12,regle!$E$11,
IF(AO230=regle!$F$12,regle!$F$11,
IF(AO230=regle!$G$12,regle!$G$11,
IF(AO230=regle!$H$12,regle!$H$11,
IF(AO230=regle!$I$12,regle!$I$11,""))))))))))</f>
        <v/>
      </c>
      <c r="V230" t="str">
        <f>IF(NOT($A230),"",
IF(AP230=-2,regle!$J$11,
IF(AP230=regle!$B$12,regle!$B$11,
IF(AP230=regle!$C$12,regle!$C$11,
IF(AP230=regle!$D$12,regle!$D$11,
IF(AP230=regle!$E$12,regle!$E$11,
IF(AP230=regle!$F$12,regle!$F$11,
IF(AP230=regle!$G$12,regle!$G$11,
IF(AP230=regle!$H$12,regle!$H$11,
IF(AP230=regle!$I$12,regle!$I$11,""))))))))))</f>
        <v/>
      </c>
      <c r="W230" t="str">
        <f>IF(NOT($A230),"",
IF(AQ230=-2,regle!$J$11,
IF(AQ230=regle!$B$12,regle!$B$11,
IF(AQ230=regle!$C$12,regle!$C$11,
IF(AQ230=regle!$D$12,regle!$D$11,
IF(AQ230=regle!$E$12,regle!$E$11,
IF(AQ230=regle!$F$12,regle!$F$11,
IF(AQ230=regle!$G$12,regle!$G$11,
IF(AQ230=regle!$H$12,regle!$H$11,
IF(AQ230=regle!$I$12,regle!$I$11,""))))))))))</f>
        <v/>
      </c>
      <c r="X230" t="str">
        <f>IF(NOT($A230),"",
IF(AR230=-2,regle!$J$11,
IF(AR230=regle!$B$12,regle!$B$11,
IF(AR230=regle!$C$12,regle!$C$11,
IF(AR230=regle!$D$12,regle!$D$11,
IF(AR230=regle!$E$12,regle!$E$11,
IF(AR230=regle!$F$12,regle!$F$11,
IF(AR230=regle!$G$12,regle!$G$11,
IF(AR230=regle!$H$12,regle!$H$11,
IF(AR230=regle!$I$12,regle!$I$11,""))))))))))</f>
        <v/>
      </c>
      <c r="Y230" t="str">
        <f>IF(NOT($A230),"",
IF(AS230=-2,regle!$J$11,
IF(AS230=regle!$B$12,regle!$B$11,
IF(AS230=regle!$C$12,regle!$C$11,
IF(AS230=regle!$D$12,regle!$D$11,
IF(AS230=regle!$E$12,regle!$E$11,
IF(AS230=regle!$F$12,regle!$F$11,
IF(AS230=regle!$G$12,regle!$G$11,
IF(AS230=regle!$H$12,regle!$H$11,
IF(AS230=regle!$I$12,regle!$I$11,""))))))))))</f>
        <v>EC1</v>
      </c>
      <c r="Z230" t="str">
        <f>IF(NOT($A230),"",
IF(AT230=-2,regle!$J$11,
IF(AT230=regle!$B$12,regle!$B$11,
IF(AT230=regle!$C$12,regle!$C$11,
IF(AT230=regle!$D$12,regle!$D$11,
IF(AT230=regle!$E$12,regle!$E$11,
IF(AT230=regle!$F$12,regle!$F$11,
IF(AT230=regle!$G$12,regle!$G$11,
IF(AT230=regle!$H$12,regle!$H$11,
IF(AT230=regle!$I$12,regle!$I$11,""))))))))))</f>
        <v/>
      </c>
      <c r="AA230" t="str">
        <f>IF(NOT($A230),"",
IF(AU230=-2,regle!$J$11,
IF(AU230=regle!$B$12,regle!$B$11,
IF(AU230=regle!$C$12,regle!$C$11,
IF(AU230=regle!$D$12,regle!$D$11,
IF(AU230=regle!$E$12,regle!$E$11,
IF(AU230=regle!$F$12,regle!$F$11,
IF(AU230=regle!$G$12,regle!$G$11,
IF(AU230=regle!$H$12,regle!$H$11,
IF(AU230=regle!$I$12,regle!$I$11,""))))))))))</f>
        <v/>
      </c>
      <c r="AB230" t="str">
        <f>IF(NOT($A230),"",
IF(AV230=-2,regle!$J$11,
IF(AV230=regle!$B$12,regle!$B$11,
IF(AV230=regle!$C$12,regle!$C$11,
IF(AV230=regle!$D$12,regle!$D$11,
IF(AV230=regle!$E$12,regle!$E$11,
IF(AV230=regle!$F$12,regle!$F$11,
IF(AV230=regle!$G$12,regle!$G$11,
IF(AV230=regle!$H$12,regle!$H$11,
IF(AV230=regle!$I$12,regle!$I$11,""))))))))))</f>
        <v/>
      </c>
      <c r="AC230" t="str">
        <f>IF(NOT($A230),"",
IF(AW230=-2,regle!$J$11,
IF(AW230=regle!$B$12,regle!$B$11,
IF(AW230=regle!$C$12,regle!$C$11,
IF(AW230=regle!$D$12,regle!$D$11,
IF(AW230=regle!$E$12,regle!$E$11,
IF(AW230=regle!$F$12,regle!$F$11,
IF(AW230=regle!$G$12,regle!$G$11,
IF(AW230=regle!$H$12,regle!$H$11,
IF(AW230=regle!$I$12,regle!$I$11,""))))))))))</f>
        <v/>
      </c>
      <c r="AD230" t="str">
        <f>IF(NOT($A230),"",
IF(AX230=-2,regle!$J$11,
IF(AX230=regle!$B$12,regle!$B$11,
IF(AX230=regle!$C$12,regle!$C$11,
IF(AX230=regle!$D$12,regle!$D$11,
IF(AX230=regle!$E$12,regle!$E$11,
IF(AX230=regle!$F$12,regle!$F$11,
IF(AX230=regle!$G$12,regle!$G$11,
IF(AX230=regle!$H$12,regle!$H$11,
IF(AX230=regle!$I$12,regle!$I$11,""))))))))))</f>
        <v>EC2</v>
      </c>
      <c r="AE230" s="14">
        <f>IF($A230,$M230*(IF(U230=regle!$B$11,regle!$B$23,IF(U230=regle!$C$11,regle!$C$23,IF(U230=regle!$D$11,regle!$D$23,IF(U230=regle!$E$11,regle!$E$23,IF(U230=regle!$F$11,regle!$F$23,IF(U230=regle!$G$11,regle!$G$23,IF(U230=regle!$H$11,regle!$H$23,IF(U230=regle!$I$11,regle!$I$23,IF(U230=regle!$J$11,regle!$J$23,0)))))))))))</f>
        <v>0</v>
      </c>
      <c r="AF230" s="14">
        <f>IF($A230,$M230*(IF(V230=regle!$B$11,regle!$B$23,IF(V230=regle!$C$11,regle!$C$23,IF(V230=regle!$D$11,regle!$D$23,IF(V230=regle!$E$11,regle!$E$23,IF(V230=regle!$F$11,regle!$F$23,IF(V230=regle!$G$11,regle!$G$23,IF(V230=regle!$H$11,regle!$H$23,IF(V230=regle!$I$11,regle!$I$23,IF(V230=regle!$J$11,regle!$J$23,0)))))))))))</f>
        <v>0</v>
      </c>
      <c r="AG230" s="14">
        <f>IF($A230,$M230*(IF(W230=regle!$B$11,regle!$B$23,IF(W230=regle!$C$11,regle!$C$23,IF(W230=regle!$D$11,regle!$D$23,IF(W230=regle!$E$11,regle!$E$23,IF(W230=regle!$F$11,regle!$F$23,IF(W230=regle!$G$11,regle!$G$23,IF(W230=regle!$H$11,regle!$H$23,IF(W230=regle!$I$11,regle!$I$23,IF(W230=regle!$J$11,regle!$J$23,0)))))))))))</f>
        <v>0</v>
      </c>
      <c r="AH230" s="14">
        <f>IF($A230,$M230*(IF(X230=regle!$B$11,regle!$B$23,IF(X230=regle!$C$11,regle!$C$23,IF(X230=regle!$D$11,regle!$D$23,IF(X230=regle!$E$11,regle!$E$23,IF(X230=regle!$F$11,regle!$F$23,IF(X230=regle!$G$11,regle!$G$23,IF(X230=regle!$H$11,regle!$H$23,IF(X230=regle!$I$11,regle!$I$23,IF(X230=regle!$J$11,regle!$J$23,0)))))))))))</f>
        <v>0</v>
      </c>
      <c r="AI230" s="14">
        <f>IF($A230,$M230*(IF(Y230=regle!$B$11,regle!$B$23,IF(Y230=regle!$C$11,regle!$C$23,IF(Y230=regle!$D$11,regle!$D$23,IF(Y230=regle!$E$11,regle!$E$23,IF(Y230=regle!$F$11,regle!$F$23,IF(Y230=regle!$G$11,regle!$G$23,IF(Y230=regle!$H$11,regle!$H$23,IF(Y230=regle!$I$11,regle!$I$23,IF(Y230=regle!$J$11,regle!$J$23,0)))))))))))</f>
        <v>183.62879999999998</v>
      </c>
      <c r="AJ230" s="14">
        <f>IF($A230,$M230*(IF(Z230=regle!$B$11,regle!$B$23,IF(Z230=regle!$C$11,regle!$C$23,IF(Z230=regle!$D$11,regle!$D$23,IF(Z230=regle!$E$11,regle!$E$23,IF(Z230=regle!$F$11,regle!$F$23,IF(Z230=regle!$G$11,regle!$G$23,IF(Z230=regle!$H$11,regle!$H$23,IF(Z230=regle!$I$11,regle!$I$23,IF(Z230=regle!$J$11,regle!$J$23,0)))))))))))</f>
        <v>0</v>
      </c>
      <c r="AK230" s="14">
        <f>IF($A230,$M230*(IF(AA230=regle!$B$11,regle!$B$23,IF(AA230=regle!$C$11,regle!$C$23,IF(AA230=regle!$D$11,regle!$D$23,IF(AA230=regle!$E$11,regle!$E$23,IF(AA230=regle!$F$11,regle!$F$23,IF(AA230=regle!$G$11,regle!$G$23,IF(AA230=regle!$H$11,regle!$H$23,IF(AA230=regle!$I$11,regle!$I$23,IF(AA230=regle!$J$11,regle!$J$23,0)))))))))))</f>
        <v>0</v>
      </c>
      <c r="AL230" s="14">
        <f>IF($A230,$M230*(IF(AB230=regle!$B$11,regle!$B$23,IF(AB230=regle!$C$11,regle!$C$23,IF(AB230=regle!$D$11,regle!$D$23,IF(AB230=regle!$E$11,regle!$E$23,IF(AB230=regle!$F$11,regle!$F$23,IF(AB230=regle!$G$11,regle!$G$23,IF(AB230=regle!$H$11,regle!$H$23,IF(AB230=regle!$I$11,regle!$I$23,IF(AB230=regle!$J$11,regle!$J$23,0)))))))))))</f>
        <v>0</v>
      </c>
      <c r="AM230" s="14">
        <f>IF($A230,$M230*(IF(AC230=regle!$B$11,regle!$B$23,IF(AC230=regle!$C$11,regle!$C$23,IF(AC230=regle!$D$11,regle!$D$23,IF(AC230=regle!$E$11,regle!$E$23,IF(AC230=regle!$F$11,regle!$F$23,IF(AC230=regle!$G$11,regle!$G$23,IF(AC230=regle!$H$11,regle!$H$23,IF(AC230=regle!$I$11,regle!$I$23,IF(AC230=regle!$J$11,regle!$J$23,0)))))))))))</f>
        <v>0</v>
      </c>
      <c r="AN230" s="14">
        <f>IF($A230,$M230*(IF(AD230=regle!$B$11,regle!$B$23,IF(AD230=regle!$C$11,regle!$C$23,IF(AD230=regle!$D$11,regle!$D$23,IF(AD230=regle!$E$11,regle!$E$23,IF(AD230=regle!$F$11,regle!$F$23,IF(AD230=regle!$G$11,regle!$G$23,IF(AD230=regle!$H$11,regle!$H$23,IF(AD230=regle!$I$11,regle!$I$23,IF(AD230=regle!$J$11,regle!$J$23,0)))))))))))</f>
        <v>267.79199999999997</v>
      </c>
      <c r="AO230">
        <f>IF(AO$1=$AO$1,IF(regle!B$2-$Q230&gt;=regle!$J$12,-2,IF($S230,IF(regle!$B$2-$Q230&gt;=2,0,-1),regle!B$2-$Q230)),IF(AN230+1&gt;=regle!$J$12,-2,AN230+1))</f>
        <v>9</v>
      </c>
      <c r="AP230">
        <f>IF(AP$1=$AO$1,IF(regle!C$2-$Q230&gt;=regle!$J$12,-2,IF($S230,IF(regle!$B$2-$Q230&gt;=2,0,-1),regle!C$2-$Q230)),IF(AO230+1&gt;=regle!$J$12,-2,AO230+1))</f>
        <v>10</v>
      </c>
      <c r="AQ230">
        <f>IF(AQ$1=$AO$1,IF(regle!D$2-$Q230&gt;=regle!$J$12,-2,IF($S230,IF(regle!$B$2-$Q230&gt;=2,0,-1),regle!D$2-$Q230)),IF(AP230+1&gt;=regle!$J$12,-2,AP230+1))</f>
        <v>11</v>
      </c>
      <c r="AR230">
        <f>IF(AR$1=$AO$1,IF(regle!E$2-$Q230&gt;=regle!$J$12,-2,IF($S230,IF(regle!$B$2-$Q230&gt;=2,0,-1),regle!E$2-$Q230)),IF(AQ230+1&gt;=regle!$J$12,-2,AQ230+1))</f>
        <v>12</v>
      </c>
      <c r="AS230">
        <f>IF(AS$1=$AO$1,IF(regle!F$2-$Q230&gt;=regle!$J$12,-2,IF($S230,IF(regle!$B$2-$Q230&gt;=2,0,-1),regle!F$2-$Q230)),IF(AR230+1&gt;=regle!$J$12,-2,AR230+1))</f>
        <v>13</v>
      </c>
      <c r="AT230">
        <f>IF(AT$1=$AO$1,IF(regle!G$2-$Q230&gt;=regle!$J$12,-2,IF($S230,IF(regle!$B$2-$Q230&gt;=2,0,-1),regle!G$2-$Q230)),IF(AS230+1&gt;=regle!$J$12,-2,AS230+1))</f>
        <v>14</v>
      </c>
      <c r="AU230">
        <f>IF(AU$1=$AO$1,IF(regle!H$2-$Q230&gt;=regle!$J$12,-2,IF($S230,IF(regle!$B$2-$Q230&gt;=2,0,-1),regle!H$2-$Q230)),IF(AT230+1&gt;=regle!$J$12,-2,AT230+1))</f>
        <v>15</v>
      </c>
      <c r="AV230">
        <f>IF(AV$1=$AO$1,IF(regle!I$2-$Q230&gt;=regle!$J$12,-2,IF($S230,IF(regle!$B$2-$Q230&gt;=2,0,-1),regle!I$2-$Q230)),IF(AU230+1&gt;=regle!$J$12,-2,AU230+1))</f>
        <v>16</v>
      </c>
      <c r="AW230">
        <f>IF(AW$1=$AO$1,IF(regle!J$2-$Q230&gt;=regle!$J$12,-2,IF($S230,IF(regle!$B$2-$Q230&gt;=2,0,-1),regle!J$2-$Q230)),IF(AV230+1&gt;=regle!$J$12,-2,AV230+1))</f>
        <v>17</v>
      </c>
      <c r="AX230">
        <f>IF(AX$1=$AO$1,IF(regle!K$2-$Q230&gt;=regle!$J$12,-2,IF($S230,IF(regle!$B$2-$Q230&gt;=2,0,-1),regle!K$2-$Q230)),IF(AW230+1&gt;=regle!$J$12,-2,AW230+1))</f>
        <v>18</v>
      </c>
    </row>
    <row r="231" spans="1:50" x14ac:dyDescent="0.25">
      <c r="A231" t="b">
        <f>AND(modif0[[#This Row],[cdstr]]&lt;&gt;0,OR(regle!$H$27=FALSE,modif0[[#This Row],[essnc]]="PM"))</f>
        <v>1</v>
      </c>
      <c r="B231">
        <f>ROW(objet!A273)</f>
        <v>273</v>
      </c>
      <c r="C231" s="10" t="str">
        <f>objet!D273</f>
        <v>2020000B1578</v>
      </c>
      <c r="D231" t="str">
        <f>LEFT(modif0[[#This Row],[cdstr]],3)</f>
        <v>202</v>
      </c>
      <c r="E231" s="10" t="str">
        <f>objet!G273</f>
        <v>HOSTENS</v>
      </c>
      <c r="F231">
        <f>LEN(modif0[[#This Row],[l_dt]])</f>
        <v>11</v>
      </c>
      <c r="G231" s="10" t="str">
        <f>objet!H273</f>
        <v>LES CAZALAS</v>
      </c>
      <c r="H231" s="10" t="str">
        <f>objet!C273</f>
        <v>B1578j</v>
      </c>
      <c r="I231" t="str">
        <f>IF(ISNUMBER(VALUE(RIGHT(LEFT(modif0[[#This Row],[idntfn]],2),1))),_xlfn.CONCAT(0,LEFT(modif0[[#This Row],[idntfn]],1)),LEFT(modif0[[#This Row],[idntfn]],2))</f>
        <v>0B</v>
      </c>
      <c r="J231">
        <f>VALUE(LEFT(RIGHT(modif0[[#This Row],[idntfn]],LEN(modif0[[#This Row],[idntfn]])-IF(LEFT(modif0[[#This Row],[sctn]],1)="0",1,2)),LEN(modif0[[#This Row],[idntfn]])-IF(LEFT(modif0[[#This Row],[sctn]],1)="0",1,2)-LEN(modif0[[#This Row],[lttr]])))</f>
        <v>1578</v>
      </c>
      <c r="K231" t="str">
        <f>IF(ISNUMBER(VALUE(RIGHT(modif0[[#This Row],[idntfn]],1))),"",IF(ISNUMBER(VALUE(LEFT(RIGHT(modif0[[#This Row],[idntfn]],2),1))),RIGHT(modif0[[#This Row],[idntfn]],1),RIGHT(modif0[[#This Row],[idntfn]],2)))</f>
        <v>j</v>
      </c>
      <c r="L231" s="10">
        <f>objet!I273</f>
        <v>1762</v>
      </c>
      <c r="M231" s="11">
        <f>modif0[[#This Row],[srfc]]/10000</f>
        <v>0.1762</v>
      </c>
      <c r="N231" s="10" t="str">
        <f>objet!Z273</f>
        <v>PM</v>
      </c>
      <c r="O231" s="10" t="str">
        <f>objet!AA273</f>
        <v>PLA2019</v>
      </c>
      <c r="P231" t="str">
        <f>IF(ISNUMBER(modif0[[#This Row],[trvx]]),"",LEFT(modif0[[#This Row],[trvx]],LEN(modif0[[#This Row],[trvx]])-4))</f>
        <v>PLA</v>
      </c>
      <c r="Q231">
        <f>VALUE(RIGHT(modif0[[#This Row],[trvx]],4))</f>
        <v>2019</v>
      </c>
      <c r="R231" t="str">
        <f>_xlfn.CONCAT(modif0[[#This Row],[tp]],"-",modif0[[#This Row],[essnc]],"_",modif0[[#This Row],[anns]])</f>
        <v>PLA-PM_2019</v>
      </c>
      <c r="S231" t="b">
        <f>modif0[[#This Row],[tp]]="CR"</f>
        <v>0</v>
      </c>
      <c r="T231">
        <v>40</v>
      </c>
      <c r="U231" t="str">
        <f>IF(NOT($A231),"",
IF(AO231=-2,regle!$J$11,
IF(AO231=regle!$B$12,regle!$B$11,
IF(AO231=regle!$C$12,regle!$C$11,
IF(AO231=regle!$D$12,regle!$D$11,
IF(AO231=regle!$E$12,regle!$E$11,
IF(AO231=regle!$F$12,regle!$F$11,
IF(AO231=regle!$G$12,regle!$G$11,
IF(AO231=regle!$H$12,regle!$H$11,
IF(AO231=regle!$I$12,regle!$I$11,""))))))))))</f>
        <v>ENT1</v>
      </c>
      <c r="V231" t="str">
        <f>IF(NOT($A231),"",
IF(AP231=-2,regle!$J$11,
IF(AP231=regle!$B$12,regle!$B$11,
IF(AP231=regle!$C$12,regle!$C$11,
IF(AP231=regle!$D$12,regle!$D$11,
IF(AP231=regle!$E$12,regle!$E$11,
IF(AP231=regle!$F$12,regle!$F$11,
IF(AP231=regle!$G$12,regle!$G$11,
IF(AP231=regle!$H$12,regle!$H$11,
IF(AP231=regle!$I$12,regle!$I$11,""))))))))))</f>
        <v/>
      </c>
      <c r="W231" t="str">
        <f>IF(NOT($A231),"",
IF(AQ231=-2,regle!$J$11,
IF(AQ231=regle!$B$12,regle!$B$11,
IF(AQ231=regle!$C$12,regle!$C$11,
IF(AQ231=regle!$D$12,regle!$D$11,
IF(AQ231=regle!$E$12,regle!$E$11,
IF(AQ231=regle!$F$12,regle!$F$11,
IF(AQ231=regle!$G$12,regle!$G$11,
IF(AQ231=regle!$H$12,regle!$H$11,
IF(AQ231=regle!$I$12,regle!$I$11,""))))))))))</f>
        <v/>
      </c>
      <c r="X231" t="str">
        <f>IF(NOT($A231),"",
IF(AR231=-2,regle!$J$11,
IF(AR231=regle!$B$12,regle!$B$11,
IF(AR231=regle!$C$12,regle!$C$11,
IF(AR231=regle!$D$12,regle!$D$11,
IF(AR231=regle!$E$12,regle!$E$11,
IF(AR231=regle!$F$12,regle!$F$11,
IF(AR231=regle!$G$12,regle!$G$11,
IF(AR231=regle!$H$12,regle!$H$11,
IF(AR231=regle!$I$12,regle!$I$11,""))))))))))</f>
        <v>ENT2</v>
      </c>
      <c r="Y231" t="str">
        <f>IF(NOT($A231),"",
IF(AS231=-2,regle!$J$11,
IF(AS231=regle!$B$12,regle!$B$11,
IF(AS231=regle!$C$12,regle!$C$11,
IF(AS231=regle!$D$12,regle!$D$11,
IF(AS231=regle!$E$12,regle!$E$11,
IF(AS231=regle!$F$12,regle!$F$11,
IF(AS231=regle!$G$12,regle!$G$11,
IF(AS231=regle!$H$12,regle!$H$11,
IF(AS231=regle!$I$12,regle!$I$11,""))))))))))</f>
        <v/>
      </c>
      <c r="Z231" t="str">
        <f>IF(NOT($A231),"",
IF(AT231=-2,regle!$J$11,
IF(AT231=regle!$B$12,regle!$B$11,
IF(AT231=regle!$C$12,regle!$C$11,
IF(AT231=regle!$D$12,regle!$D$11,
IF(AT231=regle!$E$12,regle!$E$11,
IF(AT231=regle!$F$12,regle!$F$11,
IF(AT231=regle!$G$12,regle!$G$11,
IF(AT231=regle!$H$12,regle!$H$11,
IF(AT231=regle!$I$12,regle!$I$11,""))))))))))</f>
        <v/>
      </c>
      <c r="AA231" t="str">
        <f>IF(NOT($A231),"",
IF(AU231=-2,regle!$J$11,
IF(AU231=regle!$B$12,regle!$B$11,
IF(AU231=regle!$C$12,regle!$C$11,
IF(AU231=regle!$D$12,regle!$D$11,
IF(AU231=regle!$E$12,regle!$E$11,
IF(AU231=regle!$F$12,regle!$F$11,
IF(AU231=regle!$G$12,regle!$G$11,
IF(AU231=regle!$H$12,regle!$H$11,
IF(AU231=regle!$I$12,regle!$I$11,""))))))))))</f>
        <v/>
      </c>
      <c r="AB231" t="str">
        <f>IF(NOT($A231),"",
IF(AV231=-2,regle!$J$11,
IF(AV231=regle!$B$12,regle!$B$11,
IF(AV231=regle!$C$12,regle!$C$11,
IF(AV231=regle!$D$12,regle!$D$11,
IF(AV231=regle!$E$12,regle!$E$11,
IF(AV231=regle!$F$12,regle!$F$11,
IF(AV231=regle!$G$12,regle!$G$11,
IF(AV231=regle!$H$12,regle!$H$11,
IF(AV231=regle!$I$12,regle!$I$11,""))))))))))</f>
        <v/>
      </c>
      <c r="AC231" t="str">
        <f>IF(NOT($A231),"",
IF(AW231=-2,regle!$J$11,
IF(AW231=regle!$B$12,regle!$B$11,
IF(AW231=regle!$C$12,regle!$C$11,
IF(AW231=regle!$D$12,regle!$D$11,
IF(AW231=regle!$E$12,regle!$E$11,
IF(AW231=regle!$F$12,regle!$F$11,
IF(AW231=regle!$G$12,regle!$G$11,
IF(AW231=regle!$H$12,regle!$H$11,
IF(AW231=regle!$I$12,regle!$I$11,""))))))))))</f>
        <v>EC1</v>
      </c>
      <c r="AD231" t="str">
        <f>IF(NOT($A231),"",
IF(AX231=-2,regle!$J$11,
IF(AX231=regle!$B$12,regle!$B$11,
IF(AX231=regle!$C$12,regle!$C$11,
IF(AX231=regle!$D$12,regle!$D$11,
IF(AX231=regle!$E$12,regle!$E$11,
IF(AX231=regle!$F$12,regle!$F$11,
IF(AX231=regle!$G$12,regle!$G$11,
IF(AX231=regle!$H$12,regle!$H$11,
IF(AX231=regle!$I$12,regle!$I$11,""))))))))))</f>
        <v/>
      </c>
      <c r="AE231" s="14">
        <f>IF($A231,$M231*(IF(U231=regle!$B$11,regle!$B$23,IF(U231=regle!$C$11,regle!$C$23,IF(U231=regle!$D$11,regle!$D$23,IF(U231=regle!$E$11,regle!$E$23,IF(U231=regle!$F$11,regle!$F$23,IF(U231=regle!$G$11,regle!$G$23,IF(U231=regle!$H$11,regle!$H$23,IF(U231=regle!$I$11,regle!$I$23,IF(U231=regle!$J$11,regle!$J$23,0)))))))))))</f>
        <v>-15.857999999999999</v>
      </c>
      <c r="AF231" s="14">
        <f>IF($A231,$M231*(IF(V231=regle!$B$11,regle!$B$23,IF(V231=regle!$C$11,regle!$C$23,IF(V231=regle!$D$11,regle!$D$23,IF(V231=regle!$E$11,regle!$E$23,IF(V231=regle!$F$11,regle!$F$23,IF(V231=regle!$G$11,regle!$G$23,IF(V231=regle!$H$11,regle!$H$23,IF(V231=regle!$I$11,regle!$I$23,IF(V231=regle!$J$11,regle!$J$23,0)))))))))))</f>
        <v>0</v>
      </c>
      <c r="AG231" s="14">
        <f>IF($A231,$M231*(IF(W231=regle!$B$11,regle!$B$23,IF(W231=regle!$C$11,regle!$C$23,IF(W231=regle!$D$11,regle!$D$23,IF(W231=regle!$E$11,regle!$E$23,IF(W231=regle!$F$11,regle!$F$23,IF(W231=regle!$G$11,regle!$G$23,IF(W231=regle!$H$11,regle!$H$23,IF(W231=regle!$I$11,regle!$I$23,IF(W231=regle!$J$11,regle!$J$23,0)))))))))))</f>
        <v>0</v>
      </c>
      <c r="AH231" s="14">
        <f>IF($A231,$M231*(IF(X231=regle!$B$11,regle!$B$23,IF(X231=regle!$C$11,regle!$C$23,IF(X231=regle!$D$11,regle!$D$23,IF(X231=regle!$E$11,regle!$E$23,IF(X231=regle!$F$11,regle!$F$23,IF(X231=regle!$G$11,regle!$G$23,IF(X231=regle!$H$11,regle!$H$23,IF(X231=regle!$I$11,regle!$I$23,IF(X231=regle!$J$11,regle!$J$23,0)))))))))))</f>
        <v>-15.857999999999999</v>
      </c>
      <c r="AI231" s="14">
        <f>IF($A231,$M231*(IF(Y231=regle!$B$11,regle!$B$23,IF(Y231=regle!$C$11,regle!$C$23,IF(Y231=regle!$D$11,regle!$D$23,IF(Y231=regle!$E$11,regle!$E$23,IF(Y231=regle!$F$11,regle!$F$23,IF(Y231=regle!$G$11,regle!$G$23,IF(Y231=regle!$H$11,regle!$H$23,IF(Y231=regle!$I$11,regle!$I$23,IF(Y231=regle!$J$11,regle!$J$23,0)))))))))))</f>
        <v>0</v>
      </c>
      <c r="AJ231" s="14">
        <f>IF($A231,$M231*(IF(Z231=regle!$B$11,regle!$B$23,IF(Z231=regle!$C$11,regle!$C$23,IF(Z231=regle!$D$11,regle!$D$23,IF(Z231=regle!$E$11,regle!$E$23,IF(Z231=regle!$F$11,regle!$F$23,IF(Z231=regle!$G$11,regle!$G$23,IF(Z231=regle!$H$11,regle!$H$23,IF(Z231=regle!$I$11,regle!$I$23,IF(Z231=regle!$J$11,regle!$J$23,0)))))))))))</f>
        <v>0</v>
      </c>
      <c r="AK231" s="14">
        <f>IF($A231,$M231*(IF(AA231=regle!$B$11,regle!$B$23,IF(AA231=regle!$C$11,regle!$C$23,IF(AA231=regle!$D$11,regle!$D$23,IF(AA231=regle!$E$11,regle!$E$23,IF(AA231=regle!$F$11,regle!$F$23,IF(AA231=regle!$G$11,regle!$G$23,IF(AA231=regle!$H$11,regle!$H$23,IF(AA231=regle!$I$11,regle!$I$23,IF(AA231=regle!$J$11,regle!$J$23,0)))))))))))</f>
        <v>0</v>
      </c>
      <c r="AL231" s="14">
        <f>IF($A231,$M231*(IF(AB231=regle!$B$11,regle!$B$23,IF(AB231=regle!$C$11,regle!$C$23,IF(AB231=regle!$D$11,regle!$D$23,IF(AB231=regle!$E$11,regle!$E$23,IF(AB231=regle!$F$11,regle!$F$23,IF(AB231=regle!$G$11,regle!$G$23,IF(AB231=regle!$H$11,regle!$H$23,IF(AB231=regle!$I$11,regle!$I$23,IF(AB231=regle!$J$11,regle!$J$23,0)))))))))))</f>
        <v>0</v>
      </c>
      <c r="AM231" s="14">
        <f>IF($A231,$M231*(IF(AC231=regle!$B$11,regle!$B$23,IF(AC231=regle!$C$11,regle!$C$23,IF(AC231=regle!$D$11,regle!$D$23,IF(AC231=regle!$E$11,regle!$E$23,IF(AC231=regle!$F$11,regle!$F$23,IF(AC231=regle!$G$11,regle!$G$23,IF(AC231=regle!$H$11,regle!$H$23,IF(AC231=regle!$I$11,regle!$I$23,IF(AC231=regle!$J$11,regle!$J$23,0)))))))))))</f>
        <v>101.49119999999999</v>
      </c>
      <c r="AN231" s="14">
        <f>IF($A231,$M231*(IF(AD231=regle!$B$11,regle!$B$23,IF(AD231=regle!$C$11,regle!$C$23,IF(AD231=regle!$D$11,regle!$D$23,IF(AD231=regle!$E$11,regle!$E$23,IF(AD231=regle!$F$11,regle!$F$23,IF(AD231=regle!$G$11,regle!$G$23,IF(AD231=regle!$H$11,regle!$H$23,IF(AD231=regle!$I$11,regle!$I$23,IF(AD231=regle!$J$11,regle!$J$23,0)))))))))))</f>
        <v>0</v>
      </c>
      <c r="AO231">
        <f>IF(AO$1=$AO$1,IF(regle!B$2-$Q231&gt;=regle!$J$12,-2,IF($S231,IF(regle!$B$2-$Q231&gt;=2,0,-1),regle!B$2-$Q231)),IF(AN231+1&gt;=regle!$J$12,-2,AN231+1))</f>
        <v>5</v>
      </c>
      <c r="AP231">
        <f>IF(AP$1=$AO$1,IF(regle!C$2-$Q231&gt;=regle!$J$12,-2,IF($S231,IF(regle!$B$2-$Q231&gt;=2,0,-1),regle!C$2-$Q231)),IF(AO231+1&gt;=regle!$J$12,-2,AO231+1))</f>
        <v>6</v>
      </c>
      <c r="AQ231">
        <f>IF(AQ$1=$AO$1,IF(regle!D$2-$Q231&gt;=regle!$J$12,-2,IF($S231,IF(regle!$B$2-$Q231&gt;=2,0,-1),regle!D$2-$Q231)),IF(AP231+1&gt;=regle!$J$12,-2,AP231+1))</f>
        <v>7</v>
      </c>
      <c r="AR231">
        <f>IF(AR$1=$AO$1,IF(regle!E$2-$Q231&gt;=regle!$J$12,-2,IF($S231,IF(regle!$B$2-$Q231&gt;=2,0,-1),regle!E$2-$Q231)),IF(AQ231+1&gt;=regle!$J$12,-2,AQ231+1))</f>
        <v>8</v>
      </c>
      <c r="AS231">
        <f>IF(AS$1=$AO$1,IF(regle!F$2-$Q231&gt;=regle!$J$12,-2,IF($S231,IF(regle!$B$2-$Q231&gt;=2,0,-1),regle!F$2-$Q231)),IF(AR231+1&gt;=regle!$J$12,-2,AR231+1))</f>
        <v>9</v>
      </c>
      <c r="AT231">
        <f>IF(AT$1=$AO$1,IF(regle!G$2-$Q231&gt;=regle!$J$12,-2,IF($S231,IF(regle!$B$2-$Q231&gt;=2,0,-1),regle!G$2-$Q231)),IF(AS231+1&gt;=regle!$J$12,-2,AS231+1))</f>
        <v>10</v>
      </c>
      <c r="AU231">
        <f>IF(AU$1=$AO$1,IF(regle!H$2-$Q231&gt;=regle!$J$12,-2,IF($S231,IF(regle!$B$2-$Q231&gt;=2,0,-1),regle!H$2-$Q231)),IF(AT231+1&gt;=regle!$J$12,-2,AT231+1))</f>
        <v>11</v>
      </c>
      <c r="AV231">
        <f>IF(AV$1=$AO$1,IF(regle!I$2-$Q231&gt;=regle!$J$12,-2,IF($S231,IF(regle!$B$2-$Q231&gt;=2,0,-1),regle!I$2-$Q231)),IF(AU231+1&gt;=regle!$J$12,-2,AU231+1))</f>
        <v>12</v>
      </c>
      <c r="AW231">
        <f>IF(AW$1=$AO$1,IF(regle!J$2-$Q231&gt;=regle!$J$12,-2,IF($S231,IF(regle!$B$2-$Q231&gt;=2,0,-1),regle!J$2-$Q231)),IF(AV231+1&gt;=regle!$J$12,-2,AV231+1))</f>
        <v>13</v>
      </c>
      <c r="AX231">
        <f>IF(AX$1=$AO$1,IF(regle!K$2-$Q231&gt;=regle!$J$12,-2,IF($S231,IF(regle!$B$2-$Q231&gt;=2,0,-1),regle!K$2-$Q231)),IF(AW231+1&gt;=regle!$J$12,-2,AW231+1))</f>
        <v>14</v>
      </c>
    </row>
    <row r="232" spans="1:50" x14ac:dyDescent="0.25">
      <c r="A232" t="b">
        <f>AND(modif0[[#This Row],[cdstr]]&lt;&gt;0,OR(regle!$H$27=FALSE,modif0[[#This Row],[essnc]]="PM"))</f>
        <v>1</v>
      </c>
      <c r="B232">
        <f>ROW(objet!A274)</f>
        <v>274</v>
      </c>
      <c r="C232" s="10" t="str">
        <f>objet!D274</f>
        <v>2020000B1578</v>
      </c>
      <c r="D232" t="str">
        <f>LEFT(modif0[[#This Row],[cdstr]],3)</f>
        <v>202</v>
      </c>
      <c r="E232" s="10" t="str">
        <f>objet!G274</f>
        <v>HOSTENS</v>
      </c>
      <c r="F232">
        <f>LEN(modif0[[#This Row],[l_dt]])</f>
        <v>11</v>
      </c>
      <c r="G232" s="10" t="str">
        <f>objet!H274</f>
        <v>LES CAZALAS</v>
      </c>
      <c r="H232" s="10" t="str">
        <f>objet!C274</f>
        <v>B1578k</v>
      </c>
      <c r="I232" t="str">
        <f>IF(ISNUMBER(VALUE(RIGHT(LEFT(modif0[[#This Row],[idntfn]],2),1))),_xlfn.CONCAT(0,LEFT(modif0[[#This Row],[idntfn]],1)),LEFT(modif0[[#This Row],[idntfn]],2))</f>
        <v>0B</v>
      </c>
      <c r="J232">
        <f>VALUE(LEFT(RIGHT(modif0[[#This Row],[idntfn]],LEN(modif0[[#This Row],[idntfn]])-IF(LEFT(modif0[[#This Row],[sctn]],1)="0",1,2)),LEN(modif0[[#This Row],[idntfn]])-IF(LEFT(modif0[[#This Row],[sctn]],1)="0",1,2)-LEN(modif0[[#This Row],[lttr]])))</f>
        <v>1578</v>
      </c>
      <c r="K232" t="str">
        <f>IF(ISNUMBER(VALUE(RIGHT(modif0[[#This Row],[idntfn]],1))),"",IF(ISNUMBER(VALUE(LEFT(RIGHT(modif0[[#This Row],[idntfn]],2),1))),RIGHT(modif0[[#This Row],[idntfn]],1),RIGHT(modif0[[#This Row],[idntfn]],2)))</f>
        <v>k</v>
      </c>
      <c r="L232" s="10">
        <f>objet!I274</f>
        <v>13549</v>
      </c>
      <c r="M232" s="11">
        <f>modif0[[#This Row],[srfc]]/10000</f>
        <v>1.3549</v>
      </c>
      <c r="N232" s="10" t="str">
        <f>objet!Z274</f>
        <v>PM</v>
      </c>
      <c r="O232" s="10" t="str">
        <f>objet!AA274</f>
        <v>PLA2006</v>
      </c>
      <c r="P232" t="str">
        <f>IF(ISNUMBER(modif0[[#This Row],[trvx]]),"",LEFT(modif0[[#This Row],[trvx]],LEN(modif0[[#This Row],[trvx]])-4))</f>
        <v>PLA</v>
      </c>
      <c r="Q232">
        <f>VALUE(RIGHT(modif0[[#This Row],[trvx]],4))</f>
        <v>2006</v>
      </c>
      <c r="R232" t="str">
        <f>_xlfn.CONCAT(modif0[[#This Row],[tp]],"-",modif0[[#This Row],[essnc]],"_",modif0[[#This Row],[anns]])</f>
        <v>PLA-PM_2006</v>
      </c>
      <c r="S232" t="b">
        <f>modif0[[#This Row],[tp]]="CR"</f>
        <v>0</v>
      </c>
      <c r="T232">
        <v>40</v>
      </c>
      <c r="U232" t="str">
        <f>IF(NOT($A232),"",
IF(AO232=-2,regle!$J$11,
IF(AO232=regle!$B$12,regle!$B$11,
IF(AO232=regle!$C$12,regle!$C$11,
IF(AO232=regle!$D$12,regle!$D$11,
IF(AO232=regle!$E$12,regle!$E$11,
IF(AO232=regle!$F$12,regle!$F$11,
IF(AO232=regle!$G$12,regle!$G$11,
IF(AO232=regle!$H$12,regle!$H$11,
IF(AO232=regle!$I$12,regle!$I$11,""))))))))))</f>
        <v>EC2</v>
      </c>
      <c r="V232" t="str">
        <f>IF(NOT($A232),"",
IF(AP232=-2,regle!$J$11,
IF(AP232=regle!$B$12,regle!$B$11,
IF(AP232=regle!$C$12,regle!$C$11,
IF(AP232=regle!$D$12,regle!$D$11,
IF(AP232=regle!$E$12,regle!$E$11,
IF(AP232=regle!$F$12,regle!$F$11,
IF(AP232=regle!$G$12,regle!$G$11,
IF(AP232=regle!$H$12,regle!$H$11,
IF(AP232=regle!$I$12,regle!$I$11,""))))))))))</f>
        <v/>
      </c>
      <c r="W232" t="str">
        <f>IF(NOT($A232),"",
IF(AQ232=-2,regle!$J$11,
IF(AQ232=regle!$B$12,regle!$B$11,
IF(AQ232=regle!$C$12,regle!$C$11,
IF(AQ232=regle!$D$12,regle!$D$11,
IF(AQ232=regle!$E$12,regle!$E$11,
IF(AQ232=regle!$F$12,regle!$F$11,
IF(AQ232=regle!$G$12,regle!$G$11,
IF(AQ232=regle!$H$12,regle!$H$11,
IF(AQ232=regle!$I$12,regle!$I$11,""))))))))))</f>
        <v/>
      </c>
      <c r="X232" t="str">
        <f>IF(NOT($A232),"",
IF(AR232=-2,regle!$J$11,
IF(AR232=regle!$B$12,regle!$B$11,
IF(AR232=regle!$C$12,regle!$C$11,
IF(AR232=regle!$D$12,regle!$D$11,
IF(AR232=regle!$E$12,regle!$E$11,
IF(AR232=regle!$F$12,regle!$F$11,
IF(AR232=regle!$G$12,regle!$G$11,
IF(AR232=regle!$H$12,regle!$H$11,
IF(AR232=regle!$I$12,regle!$I$11,""))))))))))</f>
        <v/>
      </c>
      <c r="Y232" t="str">
        <f>IF(NOT($A232),"",
IF(AS232=-2,regle!$J$11,
IF(AS232=regle!$B$12,regle!$B$11,
IF(AS232=regle!$C$12,regle!$C$11,
IF(AS232=regle!$D$12,regle!$D$11,
IF(AS232=regle!$E$12,regle!$E$11,
IF(AS232=regle!$F$12,regle!$F$11,
IF(AS232=regle!$G$12,regle!$G$11,
IF(AS232=regle!$H$12,regle!$H$11,
IF(AS232=regle!$I$12,regle!$I$11,""))))))))))</f>
        <v/>
      </c>
      <c r="Z232" t="str">
        <f>IF(NOT($A232),"",
IF(AT232=-2,regle!$J$11,
IF(AT232=regle!$B$12,regle!$B$11,
IF(AT232=regle!$C$12,regle!$C$11,
IF(AT232=regle!$D$12,regle!$D$11,
IF(AT232=regle!$E$12,regle!$E$11,
IF(AT232=regle!$F$12,regle!$F$11,
IF(AT232=regle!$G$12,regle!$G$11,
IF(AT232=regle!$H$12,regle!$H$11,
IF(AT232=regle!$I$12,regle!$I$11,""))))))))))</f>
        <v>EC3</v>
      </c>
      <c r="AA232" t="str">
        <f>IF(NOT($A232),"",
IF(AU232=-2,regle!$J$11,
IF(AU232=regle!$B$12,regle!$B$11,
IF(AU232=regle!$C$12,regle!$C$11,
IF(AU232=regle!$D$12,regle!$D$11,
IF(AU232=regle!$E$12,regle!$E$11,
IF(AU232=regle!$F$12,regle!$F$11,
IF(AU232=regle!$G$12,regle!$G$11,
IF(AU232=regle!$H$12,regle!$H$11,
IF(AU232=regle!$I$12,regle!$I$11,""))))))))))</f>
        <v/>
      </c>
      <c r="AB232" t="str">
        <f>IF(NOT($A232),"",
IF(AV232=-2,regle!$J$11,
IF(AV232=regle!$B$12,regle!$B$11,
IF(AV232=regle!$C$12,regle!$C$11,
IF(AV232=regle!$D$12,regle!$D$11,
IF(AV232=regle!$E$12,regle!$E$11,
IF(AV232=regle!$F$12,regle!$F$11,
IF(AV232=regle!$G$12,regle!$G$11,
IF(AV232=regle!$H$12,regle!$H$11,
IF(AV232=regle!$I$12,regle!$I$11,""))))))))))</f>
        <v/>
      </c>
      <c r="AC232" t="str">
        <f>IF(NOT($A232),"",
IF(AW232=-2,regle!$J$11,
IF(AW232=regle!$B$12,regle!$B$11,
IF(AW232=regle!$C$12,regle!$C$11,
IF(AW232=regle!$D$12,regle!$D$11,
IF(AW232=regle!$E$12,regle!$E$11,
IF(AW232=regle!$F$12,regle!$F$11,
IF(AW232=regle!$G$12,regle!$G$11,
IF(AW232=regle!$H$12,regle!$H$11,
IF(AW232=regle!$I$12,regle!$I$11,""))))))))))</f>
        <v/>
      </c>
      <c r="AD232" t="str">
        <f>IF(NOT($A232),"",
IF(AX232=-2,regle!$J$11,
IF(AX232=regle!$B$12,regle!$B$11,
IF(AX232=regle!$C$12,regle!$C$11,
IF(AX232=regle!$D$12,regle!$D$11,
IF(AX232=regle!$E$12,regle!$E$11,
IF(AX232=regle!$F$12,regle!$F$11,
IF(AX232=regle!$G$12,regle!$G$11,
IF(AX232=regle!$H$12,regle!$H$11,
IF(AX232=regle!$I$12,regle!$I$11,""))))))))))</f>
        <v/>
      </c>
      <c r="AE232" s="14">
        <f>IF($A232,$M232*(IF(U232=regle!$B$11,regle!$B$23,IF(U232=regle!$C$11,regle!$C$23,IF(U232=regle!$D$11,regle!$D$23,IF(U232=regle!$E$11,regle!$E$23,IF(U232=regle!$F$11,regle!$F$23,IF(U232=regle!$G$11,regle!$G$23,IF(U232=regle!$H$11,regle!$H$23,IF(U232=regle!$I$11,regle!$I$23,IF(U232=regle!$J$11,regle!$J$23,0)))))))))))</f>
        <v>1138.116</v>
      </c>
      <c r="AF232" s="14">
        <f>IF($A232,$M232*(IF(V232=regle!$B$11,regle!$B$23,IF(V232=regle!$C$11,regle!$C$23,IF(V232=regle!$D$11,regle!$D$23,IF(V232=regle!$E$11,regle!$E$23,IF(V232=regle!$F$11,regle!$F$23,IF(V232=regle!$G$11,regle!$G$23,IF(V232=regle!$H$11,regle!$H$23,IF(V232=regle!$I$11,regle!$I$23,IF(V232=regle!$J$11,regle!$J$23,0)))))))))))</f>
        <v>0</v>
      </c>
      <c r="AG232" s="14">
        <f>IF($A232,$M232*(IF(W232=regle!$B$11,regle!$B$23,IF(W232=regle!$C$11,regle!$C$23,IF(W232=regle!$D$11,regle!$D$23,IF(W232=regle!$E$11,regle!$E$23,IF(W232=regle!$F$11,regle!$F$23,IF(W232=regle!$G$11,regle!$G$23,IF(W232=regle!$H$11,regle!$H$23,IF(W232=regle!$I$11,regle!$I$23,IF(W232=regle!$J$11,regle!$J$23,0)))))))))))</f>
        <v>0</v>
      </c>
      <c r="AH232" s="14">
        <f>IF($A232,$M232*(IF(X232=regle!$B$11,regle!$B$23,IF(X232=regle!$C$11,regle!$C$23,IF(X232=regle!$D$11,regle!$D$23,IF(X232=regle!$E$11,regle!$E$23,IF(X232=regle!$F$11,regle!$F$23,IF(X232=regle!$G$11,regle!$G$23,IF(X232=regle!$H$11,regle!$H$23,IF(X232=regle!$I$11,regle!$I$23,IF(X232=regle!$J$11,regle!$J$23,0)))))))))))</f>
        <v>0</v>
      </c>
      <c r="AI232" s="14">
        <f>IF($A232,$M232*(IF(Y232=regle!$B$11,regle!$B$23,IF(Y232=regle!$C$11,regle!$C$23,IF(Y232=regle!$D$11,regle!$D$23,IF(Y232=regle!$E$11,regle!$E$23,IF(Y232=regle!$F$11,regle!$F$23,IF(Y232=regle!$G$11,regle!$G$23,IF(Y232=regle!$H$11,regle!$H$23,IF(Y232=regle!$I$11,regle!$I$23,IF(Y232=regle!$J$11,regle!$J$23,0)))))))))))</f>
        <v>0</v>
      </c>
      <c r="AJ232" s="14">
        <f>IF($A232,$M232*(IF(Z232=regle!$B$11,regle!$B$23,IF(Z232=regle!$C$11,regle!$C$23,IF(Z232=regle!$D$11,regle!$D$23,IF(Z232=regle!$E$11,regle!$E$23,IF(Z232=regle!$F$11,regle!$F$23,IF(Z232=regle!$G$11,regle!$G$23,IF(Z232=regle!$H$11,regle!$H$23,IF(Z232=regle!$I$11,regle!$I$23,IF(Z232=regle!$J$11,regle!$J$23,0)))))))))))</f>
        <v>1907.6992</v>
      </c>
      <c r="AK232" s="14">
        <f>IF($A232,$M232*(IF(AA232=regle!$B$11,regle!$B$23,IF(AA232=regle!$C$11,regle!$C$23,IF(AA232=regle!$D$11,regle!$D$23,IF(AA232=regle!$E$11,regle!$E$23,IF(AA232=regle!$F$11,regle!$F$23,IF(AA232=regle!$G$11,regle!$G$23,IF(AA232=regle!$H$11,regle!$H$23,IF(AA232=regle!$I$11,regle!$I$23,IF(AA232=regle!$J$11,regle!$J$23,0)))))))))))</f>
        <v>0</v>
      </c>
      <c r="AL232" s="14">
        <f>IF($A232,$M232*(IF(AB232=regle!$B$11,regle!$B$23,IF(AB232=regle!$C$11,regle!$C$23,IF(AB232=regle!$D$11,regle!$D$23,IF(AB232=regle!$E$11,regle!$E$23,IF(AB232=regle!$F$11,regle!$F$23,IF(AB232=regle!$G$11,regle!$G$23,IF(AB232=regle!$H$11,regle!$H$23,IF(AB232=regle!$I$11,regle!$I$23,IF(AB232=regle!$J$11,regle!$J$23,0)))))))))))</f>
        <v>0</v>
      </c>
      <c r="AM232" s="14">
        <f>IF($A232,$M232*(IF(AC232=regle!$B$11,regle!$B$23,IF(AC232=regle!$C$11,regle!$C$23,IF(AC232=regle!$D$11,regle!$D$23,IF(AC232=regle!$E$11,regle!$E$23,IF(AC232=regle!$F$11,regle!$F$23,IF(AC232=regle!$G$11,regle!$G$23,IF(AC232=regle!$H$11,regle!$H$23,IF(AC232=regle!$I$11,regle!$I$23,IF(AC232=regle!$J$11,regle!$J$23,0)))))))))))</f>
        <v>0</v>
      </c>
      <c r="AN232" s="14">
        <f>IF($A232,$M232*(IF(AD232=regle!$B$11,regle!$B$23,IF(AD232=regle!$C$11,regle!$C$23,IF(AD232=regle!$D$11,regle!$D$23,IF(AD232=regle!$E$11,regle!$E$23,IF(AD232=regle!$F$11,regle!$F$23,IF(AD232=regle!$G$11,regle!$G$23,IF(AD232=regle!$H$11,regle!$H$23,IF(AD232=regle!$I$11,regle!$I$23,IF(AD232=regle!$J$11,regle!$J$23,0)))))))))))</f>
        <v>0</v>
      </c>
      <c r="AO232">
        <f>IF(AO$1=$AO$1,IF(regle!B$2-$Q232&gt;=regle!$J$12,-2,IF($S232,IF(regle!$B$2-$Q232&gt;=2,0,-1),regle!B$2-$Q232)),IF(AN232+1&gt;=regle!$J$12,-2,AN232+1))</f>
        <v>18</v>
      </c>
      <c r="AP232">
        <f>IF(AP$1=$AO$1,IF(regle!C$2-$Q232&gt;=regle!$J$12,-2,IF($S232,IF(regle!$B$2-$Q232&gt;=2,0,-1),regle!C$2-$Q232)),IF(AO232+1&gt;=regle!$J$12,-2,AO232+1))</f>
        <v>19</v>
      </c>
      <c r="AQ232">
        <f>IF(AQ$1=$AO$1,IF(regle!D$2-$Q232&gt;=regle!$J$12,-2,IF($S232,IF(regle!$B$2-$Q232&gt;=2,0,-1),regle!D$2-$Q232)),IF(AP232+1&gt;=regle!$J$12,-2,AP232+1))</f>
        <v>20</v>
      </c>
      <c r="AR232">
        <f>IF(AR$1=$AO$1,IF(regle!E$2-$Q232&gt;=regle!$J$12,-2,IF($S232,IF(regle!$B$2-$Q232&gt;=2,0,-1),regle!E$2-$Q232)),IF(AQ232+1&gt;=regle!$J$12,-2,AQ232+1))</f>
        <v>21</v>
      </c>
      <c r="AS232">
        <f>IF(AS$1=$AO$1,IF(regle!F$2-$Q232&gt;=regle!$J$12,-2,IF($S232,IF(regle!$B$2-$Q232&gt;=2,0,-1),regle!F$2-$Q232)),IF(AR232+1&gt;=regle!$J$12,-2,AR232+1))</f>
        <v>22</v>
      </c>
      <c r="AT232">
        <f>IF(AT$1=$AO$1,IF(regle!G$2-$Q232&gt;=regle!$J$12,-2,IF($S232,IF(regle!$B$2-$Q232&gt;=2,0,-1),regle!G$2-$Q232)),IF(AS232+1&gt;=regle!$J$12,-2,AS232+1))</f>
        <v>23</v>
      </c>
      <c r="AU232">
        <f>IF(AU$1=$AO$1,IF(regle!H$2-$Q232&gt;=regle!$J$12,-2,IF($S232,IF(regle!$B$2-$Q232&gt;=2,0,-1),regle!H$2-$Q232)),IF(AT232+1&gt;=regle!$J$12,-2,AT232+1))</f>
        <v>24</v>
      </c>
      <c r="AV232">
        <f>IF(AV$1=$AO$1,IF(regle!I$2-$Q232&gt;=regle!$J$12,-2,IF($S232,IF(regle!$B$2-$Q232&gt;=2,0,-1),regle!I$2-$Q232)),IF(AU232+1&gt;=regle!$J$12,-2,AU232+1))</f>
        <v>25</v>
      </c>
      <c r="AW232">
        <f>IF(AW$1=$AO$1,IF(regle!J$2-$Q232&gt;=regle!$J$12,-2,IF($S232,IF(regle!$B$2-$Q232&gt;=2,0,-1),regle!J$2-$Q232)),IF(AV232+1&gt;=regle!$J$12,-2,AV232+1))</f>
        <v>26</v>
      </c>
      <c r="AX232">
        <f>IF(AX$1=$AO$1,IF(regle!K$2-$Q232&gt;=regle!$J$12,-2,IF($S232,IF(regle!$B$2-$Q232&gt;=2,0,-1),regle!K$2-$Q232)),IF(AW232+1&gt;=regle!$J$12,-2,AW232+1))</f>
        <v>27</v>
      </c>
    </row>
    <row r="233" spans="1:50" x14ac:dyDescent="0.25">
      <c r="A233" t="b">
        <f>AND(modif0[[#This Row],[cdstr]]&lt;&gt;0,OR(regle!$H$27=FALSE,modif0[[#This Row],[essnc]]="PM"))</f>
        <v>1</v>
      </c>
      <c r="B233">
        <f>ROW(objet!A275)</f>
        <v>275</v>
      </c>
      <c r="C233" s="10" t="str">
        <f>objet!D275</f>
        <v>2020000B1579</v>
      </c>
      <c r="D233" t="str">
        <f>LEFT(modif0[[#This Row],[cdstr]],3)</f>
        <v>202</v>
      </c>
      <c r="E233" s="10" t="str">
        <f>objet!G275</f>
        <v>HOSTENS</v>
      </c>
      <c r="F233">
        <f>LEN(modif0[[#This Row],[l_dt]])</f>
        <v>11</v>
      </c>
      <c r="G233" s="10" t="str">
        <f>objet!H275</f>
        <v>LES CAZALAS</v>
      </c>
      <c r="H233" s="10" t="str">
        <f>objet!C275</f>
        <v>B1579</v>
      </c>
      <c r="I233" t="str">
        <f>IF(ISNUMBER(VALUE(RIGHT(LEFT(modif0[[#This Row],[idntfn]],2),1))),_xlfn.CONCAT(0,LEFT(modif0[[#This Row],[idntfn]],1)),LEFT(modif0[[#This Row],[idntfn]],2))</f>
        <v>0B</v>
      </c>
      <c r="J233">
        <f>VALUE(LEFT(RIGHT(modif0[[#This Row],[idntfn]],LEN(modif0[[#This Row],[idntfn]])-IF(LEFT(modif0[[#This Row],[sctn]],1)="0",1,2)),LEN(modif0[[#This Row],[idntfn]])-IF(LEFT(modif0[[#This Row],[sctn]],1)="0",1,2)-LEN(modif0[[#This Row],[lttr]])))</f>
        <v>1579</v>
      </c>
      <c r="K233" t="str">
        <f>IF(ISNUMBER(VALUE(RIGHT(modif0[[#This Row],[idntfn]],1))),"",IF(ISNUMBER(VALUE(LEFT(RIGHT(modif0[[#This Row],[idntfn]],2),1))),RIGHT(modif0[[#This Row],[idntfn]],1),RIGHT(modif0[[#This Row],[idntfn]],2)))</f>
        <v/>
      </c>
      <c r="L233" s="10">
        <f>objet!I275</f>
        <v>6679</v>
      </c>
      <c r="M233" s="11">
        <f>modif0[[#This Row],[srfc]]/10000</f>
        <v>0.66790000000000005</v>
      </c>
      <c r="N233" s="10" t="str">
        <f>objet!Z275</f>
        <v>PM</v>
      </c>
      <c r="O233" s="10" t="str">
        <f>objet!AA275</f>
        <v>PLA2006</v>
      </c>
      <c r="P233" t="str">
        <f>IF(ISNUMBER(modif0[[#This Row],[trvx]]),"",LEFT(modif0[[#This Row],[trvx]],LEN(modif0[[#This Row],[trvx]])-4))</f>
        <v>PLA</v>
      </c>
      <c r="Q233">
        <f>VALUE(RIGHT(modif0[[#This Row],[trvx]],4))</f>
        <v>2006</v>
      </c>
      <c r="R233" t="str">
        <f>_xlfn.CONCAT(modif0[[#This Row],[tp]],"-",modif0[[#This Row],[essnc]],"_",modif0[[#This Row],[anns]])</f>
        <v>PLA-PM_2006</v>
      </c>
      <c r="S233" t="b">
        <f>modif0[[#This Row],[tp]]="CR"</f>
        <v>0</v>
      </c>
      <c r="T233">
        <v>40</v>
      </c>
      <c r="U233" t="str">
        <f>IF(NOT($A233),"",
IF(AO233=-2,regle!$J$11,
IF(AO233=regle!$B$12,regle!$B$11,
IF(AO233=regle!$C$12,regle!$C$11,
IF(AO233=regle!$D$12,regle!$D$11,
IF(AO233=regle!$E$12,regle!$E$11,
IF(AO233=regle!$F$12,regle!$F$11,
IF(AO233=regle!$G$12,regle!$G$11,
IF(AO233=regle!$H$12,regle!$H$11,
IF(AO233=regle!$I$12,regle!$I$11,""))))))))))</f>
        <v>EC2</v>
      </c>
      <c r="V233" t="str">
        <f>IF(NOT($A233),"",
IF(AP233=-2,regle!$J$11,
IF(AP233=regle!$B$12,regle!$B$11,
IF(AP233=regle!$C$12,regle!$C$11,
IF(AP233=regle!$D$12,regle!$D$11,
IF(AP233=regle!$E$12,regle!$E$11,
IF(AP233=regle!$F$12,regle!$F$11,
IF(AP233=regle!$G$12,regle!$G$11,
IF(AP233=regle!$H$12,regle!$H$11,
IF(AP233=regle!$I$12,regle!$I$11,""))))))))))</f>
        <v/>
      </c>
      <c r="W233" t="str">
        <f>IF(NOT($A233),"",
IF(AQ233=-2,regle!$J$11,
IF(AQ233=regle!$B$12,regle!$B$11,
IF(AQ233=regle!$C$12,regle!$C$11,
IF(AQ233=regle!$D$12,regle!$D$11,
IF(AQ233=regle!$E$12,regle!$E$11,
IF(AQ233=regle!$F$12,regle!$F$11,
IF(AQ233=regle!$G$12,regle!$G$11,
IF(AQ233=regle!$H$12,regle!$H$11,
IF(AQ233=regle!$I$12,regle!$I$11,""))))))))))</f>
        <v/>
      </c>
      <c r="X233" t="str">
        <f>IF(NOT($A233),"",
IF(AR233=-2,regle!$J$11,
IF(AR233=regle!$B$12,regle!$B$11,
IF(AR233=regle!$C$12,regle!$C$11,
IF(AR233=regle!$D$12,regle!$D$11,
IF(AR233=regle!$E$12,regle!$E$11,
IF(AR233=regle!$F$12,regle!$F$11,
IF(AR233=regle!$G$12,regle!$G$11,
IF(AR233=regle!$H$12,regle!$H$11,
IF(AR233=regle!$I$12,regle!$I$11,""))))))))))</f>
        <v/>
      </c>
      <c r="Y233" t="str">
        <f>IF(NOT($A233),"",
IF(AS233=-2,regle!$J$11,
IF(AS233=regle!$B$12,regle!$B$11,
IF(AS233=regle!$C$12,regle!$C$11,
IF(AS233=regle!$D$12,regle!$D$11,
IF(AS233=regle!$E$12,regle!$E$11,
IF(AS233=regle!$F$12,regle!$F$11,
IF(AS233=regle!$G$12,regle!$G$11,
IF(AS233=regle!$H$12,regle!$H$11,
IF(AS233=regle!$I$12,regle!$I$11,""))))))))))</f>
        <v/>
      </c>
      <c r="Z233" t="str">
        <f>IF(NOT($A233),"",
IF(AT233=-2,regle!$J$11,
IF(AT233=regle!$B$12,regle!$B$11,
IF(AT233=regle!$C$12,regle!$C$11,
IF(AT233=regle!$D$12,regle!$D$11,
IF(AT233=regle!$E$12,regle!$E$11,
IF(AT233=regle!$F$12,regle!$F$11,
IF(AT233=regle!$G$12,regle!$G$11,
IF(AT233=regle!$H$12,regle!$H$11,
IF(AT233=regle!$I$12,regle!$I$11,""))))))))))</f>
        <v>EC3</v>
      </c>
      <c r="AA233" t="str">
        <f>IF(NOT($A233),"",
IF(AU233=-2,regle!$J$11,
IF(AU233=regle!$B$12,regle!$B$11,
IF(AU233=regle!$C$12,regle!$C$11,
IF(AU233=regle!$D$12,regle!$D$11,
IF(AU233=regle!$E$12,regle!$E$11,
IF(AU233=regle!$F$12,regle!$F$11,
IF(AU233=regle!$G$12,regle!$G$11,
IF(AU233=regle!$H$12,regle!$H$11,
IF(AU233=regle!$I$12,regle!$I$11,""))))))))))</f>
        <v/>
      </c>
      <c r="AB233" t="str">
        <f>IF(NOT($A233),"",
IF(AV233=-2,regle!$J$11,
IF(AV233=regle!$B$12,regle!$B$11,
IF(AV233=regle!$C$12,regle!$C$11,
IF(AV233=regle!$D$12,regle!$D$11,
IF(AV233=regle!$E$12,regle!$E$11,
IF(AV233=regle!$F$12,regle!$F$11,
IF(AV233=regle!$G$12,regle!$G$11,
IF(AV233=regle!$H$12,regle!$H$11,
IF(AV233=regle!$I$12,regle!$I$11,""))))))))))</f>
        <v/>
      </c>
      <c r="AC233" t="str">
        <f>IF(NOT($A233),"",
IF(AW233=-2,regle!$J$11,
IF(AW233=regle!$B$12,regle!$B$11,
IF(AW233=regle!$C$12,regle!$C$11,
IF(AW233=regle!$D$12,regle!$D$11,
IF(AW233=regle!$E$12,regle!$E$11,
IF(AW233=regle!$F$12,regle!$F$11,
IF(AW233=regle!$G$12,regle!$G$11,
IF(AW233=regle!$H$12,regle!$H$11,
IF(AW233=regle!$I$12,regle!$I$11,""))))))))))</f>
        <v/>
      </c>
      <c r="AD233" t="str">
        <f>IF(NOT($A233),"",
IF(AX233=-2,regle!$J$11,
IF(AX233=regle!$B$12,regle!$B$11,
IF(AX233=regle!$C$12,regle!$C$11,
IF(AX233=regle!$D$12,regle!$D$11,
IF(AX233=regle!$E$12,regle!$E$11,
IF(AX233=regle!$F$12,regle!$F$11,
IF(AX233=regle!$G$12,regle!$G$11,
IF(AX233=regle!$H$12,regle!$H$11,
IF(AX233=regle!$I$12,regle!$I$11,""))))))))))</f>
        <v/>
      </c>
      <c r="AE233" s="14">
        <f>IF($A233,$M233*(IF(U233=regle!$B$11,regle!$B$23,IF(U233=regle!$C$11,regle!$C$23,IF(U233=regle!$D$11,regle!$D$23,IF(U233=regle!$E$11,regle!$E$23,IF(U233=regle!$F$11,regle!$F$23,IF(U233=regle!$G$11,regle!$G$23,IF(U233=regle!$H$11,regle!$H$23,IF(U233=regle!$I$11,regle!$I$23,IF(U233=regle!$J$11,regle!$J$23,0)))))))))))</f>
        <v>561.03600000000006</v>
      </c>
      <c r="AF233" s="14">
        <f>IF($A233,$M233*(IF(V233=regle!$B$11,regle!$B$23,IF(V233=regle!$C$11,regle!$C$23,IF(V233=regle!$D$11,regle!$D$23,IF(V233=regle!$E$11,regle!$E$23,IF(V233=regle!$F$11,regle!$F$23,IF(V233=regle!$G$11,regle!$G$23,IF(V233=regle!$H$11,regle!$H$23,IF(V233=regle!$I$11,regle!$I$23,IF(V233=regle!$J$11,regle!$J$23,0)))))))))))</f>
        <v>0</v>
      </c>
      <c r="AG233" s="14">
        <f>IF($A233,$M233*(IF(W233=regle!$B$11,regle!$B$23,IF(W233=regle!$C$11,regle!$C$23,IF(W233=regle!$D$11,regle!$D$23,IF(W233=regle!$E$11,regle!$E$23,IF(W233=regle!$F$11,regle!$F$23,IF(W233=regle!$G$11,regle!$G$23,IF(W233=regle!$H$11,regle!$H$23,IF(W233=regle!$I$11,regle!$I$23,IF(W233=regle!$J$11,regle!$J$23,0)))))))))))</f>
        <v>0</v>
      </c>
      <c r="AH233" s="14">
        <f>IF($A233,$M233*(IF(X233=regle!$B$11,regle!$B$23,IF(X233=regle!$C$11,regle!$C$23,IF(X233=regle!$D$11,regle!$D$23,IF(X233=regle!$E$11,regle!$E$23,IF(X233=regle!$F$11,regle!$F$23,IF(X233=regle!$G$11,regle!$G$23,IF(X233=regle!$H$11,regle!$H$23,IF(X233=regle!$I$11,regle!$I$23,IF(X233=regle!$J$11,regle!$J$23,0)))))))))))</f>
        <v>0</v>
      </c>
      <c r="AI233" s="14">
        <f>IF($A233,$M233*(IF(Y233=regle!$B$11,regle!$B$23,IF(Y233=regle!$C$11,regle!$C$23,IF(Y233=regle!$D$11,regle!$D$23,IF(Y233=regle!$E$11,regle!$E$23,IF(Y233=regle!$F$11,regle!$F$23,IF(Y233=regle!$G$11,regle!$G$23,IF(Y233=regle!$H$11,regle!$H$23,IF(Y233=regle!$I$11,regle!$I$23,IF(Y233=regle!$J$11,regle!$J$23,0)))))))))))</f>
        <v>0</v>
      </c>
      <c r="AJ233" s="14">
        <f>IF($A233,$M233*(IF(Z233=regle!$B$11,regle!$B$23,IF(Z233=regle!$C$11,regle!$C$23,IF(Z233=regle!$D$11,regle!$D$23,IF(Z233=regle!$E$11,regle!$E$23,IF(Z233=regle!$F$11,regle!$F$23,IF(Z233=regle!$G$11,regle!$G$23,IF(Z233=regle!$H$11,regle!$H$23,IF(Z233=regle!$I$11,regle!$I$23,IF(Z233=regle!$J$11,regle!$J$23,0)))))))))))</f>
        <v>940.40320000000008</v>
      </c>
      <c r="AK233" s="14">
        <f>IF($A233,$M233*(IF(AA233=regle!$B$11,regle!$B$23,IF(AA233=regle!$C$11,regle!$C$23,IF(AA233=regle!$D$11,regle!$D$23,IF(AA233=regle!$E$11,regle!$E$23,IF(AA233=regle!$F$11,regle!$F$23,IF(AA233=regle!$G$11,regle!$G$23,IF(AA233=regle!$H$11,regle!$H$23,IF(AA233=regle!$I$11,regle!$I$23,IF(AA233=regle!$J$11,regle!$J$23,0)))))))))))</f>
        <v>0</v>
      </c>
      <c r="AL233" s="14">
        <f>IF($A233,$M233*(IF(AB233=regle!$B$11,regle!$B$23,IF(AB233=regle!$C$11,regle!$C$23,IF(AB233=regle!$D$11,regle!$D$23,IF(AB233=regle!$E$11,regle!$E$23,IF(AB233=regle!$F$11,regle!$F$23,IF(AB233=regle!$G$11,regle!$G$23,IF(AB233=regle!$H$11,regle!$H$23,IF(AB233=regle!$I$11,regle!$I$23,IF(AB233=regle!$J$11,regle!$J$23,0)))))))))))</f>
        <v>0</v>
      </c>
      <c r="AM233" s="14">
        <f>IF($A233,$M233*(IF(AC233=regle!$B$11,regle!$B$23,IF(AC233=regle!$C$11,regle!$C$23,IF(AC233=regle!$D$11,regle!$D$23,IF(AC233=regle!$E$11,regle!$E$23,IF(AC233=regle!$F$11,regle!$F$23,IF(AC233=regle!$G$11,regle!$G$23,IF(AC233=regle!$H$11,regle!$H$23,IF(AC233=regle!$I$11,regle!$I$23,IF(AC233=regle!$J$11,regle!$J$23,0)))))))))))</f>
        <v>0</v>
      </c>
      <c r="AN233" s="14">
        <f>IF($A233,$M233*(IF(AD233=regle!$B$11,regle!$B$23,IF(AD233=regle!$C$11,regle!$C$23,IF(AD233=regle!$D$11,regle!$D$23,IF(AD233=regle!$E$11,regle!$E$23,IF(AD233=regle!$F$11,regle!$F$23,IF(AD233=regle!$G$11,regle!$G$23,IF(AD233=regle!$H$11,regle!$H$23,IF(AD233=regle!$I$11,regle!$I$23,IF(AD233=regle!$J$11,regle!$J$23,0)))))))))))</f>
        <v>0</v>
      </c>
      <c r="AO233">
        <f>IF(AO$1=$AO$1,IF(regle!B$2-$Q233&gt;=regle!$J$12,-2,IF($S233,IF(regle!$B$2-$Q233&gt;=2,0,-1),regle!B$2-$Q233)),IF(AN233+1&gt;=regle!$J$12,-2,AN233+1))</f>
        <v>18</v>
      </c>
      <c r="AP233">
        <f>IF(AP$1=$AO$1,IF(regle!C$2-$Q233&gt;=regle!$J$12,-2,IF($S233,IF(regle!$B$2-$Q233&gt;=2,0,-1),regle!C$2-$Q233)),IF(AO233+1&gt;=regle!$J$12,-2,AO233+1))</f>
        <v>19</v>
      </c>
      <c r="AQ233">
        <f>IF(AQ$1=$AO$1,IF(regle!D$2-$Q233&gt;=regle!$J$12,-2,IF($S233,IF(regle!$B$2-$Q233&gt;=2,0,-1),regle!D$2-$Q233)),IF(AP233+1&gt;=regle!$J$12,-2,AP233+1))</f>
        <v>20</v>
      </c>
      <c r="AR233">
        <f>IF(AR$1=$AO$1,IF(regle!E$2-$Q233&gt;=regle!$J$12,-2,IF($S233,IF(regle!$B$2-$Q233&gt;=2,0,-1),regle!E$2-$Q233)),IF(AQ233+1&gt;=regle!$J$12,-2,AQ233+1))</f>
        <v>21</v>
      </c>
      <c r="AS233">
        <f>IF(AS$1=$AO$1,IF(regle!F$2-$Q233&gt;=regle!$J$12,-2,IF($S233,IF(regle!$B$2-$Q233&gt;=2,0,-1),regle!F$2-$Q233)),IF(AR233+1&gt;=regle!$J$12,-2,AR233+1))</f>
        <v>22</v>
      </c>
      <c r="AT233">
        <f>IF(AT$1=$AO$1,IF(regle!G$2-$Q233&gt;=regle!$J$12,-2,IF($S233,IF(regle!$B$2-$Q233&gt;=2,0,-1),regle!G$2-$Q233)),IF(AS233+1&gt;=regle!$J$12,-2,AS233+1))</f>
        <v>23</v>
      </c>
      <c r="AU233">
        <f>IF(AU$1=$AO$1,IF(regle!H$2-$Q233&gt;=regle!$J$12,-2,IF($S233,IF(regle!$B$2-$Q233&gt;=2,0,-1),regle!H$2-$Q233)),IF(AT233+1&gt;=regle!$J$12,-2,AT233+1))</f>
        <v>24</v>
      </c>
      <c r="AV233">
        <f>IF(AV$1=$AO$1,IF(regle!I$2-$Q233&gt;=regle!$J$12,-2,IF($S233,IF(regle!$B$2-$Q233&gt;=2,0,-1),regle!I$2-$Q233)),IF(AU233+1&gt;=regle!$J$12,-2,AU233+1))</f>
        <v>25</v>
      </c>
      <c r="AW233">
        <f>IF(AW$1=$AO$1,IF(regle!J$2-$Q233&gt;=regle!$J$12,-2,IF($S233,IF(regle!$B$2-$Q233&gt;=2,0,-1),regle!J$2-$Q233)),IF(AV233+1&gt;=regle!$J$12,-2,AV233+1))</f>
        <v>26</v>
      </c>
      <c r="AX233">
        <f>IF(AX$1=$AO$1,IF(regle!K$2-$Q233&gt;=regle!$J$12,-2,IF($S233,IF(regle!$B$2-$Q233&gt;=2,0,-1),regle!K$2-$Q233)),IF(AW233+1&gt;=regle!$J$12,-2,AW233+1))</f>
        <v>27</v>
      </c>
    </row>
    <row r="234" spans="1:50" x14ac:dyDescent="0.25">
      <c r="A234" t="b">
        <f>AND(modif0[[#This Row],[cdstr]]&lt;&gt;0,OR(regle!$H$27=FALSE,modif0[[#This Row],[essnc]]="PM"))</f>
        <v>1</v>
      </c>
      <c r="B234">
        <f>ROW(objet!A276)</f>
        <v>276</v>
      </c>
      <c r="C234" s="10" t="str">
        <f>objet!D276</f>
        <v>1710000B0217</v>
      </c>
      <c r="D234" t="str">
        <f>LEFT(modif0[[#This Row],[cdstr]],3)</f>
        <v>171</v>
      </c>
      <c r="E234" s="10" t="str">
        <f>objet!G276</f>
        <v>MANO</v>
      </c>
      <c r="F234">
        <f>LEN(modif0[[#This Row],[l_dt]])</f>
        <v>16</v>
      </c>
      <c r="G234" s="10" t="str">
        <f>objet!H276</f>
        <v>BAS DE TOURNICON</v>
      </c>
      <c r="H234" s="10" t="str">
        <f>objet!C276</f>
        <v>B217</v>
      </c>
      <c r="I234" t="str">
        <f>IF(ISNUMBER(VALUE(RIGHT(LEFT(modif0[[#This Row],[idntfn]],2),1))),_xlfn.CONCAT(0,LEFT(modif0[[#This Row],[idntfn]],1)),LEFT(modif0[[#This Row],[idntfn]],2))</f>
        <v>0B</v>
      </c>
      <c r="J234">
        <f>VALUE(LEFT(RIGHT(modif0[[#This Row],[idntfn]],LEN(modif0[[#This Row],[idntfn]])-IF(LEFT(modif0[[#This Row],[sctn]],1)="0",1,2)),LEN(modif0[[#This Row],[idntfn]])-IF(LEFT(modif0[[#This Row],[sctn]],1)="0",1,2)-LEN(modif0[[#This Row],[lttr]])))</f>
        <v>217</v>
      </c>
      <c r="K234" t="str">
        <f>IF(ISNUMBER(VALUE(RIGHT(modif0[[#This Row],[idntfn]],1))),"",IF(ISNUMBER(VALUE(LEFT(RIGHT(modif0[[#This Row],[idntfn]],2),1))),RIGHT(modif0[[#This Row],[idntfn]],1),RIGHT(modif0[[#This Row],[idntfn]],2)))</f>
        <v/>
      </c>
      <c r="L234" s="10">
        <f>objet!I276</f>
        <v>3850</v>
      </c>
      <c r="M234" s="11">
        <f>modif0[[#This Row],[srfc]]/10000</f>
        <v>0.38500000000000001</v>
      </c>
      <c r="N234" s="10" t="str">
        <f>objet!Z276</f>
        <v>PM</v>
      </c>
      <c r="O234" s="10" t="str">
        <f>objet!AA276</f>
        <v>CR2022</v>
      </c>
      <c r="P234" t="str">
        <f>IF(ISNUMBER(modif0[[#This Row],[trvx]]),"",LEFT(modif0[[#This Row],[trvx]],LEN(modif0[[#This Row],[trvx]])-4))</f>
        <v>CR</v>
      </c>
      <c r="Q234">
        <f>VALUE(RIGHT(modif0[[#This Row],[trvx]],4))</f>
        <v>2022</v>
      </c>
      <c r="R234" t="str">
        <f>_xlfn.CONCAT(modif0[[#This Row],[tp]],"-",modif0[[#This Row],[essnc]],"_",modif0[[#This Row],[anns]])</f>
        <v>CR-PM_2022</v>
      </c>
      <c r="S234" t="b">
        <f>modif0[[#This Row],[tp]]="CR"</f>
        <v>1</v>
      </c>
      <c r="T234">
        <v>40</v>
      </c>
      <c r="U234" t="str">
        <f>IF(NOT($A234),"",
IF(AO234=-2,regle!$J$11,
IF(AO234=regle!$B$12,regle!$B$11,
IF(AO234=regle!$C$12,regle!$C$11,
IF(AO234=regle!$D$12,regle!$D$11,
IF(AO234=regle!$E$12,regle!$E$11,
IF(AO234=regle!$F$12,regle!$F$11,
IF(AO234=regle!$G$12,regle!$G$11,
IF(AO234=regle!$H$12,regle!$H$11,
IF(AO234=regle!$I$12,regle!$I$11,""))))))))))</f>
        <v>RBST</v>
      </c>
      <c r="V234" t="str">
        <f>IF(NOT($A234),"",
IF(AP234=-2,regle!$J$11,
IF(AP234=regle!$B$12,regle!$B$11,
IF(AP234=regle!$C$12,regle!$C$11,
IF(AP234=regle!$D$12,regle!$D$11,
IF(AP234=regle!$E$12,regle!$E$11,
IF(AP234=regle!$F$12,regle!$F$11,
IF(AP234=regle!$G$12,regle!$G$11,
IF(AP234=regle!$H$12,regle!$H$11,
IF(AP234=regle!$I$12,regle!$I$11,""))))))))))</f>
        <v/>
      </c>
      <c r="W234" t="str">
        <f>IF(NOT($A234),"",
IF(AQ234=-2,regle!$J$11,
IF(AQ234=regle!$B$12,regle!$B$11,
IF(AQ234=regle!$C$12,regle!$C$11,
IF(AQ234=regle!$D$12,regle!$D$11,
IF(AQ234=regle!$E$12,regle!$E$11,
IF(AQ234=regle!$F$12,regle!$F$11,
IF(AQ234=regle!$G$12,regle!$G$11,
IF(AQ234=regle!$H$12,regle!$H$11,
IF(AQ234=regle!$I$12,regle!$I$11,""))))))))))</f>
        <v>DGT</v>
      </c>
      <c r="X234" t="str">
        <f>IF(NOT($A234),"",
IF(AR234=-2,regle!$J$11,
IF(AR234=regle!$B$12,regle!$B$11,
IF(AR234=regle!$C$12,regle!$C$11,
IF(AR234=regle!$D$12,regle!$D$11,
IF(AR234=regle!$E$12,regle!$E$11,
IF(AR234=regle!$F$12,regle!$F$11,
IF(AR234=regle!$G$12,regle!$G$11,
IF(AR234=regle!$H$12,regle!$H$11,
IF(AR234=regle!$I$12,regle!$I$11,""))))))))))</f>
        <v/>
      </c>
      <c r="Y234" t="str">
        <f>IF(NOT($A234),"",
IF(AS234=-2,regle!$J$11,
IF(AS234=regle!$B$12,regle!$B$11,
IF(AS234=regle!$C$12,regle!$C$11,
IF(AS234=regle!$D$12,regle!$D$11,
IF(AS234=regle!$E$12,regle!$E$11,
IF(AS234=regle!$F$12,regle!$F$11,
IF(AS234=regle!$G$12,regle!$G$11,
IF(AS234=regle!$H$12,regle!$H$11,
IF(AS234=regle!$I$12,regle!$I$11,""))))))))))</f>
        <v/>
      </c>
      <c r="Z234" t="str">
        <f>IF(NOT($A234),"",
IF(AT234=-2,regle!$J$11,
IF(AT234=regle!$B$12,regle!$B$11,
IF(AT234=regle!$C$12,regle!$C$11,
IF(AT234=regle!$D$12,regle!$D$11,
IF(AT234=regle!$E$12,regle!$E$11,
IF(AT234=regle!$F$12,regle!$F$11,
IF(AT234=regle!$G$12,regle!$G$11,
IF(AT234=regle!$H$12,regle!$H$11,
IF(AT234=regle!$I$12,regle!$I$11,""))))))))))</f>
        <v>ENT1</v>
      </c>
      <c r="AA234" t="str">
        <f>IF(NOT($A234),"",
IF(AU234=-2,regle!$J$11,
IF(AU234=regle!$B$12,regle!$B$11,
IF(AU234=regle!$C$12,regle!$C$11,
IF(AU234=regle!$D$12,regle!$D$11,
IF(AU234=regle!$E$12,regle!$E$11,
IF(AU234=regle!$F$12,regle!$F$11,
IF(AU234=regle!$G$12,regle!$G$11,
IF(AU234=regle!$H$12,regle!$H$11,
IF(AU234=regle!$I$12,regle!$I$11,""))))))))))</f>
        <v/>
      </c>
      <c r="AB234" t="str">
        <f>IF(NOT($A234),"",
IF(AV234=-2,regle!$J$11,
IF(AV234=regle!$B$12,regle!$B$11,
IF(AV234=regle!$C$12,regle!$C$11,
IF(AV234=regle!$D$12,regle!$D$11,
IF(AV234=regle!$E$12,regle!$E$11,
IF(AV234=regle!$F$12,regle!$F$11,
IF(AV234=regle!$G$12,regle!$G$11,
IF(AV234=regle!$H$12,regle!$H$11,
IF(AV234=regle!$I$12,regle!$I$11,""))))))))))</f>
        <v/>
      </c>
      <c r="AC234" t="str">
        <f>IF(NOT($A234),"",
IF(AW234=-2,regle!$J$11,
IF(AW234=regle!$B$12,regle!$B$11,
IF(AW234=regle!$C$12,regle!$C$11,
IF(AW234=regle!$D$12,regle!$D$11,
IF(AW234=regle!$E$12,regle!$E$11,
IF(AW234=regle!$F$12,regle!$F$11,
IF(AW234=regle!$G$12,regle!$G$11,
IF(AW234=regle!$H$12,regle!$H$11,
IF(AW234=regle!$I$12,regle!$I$11,""))))))))))</f>
        <v>ENT2</v>
      </c>
      <c r="AD234" t="str">
        <f>IF(NOT($A234),"",
IF(AX234=-2,regle!$J$11,
IF(AX234=regle!$B$12,regle!$B$11,
IF(AX234=regle!$C$12,regle!$C$11,
IF(AX234=regle!$D$12,regle!$D$11,
IF(AX234=regle!$E$12,regle!$E$11,
IF(AX234=regle!$F$12,regle!$F$11,
IF(AX234=regle!$G$12,regle!$G$11,
IF(AX234=regle!$H$12,regle!$H$11,
IF(AX234=regle!$I$12,regle!$I$11,""))))))))))</f>
        <v/>
      </c>
      <c r="AE234" s="14">
        <f>IF($A234,$M234*(IF(U234=regle!$B$11,regle!$B$23,IF(U234=regle!$C$11,regle!$C$23,IF(U234=regle!$D$11,regle!$D$23,IF(U234=regle!$E$11,regle!$E$23,IF(U234=regle!$F$11,regle!$F$23,IF(U234=regle!$G$11,regle!$G$23,IF(U234=regle!$H$11,regle!$H$23,IF(U234=regle!$I$11,regle!$I$23,IF(U234=regle!$J$11,regle!$J$23,0)))))))))))</f>
        <v>-654.5</v>
      </c>
      <c r="AF234" s="14">
        <f>IF($A234,$M234*(IF(V234=regle!$B$11,regle!$B$23,IF(V234=regle!$C$11,regle!$C$23,IF(V234=regle!$D$11,regle!$D$23,IF(V234=regle!$E$11,regle!$E$23,IF(V234=regle!$F$11,regle!$F$23,IF(V234=regle!$G$11,regle!$G$23,IF(V234=regle!$H$11,regle!$H$23,IF(V234=regle!$I$11,regle!$I$23,IF(V234=regle!$J$11,regle!$J$23,0)))))))))))</f>
        <v>0</v>
      </c>
      <c r="AG234" s="14">
        <f>IF($A234,$M234*(IF(W234=regle!$B$11,regle!$B$23,IF(W234=regle!$C$11,regle!$C$23,IF(W234=regle!$D$11,regle!$D$23,IF(W234=regle!$E$11,regle!$E$23,IF(W234=regle!$F$11,regle!$F$23,IF(W234=regle!$G$11,regle!$G$23,IF(W234=regle!$H$11,regle!$H$23,IF(W234=regle!$I$11,regle!$I$23,IF(W234=regle!$J$11,regle!$J$23,0)))))))))))</f>
        <v>-28.875</v>
      </c>
      <c r="AH234" s="14">
        <f>IF($A234,$M234*(IF(X234=regle!$B$11,regle!$B$23,IF(X234=regle!$C$11,regle!$C$23,IF(X234=regle!$D$11,regle!$D$23,IF(X234=regle!$E$11,regle!$E$23,IF(X234=regle!$F$11,regle!$F$23,IF(X234=regle!$G$11,regle!$G$23,IF(X234=regle!$H$11,regle!$H$23,IF(X234=regle!$I$11,regle!$I$23,IF(X234=regle!$J$11,regle!$J$23,0)))))))))))</f>
        <v>0</v>
      </c>
      <c r="AI234" s="14">
        <f>IF($A234,$M234*(IF(Y234=regle!$B$11,regle!$B$23,IF(Y234=regle!$C$11,regle!$C$23,IF(Y234=regle!$D$11,regle!$D$23,IF(Y234=regle!$E$11,regle!$E$23,IF(Y234=regle!$F$11,regle!$F$23,IF(Y234=regle!$G$11,regle!$G$23,IF(Y234=regle!$H$11,regle!$H$23,IF(Y234=regle!$I$11,regle!$I$23,IF(Y234=regle!$J$11,regle!$J$23,0)))))))))))</f>
        <v>0</v>
      </c>
      <c r="AJ234" s="14">
        <f>IF($A234,$M234*(IF(Z234=regle!$B$11,regle!$B$23,IF(Z234=regle!$C$11,regle!$C$23,IF(Z234=regle!$D$11,regle!$D$23,IF(Z234=regle!$E$11,regle!$E$23,IF(Z234=regle!$F$11,regle!$F$23,IF(Z234=regle!$G$11,regle!$G$23,IF(Z234=regle!$H$11,regle!$H$23,IF(Z234=regle!$I$11,regle!$I$23,IF(Z234=regle!$J$11,regle!$J$23,0)))))))))))</f>
        <v>-34.65</v>
      </c>
      <c r="AK234" s="14">
        <f>IF($A234,$M234*(IF(AA234=regle!$B$11,regle!$B$23,IF(AA234=regle!$C$11,regle!$C$23,IF(AA234=regle!$D$11,regle!$D$23,IF(AA234=regle!$E$11,regle!$E$23,IF(AA234=regle!$F$11,regle!$F$23,IF(AA234=regle!$G$11,regle!$G$23,IF(AA234=regle!$H$11,regle!$H$23,IF(AA234=regle!$I$11,regle!$I$23,IF(AA234=regle!$J$11,regle!$J$23,0)))))))))))</f>
        <v>0</v>
      </c>
      <c r="AL234" s="14">
        <f>IF($A234,$M234*(IF(AB234=regle!$B$11,regle!$B$23,IF(AB234=regle!$C$11,regle!$C$23,IF(AB234=regle!$D$11,regle!$D$23,IF(AB234=regle!$E$11,regle!$E$23,IF(AB234=regle!$F$11,regle!$F$23,IF(AB234=regle!$G$11,regle!$G$23,IF(AB234=regle!$H$11,regle!$H$23,IF(AB234=regle!$I$11,regle!$I$23,IF(AB234=regle!$J$11,regle!$J$23,0)))))))))))</f>
        <v>0</v>
      </c>
      <c r="AM234" s="14">
        <f>IF($A234,$M234*(IF(AC234=regle!$B$11,regle!$B$23,IF(AC234=regle!$C$11,regle!$C$23,IF(AC234=regle!$D$11,regle!$D$23,IF(AC234=regle!$E$11,regle!$E$23,IF(AC234=regle!$F$11,regle!$F$23,IF(AC234=regle!$G$11,regle!$G$23,IF(AC234=regle!$H$11,regle!$H$23,IF(AC234=regle!$I$11,regle!$I$23,IF(AC234=regle!$J$11,regle!$J$23,0)))))))))))</f>
        <v>-34.65</v>
      </c>
      <c r="AN234" s="14">
        <f>IF($A234,$M234*(IF(AD234=regle!$B$11,regle!$B$23,IF(AD234=regle!$C$11,regle!$C$23,IF(AD234=regle!$D$11,regle!$D$23,IF(AD234=regle!$E$11,regle!$E$23,IF(AD234=regle!$F$11,regle!$F$23,IF(AD234=regle!$G$11,regle!$G$23,IF(AD234=regle!$H$11,regle!$H$23,IF(AD234=regle!$I$11,regle!$I$23,IF(AD234=regle!$J$11,regle!$J$23,0)))))))))))</f>
        <v>0</v>
      </c>
      <c r="AO234">
        <f>IF(AO$1=$AO$1,IF(regle!B$2-$Q234&gt;=regle!$J$12,-2,IF($S234,IF(regle!$B$2-$Q234&gt;=2,0,-1),regle!B$2-$Q234)),IF(AN234+1&gt;=regle!$J$12,-2,AN234+1))</f>
        <v>0</v>
      </c>
      <c r="AP234">
        <f>IF(AP$1=$AO$1,IF(regle!C$2-$Q234&gt;=regle!$J$12,-2,IF($S234,IF(regle!$B$2-$Q234&gt;=2,0,-1),regle!C$2-$Q234)),IF(AO234+1&gt;=regle!$J$12,-2,AO234+1))</f>
        <v>1</v>
      </c>
      <c r="AQ234">
        <f>IF(AQ$1=$AO$1,IF(regle!D$2-$Q234&gt;=regle!$J$12,-2,IF($S234,IF(regle!$B$2-$Q234&gt;=2,0,-1),regle!D$2-$Q234)),IF(AP234+1&gt;=regle!$J$12,-2,AP234+1))</f>
        <v>2</v>
      </c>
      <c r="AR234">
        <f>IF(AR$1=$AO$1,IF(regle!E$2-$Q234&gt;=regle!$J$12,-2,IF($S234,IF(regle!$B$2-$Q234&gt;=2,0,-1),regle!E$2-$Q234)),IF(AQ234+1&gt;=regle!$J$12,-2,AQ234+1))</f>
        <v>3</v>
      </c>
      <c r="AS234">
        <f>IF(AS$1=$AO$1,IF(regle!F$2-$Q234&gt;=regle!$J$12,-2,IF($S234,IF(regle!$B$2-$Q234&gt;=2,0,-1),regle!F$2-$Q234)),IF(AR234+1&gt;=regle!$J$12,-2,AR234+1))</f>
        <v>4</v>
      </c>
      <c r="AT234">
        <f>IF(AT$1=$AO$1,IF(regle!G$2-$Q234&gt;=regle!$J$12,-2,IF($S234,IF(regle!$B$2-$Q234&gt;=2,0,-1),regle!G$2-$Q234)),IF(AS234+1&gt;=regle!$J$12,-2,AS234+1))</f>
        <v>5</v>
      </c>
      <c r="AU234">
        <f>IF(AU$1=$AO$1,IF(regle!H$2-$Q234&gt;=regle!$J$12,-2,IF($S234,IF(regle!$B$2-$Q234&gt;=2,0,-1),regle!H$2-$Q234)),IF(AT234+1&gt;=regle!$J$12,-2,AT234+1))</f>
        <v>6</v>
      </c>
      <c r="AV234">
        <f>IF(AV$1=$AO$1,IF(regle!I$2-$Q234&gt;=regle!$J$12,-2,IF($S234,IF(regle!$B$2-$Q234&gt;=2,0,-1),regle!I$2-$Q234)),IF(AU234+1&gt;=regle!$J$12,-2,AU234+1))</f>
        <v>7</v>
      </c>
      <c r="AW234">
        <f>IF(AW$1=$AO$1,IF(regle!J$2-$Q234&gt;=regle!$J$12,-2,IF($S234,IF(regle!$B$2-$Q234&gt;=2,0,-1),regle!J$2-$Q234)),IF(AV234+1&gt;=regle!$J$12,-2,AV234+1))</f>
        <v>8</v>
      </c>
      <c r="AX234">
        <f>IF(AX$1=$AO$1,IF(regle!K$2-$Q234&gt;=regle!$J$12,-2,IF($S234,IF(regle!$B$2-$Q234&gt;=2,0,-1),regle!K$2-$Q234)),IF(AW234+1&gt;=regle!$J$12,-2,AW234+1))</f>
        <v>9</v>
      </c>
    </row>
    <row r="235" spans="1:50" x14ac:dyDescent="0.25">
      <c r="A235" t="b">
        <f>AND(modif0[[#This Row],[cdstr]]&lt;&gt;0,OR(regle!$H$27=FALSE,modif0[[#This Row],[essnc]]="PM"))</f>
        <v>1</v>
      </c>
      <c r="B235">
        <f>ROW(objet!A277)</f>
        <v>277</v>
      </c>
      <c r="C235" s="10" t="str">
        <f>objet!D277</f>
        <v>1710000B0218</v>
      </c>
      <c r="D235" t="str">
        <f>LEFT(modif0[[#This Row],[cdstr]],3)</f>
        <v>171</v>
      </c>
      <c r="E235" s="10" t="str">
        <f>objet!G277</f>
        <v>MANO</v>
      </c>
      <c r="F235">
        <f>LEN(modif0[[#This Row],[l_dt]])</f>
        <v>16</v>
      </c>
      <c r="G235" s="10" t="str">
        <f>objet!H277</f>
        <v>BAS DE TOURNICON</v>
      </c>
      <c r="H235" s="10" t="str">
        <f>objet!C277</f>
        <v>B218</v>
      </c>
      <c r="I235" t="str">
        <f>IF(ISNUMBER(VALUE(RIGHT(LEFT(modif0[[#This Row],[idntfn]],2),1))),_xlfn.CONCAT(0,LEFT(modif0[[#This Row],[idntfn]],1)),LEFT(modif0[[#This Row],[idntfn]],2))</f>
        <v>0B</v>
      </c>
      <c r="J235">
        <f>VALUE(LEFT(RIGHT(modif0[[#This Row],[idntfn]],LEN(modif0[[#This Row],[idntfn]])-IF(LEFT(modif0[[#This Row],[sctn]],1)="0",1,2)),LEN(modif0[[#This Row],[idntfn]])-IF(LEFT(modif0[[#This Row],[sctn]],1)="0",1,2)-LEN(modif0[[#This Row],[lttr]])))</f>
        <v>218</v>
      </c>
      <c r="K235" t="str">
        <f>IF(ISNUMBER(VALUE(RIGHT(modif0[[#This Row],[idntfn]],1))),"",IF(ISNUMBER(VALUE(LEFT(RIGHT(modif0[[#This Row],[idntfn]],2),1))),RIGHT(modif0[[#This Row],[idntfn]],1),RIGHT(modif0[[#This Row],[idntfn]],2)))</f>
        <v/>
      </c>
      <c r="L235" s="10">
        <f>objet!I277</f>
        <v>1070</v>
      </c>
      <c r="M235" s="11">
        <f>modif0[[#This Row],[srfc]]/10000</f>
        <v>0.107</v>
      </c>
      <c r="N235" s="10" t="str">
        <f>objet!Z277</f>
        <v>PM</v>
      </c>
      <c r="O235" s="10" t="str">
        <f>objet!AA277</f>
        <v>CR2022</v>
      </c>
      <c r="P235" t="str">
        <f>IF(ISNUMBER(modif0[[#This Row],[trvx]]),"",LEFT(modif0[[#This Row],[trvx]],LEN(modif0[[#This Row],[trvx]])-4))</f>
        <v>CR</v>
      </c>
      <c r="Q235">
        <f>VALUE(RIGHT(modif0[[#This Row],[trvx]],4))</f>
        <v>2022</v>
      </c>
      <c r="R235" t="str">
        <f>_xlfn.CONCAT(modif0[[#This Row],[tp]],"-",modif0[[#This Row],[essnc]],"_",modif0[[#This Row],[anns]])</f>
        <v>CR-PM_2022</v>
      </c>
      <c r="S235" t="b">
        <f>modif0[[#This Row],[tp]]="CR"</f>
        <v>1</v>
      </c>
      <c r="T235">
        <v>40</v>
      </c>
      <c r="U235" t="str">
        <f>IF(NOT($A235),"",
IF(AO235=-2,regle!$J$11,
IF(AO235=regle!$B$12,regle!$B$11,
IF(AO235=regle!$C$12,regle!$C$11,
IF(AO235=regle!$D$12,regle!$D$11,
IF(AO235=regle!$E$12,regle!$E$11,
IF(AO235=regle!$F$12,regle!$F$11,
IF(AO235=regle!$G$12,regle!$G$11,
IF(AO235=regle!$H$12,regle!$H$11,
IF(AO235=regle!$I$12,regle!$I$11,""))))))))))</f>
        <v>RBST</v>
      </c>
      <c r="V235" t="str">
        <f>IF(NOT($A235),"",
IF(AP235=-2,regle!$J$11,
IF(AP235=regle!$B$12,regle!$B$11,
IF(AP235=regle!$C$12,regle!$C$11,
IF(AP235=regle!$D$12,regle!$D$11,
IF(AP235=regle!$E$12,regle!$E$11,
IF(AP235=regle!$F$12,regle!$F$11,
IF(AP235=regle!$G$12,regle!$G$11,
IF(AP235=regle!$H$12,regle!$H$11,
IF(AP235=regle!$I$12,regle!$I$11,""))))))))))</f>
        <v/>
      </c>
      <c r="W235" t="str">
        <f>IF(NOT($A235),"",
IF(AQ235=-2,regle!$J$11,
IF(AQ235=regle!$B$12,regle!$B$11,
IF(AQ235=regle!$C$12,regle!$C$11,
IF(AQ235=regle!$D$12,regle!$D$11,
IF(AQ235=regle!$E$12,regle!$E$11,
IF(AQ235=regle!$F$12,regle!$F$11,
IF(AQ235=regle!$G$12,regle!$G$11,
IF(AQ235=regle!$H$12,regle!$H$11,
IF(AQ235=regle!$I$12,regle!$I$11,""))))))))))</f>
        <v>DGT</v>
      </c>
      <c r="X235" t="str">
        <f>IF(NOT($A235),"",
IF(AR235=-2,regle!$J$11,
IF(AR235=regle!$B$12,regle!$B$11,
IF(AR235=regle!$C$12,regle!$C$11,
IF(AR235=regle!$D$12,regle!$D$11,
IF(AR235=regle!$E$12,regle!$E$11,
IF(AR235=regle!$F$12,regle!$F$11,
IF(AR235=regle!$G$12,regle!$G$11,
IF(AR235=regle!$H$12,regle!$H$11,
IF(AR235=regle!$I$12,regle!$I$11,""))))))))))</f>
        <v/>
      </c>
      <c r="Y235" t="str">
        <f>IF(NOT($A235),"",
IF(AS235=-2,regle!$J$11,
IF(AS235=regle!$B$12,regle!$B$11,
IF(AS235=regle!$C$12,regle!$C$11,
IF(AS235=regle!$D$12,regle!$D$11,
IF(AS235=regle!$E$12,regle!$E$11,
IF(AS235=regle!$F$12,regle!$F$11,
IF(AS235=regle!$G$12,regle!$G$11,
IF(AS235=regle!$H$12,regle!$H$11,
IF(AS235=regle!$I$12,regle!$I$11,""))))))))))</f>
        <v/>
      </c>
      <c r="Z235" t="str">
        <f>IF(NOT($A235),"",
IF(AT235=-2,regle!$J$11,
IF(AT235=regle!$B$12,regle!$B$11,
IF(AT235=regle!$C$12,regle!$C$11,
IF(AT235=regle!$D$12,regle!$D$11,
IF(AT235=regle!$E$12,regle!$E$11,
IF(AT235=regle!$F$12,regle!$F$11,
IF(AT235=regle!$G$12,regle!$G$11,
IF(AT235=regle!$H$12,regle!$H$11,
IF(AT235=regle!$I$12,regle!$I$11,""))))))))))</f>
        <v>ENT1</v>
      </c>
      <c r="AA235" t="str">
        <f>IF(NOT($A235),"",
IF(AU235=-2,regle!$J$11,
IF(AU235=regle!$B$12,regle!$B$11,
IF(AU235=regle!$C$12,regle!$C$11,
IF(AU235=regle!$D$12,regle!$D$11,
IF(AU235=regle!$E$12,regle!$E$11,
IF(AU235=regle!$F$12,regle!$F$11,
IF(AU235=regle!$G$12,regle!$G$11,
IF(AU235=regle!$H$12,regle!$H$11,
IF(AU235=regle!$I$12,regle!$I$11,""))))))))))</f>
        <v/>
      </c>
      <c r="AB235" t="str">
        <f>IF(NOT($A235),"",
IF(AV235=-2,regle!$J$11,
IF(AV235=regle!$B$12,regle!$B$11,
IF(AV235=regle!$C$12,regle!$C$11,
IF(AV235=regle!$D$12,regle!$D$11,
IF(AV235=regle!$E$12,regle!$E$11,
IF(AV235=regle!$F$12,regle!$F$11,
IF(AV235=regle!$G$12,regle!$G$11,
IF(AV235=regle!$H$12,regle!$H$11,
IF(AV235=regle!$I$12,regle!$I$11,""))))))))))</f>
        <v/>
      </c>
      <c r="AC235" t="str">
        <f>IF(NOT($A235),"",
IF(AW235=-2,regle!$J$11,
IF(AW235=regle!$B$12,regle!$B$11,
IF(AW235=regle!$C$12,regle!$C$11,
IF(AW235=regle!$D$12,regle!$D$11,
IF(AW235=regle!$E$12,regle!$E$11,
IF(AW235=regle!$F$12,regle!$F$11,
IF(AW235=regle!$G$12,regle!$G$11,
IF(AW235=regle!$H$12,regle!$H$11,
IF(AW235=regle!$I$12,regle!$I$11,""))))))))))</f>
        <v>ENT2</v>
      </c>
      <c r="AD235" t="str">
        <f>IF(NOT($A235),"",
IF(AX235=-2,regle!$J$11,
IF(AX235=regle!$B$12,regle!$B$11,
IF(AX235=regle!$C$12,regle!$C$11,
IF(AX235=regle!$D$12,regle!$D$11,
IF(AX235=regle!$E$12,regle!$E$11,
IF(AX235=regle!$F$12,regle!$F$11,
IF(AX235=regle!$G$12,regle!$G$11,
IF(AX235=regle!$H$12,regle!$H$11,
IF(AX235=regle!$I$12,regle!$I$11,""))))))))))</f>
        <v/>
      </c>
      <c r="AE235" s="14">
        <f>IF($A235,$M235*(IF(U235=regle!$B$11,regle!$B$23,IF(U235=regle!$C$11,regle!$C$23,IF(U235=regle!$D$11,regle!$D$23,IF(U235=regle!$E$11,regle!$E$23,IF(U235=regle!$F$11,regle!$F$23,IF(U235=regle!$G$11,regle!$G$23,IF(U235=regle!$H$11,regle!$H$23,IF(U235=regle!$I$11,regle!$I$23,IF(U235=regle!$J$11,regle!$J$23,0)))))))))))</f>
        <v>-181.9</v>
      </c>
      <c r="AF235" s="14">
        <f>IF($A235,$M235*(IF(V235=regle!$B$11,regle!$B$23,IF(V235=regle!$C$11,regle!$C$23,IF(V235=regle!$D$11,regle!$D$23,IF(V235=regle!$E$11,regle!$E$23,IF(V235=regle!$F$11,regle!$F$23,IF(V235=regle!$G$11,regle!$G$23,IF(V235=regle!$H$11,regle!$H$23,IF(V235=regle!$I$11,regle!$I$23,IF(V235=regle!$J$11,regle!$J$23,0)))))))))))</f>
        <v>0</v>
      </c>
      <c r="AG235" s="14">
        <f>IF($A235,$M235*(IF(W235=regle!$B$11,regle!$B$23,IF(W235=regle!$C$11,regle!$C$23,IF(W235=regle!$D$11,regle!$D$23,IF(W235=regle!$E$11,regle!$E$23,IF(W235=regle!$F$11,regle!$F$23,IF(W235=regle!$G$11,regle!$G$23,IF(W235=regle!$H$11,regle!$H$23,IF(W235=regle!$I$11,regle!$I$23,IF(W235=regle!$J$11,regle!$J$23,0)))))))))))</f>
        <v>-8.0250000000000004</v>
      </c>
      <c r="AH235" s="14">
        <f>IF($A235,$M235*(IF(X235=regle!$B$11,regle!$B$23,IF(X235=regle!$C$11,regle!$C$23,IF(X235=regle!$D$11,regle!$D$23,IF(X235=regle!$E$11,regle!$E$23,IF(X235=regle!$F$11,regle!$F$23,IF(X235=regle!$G$11,regle!$G$23,IF(X235=regle!$H$11,regle!$H$23,IF(X235=regle!$I$11,regle!$I$23,IF(X235=regle!$J$11,regle!$J$23,0)))))))))))</f>
        <v>0</v>
      </c>
      <c r="AI235" s="14">
        <f>IF($A235,$M235*(IF(Y235=regle!$B$11,regle!$B$23,IF(Y235=regle!$C$11,regle!$C$23,IF(Y235=regle!$D$11,regle!$D$23,IF(Y235=regle!$E$11,regle!$E$23,IF(Y235=regle!$F$11,regle!$F$23,IF(Y235=regle!$G$11,regle!$G$23,IF(Y235=regle!$H$11,regle!$H$23,IF(Y235=regle!$I$11,regle!$I$23,IF(Y235=regle!$J$11,regle!$J$23,0)))))))))))</f>
        <v>0</v>
      </c>
      <c r="AJ235" s="14">
        <f>IF($A235,$M235*(IF(Z235=regle!$B$11,regle!$B$23,IF(Z235=regle!$C$11,regle!$C$23,IF(Z235=regle!$D$11,regle!$D$23,IF(Z235=regle!$E$11,regle!$E$23,IF(Z235=regle!$F$11,regle!$F$23,IF(Z235=regle!$G$11,regle!$G$23,IF(Z235=regle!$H$11,regle!$H$23,IF(Z235=regle!$I$11,regle!$I$23,IF(Z235=regle!$J$11,regle!$J$23,0)))))))))))</f>
        <v>-9.629999999999999</v>
      </c>
      <c r="AK235" s="14">
        <f>IF($A235,$M235*(IF(AA235=regle!$B$11,regle!$B$23,IF(AA235=regle!$C$11,regle!$C$23,IF(AA235=regle!$D$11,regle!$D$23,IF(AA235=regle!$E$11,regle!$E$23,IF(AA235=regle!$F$11,regle!$F$23,IF(AA235=regle!$G$11,regle!$G$23,IF(AA235=regle!$H$11,regle!$H$23,IF(AA235=regle!$I$11,regle!$I$23,IF(AA235=regle!$J$11,regle!$J$23,0)))))))))))</f>
        <v>0</v>
      </c>
      <c r="AL235" s="14">
        <f>IF($A235,$M235*(IF(AB235=regle!$B$11,regle!$B$23,IF(AB235=regle!$C$11,regle!$C$23,IF(AB235=regle!$D$11,regle!$D$23,IF(AB235=regle!$E$11,regle!$E$23,IF(AB235=regle!$F$11,regle!$F$23,IF(AB235=regle!$G$11,regle!$G$23,IF(AB235=regle!$H$11,regle!$H$23,IF(AB235=regle!$I$11,regle!$I$23,IF(AB235=regle!$J$11,regle!$J$23,0)))))))))))</f>
        <v>0</v>
      </c>
      <c r="AM235" s="14">
        <f>IF($A235,$M235*(IF(AC235=regle!$B$11,regle!$B$23,IF(AC235=regle!$C$11,regle!$C$23,IF(AC235=regle!$D$11,regle!$D$23,IF(AC235=regle!$E$11,regle!$E$23,IF(AC235=regle!$F$11,regle!$F$23,IF(AC235=regle!$G$11,regle!$G$23,IF(AC235=regle!$H$11,regle!$H$23,IF(AC235=regle!$I$11,regle!$I$23,IF(AC235=regle!$J$11,regle!$J$23,0)))))))))))</f>
        <v>-9.629999999999999</v>
      </c>
      <c r="AN235" s="14">
        <f>IF($A235,$M235*(IF(AD235=regle!$B$11,regle!$B$23,IF(AD235=regle!$C$11,regle!$C$23,IF(AD235=regle!$D$11,regle!$D$23,IF(AD235=regle!$E$11,regle!$E$23,IF(AD235=regle!$F$11,regle!$F$23,IF(AD235=regle!$G$11,regle!$G$23,IF(AD235=regle!$H$11,regle!$H$23,IF(AD235=regle!$I$11,regle!$I$23,IF(AD235=regle!$J$11,regle!$J$23,0)))))))))))</f>
        <v>0</v>
      </c>
      <c r="AO235">
        <f>IF(AO$1=$AO$1,IF(regle!B$2-$Q235&gt;=regle!$J$12,-2,IF($S235,IF(regle!$B$2-$Q235&gt;=2,0,-1),regle!B$2-$Q235)),IF(AN235+1&gt;=regle!$J$12,-2,AN235+1))</f>
        <v>0</v>
      </c>
      <c r="AP235">
        <f>IF(AP$1=$AO$1,IF(regle!C$2-$Q235&gt;=regle!$J$12,-2,IF($S235,IF(regle!$B$2-$Q235&gt;=2,0,-1),regle!C$2-$Q235)),IF(AO235+1&gt;=regle!$J$12,-2,AO235+1))</f>
        <v>1</v>
      </c>
      <c r="AQ235">
        <f>IF(AQ$1=$AO$1,IF(regle!D$2-$Q235&gt;=regle!$J$12,-2,IF($S235,IF(regle!$B$2-$Q235&gt;=2,0,-1),regle!D$2-$Q235)),IF(AP235+1&gt;=regle!$J$12,-2,AP235+1))</f>
        <v>2</v>
      </c>
      <c r="AR235">
        <f>IF(AR$1=$AO$1,IF(regle!E$2-$Q235&gt;=regle!$J$12,-2,IF($S235,IF(regle!$B$2-$Q235&gt;=2,0,-1),regle!E$2-$Q235)),IF(AQ235+1&gt;=regle!$J$12,-2,AQ235+1))</f>
        <v>3</v>
      </c>
      <c r="AS235">
        <f>IF(AS$1=$AO$1,IF(regle!F$2-$Q235&gt;=regle!$J$12,-2,IF($S235,IF(regle!$B$2-$Q235&gt;=2,0,-1),regle!F$2-$Q235)),IF(AR235+1&gt;=regle!$J$12,-2,AR235+1))</f>
        <v>4</v>
      </c>
      <c r="AT235">
        <f>IF(AT$1=$AO$1,IF(regle!G$2-$Q235&gt;=regle!$J$12,-2,IF($S235,IF(regle!$B$2-$Q235&gt;=2,0,-1),regle!G$2-$Q235)),IF(AS235+1&gt;=regle!$J$12,-2,AS235+1))</f>
        <v>5</v>
      </c>
      <c r="AU235">
        <f>IF(AU$1=$AO$1,IF(regle!H$2-$Q235&gt;=regle!$J$12,-2,IF($S235,IF(regle!$B$2-$Q235&gt;=2,0,-1),regle!H$2-$Q235)),IF(AT235+1&gt;=regle!$J$12,-2,AT235+1))</f>
        <v>6</v>
      </c>
      <c r="AV235">
        <f>IF(AV$1=$AO$1,IF(regle!I$2-$Q235&gt;=regle!$J$12,-2,IF($S235,IF(regle!$B$2-$Q235&gt;=2,0,-1),regle!I$2-$Q235)),IF(AU235+1&gt;=regle!$J$12,-2,AU235+1))</f>
        <v>7</v>
      </c>
      <c r="AW235">
        <f>IF(AW$1=$AO$1,IF(regle!J$2-$Q235&gt;=regle!$J$12,-2,IF($S235,IF(regle!$B$2-$Q235&gt;=2,0,-1),regle!J$2-$Q235)),IF(AV235+1&gt;=regle!$J$12,-2,AV235+1))</f>
        <v>8</v>
      </c>
      <c r="AX235">
        <f>IF(AX$1=$AO$1,IF(regle!K$2-$Q235&gt;=regle!$J$12,-2,IF($S235,IF(regle!$B$2-$Q235&gt;=2,0,-1),regle!K$2-$Q235)),IF(AW235+1&gt;=regle!$J$12,-2,AW235+1))</f>
        <v>9</v>
      </c>
    </row>
    <row r="236" spans="1:50" x14ac:dyDescent="0.25">
      <c r="A236" t="b">
        <f>AND(modif0[[#This Row],[cdstr]]&lt;&gt;0,OR(regle!$H$27=FALSE,modif0[[#This Row],[essnc]]="PM"))</f>
        <v>1</v>
      </c>
      <c r="B236">
        <f>ROW(objet!A278)</f>
        <v>278</v>
      </c>
      <c r="C236" s="10" t="str">
        <f>objet!D278</f>
        <v>1710000B0240</v>
      </c>
      <c r="D236" t="str">
        <f>LEFT(modif0[[#This Row],[cdstr]],3)</f>
        <v>171</v>
      </c>
      <c r="E236" s="10" t="str">
        <f>objet!G278</f>
        <v>MANO</v>
      </c>
      <c r="F236">
        <f>LEN(modif0[[#This Row],[l_dt]])</f>
        <v>16</v>
      </c>
      <c r="G236" s="10" t="str">
        <f>objet!H278</f>
        <v>BAS DE TOURNICON</v>
      </c>
      <c r="H236" s="10" t="str">
        <f>objet!C278</f>
        <v>B240</v>
      </c>
      <c r="I236" t="str">
        <f>IF(ISNUMBER(VALUE(RIGHT(LEFT(modif0[[#This Row],[idntfn]],2),1))),_xlfn.CONCAT(0,LEFT(modif0[[#This Row],[idntfn]],1)),LEFT(modif0[[#This Row],[idntfn]],2))</f>
        <v>0B</v>
      </c>
      <c r="J236">
        <f>VALUE(LEFT(RIGHT(modif0[[#This Row],[idntfn]],LEN(modif0[[#This Row],[idntfn]])-IF(LEFT(modif0[[#This Row],[sctn]],1)="0",1,2)),LEN(modif0[[#This Row],[idntfn]])-IF(LEFT(modif0[[#This Row],[sctn]],1)="0",1,2)-LEN(modif0[[#This Row],[lttr]])))</f>
        <v>240</v>
      </c>
      <c r="K236" t="str">
        <f>IF(ISNUMBER(VALUE(RIGHT(modif0[[#This Row],[idntfn]],1))),"",IF(ISNUMBER(VALUE(LEFT(RIGHT(modif0[[#This Row],[idntfn]],2),1))),RIGHT(modif0[[#This Row],[idntfn]],1),RIGHT(modif0[[#This Row],[idntfn]],2)))</f>
        <v/>
      </c>
      <c r="L236" s="10">
        <f>objet!I278</f>
        <v>10592</v>
      </c>
      <c r="M236" s="11">
        <f>modif0[[#This Row],[srfc]]/10000</f>
        <v>1.0591999999999999</v>
      </c>
      <c r="N236" s="10" t="str">
        <f>objet!Z278</f>
        <v>PM</v>
      </c>
      <c r="O236" s="10" t="str">
        <f>objet!AA278</f>
        <v>CR2022</v>
      </c>
      <c r="P236" t="str">
        <f>IF(ISNUMBER(modif0[[#This Row],[trvx]]),"",LEFT(modif0[[#This Row],[trvx]],LEN(modif0[[#This Row],[trvx]])-4))</f>
        <v>CR</v>
      </c>
      <c r="Q236">
        <f>VALUE(RIGHT(modif0[[#This Row],[trvx]],4))</f>
        <v>2022</v>
      </c>
      <c r="R236" t="str">
        <f>_xlfn.CONCAT(modif0[[#This Row],[tp]],"-",modif0[[#This Row],[essnc]],"_",modif0[[#This Row],[anns]])</f>
        <v>CR-PM_2022</v>
      </c>
      <c r="S236" t="b">
        <f>modif0[[#This Row],[tp]]="CR"</f>
        <v>1</v>
      </c>
      <c r="T236">
        <v>40</v>
      </c>
      <c r="U236" t="str">
        <f>IF(NOT($A236),"",
IF(AO236=-2,regle!$J$11,
IF(AO236=regle!$B$12,regle!$B$11,
IF(AO236=regle!$C$12,regle!$C$11,
IF(AO236=regle!$D$12,regle!$D$11,
IF(AO236=regle!$E$12,regle!$E$11,
IF(AO236=regle!$F$12,regle!$F$11,
IF(AO236=regle!$G$12,regle!$G$11,
IF(AO236=regle!$H$12,regle!$H$11,
IF(AO236=regle!$I$12,regle!$I$11,""))))))))))</f>
        <v>RBST</v>
      </c>
      <c r="V236" t="str">
        <f>IF(NOT($A236),"",
IF(AP236=-2,regle!$J$11,
IF(AP236=regle!$B$12,regle!$B$11,
IF(AP236=regle!$C$12,regle!$C$11,
IF(AP236=regle!$D$12,regle!$D$11,
IF(AP236=regle!$E$12,regle!$E$11,
IF(AP236=regle!$F$12,regle!$F$11,
IF(AP236=regle!$G$12,regle!$G$11,
IF(AP236=regle!$H$12,regle!$H$11,
IF(AP236=regle!$I$12,regle!$I$11,""))))))))))</f>
        <v/>
      </c>
      <c r="W236" t="str">
        <f>IF(NOT($A236),"",
IF(AQ236=-2,regle!$J$11,
IF(AQ236=regle!$B$12,regle!$B$11,
IF(AQ236=regle!$C$12,regle!$C$11,
IF(AQ236=regle!$D$12,regle!$D$11,
IF(AQ236=regle!$E$12,regle!$E$11,
IF(AQ236=regle!$F$12,regle!$F$11,
IF(AQ236=regle!$G$12,regle!$G$11,
IF(AQ236=regle!$H$12,regle!$H$11,
IF(AQ236=regle!$I$12,regle!$I$11,""))))))))))</f>
        <v>DGT</v>
      </c>
      <c r="X236" t="str">
        <f>IF(NOT($A236),"",
IF(AR236=-2,regle!$J$11,
IF(AR236=regle!$B$12,regle!$B$11,
IF(AR236=regle!$C$12,regle!$C$11,
IF(AR236=regle!$D$12,regle!$D$11,
IF(AR236=regle!$E$12,regle!$E$11,
IF(AR236=regle!$F$12,regle!$F$11,
IF(AR236=regle!$G$12,regle!$G$11,
IF(AR236=regle!$H$12,regle!$H$11,
IF(AR236=regle!$I$12,regle!$I$11,""))))))))))</f>
        <v/>
      </c>
      <c r="Y236" t="str">
        <f>IF(NOT($A236),"",
IF(AS236=-2,regle!$J$11,
IF(AS236=regle!$B$12,regle!$B$11,
IF(AS236=regle!$C$12,regle!$C$11,
IF(AS236=regle!$D$12,regle!$D$11,
IF(AS236=regle!$E$12,regle!$E$11,
IF(AS236=regle!$F$12,regle!$F$11,
IF(AS236=regle!$G$12,regle!$G$11,
IF(AS236=regle!$H$12,regle!$H$11,
IF(AS236=regle!$I$12,regle!$I$11,""))))))))))</f>
        <v/>
      </c>
      <c r="Z236" t="str">
        <f>IF(NOT($A236),"",
IF(AT236=-2,regle!$J$11,
IF(AT236=regle!$B$12,regle!$B$11,
IF(AT236=regle!$C$12,regle!$C$11,
IF(AT236=regle!$D$12,regle!$D$11,
IF(AT236=regle!$E$12,regle!$E$11,
IF(AT236=regle!$F$12,regle!$F$11,
IF(AT236=regle!$G$12,regle!$G$11,
IF(AT236=regle!$H$12,regle!$H$11,
IF(AT236=regle!$I$12,regle!$I$11,""))))))))))</f>
        <v>ENT1</v>
      </c>
      <c r="AA236" t="str">
        <f>IF(NOT($A236),"",
IF(AU236=-2,regle!$J$11,
IF(AU236=regle!$B$12,regle!$B$11,
IF(AU236=regle!$C$12,regle!$C$11,
IF(AU236=regle!$D$12,regle!$D$11,
IF(AU236=regle!$E$12,regle!$E$11,
IF(AU236=regle!$F$12,regle!$F$11,
IF(AU236=regle!$G$12,regle!$G$11,
IF(AU236=regle!$H$12,regle!$H$11,
IF(AU236=regle!$I$12,regle!$I$11,""))))))))))</f>
        <v/>
      </c>
      <c r="AB236" t="str">
        <f>IF(NOT($A236),"",
IF(AV236=-2,regle!$J$11,
IF(AV236=regle!$B$12,regle!$B$11,
IF(AV236=regle!$C$12,regle!$C$11,
IF(AV236=regle!$D$12,regle!$D$11,
IF(AV236=regle!$E$12,regle!$E$11,
IF(AV236=regle!$F$12,regle!$F$11,
IF(AV236=regle!$G$12,regle!$G$11,
IF(AV236=regle!$H$12,regle!$H$11,
IF(AV236=regle!$I$12,regle!$I$11,""))))))))))</f>
        <v/>
      </c>
      <c r="AC236" t="str">
        <f>IF(NOT($A236),"",
IF(AW236=-2,regle!$J$11,
IF(AW236=regle!$B$12,regle!$B$11,
IF(AW236=regle!$C$12,regle!$C$11,
IF(AW236=regle!$D$12,regle!$D$11,
IF(AW236=regle!$E$12,regle!$E$11,
IF(AW236=regle!$F$12,regle!$F$11,
IF(AW236=regle!$G$12,regle!$G$11,
IF(AW236=regle!$H$12,regle!$H$11,
IF(AW236=regle!$I$12,regle!$I$11,""))))))))))</f>
        <v>ENT2</v>
      </c>
      <c r="AD236" t="str">
        <f>IF(NOT($A236),"",
IF(AX236=-2,regle!$J$11,
IF(AX236=regle!$B$12,regle!$B$11,
IF(AX236=regle!$C$12,regle!$C$11,
IF(AX236=regle!$D$12,regle!$D$11,
IF(AX236=regle!$E$12,regle!$E$11,
IF(AX236=regle!$F$12,regle!$F$11,
IF(AX236=regle!$G$12,regle!$G$11,
IF(AX236=regle!$H$12,regle!$H$11,
IF(AX236=regle!$I$12,regle!$I$11,""))))))))))</f>
        <v/>
      </c>
      <c r="AE236" s="14">
        <f>IF($A236,$M236*(IF(U236=regle!$B$11,regle!$B$23,IF(U236=regle!$C$11,regle!$C$23,IF(U236=regle!$D$11,regle!$D$23,IF(U236=regle!$E$11,regle!$E$23,IF(U236=regle!$F$11,regle!$F$23,IF(U236=regle!$G$11,regle!$G$23,IF(U236=regle!$H$11,regle!$H$23,IF(U236=regle!$I$11,regle!$I$23,IF(U236=regle!$J$11,regle!$J$23,0)))))))))))</f>
        <v>-1800.6399999999999</v>
      </c>
      <c r="AF236" s="14">
        <f>IF($A236,$M236*(IF(V236=regle!$B$11,regle!$B$23,IF(V236=regle!$C$11,regle!$C$23,IF(V236=regle!$D$11,regle!$D$23,IF(V236=regle!$E$11,regle!$E$23,IF(V236=regle!$F$11,regle!$F$23,IF(V236=regle!$G$11,regle!$G$23,IF(V236=regle!$H$11,regle!$H$23,IF(V236=regle!$I$11,regle!$I$23,IF(V236=regle!$J$11,regle!$J$23,0)))))))))))</f>
        <v>0</v>
      </c>
      <c r="AG236" s="14">
        <f>IF($A236,$M236*(IF(W236=regle!$B$11,regle!$B$23,IF(W236=regle!$C$11,regle!$C$23,IF(W236=regle!$D$11,regle!$D$23,IF(W236=regle!$E$11,regle!$E$23,IF(W236=regle!$F$11,regle!$F$23,IF(W236=regle!$G$11,regle!$G$23,IF(W236=regle!$H$11,regle!$H$23,IF(W236=regle!$I$11,regle!$I$23,IF(W236=regle!$J$11,regle!$J$23,0)))))))))))</f>
        <v>-79.44</v>
      </c>
      <c r="AH236" s="14">
        <f>IF($A236,$M236*(IF(X236=regle!$B$11,regle!$B$23,IF(X236=regle!$C$11,regle!$C$23,IF(X236=regle!$D$11,regle!$D$23,IF(X236=regle!$E$11,regle!$E$23,IF(X236=regle!$F$11,regle!$F$23,IF(X236=regle!$G$11,regle!$G$23,IF(X236=regle!$H$11,regle!$H$23,IF(X236=regle!$I$11,regle!$I$23,IF(X236=regle!$J$11,regle!$J$23,0)))))))))))</f>
        <v>0</v>
      </c>
      <c r="AI236" s="14">
        <f>IF($A236,$M236*(IF(Y236=regle!$B$11,regle!$B$23,IF(Y236=regle!$C$11,regle!$C$23,IF(Y236=regle!$D$11,regle!$D$23,IF(Y236=regle!$E$11,regle!$E$23,IF(Y236=regle!$F$11,regle!$F$23,IF(Y236=regle!$G$11,regle!$G$23,IF(Y236=regle!$H$11,regle!$H$23,IF(Y236=regle!$I$11,regle!$I$23,IF(Y236=regle!$J$11,regle!$J$23,0)))))))))))</f>
        <v>0</v>
      </c>
      <c r="AJ236" s="14">
        <f>IF($A236,$M236*(IF(Z236=regle!$B$11,regle!$B$23,IF(Z236=regle!$C$11,regle!$C$23,IF(Z236=regle!$D$11,regle!$D$23,IF(Z236=regle!$E$11,regle!$E$23,IF(Z236=regle!$F$11,regle!$F$23,IF(Z236=regle!$G$11,regle!$G$23,IF(Z236=regle!$H$11,regle!$H$23,IF(Z236=regle!$I$11,regle!$I$23,IF(Z236=regle!$J$11,regle!$J$23,0)))))))))))</f>
        <v>-95.327999999999989</v>
      </c>
      <c r="AK236" s="14">
        <f>IF($A236,$M236*(IF(AA236=regle!$B$11,regle!$B$23,IF(AA236=regle!$C$11,regle!$C$23,IF(AA236=regle!$D$11,regle!$D$23,IF(AA236=regle!$E$11,regle!$E$23,IF(AA236=regle!$F$11,regle!$F$23,IF(AA236=regle!$G$11,regle!$G$23,IF(AA236=regle!$H$11,regle!$H$23,IF(AA236=regle!$I$11,regle!$I$23,IF(AA236=regle!$J$11,regle!$J$23,0)))))))))))</f>
        <v>0</v>
      </c>
      <c r="AL236" s="14">
        <f>IF($A236,$M236*(IF(AB236=regle!$B$11,regle!$B$23,IF(AB236=regle!$C$11,regle!$C$23,IF(AB236=regle!$D$11,regle!$D$23,IF(AB236=regle!$E$11,regle!$E$23,IF(AB236=regle!$F$11,regle!$F$23,IF(AB236=regle!$G$11,regle!$G$23,IF(AB236=regle!$H$11,regle!$H$23,IF(AB236=regle!$I$11,regle!$I$23,IF(AB236=regle!$J$11,regle!$J$23,0)))))))))))</f>
        <v>0</v>
      </c>
      <c r="AM236" s="14">
        <f>IF($A236,$M236*(IF(AC236=regle!$B$11,regle!$B$23,IF(AC236=regle!$C$11,regle!$C$23,IF(AC236=regle!$D$11,regle!$D$23,IF(AC236=regle!$E$11,regle!$E$23,IF(AC236=regle!$F$11,regle!$F$23,IF(AC236=regle!$G$11,regle!$G$23,IF(AC236=regle!$H$11,regle!$H$23,IF(AC236=regle!$I$11,regle!$I$23,IF(AC236=regle!$J$11,regle!$J$23,0)))))))))))</f>
        <v>-95.327999999999989</v>
      </c>
      <c r="AN236" s="14">
        <f>IF($A236,$M236*(IF(AD236=regle!$B$11,regle!$B$23,IF(AD236=regle!$C$11,regle!$C$23,IF(AD236=regle!$D$11,regle!$D$23,IF(AD236=regle!$E$11,regle!$E$23,IF(AD236=regle!$F$11,regle!$F$23,IF(AD236=regle!$G$11,regle!$G$23,IF(AD236=regle!$H$11,regle!$H$23,IF(AD236=regle!$I$11,regle!$I$23,IF(AD236=regle!$J$11,regle!$J$23,0)))))))))))</f>
        <v>0</v>
      </c>
      <c r="AO236">
        <f>IF(AO$1=$AO$1,IF(regle!B$2-$Q236&gt;=regle!$J$12,-2,IF($S236,IF(regle!$B$2-$Q236&gt;=2,0,-1),regle!B$2-$Q236)),IF(AN236+1&gt;=regle!$J$12,-2,AN236+1))</f>
        <v>0</v>
      </c>
      <c r="AP236">
        <f>IF(AP$1=$AO$1,IF(regle!C$2-$Q236&gt;=regle!$J$12,-2,IF($S236,IF(regle!$B$2-$Q236&gt;=2,0,-1),regle!C$2-$Q236)),IF(AO236+1&gt;=regle!$J$12,-2,AO236+1))</f>
        <v>1</v>
      </c>
      <c r="AQ236">
        <f>IF(AQ$1=$AO$1,IF(regle!D$2-$Q236&gt;=regle!$J$12,-2,IF($S236,IF(regle!$B$2-$Q236&gt;=2,0,-1),regle!D$2-$Q236)),IF(AP236+1&gt;=regle!$J$12,-2,AP236+1))</f>
        <v>2</v>
      </c>
      <c r="AR236">
        <f>IF(AR$1=$AO$1,IF(regle!E$2-$Q236&gt;=regle!$J$12,-2,IF($S236,IF(regle!$B$2-$Q236&gt;=2,0,-1),regle!E$2-$Q236)),IF(AQ236+1&gt;=regle!$J$12,-2,AQ236+1))</f>
        <v>3</v>
      </c>
      <c r="AS236">
        <f>IF(AS$1=$AO$1,IF(regle!F$2-$Q236&gt;=regle!$J$12,-2,IF($S236,IF(regle!$B$2-$Q236&gt;=2,0,-1),regle!F$2-$Q236)),IF(AR236+1&gt;=regle!$J$12,-2,AR236+1))</f>
        <v>4</v>
      </c>
      <c r="AT236">
        <f>IF(AT$1=$AO$1,IF(regle!G$2-$Q236&gt;=regle!$J$12,-2,IF($S236,IF(regle!$B$2-$Q236&gt;=2,0,-1),regle!G$2-$Q236)),IF(AS236+1&gt;=regle!$J$12,-2,AS236+1))</f>
        <v>5</v>
      </c>
      <c r="AU236">
        <f>IF(AU$1=$AO$1,IF(regle!H$2-$Q236&gt;=regle!$J$12,-2,IF($S236,IF(regle!$B$2-$Q236&gt;=2,0,-1),regle!H$2-$Q236)),IF(AT236+1&gt;=regle!$J$12,-2,AT236+1))</f>
        <v>6</v>
      </c>
      <c r="AV236">
        <f>IF(AV$1=$AO$1,IF(regle!I$2-$Q236&gt;=regle!$J$12,-2,IF($S236,IF(regle!$B$2-$Q236&gt;=2,0,-1),regle!I$2-$Q236)),IF(AU236+1&gt;=regle!$J$12,-2,AU236+1))</f>
        <v>7</v>
      </c>
      <c r="AW236">
        <f>IF(AW$1=$AO$1,IF(regle!J$2-$Q236&gt;=regle!$J$12,-2,IF($S236,IF(regle!$B$2-$Q236&gt;=2,0,-1),regle!J$2-$Q236)),IF(AV236+1&gt;=regle!$J$12,-2,AV236+1))</f>
        <v>8</v>
      </c>
      <c r="AX236">
        <f>IF(AX$1=$AO$1,IF(regle!K$2-$Q236&gt;=regle!$J$12,-2,IF($S236,IF(regle!$B$2-$Q236&gt;=2,0,-1),regle!K$2-$Q236)),IF(AW236+1&gt;=regle!$J$12,-2,AW236+1))</f>
        <v>9</v>
      </c>
    </row>
    <row r="237" spans="1:50" x14ac:dyDescent="0.25">
      <c r="A237" t="b">
        <f>AND(modif0[[#This Row],[cdstr]]&lt;&gt;0,OR(regle!$H$27=FALSE,modif0[[#This Row],[essnc]]="PM"))</f>
        <v>1</v>
      </c>
      <c r="B237">
        <f>ROW(objet!A279)</f>
        <v>279</v>
      </c>
      <c r="C237" s="10" t="str">
        <f>objet!D279</f>
        <v>1710000B0241</v>
      </c>
      <c r="D237" t="str">
        <f>LEFT(modif0[[#This Row],[cdstr]],3)</f>
        <v>171</v>
      </c>
      <c r="E237" s="10" t="str">
        <f>objet!G279</f>
        <v>MANO</v>
      </c>
      <c r="F237">
        <f>LEN(modif0[[#This Row],[l_dt]])</f>
        <v>16</v>
      </c>
      <c r="G237" s="10" t="str">
        <f>objet!H279</f>
        <v>BAS DE TOURNICON</v>
      </c>
      <c r="H237" s="10" t="str">
        <f>objet!C279</f>
        <v>B241</v>
      </c>
      <c r="I237" t="str">
        <f>IF(ISNUMBER(VALUE(RIGHT(LEFT(modif0[[#This Row],[idntfn]],2),1))),_xlfn.CONCAT(0,LEFT(modif0[[#This Row],[idntfn]],1)),LEFT(modif0[[#This Row],[idntfn]],2))</f>
        <v>0B</v>
      </c>
      <c r="J237">
        <f>VALUE(LEFT(RIGHT(modif0[[#This Row],[idntfn]],LEN(modif0[[#This Row],[idntfn]])-IF(LEFT(modif0[[#This Row],[sctn]],1)="0",1,2)),LEN(modif0[[#This Row],[idntfn]])-IF(LEFT(modif0[[#This Row],[sctn]],1)="0",1,2)-LEN(modif0[[#This Row],[lttr]])))</f>
        <v>241</v>
      </c>
      <c r="K237" t="str">
        <f>IF(ISNUMBER(VALUE(RIGHT(modif0[[#This Row],[idntfn]],1))),"",IF(ISNUMBER(VALUE(LEFT(RIGHT(modif0[[#This Row],[idntfn]],2),1))),RIGHT(modif0[[#This Row],[idntfn]],1),RIGHT(modif0[[#This Row],[idntfn]],2)))</f>
        <v/>
      </c>
      <c r="L237" s="10">
        <f>objet!I279</f>
        <v>11120</v>
      </c>
      <c r="M237" s="11">
        <f>modif0[[#This Row],[srfc]]/10000</f>
        <v>1.1120000000000001</v>
      </c>
      <c r="N237" s="10" t="str">
        <f>objet!Z279</f>
        <v>PM</v>
      </c>
      <c r="O237" s="10" t="str">
        <f>objet!AA279</f>
        <v>CR2022</v>
      </c>
      <c r="P237" t="str">
        <f>IF(ISNUMBER(modif0[[#This Row],[trvx]]),"",LEFT(modif0[[#This Row],[trvx]],LEN(modif0[[#This Row],[trvx]])-4))</f>
        <v>CR</v>
      </c>
      <c r="Q237">
        <f>VALUE(RIGHT(modif0[[#This Row],[trvx]],4))</f>
        <v>2022</v>
      </c>
      <c r="R237" t="str">
        <f>_xlfn.CONCAT(modif0[[#This Row],[tp]],"-",modif0[[#This Row],[essnc]],"_",modif0[[#This Row],[anns]])</f>
        <v>CR-PM_2022</v>
      </c>
      <c r="S237" t="b">
        <f>modif0[[#This Row],[tp]]="CR"</f>
        <v>1</v>
      </c>
      <c r="T237">
        <v>40</v>
      </c>
      <c r="U237" t="str">
        <f>IF(NOT($A237),"",
IF(AO237=-2,regle!$J$11,
IF(AO237=regle!$B$12,regle!$B$11,
IF(AO237=regle!$C$12,regle!$C$11,
IF(AO237=regle!$D$12,regle!$D$11,
IF(AO237=regle!$E$12,regle!$E$11,
IF(AO237=regle!$F$12,regle!$F$11,
IF(AO237=regle!$G$12,regle!$G$11,
IF(AO237=regle!$H$12,regle!$H$11,
IF(AO237=regle!$I$12,regle!$I$11,""))))))))))</f>
        <v>RBST</v>
      </c>
      <c r="V237" t="str">
        <f>IF(NOT($A237),"",
IF(AP237=-2,regle!$J$11,
IF(AP237=regle!$B$12,regle!$B$11,
IF(AP237=regle!$C$12,regle!$C$11,
IF(AP237=regle!$D$12,regle!$D$11,
IF(AP237=regle!$E$12,regle!$E$11,
IF(AP237=regle!$F$12,regle!$F$11,
IF(AP237=regle!$G$12,regle!$G$11,
IF(AP237=regle!$H$12,regle!$H$11,
IF(AP237=regle!$I$12,regle!$I$11,""))))))))))</f>
        <v/>
      </c>
      <c r="W237" t="str">
        <f>IF(NOT($A237),"",
IF(AQ237=-2,regle!$J$11,
IF(AQ237=regle!$B$12,regle!$B$11,
IF(AQ237=regle!$C$12,regle!$C$11,
IF(AQ237=regle!$D$12,regle!$D$11,
IF(AQ237=regle!$E$12,regle!$E$11,
IF(AQ237=regle!$F$12,regle!$F$11,
IF(AQ237=regle!$G$12,regle!$G$11,
IF(AQ237=regle!$H$12,regle!$H$11,
IF(AQ237=regle!$I$12,regle!$I$11,""))))))))))</f>
        <v>DGT</v>
      </c>
      <c r="X237" t="str">
        <f>IF(NOT($A237),"",
IF(AR237=-2,regle!$J$11,
IF(AR237=regle!$B$12,regle!$B$11,
IF(AR237=regle!$C$12,regle!$C$11,
IF(AR237=regle!$D$12,regle!$D$11,
IF(AR237=regle!$E$12,regle!$E$11,
IF(AR237=regle!$F$12,regle!$F$11,
IF(AR237=regle!$G$12,regle!$G$11,
IF(AR237=regle!$H$12,regle!$H$11,
IF(AR237=regle!$I$12,regle!$I$11,""))))))))))</f>
        <v/>
      </c>
      <c r="Y237" t="str">
        <f>IF(NOT($A237),"",
IF(AS237=-2,regle!$J$11,
IF(AS237=regle!$B$12,regle!$B$11,
IF(AS237=regle!$C$12,regle!$C$11,
IF(AS237=regle!$D$12,regle!$D$11,
IF(AS237=regle!$E$12,regle!$E$11,
IF(AS237=regle!$F$12,regle!$F$11,
IF(AS237=regle!$G$12,regle!$G$11,
IF(AS237=regle!$H$12,regle!$H$11,
IF(AS237=regle!$I$12,regle!$I$11,""))))))))))</f>
        <v/>
      </c>
      <c r="Z237" t="str">
        <f>IF(NOT($A237),"",
IF(AT237=-2,regle!$J$11,
IF(AT237=regle!$B$12,regle!$B$11,
IF(AT237=regle!$C$12,regle!$C$11,
IF(AT237=regle!$D$12,regle!$D$11,
IF(AT237=regle!$E$12,regle!$E$11,
IF(AT237=regle!$F$12,regle!$F$11,
IF(AT237=regle!$G$12,regle!$G$11,
IF(AT237=regle!$H$12,regle!$H$11,
IF(AT237=regle!$I$12,regle!$I$11,""))))))))))</f>
        <v>ENT1</v>
      </c>
      <c r="AA237" t="str">
        <f>IF(NOT($A237),"",
IF(AU237=-2,regle!$J$11,
IF(AU237=regle!$B$12,regle!$B$11,
IF(AU237=regle!$C$12,regle!$C$11,
IF(AU237=regle!$D$12,regle!$D$11,
IF(AU237=regle!$E$12,regle!$E$11,
IF(AU237=regle!$F$12,regle!$F$11,
IF(AU237=regle!$G$12,regle!$G$11,
IF(AU237=regle!$H$12,regle!$H$11,
IF(AU237=regle!$I$12,regle!$I$11,""))))))))))</f>
        <v/>
      </c>
      <c r="AB237" t="str">
        <f>IF(NOT($A237),"",
IF(AV237=-2,regle!$J$11,
IF(AV237=regle!$B$12,regle!$B$11,
IF(AV237=regle!$C$12,regle!$C$11,
IF(AV237=regle!$D$12,regle!$D$11,
IF(AV237=regle!$E$12,regle!$E$11,
IF(AV237=regle!$F$12,regle!$F$11,
IF(AV237=regle!$G$12,regle!$G$11,
IF(AV237=regle!$H$12,regle!$H$11,
IF(AV237=regle!$I$12,regle!$I$11,""))))))))))</f>
        <v/>
      </c>
      <c r="AC237" t="str">
        <f>IF(NOT($A237),"",
IF(AW237=-2,regle!$J$11,
IF(AW237=regle!$B$12,regle!$B$11,
IF(AW237=regle!$C$12,regle!$C$11,
IF(AW237=regle!$D$12,regle!$D$11,
IF(AW237=regle!$E$12,regle!$E$11,
IF(AW237=regle!$F$12,regle!$F$11,
IF(AW237=regle!$G$12,regle!$G$11,
IF(AW237=regle!$H$12,regle!$H$11,
IF(AW237=regle!$I$12,regle!$I$11,""))))))))))</f>
        <v>ENT2</v>
      </c>
      <c r="AD237" t="str">
        <f>IF(NOT($A237),"",
IF(AX237=-2,regle!$J$11,
IF(AX237=regle!$B$12,regle!$B$11,
IF(AX237=regle!$C$12,regle!$C$11,
IF(AX237=regle!$D$12,regle!$D$11,
IF(AX237=regle!$E$12,regle!$E$11,
IF(AX237=regle!$F$12,regle!$F$11,
IF(AX237=regle!$G$12,regle!$G$11,
IF(AX237=regle!$H$12,regle!$H$11,
IF(AX237=regle!$I$12,regle!$I$11,""))))))))))</f>
        <v/>
      </c>
      <c r="AE237" s="14">
        <f>IF($A237,$M237*(IF(U237=regle!$B$11,regle!$B$23,IF(U237=regle!$C$11,regle!$C$23,IF(U237=regle!$D$11,regle!$D$23,IF(U237=regle!$E$11,regle!$E$23,IF(U237=regle!$F$11,regle!$F$23,IF(U237=regle!$G$11,regle!$G$23,IF(U237=regle!$H$11,regle!$H$23,IF(U237=regle!$I$11,regle!$I$23,IF(U237=regle!$J$11,regle!$J$23,0)))))))))))</f>
        <v>-1890.4</v>
      </c>
      <c r="AF237" s="14">
        <f>IF($A237,$M237*(IF(V237=regle!$B$11,regle!$B$23,IF(V237=regle!$C$11,regle!$C$23,IF(V237=regle!$D$11,regle!$D$23,IF(V237=regle!$E$11,regle!$E$23,IF(V237=regle!$F$11,regle!$F$23,IF(V237=regle!$G$11,regle!$G$23,IF(V237=regle!$H$11,regle!$H$23,IF(V237=regle!$I$11,regle!$I$23,IF(V237=regle!$J$11,regle!$J$23,0)))))))))))</f>
        <v>0</v>
      </c>
      <c r="AG237" s="14">
        <f>IF($A237,$M237*(IF(W237=regle!$B$11,regle!$B$23,IF(W237=regle!$C$11,regle!$C$23,IF(W237=regle!$D$11,regle!$D$23,IF(W237=regle!$E$11,regle!$E$23,IF(W237=regle!$F$11,regle!$F$23,IF(W237=regle!$G$11,regle!$G$23,IF(W237=regle!$H$11,regle!$H$23,IF(W237=regle!$I$11,regle!$I$23,IF(W237=regle!$J$11,regle!$J$23,0)))))))))))</f>
        <v>-83.4</v>
      </c>
      <c r="AH237" s="14">
        <f>IF($A237,$M237*(IF(X237=regle!$B$11,regle!$B$23,IF(X237=regle!$C$11,regle!$C$23,IF(X237=regle!$D$11,regle!$D$23,IF(X237=regle!$E$11,regle!$E$23,IF(X237=regle!$F$11,regle!$F$23,IF(X237=regle!$G$11,regle!$G$23,IF(X237=regle!$H$11,regle!$H$23,IF(X237=regle!$I$11,regle!$I$23,IF(X237=regle!$J$11,regle!$J$23,0)))))))))))</f>
        <v>0</v>
      </c>
      <c r="AI237" s="14">
        <f>IF($A237,$M237*(IF(Y237=regle!$B$11,regle!$B$23,IF(Y237=regle!$C$11,regle!$C$23,IF(Y237=regle!$D$11,regle!$D$23,IF(Y237=regle!$E$11,regle!$E$23,IF(Y237=regle!$F$11,regle!$F$23,IF(Y237=regle!$G$11,regle!$G$23,IF(Y237=regle!$H$11,regle!$H$23,IF(Y237=regle!$I$11,regle!$I$23,IF(Y237=regle!$J$11,regle!$J$23,0)))))))))))</f>
        <v>0</v>
      </c>
      <c r="AJ237" s="14">
        <f>IF($A237,$M237*(IF(Z237=regle!$B$11,regle!$B$23,IF(Z237=regle!$C$11,regle!$C$23,IF(Z237=regle!$D$11,regle!$D$23,IF(Z237=regle!$E$11,regle!$E$23,IF(Z237=regle!$F$11,regle!$F$23,IF(Z237=regle!$G$11,regle!$G$23,IF(Z237=regle!$H$11,regle!$H$23,IF(Z237=regle!$I$11,regle!$I$23,IF(Z237=regle!$J$11,regle!$J$23,0)))))))))))</f>
        <v>-100.08000000000001</v>
      </c>
      <c r="AK237" s="14">
        <f>IF($A237,$M237*(IF(AA237=regle!$B$11,regle!$B$23,IF(AA237=regle!$C$11,regle!$C$23,IF(AA237=regle!$D$11,regle!$D$23,IF(AA237=regle!$E$11,regle!$E$23,IF(AA237=regle!$F$11,regle!$F$23,IF(AA237=regle!$G$11,regle!$G$23,IF(AA237=regle!$H$11,regle!$H$23,IF(AA237=regle!$I$11,regle!$I$23,IF(AA237=regle!$J$11,regle!$J$23,0)))))))))))</f>
        <v>0</v>
      </c>
      <c r="AL237" s="14">
        <f>IF($A237,$M237*(IF(AB237=regle!$B$11,regle!$B$23,IF(AB237=regle!$C$11,regle!$C$23,IF(AB237=regle!$D$11,regle!$D$23,IF(AB237=regle!$E$11,regle!$E$23,IF(AB237=regle!$F$11,regle!$F$23,IF(AB237=regle!$G$11,regle!$G$23,IF(AB237=regle!$H$11,regle!$H$23,IF(AB237=regle!$I$11,regle!$I$23,IF(AB237=regle!$J$11,regle!$J$23,0)))))))))))</f>
        <v>0</v>
      </c>
      <c r="AM237" s="14">
        <f>IF($A237,$M237*(IF(AC237=regle!$B$11,regle!$B$23,IF(AC237=regle!$C$11,regle!$C$23,IF(AC237=regle!$D$11,regle!$D$23,IF(AC237=regle!$E$11,regle!$E$23,IF(AC237=regle!$F$11,regle!$F$23,IF(AC237=regle!$G$11,regle!$G$23,IF(AC237=regle!$H$11,regle!$H$23,IF(AC237=regle!$I$11,regle!$I$23,IF(AC237=regle!$J$11,regle!$J$23,0)))))))))))</f>
        <v>-100.08000000000001</v>
      </c>
      <c r="AN237" s="14">
        <f>IF($A237,$M237*(IF(AD237=regle!$B$11,regle!$B$23,IF(AD237=regle!$C$11,regle!$C$23,IF(AD237=regle!$D$11,regle!$D$23,IF(AD237=regle!$E$11,regle!$E$23,IF(AD237=regle!$F$11,regle!$F$23,IF(AD237=regle!$G$11,regle!$G$23,IF(AD237=regle!$H$11,regle!$H$23,IF(AD237=regle!$I$11,regle!$I$23,IF(AD237=regle!$J$11,regle!$J$23,0)))))))))))</f>
        <v>0</v>
      </c>
      <c r="AO237">
        <f>IF(AO$1=$AO$1,IF(regle!B$2-$Q237&gt;=regle!$J$12,-2,IF($S237,IF(regle!$B$2-$Q237&gt;=2,0,-1),regle!B$2-$Q237)),IF(AN237+1&gt;=regle!$J$12,-2,AN237+1))</f>
        <v>0</v>
      </c>
      <c r="AP237">
        <f>IF(AP$1=$AO$1,IF(regle!C$2-$Q237&gt;=regle!$J$12,-2,IF($S237,IF(regle!$B$2-$Q237&gt;=2,0,-1),regle!C$2-$Q237)),IF(AO237+1&gt;=regle!$J$12,-2,AO237+1))</f>
        <v>1</v>
      </c>
      <c r="AQ237">
        <f>IF(AQ$1=$AO$1,IF(regle!D$2-$Q237&gt;=regle!$J$12,-2,IF($S237,IF(regle!$B$2-$Q237&gt;=2,0,-1),regle!D$2-$Q237)),IF(AP237+1&gt;=regle!$J$12,-2,AP237+1))</f>
        <v>2</v>
      </c>
      <c r="AR237">
        <f>IF(AR$1=$AO$1,IF(regle!E$2-$Q237&gt;=regle!$J$12,-2,IF($S237,IF(regle!$B$2-$Q237&gt;=2,0,-1),regle!E$2-$Q237)),IF(AQ237+1&gt;=regle!$J$12,-2,AQ237+1))</f>
        <v>3</v>
      </c>
      <c r="AS237">
        <f>IF(AS$1=$AO$1,IF(regle!F$2-$Q237&gt;=regle!$J$12,-2,IF($S237,IF(regle!$B$2-$Q237&gt;=2,0,-1),regle!F$2-$Q237)),IF(AR237+1&gt;=regle!$J$12,-2,AR237+1))</f>
        <v>4</v>
      </c>
      <c r="AT237">
        <f>IF(AT$1=$AO$1,IF(regle!G$2-$Q237&gt;=regle!$J$12,-2,IF($S237,IF(regle!$B$2-$Q237&gt;=2,0,-1),regle!G$2-$Q237)),IF(AS237+1&gt;=regle!$J$12,-2,AS237+1))</f>
        <v>5</v>
      </c>
      <c r="AU237">
        <f>IF(AU$1=$AO$1,IF(regle!H$2-$Q237&gt;=regle!$J$12,-2,IF($S237,IF(regle!$B$2-$Q237&gt;=2,0,-1),regle!H$2-$Q237)),IF(AT237+1&gt;=regle!$J$12,-2,AT237+1))</f>
        <v>6</v>
      </c>
      <c r="AV237">
        <f>IF(AV$1=$AO$1,IF(regle!I$2-$Q237&gt;=regle!$J$12,-2,IF($S237,IF(regle!$B$2-$Q237&gt;=2,0,-1),regle!I$2-$Q237)),IF(AU237+1&gt;=regle!$J$12,-2,AU237+1))</f>
        <v>7</v>
      </c>
      <c r="AW237">
        <f>IF(AW$1=$AO$1,IF(regle!J$2-$Q237&gt;=regle!$J$12,-2,IF($S237,IF(regle!$B$2-$Q237&gt;=2,0,-1),regle!J$2-$Q237)),IF(AV237+1&gt;=regle!$J$12,-2,AV237+1))</f>
        <v>8</v>
      </c>
      <c r="AX237">
        <f>IF(AX$1=$AO$1,IF(regle!K$2-$Q237&gt;=regle!$J$12,-2,IF($S237,IF(regle!$B$2-$Q237&gt;=2,0,-1),regle!K$2-$Q237)),IF(AW237+1&gt;=regle!$J$12,-2,AW237+1))</f>
        <v>9</v>
      </c>
    </row>
    <row r="238" spans="1:50" x14ac:dyDescent="0.25">
      <c r="A238" t="b">
        <f>AND(modif0[[#This Row],[cdstr]]&lt;&gt;0,OR(regle!$H$27=FALSE,modif0[[#This Row],[essnc]]="PM"))</f>
        <v>1</v>
      </c>
      <c r="B238">
        <f>ROW(objet!A280)</f>
        <v>280</v>
      </c>
      <c r="C238" s="10" t="str">
        <f>objet!D280</f>
        <v>1710000B0242</v>
      </c>
      <c r="D238" t="str">
        <f>LEFT(modif0[[#This Row],[cdstr]],3)</f>
        <v>171</v>
      </c>
      <c r="E238" s="10" t="str">
        <f>objet!G280</f>
        <v>MANO</v>
      </c>
      <c r="F238">
        <f>LEN(modif0[[#This Row],[l_dt]])</f>
        <v>16</v>
      </c>
      <c r="G238" s="10" t="str">
        <f>objet!H280</f>
        <v>BAS DE TOURNICON</v>
      </c>
      <c r="H238" s="10" t="str">
        <f>objet!C280</f>
        <v>B242</v>
      </c>
      <c r="I238" t="str">
        <f>IF(ISNUMBER(VALUE(RIGHT(LEFT(modif0[[#This Row],[idntfn]],2),1))),_xlfn.CONCAT(0,LEFT(modif0[[#This Row],[idntfn]],1)),LEFT(modif0[[#This Row],[idntfn]],2))</f>
        <v>0B</v>
      </c>
      <c r="J238">
        <f>VALUE(LEFT(RIGHT(modif0[[#This Row],[idntfn]],LEN(modif0[[#This Row],[idntfn]])-IF(LEFT(modif0[[#This Row],[sctn]],1)="0",1,2)),LEN(modif0[[#This Row],[idntfn]])-IF(LEFT(modif0[[#This Row],[sctn]],1)="0",1,2)-LEN(modif0[[#This Row],[lttr]])))</f>
        <v>242</v>
      </c>
      <c r="K238" t="str">
        <f>IF(ISNUMBER(VALUE(RIGHT(modif0[[#This Row],[idntfn]],1))),"",IF(ISNUMBER(VALUE(LEFT(RIGHT(modif0[[#This Row],[idntfn]],2),1))),RIGHT(modif0[[#This Row],[idntfn]],1),RIGHT(modif0[[#This Row],[idntfn]],2)))</f>
        <v/>
      </c>
      <c r="L238" s="10">
        <f>objet!I280</f>
        <v>10582</v>
      </c>
      <c r="M238" s="11">
        <f>modif0[[#This Row],[srfc]]/10000</f>
        <v>1.0582</v>
      </c>
      <c r="N238" s="10" t="str">
        <f>objet!Z280</f>
        <v>PM</v>
      </c>
      <c r="O238" s="10" t="str">
        <f>objet!AA280</f>
        <v>CR2022</v>
      </c>
      <c r="P238" t="str">
        <f>IF(ISNUMBER(modif0[[#This Row],[trvx]]),"",LEFT(modif0[[#This Row],[trvx]],LEN(modif0[[#This Row],[trvx]])-4))</f>
        <v>CR</v>
      </c>
      <c r="Q238">
        <f>VALUE(RIGHT(modif0[[#This Row],[trvx]],4))</f>
        <v>2022</v>
      </c>
      <c r="R238" t="str">
        <f>_xlfn.CONCAT(modif0[[#This Row],[tp]],"-",modif0[[#This Row],[essnc]],"_",modif0[[#This Row],[anns]])</f>
        <v>CR-PM_2022</v>
      </c>
      <c r="S238" t="b">
        <f>modif0[[#This Row],[tp]]="CR"</f>
        <v>1</v>
      </c>
      <c r="T238">
        <v>40</v>
      </c>
      <c r="U238" t="str">
        <f>IF(NOT($A238),"",
IF(AO238=-2,regle!$J$11,
IF(AO238=regle!$B$12,regle!$B$11,
IF(AO238=regle!$C$12,regle!$C$11,
IF(AO238=regle!$D$12,regle!$D$11,
IF(AO238=regle!$E$12,regle!$E$11,
IF(AO238=regle!$F$12,regle!$F$11,
IF(AO238=regle!$G$12,regle!$G$11,
IF(AO238=regle!$H$12,regle!$H$11,
IF(AO238=regle!$I$12,regle!$I$11,""))))))))))</f>
        <v>RBST</v>
      </c>
      <c r="V238" t="str">
        <f>IF(NOT($A238),"",
IF(AP238=-2,regle!$J$11,
IF(AP238=regle!$B$12,regle!$B$11,
IF(AP238=regle!$C$12,regle!$C$11,
IF(AP238=regle!$D$12,regle!$D$11,
IF(AP238=regle!$E$12,regle!$E$11,
IF(AP238=regle!$F$12,regle!$F$11,
IF(AP238=regle!$G$12,regle!$G$11,
IF(AP238=regle!$H$12,regle!$H$11,
IF(AP238=regle!$I$12,regle!$I$11,""))))))))))</f>
        <v/>
      </c>
      <c r="W238" t="str">
        <f>IF(NOT($A238),"",
IF(AQ238=-2,regle!$J$11,
IF(AQ238=regle!$B$12,regle!$B$11,
IF(AQ238=regle!$C$12,regle!$C$11,
IF(AQ238=regle!$D$12,regle!$D$11,
IF(AQ238=regle!$E$12,regle!$E$11,
IF(AQ238=regle!$F$12,regle!$F$11,
IF(AQ238=regle!$G$12,regle!$G$11,
IF(AQ238=regle!$H$12,regle!$H$11,
IF(AQ238=regle!$I$12,regle!$I$11,""))))))))))</f>
        <v>DGT</v>
      </c>
      <c r="X238" t="str">
        <f>IF(NOT($A238),"",
IF(AR238=-2,regle!$J$11,
IF(AR238=regle!$B$12,regle!$B$11,
IF(AR238=regle!$C$12,regle!$C$11,
IF(AR238=regle!$D$12,regle!$D$11,
IF(AR238=regle!$E$12,regle!$E$11,
IF(AR238=regle!$F$12,regle!$F$11,
IF(AR238=regle!$G$12,regle!$G$11,
IF(AR238=regle!$H$12,regle!$H$11,
IF(AR238=regle!$I$12,regle!$I$11,""))))))))))</f>
        <v/>
      </c>
      <c r="Y238" t="str">
        <f>IF(NOT($A238),"",
IF(AS238=-2,regle!$J$11,
IF(AS238=regle!$B$12,regle!$B$11,
IF(AS238=regle!$C$12,regle!$C$11,
IF(AS238=regle!$D$12,regle!$D$11,
IF(AS238=regle!$E$12,regle!$E$11,
IF(AS238=regle!$F$12,regle!$F$11,
IF(AS238=regle!$G$12,regle!$G$11,
IF(AS238=regle!$H$12,regle!$H$11,
IF(AS238=regle!$I$12,regle!$I$11,""))))))))))</f>
        <v/>
      </c>
      <c r="Z238" t="str">
        <f>IF(NOT($A238),"",
IF(AT238=-2,regle!$J$11,
IF(AT238=regle!$B$12,regle!$B$11,
IF(AT238=regle!$C$12,regle!$C$11,
IF(AT238=regle!$D$12,regle!$D$11,
IF(AT238=regle!$E$12,regle!$E$11,
IF(AT238=regle!$F$12,regle!$F$11,
IF(AT238=regle!$G$12,regle!$G$11,
IF(AT238=regle!$H$12,regle!$H$11,
IF(AT238=regle!$I$12,regle!$I$11,""))))))))))</f>
        <v>ENT1</v>
      </c>
      <c r="AA238" t="str">
        <f>IF(NOT($A238),"",
IF(AU238=-2,regle!$J$11,
IF(AU238=regle!$B$12,regle!$B$11,
IF(AU238=regle!$C$12,regle!$C$11,
IF(AU238=regle!$D$12,regle!$D$11,
IF(AU238=regle!$E$12,regle!$E$11,
IF(AU238=regle!$F$12,regle!$F$11,
IF(AU238=regle!$G$12,regle!$G$11,
IF(AU238=regle!$H$12,regle!$H$11,
IF(AU238=regle!$I$12,regle!$I$11,""))))))))))</f>
        <v/>
      </c>
      <c r="AB238" t="str">
        <f>IF(NOT($A238),"",
IF(AV238=-2,regle!$J$11,
IF(AV238=regle!$B$12,regle!$B$11,
IF(AV238=regle!$C$12,regle!$C$11,
IF(AV238=regle!$D$12,regle!$D$11,
IF(AV238=regle!$E$12,regle!$E$11,
IF(AV238=regle!$F$12,regle!$F$11,
IF(AV238=regle!$G$12,regle!$G$11,
IF(AV238=regle!$H$12,regle!$H$11,
IF(AV238=regle!$I$12,regle!$I$11,""))))))))))</f>
        <v/>
      </c>
      <c r="AC238" t="str">
        <f>IF(NOT($A238),"",
IF(AW238=-2,regle!$J$11,
IF(AW238=regle!$B$12,regle!$B$11,
IF(AW238=regle!$C$12,regle!$C$11,
IF(AW238=regle!$D$12,regle!$D$11,
IF(AW238=regle!$E$12,regle!$E$11,
IF(AW238=regle!$F$12,regle!$F$11,
IF(AW238=regle!$G$12,regle!$G$11,
IF(AW238=regle!$H$12,regle!$H$11,
IF(AW238=regle!$I$12,regle!$I$11,""))))))))))</f>
        <v>ENT2</v>
      </c>
      <c r="AD238" t="str">
        <f>IF(NOT($A238),"",
IF(AX238=-2,regle!$J$11,
IF(AX238=regle!$B$12,regle!$B$11,
IF(AX238=regle!$C$12,regle!$C$11,
IF(AX238=regle!$D$12,regle!$D$11,
IF(AX238=regle!$E$12,regle!$E$11,
IF(AX238=regle!$F$12,regle!$F$11,
IF(AX238=regle!$G$12,regle!$G$11,
IF(AX238=regle!$H$12,regle!$H$11,
IF(AX238=regle!$I$12,regle!$I$11,""))))))))))</f>
        <v/>
      </c>
      <c r="AE238" s="14">
        <f>IF($A238,$M238*(IF(U238=regle!$B$11,regle!$B$23,IF(U238=regle!$C$11,regle!$C$23,IF(U238=regle!$D$11,regle!$D$23,IF(U238=regle!$E$11,regle!$E$23,IF(U238=regle!$F$11,regle!$F$23,IF(U238=regle!$G$11,regle!$G$23,IF(U238=regle!$H$11,regle!$H$23,IF(U238=regle!$I$11,regle!$I$23,IF(U238=regle!$J$11,regle!$J$23,0)))))))))))</f>
        <v>-1798.94</v>
      </c>
      <c r="AF238" s="14">
        <f>IF($A238,$M238*(IF(V238=regle!$B$11,regle!$B$23,IF(V238=regle!$C$11,regle!$C$23,IF(V238=regle!$D$11,regle!$D$23,IF(V238=regle!$E$11,regle!$E$23,IF(V238=regle!$F$11,regle!$F$23,IF(V238=regle!$G$11,regle!$G$23,IF(V238=regle!$H$11,regle!$H$23,IF(V238=regle!$I$11,regle!$I$23,IF(V238=regle!$J$11,regle!$J$23,0)))))))))))</f>
        <v>0</v>
      </c>
      <c r="AG238" s="14">
        <f>IF($A238,$M238*(IF(W238=regle!$B$11,regle!$B$23,IF(W238=regle!$C$11,regle!$C$23,IF(W238=regle!$D$11,regle!$D$23,IF(W238=regle!$E$11,regle!$E$23,IF(W238=regle!$F$11,regle!$F$23,IF(W238=regle!$G$11,regle!$G$23,IF(W238=regle!$H$11,regle!$H$23,IF(W238=regle!$I$11,regle!$I$23,IF(W238=regle!$J$11,regle!$J$23,0)))))))))))</f>
        <v>-79.365000000000009</v>
      </c>
      <c r="AH238" s="14">
        <f>IF($A238,$M238*(IF(X238=regle!$B$11,regle!$B$23,IF(X238=regle!$C$11,regle!$C$23,IF(X238=regle!$D$11,regle!$D$23,IF(X238=regle!$E$11,regle!$E$23,IF(X238=regle!$F$11,regle!$F$23,IF(X238=regle!$G$11,regle!$G$23,IF(X238=regle!$H$11,regle!$H$23,IF(X238=regle!$I$11,regle!$I$23,IF(X238=regle!$J$11,regle!$J$23,0)))))))))))</f>
        <v>0</v>
      </c>
      <c r="AI238" s="14">
        <f>IF($A238,$M238*(IF(Y238=regle!$B$11,regle!$B$23,IF(Y238=regle!$C$11,regle!$C$23,IF(Y238=regle!$D$11,regle!$D$23,IF(Y238=regle!$E$11,regle!$E$23,IF(Y238=regle!$F$11,regle!$F$23,IF(Y238=regle!$G$11,regle!$G$23,IF(Y238=regle!$H$11,regle!$H$23,IF(Y238=regle!$I$11,regle!$I$23,IF(Y238=regle!$J$11,regle!$J$23,0)))))))))))</f>
        <v>0</v>
      </c>
      <c r="AJ238" s="14">
        <f>IF($A238,$M238*(IF(Z238=regle!$B$11,regle!$B$23,IF(Z238=regle!$C$11,regle!$C$23,IF(Z238=regle!$D$11,regle!$D$23,IF(Z238=regle!$E$11,regle!$E$23,IF(Z238=regle!$F$11,regle!$F$23,IF(Z238=regle!$G$11,regle!$G$23,IF(Z238=regle!$H$11,regle!$H$23,IF(Z238=regle!$I$11,regle!$I$23,IF(Z238=regle!$J$11,regle!$J$23,0)))))))))))</f>
        <v>-95.238</v>
      </c>
      <c r="AK238" s="14">
        <f>IF($A238,$M238*(IF(AA238=regle!$B$11,regle!$B$23,IF(AA238=regle!$C$11,regle!$C$23,IF(AA238=regle!$D$11,regle!$D$23,IF(AA238=regle!$E$11,regle!$E$23,IF(AA238=regle!$F$11,regle!$F$23,IF(AA238=regle!$G$11,regle!$G$23,IF(AA238=regle!$H$11,regle!$H$23,IF(AA238=regle!$I$11,regle!$I$23,IF(AA238=regle!$J$11,regle!$J$23,0)))))))))))</f>
        <v>0</v>
      </c>
      <c r="AL238" s="14">
        <f>IF($A238,$M238*(IF(AB238=regle!$B$11,regle!$B$23,IF(AB238=regle!$C$11,regle!$C$23,IF(AB238=regle!$D$11,regle!$D$23,IF(AB238=regle!$E$11,regle!$E$23,IF(AB238=regle!$F$11,regle!$F$23,IF(AB238=regle!$G$11,regle!$G$23,IF(AB238=regle!$H$11,regle!$H$23,IF(AB238=regle!$I$11,regle!$I$23,IF(AB238=regle!$J$11,regle!$J$23,0)))))))))))</f>
        <v>0</v>
      </c>
      <c r="AM238" s="14">
        <f>IF($A238,$M238*(IF(AC238=regle!$B$11,regle!$B$23,IF(AC238=regle!$C$11,regle!$C$23,IF(AC238=regle!$D$11,regle!$D$23,IF(AC238=regle!$E$11,regle!$E$23,IF(AC238=regle!$F$11,regle!$F$23,IF(AC238=regle!$G$11,regle!$G$23,IF(AC238=regle!$H$11,regle!$H$23,IF(AC238=regle!$I$11,regle!$I$23,IF(AC238=regle!$J$11,regle!$J$23,0)))))))))))</f>
        <v>-95.238</v>
      </c>
      <c r="AN238" s="14">
        <f>IF($A238,$M238*(IF(AD238=regle!$B$11,regle!$B$23,IF(AD238=regle!$C$11,regle!$C$23,IF(AD238=regle!$D$11,regle!$D$23,IF(AD238=regle!$E$11,regle!$E$23,IF(AD238=regle!$F$11,regle!$F$23,IF(AD238=regle!$G$11,regle!$G$23,IF(AD238=regle!$H$11,regle!$H$23,IF(AD238=regle!$I$11,regle!$I$23,IF(AD238=regle!$J$11,regle!$J$23,0)))))))))))</f>
        <v>0</v>
      </c>
      <c r="AO238">
        <f>IF(AO$1=$AO$1,IF(regle!B$2-$Q238&gt;=regle!$J$12,-2,IF($S238,IF(regle!$B$2-$Q238&gt;=2,0,-1),regle!B$2-$Q238)),IF(AN238+1&gt;=regle!$J$12,-2,AN238+1))</f>
        <v>0</v>
      </c>
      <c r="AP238">
        <f>IF(AP$1=$AO$1,IF(regle!C$2-$Q238&gt;=regle!$J$12,-2,IF($S238,IF(regle!$B$2-$Q238&gt;=2,0,-1),regle!C$2-$Q238)),IF(AO238+1&gt;=regle!$J$12,-2,AO238+1))</f>
        <v>1</v>
      </c>
      <c r="AQ238">
        <f>IF(AQ$1=$AO$1,IF(regle!D$2-$Q238&gt;=regle!$J$12,-2,IF($S238,IF(regle!$B$2-$Q238&gt;=2,0,-1),regle!D$2-$Q238)),IF(AP238+1&gt;=regle!$J$12,-2,AP238+1))</f>
        <v>2</v>
      </c>
      <c r="AR238">
        <f>IF(AR$1=$AO$1,IF(regle!E$2-$Q238&gt;=regle!$J$12,-2,IF($S238,IF(regle!$B$2-$Q238&gt;=2,0,-1),regle!E$2-$Q238)),IF(AQ238+1&gt;=regle!$J$12,-2,AQ238+1))</f>
        <v>3</v>
      </c>
      <c r="AS238">
        <f>IF(AS$1=$AO$1,IF(regle!F$2-$Q238&gt;=regle!$J$12,-2,IF($S238,IF(regle!$B$2-$Q238&gt;=2,0,-1),regle!F$2-$Q238)),IF(AR238+1&gt;=regle!$J$12,-2,AR238+1))</f>
        <v>4</v>
      </c>
      <c r="AT238">
        <f>IF(AT$1=$AO$1,IF(regle!G$2-$Q238&gt;=regle!$J$12,-2,IF($S238,IF(regle!$B$2-$Q238&gt;=2,0,-1),regle!G$2-$Q238)),IF(AS238+1&gt;=regle!$J$12,-2,AS238+1))</f>
        <v>5</v>
      </c>
      <c r="AU238">
        <f>IF(AU$1=$AO$1,IF(regle!H$2-$Q238&gt;=regle!$J$12,-2,IF($S238,IF(regle!$B$2-$Q238&gt;=2,0,-1),regle!H$2-$Q238)),IF(AT238+1&gt;=regle!$J$12,-2,AT238+1))</f>
        <v>6</v>
      </c>
      <c r="AV238">
        <f>IF(AV$1=$AO$1,IF(regle!I$2-$Q238&gt;=regle!$J$12,-2,IF($S238,IF(regle!$B$2-$Q238&gt;=2,0,-1),regle!I$2-$Q238)),IF(AU238+1&gt;=regle!$J$12,-2,AU238+1))</f>
        <v>7</v>
      </c>
      <c r="AW238">
        <f>IF(AW$1=$AO$1,IF(regle!J$2-$Q238&gt;=regle!$J$12,-2,IF($S238,IF(regle!$B$2-$Q238&gt;=2,0,-1),regle!J$2-$Q238)),IF(AV238+1&gt;=regle!$J$12,-2,AV238+1))</f>
        <v>8</v>
      </c>
      <c r="AX238">
        <f>IF(AX$1=$AO$1,IF(regle!K$2-$Q238&gt;=regle!$J$12,-2,IF($S238,IF(regle!$B$2-$Q238&gt;=2,0,-1),regle!K$2-$Q238)),IF(AW238+1&gt;=regle!$J$12,-2,AW238+1))</f>
        <v>9</v>
      </c>
    </row>
    <row r="239" spans="1:50" x14ac:dyDescent="0.25">
      <c r="A239" t="b">
        <f>AND(modif0[[#This Row],[cdstr]]&lt;&gt;0,OR(regle!$H$27=FALSE,modif0[[#This Row],[essnc]]="PM"))</f>
        <v>1</v>
      </c>
      <c r="B239">
        <f>ROW(objet!A281)</f>
        <v>281</v>
      </c>
      <c r="C239" s="10" t="str">
        <f>objet!D281</f>
        <v>1710000B0244</v>
      </c>
      <c r="D239" t="str">
        <f>LEFT(modif0[[#This Row],[cdstr]],3)</f>
        <v>171</v>
      </c>
      <c r="E239" s="10" t="str">
        <f>objet!G281</f>
        <v>MANO</v>
      </c>
      <c r="F239">
        <f>LEN(modif0[[#This Row],[l_dt]])</f>
        <v>16</v>
      </c>
      <c r="G239" s="10" t="str">
        <f>objet!H281</f>
        <v>BAS DE TOURNICON</v>
      </c>
      <c r="H239" s="10" t="str">
        <f>objet!C281</f>
        <v>B244</v>
      </c>
      <c r="I239" t="str">
        <f>IF(ISNUMBER(VALUE(RIGHT(LEFT(modif0[[#This Row],[idntfn]],2),1))),_xlfn.CONCAT(0,LEFT(modif0[[#This Row],[idntfn]],1)),LEFT(modif0[[#This Row],[idntfn]],2))</f>
        <v>0B</v>
      </c>
      <c r="J239">
        <f>VALUE(LEFT(RIGHT(modif0[[#This Row],[idntfn]],LEN(modif0[[#This Row],[idntfn]])-IF(LEFT(modif0[[#This Row],[sctn]],1)="0",1,2)),LEN(modif0[[#This Row],[idntfn]])-IF(LEFT(modif0[[#This Row],[sctn]],1)="0",1,2)-LEN(modif0[[#This Row],[lttr]])))</f>
        <v>244</v>
      </c>
      <c r="K239" t="str">
        <f>IF(ISNUMBER(VALUE(RIGHT(modif0[[#This Row],[idntfn]],1))),"",IF(ISNUMBER(VALUE(LEFT(RIGHT(modif0[[#This Row],[idntfn]],2),1))),RIGHT(modif0[[#This Row],[idntfn]],1),RIGHT(modif0[[#This Row],[idntfn]],2)))</f>
        <v/>
      </c>
      <c r="L239" s="10">
        <f>objet!I281</f>
        <v>800</v>
      </c>
      <c r="M239" s="11">
        <f>modif0[[#This Row],[srfc]]/10000</f>
        <v>0.08</v>
      </c>
      <c r="N239" s="10" t="str">
        <f>objet!Z281</f>
        <v>PM</v>
      </c>
      <c r="O239" s="10" t="str">
        <f>objet!AA281</f>
        <v>CR2022</v>
      </c>
      <c r="P239" t="str">
        <f>IF(ISNUMBER(modif0[[#This Row],[trvx]]),"",LEFT(modif0[[#This Row],[trvx]],LEN(modif0[[#This Row],[trvx]])-4))</f>
        <v>CR</v>
      </c>
      <c r="Q239">
        <f>VALUE(RIGHT(modif0[[#This Row],[trvx]],4))</f>
        <v>2022</v>
      </c>
      <c r="R239" t="str">
        <f>_xlfn.CONCAT(modif0[[#This Row],[tp]],"-",modif0[[#This Row],[essnc]],"_",modif0[[#This Row],[anns]])</f>
        <v>CR-PM_2022</v>
      </c>
      <c r="S239" t="b">
        <f>modif0[[#This Row],[tp]]="CR"</f>
        <v>1</v>
      </c>
      <c r="T239">
        <v>40</v>
      </c>
      <c r="U239" t="str">
        <f>IF(NOT($A239),"",
IF(AO239=-2,regle!$J$11,
IF(AO239=regle!$B$12,regle!$B$11,
IF(AO239=regle!$C$12,regle!$C$11,
IF(AO239=regle!$D$12,regle!$D$11,
IF(AO239=regle!$E$12,regle!$E$11,
IF(AO239=regle!$F$12,regle!$F$11,
IF(AO239=regle!$G$12,regle!$G$11,
IF(AO239=regle!$H$12,regle!$H$11,
IF(AO239=regle!$I$12,regle!$I$11,""))))))))))</f>
        <v>RBST</v>
      </c>
      <c r="V239" t="str">
        <f>IF(NOT($A239),"",
IF(AP239=-2,regle!$J$11,
IF(AP239=regle!$B$12,regle!$B$11,
IF(AP239=regle!$C$12,regle!$C$11,
IF(AP239=regle!$D$12,regle!$D$11,
IF(AP239=regle!$E$12,regle!$E$11,
IF(AP239=regle!$F$12,regle!$F$11,
IF(AP239=regle!$G$12,regle!$G$11,
IF(AP239=regle!$H$12,regle!$H$11,
IF(AP239=regle!$I$12,regle!$I$11,""))))))))))</f>
        <v/>
      </c>
      <c r="W239" t="str">
        <f>IF(NOT($A239),"",
IF(AQ239=-2,regle!$J$11,
IF(AQ239=regle!$B$12,regle!$B$11,
IF(AQ239=regle!$C$12,regle!$C$11,
IF(AQ239=regle!$D$12,regle!$D$11,
IF(AQ239=regle!$E$12,regle!$E$11,
IF(AQ239=regle!$F$12,regle!$F$11,
IF(AQ239=regle!$G$12,regle!$G$11,
IF(AQ239=regle!$H$12,regle!$H$11,
IF(AQ239=regle!$I$12,regle!$I$11,""))))))))))</f>
        <v>DGT</v>
      </c>
      <c r="X239" t="str">
        <f>IF(NOT($A239),"",
IF(AR239=-2,regle!$J$11,
IF(AR239=regle!$B$12,regle!$B$11,
IF(AR239=regle!$C$12,regle!$C$11,
IF(AR239=regle!$D$12,regle!$D$11,
IF(AR239=regle!$E$12,regle!$E$11,
IF(AR239=regle!$F$12,regle!$F$11,
IF(AR239=regle!$G$12,regle!$G$11,
IF(AR239=regle!$H$12,regle!$H$11,
IF(AR239=regle!$I$12,regle!$I$11,""))))))))))</f>
        <v/>
      </c>
      <c r="Y239" t="str">
        <f>IF(NOT($A239),"",
IF(AS239=-2,regle!$J$11,
IF(AS239=regle!$B$12,regle!$B$11,
IF(AS239=regle!$C$12,regle!$C$11,
IF(AS239=regle!$D$12,regle!$D$11,
IF(AS239=regle!$E$12,regle!$E$11,
IF(AS239=regle!$F$12,regle!$F$11,
IF(AS239=regle!$G$12,regle!$G$11,
IF(AS239=regle!$H$12,regle!$H$11,
IF(AS239=regle!$I$12,regle!$I$11,""))))))))))</f>
        <v/>
      </c>
      <c r="Z239" t="str">
        <f>IF(NOT($A239),"",
IF(AT239=-2,regle!$J$11,
IF(AT239=regle!$B$12,regle!$B$11,
IF(AT239=regle!$C$12,regle!$C$11,
IF(AT239=regle!$D$12,regle!$D$11,
IF(AT239=regle!$E$12,regle!$E$11,
IF(AT239=regle!$F$12,regle!$F$11,
IF(AT239=regle!$G$12,regle!$G$11,
IF(AT239=regle!$H$12,regle!$H$11,
IF(AT239=regle!$I$12,regle!$I$11,""))))))))))</f>
        <v>ENT1</v>
      </c>
      <c r="AA239" t="str">
        <f>IF(NOT($A239),"",
IF(AU239=-2,regle!$J$11,
IF(AU239=regle!$B$12,regle!$B$11,
IF(AU239=regle!$C$12,regle!$C$11,
IF(AU239=regle!$D$12,regle!$D$11,
IF(AU239=regle!$E$12,regle!$E$11,
IF(AU239=regle!$F$12,regle!$F$11,
IF(AU239=regle!$G$12,regle!$G$11,
IF(AU239=regle!$H$12,regle!$H$11,
IF(AU239=regle!$I$12,regle!$I$11,""))))))))))</f>
        <v/>
      </c>
      <c r="AB239" t="str">
        <f>IF(NOT($A239),"",
IF(AV239=-2,regle!$J$11,
IF(AV239=regle!$B$12,regle!$B$11,
IF(AV239=regle!$C$12,regle!$C$11,
IF(AV239=regle!$D$12,regle!$D$11,
IF(AV239=regle!$E$12,regle!$E$11,
IF(AV239=regle!$F$12,regle!$F$11,
IF(AV239=regle!$G$12,regle!$G$11,
IF(AV239=regle!$H$12,regle!$H$11,
IF(AV239=regle!$I$12,regle!$I$11,""))))))))))</f>
        <v/>
      </c>
      <c r="AC239" t="str">
        <f>IF(NOT($A239),"",
IF(AW239=-2,regle!$J$11,
IF(AW239=regle!$B$12,regle!$B$11,
IF(AW239=regle!$C$12,regle!$C$11,
IF(AW239=regle!$D$12,regle!$D$11,
IF(AW239=regle!$E$12,regle!$E$11,
IF(AW239=regle!$F$12,regle!$F$11,
IF(AW239=regle!$G$12,regle!$G$11,
IF(AW239=regle!$H$12,regle!$H$11,
IF(AW239=regle!$I$12,regle!$I$11,""))))))))))</f>
        <v>ENT2</v>
      </c>
      <c r="AD239" t="str">
        <f>IF(NOT($A239),"",
IF(AX239=-2,regle!$J$11,
IF(AX239=regle!$B$12,regle!$B$11,
IF(AX239=regle!$C$12,regle!$C$11,
IF(AX239=regle!$D$12,regle!$D$11,
IF(AX239=regle!$E$12,regle!$E$11,
IF(AX239=regle!$F$12,regle!$F$11,
IF(AX239=regle!$G$12,regle!$G$11,
IF(AX239=regle!$H$12,regle!$H$11,
IF(AX239=regle!$I$12,regle!$I$11,""))))))))))</f>
        <v/>
      </c>
      <c r="AE239" s="14">
        <f>IF($A239,$M239*(IF(U239=regle!$B$11,regle!$B$23,IF(U239=regle!$C$11,regle!$C$23,IF(U239=regle!$D$11,regle!$D$23,IF(U239=regle!$E$11,regle!$E$23,IF(U239=regle!$F$11,regle!$F$23,IF(U239=regle!$G$11,regle!$G$23,IF(U239=regle!$H$11,regle!$H$23,IF(U239=regle!$I$11,regle!$I$23,IF(U239=regle!$J$11,regle!$J$23,0)))))))))))</f>
        <v>-136</v>
      </c>
      <c r="AF239" s="14">
        <f>IF($A239,$M239*(IF(V239=regle!$B$11,regle!$B$23,IF(V239=regle!$C$11,regle!$C$23,IF(V239=regle!$D$11,regle!$D$23,IF(V239=regle!$E$11,regle!$E$23,IF(V239=regle!$F$11,regle!$F$23,IF(V239=regle!$G$11,regle!$G$23,IF(V239=regle!$H$11,regle!$H$23,IF(V239=regle!$I$11,regle!$I$23,IF(V239=regle!$J$11,regle!$J$23,0)))))))))))</f>
        <v>0</v>
      </c>
      <c r="AG239" s="14">
        <f>IF($A239,$M239*(IF(W239=regle!$B$11,regle!$B$23,IF(W239=regle!$C$11,regle!$C$23,IF(W239=regle!$D$11,regle!$D$23,IF(W239=regle!$E$11,regle!$E$23,IF(W239=regle!$F$11,regle!$F$23,IF(W239=regle!$G$11,regle!$G$23,IF(W239=regle!$H$11,regle!$H$23,IF(W239=regle!$I$11,regle!$I$23,IF(W239=regle!$J$11,regle!$J$23,0)))))))))))</f>
        <v>-6</v>
      </c>
      <c r="AH239" s="14">
        <f>IF($A239,$M239*(IF(X239=regle!$B$11,regle!$B$23,IF(X239=regle!$C$11,regle!$C$23,IF(X239=regle!$D$11,regle!$D$23,IF(X239=regle!$E$11,regle!$E$23,IF(X239=regle!$F$11,regle!$F$23,IF(X239=regle!$G$11,regle!$G$23,IF(X239=regle!$H$11,regle!$H$23,IF(X239=regle!$I$11,regle!$I$23,IF(X239=regle!$J$11,regle!$J$23,0)))))))))))</f>
        <v>0</v>
      </c>
      <c r="AI239" s="14">
        <f>IF($A239,$M239*(IF(Y239=regle!$B$11,regle!$B$23,IF(Y239=regle!$C$11,regle!$C$23,IF(Y239=regle!$D$11,regle!$D$23,IF(Y239=regle!$E$11,regle!$E$23,IF(Y239=regle!$F$11,regle!$F$23,IF(Y239=regle!$G$11,regle!$G$23,IF(Y239=regle!$H$11,regle!$H$23,IF(Y239=regle!$I$11,regle!$I$23,IF(Y239=regle!$J$11,regle!$J$23,0)))))))))))</f>
        <v>0</v>
      </c>
      <c r="AJ239" s="14">
        <f>IF($A239,$M239*(IF(Z239=regle!$B$11,regle!$B$23,IF(Z239=regle!$C$11,regle!$C$23,IF(Z239=regle!$D$11,regle!$D$23,IF(Z239=regle!$E$11,regle!$E$23,IF(Z239=regle!$F$11,regle!$F$23,IF(Z239=regle!$G$11,regle!$G$23,IF(Z239=regle!$H$11,regle!$H$23,IF(Z239=regle!$I$11,regle!$I$23,IF(Z239=regle!$J$11,regle!$J$23,0)))))))))))</f>
        <v>-7.2</v>
      </c>
      <c r="AK239" s="14">
        <f>IF($A239,$M239*(IF(AA239=regle!$B$11,regle!$B$23,IF(AA239=regle!$C$11,regle!$C$23,IF(AA239=regle!$D$11,regle!$D$23,IF(AA239=regle!$E$11,regle!$E$23,IF(AA239=regle!$F$11,regle!$F$23,IF(AA239=regle!$G$11,regle!$G$23,IF(AA239=regle!$H$11,regle!$H$23,IF(AA239=regle!$I$11,regle!$I$23,IF(AA239=regle!$J$11,regle!$J$23,0)))))))))))</f>
        <v>0</v>
      </c>
      <c r="AL239" s="14">
        <f>IF($A239,$M239*(IF(AB239=regle!$B$11,regle!$B$23,IF(AB239=regle!$C$11,regle!$C$23,IF(AB239=regle!$D$11,regle!$D$23,IF(AB239=regle!$E$11,regle!$E$23,IF(AB239=regle!$F$11,regle!$F$23,IF(AB239=regle!$G$11,regle!$G$23,IF(AB239=regle!$H$11,regle!$H$23,IF(AB239=regle!$I$11,regle!$I$23,IF(AB239=regle!$J$11,regle!$J$23,0)))))))))))</f>
        <v>0</v>
      </c>
      <c r="AM239" s="14">
        <f>IF($A239,$M239*(IF(AC239=regle!$B$11,regle!$B$23,IF(AC239=regle!$C$11,regle!$C$23,IF(AC239=regle!$D$11,regle!$D$23,IF(AC239=regle!$E$11,regle!$E$23,IF(AC239=regle!$F$11,regle!$F$23,IF(AC239=regle!$G$11,regle!$G$23,IF(AC239=regle!$H$11,regle!$H$23,IF(AC239=regle!$I$11,regle!$I$23,IF(AC239=regle!$J$11,regle!$J$23,0)))))))))))</f>
        <v>-7.2</v>
      </c>
      <c r="AN239" s="14">
        <f>IF($A239,$M239*(IF(AD239=regle!$B$11,regle!$B$23,IF(AD239=regle!$C$11,regle!$C$23,IF(AD239=regle!$D$11,regle!$D$23,IF(AD239=regle!$E$11,regle!$E$23,IF(AD239=regle!$F$11,regle!$F$23,IF(AD239=regle!$G$11,regle!$G$23,IF(AD239=regle!$H$11,regle!$H$23,IF(AD239=regle!$I$11,regle!$I$23,IF(AD239=regle!$J$11,regle!$J$23,0)))))))))))</f>
        <v>0</v>
      </c>
      <c r="AO239">
        <f>IF(AO$1=$AO$1,IF(regle!B$2-$Q239&gt;=regle!$J$12,-2,IF($S239,IF(regle!$B$2-$Q239&gt;=2,0,-1),regle!B$2-$Q239)),IF(AN239+1&gt;=regle!$J$12,-2,AN239+1))</f>
        <v>0</v>
      </c>
      <c r="AP239">
        <f>IF(AP$1=$AO$1,IF(regle!C$2-$Q239&gt;=regle!$J$12,-2,IF($S239,IF(regle!$B$2-$Q239&gt;=2,0,-1),regle!C$2-$Q239)),IF(AO239+1&gt;=regle!$J$12,-2,AO239+1))</f>
        <v>1</v>
      </c>
      <c r="AQ239">
        <f>IF(AQ$1=$AO$1,IF(regle!D$2-$Q239&gt;=regle!$J$12,-2,IF($S239,IF(regle!$B$2-$Q239&gt;=2,0,-1),regle!D$2-$Q239)),IF(AP239+1&gt;=regle!$J$12,-2,AP239+1))</f>
        <v>2</v>
      </c>
      <c r="AR239">
        <f>IF(AR$1=$AO$1,IF(regle!E$2-$Q239&gt;=regle!$J$12,-2,IF($S239,IF(regle!$B$2-$Q239&gt;=2,0,-1),regle!E$2-$Q239)),IF(AQ239+1&gt;=regle!$J$12,-2,AQ239+1))</f>
        <v>3</v>
      </c>
      <c r="AS239">
        <f>IF(AS$1=$AO$1,IF(regle!F$2-$Q239&gt;=regle!$J$12,-2,IF($S239,IF(regle!$B$2-$Q239&gt;=2,0,-1),regle!F$2-$Q239)),IF(AR239+1&gt;=regle!$J$12,-2,AR239+1))</f>
        <v>4</v>
      </c>
      <c r="AT239">
        <f>IF(AT$1=$AO$1,IF(regle!G$2-$Q239&gt;=regle!$J$12,-2,IF($S239,IF(regle!$B$2-$Q239&gt;=2,0,-1),regle!G$2-$Q239)),IF(AS239+1&gt;=regle!$J$12,-2,AS239+1))</f>
        <v>5</v>
      </c>
      <c r="AU239">
        <f>IF(AU$1=$AO$1,IF(regle!H$2-$Q239&gt;=regle!$J$12,-2,IF($S239,IF(regle!$B$2-$Q239&gt;=2,0,-1),regle!H$2-$Q239)),IF(AT239+1&gt;=regle!$J$12,-2,AT239+1))</f>
        <v>6</v>
      </c>
      <c r="AV239">
        <f>IF(AV$1=$AO$1,IF(regle!I$2-$Q239&gt;=regle!$J$12,-2,IF($S239,IF(regle!$B$2-$Q239&gt;=2,0,-1),regle!I$2-$Q239)),IF(AU239+1&gt;=regle!$J$12,-2,AU239+1))</f>
        <v>7</v>
      </c>
      <c r="AW239">
        <f>IF(AW$1=$AO$1,IF(regle!J$2-$Q239&gt;=regle!$J$12,-2,IF($S239,IF(regle!$B$2-$Q239&gt;=2,0,-1),regle!J$2-$Q239)),IF(AV239+1&gt;=regle!$J$12,-2,AV239+1))</f>
        <v>8</v>
      </c>
      <c r="AX239">
        <f>IF(AX$1=$AO$1,IF(regle!K$2-$Q239&gt;=regle!$J$12,-2,IF($S239,IF(regle!$B$2-$Q239&gt;=2,0,-1),regle!K$2-$Q239)),IF(AW239+1&gt;=regle!$J$12,-2,AW239+1))</f>
        <v>9</v>
      </c>
    </row>
    <row r="240" spans="1:50" x14ac:dyDescent="0.25">
      <c r="A240" t="b">
        <f>AND(modif0[[#This Row],[cdstr]]&lt;&gt;0,OR(regle!$H$27=FALSE,modif0[[#This Row],[essnc]]="PM"))</f>
        <v>1</v>
      </c>
      <c r="B240">
        <f>ROW(objet!A282)</f>
        <v>282</v>
      </c>
      <c r="C240" s="10" t="str">
        <f>objet!D282</f>
        <v>1710000B0245</v>
      </c>
      <c r="D240" t="str">
        <f>LEFT(modif0[[#This Row],[cdstr]],3)</f>
        <v>171</v>
      </c>
      <c r="E240" s="10" t="str">
        <f>objet!G282</f>
        <v>MANO</v>
      </c>
      <c r="F240">
        <f>LEN(modif0[[#This Row],[l_dt]])</f>
        <v>17</v>
      </c>
      <c r="G240" s="10" t="str">
        <f>objet!H282</f>
        <v>LANDE DE TABARTON</v>
      </c>
      <c r="H240" s="10" t="str">
        <f>objet!C282</f>
        <v>B245</v>
      </c>
      <c r="I240" t="str">
        <f>IF(ISNUMBER(VALUE(RIGHT(LEFT(modif0[[#This Row],[idntfn]],2),1))),_xlfn.CONCAT(0,LEFT(modif0[[#This Row],[idntfn]],1)),LEFT(modif0[[#This Row],[idntfn]],2))</f>
        <v>0B</v>
      </c>
      <c r="J240">
        <f>VALUE(LEFT(RIGHT(modif0[[#This Row],[idntfn]],LEN(modif0[[#This Row],[idntfn]])-IF(LEFT(modif0[[#This Row],[sctn]],1)="0",1,2)),LEN(modif0[[#This Row],[idntfn]])-IF(LEFT(modif0[[#This Row],[sctn]],1)="0",1,2)-LEN(modif0[[#This Row],[lttr]])))</f>
        <v>245</v>
      </c>
      <c r="K240" t="str">
        <f>IF(ISNUMBER(VALUE(RIGHT(modif0[[#This Row],[idntfn]],1))),"",IF(ISNUMBER(VALUE(LEFT(RIGHT(modif0[[#This Row],[idntfn]],2),1))),RIGHT(modif0[[#This Row],[idntfn]],1),RIGHT(modif0[[#This Row],[idntfn]],2)))</f>
        <v/>
      </c>
      <c r="L240" s="10">
        <f>objet!I282</f>
        <v>17800</v>
      </c>
      <c r="M240" s="11">
        <f>modif0[[#This Row],[srfc]]/10000</f>
        <v>1.78</v>
      </c>
      <c r="N240" s="10" t="str">
        <f>objet!Z282</f>
        <v>PM</v>
      </c>
      <c r="O240" s="10" t="str">
        <f>objet!AA282</f>
        <v>CR2022</v>
      </c>
      <c r="P240" t="str">
        <f>IF(ISNUMBER(modif0[[#This Row],[trvx]]),"",LEFT(modif0[[#This Row],[trvx]],LEN(modif0[[#This Row],[trvx]])-4))</f>
        <v>CR</v>
      </c>
      <c r="Q240">
        <f>VALUE(RIGHT(modif0[[#This Row],[trvx]],4))</f>
        <v>2022</v>
      </c>
      <c r="R240" t="str">
        <f>_xlfn.CONCAT(modif0[[#This Row],[tp]],"-",modif0[[#This Row],[essnc]],"_",modif0[[#This Row],[anns]])</f>
        <v>CR-PM_2022</v>
      </c>
      <c r="S240" t="b">
        <f>modif0[[#This Row],[tp]]="CR"</f>
        <v>1</v>
      </c>
      <c r="T240">
        <v>40</v>
      </c>
      <c r="U240" t="str">
        <f>IF(NOT($A240),"",
IF(AO240=-2,regle!$J$11,
IF(AO240=regle!$B$12,regle!$B$11,
IF(AO240=regle!$C$12,regle!$C$11,
IF(AO240=regle!$D$12,regle!$D$11,
IF(AO240=regle!$E$12,regle!$E$11,
IF(AO240=regle!$F$12,regle!$F$11,
IF(AO240=regle!$G$12,regle!$G$11,
IF(AO240=regle!$H$12,regle!$H$11,
IF(AO240=regle!$I$12,regle!$I$11,""))))))))))</f>
        <v>RBST</v>
      </c>
      <c r="V240" t="str">
        <f>IF(NOT($A240),"",
IF(AP240=-2,regle!$J$11,
IF(AP240=regle!$B$12,regle!$B$11,
IF(AP240=regle!$C$12,regle!$C$11,
IF(AP240=regle!$D$12,regle!$D$11,
IF(AP240=regle!$E$12,regle!$E$11,
IF(AP240=regle!$F$12,regle!$F$11,
IF(AP240=regle!$G$12,regle!$G$11,
IF(AP240=regle!$H$12,regle!$H$11,
IF(AP240=regle!$I$12,regle!$I$11,""))))))))))</f>
        <v/>
      </c>
      <c r="W240" t="str">
        <f>IF(NOT($A240),"",
IF(AQ240=-2,regle!$J$11,
IF(AQ240=regle!$B$12,regle!$B$11,
IF(AQ240=regle!$C$12,regle!$C$11,
IF(AQ240=regle!$D$12,regle!$D$11,
IF(AQ240=regle!$E$12,regle!$E$11,
IF(AQ240=regle!$F$12,regle!$F$11,
IF(AQ240=regle!$G$12,regle!$G$11,
IF(AQ240=regle!$H$12,regle!$H$11,
IF(AQ240=regle!$I$12,regle!$I$11,""))))))))))</f>
        <v>DGT</v>
      </c>
      <c r="X240" t="str">
        <f>IF(NOT($A240),"",
IF(AR240=-2,regle!$J$11,
IF(AR240=regle!$B$12,regle!$B$11,
IF(AR240=regle!$C$12,regle!$C$11,
IF(AR240=regle!$D$12,regle!$D$11,
IF(AR240=regle!$E$12,regle!$E$11,
IF(AR240=regle!$F$12,regle!$F$11,
IF(AR240=regle!$G$12,regle!$G$11,
IF(AR240=regle!$H$12,regle!$H$11,
IF(AR240=regle!$I$12,regle!$I$11,""))))))))))</f>
        <v/>
      </c>
      <c r="Y240" t="str">
        <f>IF(NOT($A240),"",
IF(AS240=-2,regle!$J$11,
IF(AS240=regle!$B$12,regle!$B$11,
IF(AS240=regle!$C$12,regle!$C$11,
IF(AS240=regle!$D$12,regle!$D$11,
IF(AS240=regle!$E$12,regle!$E$11,
IF(AS240=regle!$F$12,regle!$F$11,
IF(AS240=regle!$G$12,regle!$G$11,
IF(AS240=regle!$H$12,regle!$H$11,
IF(AS240=regle!$I$12,regle!$I$11,""))))))))))</f>
        <v/>
      </c>
      <c r="Z240" t="str">
        <f>IF(NOT($A240),"",
IF(AT240=-2,regle!$J$11,
IF(AT240=regle!$B$12,regle!$B$11,
IF(AT240=regle!$C$12,regle!$C$11,
IF(AT240=regle!$D$12,regle!$D$11,
IF(AT240=regle!$E$12,regle!$E$11,
IF(AT240=regle!$F$12,regle!$F$11,
IF(AT240=regle!$G$12,regle!$G$11,
IF(AT240=regle!$H$12,regle!$H$11,
IF(AT240=regle!$I$12,regle!$I$11,""))))))))))</f>
        <v>ENT1</v>
      </c>
      <c r="AA240" t="str">
        <f>IF(NOT($A240),"",
IF(AU240=-2,regle!$J$11,
IF(AU240=regle!$B$12,regle!$B$11,
IF(AU240=regle!$C$12,regle!$C$11,
IF(AU240=regle!$D$12,regle!$D$11,
IF(AU240=regle!$E$12,regle!$E$11,
IF(AU240=regle!$F$12,regle!$F$11,
IF(AU240=regle!$G$12,regle!$G$11,
IF(AU240=regle!$H$12,regle!$H$11,
IF(AU240=regle!$I$12,regle!$I$11,""))))))))))</f>
        <v/>
      </c>
      <c r="AB240" t="str">
        <f>IF(NOT($A240),"",
IF(AV240=-2,regle!$J$11,
IF(AV240=regle!$B$12,regle!$B$11,
IF(AV240=regle!$C$12,regle!$C$11,
IF(AV240=regle!$D$12,regle!$D$11,
IF(AV240=regle!$E$12,regle!$E$11,
IF(AV240=regle!$F$12,regle!$F$11,
IF(AV240=regle!$G$12,regle!$G$11,
IF(AV240=regle!$H$12,regle!$H$11,
IF(AV240=regle!$I$12,regle!$I$11,""))))))))))</f>
        <v/>
      </c>
      <c r="AC240" t="str">
        <f>IF(NOT($A240),"",
IF(AW240=-2,regle!$J$11,
IF(AW240=regle!$B$12,regle!$B$11,
IF(AW240=regle!$C$12,regle!$C$11,
IF(AW240=regle!$D$12,regle!$D$11,
IF(AW240=regle!$E$12,regle!$E$11,
IF(AW240=regle!$F$12,regle!$F$11,
IF(AW240=regle!$G$12,regle!$G$11,
IF(AW240=regle!$H$12,regle!$H$11,
IF(AW240=regle!$I$12,regle!$I$11,""))))))))))</f>
        <v>ENT2</v>
      </c>
      <c r="AD240" t="str">
        <f>IF(NOT($A240),"",
IF(AX240=-2,regle!$J$11,
IF(AX240=regle!$B$12,regle!$B$11,
IF(AX240=regle!$C$12,regle!$C$11,
IF(AX240=regle!$D$12,regle!$D$11,
IF(AX240=regle!$E$12,regle!$E$11,
IF(AX240=regle!$F$12,regle!$F$11,
IF(AX240=regle!$G$12,regle!$G$11,
IF(AX240=regle!$H$12,regle!$H$11,
IF(AX240=regle!$I$12,regle!$I$11,""))))))))))</f>
        <v/>
      </c>
      <c r="AE240" s="14">
        <f>IF($A240,$M240*(IF(U240=regle!$B$11,regle!$B$23,IF(U240=regle!$C$11,regle!$C$23,IF(U240=regle!$D$11,regle!$D$23,IF(U240=regle!$E$11,regle!$E$23,IF(U240=regle!$F$11,regle!$F$23,IF(U240=regle!$G$11,regle!$G$23,IF(U240=regle!$H$11,regle!$H$23,IF(U240=regle!$I$11,regle!$I$23,IF(U240=regle!$J$11,regle!$J$23,0)))))))))))</f>
        <v>-3026</v>
      </c>
      <c r="AF240" s="14">
        <f>IF($A240,$M240*(IF(V240=regle!$B$11,regle!$B$23,IF(V240=regle!$C$11,regle!$C$23,IF(V240=regle!$D$11,regle!$D$23,IF(V240=regle!$E$11,regle!$E$23,IF(V240=regle!$F$11,regle!$F$23,IF(V240=regle!$G$11,regle!$G$23,IF(V240=regle!$H$11,regle!$H$23,IF(V240=regle!$I$11,regle!$I$23,IF(V240=regle!$J$11,regle!$J$23,0)))))))))))</f>
        <v>0</v>
      </c>
      <c r="AG240" s="14">
        <f>IF($A240,$M240*(IF(W240=regle!$B$11,regle!$B$23,IF(W240=regle!$C$11,regle!$C$23,IF(W240=regle!$D$11,regle!$D$23,IF(W240=regle!$E$11,regle!$E$23,IF(W240=regle!$F$11,regle!$F$23,IF(W240=regle!$G$11,regle!$G$23,IF(W240=regle!$H$11,regle!$H$23,IF(W240=regle!$I$11,regle!$I$23,IF(W240=regle!$J$11,regle!$J$23,0)))))))))))</f>
        <v>-133.5</v>
      </c>
      <c r="AH240" s="14">
        <f>IF($A240,$M240*(IF(X240=regle!$B$11,regle!$B$23,IF(X240=regle!$C$11,regle!$C$23,IF(X240=regle!$D$11,regle!$D$23,IF(X240=regle!$E$11,regle!$E$23,IF(X240=regle!$F$11,regle!$F$23,IF(X240=regle!$G$11,regle!$G$23,IF(X240=regle!$H$11,regle!$H$23,IF(X240=regle!$I$11,regle!$I$23,IF(X240=regle!$J$11,regle!$J$23,0)))))))))))</f>
        <v>0</v>
      </c>
      <c r="AI240" s="14">
        <f>IF($A240,$M240*(IF(Y240=regle!$B$11,regle!$B$23,IF(Y240=regle!$C$11,regle!$C$23,IF(Y240=regle!$D$11,regle!$D$23,IF(Y240=regle!$E$11,regle!$E$23,IF(Y240=regle!$F$11,regle!$F$23,IF(Y240=regle!$G$11,regle!$G$23,IF(Y240=regle!$H$11,regle!$H$23,IF(Y240=regle!$I$11,regle!$I$23,IF(Y240=regle!$J$11,regle!$J$23,0)))))))))))</f>
        <v>0</v>
      </c>
      <c r="AJ240" s="14">
        <f>IF($A240,$M240*(IF(Z240=regle!$B$11,regle!$B$23,IF(Z240=regle!$C$11,regle!$C$23,IF(Z240=regle!$D$11,regle!$D$23,IF(Z240=regle!$E$11,regle!$E$23,IF(Z240=regle!$F$11,regle!$F$23,IF(Z240=regle!$G$11,regle!$G$23,IF(Z240=regle!$H$11,regle!$H$23,IF(Z240=regle!$I$11,regle!$I$23,IF(Z240=regle!$J$11,regle!$J$23,0)))))))))))</f>
        <v>-160.19999999999999</v>
      </c>
      <c r="AK240" s="14">
        <f>IF($A240,$M240*(IF(AA240=regle!$B$11,regle!$B$23,IF(AA240=regle!$C$11,regle!$C$23,IF(AA240=regle!$D$11,regle!$D$23,IF(AA240=regle!$E$11,regle!$E$23,IF(AA240=regle!$F$11,regle!$F$23,IF(AA240=regle!$G$11,regle!$G$23,IF(AA240=regle!$H$11,regle!$H$23,IF(AA240=regle!$I$11,regle!$I$23,IF(AA240=regle!$J$11,regle!$J$23,0)))))))))))</f>
        <v>0</v>
      </c>
      <c r="AL240" s="14">
        <f>IF($A240,$M240*(IF(AB240=regle!$B$11,regle!$B$23,IF(AB240=regle!$C$11,regle!$C$23,IF(AB240=regle!$D$11,regle!$D$23,IF(AB240=regle!$E$11,regle!$E$23,IF(AB240=regle!$F$11,regle!$F$23,IF(AB240=regle!$G$11,regle!$G$23,IF(AB240=regle!$H$11,regle!$H$23,IF(AB240=regle!$I$11,regle!$I$23,IF(AB240=regle!$J$11,regle!$J$23,0)))))))))))</f>
        <v>0</v>
      </c>
      <c r="AM240" s="14">
        <f>IF($A240,$M240*(IF(AC240=regle!$B$11,regle!$B$23,IF(AC240=regle!$C$11,regle!$C$23,IF(AC240=regle!$D$11,regle!$D$23,IF(AC240=regle!$E$11,regle!$E$23,IF(AC240=regle!$F$11,regle!$F$23,IF(AC240=regle!$G$11,regle!$G$23,IF(AC240=regle!$H$11,regle!$H$23,IF(AC240=regle!$I$11,regle!$I$23,IF(AC240=regle!$J$11,regle!$J$23,0)))))))))))</f>
        <v>-160.19999999999999</v>
      </c>
      <c r="AN240" s="14">
        <f>IF($A240,$M240*(IF(AD240=regle!$B$11,regle!$B$23,IF(AD240=regle!$C$11,regle!$C$23,IF(AD240=regle!$D$11,regle!$D$23,IF(AD240=regle!$E$11,regle!$E$23,IF(AD240=regle!$F$11,regle!$F$23,IF(AD240=regle!$G$11,regle!$G$23,IF(AD240=regle!$H$11,regle!$H$23,IF(AD240=regle!$I$11,regle!$I$23,IF(AD240=regle!$J$11,regle!$J$23,0)))))))))))</f>
        <v>0</v>
      </c>
      <c r="AO240">
        <f>IF(AO$1=$AO$1,IF(regle!B$2-$Q240&gt;=regle!$J$12,-2,IF($S240,IF(regle!$B$2-$Q240&gt;=2,0,-1),regle!B$2-$Q240)),IF(AN240+1&gt;=regle!$J$12,-2,AN240+1))</f>
        <v>0</v>
      </c>
      <c r="AP240">
        <f>IF(AP$1=$AO$1,IF(regle!C$2-$Q240&gt;=regle!$J$12,-2,IF($S240,IF(regle!$B$2-$Q240&gt;=2,0,-1),regle!C$2-$Q240)),IF(AO240+1&gt;=regle!$J$12,-2,AO240+1))</f>
        <v>1</v>
      </c>
      <c r="AQ240">
        <f>IF(AQ$1=$AO$1,IF(regle!D$2-$Q240&gt;=regle!$J$12,-2,IF($S240,IF(regle!$B$2-$Q240&gt;=2,0,-1),regle!D$2-$Q240)),IF(AP240+1&gt;=regle!$J$12,-2,AP240+1))</f>
        <v>2</v>
      </c>
      <c r="AR240">
        <f>IF(AR$1=$AO$1,IF(regle!E$2-$Q240&gt;=regle!$J$12,-2,IF($S240,IF(regle!$B$2-$Q240&gt;=2,0,-1),regle!E$2-$Q240)),IF(AQ240+1&gt;=regle!$J$12,-2,AQ240+1))</f>
        <v>3</v>
      </c>
      <c r="AS240">
        <f>IF(AS$1=$AO$1,IF(regle!F$2-$Q240&gt;=regle!$J$12,-2,IF($S240,IF(regle!$B$2-$Q240&gt;=2,0,-1),regle!F$2-$Q240)),IF(AR240+1&gt;=regle!$J$12,-2,AR240+1))</f>
        <v>4</v>
      </c>
      <c r="AT240">
        <f>IF(AT$1=$AO$1,IF(regle!G$2-$Q240&gt;=regle!$J$12,-2,IF($S240,IF(regle!$B$2-$Q240&gt;=2,0,-1),regle!G$2-$Q240)),IF(AS240+1&gt;=regle!$J$12,-2,AS240+1))</f>
        <v>5</v>
      </c>
      <c r="AU240">
        <f>IF(AU$1=$AO$1,IF(regle!H$2-$Q240&gt;=regle!$J$12,-2,IF($S240,IF(regle!$B$2-$Q240&gt;=2,0,-1),regle!H$2-$Q240)),IF(AT240+1&gt;=regle!$J$12,-2,AT240+1))</f>
        <v>6</v>
      </c>
      <c r="AV240">
        <f>IF(AV$1=$AO$1,IF(regle!I$2-$Q240&gt;=regle!$J$12,-2,IF($S240,IF(regle!$B$2-$Q240&gt;=2,0,-1),regle!I$2-$Q240)),IF(AU240+1&gt;=regle!$J$12,-2,AU240+1))</f>
        <v>7</v>
      </c>
      <c r="AW240">
        <f>IF(AW$1=$AO$1,IF(regle!J$2-$Q240&gt;=regle!$J$12,-2,IF($S240,IF(regle!$B$2-$Q240&gt;=2,0,-1),regle!J$2-$Q240)),IF(AV240+1&gt;=regle!$J$12,-2,AV240+1))</f>
        <v>8</v>
      </c>
      <c r="AX240">
        <f>IF(AX$1=$AO$1,IF(regle!K$2-$Q240&gt;=regle!$J$12,-2,IF($S240,IF(regle!$B$2-$Q240&gt;=2,0,-1),regle!K$2-$Q240)),IF(AW240+1&gt;=regle!$J$12,-2,AW240+1))</f>
        <v>9</v>
      </c>
    </row>
    <row r="241" spans="1:50" x14ac:dyDescent="0.25">
      <c r="A241" t="b">
        <f>AND(modif0[[#This Row],[cdstr]]&lt;&gt;0,OR(regle!$H$27=FALSE,modif0[[#This Row],[essnc]]="PM"))</f>
        <v>1</v>
      </c>
      <c r="B241">
        <f>ROW(objet!A283)</f>
        <v>283</v>
      </c>
      <c r="C241" s="10" t="str">
        <f>objet!D283</f>
        <v>1710000B0246</v>
      </c>
      <c r="D241" t="str">
        <f>LEFT(modif0[[#This Row],[cdstr]],3)</f>
        <v>171</v>
      </c>
      <c r="E241" s="10" t="str">
        <f>objet!G283</f>
        <v>MANO</v>
      </c>
      <c r="F241">
        <f>LEN(modif0[[#This Row],[l_dt]])</f>
        <v>17</v>
      </c>
      <c r="G241" s="10" t="str">
        <f>objet!H283</f>
        <v>LANDE DE TABARTON</v>
      </c>
      <c r="H241" s="10" t="str">
        <f>objet!C283</f>
        <v>B246</v>
      </c>
      <c r="I241" t="str">
        <f>IF(ISNUMBER(VALUE(RIGHT(LEFT(modif0[[#This Row],[idntfn]],2),1))),_xlfn.CONCAT(0,LEFT(modif0[[#This Row],[idntfn]],1)),LEFT(modif0[[#This Row],[idntfn]],2))</f>
        <v>0B</v>
      </c>
      <c r="J241">
        <f>VALUE(LEFT(RIGHT(modif0[[#This Row],[idntfn]],LEN(modif0[[#This Row],[idntfn]])-IF(LEFT(modif0[[#This Row],[sctn]],1)="0",1,2)),LEN(modif0[[#This Row],[idntfn]])-IF(LEFT(modif0[[#This Row],[sctn]],1)="0",1,2)-LEN(modif0[[#This Row],[lttr]])))</f>
        <v>246</v>
      </c>
      <c r="K241" t="str">
        <f>IF(ISNUMBER(VALUE(RIGHT(modif0[[#This Row],[idntfn]],1))),"",IF(ISNUMBER(VALUE(LEFT(RIGHT(modif0[[#This Row],[idntfn]],2),1))),RIGHT(modif0[[#This Row],[idntfn]],1),RIGHT(modif0[[#This Row],[idntfn]],2)))</f>
        <v/>
      </c>
      <c r="L241" s="10">
        <f>objet!I283</f>
        <v>8160</v>
      </c>
      <c r="M241" s="11">
        <f>modif0[[#This Row],[srfc]]/10000</f>
        <v>0.81599999999999995</v>
      </c>
      <c r="N241" s="10" t="str">
        <f>objet!Z283</f>
        <v>PM</v>
      </c>
      <c r="O241" s="10" t="str">
        <f>objet!AA283</f>
        <v>CR2022</v>
      </c>
      <c r="P241" t="str">
        <f>IF(ISNUMBER(modif0[[#This Row],[trvx]]),"",LEFT(modif0[[#This Row],[trvx]],LEN(modif0[[#This Row],[trvx]])-4))</f>
        <v>CR</v>
      </c>
      <c r="Q241">
        <f>VALUE(RIGHT(modif0[[#This Row],[trvx]],4))</f>
        <v>2022</v>
      </c>
      <c r="R241" t="str">
        <f>_xlfn.CONCAT(modif0[[#This Row],[tp]],"-",modif0[[#This Row],[essnc]],"_",modif0[[#This Row],[anns]])</f>
        <v>CR-PM_2022</v>
      </c>
      <c r="S241" t="b">
        <f>modif0[[#This Row],[tp]]="CR"</f>
        <v>1</v>
      </c>
      <c r="T241">
        <v>40</v>
      </c>
      <c r="U241" t="str">
        <f>IF(NOT($A241),"",
IF(AO241=-2,regle!$J$11,
IF(AO241=regle!$B$12,regle!$B$11,
IF(AO241=regle!$C$12,regle!$C$11,
IF(AO241=regle!$D$12,regle!$D$11,
IF(AO241=regle!$E$12,regle!$E$11,
IF(AO241=regle!$F$12,regle!$F$11,
IF(AO241=regle!$G$12,regle!$G$11,
IF(AO241=regle!$H$12,regle!$H$11,
IF(AO241=regle!$I$12,regle!$I$11,""))))))))))</f>
        <v>RBST</v>
      </c>
      <c r="V241" t="str">
        <f>IF(NOT($A241),"",
IF(AP241=-2,regle!$J$11,
IF(AP241=regle!$B$12,regle!$B$11,
IF(AP241=regle!$C$12,regle!$C$11,
IF(AP241=regle!$D$12,regle!$D$11,
IF(AP241=regle!$E$12,regle!$E$11,
IF(AP241=regle!$F$12,regle!$F$11,
IF(AP241=regle!$G$12,regle!$G$11,
IF(AP241=regle!$H$12,regle!$H$11,
IF(AP241=regle!$I$12,regle!$I$11,""))))))))))</f>
        <v/>
      </c>
      <c r="W241" t="str">
        <f>IF(NOT($A241),"",
IF(AQ241=-2,regle!$J$11,
IF(AQ241=regle!$B$12,regle!$B$11,
IF(AQ241=regle!$C$12,regle!$C$11,
IF(AQ241=regle!$D$12,regle!$D$11,
IF(AQ241=regle!$E$12,regle!$E$11,
IF(AQ241=regle!$F$12,regle!$F$11,
IF(AQ241=regle!$G$12,regle!$G$11,
IF(AQ241=regle!$H$12,regle!$H$11,
IF(AQ241=regle!$I$12,regle!$I$11,""))))))))))</f>
        <v>DGT</v>
      </c>
      <c r="X241" t="str">
        <f>IF(NOT($A241),"",
IF(AR241=-2,regle!$J$11,
IF(AR241=regle!$B$12,regle!$B$11,
IF(AR241=regle!$C$12,regle!$C$11,
IF(AR241=regle!$D$12,regle!$D$11,
IF(AR241=regle!$E$12,regle!$E$11,
IF(AR241=regle!$F$12,regle!$F$11,
IF(AR241=regle!$G$12,regle!$G$11,
IF(AR241=regle!$H$12,regle!$H$11,
IF(AR241=regle!$I$12,regle!$I$11,""))))))))))</f>
        <v/>
      </c>
      <c r="Y241" t="str">
        <f>IF(NOT($A241),"",
IF(AS241=-2,regle!$J$11,
IF(AS241=regle!$B$12,regle!$B$11,
IF(AS241=regle!$C$12,regle!$C$11,
IF(AS241=regle!$D$12,regle!$D$11,
IF(AS241=regle!$E$12,regle!$E$11,
IF(AS241=regle!$F$12,regle!$F$11,
IF(AS241=regle!$G$12,regle!$G$11,
IF(AS241=regle!$H$12,regle!$H$11,
IF(AS241=regle!$I$12,regle!$I$11,""))))))))))</f>
        <v/>
      </c>
      <c r="Z241" t="str">
        <f>IF(NOT($A241),"",
IF(AT241=-2,regle!$J$11,
IF(AT241=regle!$B$12,regle!$B$11,
IF(AT241=regle!$C$12,regle!$C$11,
IF(AT241=regle!$D$12,regle!$D$11,
IF(AT241=regle!$E$12,regle!$E$11,
IF(AT241=regle!$F$12,regle!$F$11,
IF(AT241=regle!$G$12,regle!$G$11,
IF(AT241=regle!$H$12,regle!$H$11,
IF(AT241=regle!$I$12,regle!$I$11,""))))))))))</f>
        <v>ENT1</v>
      </c>
      <c r="AA241" t="str">
        <f>IF(NOT($A241),"",
IF(AU241=-2,regle!$J$11,
IF(AU241=regle!$B$12,regle!$B$11,
IF(AU241=regle!$C$12,regle!$C$11,
IF(AU241=regle!$D$12,regle!$D$11,
IF(AU241=regle!$E$12,regle!$E$11,
IF(AU241=regle!$F$12,regle!$F$11,
IF(AU241=regle!$G$12,regle!$G$11,
IF(AU241=regle!$H$12,regle!$H$11,
IF(AU241=regle!$I$12,regle!$I$11,""))))))))))</f>
        <v/>
      </c>
      <c r="AB241" t="str">
        <f>IF(NOT($A241),"",
IF(AV241=-2,regle!$J$11,
IF(AV241=regle!$B$12,regle!$B$11,
IF(AV241=regle!$C$12,regle!$C$11,
IF(AV241=regle!$D$12,regle!$D$11,
IF(AV241=regle!$E$12,regle!$E$11,
IF(AV241=regle!$F$12,regle!$F$11,
IF(AV241=regle!$G$12,regle!$G$11,
IF(AV241=regle!$H$12,regle!$H$11,
IF(AV241=regle!$I$12,regle!$I$11,""))))))))))</f>
        <v/>
      </c>
      <c r="AC241" t="str">
        <f>IF(NOT($A241),"",
IF(AW241=-2,regle!$J$11,
IF(AW241=regle!$B$12,regle!$B$11,
IF(AW241=regle!$C$12,regle!$C$11,
IF(AW241=regle!$D$12,regle!$D$11,
IF(AW241=regle!$E$12,regle!$E$11,
IF(AW241=regle!$F$12,regle!$F$11,
IF(AW241=regle!$G$12,regle!$G$11,
IF(AW241=regle!$H$12,regle!$H$11,
IF(AW241=regle!$I$12,regle!$I$11,""))))))))))</f>
        <v>ENT2</v>
      </c>
      <c r="AD241" t="str">
        <f>IF(NOT($A241),"",
IF(AX241=-2,regle!$J$11,
IF(AX241=regle!$B$12,regle!$B$11,
IF(AX241=regle!$C$12,regle!$C$11,
IF(AX241=regle!$D$12,regle!$D$11,
IF(AX241=regle!$E$12,regle!$E$11,
IF(AX241=regle!$F$12,regle!$F$11,
IF(AX241=regle!$G$12,regle!$G$11,
IF(AX241=regle!$H$12,regle!$H$11,
IF(AX241=regle!$I$12,regle!$I$11,""))))))))))</f>
        <v/>
      </c>
      <c r="AE241" s="14">
        <f>IF($A241,$M241*(IF(U241=regle!$B$11,regle!$B$23,IF(U241=regle!$C$11,regle!$C$23,IF(U241=regle!$D$11,regle!$D$23,IF(U241=regle!$E$11,regle!$E$23,IF(U241=regle!$F$11,regle!$F$23,IF(U241=regle!$G$11,regle!$G$23,IF(U241=regle!$H$11,regle!$H$23,IF(U241=regle!$I$11,regle!$I$23,IF(U241=regle!$J$11,regle!$J$23,0)))))))))))</f>
        <v>-1387.1999999999998</v>
      </c>
      <c r="AF241" s="14">
        <f>IF($A241,$M241*(IF(V241=regle!$B$11,regle!$B$23,IF(V241=regle!$C$11,regle!$C$23,IF(V241=regle!$D$11,regle!$D$23,IF(V241=regle!$E$11,regle!$E$23,IF(V241=regle!$F$11,regle!$F$23,IF(V241=regle!$G$11,regle!$G$23,IF(V241=regle!$H$11,regle!$H$23,IF(V241=regle!$I$11,regle!$I$23,IF(V241=regle!$J$11,regle!$J$23,0)))))))))))</f>
        <v>0</v>
      </c>
      <c r="AG241" s="14">
        <f>IF($A241,$M241*(IF(W241=regle!$B$11,regle!$B$23,IF(W241=regle!$C$11,regle!$C$23,IF(W241=regle!$D$11,regle!$D$23,IF(W241=regle!$E$11,regle!$E$23,IF(W241=regle!$F$11,regle!$F$23,IF(W241=regle!$G$11,regle!$G$23,IF(W241=regle!$H$11,regle!$H$23,IF(W241=regle!$I$11,regle!$I$23,IF(W241=regle!$J$11,regle!$J$23,0)))))))))))</f>
        <v>-61.199999999999996</v>
      </c>
      <c r="AH241" s="14">
        <f>IF($A241,$M241*(IF(X241=regle!$B$11,regle!$B$23,IF(X241=regle!$C$11,regle!$C$23,IF(X241=regle!$D$11,regle!$D$23,IF(X241=regle!$E$11,regle!$E$23,IF(X241=regle!$F$11,regle!$F$23,IF(X241=regle!$G$11,regle!$G$23,IF(X241=regle!$H$11,regle!$H$23,IF(X241=regle!$I$11,regle!$I$23,IF(X241=regle!$J$11,regle!$J$23,0)))))))))))</f>
        <v>0</v>
      </c>
      <c r="AI241" s="14">
        <f>IF($A241,$M241*(IF(Y241=regle!$B$11,regle!$B$23,IF(Y241=regle!$C$11,regle!$C$23,IF(Y241=regle!$D$11,regle!$D$23,IF(Y241=regle!$E$11,regle!$E$23,IF(Y241=regle!$F$11,regle!$F$23,IF(Y241=regle!$G$11,regle!$G$23,IF(Y241=regle!$H$11,regle!$H$23,IF(Y241=regle!$I$11,regle!$I$23,IF(Y241=regle!$J$11,regle!$J$23,0)))))))))))</f>
        <v>0</v>
      </c>
      <c r="AJ241" s="14">
        <f>IF($A241,$M241*(IF(Z241=regle!$B$11,regle!$B$23,IF(Z241=regle!$C$11,regle!$C$23,IF(Z241=regle!$D$11,regle!$D$23,IF(Z241=regle!$E$11,regle!$E$23,IF(Z241=regle!$F$11,regle!$F$23,IF(Z241=regle!$G$11,regle!$G$23,IF(Z241=regle!$H$11,regle!$H$23,IF(Z241=regle!$I$11,regle!$I$23,IF(Z241=regle!$J$11,regle!$J$23,0)))))))))))</f>
        <v>-73.44</v>
      </c>
      <c r="AK241" s="14">
        <f>IF($A241,$M241*(IF(AA241=regle!$B$11,regle!$B$23,IF(AA241=regle!$C$11,regle!$C$23,IF(AA241=regle!$D$11,regle!$D$23,IF(AA241=regle!$E$11,regle!$E$23,IF(AA241=regle!$F$11,regle!$F$23,IF(AA241=regle!$G$11,regle!$G$23,IF(AA241=regle!$H$11,regle!$H$23,IF(AA241=regle!$I$11,regle!$I$23,IF(AA241=regle!$J$11,regle!$J$23,0)))))))))))</f>
        <v>0</v>
      </c>
      <c r="AL241" s="14">
        <f>IF($A241,$M241*(IF(AB241=regle!$B$11,regle!$B$23,IF(AB241=regle!$C$11,regle!$C$23,IF(AB241=regle!$D$11,regle!$D$23,IF(AB241=regle!$E$11,regle!$E$23,IF(AB241=regle!$F$11,regle!$F$23,IF(AB241=regle!$G$11,regle!$G$23,IF(AB241=regle!$H$11,regle!$H$23,IF(AB241=regle!$I$11,regle!$I$23,IF(AB241=regle!$J$11,regle!$J$23,0)))))))))))</f>
        <v>0</v>
      </c>
      <c r="AM241" s="14">
        <f>IF($A241,$M241*(IF(AC241=regle!$B$11,regle!$B$23,IF(AC241=regle!$C$11,regle!$C$23,IF(AC241=regle!$D$11,regle!$D$23,IF(AC241=regle!$E$11,regle!$E$23,IF(AC241=regle!$F$11,regle!$F$23,IF(AC241=regle!$G$11,regle!$G$23,IF(AC241=regle!$H$11,regle!$H$23,IF(AC241=regle!$I$11,regle!$I$23,IF(AC241=regle!$J$11,regle!$J$23,0)))))))))))</f>
        <v>-73.44</v>
      </c>
      <c r="AN241" s="14">
        <f>IF($A241,$M241*(IF(AD241=regle!$B$11,regle!$B$23,IF(AD241=regle!$C$11,regle!$C$23,IF(AD241=regle!$D$11,regle!$D$23,IF(AD241=regle!$E$11,regle!$E$23,IF(AD241=regle!$F$11,regle!$F$23,IF(AD241=regle!$G$11,regle!$G$23,IF(AD241=regle!$H$11,regle!$H$23,IF(AD241=regle!$I$11,regle!$I$23,IF(AD241=regle!$J$11,regle!$J$23,0)))))))))))</f>
        <v>0</v>
      </c>
      <c r="AO241">
        <f>IF(AO$1=$AO$1,IF(regle!B$2-$Q241&gt;=regle!$J$12,-2,IF($S241,IF(regle!$B$2-$Q241&gt;=2,0,-1),regle!B$2-$Q241)),IF(AN241+1&gt;=regle!$J$12,-2,AN241+1))</f>
        <v>0</v>
      </c>
      <c r="AP241">
        <f>IF(AP$1=$AO$1,IF(regle!C$2-$Q241&gt;=regle!$J$12,-2,IF($S241,IF(regle!$B$2-$Q241&gt;=2,0,-1),regle!C$2-$Q241)),IF(AO241+1&gt;=regle!$J$12,-2,AO241+1))</f>
        <v>1</v>
      </c>
      <c r="AQ241">
        <f>IF(AQ$1=$AO$1,IF(regle!D$2-$Q241&gt;=regle!$J$12,-2,IF($S241,IF(regle!$B$2-$Q241&gt;=2,0,-1),regle!D$2-$Q241)),IF(AP241+1&gt;=regle!$J$12,-2,AP241+1))</f>
        <v>2</v>
      </c>
      <c r="AR241">
        <f>IF(AR$1=$AO$1,IF(regle!E$2-$Q241&gt;=regle!$J$12,-2,IF($S241,IF(regle!$B$2-$Q241&gt;=2,0,-1),regle!E$2-$Q241)),IF(AQ241+1&gt;=regle!$J$12,-2,AQ241+1))</f>
        <v>3</v>
      </c>
      <c r="AS241">
        <f>IF(AS$1=$AO$1,IF(regle!F$2-$Q241&gt;=regle!$J$12,-2,IF($S241,IF(regle!$B$2-$Q241&gt;=2,0,-1),regle!F$2-$Q241)),IF(AR241+1&gt;=regle!$J$12,-2,AR241+1))</f>
        <v>4</v>
      </c>
      <c r="AT241">
        <f>IF(AT$1=$AO$1,IF(regle!G$2-$Q241&gt;=regle!$J$12,-2,IF($S241,IF(regle!$B$2-$Q241&gt;=2,0,-1),regle!G$2-$Q241)),IF(AS241+1&gt;=regle!$J$12,-2,AS241+1))</f>
        <v>5</v>
      </c>
      <c r="AU241">
        <f>IF(AU$1=$AO$1,IF(regle!H$2-$Q241&gt;=regle!$J$12,-2,IF($S241,IF(regle!$B$2-$Q241&gt;=2,0,-1),regle!H$2-$Q241)),IF(AT241+1&gt;=regle!$J$12,-2,AT241+1))</f>
        <v>6</v>
      </c>
      <c r="AV241">
        <f>IF(AV$1=$AO$1,IF(regle!I$2-$Q241&gt;=regle!$J$12,-2,IF($S241,IF(regle!$B$2-$Q241&gt;=2,0,-1),regle!I$2-$Q241)),IF(AU241+1&gt;=regle!$J$12,-2,AU241+1))</f>
        <v>7</v>
      </c>
      <c r="AW241">
        <f>IF(AW$1=$AO$1,IF(regle!J$2-$Q241&gt;=regle!$J$12,-2,IF($S241,IF(regle!$B$2-$Q241&gt;=2,0,-1),regle!J$2-$Q241)),IF(AV241+1&gt;=regle!$J$12,-2,AV241+1))</f>
        <v>8</v>
      </c>
      <c r="AX241">
        <f>IF(AX$1=$AO$1,IF(regle!K$2-$Q241&gt;=regle!$J$12,-2,IF($S241,IF(regle!$B$2-$Q241&gt;=2,0,-1),regle!K$2-$Q241)),IF(AW241+1&gt;=regle!$J$12,-2,AW241+1))</f>
        <v>9</v>
      </c>
    </row>
    <row r="242" spans="1:50" x14ac:dyDescent="0.25">
      <c r="A242" t="b">
        <f>AND(modif0[[#This Row],[cdstr]]&lt;&gt;0,OR(regle!$H$27=FALSE,modif0[[#This Row],[essnc]]="PM"))</f>
        <v>1</v>
      </c>
      <c r="B242">
        <f>ROW(objet!A284)</f>
        <v>284</v>
      </c>
      <c r="C242" s="10" t="str">
        <f>objet!D284</f>
        <v>1710000B0247</v>
      </c>
      <c r="D242" t="str">
        <f>LEFT(modif0[[#This Row],[cdstr]],3)</f>
        <v>171</v>
      </c>
      <c r="E242" s="10" t="str">
        <f>objet!G284</f>
        <v>MANO</v>
      </c>
      <c r="F242">
        <f>LEN(modif0[[#This Row],[l_dt]])</f>
        <v>17</v>
      </c>
      <c r="G242" s="10" t="str">
        <f>objet!H284</f>
        <v>LANDE DE TABARTON</v>
      </c>
      <c r="H242" s="10" t="str">
        <f>objet!C284</f>
        <v>B247</v>
      </c>
      <c r="I242" t="str">
        <f>IF(ISNUMBER(VALUE(RIGHT(LEFT(modif0[[#This Row],[idntfn]],2),1))),_xlfn.CONCAT(0,LEFT(modif0[[#This Row],[idntfn]],1)),LEFT(modif0[[#This Row],[idntfn]],2))</f>
        <v>0B</v>
      </c>
      <c r="J242">
        <f>VALUE(LEFT(RIGHT(modif0[[#This Row],[idntfn]],LEN(modif0[[#This Row],[idntfn]])-IF(LEFT(modif0[[#This Row],[sctn]],1)="0",1,2)),LEN(modif0[[#This Row],[idntfn]])-IF(LEFT(modif0[[#This Row],[sctn]],1)="0",1,2)-LEN(modif0[[#This Row],[lttr]])))</f>
        <v>247</v>
      </c>
      <c r="K242" t="str">
        <f>IF(ISNUMBER(VALUE(RIGHT(modif0[[#This Row],[idntfn]],1))),"",IF(ISNUMBER(VALUE(LEFT(RIGHT(modif0[[#This Row],[idntfn]],2),1))),RIGHT(modif0[[#This Row],[idntfn]],1),RIGHT(modif0[[#This Row],[idntfn]],2)))</f>
        <v/>
      </c>
      <c r="L242" s="10">
        <f>objet!I284</f>
        <v>6000</v>
      </c>
      <c r="M242" s="11">
        <f>modif0[[#This Row],[srfc]]/10000</f>
        <v>0.6</v>
      </c>
      <c r="N242" s="10" t="str">
        <f>objet!Z284</f>
        <v>PM</v>
      </c>
      <c r="O242" s="10" t="str">
        <f>objet!AA284</f>
        <v>CR2022</v>
      </c>
      <c r="P242" t="str">
        <f>IF(ISNUMBER(modif0[[#This Row],[trvx]]),"",LEFT(modif0[[#This Row],[trvx]],LEN(modif0[[#This Row],[trvx]])-4))</f>
        <v>CR</v>
      </c>
      <c r="Q242">
        <f>VALUE(RIGHT(modif0[[#This Row],[trvx]],4))</f>
        <v>2022</v>
      </c>
      <c r="R242" t="str">
        <f>_xlfn.CONCAT(modif0[[#This Row],[tp]],"-",modif0[[#This Row],[essnc]],"_",modif0[[#This Row],[anns]])</f>
        <v>CR-PM_2022</v>
      </c>
      <c r="S242" t="b">
        <f>modif0[[#This Row],[tp]]="CR"</f>
        <v>1</v>
      </c>
      <c r="T242">
        <v>40</v>
      </c>
      <c r="U242" t="str">
        <f>IF(NOT($A242),"",
IF(AO242=-2,regle!$J$11,
IF(AO242=regle!$B$12,regle!$B$11,
IF(AO242=regle!$C$12,regle!$C$11,
IF(AO242=regle!$D$12,regle!$D$11,
IF(AO242=regle!$E$12,regle!$E$11,
IF(AO242=regle!$F$12,regle!$F$11,
IF(AO242=regle!$G$12,regle!$G$11,
IF(AO242=regle!$H$12,regle!$H$11,
IF(AO242=regle!$I$12,regle!$I$11,""))))))))))</f>
        <v>RBST</v>
      </c>
      <c r="V242" t="str">
        <f>IF(NOT($A242),"",
IF(AP242=-2,regle!$J$11,
IF(AP242=regle!$B$12,regle!$B$11,
IF(AP242=regle!$C$12,regle!$C$11,
IF(AP242=regle!$D$12,regle!$D$11,
IF(AP242=regle!$E$12,regle!$E$11,
IF(AP242=regle!$F$12,regle!$F$11,
IF(AP242=regle!$G$12,regle!$G$11,
IF(AP242=regle!$H$12,regle!$H$11,
IF(AP242=regle!$I$12,regle!$I$11,""))))))))))</f>
        <v/>
      </c>
      <c r="W242" t="str">
        <f>IF(NOT($A242),"",
IF(AQ242=-2,regle!$J$11,
IF(AQ242=regle!$B$12,regle!$B$11,
IF(AQ242=regle!$C$12,regle!$C$11,
IF(AQ242=regle!$D$12,regle!$D$11,
IF(AQ242=regle!$E$12,regle!$E$11,
IF(AQ242=regle!$F$12,regle!$F$11,
IF(AQ242=regle!$G$12,regle!$G$11,
IF(AQ242=regle!$H$12,regle!$H$11,
IF(AQ242=regle!$I$12,regle!$I$11,""))))))))))</f>
        <v>DGT</v>
      </c>
      <c r="X242" t="str">
        <f>IF(NOT($A242),"",
IF(AR242=-2,regle!$J$11,
IF(AR242=regle!$B$12,regle!$B$11,
IF(AR242=regle!$C$12,regle!$C$11,
IF(AR242=regle!$D$12,regle!$D$11,
IF(AR242=regle!$E$12,regle!$E$11,
IF(AR242=regle!$F$12,regle!$F$11,
IF(AR242=regle!$G$12,regle!$G$11,
IF(AR242=regle!$H$12,regle!$H$11,
IF(AR242=regle!$I$12,regle!$I$11,""))))))))))</f>
        <v/>
      </c>
      <c r="Y242" t="str">
        <f>IF(NOT($A242),"",
IF(AS242=-2,regle!$J$11,
IF(AS242=regle!$B$12,regle!$B$11,
IF(AS242=regle!$C$12,regle!$C$11,
IF(AS242=regle!$D$12,regle!$D$11,
IF(AS242=regle!$E$12,regle!$E$11,
IF(AS242=regle!$F$12,regle!$F$11,
IF(AS242=regle!$G$12,regle!$G$11,
IF(AS242=regle!$H$12,regle!$H$11,
IF(AS242=regle!$I$12,regle!$I$11,""))))))))))</f>
        <v/>
      </c>
      <c r="Z242" t="str">
        <f>IF(NOT($A242),"",
IF(AT242=-2,regle!$J$11,
IF(AT242=regle!$B$12,regle!$B$11,
IF(AT242=regle!$C$12,regle!$C$11,
IF(AT242=regle!$D$12,regle!$D$11,
IF(AT242=regle!$E$12,regle!$E$11,
IF(AT242=regle!$F$12,regle!$F$11,
IF(AT242=regle!$G$12,regle!$G$11,
IF(AT242=regle!$H$12,regle!$H$11,
IF(AT242=regle!$I$12,regle!$I$11,""))))))))))</f>
        <v>ENT1</v>
      </c>
      <c r="AA242" t="str">
        <f>IF(NOT($A242),"",
IF(AU242=-2,regle!$J$11,
IF(AU242=regle!$B$12,regle!$B$11,
IF(AU242=regle!$C$12,regle!$C$11,
IF(AU242=regle!$D$12,regle!$D$11,
IF(AU242=regle!$E$12,regle!$E$11,
IF(AU242=regle!$F$12,regle!$F$11,
IF(AU242=regle!$G$12,regle!$G$11,
IF(AU242=regle!$H$12,regle!$H$11,
IF(AU242=regle!$I$12,regle!$I$11,""))))))))))</f>
        <v/>
      </c>
      <c r="AB242" t="str">
        <f>IF(NOT($A242),"",
IF(AV242=-2,regle!$J$11,
IF(AV242=regle!$B$12,regle!$B$11,
IF(AV242=regle!$C$12,regle!$C$11,
IF(AV242=regle!$D$12,regle!$D$11,
IF(AV242=regle!$E$12,regle!$E$11,
IF(AV242=regle!$F$12,regle!$F$11,
IF(AV242=regle!$G$12,regle!$G$11,
IF(AV242=regle!$H$12,regle!$H$11,
IF(AV242=regle!$I$12,regle!$I$11,""))))))))))</f>
        <v/>
      </c>
      <c r="AC242" t="str">
        <f>IF(NOT($A242),"",
IF(AW242=-2,regle!$J$11,
IF(AW242=regle!$B$12,regle!$B$11,
IF(AW242=regle!$C$12,regle!$C$11,
IF(AW242=regle!$D$12,regle!$D$11,
IF(AW242=regle!$E$12,regle!$E$11,
IF(AW242=regle!$F$12,regle!$F$11,
IF(AW242=regle!$G$12,regle!$G$11,
IF(AW242=regle!$H$12,regle!$H$11,
IF(AW242=regle!$I$12,regle!$I$11,""))))))))))</f>
        <v>ENT2</v>
      </c>
      <c r="AD242" t="str">
        <f>IF(NOT($A242),"",
IF(AX242=-2,regle!$J$11,
IF(AX242=regle!$B$12,regle!$B$11,
IF(AX242=regle!$C$12,regle!$C$11,
IF(AX242=regle!$D$12,regle!$D$11,
IF(AX242=regle!$E$12,regle!$E$11,
IF(AX242=regle!$F$12,regle!$F$11,
IF(AX242=regle!$G$12,regle!$G$11,
IF(AX242=regle!$H$12,regle!$H$11,
IF(AX242=regle!$I$12,regle!$I$11,""))))))))))</f>
        <v/>
      </c>
      <c r="AE242" s="14">
        <f>IF($A242,$M242*(IF(U242=regle!$B$11,regle!$B$23,IF(U242=regle!$C$11,regle!$C$23,IF(U242=regle!$D$11,regle!$D$23,IF(U242=regle!$E$11,regle!$E$23,IF(U242=regle!$F$11,regle!$F$23,IF(U242=regle!$G$11,regle!$G$23,IF(U242=regle!$H$11,regle!$H$23,IF(U242=regle!$I$11,regle!$I$23,IF(U242=regle!$J$11,regle!$J$23,0)))))))))))</f>
        <v>-1020</v>
      </c>
      <c r="AF242" s="14">
        <f>IF($A242,$M242*(IF(V242=regle!$B$11,regle!$B$23,IF(V242=regle!$C$11,regle!$C$23,IF(V242=regle!$D$11,regle!$D$23,IF(V242=regle!$E$11,regle!$E$23,IF(V242=regle!$F$11,regle!$F$23,IF(V242=regle!$G$11,regle!$G$23,IF(V242=regle!$H$11,regle!$H$23,IF(V242=regle!$I$11,regle!$I$23,IF(V242=regle!$J$11,regle!$J$23,0)))))))))))</f>
        <v>0</v>
      </c>
      <c r="AG242" s="14">
        <f>IF($A242,$M242*(IF(W242=regle!$B$11,regle!$B$23,IF(W242=regle!$C$11,regle!$C$23,IF(W242=regle!$D$11,regle!$D$23,IF(W242=regle!$E$11,regle!$E$23,IF(W242=regle!$F$11,regle!$F$23,IF(W242=regle!$G$11,regle!$G$23,IF(W242=regle!$H$11,regle!$H$23,IF(W242=regle!$I$11,regle!$I$23,IF(W242=regle!$J$11,regle!$J$23,0)))))))))))</f>
        <v>-45</v>
      </c>
      <c r="AH242" s="14">
        <f>IF($A242,$M242*(IF(X242=regle!$B$11,regle!$B$23,IF(X242=regle!$C$11,regle!$C$23,IF(X242=regle!$D$11,regle!$D$23,IF(X242=regle!$E$11,regle!$E$23,IF(X242=regle!$F$11,regle!$F$23,IF(X242=regle!$G$11,regle!$G$23,IF(X242=regle!$H$11,regle!$H$23,IF(X242=regle!$I$11,regle!$I$23,IF(X242=regle!$J$11,regle!$J$23,0)))))))))))</f>
        <v>0</v>
      </c>
      <c r="AI242" s="14">
        <f>IF($A242,$M242*(IF(Y242=regle!$B$11,regle!$B$23,IF(Y242=regle!$C$11,regle!$C$23,IF(Y242=regle!$D$11,regle!$D$23,IF(Y242=regle!$E$11,regle!$E$23,IF(Y242=regle!$F$11,regle!$F$23,IF(Y242=regle!$G$11,regle!$G$23,IF(Y242=regle!$H$11,regle!$H$23,IF(Y242=regle!$I$11,regle!$I$23,IF(Y242=regle!$J$11,regle!$J$23,0)))))))))))</f>
        <v>0</v>
      </c>
      <c r="AJ242" s="14">
        <f>IF($A242,$M242*(IF(Z242=regle!$B$11,regle!$B$23,IF(Z242=regle!$C$11,regle!$C$23,IF(Z242=regle!$D$11,regle!$D$23,IF(Z242=regle!$E$11,regle!$E$23,IF(Z242=regle!$F$11,regle!$F$23,IF(Z242=regle!$G$11,regle!$G$23,IF(Z242=regle!$H$11,regle!$H$23,IF(Z242=regle!$I$11,regle!$I$23,IF(Z242=regle!$J$11,regle!$J$23,0)))))))))))</f>
        <v>-54</v>
      </c>
      <c r="AK242" s="14">
        <f>IF($A242,$M242*(IF(AA242=regle!$B$11,regle!$B$23,IF(AA242=regle!$C$11,regle!$C$23,IF(AA242=regle!$D$11,regle!$D$23,IF(AA242=regle!$E$11,regle!$E$23,IF(AA242=regle!$F$11,regle!$F$23,IF(AA242=regle!$G$11,regle!$G$23,IF(AA242=regle!$H$11,regle!$H$23,IF(AA242=regle!$I$11,regle!$I$23,IF(AA242=regle!$J$11,regle!$J$23,0)))))))))))</f>
        <v>0</v>
      </c>
      <c r="AL242" s="14">
        <f>IF($A242,$M242*(IF(AB242=regle!$B$11,regle!$B$23,IF(AB242=regle!$C$11,regle!$C$23,IF(AB242=regle!$D$11,regle!$D$23,IF(AB242=regle!$E$11,regle!$E$23,IF(AB242=regle!$F$11,regle!$F$23,IF(AB242=regle!$G$11,regle!$G$23,IF(AB242=regle!$H$11,regle!$H$23,IF(AB242=regle!$I$11,regle!$I$23,IF(AB242=regle!$J$11,regle!$J$23,0)))))))))))</f>
        <v>0</v>
      </c>
      <c r="AM242" s="14">
        <f>IF($A242,$M242*(IF(AC242=regle!$B$11,regle!$B$23,IF(AC242=regle!$C$11,regle!$C$23,IF(AC242=regle!$D$11,regle!$D$23,IF(AC242=regle!$E$11,regle!$E$23,IF(AC242=regle!$F$11,regle!$F$23,IF(AC242=regle!$G$11,regle!$G$23,IF(AC242=regle!$H$11,regle!$H$23,IF(AC242=regle!$I$11,regle!$I$23,IF(AC242=regle!$J$11,regle!$J$23,0)))))))))))</f>
        <v>-54</v>
      </c>
      <c r="AN242" s="14">
        <f>IF($A242,$M242*(IF(AD242=regle!$B$11,regle!$B$23,IF(AD242=regle!$C$11,regle!$C$23,IF(AD242=regle!$D$11,regle!$D$23,IF(AD242=regle!$E$11,regle!$E$23,IF(AD242=regle!$F$11,regle!$F$23,IF(AD242=regle!$G$11,regle!$G$23,IF(AD242=regle!$H$11,regle!$H$23,IF(AD242=regle!$I$11,regle!$I$23,IF(AD242=regle!$J$11,regle!$J$23,0)))))))))))</f>
        <v>0</v>
      </c>
      <c r="AO242">
        <f>IF(AO$1=$AO$1,IF(regle!B$2-$Q242&gt;=regle!$J$12,-2,IF($S242,IF(regle!$B$2-$Q242&gt;=2,0,-1),regle!B$2-$Q242)),IF(AN242+1&gt;=regle!$J$12,-2,AN242+1))</f>
        <v>0</v>
      </c>
      <c r="AP242">
        <f>IF(AP$1=$AO$1,IF(regle!C$2-$Q242&gt;=regle!$J$12,-2,IF($S242,IF(regle!$B$2-$Q242&gt;=2,0,-1),regle!C$2-$Q242)),IF(AO242+1&gt;=regle!$J$12,-2,AO242+1))</f>
        <v>1</v>
      </c>
      <c r="AQ242">
        <f>IF(AQ$1=$AO$1,IF(regle!D$2-$Q242&gt;=regle!$J$12,-2,IF($S242,IF(regle!$B$2-$Q242&gt;=2,0,-1),regle!D$2-$Q242)),IF(AP242+1&gt;=regle!$J$12,-2,AP242+1))</f>
        <v>2</v>
      </c>
      <c r="AR242">
        <f>IF(AR$1=$AO$1,IF(regle!E$2-$Q242&gt;=regle!$J$12,-2,IF($S242,IF(regle!$B$2-$Q242&gt;=2,0,-1),regle!E$2-$Q242)),IF(AQ242+1&gt;=regle!$J$12,-2,AQ242+1))</f>
        <v>3</v>
      </c>
      <c r="AS242">
        <f>IF(AS$1=$AO$1,IF(regle!F$2-$Q242&gt;=regle!$J$12,-2,IF($S242,IF(regle!$B$2-$Q242&gt;=2,0,-1),regle!F$2-$Q242)),IF(AR242+1&gt;=regle!$J$12,-2,AR242+1))</f>
        <v>4</v>
      </c>
      <c r="AT242">
        <f>IF(AT$1=$AO$1,IF(regle!G$2-$Q242&gt;=regle!$J$12,-2,IF($S242,IF(regle!$B$2-$Q242&gt;=2,0,-1),regle!G$2-$Q242)),IF(AS242+1&gt;=regle!$J$12,-2,AS242+1))</f>
        <v>5</v>
      </c>
      <c r="AU242">
        <f>IF(AU$1=$AO$1,IF(regle!H$2-$Q242&gt;=regle!$J$12,-2,IF($S242,IF(regle!$B$2-$Q242&gt;=2,0,-1),regle!H$2-$Q242)),IF(AT242+1&gt;=regle!$J$12,-2,AT242+1))</f>
        <v>6</v>
      </c>
      <c r="AV242">
        <f>IF(AV$1=$AO$1,IF(regle!I$2-$Q242&gt;=regle!$J$12,-2,IF($S242,IF(regle!$B$2-$Q242&gt;=2,0,-1),regle!I$2-$Q242)),IF(AU242+1&gt;=regle!$J$12,-2,AU242+1))</f>
        <v>7</v>
      </c>
      <c r="AW242">
        <f>IF(AW$1=$AO$1,IF(regle!J$2-$Q242&gt;=regle!$J$12,-2,IF($S242,IF(regle!$B$2-$Q242&gt;=2,0,-1),regle!J$2-$Q242)),IF(AV242+1&gt;=regle!$J$12,-2,AV242+1))</f>
        <v>8</v>
      </c>
      <c r="AX242">
        <f>IF(AX$1=$AO$1,IF(regle!K$2-$Q242&gt;=regle!$J$12,-2,IF($S242,IF(regle!$B$2-$Q242&gt;=2,0,-1),regle!K$2-$Q242)),IF(AW242+1&gt;=regle!$J$12,-2,AW242+1))</f>
        <v>9</v>
      </c>
    </row>
    <row r="243" spans="1:50" x14ac:dyDescent="0.25">
      <c r="A243" t="b">
        <f>AND(modif0[[#This Row],[cdstr]]&lt;&gt;0,OR(regle!$H$27=FALSE,modif0[[#This Row],[essnc]]="PM"))</f>
        <v>1</v>
      </c>
      <c r="B243">
        <f>ROW(objet!A286)</f>
        <v>286</v>
      </c>
      <c r="C243" s="10" t="str">
        <f>objet!D286</f>
        <v>2020000B2472</v>
      </c>
      <c r="D243" t="str">
        <f>LEFT(modif0[[#This Row],[cdstr]],3)</f>
        <v>202</v>
      </c>
      <c r="E243" s="10" t="str">
        <f>objet!G286</f>
        <v>HOSTENS</v>
      </c>
      <c r="F243">
        <f>LEN(modif0[[#This Row],[l_dt]])</f>
        <v>8</v>
      </c>
      <c r="G243" s="10" t="str">
        <f>objet!H286</f>
        <v>LES BECS</v>
      </c>
      <c r="H243" s="10" t="str">
        <f>objet!C286</f>
        <v>B2472k</v>
      </c>
      <c r="I243" t="str">
        <f>IF(ISNUMBER(VALUE(RIGHT(LEFT(modif0[[#This Row],[idntfn]],2),1))),_xlfn.CONCAT(0,LEFT(modif0[[#This Row],[idntfn]],1)),LEFT(modif0[[#This Row],[idntfn]],2))</f>
        <v>0B</v>
      </c>
      <c r="J243">
        <f>VALUE(LEFT(RIGHT(modif0[[#This Row],[idntfn]],LEN(modif0[[#This Row],[idntfn]])-IF(LEFT(modif0[[#This Row],[sctn]],1)="0",1,2)),LEN(modif0[[#This Row],[idntfn]])-IF(LEFT(modif0[[#This Row],[sctn]],1)="0",1,2)-LEN(modif0[[#This Row],[lttr]])))</f>
        <v>2472</v>
      </c>
      <c r="K243" t="str">
        <f>IF(ISNUMBER(VALUE(RIGHT(modif0[[#This Row],[idntfn]],1))),"",IF(ISNUMBER(VALUE(LEFT(RIGHT(modif0[[#This Row],[idntfn]],2),1))),RIGHT(modif0[[#This Row],[idntfn]],1),RIGHT(modif0[[#This Row],[idntfn]],2)))</f>
        <v>k</v>
      </c>
      <c r="L243" s="10">
        <f>objet!I286</f>
        <v>7322</v>
      </c>
      <c r="M243" s="11">
        <f>modif0[[#This Row],[srfc]]/10000</f>
        <v>0.73219999999999996</v>
      </c>
      <c r="N243" s="10" t="str">
        <f>objet!Z286</f>
        <v>PM</v>
      </c>
      <c r="O243" s="10" t="str">
        <f>objet!AA286</f>
        <v>PLA2015</v>
      </c>
      <c r="P243" t="str">
        <f>IF(ISNUMBER(modif0[[#This Row],[trvx]]),"",LEFT(modif0[[#This Row],[trvx]],LEN(modif0[[#This Row],[trvx]])-4))</f>
        <v>PLA</v>
      </c>
      <c r="Q243">
        <f>VALUE(RIGHT(modif0[[#This Row],[trvx]],4))</f>
        <v>2015</v>
      </c>
      <c r="R243" t="str">
        <f>_xlfn.CONCAT(modif0[[#This Row],[tp]],"-",modif0[[#This Row],[essnc]],"_",modif0[[#This Row],[anns]])</f>
        <v>PLA-PM_2015</v>
      </c>
      <c r="S243" t="b">
        <f>modif0[[#This Row],[tp]]="CR"</f>
        <v>0</v>
      </c>
      <c r="T243">
        <v>40</v>
      </c>
      <c r="U243" t="str">
        <f>IF(NOT($A243),"",
IF(AO243=-2,regle!$J$11,
IF(AO243=regle!$B$12,regle!$B$11,
IF(AO243=regle!$C$12,regle!$C$11,
IF(AO243=regle!$D$12,regle!$D$11,
IF(AO243=regle!$E$12,regle!$E$11,
IF(AO243=regle!$F$12,regle!$F$11,
IF(AO243=regle!$G$12,regle!$G$11,
IF(AO243=regle!$H$12,regle!$H$11,
IF(AO243=regle!$I$12,regle!$I$11,""))))))))))</f>
        <v/>
      </c>
      <c r="V243" t="str">
        <f>IF(NOT($A243),"",
IF(AP243=-2,regle!$J$11,
IF(AP243=regle!$B$12,regle!$B$11,
IF(AP243=regle!$C$12,regle!$C$11,
IF(AP243=regle!$D$12,regle!$D$11,
IF(AP243=regle!$E$12,regle!$E$11,
IF(AP243=regle!$F$12,regle!$F$11,
IF(AP243=regle!$G$12,regle!$G$11,
IF(AP243=regle!$H$12,regle!$H$11,
IF(AP243=regle!$I$12,regle!$I$11,""))))))))))</f>
        <v/>
      </c>
      <c r="W243" t="str">
        <f>IF(NOT($A243),"",
IF(AQ243=-2,regle!$J$11,
IF(AQ243=regle!$B$12,regle!$B$11,
IF(AQ243=regle!$C$12,regle!$C$11,
IF(AQ243=regle!$D$12,regle!$D$11,
IF(AQ243=regle!$E$12,regle!$E$11,
IF(AQ243=regle!$F$12,regle!$F$11,
IF(AQ243=regle!$G$12,regle!$G$11,
IF(AQ243=regle!$H$12,regle!$H$11,
IF(AQ243=regle!$I$12,regle!$I$11,""))))))))))</f>
        <v/>
      </c>
      <c r="X243" t="str">
        <f>IF(NOT($A243),"",
IF(AR243=-2,regle!$J$11,
IF(AR243=regle!$B$12,regle!$B$11,
IF(AR243=regle!$C$12,regle!$C$11,
IF(AR243=regle!$D$12,regle!$D$11,
IF(AR243=regle!$E$12,regle!$E$11,
IF(AR243=regle!$F$12,regle!$F$11,
IF(AR243=regle!$G$12,regle!$G$11,
IF(AR243=regle!$H$12,regle!$H$11,
IF(AR243=regle!$I$12,regle!$I$11,""))))))))))</f>
        <v/>
      </c>
      <c r="Y243" t="str">
        <f>IF(NOT($A243),"",
IF(AS243=-2,regle!$J$11,
IF(AS243=regle!$B$12,regle!$B$11,
IF(AS243=regle!$C$12,regle!$C$11,
IF(AS243=regle!$D$12,regle!$D$11,
IF(AS243=regle!$E$12,regle!$E$11,
IF(AS243=regle!$F$12,regle!$F$11,
IF(AS243=regle!$G$12,regle!$G$11,
IF(AS243=regle!$H$12,regle!$H$11,
IF(AS243=regle!$I$12,regle!$I$11,""))))))))))</f>
        <v>EC1</v>
      </c>
      <c r="Z243" t="str">
        <f>IF(NOT($A243),"",
IF(AT243=-2,regle!$J$11,
IF(AT243=regle!$B$12,regle!$B$11,
IF(AT243=regle!$C$12,regle!$C$11,
IF(AT243=regle!$D$12,regle!$D$11,
IF(AT243=regle!$E$12,regle!$E$11,
IF(AT243=regle!$F$12,regle!$F$11,
IF(AT243=regle!$G$12,regle!$G$11,
IF(AT243=regle!$H$12,regle!$H$11,
IF(AT243=regle!$I$12,regle!$I$11,""))))))))))</f>
        <v/>
      </c>
      <c r="AA243" t="str">
        <f>IF(NOT($A243),"",
IF(AU243=-2,regle!$J$11,
IF(AU243=regle!$B$12,regle!$B$11,
IF(AU243=regle!$C$12,regle!$C$11,
IF(AU243=regle!$D$12,regle!$D$11,
IF(AU243=regle!$E$12,regle!$E$11,
IF(AU243=regle!$F$12,regle!$F$11,
IF(AU243=regle!$G$12,regle!$G$11,
IF(AU243=regle!$H$12,regle!$H$11,
IF(AU243=regle!$I$12,regle!$I$11,""))))))))))</f>
        <v/>
      </c>
      <c r="AB243" t="str">
        <f>IF(NOT($A243),"",
IF(AV243=-2,regle!$J$11,
IF(AV243=regle!$B$12,regle!$B$11,
IF(AV243=regle!$C$12,regle!$C$11,
IF(AV243=regle!$D$12,regle!$D$11,
IF(AV243=regle!$E$12,regle!$E$11,
IF(AV243=regle!$F$12,regle!$F$11,
IF(AV243=regle!$G$12,regle!$G$11,
IF(AV243=regle!$H$12,regle!$H$11,
IF(AV243=regle!$I$12,regle!$I$11,""))))))))))</f>
        <v/>
      </c>
      <c r="AC243" t="str">
        <f>IF(NOT($A243),"",
IF(AW243=-2,regle!$J$11,
IF(AW243=regle!$B$12,regle!$B$11,
IF(AW243=regle!$C$12,regle!$C$11,
IF(AW243=regle!$D$12,regle!$D$11,
IF(AW243=regle!$E$12,regle!$E$11,
IF(AW243=regle!$F$12,regle!$F$11,
IF(AW243=regle!$G$12,regle!$G$11,
IF(AW243=regle!$H$12,regle!$H$11,
IF(AW243=regle!$I$12,regle!$I$11,""))))))))))</f>
        <v/>
      </c>
      <c r="AD243" t="str">
        <f>IF(NOT($A243),"",
IF(AX243=-2,regle!$J$11,
IF(AX243=regle!$B$12,regle!$B$11,
IF(AX243=regle!$C$12,regle!$C$11,
IF(AX243=regle!$D$12,regle!$D$11,
IF(AX243=regle!$E$12,regle!$E$11,
IF(AX243=regle!$F$12,regle!$F$11,
IF(AX243=regle!$G$12,regle!$G$11,
IF(AX243=regle!$H$12,regle!$H$11,
IF(AX243=regle!$I$12,regle!$I$11,""))))))))))</f>
        <v>EC2</v>
      </c>
      <c r="AE243" s="14">
        <f>IF($A243,$M243*(IF(U243=regle!$B$11,regle!$B$23,IF(U243=regle!$C$11,regle!$C$23,IF(U243=regle!$D$11,regle!$D$23,IF(U243=regle!$E$11,regle!$E$23,IF(U243=regle!$F$11,regle!$F$23,IF(U243=regle!$G$11,regle!$G$23,IF(U243=regle!$H$11,regle!$H$23,IF(U243=regle!$I$11,regle!$I$23,IF(U243=regle!$J$11,regle!$J$23,0)))))))))))</f>
        <v>0</v>
      </c>
      <c r="AF243" s="14">
        <f>IF($A243,$M243*(IF(V243=regle!$B$11,regle!$B$23,IF(V243=regle!$C$11,regle!$C$23,IF(V243=regle!$D$11,regle!$D$23,IF(V243=regle!$E$11,regle!$E$23,IF(V243=regle!$F$11,regle!$F$23,IF(V243=regle!$G$11,regle!$G$23,IF(V243=regle!$H$11,regle!$H$23,IF(V243=regle!$I$11,regle!$I$23,IF(V243=regle!$J$11,regle!$J$23,0)))))))))))</f>
        <v>0</v>
      </c>
      <c r="AG243" s="14">
        <f>IF($A243,$M243*(IF(W243=regle!$B$11,regle!$B$23,IF(W243=regle!$C$11,regle!$C$23,IF(W243=regle!$D$11,regle!$D$23,IF(W243=regle!$E$11,regle!$E$23,IF(W243=regle!$F$11,regle!$F$23,IF(W243=regle!$G$11,regle!$G$23,IF(W243=regle!$H$11,regle!$H$23,IF(W243=regle!$I$11,regle!$I$23,IF(W243=regle!$J$11,regle!$J$23,0)))))))))))</f>
        <v>0</v>
      </c>
      <c r="AH243" s="14">
        <f>IF($A243,$M243*(IF(X243=regle!$B$11,regle!$B$23,IF(X243=regle!$C$11,regle!$C$23,IF(X243=regle!$D$11,regle!$D$23,IF(X243=regle!$E$11,regle!$E$23,IF(X243=regle!$F$11,regle!$F$23,IF(X243=regle!$G$11,regle!$G$23,IF(X243=regle!$H$11,regle!$H$23,IF(X243=regle!$I$11,regle!$I$23,IF(X243=regle!$J$11,regle!$J$23,0)))))))))))</f>
        <v>0</v>
      </c>
      <c r="AI243" s="14">
        <f>IF($A243,$M243*(IF(Y243=regle!$B$11,regle!$B$23,IF(Y243=regle!$C$11,regle!$C$23,IF(Y243=regle!$D$11,regle!$D$23,IF(Y243=regle!$E$11,regle!$E$23,IF(Y243=regle!$F$11,regle!$F$23,IF(Y243=regle!$G$11,regle!$G$23,IF(Y243=regle!$H$11,regle!$H$23,IF(Y243=regle!$I$11,regle!$I$23,IF(Y243=regle!$J$11,regle!$J$23,0)))))))))))</f>
        <v>421.74719999999996</v>
      </c>
      <c r="AJ243" s="14">
        <f>IF($A243,$M243*(IF(Z243=regle!$B$11,regle!$B$23,IF(Z243=regle!$C$11,regle!$C$23,IF(Z243=regle!$D$11,regle!$D$23,IF(Z243=regle!$E$11,regle!$E$23,IF(Z243=regle!$F$11,regle!$F$23,IF(Z243=regle!$G$11,regle!$G$23,IF(Z243=regle!$H$11,regle!$H$23,IF(Z243=regle!$I$11,regle!$I$23,IF(Z243=regle!$J$11,regle!$J$23,0)))))))))))</f>
        <v>0</v>
      </c>
      <c r="AK243" s="14">
        <f>IF($A243,$M243*(IF(AA243=regle!$B$11,regle!$B$23,IF(AA243=regle!$C$11,regle!$C$23,IF(AA243=regle!$D$11,regle!$D$23,IF(AA243=regle!$E$11,regle!$E$23,IF(AA243=regle!$F$11,regle!$F$23,IF(AA243=regle!$G$11,regle!$G$23,IF(AA243=regle!$H$11,regle!$H$23,IF(AA243=regle!$I$11,regle!$I$23,IF(AA243=regle!$J$11,regle!$J$23,0)))))))))))</f>
        <v>0</v>
      </c>
      <c r="AL243" s="14">
        <f>IF($A243,$M243*(IF(AB243=regle!$B$11,regle!$B$23,IF(AB243=regle!$C$11,regle!$C$23,IF(AB243=regle!$D$11,regle!$D$23,IF(AB243=regle!$E$11,regle!$E$23,IF(AB243=regle!$F$11,regle!$F$23,IF(AB243=regle!$G$11,regle!$G$23,IF(AB243=regle!$H$11,regle!$H$23,IF(AB243=regle!$I$11,regle!$I$23,IF(AB243=regle!$J$11,regle!$J$23,0)))))))))))</f>
        <v>0</v>
      </c>
      <c r="AM243" s="14">
        <f>IF($A243,$M243*(IF(AC243=regle!$B$11,regle!$B$23,IF(AC243=regle!$C$11,regle!$C$23,IF(AC243=regle!$D$11,regle!$D$23,IF(AC243=regle!$E$11,regle!$E$23,IF(AC243=regle!$F$11,regle!$F$23,IF(AC243=regle!$G$11,regle!$G$23,IF(AC243=regle!$H$11,regle!$H$23,IF(AC243=regle!$I$11,regle!$I$23,IF(AC243=regle!$J$11,regle!$J$23,0)))))))))))</f>
        <v>0</v>
      </c>
      <c r="AN243" s="14">
        <f>IF($A243,$M243*(IF(AD243=regle!$B$11,regle!$B$23,IF(AD243=regle!$C$11,regle!$C$23,IF(AD243=regle!$D$11,regle!$D$23,IF(AD243=regle!$E$11,regle!$E$23,IF(AD243=regle!$F$11,regle!$F$23,IF(AD243=regle!$G$11,regle!$G$23,IF(AD243=regle!$H$11,regle!$H$23,IF(AD243=regle!$I$11,regle!$I$23,IF(AD243=regle!$J$11,regle!$J$23,0)))))))))))</f>
        <v>615.048</v>
      </c>
      <c r="AO243">
        <f>IF(AO$1=$AO$1,IF(regle!B$2-$Q243&gt;=regle!$J$12,-2,IF($S243,IF(regle!$B$2-$Q243&gt;=2,0,-1),regle!B$2-$Q243)),IF(AN243+1&gt;=regle!$J$12,-2,AN243+1))</f>
        <v>9</v>
      </c>
      <c r="AP243">
        <f>IF(AP$1=$AO$1,IF(regle!C$2-$Q243&gt;=regle!$J$12,-2,IF($S243,IF(regle!$B$2-$Q243&gt;=2,0,-1),regle!C$2-$Q243)),IF(AO243+1&gt;=regle!$J$12,-2,AO243+1))</f>
        <v>10</v>
      </c>
      <c r="AQ243">
        <f>IF(AQ$1=$AO$1,IF(regle!D$2-$Q243&gt;=regle!$J$12,-2,IF($S243,IF(regle!$B$2-$Q243&gt;=2,0,-1),regle!D$2-$Q243)),IF(AP243+1&gt;=regle!$J$12,-2,AP243+1))</f>
        <v>11</v>
      </c>
      <c r="AR243">
        <f>IF(AR$1=$AO$1,IF(regle!E$2-$Q243&gt;=regle!$J$12,-2,IF($S243,IF(regle!$B$2-$Q243&gt;=2,0,-1),regle!E$2-$Q243)),IF(AQ243+1&gt;=regle!$J$12,-2,AQ243+1))</f>
        <v>12</v>
      </c>
      <c r="AS243">
        <f>IF(AS$1=$AO$1,IF(regle!F$2-$Q243&gt;=regle!$J$12,-2,IF($S243,IF(regle!$B$2-$Q243&gt;=2,0,-1),regle!F$2-$Q243)),IF(AR243+1&gt;=regle!$J$12,-2,AR243+1))</f>
        <v>13</v>
      </c>
      <c r="AT243">
        <f>IF(AT$1=$AO$1,IF(regle!G$2-$Q243&gt;=regle!$J$12,-2,IF($S243,IF(regle!$B$2-$Q243&gt;=2,0,-1),regle!G$2-$Q243)),IF(AS243+1&gt;=regle!$J$12,-2,AS243+1))</f>
        <v>14</v>
      </c>
      <c r="AU243">
        <f>IF(AU$1=$AO$1,IF(regle!H$2-$Q243&gt;=regle!$J$12,-2,IF($S243,IF(regle!$B$2-$Q243&gt;=2,0,-1),regle!H$2-$Q243)),IF(AT243+1&gt;=regle!$J$12,-2,AT243+1))</f>
        <v>15</v>
      </c>
      <c r="AV243">
        <f>IF(AV$1=$AO$1,IF(regle!I$2-$Q243&gt;=regle!$J$12,-2,IF($S243,IF(regle!$B$2-$Q243&gt;=2,0,-1),regle!I$2-$Q243)),IF(AU243+1&gt;=regle!$J$12,-2,AU243+1))</f>
        <v>16</v>
      </c>
      <c r="AW243">
        <f>IF(AW$1=$AO$1,IF(regle!J$2-$Q243&gt;=regle!$J$12,-2,IF($S243,IF(regle!$B$2-$Q243&gt;=2,0,-1),regle!J$2-$Q243)),IF(AV243+1&gt;=regle!$J$12,-2,AV243+1))</f>
        <v>17</v>
      </c>
      <c r="AX243">
        <f>IF(AX$1=$AO$1,IF(regle!K$2-$Q243&gt;=regle!$J$12,-2,IF($S243,IF(regle!$B$2-$Q243&gt;=2,0,-1),regle!K$2-$Q243)),IF(AW243+1&gt;=regle!$J$12,-2,AW243+1))</f>
        <v>18</v>
      </c>
    </row>
    <row r="244" spans="1:50" x14ac:dyDescent="0.25">
      <c r="A244" t="b">
        <f>AND(modif0[[#This Row],[cdstr]]&lt;&gt;0,OR(regle!$H$27=FALSE,modif0[[#This Row],[essnc]]="PM"))</f>
        <v>1</v>
      </c>
      <c r="B244">
        <f>ROW(objet!A287)</f>
        <v>287</v>
      </c>
      <c r="C244" s="10" t="str">
        <f>objet!D287</f>
        <v>2020000B2472</v>
      </c>
      <c r="D244" t="str">
        <f>LEFT(modif0[[#This Row],[cdstr]],3)</f>
        <v>202</v>
      </c>
      <c r="E244" s="10" t="str">
        <f>objet!G287</f>
        <v>HOSTENS</v>
      </c>
      <c r="F244">
        <f>LEN(modif0[[#This Row],[l_dt]])</f>
        <v>8</v>
      </c>
      <c r="G244" s="10" t="str">
        <f>objet!H287</f>
        <v>LES BECS</v>
      </c>
      <c r="H244" s="10" t="str">
        <f>objet!C287</f>
        <v>B2472l</v>
      </c>
      <c r="I244" t="str">
        <f>IF(ISNUMBER(VALUE(RIGHT(LEFT(modif0[[#This Row],[idntfn]],2),1))),_xlfn.CONCAT(0,LEFT(modif0[[#This Row],[idntfn]],1)),LEFT(modif0[[#This Row],[idntfn]],2))</f>
        <v>0B</v>
      </c>
      <c r="J244">
        <f>VALUE(LEFT(RIGHT(modif0[[#This Row],[idntfn]],LEN(modif0[[#This Row],[idntfn]])-IF(LEFT(modif0[[#This Row],[sctn]],1)="0",1,2)),LEN(modif0[[#This Row],[idntfn]])-IF(LEFT(modif0[[#This Row],[sctn]],1)="0",1,2)-LEN(modif0[[#This Row],[lttr]])))</f>
        <v>2472</v>
      </c>
      <c r="K244" t="str">
        <f>IF(ISNUMBER(VALUE(RIGHT(modif0[[#This Row],[idntfn]],1))),"",IF(ISNUMBER(VALUE(LEFT(RIGHT(modif0[[#This Row],[idntfn]],2),1))),RIGHT(modif0[[#This Row],[idntfn]],1),RIGHT(modif0[[#This Row],[idntfn]],2)))</f>
        <v>l</v>
      </c>
      <c r="L244" s="10">
        <f>objet!I287</f>
        <v>11595</v>
      </c>
      <c r="M244" s="11">
        <f>modif0[[#This Row],[srfc]]/10000</f>
        <v>1.1595</v>
      </c>
      <c r="N244" s="10" t="str">
        <f>objet!Z287</f>
        <v>PM</v>
      </c>
      <c r="O244" s="10" t="str">
        <f>objet!AA287</f>
        <v>PLA2015</v>
      </c>
      <c r="P244" t="str">
        <f>IF(ISNUMBER(modif0[[#This Row],[trvx]]),"",LEFT(modif0[[#This Row],[trvx]],LEN(modif0[[#This Row],[trvx]])-4))</f>
        <v>PLA</v>
      </c>
      <c r="Q244">
        <f>VALUE(RIGHT(modif0[[#This Row],[trvx]],4))</f>
        <v>2015</v>
      </c>
      <c r="R244" t="str">
        <f>_xlfn.CONCAT(modif0[[#This Row],[tp]],"-",modif0[[#This Row],[essnc]],"_",modif0[[#This Row],[anns]])</f>
        <v>PLA-PM_2015</v>
      </c>
      <c r="S244" t="b">
        <f>modif0[[#This Row],[tp]]="CR"</f>
        <v>0</v>
      </c>
      <c r="T244">
        <v>40</v>
      </c>
      <c r="U244" t="str">
        <f>IF(NOT($A244),"",
IF(AO244=-2,regle!$J$11,
IF(AO244=regle!$B$12,regle!$B$11,
IF(AO244=regle!$C$12,regle!$C$11,
IF(AO244=regle!$D$12,regle!$D$11,
IF(AO244=regle!$E$12,regle!$E$11,
IF(AO244=regle!$F$12,regle!$F$11,
IF(AO244=regle!$G$12,regle!$G$11,
IF(AO244=regle!$H$12,regle!$H$11,
IF(AO244=regle!$I$12,regle!$I$11,""))))))))))</f>
        <v/>
      </c>
      <c r="V244" t="str">
        <f>IF(NOT($A244),"",
IF(AP244=-2,regle!$J$11,
IF(AP244=regle!$B$12,regle!$B$11,
IF(AP244=regle!$C$12,regle!$C$11,
IF(AP244=regle!$D$12,regle!$D$11,
IF(AP244=regle!$E$12,regle!$E$11,
IF(AP244=regle!$F$12,regle!$F$11,
IF(AP244=regle!$G$12,regle!$G$11,
IF(AP244=regle!$H$12,regle!$H$11,
IF(AP244=regle!$I$12,regle!$I$11,""))))))))))</f>
        <v/>
      </c>
      <c r="W244" t="str">
        <f>IF(NOT($A244),"",
IF(AQ244=-2,regle!$J$11,
IF(AQ244=regle!$B$12,regle!$B$11,
IF(AQ244=regle!$C$12,regle!$C$11,
IF(AQ244=regle!$D$12,regle!$D$11,
IF(AQ244=regle!$E$12,regle!$E$11,
IF(AQ244=regle!$F$12,regle!$F$11,
IF(AQ244=regle!$G$12,regle!$G$11,
IF(AQ244=regle!$H$12,regle!$H$11,
IF(AQ244=regle!$I$12,regle!$I$11,""))))))))))</f>
        <v/>
      </c>
      <c r="X244" t="str">
        <f>IF(NOT($A244),"",
IF(AR244=-2,regle!$J$11,
IF(AR244=regle!$B$12,regle!$B$11,
IF(AR244=regle!$C$12,regle!$C$11,
IF(AR244=regle!$D$12,regle!$D$11,
IF(AR244=regle!$E$12,regle!$E$11,
IF(AR244=regle!$F$12,regle!$F$11,
IF(AR244=regle!$G$12,regle!$G$11,
IF(AR244=regle!$H$12,regle!$H$11,
IF(AR244=regle!$I$12,regle!$I$11,""))))))))))</f>
        <v/>
      </c>
      <c r="Y244" t="str">
        <f>IF(NOT($A244),"",
IF(AS244=-2,regle!$J$11,
IF(AS244=regle!$B$12,regle!$B$11,
IF(AS244=regle!$C$12,regle!$C$11,
IF(AS244=regle!$D$12,regle!$D$11,
IF(AS244=regle!$E$12,regle!$E$11,
IF(AS244=regle!$F$12,regle!$F$11,
IF(AS244=regle!$G$12,regle!$G$11,
IF(AS244=regle!$H$12,regle!$H$11,
IF(AS244=regle!$I$12,regle!$I$11,""))))))))))</f>
        <v>EC1</v>
      </c>
      <c r="Z244" t="str">
        <f>IF(NOT($A244),"",
IF(AT244=-2,regle!$J$11,
IF(AT244=regle!$B$12,regle!$B$11,
IF(AT244=regle!$C$12,regle!$C$11,
IF(AT244=regle!$D$12,regle!$D$11,
IF(AT244=regle!$E$12,regle!$E$11,
IF(AT244=regle!$F$12,regle!$F$11,
IF(AT244=regle!$G$12,regle!$G$11,
IF(AT244=regle!$H$12,regle!$H$11,
IF(AT244=regle!$I$12,regle!$I$11,""))))))))))</f>
        <v/>
      </c>
      <c r="AA244" t="str">
        <f>IF(NOT($A244),"",
IF(AU244=-2,regle!$J$11,
IF(AU244=regle!$B$12,regle!$B$11,
IF(AU244=regle!$C$12,regle!$C$11,
IF(AU244=regle!$D$12,regle!$D$11,
IF(AU244=regle!$E$12,regle!$E$11,
IF(AU244=regle!$F$12,regle!$F$11,
IF(AU244=regle!$G$12,regle!$G$11,
IF(AU244=regle!$H$12,regle!$H$11,
IF(AU244=regle!$I$12,regle!$I$11,""))))))))))</f>
        <v/>
      </c>
      <c r="AB244" t="str">
        <f>IF(NOT($A244),"",
IF(AV244=-2,regle!$J$11,
IF(AV244=regle!$B$12,regle!$B$11,
IF(AV244=regle!$C$12,regle!$C$11,
IF(AV244=regle!$D$12,regle!$D$11,
IF(AV244=regle!$E$12,regle!$E$11,
IF(AV244=regle!$F$12,regle!$F$11,
IF(AV244=regle!$G$12,regle!$G$11,
IF(AV244=regle!$H$12,regle!$H$11,
IF(AV244=regle!$I$12,regle!$I$11,""))))))))))</f>
        <v/>
      </c>
      <c r="AC244" t="str">
        <f>IF(NOT($A244),"",
IF(AW244=-2,regle!$J$11,
IF(AW244=regle!$B$12,regle!$B$11,
IF(AW244=regle!$C$12,regle!$C$11,
IF(AW244=regle!$D$12,regle!$D$11,
IF(AW244=regle!$E$12,regle!$E$11,
IF(AW244=regle!$F$12,regle!$F$11,
IF(AW244=regle!$G$12,regle!$G$11,
IF(AW244=regle!$H$12,regle!$H$11,
IF(AW244=regle!$I$12,regle!$I$11,""))))))))))</f>
        <v/>
      </c>
      <c r="AD244" t="str">
        <f>IF(NOT($A244),"",
IF(AX244=-2,regle!$J$11,
IF(AX244=regle!$B$12,regle!$B$11,
IF(AX244=regle!$C$12,regle!$C$11,
IF(AX244=regle!$D$12,regle!$D$11,
IF(AX244=regle!$E$12,regle!$E$11,
IF(AX244=regle!$F$12,regle!$F$11,
IF(AX244=regle!$G$12,regle!$G$11,
IF(AX244=regle!$H$12,regle!$H$11,
IF(AX244=regle!$I$12,regle!$I$11,""))))))))))</f>
        <v>EC2</v>
      </c>
      <c r="AE244" s="14">
        <f>IF($A244,$M244*(IF(U244=regle!$B$11,regle!$B$23,IF(U244=regle!$C$11,regle!$C$23,IF(U244=regle!$D$11,regle!$D$23,IF(U244=regle!$E$11,regle!$E$23,IF(U244=regle!$F$11,regle!$F$23,IF(U244=regle!$G$11,regle!$G$23,IF(U244=regle!$H$11,regle!$H$23,IF(U244=regle!$I$11,regle!$I$23,IF(U244=regle!$J$11,regle!$J$23,0)))))))))))</f>
        <v>0</v>
      </c>
      <c r="AF244" s="14">
        <f>IF($A244,$M244*(IF(V244=regle!$B$11,regle!$B$23,IF(V244=regle!$C$11,regle!$C$23,IF(V244=regle!$D$11,regle!$D$23,IF(V244=regle!$E$11,regle!$E$23,IF(V244=regle!$F$11,regle!$F$23,IF(V244=regle!$G$11,regle!$G$23,IF(V244=regle!$H$11,regle!$H$23,IF(V244=regle!$I$11,regle!$I$23,IF(V244=regle!$J$11,regle!$J$23,0)))))))))))</f>
        <v>0</v>
      </c>
      <c r="AG244" s="14">
        <f>IF($A244,$M244*(IF(W244=regle!$B$11,regle!$B$23,IF(W244=regle!$C$11,regle!$C$23,IF(W244=regle!$D$11,regle!$D$23,IF(W244=regle!$E$11,regle!$E$23,IF(W244=regle!$F$11,regle!$F$23,IF(W244=regle!$G$11,regle!$G$23,IF(W244=regle!$H$11,regle!$H$23,IF(W244=regle!$I$11,regle!$I$23,IF(W244=regle!$J$11,regle!$J$23,0)))))))))))</f>
        <v>0</v>
      </c>
      <c r="AH244" s="14">
        <f>IF($A244,$M244*(IF(X244=regle!$B$11,regle!$B$23,IF(X244=regle!$C$11,regle!$C$23,IF(X244=regle!$D$11,regle!$D$23,IF(X244=regle!$E$11,regle!$E$23,IF(X244=regle!$F$11,regle!$F$23,IF(X244=regle!$G$11,regle!$G$23,IF(X244=regle!$H$11,regle!$H$23,IF(X244=regle!$I$11,regle!$I$23,IF(X244=regle!$J$11,regle!$J$23,0)))))))))))</f>
        <v>0</v>
      </c>
      <c r="AI244" s="14">
        <f>IF($A244,$M244*(IF(Y244=regle!$B$11,regle!$B$23,IF(Y244=regle!$C$11,regle!$C$23,IF(Y244=regle!$D$11,regle!$D$23,IF(Y244=regle!$E$11,regle!$E$23,IF(Y244=regle!$F$11,regle!$F$23,IF(Y244=regle!$G$11,regle!$G$23,IF(Y244=regle!$H$11,regle!$H$23,IF(Y244=regle!$I$11,regle!$I$23,IF(Y244=regle!$J$11,regle!$J$23,0)))))))))))</f>
        <v>667.87199999999996</v>
      </c>
      <c r="AJ244" s="14">
        <f>IF($A244,$M244*(IF(Z244=regle!$B$11,regle!$B$23,IF(Z244=regle!$C$11,regle!$C$23,IF(Z244=regle!$D$11,regle!$D$23,IF(Z244=regle!$E$11,regle!$E$23,IF(Z244=regle!$F$11,regle!$F$23,IF(Z244=regle!$G$11,regle!$G$23,IF(Z244=regle!$H$11,regle!$H$23,IF(Z244=regle!$I$11,regle!$I$23,IF(Z244=regle!$J$11,regle!$J$23,0)))))))))))</f>
        <v>0</v>
      </c>
      <c r="AK244" s="14">
        <f>IF($A244,$M244*(IF(AA244=regle!$B$11,regle!$B$23,IF(AA244=regle!$C$11,regle!$C$23,IF(AA244=regle!$D$11,regle!$D$23,IF(AA244=regle!$E$11,regle!$E$23,IF(AA244=regle!$F$11,regle!$F$23,IF(AA244=regle!$G$11,regle!$G$23,IF(AA244=regle!$H$11,regle!$H$23,IF(AA244=regle!$I$11,regle!$I$23,IF(AA244=regle!$J$11,regle!$J$23,0)))))))))))</f>
        <v>0</v>
      </c>
      <c r="AL244" s="14">
        <f>IF($A244,$M244*(IF(AB244=regle!$B$11,regle!$B$23,IF(AB244=regle!$C$11,regle!$C$23,IF(AB244=regle!$D$11,regle!$D$23,IF(AB244=regle!$E$11,regle!$E$23,IF(AB244=regle!$F$11,regle!$F$23,IF(AB244=regle!$G$11,regle!$G$23,IF(AB244=regle!$H$11,regle!$H$23,IF(AB244=regle!$I$11,regle!$I$23,IF(AB244=regle!$J$11,regle!$J$23,0)))))))))))</f>
        <v>0</v>
      </c>
      <c r="AM244" s="14">
        <f>IF($A244,$M244*(IF(AC244=regle!$B$11,regle!$B$23,IF(AC244=regle!$C$11,regle!$C$23,IF(AC244=regle!$D$11,regle!$D$23,IF(AC244=regle!$E$11,regle!$E$23,IF(AC244=regle!$F$11,regle!$F$23,IF(AC244=regle!$G$11,regle!$G$23,IF(AC244=regle!$H$11,regle!$H$23,IF(AC244=regle!$I$11,regle!$I$23,IF(AC244=regle!$J$11,regle!$J$23,0)))))))))))</f>
        <v>0</v>
      </c>
      <c r="AN244" s="14">
        <f>IF($A244,$M244*(IF(AD244=regle!$B$11,regle!$B$23,IF(AD244=regle!$C$11,regle!$C$23,IF(AD244=regle!$D$11,regle!$D$23,IF(AD244=regle!$E$11,regle!$E$23,IF(AD244=regle!$F$11,regle!$F$23,IF(AD244=regle!$G$11,regle!$G$23,IF(AD244=regle!$H$11,regle!$H$23,IF(AD244=regle!$I$11,regle!$I$23,IF(AD244=regle!$J$11,regle!$J$23,0)))))))))))</f>
        <v>973.98</v>
      </c>
      <c r="AO244">
        <f>IF(AO$1=$AO$1,IF(regle!B$2-$Q244&gt;=regle!$J$12,-2,IF($S244,IF(regle!$B$2-$Q244&gt;=2,0,-1),regle!B$2-$Q244)),IF(AN244+1&gt;=regle!$J$12,-2,AN244+1))</f>
        <v>9</v>
      </c>
      <c r="AP244">
        <f>IF(AP$1=$AO$1,IF(regle!C$2-$Q244&gt;=regle!$J$12,-2,IF($S244,IF(regle!$B$2-$Q244&gt;=2,0,-1),regle!C$2-$Q244)),IF(AO244+1&gt;=regle!$J$12,-2,AO244+1))</f>
        <v>10</v>
      </c>
      <c r="AQ244">
        <f>IF(AQ$1=$AO$1,IF(regle!D$2-$Q244&gt;=regle!$J$12,-2,IF($S244,IF(regle!$B$2-$Q244&gt;=2,0,-1),regle!D$2-$Q244)),IF(AP244+1&gt;=regle!$J$12,-2,AP244+1))</f>
        <v>11</v>
      </c>
      <c r="AR244">
        <f>IF(AR$1=$AO$1,IF(regle!E$2-$Q244&gt;=regle!$J$12,-2,IF($S244,IF(regle!$B$2-$Q244&gt;=2,0,-1),regle!E$2-$Q244)),IF(AQ244+1&gt;=regle!$J$12,-2,AQ244+1))</f>
        <v>12</v>
      </c>
      <c r="AS244">
        <f>IF(AS$1=$AO$1,IF(regle!F$2-$Q244&gt;=regle!$J$12,-2,IF($S244,IF(regle!$B$2-$Q244&gt;=2,0,-1),regle!F$2-$Q244)),IF(AR244+1&gt;=regle!$J$12,-2,AR244+1))</f>
        <v>13</v>
      </c>
      <c r="AT244">
        <f>IF(AT$1=$AO$1,IF(regle!G$2-$Q244&gt;=regle!$J$12,-2,IF($S244,IF(regle!$B$2-$Q244&gt;=2,0,-1),regle!G$2-$Q244)),IF(AS244+1&gt;=regle!$J$12,-2,AS244+1))</f>
        <v>14</v>
      </c>
      <c r="AU244">
        <f>IF(AU$1=$AO$1,IF(regle!H$2-$Q244&gt;=regle!$J$12,-2,IF($S244,IF(regle!$B$2-$Q244&gt;=2,0,-1),regle!H$2-$Q244)),IF(AT244+1&gt;=regle!$J$12,-2,AT244+1))</f>
        <v>15</v>
      </c>
      <c r="AV244">
        <f>IF(AV$1=$AO$1,IF(regle!I$2-$Q244&gt;=regle!$J$12,-2,IF($S244,IF(regle!$B$2-$Q244&gt;=2,0,-1),regle!I$2-$Q244)),IF(AU244+1&gt;=regle!$J$12,-2,AU244+1))</f>
        <v>16</v>
      </c>
      <c r="AW244">
        <f>IF(AW$1=$AO$1,IF(regle!J$2-$Q244&gt;=regle!$J$12,-2,IF($S244,IF(regle!$B$2-$Q244&gt;=2,0,-1),regle!J$2-$Q244)),IF(AV244+1&gt;=regle!$J$12,-2,AV244+1))</f>
        <v>17</v>
      </c>
      <c r="AX244">
        <f>IF(AX$1=$AO$1,IF(regle!K$2-$Q244&gt;=regle!$J$12,-2,IF($S244,IF(regle!$B$2-$Q244&gt;=2,0,-1),regle!K$2-$Q244)),IF(AW244+1&gt;=regle!$J$12,-2,AW244+1))</f>
        <v>18</v>
      </c>
    </row>
    <row r="245" spans="1:50" x14ac:dyDescent="0.25">
      <c r="A245" t="b">
        <f>AND(modif0[[#This Row],[cdstr]]&lt;&gt;0,OR(regle!$H$27=FALSE,modif0[[#This Row],[essnc]]="PM"))</f>
        <v>1</v>
      </c>
      <c r="B245">
        <f>ROW(objet!A288)</f>
        <v>288</v>
      </c>
      <c r="C245" s="10" t="str">
        <f>objet!D288</f>
        <v>2020000B2472</v>
      </c>
      <c r="D245" t="str">
        <f>LEFT(modif0[[#This Row],[cdstr]],3)</f>
        <v>202</v>
      </c>
      <c r="E245" s="10" t="str">
        <f>objet!G288</f>
        <v>HOSTENS</v>
      </c>
      <c r="F245">
        <f>LEN(modif0[[#This Row],[l_dt]])</f>
        <v>8</v>
      </c>
      <c r="G245" s="10" t="str">
        <f>objet!H288</f>
        <v>LES BECS</v>
      </c>
      <c r="H245" s="10" t="str">
        <f>objet!C288</f>
        <v>B2472m</v>
      </c>
      <c r="I245" t="str">
        <f>IF(ISNUMBER(VALUE(RIGHT(LEFT(modif0[[#This Row],[idntfn]],2),1))),_xlfn.CONCAT(0,LEFT(modif0[[#This Row],[idntfn]],1)),LEFT(modif0[[#This Row],[idntfn]],2))</f>
        <v>0B</v>
      </c>
      <c r="J245">
        <f>VALUE(LEFT(RIGHT(modif0[[#This Row],[idntfn]],LEN(modif0[[#This Row],[idntfn]])-IF(LEFT(modif0[[#This Row],[sctn]],1)="0",1,2)),LEN(modif0[[#This Row],[idntfn]])-IF(LEFT(modif0[[#This Row],[sctn]],1)="0",1,2)-LEN(modif0[[#This Row],[lttr]])))</f>
        <v>2472</v>
      </c>
      <c r="K245" t="str">
        <f>IF(ISNUMBER(VALUE(RIGHT(modif0[[#This Row],[idntfn]],1))),"",IF(ISNUMBER(VALUE(LEFT(RIGHT(modif0[[#This Row],[idntfn]],2),1))),RIGHT(modif0[[#This Row],[idntfn]],1),RIGHT(modif0[[#This Row],[idntfn]],2)))</f>
        <v>m</v>
      </c>
      <c r="L245" s="10">
        <f>objet!I288</f>
        <v>1339</v>
      </c>
      <c r="M245" s="11">
        <f>modif0[[#This Row],[srfc]]/10000</f>
        <v>0.13389999999999999</v>
      </c>
      <c r="N245" s="10" t="str">
        <f>objet!Z288</f>
        <v>PM</v>
      </c>
      <c r="O245" s="10" t="str">
        <f>objet!AA288</f>
        <v>PLA2015</v>
      </c>
      <c r="P245" t="str">
        <f>IF(ISNUMBER(modif0[[#This Row],[trvx]]),"",LEFT(modif0[[#This Row],[trvx]],LEN(modif0[[#This Row],[trvx]])-4))</f>
        <v>PLA</v>
      </c>
      <c r="Q245">
        <f>VALUE(RIGHT(modif0[[#This Row],[trvx]],4))</f>
        <v>2015</v>
      </c>
      <c r="R245" t="str">
        <f>_xlfn.CONCAT(modif0[[#This Row],[tp]],"-",modif0[[#This Row],[essnc]],"_",modif0[[#This Row],[anns]])</f>
        <v>PLA-PM_2015</v>
      </c>
      <c r="S245" t="b">
        <f>modif0[[#This Row],[tp]]="CR"</f>
        <v>0</v>
      </c>
      <c r="T245">
        <v>40</v>
      </c>
      <c r="U245" t="str">
        <f>IF(NOT($A245),"",
IF(AO245=-2,regle!$J$11,
IF(AO245=regle!$B$12,regle!$B$11,
IF(AO245=regle!$C$12,regle!$C$11,
IF(AO245=regle!$D$12,regle!$D$11,
IF(AO245=regle!$E$12,regle!$E$11,
IF(AO245=regle!$F$12,regle!$F$11,
IF(AO245=regle!$G$12,regle!$G$11,
IF(AO245=regle!$H$12,regle!$H$11,
IF(AO245=regle!$I$12,regle!$I$11,""))))))))))</f>
        <v/>
      </c>
      <c r="V245" t="str">
        <f>IF(NOT($A245),"",
IF(AP245=-2,regle!$J$11,
IF(AP245=regle!$B$12,regle!$B$11,
IF(AP245=regle!$C$12,regle!$C$11,
IF(AP245=regle!$D$12,regle!$D$11,
IF(AP245=regle!$E$12,regle!$E$11,
IF(AP245=regle!$F$12,regle!$F$11,
IF(AP245=regle!$G$12,regle!$G$11,
IF(AP245=regle!$H$12,regle!$H$11,
IF(AP245=regle!$I$12,regle!$I$11,""))))))))))</f>
        <v/>
      </c>
      <c r="W245" t="str">
        <f>IF(NOT($A245),"",
IF(AQ245=-2,regle!$J$11,
IF(AQ245=regle!$B$12,regle!$B$11,
IF(AQ245=regle!$C$12,regle!$C$11,
IF(AQ245=regle!$D$12,regle!$D$11,
IF(AQ245=regle!$E$12,regle!$E$11,
IF(AQ245=regle!$F$12,regle!$F$11,
IF(AQ245=regle!$G$12,regle!$G$11,
IF(AQ245=regle!$H$12,regle!$H$11,
IF(AQ245=regle!$I$12,regle!$I$11,""))))))))))</f>
        <v/>
      </c>
      <c r="X245" t="str">
        <f>IF(NOT($A245),"",
IF(AR245=-2,regle!$J$11,
IF(AR245=regle!$B$12,regle!$B$11,
IF(AR245=regle!$C$12,regle!$C$11,
IF(AR245=regle!$D$12,regle!$D$11,
IF(AR245=regle!$E$12,regle!$E$11,
IF(AR245=regle!$F$12,regle!$F$11,
IF(AR245=regle!$G$12,regle!$G$11,
IF(AR245=regle!$H$12,regle!$H$11,
IF(AR245=regle!$I$12,regle!$I$11,""))))))))))</f>
        <v/>
      </c>
      <c r="Y245" t="str">
        <f>IF(NOT($A245),"",
IF(AS245=-2,regle!$J$11,
IF(AS245=regle!$B$12,regle!$B$11,
IF(AS245=regle!$C$12,regle!$C$11,
IF(AS245=regle!$D$12,regle!$D$11,
IF(AS245=regle!$E$12,regle!$E$11,
IF(AS245=regle!$F$12,regle!$F$11,
IF(AS245=regle!$G$12,regle!$G$11,
IF(AS245=regle!$H$12,regle!$H$11,
IF(AS245=regle!$I$12,regle!$I$11,""))))))))))</f>
        <v>EC1</v>
      </c>
      <c r="Z245" t="str">
        <f>IF(NOT($A245),"",
IF(AT245=-2,regle!$J$11,
IF(AT245=regle!$B$12,regle!$B$11,
IF(AT245=regle!$C$12,regle!$C$11,
IF(AT245=regle!$D$12,regle!$D$11,
IF(AT245=regle!$E$12,regle!$E$11,
IF(AT245=regle!$F$12,regle!$F$11,
IF(AT245=regle!$G$12,regle!$G$11,
IF(AT245=regle!$H$12,regle!$H$11,
IF(AT245=regle!$I$12,regle!$I$11,""))))))))))</f>
        <v/>
      </c>
      <c r="AA245" t="str">
        <f>IF(NOT($A245),"",
IF(AU245=-2,regle!$J$11,
IF(AU245=regle!$B$12,regle!$B$11,
IF(AU245=regle!$C$12,regle!$C$11,
IF(AU245=regle!$D$12,regle!$D$11,
IF(AU245=regle!$E$12,regle!$E$11,
IF(AU245=regle!$F$12,regle!$F$11,
IF(AU245=regle!$G$12,regle!$G$11,
IF(AU245=regle!$H$12,regle!$H$11,
IF(AU245=regle!$I$12,regle!$I$11,""))))))))))</f>
        <v/>
      </c>
      <c r="AB245" t="str">
        <f>IF(NOT($A245),"",
IF(AV245=-2,regle!$J$11,
IF(AV245=regle!$B$12,regle!$B$11,
IF(AV245=regle!$C$12,regle!$C$11,
IF(AV245=regle!$D$12,regle!$D$11,
IF(AV245=regle!$E$12,regle!$E$11,
IF(AV245=regle!$F$12,regle!$F$11,
IF(AV245=regle!$G$12,regle!$G$11,
IF(AV245=regle!$H$12,regle!$H$11,
IF(AV245=regle!$I$12,regle!$I$11,""))))))))))</f>
        <v/>
      </c>
      <c r="AC245" t="str">
        <f>IF(NOT($A245),"",
IF(AW245=-2,regle!$J$11,
IF(AW245=regle!$B$12,regle!$B$11,
IF(AW245=regle!$C$12,regle!$C$11,
IF(AW245=regle!$D$12,regle!$D$11,
IF(AW245=regle!$E$12,regle!$E$11,
IF(AW245=regle!$F$12,regle!$F$11,
IF(AW245=regle!$G$12,regle!$G$11,
IF(AW245=regle!$H$12,regle!$H$11,
IF(AW245=regle!$I$12,regle!$I$11,""))))))))))</f>
        <v/>
      </c>
      <c r="AD245" t="str">
        <f>IF(NOT($A245),"",
IF(AX245=-2,regle!$J$11,
IF(AX245=regle!$B$12,regle!$B$11,
IF(AX245=regle!$C$12,regle!$C$11,
IF(AX245=regle!$D$12,regle!$D$11,
IF(AX245=regle!$E$12,regle!$E$11,
IF(AX245=regle!$F$12,regle!$F$11,
IF(AX245=regle!$G$12,regle!$G$11,
IF(AX245=regle!$H$12,regle!$H$11,
IF(AX245=regle!$I$12,regle!$I$11,""))))))))))</f>
        <v>EC2</v>
      </c>
      <c r="AE245" s="14">
        <f>IF($A245,$M245*(IF(U245=regle!$B$11,regle!$B$23,IF(U245=regle!$C$11,regle!$C$23,IF(U245=regle!$D$11,regle!$D$23,IF(U245=regle!$E$11,regle!$E$23,IF(U245=regle!$F$11,regle!$F$23,IF(U245=regle!$G$11,regle!$G$23,IF(U245=regle!$H$11,regle!$H$23,IF(U245=regle!$I$11,regle!$I$23,IF(U245=regle!$J$11,regle!$J$23,0)))))))))))</f>
        <v>0</v>
      </c>
      <c r="AF245" s="14">
        <f>IF($A245,$M245*(IF(V245=regle!$B$11,regle!$B$23,IF(V245=regle!$C$11,regle!$C$23,IF(V245=regle!$D$11,regle!$D$23,IF(V245=regle!$E$11,regle!$E$23,IF(V245=regle!$F$11,regle!$F$23,IF(V245=regle!$G$11,regle!$G$23,IF(V245=regle!$H$11,regle!$H$23,IF(V245=regle!$I$11,regle!$I$23,IF(V245=regle!$J$11,regle!$J$23,0)))))))))))</f>
        <v>0</v>
      </c>
      <c r="AG245" s="14">
        <f>IF($A245,$M245*(IF(W245=regle!$B$11,regle!$B$23,IF(W245=regle!$C$11,regle!$C$23,IF(W245=regle!$D$11,regle!$D$23,IF(W245=regle!$E$11,regle!$E$23,IF(W245=regle!$F$11,regle!$F$23,IF(W245=regle!$G$11,regle!$G$23,IF(W245=regle!$H$11,regle!$H$23,IF(W245=regle!$I$11,regle!$I$23,IF(W245=regle!$J$11,regle!$J$23,0)))))))))))</f>
        <v>0</v>
      </c>
      <c r="AH245" s="14">
        <f>IF($A245,$M245*(IF(X245=regle!$B$11,regle!$B$23,IF(X245=regle!$C$11,regle!$C$23,IF(X245=regle!$D$11,regle!$D$23,IF(X245=regle!$E$11,regle!$E$23,IF(X245=regle!$F$11,regle!$F$23,IF(X245=regle!$G$11,regle!$G$23,IF(X245=regle!$H$11,regle!$H$23,IF(X245=regle!$I$11,regle!$I$23,IF(X245=regle!$J$11,regle!$J$23,0)))))))))))</f>
        <v>0</v>
      </c>
      <c r="AI245" s="14">
        <f>IF($A245,$M245*(IF(Y245=regle!$B$11,regle!$B$23,IF(Y245=regle!$C$11,regle!$C$23,IF(Y245=regle!$D$11,regle!$D$23,IF(Y245=regle!$E$11,regle!$E$23,IF(Y245=regle!$F$11,regle!$F$23,IF(Y245=regle!$G$11,regle!$G$23,IF(Y245=regle!$H$11,regle!$H$23,IF(Y245=regle!$I$11,regle!$I$23,IF(Y245=regle!$J$11,regle!$J$23,0)))))))))))</f>
        <v>77.12639999999999</v>
      </c>
      <c r="AJ245" s="14">
        <f>IF($A245,$M245*(IF(Z245=regle!$B$11,regle!$B$23,IF(Z245=regle!$C$11,regle!$C$23,IF(Z245=regle!$D$11,regle!$D$23,IF(Z245=regle!$E$11,regle!$E$23,IF(Z245=regle!$F$11,regle!$F$23,IF(Z245=regle!$G$11,regle!$G$23,IF(Z245=regle!$H$11,regle!$H$23,IF(Z245=regle!$I$11,regle!$I$23,IF(Z245=regle!$J$11,regle!$J$23,0)))))))))))</f>
        <v>0</v>
      </c>
      <c r="AK245" s="14">
        <f>IF($A245,$M245*(IF(AA245=regle!$B$11,regle!$B$23,IF(AA245=regle!$C$11,regle!$C$23,IF(AA245=regle!$D$11,regle!$D$23,IF(AA245=regle!$E$11,regle!$E$23,IF(AA245=regle!$F$11,regle!$F$23,IF(AA245=regle!$G$11,regle!$G$23,IF(AA245=regle!$H$11,regle!$H$23,IF(AA245=regle!$I$11,regle!$I$23,IF(AA245=regle!$J$11,regle!$J$23,0)))))))))))</f>
        <v>0</v>
      </c>
      <c r="AL245" s="14">
        <f>IF($A245,$M245*(IF(AB245=regle!$B$11,regle!$B$23,IF(AB245=regle!$C$11,regle!$C$23,IF(AB245=regle!$D$11,regle!$D$23,IF(AB245=regle!$E$11,regle!$E$23,IF(AB245=regle!$F$11,regle!$F$23,IF(AB245=regle!$G$11,regle!$G$23,IF(AB245=regle!$H$11,regle!$H$23,IF(AB245=regle!$I$11,regle!$I$23,IF(AB245=regle!$J$11,regle!$J$23,0)))))))))))</f>
        <v>0</v>
      </c>
      <c r="AM245" s="14">
        <f>IF($A245,$M245*(IF(AC245=regle!$B$11,regle!$B$23,IF(AC245=regle!$C$11,regle!$C$23,IF(AC245=regle!$D$11,regle!$D$23,IF(AC245=regle!$E$11,regle!$E$23,IF(AC245=regle!$F$11,regle!$F$23,IF(AC245=regle!$G$11,regle!$G$23,IF(AC245=regle!$H$11,regle!$H$23,IF(AC245=regle!$I$11,regle!$I$23,IF(AC245=regle!$J$11,regle!$J$23,0)))))))))))</f>
        <v>0</v>
      </c>
      <c r="AN245" s="14">
        <f>IF($A245,$M245*(IF(AD245=regle!$B$11,regle!$B$23,IF(AD245=regle!$C$11,regle!$C$23,IF(AD245=regle!$D$11,regle!$D$23,IF(AD245=regle!$E$11,regle!$E$23,IF(AD245=regle!$F$11,regle!$F$23,IF(AD245=regle!$G$11,regle!$G$23,IF(AD245=regle!$H$11,regle!$H$23,IF(AD245=regle!$I$11,regle!$I$23,IF(AD245=regle!$J$11,regle!$J$23,0)))))))))))</f>
        <v>112.476</v>
      </c>
      <c r="AO245">
        <f>IF(AO$1=$AO$1,IF(regle!B$2-$Q245&gt;=regle!$J$12,-2,IF($S245,IF(regle!$B$2-$Q245&gt;=2,0,-1),regle!B$2-$Q245)),IF(AN245+1&gt;=regle!$J$12,-2,AN245+1))</f>
        <v>9</v>
      </c>
      <c r="AP245">
        <f>IF(AP$1=$AO$1,IF(regle!C$2-$Q245&gt;=regle!$J$12,-2,IF($S245,IF(regle!$B$2-$Q245&gt;=2,0,-1),regle!C$2-$Q245)),IF(AO245+1&gt;=regle!$J$12,-2,AO245+1))</f>
        <v>10</v>
      </c>
      <c r="AQ245">
        <f>IF(AQ$1=$AO$1,IF(regle!D$2-$Q245&gt;=regle!$J$12,-2,IF($S245,IF(regle!$B$2-$Q245&gt;=2,0,-1),regle!D$2-$Q245)),IF(AP245+1&gt;=regle!$J$12,-2,AP245+1))</f>
        <v>11</v>
      </c>
      <c r="AR245">
        <f>IF(AR$1=$AO$1,IF(regle!E$2-$Q245&gt;=regle!$J$12,-2,IF($S245,IF(regle!$B$2-$Q245&gt;=2,0,-1),regle!E$2-$Q245)),IF(AQ245+1&gt;=regle!$J$12,-2,AQ245+1))</f>
        <v>12</v>
      </c>
      <c r="AS245">
        <f>IF(AS$1=$AO$1,IF(regle!F$2-$Q245&gt;=regle!$J$12,-2,IF($S245,IF(regle!$B$2-$Q245&gt;=2,0,-1),regle!F$2-$Q245)),IF(AR245+1&gt;=regle!$J$12,-2,AR245+1))</f>
        <v>13</v>
      </c>
      <c r="AT245">
        <f>IF(AT$1=$AO$1,IF(regle!G$2-$Q245&gt;=regle!$J$12,-2,IF($S245,IF(regle!$B$2-$Q245&gt;=2,0,-1),regle!G$2-$Q245)),IF(AS245+1&gt;=regle!$J$12,-2,AS245+1))</f>
        <v>14</v>
      </c>
      <c r="AU245">
        <f>IF(AU$1=$AO$1,IF(regle!H$2-$Q245&gt;=regle!$J$12,-2,IF($S245,IF(regle!$B$2-$Q245&gt;=2,0,-1),regle!H$2-$Q245)),IF(AT245+1&gt;=regle!$J$12,-2,AT245+1))</f>
        <v>15</v>
      </c>
      <c r="AV245">
        <f>IF(AV$1=$AO$1,IF(regle!I$2-$Q245&gt;=regle!$J$12,-2,IF($S245,IF(regle!$B$2-$Q245&gt;=2,0,-1),regle!I$2-$Q245)),IF(AU245+1&gt;=regle!$J$12,-2,AU245+1))</f>
        <v>16</v>
      </c>
      <c r="AW245">
        <f>IF(AW$1=$AO$1,IF(regle!J$2-$Q245&gt;=regle!$J$12,-2,IF($S245,IF(regle!$B$2-$Q245&gt;=2,0,-1),regle!J$2-$Q245)),IF(AV245+1&gt;=regle!$J$12,-2,AV245+1))</f>
        <v>17</v>
      </c>
      <c r="AX245">
        <f>IF(AX$1=$AO$1,IF(regle!K$2-$Q245&gt;=regle!$J$12,-2,IF($S245,IF(regle!$B$2-$Q245&gt;=2,0,-1),regle!K$2-$Q245)),IF(AW245+1&gt;=regle!$J$12,-2,AW245+1))</f>
        <v>18</v>
      </c>
    </row>
    <row r="246" spans="1:50" x14ac:dyDescent="0.25">
      <c r="A246" t="b">
        <f>AND(modif0[[#This Row],[cdstr]]&lt;&gt;0,OR(regle!$H$27=FALSE,modif0[[#This Row],[essnc]]="PM"))</f>
        <v>1</v>
      </c>
      <c r="B246">
        <f>ROW(objet!A289)</f>
        <v>289</v>
      </c>
      <c r="C246" s="10" t="str">
        <f>objet!D289</f>
        <v>2020000B2472</v>
      </c>
      <c r="D246" t="str">
        <f>LEFT(modif0[[#This Row],[cdstr]],3)</f>
        <v>202</v>
      </c>
      <c r="E246" s="10" t="str">
        <f>objet!G289</f>
        <v>HOSTENS</v>
      </c>
      <c r="F246">
        <f>LEN(modif0[[#This Row],[l_dt]])</f>
        <v>8</v>
      </c>
      <c r="G246" s="10" t="str">
        <f>objet!H289</f>
        <v>LES BECS</v>
      </c>
      <c r="H246" s="10" t="str">
        <f>objet!C289</f>
        <v>B2472n</v>
      </c>
      <c r="I246" t="str">
        <f>IF(ISNUMBER(VALUE(RIGHT(LEFT(modif0[[#This Row],[idntfn]],2),1))),_xlfn.CONCAT(0,LEFT(modif0[[#This Row],[idntfn]],1)),LEFT(modif0[[#This Row],[idntfn]],2))</f>
        <v>0B</v>
      </c>
      <c r="J246">
        <f>VALUE(LEFT(RIGHT(modif0[[#This Row],[idntfn]],LEN(modif0[[#This Row],[idntfn]])-IF(LEFT(modif0[[#This Row],[sctn]],1)="0",1,2)),LEN(modif0[[#This Row],[idntfn]])-IF(LEFT(modif0[[#This Row],[sctn]],1)="0",1,2)-LEN(modif0[[#This Row],[lttr]])))</f>
        <v>2472</v>
      </c>
      <c r="K246" t="str">
        <f>IF(ISNUMBER(VALUE(RIGHT(modif0[[#This Row],[idntfn]],1))),"",IF(ISNUMBER(VALUE(LEFT(RIGHT(modif0[[#This Row],[idntfn]],2),1))),RIGHT(modif0[[#This Row],[idntfn]],1),RIGHT(modif0[[#This Row],[idntfn]],2)))</f>
        <v>n</v>
      </c>
      <c r="L246" s="10">
        <f>objet!I289</f>
        <v>769</v>
      </c>
      <c r="M246" s="11">
        <f>modif0[[#This Row],[srfc]]/10000</f>
        <v>7.6899999999999996E-2</v>
      </c>
      <c r="N246" s="10" t="str">
        <f>objet!Z289</f>
        <v>PM</v>
      </c>
      <c r="O246" s="10" t="str">
        <f>objet!AA289</f>
        <v>PLA2015</v>
      </c>
      <c r="P246" t="str">
        <f>IF(ISNUMBER(modif0[[#This Row],[trvx]]),"",LEFT(modif0[[#This Row],[trvx]],LEN(modif0[[#This Row],[trvx]])-4))</f>
        <v>PLA</v>
      </c>
      <c r="Q246">
        <f>VALUE(RIGHT(modif0[[#This Row],[trvx]],4))</f>
        <v>2015</v>
      </c>
      <c r="R246" t="str">
        <f>_xlfn.CONCAT(modif0[[#This Row],[tp]],"-",modif0[[#This Row],[essnc]],"_",modif0[[#This Row],[anns]])</f>
        <v>PLA-PM_2015</v>
      </c>
      <c r="S246" t="b">
        <f>modif0[[#This Row],[tp]]="CR"</f>
        <v>0</v>
      </c>
      <c r="T246">
        <v>40</v>
      </c>
      <c r="U246" t="str">
        <f>IF(NOT($A246),"",
IF(AO246=-2,regle!$J$11,
IF(AO246=regle!$B$12,regle!$B$11,
IF(AO246=regle!$C$12,regle!$C$11,
IF(AO246=regle!$D$12,regle!$D$11,
IF(AO246=regle!$E$12,regle!$E$11,
IF(AO246=regle!$F$12,regle!$F$11,
IF(AO246=regle!$G$12,regle!$G$11,
IF(AO246=regle!$H$12,regle!$H$11,
IF(AO246=regle!$I$12,regle!$I$11,""))))))))))</f>
        <v/>
      </c>
      <c r="V246" t="str">
        <f>IF(NOT($A246),"",
IF(AP246=-2,regle!$J$11,
IF(AP246=regle!$B$12,regle!$B$11,
IF(AP246=regle!$C$12,regle!$C$11,
IF(AP246=regle!$D$12,regle!$D$11,
IF(AP246=regle!$E$12,regle!$E$11,
IF(AP246=regle!$F$12,regle!$F$11,
IF(AP246=regle!$G$12,regle!$G$11,
IF(AP246=regle!$H$12,regle!$H$11,
IF(AP246=regle!$I$12,regle!$I$11,""))))))))))</f>
        <v/>
      </c>
      <c r="W246" t="str">
        <f>IF(NOT($A246),"",
IF(AQ246=-2,regle!$J$11,
IF(AQ246=regle!$B$12,regle!$B$11,
IF(AQ246=regle!$C$12,regle!$C$11,
IF(AQ246=regle!$D$12,regle!$D$11,
IF(AQ246=regle!$E$12,regle!$E$11,
IF(AQ246=regle!$F$12,regle!$F$11,
IF(AQ246=regle!$G$12,regle!$G$11,
IF(AQ246=regle!$H$12,regle!$H$11,
IF(AQ246=regle!$I$12,regle!$I$11,""))))))))))</f>
        <v/>
      </c>
      <c r="X246" t="str">
        <f>IF(NOT($A246),"",
IF(AR246=-2,regle!$J$11,
IF(AR246=regle!$B$12,regle!$B$11,
IF(AR246=regle!$C$12,regle!$C$11,
IF(AR246=regle!$D$12,regle!$D$11,
IF(AR246=regle!$E$12,regle!$E$11,
IF(AR246=regle!$F$12,regle!$F$11,
IF(AR246=regle!$G$12,regle!$G$11,
IF(AR246=regle!$H$12,regle!$H$11,
IF(AR246=regle!$I$12,regle!$I$11,""))))))))))</f>
        <v/>
      </c>
      <c r="Y246" t="str">
        <f>IF(NOT($A246),"",
IF(AS246=-2,regle!$J$11,
IF(AS246=regle!$B$12,regle!$B$11,
IF(AS246=regle!$C$12,regle!$C$11,
IF(AS246=regle!$D$12,regle!$D$11,
IF(AS246=regle!$E$12,regle!$E$11,
IF(AS246=regle!$F$12,regle!$F$11,
IF(AS246=regle!$G$12,regle!$G$11,
IF(AS246=regle!$H$12,regle!$H$11,
IF(AS246=regle!$I$12,regle!$I$11,""))))))))))</f>
        <v>EC1</v>
      </c>
      <c r="Z246" t="str">
        <f>IF(NOT($A246),"",
IF(AT246=-2,regle!$J$11,
IF(AT246=regle!$B$12,regle!$B$11,
IF(AT246=regle!$C$12,regle!$C$11,
IF(AT246=regle!$D$12,regle!$D$11,
IF(AT246=regle!$E$12,regle!$E$11,
IF(AT246=regle!$F$12,regle!$F$11,
IF(AT246=regle!$G$12,regle!$G$11,
IF(AT246=regle!$H$12,regle!$H$11,
IF(AT246=regle!$I$12,regle!$I$11,""))))))))))</f>
        <v/>
      </c>
      <c r="AA246" t="str">
        <f>IF(NOT($A246),"",
IF(AU246=-2,regle!$J$11,
IF(AU246=regle!$B$12,regle!$B$11,
IF(AU246=regle!$C$12,regle!$C$11,
IF(AU246=regle!$D$12,regle!$D$11,
IF(AU246=regle!$E$12,regle!$E$11,
IF(AU246=regle!$F$12,regle!$F$11,
IF(AU246=regle!$G$12,regle!$G$11,
IF(AU246=regle!$H$12,regle!$H$11,
IF(AU246=regle!$I$12,regle!$I$11,""))))))))))</f>
        <v/>
      </c>
      <c r="AB246" t="str">
        <f>IF(NOT($A246),"",
IF(AV246=-2,regle!$J$11,
IF(AV246=regle!$B$12,regle!$B$11,
IF(AV246=regle!$C$12,regle!$C$11,
IF(AV246=regle!$D$12,regle!$D$11,
IF(AV246=regle!$E$12,regle!$E$11,
IF(AV246=regle!$F$12,regle!$F$11,
IF(AV246=regle!$G$12,regle!$G$11,
IF(AV246=regle!$H$12,regle!$H$11,
IF(AV246=regle!$I$12,regle!$I$11,""))))))))))</f>
        <v/>
      </c>
      <c r="AC246" t="str">
        <f>IF(NOT($A246),"",
IF(AW246=-2,regle!$J$11,
IF(AW246=regle!$B$12,regle!$B$11,
IF(AW246=regle!$C$12,regle!$C$11,
IF(AW246=regle!$D$12,regle!$D$11,
IF(AW246=regle!$E$12,regle!$E$11,
IF(AW246=regle!$F$12,regle!$F$11,
IF(AW246=regle!$G$12,regle!$G$11,
IF(AW246=regle!$H$12,regle!$H$11,
IF(AW246=regle!$I$12,regle!$I$11,""))))))))))</f>
        <v/>
      </c>
      <c r="AD246" t="str">
        <f>IF(NOT($A246),"",
IF(AX246=-2,regle!$J$11,
IF(AX246=regle!$B$12,regle!$B$11,
IF(AX246=regle!$C$12,regle!$C$11,
IF(AX246=regle!$D$12,regle!$D$11,
IF(AX246=regle!$E$12,regle!$E$11,
IF(AX246=regle!$F$12,regle!$F$11,
IF(AX246=regle!$G$12,regle!$G$11,
IF(AX246=regle!$H$12,regle!$H$11,
IF(AX246=regle!$I$12,regle!$I$11,""))))))))))</f>
        <v>EC2</v>
      </c>
      <c r="AE246" s="14">
        <f>IF($A246,$M246*(IF(U246=regle!$B$11,regle!$B$23,IF(U246=regle!$C$11,regle!$C$23,IF(U246=regle!$D$11,regle!$D$23,IF(U246=regle!$E$11,regle!$E$23,IF(U246=regle!$F$11,regle!$F$23,IF(U246=regle!$G$11,regle!$G$23,IF(U246=regle!$H$11,regle!$H$23,IF(U246=regle!$I$11,regle!$I$23,IF(U246=regle!$J$11,regle!$J$23,0)))))))))))</f>
        <v>0</v>
      </c>
      <c r="AF246" s="14">
        <f>IF($A246,$M246*(IF(V246=regle!$B$11,regle!$B$23,IF(V246=regle!$C$11,regle!$C$23,IF(V246=regle!$D$11,regle!$D$23,IF(V246=regle!$E$11,regle!$E$23,IF(V246=regle!$F$11,regle!$F$23,IF(V246=regle!$G$11,regle!$G$23,IF(V246=regle!$H$11,regle!$H$23,IF(V246=regle!$I$11,regle!$I$23,IF(V246=regle!$J$11,regle!$J$23,0)))))))))))</f>
        <v>0</v>
      </c>
      <c r="AG246" s="14">
        <f>IF($A246,$M246*(IF(W246=regle!$B$11,regle!$B$23,IF(W246=regle!$C$11,regle!$C$23,IF(W246=regle!$D$11,regle!$D$23,IF(W246=regle!$E$11,regle!$E$23,IF(W246=regle!$F$11,regle!$F$23,IF(W246=regle!$G$11,regle!$G$23,IF(W246=regle!$H$11,regle!$H$23,IF(W246=regle!$I$11,regle!$I$23,IF(W246=regle!$J$11,regle!$J$23,0)))))))))))</f>
        <v>0</v>
      </c>
      <c r="AH246" s="14">
        <f>IF($A246,$M246*(IF(X246=regle!$B$11,regle!$B$23,IF(X246=regle!$C$11,regle!$C$23,IF(X246=regle!$D$11,regle!$D$23,IF(X246=regle!$E$11,regle!$E$23,IF(X246=regle!$F$11,regle!$F$23,IF(X246=regle!$G$11,regle!$G$23,IF(X246=regle!$H$11,regle!$H$23,IF(X246=regle!$I$11,regle!$I$23,IF(X246=regle!$J$11,regle!$J$23,0)))))))))))</f>
        <v>0</v>
      </c>
      <c r="AI246" s="14">
        <f>IF($A246,$M246*(IF(Y246=regle!$B$11,regle!$B$23,IF(Y246=regle!$C$11,regle!$C$23,IF(Y246=regle!$D$11,regle!$D$23,IF(Y246=regle!$E$11,regle!$E$23,IF(Y246=regle!$F$11,regle!$F$23,IF(Y246=regle!$G$11,regle!$G$23,IF(Y246=regle!$H$11,regle!$H$23,IF(Y246=regle!$I$11,regle!$I$23,IF(Y246=regle!$J$11,regle!$J$23,0)))))))))))</f>
        <v>44.294399999999996</v>
      </c>
      <c r="AJ246" s="14">
        <f>IF($A246,$M246*(IF(Z246=regle!$B$11,regle!$B$23,IF(Z246=regle!$C$11,regle!$C$23,IF(Z246=regle!$D$11,regle!$D$23,IF(Z246=regle!$E$11,regle!$E$23,IF(Z246=regle!$F$11,regle!$F$23,IF(Z246=regle!$G$11,regle!$G$23,IF(Z246=regle!$H$11,regle!$H$23,IF(Z246=regle!$I$11,regle!$I$23,IF(Z246=regle!$J$11,regle!$J$23,0)))))))))))</f>
        <v>0</v>
      </c>
      <c r="AK246" s="14">
        <f>IF($A246,$M246*(IF(AA246=regle!$B$11,regle!$B$23,IF(AA246=regle!$C$11,regle!$C$23,IF(AA246=regle!$D$11,regle!$D$23,IF(AA246=regle!$E$11,regle!$E$23,IF(AA246=regle!$F$11,regle!$F$23,IF(AA246=regle!$G$11,regle!$G$23,IF(AA246=regle!$H$11,regle!$H$23,IF(AA246=regle!$I$11,regle!$I$23,IF(AA246=regle!$J$11,regle!$J$23,0)))))))))))</f>
        <v>0</v>
      </c>
      <c r="AL246" s="14">
        <f>IF($A246,$M246*(IF(AB246=regle!$B$11,regle!$B$23,IF(AB246=regle!$C$11,regle!$C$23,IF(AB246=regle!$D$11,regle!$D$23,IF(AB246=regle!$E$11,regle!$E$23,IF(AB246=regle!$F$11,regle!$F$23,IF(AB246=regle!$G$11,regle!$G$23,IF(AB246=regle!$H$11,regle!$H$23,IF(AB246=regle!$I$11,regle!$I$23,IF(AB246=regle!$J$11,regle!$J$23,0)))))))))))</f>
        <v>0</v>
      </c>
      <c r="AM246" s="14">
        <f>IF($A246,$M246*(IF(AC246=regle!$B$11,regle!$B$23,IF(AC246=regle!$C$11,regle!$C$23,IF(AC246=regle!$D$11,regle!$D$23,IF(AC246=regle!$E$11,regle!$E$23,IF(AC246=regle!$F$11,regle!$F$23,IF(AC246=regle!$G$11,regle!$G$23,IF(AC246=regle!$H$11,regle!$H$23,IF(AC246=regle!$I$11,regle!$I$23,IF(AC246=regle!$J$11,regle!$J$23,0)))))))))))</f>
        <v>0</v>
      </c>
      <c r="AN246" s="14">
        <f>IF($A246,$M246*(IF(AD246=regle!$B$11,regle!$B$23,IF(AD246=regle!$C$11,regle!$C$23,IF(AD246=regle!$D$11,regle!$D$23,IF(AD246=regle!$E$11,regle!$E$23,IF(AD246=regle!$F$11,regle!$F$23,IF(AD246=regle!$G$11,regle!$G$23,IF(AD246=regle!$H$11,regle!$H$23,IF(AD246=regle!$I$11,regle!$I$23,IF(AD246=regle!$J$11,regle!$J$23,0)))))))))))</f>
        <v>64.596000000000004</v>
      </c>
      <c r="AO246">
        <f>IF(AO$1=$AO$1,IF(regle!B$2-$Q246&gt;=regle!$J$12,-2,IF($S246,IF(regle!$B$2-$Q246&gt;=2,0,-1),regle!B$2-$Q246)),IF(AN246+1&gt;=regle!$J$12,-2,AN246+1))</f>
        <v>9</v>
      </c>
      <c r="AP246">
        <f>IF(AP$1=$AO$1,IF(regle!C$2-$Q246&gt;=regle!$J$12,-2,IF($S246,IF(regle!$B$2-$Q246&gt;=2,0,-1),regle!C$2-$Q246)),IF(AO246+1&gt;=regle!$J$12,-2,AO246+1))</f>
        <v>10</v>
      </c>
      <c r="AQ246">
        <f>IF(AQ$1=$AO$1,IF(regle!D$2-$Q246&gt;=regle!$J$12,-2,IF($S246,IF(regle!$B$2-$Q246&gt;=2,0,-1),regle!D$2-$Q246)),IF(AP246+1&gt;=regle!$J$12,-2,AP246+1))</f>
        <v>11</v>
      </c>
      <c r="AR246">
        <f>IF(AR$1=$AO$1,IF(regle!E$2-$Q246&gt;=regle!$J$12,-2,IF($S246,IF(regle!$B$2-$Q246&gt;=2,0,-1),regle!E$2-$Q246)),IF(AQ246+1&gt;=regle!$J$12,-2,AQ246+1))</f>
        <v>12</v>
      </c>
      <c r="AS246">
        <f>IF(AS$1=$AO$1,IF(regle!F$2-$Q246&gt;=regle!$J$12,-2,IF($S246,IF(regle!$B$2-$Q246&gt;=2,0,-1),regle!F$2-$Q246)),IF(AR246+1&gt;=regle!$J$12,-2,AR246+1))</f>
        <v>13</v>
      </c>
      <c r="AT246">
        <f>IF(AT$1=$AO$1,IF(regle!G$2-$Q246&gt;=regle!$J$12,-2,IF($S246,IF(regle!$B$2-$Q246&gt;=2,0,-1),regle!G$2-$Q246)),IF(AS246+1&gt;=regle!$J$12,-2,AS246+1))</f>
        <v>14</v>
      </c>
      <c r="AU246">
        <f>IF(AU$1=$AO$1,IF(regle!H$2-$Q246&gt;=regle!$J$12,-2,IF($S246,IF(regle!$B$2-$Q246&gt;=2,0,-1),regle!H$2-$Q246)),IF(AT246+1&gt;=regle!$J$12,-2,AT246+1))</f>
        <v>15</v>
      </c>
      <c r="AV246">
        <f>IF(AV$1=$AO$1,IF(regle!I$2-$Q246&gt;=regle!$J$12,-2,IF($S246,IF(regle!$B$2-$Q246&gt;=2,0,-1),regle!I$2-$Q246)),IF(AU246+1&gt;=regle!$J$12,-2,AU246+1))</f>
        <v>16</v>
      </c>
      <c r="AW246">
        <f>IF(AW$1=$AO$1,IF(regle!J$2-$Q246&gt;=regle!$J$12,-2,IF($S246,IF(regle!$B$2-$Q246&gt;=2,0,-1),regle!J$2-$Q246)),IF(AV246+1&gt;=regle!$J$12,-2,AV246+1))</f>
        <v>17</v>
      </c>
      <c r="AX246">
        <f>IF(AX$1=$AO$1,IF(regle!K$2-$Q246&gt;=regle!$J$12,-2,IF($S246,IF(regle!$B$2-$Q246&gt;=2,0,-1),regle!K$2-$Q246)),IF(AW246+1&gt;=regle!$J$12,-2,AW246+1))</f>
        <v>18</v>
      </c>
    </row>
    <row r="247" spans="1:50" x14ac:dyDescent="0.25">
      <c r="A247" t="b">
        <f>AND(modif0[[#This Row],[cdstr]]&lt;&gt;0,OR(regle!$H$27=FALSE,modif0[[#This Row],[essnc]]="PM"))</f>
        <v>1</v>
      </c>
      <c r="B247">
        <f>ROW(objet!A290)</f>
        <v>290</v>
      </c>
      <c r="C247" s="10" t="str">
        <f>objet!D290</f>
        <v>2020000B2472</v>
      </c>
      <c r="D247" t="str">
        <f>LEFT(modif0[[#This Row],[cdstr]],3)</f>
        <v>202</v>
      </c>
      <c r="E247" s="10" t="str">
        <f>objet!G290</f>
        <v>HOSTENS</v>
      </c>
      <c r="F247">
        <f>LEN(modif0[[#This Row],[l_dt]])</f>
        <v>8</v>
      </c>
      <c r="G247" s="10" t="str">
        <f>objet!H290</f>
        <v>LES BECS</v>
      </c>
      <c r="H247" s="10" t="str">
        <f>objet!C290</f>
        <v>B2472o</v>
      </c>
      <c r="I247" t="str">
        <f>IF(ISNUMBER(VALUE(RIGHT(LEFT(modif0[[#This Row],[idntfn]],2),1))),_xlfn.CONCAT(0,LEFT(modif0[[#This Row],[idntfn]],1)),LEFT(modif0[[#This Row],[idntfn]],2))</f>
        <v>0B</v>
      </c>
      <c r="J247">
        <f>VALUE(LEFT(RIGHT(modif0[[#This Row],[idntfn]],LEN(modif0[[#This Row],[idntfn]])-IF(LEFT(modif0[[#This Row],[sctn]],1)="0",1,2)),LEN(modif0[[#This Row],[idntfn]])-IF(LEFT(modif0[[#This Row],[sctn]],1)="0",1,2)-LEN(modif0[[#This Row],[lttr]])))</f>
        <v>2472</v>
      </c>
      <c r="K247" t="str">
        <f>IF(ISNUMBER(VALUE(RIGHT(modif0[[#This Row],[idntfn]],1))),"",IF(ISNUMBER(VALUE(LEFT(RIGHT(modif0[[#This Row],[idntfn]],2),1))),RIGHT(modif0[[#This Row],[idntfn]],1),RIGHT(modif0[[#This Row],[idntfn]],2)))</f>
        <v>o</v>
      </c>
      <c r="L247" s="10">
        <f>objet!I290</f>
        <v>2477</v>
      </c>
      <c r="M247" s="11">
        <f>modif0[[#This Row],[srfc]]/10000</f>
        <v>0.2477</v>
      </c>
      <c r="N247" s="10" t="str">
        <f>objet!Z290</f>
        <v>PM</v>
      </c>
      <c r="O247" s="10" t="str">
        <f>objet!AA290</f>
        <v>PLA2015</v>
      </c>
      <c r="P247" t="str">
        <f>IF(ISNUMBER(modif0[[#This Row],[trvx]]),"",LEFT(modif0[[#This Row],[trvx]],LEN(modif0[[#This Row],[trvx]])-4))</f>
        <v>PLA</v>
      </c>
      <c r="Q247">
        <f>VALUE(RIGHT(modif0[[#This Row],[trvx]],4))</f>
        <v>2015</v>
      </c>
      <c r="R247" t="str">
        <f>_xlfn.CONCAT(modif0[[#This Row],[tp]],"-",modif0[[#This Row],[essnc]],"_",modif0[[#This Row],[anns]])</f>
        <v>PLA-PM_2015</v>
      </c>
      <c r="S247" t="b">
        <f>modif0[[#This Row],[tp]]="CR"</f>
        <v>0</v>
      </c>
      <c r="T247">
        <v>40</v>
      </c>
      <c r="U247" t="str">
        <f>IF(NOT($A247),"",
IF(AO247=-2,regle!$J$11,
IF(AO247=regle!$B$12,regle!$B$11,
IF(AO247=regle!$C$12,regle!$C$11,
IF(AO247=regle!$D$12,regle!$D$11,
IF(AO247=regle!$E$12,regle!$E$11,
IF(AO247=regle!$F$12,regle!$F$11,
IF(AO247=regle!$G$12,regle!$G$11,
IF(AO247=regle!$H$12,regle!$H$11,
IF(AO247=regle!$I$12,regle!$I$11,""))))))))))</f>
        <v/>
      </c>
      <c r="V247" t="str">
        <f>IF(NOT($A247),"",
IF(AP247=-2,regle!$J$11,
IF(AP247=regle!$B$12,regle!$B$11,
IF(AP247=regle!$C$12,regle!$C$11,
IF(AP247=regle!$D$12,regle!$D$11,
IF(AP247=regle!$E$12,regle!$E$11,
IF(AP247=regle!$F$12,regle!$F$11,
IF(AP247=regle!$G$12,regle!$G$11,
IF(AP247=regle!$H$12,regle!$H$11,
IF(AP247=regle!$I$12,regle!$I$11,""))))))))))</f>
        <v/>
      </c>
      <c r="W247" t="str">
        <f>IF(NOT($A247),"",
IF(AQ247=-2,regle!$J$11,
IF(AQ247=regle!$B$12,regle!$B$11,
IF(AQ247=regle!$C$12,regle!$C$11,
IF(AQ247=regle!$D$12,regle!$D$11,
IF(AQ247=regle!$E$12,regle!$E$11,
IF(AQ247=regle!$F$12,regle!$F$11,
IF(AQ247=regle!$G$12,regle!$G$11,
IF(AQ247=regle!$H$12,regle!$H$11,
IF(AQ247=regle!$I$12,regle!$I$11,""))))))))))</f>
        <v/>
      </c>
      <c r="X247" t="str">
        <f>IF(NOT($A247),"",
IF(AR247=-2,regle!$J$11,
IF(AR247=regle!$B$12,regle!$B$11,
IF(AR247=regle!$C$12,regle!$C$11,
IF(AR247=regle!$D$12,regle!$D$11,
IF(AR247=regle!$E$12,regle!$E$11,
IF(AR247=regle!$F$12,regle!$F$11,
IF(AR247=regle!$G$12,regle!$G$11,
IF(AR247=regle!$H$12,regle!$H$11,
IF(AR247=regle!$I$12,regle!$I$11,""))))))))))</f>
        <v/>
      </c>
      <c r="Y247" t="str">
        <f>IF(NOT($A247),"",
IF(AS247=-2,regle!$J$11,
IF(AS247=regle!$B$12,regle!$B$11,
IF(AS247=regle!$C$12,regle!$C$11,
IF(AS247=regle!$D$12,regle!$D$11,
IF(AS247=regle!$E$12,regle!$E$11,
IF(AS247=regle!$F$12,regle!$F$11,
IF(AS247=regle!$G$12,regle!$G$11,
IF(AS247=regle!$H$12,regle!$H$11,
IF(AS247=regle!$I$12,regle!$I$11,""))))))))))</f>
        <v>EC1</v>
      </c>
      <c r="Z247" t="str">
        <f>IF(NOT($A247),"",
IF(AT247=-2,regle!$J$11,
IF(AT247=regle!$B$12,regle!$B$11,
IF(AT247=regle!$C$12,regle!$C$11,
IF(AT247=regle!$D$12,regle!$D$11,
IF(AT247=regle!$E$12,regle!$E$11,
IF(AT247=regle!$F$12,regle!$F$11,
IF(AT247=regle!$G$12,regle!$G$11,
IF(AT247=regle!$H$12,regle!$H$11,
IF(AT247=regle!$I$12,regle!$I$11,""))))))))))</f>
        <v/>
      </c>
      <c r="AA247" t="str">
        <f>IF(NOT($A247),"",
IF(AU247=-2,regle!$J$11,
IF(AU247=regle!$B$12,regle!$B$11,
IF(AU247=regle!$C$12,regle!$C$11,
IF(AU247=regle!$D$12,regle!$D$11,
IF(AU247=regle!$E$12,regle!$E$11,
IF(AU247=regle!$F$12,regle!$F$11,
IF(AU247=regle!$G$12,regle!$G$11,
IF(AU247=regle!$H$12,regle!$H$11,
IF(AU247=regle!$I$12,regle!$I$11,""))))))))))</f>
        <v/>
      </c>
      <c r="AB247" t="str">
        <f>IF(NOT($A247),"",
IF(AV247=-2,regle!$J$11,
IF(AV247=regle!$B$12,regle!$B$11,
IF(AV247=regle!$C$12,regle!$C$11,
IF(AV247=regle!$D$12,regle!$D$11,
IF(AV247=regle!$E$12,regle!$E$11,
IF(AV247=regle!$F$12,regle!$F$11,
IF(AV247=regle!$G$12,regle!$G$11,
IF(AV247=regle!$H$12,regle!$H$11,
IF(AV247=regle!$I$12,regle!$I$11,""))))))))))</f>
        <v/>
      </c>
      <c r="AC247" t="str">
        <f>IF(NOT($A247),"",
IF(AW247=-2,regle!$J$11,
IF(AW247=regle!$B$12,regle!$B$11,
IF(AW247=regle!$C$12,regle!$C$11,
IF(AW247=regle!$D$12,regle!$D$11,
IF(AW247=regle!$E$12,regle!$E$11,
IF(AW247=regle!$F$12,regle!$F$11,
IF(AW247=regle!$G$12,regle!$G$11,
IF(AW247=regle!$H$12,regle!$H$11,
IF(AW247=regle!$I$12,regle!$I$11,""))))))))))</f>
        <v/>
      </c>
      <c r="AD247" t="str">
        <f>IF(NOT($A247),"",
IF(AX247=-2,regle!$J$11,
IF(AX247=regle!$B$12,regle!$B$11,
IF(AX247=regle!$C$12,regle!$C$11,
IF(AX247=regle!$D$12,regle!$D$11,
IF(AX247=regle!$E$12,regle!$E$11,
IF(AX247=regle!$F$12,regle!$F$11,
IF(AX247=regle!$G$12,regle!$G$11,
IF(AX247=regle!$H$12,regle!$H$11,
IF(AX247=regle!$I$12,regle!$I$11,""))))))))))</f>
        <v>EC2</v>
      </c>
      <c r="AE247" s="14">
        <f>IF($A247,$M247*(IF(U247=regle!$B$11,regle!$B$23,IF(U247=regle!$C$11,regle!$C$23,IF(U247=regle!$D$11,regle!$D$23,IF(U247=regle!$E$11,regle!$E$23,IF(U247=regle!$F$11,regle!$F$23,IF(U247=regle!$G$11,regle!$G$23,IF(U247=regle!$H$11,regle!$H$23,IF(U247=regle!$I$11,regle!$I$23,IF(U247=regle!$J$11,regle!$J$23,0)))))))))))</f>
        <v>0</v>
      </c>
      <c r="AF247" s="14">
        <f>IF($A247,$M247*(IF(V247=regle!$B$11,regle!$B$23,IF(V247=regle!$C$11,regle!$C$23,IF(V247=regle!$D$11,regle!$D$23,IF(V247=regle!$E$11,regle!$E$23,IF(V247=regle!$F$11,regle!$F$23,IF(V247=regle!$G$11,regle!$G$23,IF(V247=regle!$H$11,regle!$H$23,IF(V247=regle!$I$11,regle!$I$23,IF(V247=regle!$J$11,regle!$J$23,0)))))))))))</f>
        <v>0</v>
      </c>
      <c r="AG247" s="14">
        <f>IF($A247,$M247*(IF(W247=regle!$B$11,regle!$B$23,IF(W247=regle!$C$11,regle!$C$23,IF(W247=regle!$D$11,regle!$D$23,IF(W247=regle!$E$11,regle!$E$23,IF(W247=regle!$F$11,regle!$F$23,IF(W247=regle!$G$11,regle!$G$23,IF(W247=regle!$H$11,regle!$H$23,IF(W247=regle!$I$11,regle!$I$23,IF(W247=regle!$J$11,regle!$J$23,0)))))))))))</f>
        <v>0</v>
      </c>
      <c r="AH247" s="14">
        <f>IF($A247,$M247*(IF(X247=regle!$B$11,regle!$B$23,IF(X247=regle!$C$11,regle!$C$23,IF(X247=regle!$D$11,regle!$D$23,IF(X247=regle!$E$11,regle!$E$23,IF(X247=regle!$F$11,regle!$F$23,IF(X247=regle!$G$11,regle!$G$23,IF(X247=regle!$H$11,regle!$H$23,IF(X247=regle!$I$11,regle!$I$23,IF(X247=regle!$J$11,regle!$J$23,0)))))))))))</f>
        <v>0</v>
      </c>
      <c r="AI247" s="14">
        <f>IF($A247,$M247*(IF(Y247=regle!$B$11,regle!$B$23,IF(Y247=regle!$C$11,regle!$C$23,IF(Y247=regle!$D$11,regle!$D$23,IF(Y247=regle!$E$11,regle!$E$23,IF(Y247=regle!$F$11,regle!$F$23,IF(Y247=regle!$G$11,regle!$G$23,IF(Y247=regle!$H$11,regle!$H$23,IF(Y247=regle!$I$11,regle!$I$23,IF(Y247=regle!$J$11,regle!$J$23,0)))))))))))</f>
        <v>142.67519999999999</v>
      </c>
      <c r="AJ247" s="14">
        <f>IF($A247,$M247*(IF(Z247=regle!$B$11,regle!$B$23,IF(Z247=regle!$C$11,regle!$C$23,IF(Z247=regle!$D$11,regle!$D$23,IF(Z247=regle!$E$11,regle!$E$23,IF(Z247=regle!$F$11,regle!$F$23,IF(Z247=regle!$G$11,regle!$G$23,IF(Z247=regle!$H$11,regle!$H$23,IF(Z247=regle!$I$11,regle!$I$23,IF(Z247=regle!$J$11,regle!$J$23,0)))))))))))</f>
        <v>0</v>
      </c>
      <c r="AK247" s="14">
        <f>IF($A247,$M247*(IF(AA247=regle!$B$11,regle!$B$23,IF(AA247=regle!$C$11,regle!$C$23,IF(AA247=regle!$D$11,regle!$D$23,IF(AA247=regle!$E$11,regle!$E$23,IF(AA247=regle!$F$11,regle!$F$23,IF(AA247=regle!$G$11,regle!$G$23,IF(AA247=regle!$H$11,regle!$H$23,IF(AA247=regle!$I$11,regle!$I$23,IF(AA247=regle!$J$11,regle!$J$23,0)))))))))))</f>
        <v>0</v>
      </c>
      <c r="AL247" s="14">
        <f>IF($A247,$M247*(IF(AB247=regle!$B$11,regle!$B$23,IF(AB247=regle!$C$11,regle!$C$23,IF(AB247=regle!$D$11,regle!$D$23,IF(AB247=regle!$E$11,regle!$E$23,IF(AB247=regle!$F$11,regle!$F$23,IF(AB247=regle!$G$11,regle!$G$23,IF(AB247=regle!$H$11,regle!$H$23,IF(AB247=regle!$I$11,regle!$I$23,IF(AB247=regle!$J$11,regle!$J$23,0)))))))))))</f>
        <v>0</v>
      </c>
      <c r="AM247" s="14">
        <f>IF($A247,$M247*(IF(AC247=regle!$B$11,regle!$B$23,IF(AC247=regle!$C$11,regle!$C$23,IF(AC247=regle!$D$11,regle!$D$23,IF(AC247=regle!$E$11,regle!$E$23,IF(AC247=regle!$F$11,regle!$F$23,IF(AC247=regle!$G$11,regle!$G$23,IF(AC247=regle!$H$11,regle!$H$23,IF(AC247=regle!$I$11,regle!$I$23,IF(AC247=regle!$J$11,regle!$J$23,0)))))))))))</f>
        <v>0</v>
      </c>
      <c r="AN247" s="14">
        <f>IF($A247,$M247*(IF(AD247=regle!$B$11,regle!$B$23,IF(AD247=regle!$C$11,regle!$C$23,IF(AD247=regle!$D$11,regle!$D$23,IF(AD247=regle!$E$11,regle!$E$23,IF(AD247=regle!$F$11,regle!$F$23,IF(AD247=regle!$G$11,regle!$G$23,IF(AD247=regle!$H$11,regle!$H$23,IF(AD247=regle!$I$11,regle!$I$23,IF(AD247=regle!$J$11,regle!$J$23,0)))))))))))</f>
        <v>208.06800000000001</v>
      </c>
      <c r="AO247">
        <f>IF(AO$1=$AO$1,IF(regle!B$2-$Q247&gt;=regle!$J$12,-2,IF($S247,IF(regle!$B$2-$Q247&gt;=2,0,-1),regle!B$2-$Q247)),IF(AN247+1&gt;=regle!$J$12,-2,AN247+1))</f>
        <v>9</v>
      </c>
      <c r="AP247">
        <f>IF(AP$1=$AO$1,IF(regle!C$2-$Q247&gt;=regle!$J$12,-2,IF($S247,IF(regle!$B$2-$Q247&gt;=2,0,-1),regle!C$2-$Q247)),IF(AO247+1&gt;=regle!$J$12,-2,AO247+1))</f>
        <v>10</v>
      </c>
      <c r="AQ247">
        <f>IF(AQ$1=$AO$1,IF(regle!D$2-$Q247&gt;=regle!$J$12,-2,IF($S247,IF(regle!$B$2-$Q247&gt;=2,0,-1),regle!D$2-$Q247)),IF(AP247+1&gt;=regle!$J$12,-2,AP247+1))</f>
        <v>11</v>
      </c>
      <c r="AR247">
        <f>IF(AR$1=$AO$1,IF(regle!E$2-$Q247&gt;=regle!$J$12,-2,IF($S247,IF(regle!$B$2-$Q247&gt;=2,0,-1),regle!E$2-$Q247)),IF(AQ247+1&gt;=regle!$J$12,-2,AQ247+1))</f>
        <v>12</v>
      </c>
      <c r="AS247">
        <f>IF(AS$1=$AO$1,IF(regle!F$2-$Q247&gt;=regle!$J$12,-2,IF($S247,IF(regle!$B$2-$Q247&gt;=2,0,-1),regle!F$2-$Q247)),IF(AR247+1&gt;=regle!$J$12,-2,AR247+1))</f>
        <v>13</v>
      </c>
      <c r="AT247">
        <f>IF(AT$1=$AO$1,IF(regle!G$2-$Q247&gt;=regle!$J$12,-2,IF($S247,IF(regle!$B$2-$Q247&gt;=2,0,-1),regle!G$2-$Q247)),IF(AS247+1&gt;=regle!$J$12,-2,AS247+1))</f>
        <v>14</v>
      </c>
      <c r="AU247">
        <f>IF(AU$1=$AO$1,IF(regle!H$2-$Q247&gt;=regle!$J$12,-2,IF($S247,IF(regle!$B$2-$Q247&gt;=2,0,-1),regle!H$2-$Q247)),IF(AT247+1&gt;=regle!$J$12,-2,AT247+1))</f>
        <v>15</v>
      </c>
      <c r="AV247">
        <f>IF(AV$1=$AO$1,IF(regle!I$2-$Q247&gt;=regle!$J$12,-2,IF($S247,IF(regle!$B$2-$Q247&gt;=2,0,-1),regle!I$2-$Q247)),IF(AU247+1&gt;=regle!$J$12,-2,AU247+1))</f>
        <v>16</v>
      </c>
      <c r="AW247">
        <f>IF(AW$1=$AO$1,IF(regle!J$2-$Q247&gt;=regle!$J$12,-2,IF($S247,IF(regle!$B$2-$Q247&gt;=2,0,-1),regle!J$2-$Q247)),IF(AV247+1&gt;=regle!$J$12,-2,AV247+1))</f>
        <v>17</v>
      </c>
      <c r="AX247">
        <f>IF(AX$1=$AO$1,IF(regle!K$2-$Q247&gt;=regle!$J$12,-2,IF($S247,IF(regle!$B$2-$Q247&gt;=2,0,-1),regle!K$2-$Q247)),IF(AW247+1&gt;=regle!$J$12,-2,AW247+1))</f>
        <v>18</v>
      </c>
    </row>
    <row r="248" spans="1:50" x14ac:dyDescent="0.25">
      <c r="A248" t="b">
        <f>AND(modif0[[#This Row],[cdstr]]&lt;&gt;0,OR(regle!$H$27=FALSE,modif0[[#This Row],[essnc]]="PM"))</f>
        <v>1</v>
      </c>
      <c r="B248">
        <f>ROW(objet!A291)</f>
        <v>291</v>
      </c>
      <c r="C248" s="10" t="str">
        <f>objet!D291</f>
        <v>1710000B0248</v>
      </c>
      <c r="D248" t="str">
        <f>LEFT(modif0[[#This Row],[cdstr]],3)</f>
        <v>171</v>
      </c>
      <c r="E248" s="10" t="str">
        <f>objet!G291</f>
        <v>MANO</v>
      </c>
      <c r="F248">
        <f>LEN(modif0[[#This Row],[l_dt]])</f>
        <v>17</v>
      </c>
      <c r="G248" s="10" t="str">
        <f>objet!H291</f>
        <v>LANDE DE TABARTON</v>
      </c>
      <c r="H248" s="10" t="str">
        <f>objet!C291</f>
        <v>B248</v>
      </c>
      <c r="I248" t="str">
        <f>IF(ISNUMBER(VALUE(RIGHT(LEFT(modif0[[#This Row],[idntfn]],2),1))),_xlfn.CONCAT(0,LEFT(modif0[[#This Row],[idntfn]],1)),LEFT(modif0[[#This Row],[idntfn]],2))</f>
        <v>0B</v>
      </c>
      <c r="J248">
        <f>VALUE(LEFT(RIGHT(modif0[[#This Row],[idntfn]],LEN(modif0[[#This Row],[idntfn]])-IF(LEFT(modif0[[#This Row],[sctn]],1)="0",1,2)),LEN(modif0[[#This Row],[idntfn]])-IF(LEFT(modif0[[#This Row],[sctn]],1)="0",1,2)-LEN(modif0[[#This Row],[lttr]])))</f>
        <v>248</v>
      </c>
      <c r="K248" t="str">
        <f>IF(ISNUMBER(VALUE(RIGHT(modif0[[#This Row],[idntfn]],1))),"",IF(ISNUMBER(VALUE(LEFT(RIGHT(modif0[[#This Row],[idntfn]],2),1))),RIGHT(modif0[[#This Row],[idntfn]],1),RIGHT(modif0[[#This Row],[idntfn]],2)))</f>
        <v/>
      </c>
      <c r="L248" s="10">
        <f>objet!I291</f>
        <v>14160</v>
      </c>
      <c r="M248" s="11">
        <f>modif0[[#This Row],[srfc]]/10000</f>
        <v>1.4159999999999999</v>
      </c>
      <c r="N248" s="10" t="str">
        <f>objet!Z291</f>
        <v>PM</v>
      </c>
      <c r="O248" s="10" t="str">
        <f>objet!AA291</f>
        <v>CR2022</v>
      </c>
      <c r="P248" t="str">
        <f>IF(ISNUMBER(modif0[[#This Row],[trvx]]),"",LEFT(modif0[[#This Row],[trvx]],LEN(modif0[[#This Row],[trvx]])-4))</f>
        <v>CR</v>
      </c>
      <c r="Q248">
        <f>VALUE(RIGHT(modif0[[#This Row],[trvx]],4))</f>
        <v>2022</v>
      </c>
      <c r="R248" t="str">
        <f>_xlfn.CONCAT(modif0[[#This Row],[tp]],"-",modif0[[#This Row],[essnc]],"_",modif0[[#This Row],[anns]])</f>
        <v>CR-PM_2022</v>
      </c>
      <c r="S248" t="b">
        <f>modif0[[#This Row],[tp]]="CR"</f>
        <v>1</v>
      </c>
      <c r="T248">
        <v>40</v>
      </c>
      <c r="U248" t="str">
        <f>IF(NOT($A248),"",
IF(AO248=-2,regle!$J$11,
IF(AO248=regle!$B$12,regle!$B$11,
IF(AO248=regle!$C$12,regle!$C$11,
IF(AO248=regle!$D$12,regle!$D$11,
IF(AO248=regle!$E$12,regle!$E$11,
IF(AO248=regle!$F$12,regle!$F$11,
IF(AO248=regle!$G$12,regle!$G$11,
IF(AO248=regle!$H$12,regle!$H$11,
IF(AO248=regle!$I$12,regle!$I$11,""))))))))))</f>
        <v>RBST</v>
      </c>
      <c r="V248" t="str">
        <f>IF(NOT($A248),"",
IF(AP248=-2,regle!$J$11,
IF(AP248=regle!$B$12,regle!$B$11,
IF(AP248=regle!$C$12,regle!$C$11,
IF(AP248=regle!$D$12,regle!$D$11,
IF(AP248=regle!$E$12,regle!$E$11,
IF(AP248=regle!$F$12,regle!$F$11,
IF(AP248=regle!$G$12,regle!$G$11,
IF(AP248=regle!$H$12,regle!$H$11,
IF(AP248=regle!$I$12,regle!$I$11,""))))))))))</f>
        <v/>
      </c>
      <c r="W248" t="str">
        <f>IF(NOT($A248),"",
IF(AQ248=-2,regle!$J$11,
IF(AQ248=regle!$B$12,regle!$B$11,
IF(AQ248=regle!$C$12,regle!$C$11,
IF(AQ248=regle!$D$12,regle!$D$11,
IF(AQ248=regle!$E$12,regle!$E$11,
IF(AQ248=regle!$F$12,regle!$F$11,
IF(AQ248=regle!$G$12,regle!$G$11,
IF(AQ248=regle!$H$12,regle!$H$11,
IF(AQ248=regle!$I$12,regle!$I$11,""))))))))))</f>
        <v>DGT</v>
      </c>
      <c r="X248" t="str">
        <f>IF(NOT($A248),"",
IF(AR248=-2,regle!$J$11,
IF(AR248=regle!$B$12,regle!$B$11,
IF(AR248=regle!$C$12,regle!$C$11,
IF(AR248=regle!$D$12,regle!$D$11,
IF(AR248=regle!$E$12,regle!$E$11,
IF(AR248=regle!$F$12,regle!$F$11,
IF(AR248=regle!$G$12,regle!$G$11,
IF(AR248=regle!$H$12,regle!$H$11,
IF(AR248=regle!$I$12,regle!$I$11,""))))))))))</f>
        <v/>
      </c>
      <c r="Y248" t="str">
        <f>IF(NOT($A248),"",
IF(AS248=-2,regle!$J$11,
IF(AS248=regle!$B$12,regle!$B$11,
IF(AS248=regle!$C$12,regle!$C$11,
IF(AS248=regle!$D$12,regle!$D$11,
IF(AS248=regle!$E$12,regle!$E$11,
IF(AS248=regle!$F$12,regle!$F$11,
IF(AS248=regle!$G$12,regle!$G$11,
IF(AS248=regle!$H$12,regle!$H$11,
IF(AS248=regle!$I$12,regle!$I$11,""))))))))))</f>
        <v/>
      </c>
      <c r="Z248" t="str">
        <f>IF(NOT($A248),"",
IF(AT248=-2,regle!$J$11,
IF(AT248=regle!$B$12,regle!$B$11,
IF(AT248=regle!$C$12,regle!$C$11,
IF(AT248=regle!$D$12,regle!$D$11,
IF(AT248=regle!$E$12,regle!$E$11,
IF(AT248=regle!$F$12,regle!$F$11,
IF(AT248=regle!$G$12,regle!$G$11,
IF(AT248=regle!$H$12,regle!$H$11,
IF(AT248=regle!$I$12,regle!$I$11,""))))))))))</f>
        <v>ENT1</v>
      </c>
      <c r="AA248" t="str">
        <f>IF(NOT($A248),"",
IF(AU248=-2,regle!$J$11,
IF(AU248=regle!$B$12,regle!$B$11,
IF(AU248=regle!$C$12,regle!$C$11,
IF(AU248=regle!$D$12,regle!$D$11,
IF(AU248=regle!$E$12,regle!$E$11,
IF(AU248=regle!$F$12,regle!$F$11,
IF(AU248=regle!$G$12,regle!$G$11,
IF(AU248=regle!$H$12,regle!$H$11,
IF(AU248=regle!$I$12,regle!$I$11,""))))))))))</f>
        <v/>
      </c>
      <c r="AB248" t="str">
        <f>IF(NOT($A248),"",
IF(AV248=-2,regle!$J$11,
IF(AV248=regle!$B$12,regle!$B$11,
IF(AV248=regle!$C$12,regle!$C$11,
IF(AV248=regle!$D$12,regle!$D$11,
IF(AV248=regle!$E$12,regle!$E$11,
IF(AV248=regle!$F$12,regle!$F$11,
IF(AV248=regle!$G$12,regle!$G$11,
IF(AV248=regle!$H$12,regle!$H$11,
IF(AV248=regle!$I$12,regle!$I$11,""))))))))))</f>
        <v/>
      </c>
      <c r="AC248" t="str">
        <f>IF(NOT($A248),"",
IF(AW248=-2,regle!$J$11,
IF(AW248=regle!$B$12,regle!$B$11,
IF(AW248=regle!$C$12,regle!$C$11,
IF(AW248=regle!$D$12,regle!$D$11,
IF(AW248=regle!$E$12,regle!$E$11,
IF(AW248=regle!$F$12,regle!$F$11,
IF(AW248=regle!$G$12,regle!$G$11,
IF(AW248=regle!$H$12,regle!$H$11,
IF(AW248=regle!$I$12,regle!$I$11,""))))))))))</f>
        <v>ENT2</v>
      </c>
      <c r="AD248" t="str">
        <f>IF(NOT($A248),"",
IF(AX248=-2,regle!$J$11,
IF(AX248=regle!$B$12,regle!$B$11,
IF(AX248=regle!$C$12,regle!$C$11,
IF(AX248=regle!$D$12,regle!$D$11,
IF(AX248=regle!$E$12,regle!$E$11,
IF(AX248=regle!$F$12,regle!$F$11,
IF(AX248=regle!$G$12,regle!$G$11,
IF(AX248=regle!$H$12,regle!$H$11,
IF(AX248=regle!$I$12,regle!$I$11,""))))))))))</f>
        <v/>
      </c>
      <c r="AE248" s="14">
        <f>IF($A248,$M248*(IF(U248=regle!$B$11,regle!$B$23,IF(U248=regle!$C$11,regle!$C$23,IF(U248=regle!$D$11,regle!$D$23,IF(U248=regle!$E$11,regle!$E$23,IF(U248=regle!$F$11,regle!$F$23,IF(U248=regle!$G$11,regle!$G$23,IF(U248=regle!$H$11,regle!$H$23,IF(U248=regle!$I$11,regle!$I$23,IF(U248=regle!$J$11,regle!$J$23,0)))))))))))</f>
        <v>-2407.1999999999998</v>
      </c>
      <c r="AF248" s="14">
        <f>IF($A248,$M248*(IF(V248=regle!$B$11,regle!$B$23,IF(V248=regle!$C$11,regle!$C$23,IF(V248=regle!$D$11,regle!$D$23,IF(V248=regle!$E$11,regle!$E$23,IF(V248=regle!$F$11,regle!$F$23,IF(V248=regle!$G$11,regle!$G$23,IF(V248=regle!$H$11,regle!$H$23,IF(V248=regle!$I$11,regle!$I$23,IF(V248=regle!$J$11,regle!$J$23,0)))))))))))</f>
        <v>0</v>
      </c>
      <c r="AG248" s="14">
        <f>IF($A248,$M248*(IF(W248=regle!$B$11,regle!$B$23,IF(W248=regle!$C$11,regle!$C$23,IF(W248=regle!$D$11,regle!$D$23,IF(W248=regle!$E$11,regle!$E$23,IF(W248=regle!$F$11,regle!$F$23,IF(W248=regle!$G$11,regle!$G$23,IF(W248=regle!$H$11,regle!$H$23,IF(W248=regle!$I$11,regle!$I$23,IF(W248=regle!$J$11,regle!$J$23,0)))))))))))</f>
        <v>-106.19999999999999</v>
      </c>
      <c r="AH248" s="14">
        <f>IF($A248,$M248*(IF(X248=regle!$B$11,regle!$B$23,IF(X248=regle!$C$11,regle!$C$23,IF(X248=regle!$D$11,regle!$D$23,IF(X248=regle!$E$11,regle!$E$23,IF(X248=regle!$F$11,regle!$F$23,IF(X248=regle!$G$11,regle!$G$23,IF(X248=regle!$H$11,regle!$H$23,IF(X248=regle!$I$11,regle!$I$23,IF(X248=regle!$J$11,regle!$J$23,0)))))))))))</f>
        <v>0</v>
      </c>
      <c r="AI248" s="14">
        <f>IF($A248,$M248*(IF(Y248=regle!$B$11,regle!$B$23,IF(Y248=regle!$C$11,regle!$C$23,IF(Y248=regle!$D$11,regle!$D$23,IF(Y248=regle!$E$11,regle!$E$23,IF(Y248=regle!$F$11,regle!$F$23,IF(Y248=regle!$G$11,regle!$G$23,IF(Y248=regle!$H$11,regle!$H$23,IF(Y248=regle!$I$11,regle!$I$23,IF(Y248=regle!$J$11,regle!$J$23,0)))))))))))</f>
        <v>0</v>
      </c>
      <c r="AJ248" s="14">
        <f>IF($A248,$M248*(IF(Z248=regle!$B$11,regle!$B$23,IF(Z248=regle!$C$11,regle!$C$23,IF(Z248=regle!$D$11,regle!$D$23,IF(Z248=regle!$E$11,regle!$E$23,IF(Z248=regle!$F$11,regle!$F$23,IF(Z248=regle!$G$11,regle!$G$23,IF(Z248=regle!$H$11,regle!$H$23,IF(Z248=regle!$I$11,regle!$I$23,IF(Z248=regle!$J$11,regle!$J$23,0)))))))))))</f>
        <v>-127.44</v>
      </c>
      <c r="AK248" s="14">
        <f>IF($A248,$M248*(IF(AA248=regle!$B$11,regle!$B$23,IF(AA248=regle!$C$11,regle!$C$23,IF(AA248=regle!$D$11,regle!$D$23,IF(AA248=regle!$E$11,regle!$E$23,IF(AA248=regle!$F$11,regle!$F$23,IF(AA248=regle!$G$11,regle!$G$23,IF(AA248=regle!$H$11,regle!$H$23,IF(AA248=regle!$I$11,regle!$I$23,IF(AA248=regle!$J$11,regle!$J$23,0)))))))))))</f>
        <v>0</v>
      </c>
      <c r="AL248" s="14">
        <f>IF($A248,$M248*(IF(AB248=regle!$B$11,regle!$B$23,IF(AB248=regle!$C$11,regle!$C$23,IF(AB248=regle!$D$11,regle!$D$23,IF(AB248=regle!$E$11,regle!$E$23,IF(AB248=regle!$F$11,regle!$F$23,IF(AB248=regle!$G$11,regle!$G$23,IF(AB248=regle!$H$11,regle!$H$23,IF(AB248=regle!$I$11,regle!$I$23,IF(AB248=regle!$J$11,regle!$J$23,0)))))))))))</f>
        <v>0</v>
      </c>
      <c r="AM248" s="14">
        <f>IF($A248,$M248*(IF(AC248=regle!$B$11,regle!$B$23,IF(AC248=regle!$C$11,regle!$C$23,IF(AC248=regle!$D$11,regle!$D$23,IF(AC248=regle!$E$11,regle!$E$23,IF(AC248=regle!$F$11,regle!$F$23,IF(AC248=regle!$G$11,regle!$G$23,IF(AC248=regle!$H$11,regle!$H$23,IF(AC248=regle!$I$11,regle!$I$23,IF(AC248=regle!$J$11,regle!$J$23,0)))))))))))</f>
        <v>-127.44</v>
      </c>
      <c r="AN248" s="14">
        <f>IF($A248,$M248*(IF(AD248=regle!$B$11,regle!$B$23,IF(AD248=regle!$C$11,regle!$C$23,IF(AD248=regle!$D$11,regle!$D$23,IF(AD248=regle!$E$11,regle!$E$23,IF(AD248=regle!$F$11,regle!$F$23,IF(AD248=regle!$G$11,regle!$G$23,IF(AD248=regle!$H$11,regle!$H$23,IF(AD248=regle!$I$11,regle!$I$23,IF(AD248=regle!$J$11,regle!$J$23,0)))))))))))</f>
        <v>0</v>
      </c>
      <c r="AO248">
        <f>IF(AO$1=$AO$1,IF(regle!B$2-$Q248&gt;=regle!$J$12,-2,IF($S248,IF(regle!$B$2-$Q248&gt;=2,0,-1),regle!B$2-$Q248)),IF(AN248+1&gt;=regle!$J$12,-2,AN248+1))</f>
        <v>0</v>
      </c>
      <c r="AP248">
        <f>IF(AP$1=$AO$1,IF(regle!C$2-$Q248&gt;=regle!$J$12,-2,IF($S248,IF(regle!$B$2-$Q248&gt;=2,0,-1),regle!C$2-$Q248)),IF(AO248+1&gt;=regle!$J$12,-2,AO248+1))</f>
        <v>1</v>
      </c>
      <c r="AQ248">
        <f>IF(AQ$1=$AO$1,IF(regle!D$2-$Q248&gt;=regle!$J$12,-2,IF($S248,IF(regle!$B$2-$Q248&gt;=2,0,-1),regle!D$2-$Q248)),IF(AP248+1&gt;=regle!$J$12,-2,AP248+1))</f>
        <v>2</v>
      </c>
      <c r="AR248">
        <f>IF(AR$1=$AO$1,IF(regle!E$2-$Q248&gt;=regle!$J$12,-2,IF($S248,IF(regle!$B$2-$Q248&gt;=2,0,-1),regle!E$2-$Q248)),IF(AQ248+1&gt;=regle!$J$12,-2,AQ248+1))</f>
        <v>3</v>
      </c>
      <c r="AS248">
        <f>IF(AS$1=$AO$1,IF(regle!F$2-$Q248&gt;=regle!$J$12,-2,IF($S248,IF(regle!$B$2-$Q248&gt;=2,0,-1),regle!F$2-$Q248)),IF(AR248+1&gt;=regle!$J$12,-2,AR248+1))</f>
        <v>4</v>
      </c>
      <c r="AT248">
        <f>IF(AT$1=$AO$1,IF(regle!G$2-$Q248&gt;=regle!$J$12,-2,IF($S248,IF(regle!$B$2-$Q248&gt;=2,0,-1),regle!G$2-$Q248)),IF(AS248+1&gt;=regle!$J$12,-2,AS248+1))</f>
        <v>5</v>
      </c>
      <c r="AU248">
        <f>IF(AU$1=$AO$1,IF(regle!H$2-$Q248&gt;=regle!$J$12,-2,IF($S248,IF(regle!$B$2-$Q248&gt;=2,0,-1),regle!H$2-$Q248)),IF(AT248+1&gt;=regle!$J$12,-2,AT248+1))</f>
        <v>6</v>
      </c>
      <c r="AV248">
        <f>IF(AV$1=$AO$1,IF(regle!I$2-$Q248&gt;=regle!$J$12,-2,IF($S248,IF(regle!$B$2-$Q248&gt;=2,0,-1),regle!I$2-$Q248)),IF(AU248+1&gt;=regle!$J$12,-2,AU248+1))</f>
        <v>7</v>
      </c>
      <c r="AW248">
        <f>IF(AW$1=$AO$1,IF(regle!J$2-$Q248&gt;=regle!$J$12,-2,IF($S248,IF(regle!$B$2-$Q248&gt;=2,0,-1),regle!J$2-$Q248)),IF(AV248+1&gt;=regle!$J$12,-2,AV248+1))</f>
        <v>8</v>
      </c>
      <c r="AX248">
        <f>IF(AX$1=$AO$1,IF(regle!K$2-$Q248&gt;=regle!$J$12,-2,IF($S248,IF(regle!$B$2-$Q248&gt;=2,0,-1),regle!K$2-$Q248)),IF(AW248+1&gt;=regle!$J$12,-2,AW248+1))</f>
        <v>9</v>
      </c>
    </row>
    <row r="249" spans="1:50" x14ac:dyDescent="0.25">
      <c r="A249" t="b">
        <f>AND(modif0[[#This Row],[cdstr]]&lt;&gt;0,OR(regle!$H$27=FALSE,modif0[[#This Row],[essnc]]="PM"))</f>
        <v>1</v>
      </c>
      <c r="B249">
        <f>ROW(objet!A292)</f>
        <v>292</v>
      </c>
      <c r="C249" s="10" t="str">
        <f>objet!D292</f>
        <v>1710000B0250</v>
      </c>
      <c r="D249" t="str">
        <f>LEFT(modif0[[#This Row],[cdstr]],3)</f>
        <v>171</v>
      </c>
      <c r="E249" s="10" t="str">
        <f>objet!G292</f>
        <v>MANO</v>
      </c>
      <c r="F249">
        <f>LEN(modif0[[#This Row],[l_dt]])</f>
        <v>17</v>
      </c>
      <c r="G249" s="10" t="str">
        <f>objet!H292</f>
        <v>LANDE DE TABARTON</v>
      </c>
      <c r="H249" s="10" t="str">
        <f>objet!C292</f>
        <v>B250</v>
      </c>
      <c r="I249" t="str">
        <f>IF(ISNUMBER(VALUE(RIGHT(LEFT(modif0[[#This Row],[idntfn]],2),1))),_xlfn.CONCAT(0,LEFT(modif0[[#This Row],[idntfn]],1)),LEFT(modif0[[#This Row],[idntfn]],2))</f>
        <v>0B</v>
      </c>
      <c r="J249">
        <f>VALUE(LEFT(RIGHT(modif0[[#This Row],[idntfn]],LEN(modif0[[#This Row],[idntfn]])-IF(LEFT(modif0[[#This Row],[sctn]],1)="0",1,2)),LEN(modif0[[#This Row],[idntfn]])-IF(LEFT(modif0[[#This Row],[sctn]],1)="0",1,2)-LEN(modif0[[#This Row],[lttr]])))</f>
        <v>250</v>
      </c>
      <c r="K249" t="str">
        <f>IF(ISNUMBER(VALUE(RIGHT(modif0[[#This Row],[idntfn]],1))),"",IF(ISNUMBER(VALUE(LEFT(RIGHT(modif0[[#This Row],[idntfn]],2),1))),RIGHT(modif0[[#This Row],[idntfn]],1),RIGHT(modif0[[#This Row],[idntfn]],2)))</f>
        <v/>
      </c>
      <c r="L249" s="10">
        <f>objet!I292</f>
        <v>150</v>
      </c>
      <c r="M249" s="11">
        <f>modif0[[#This Row],[srfc]]/10000</f>
        <v>1.4999999999999999E-2</v>
      </c>
      <c r="N249" s="10" t="str">
        <f>objet!Z292</f>
        <v>PM</v>
      </c>
      <c r="O249" s="10" t="str">
        <f>objet!AA292</f>
        <v>CR2022</v>
      </c>
      <c r="P249" t="str">
        <f>IF(ISNUMBER(modif0[[#This Row],[trvx]]),"",LEFT(modif0[[#This Row],[trvx]],LEN(modif0[[#This Row],[trvx]])-4))</f>
        <v>CR</v>
      </c>
      <c r="Q249">
        <f>VALUE(RIGHT(modif0[[#This Row],[trvx]],4))</f>
        <v>2022</v>
      </c>
      <c r="R249" t="str">
        <f>_xlfn.CONCAT(modif0[[#This Row],[tp]],"-",modif0[[#This Row],[essnc]],"_",modif0[[#This Row],[anns]])</f>
        <v>CR-PM_2022</v>
      </c>
      <c r="S249" t="b">
        <f>modif0[[#This Row],[tp]]="CR"</f>
        <v>1</v>
      </c>
      <c r="T249">
        <v>40</v>
      </c>
      <c r="U249" t="str">
        <f>IF(NOT($A249),"",
IF(AO249=-2,regle!$J$11,
IF(AO249=regle!$B$12,regle!$B$11,
IF(AO249=regle!$C$12,regle!$C$11,
IF(AO249=regle!$D$12,regle!$D$11,
IF(AO249=regle!$E$12,regle!$E$11,
IF(AO249=regle!$F$12,regle!$F$11,
IF(AO249=regle!$G$12,regle!$G$11,
IF(AO249=regle!$H$12,regle!$H$11,
IF(AO249=regle!$I$12,regle!$I$11,""))))))))))</f>
        <v>RBST</v>
      </c>
      <c r="V249" t="str">
        <f>IF(NOT($A249),"",
IF(AP249=-2,regle!$J$11,
IF(AP249=regle!$B$12,regle!$B$11,
IF(AP249=regle!$C$12,regle!$C$11,
IF(AP249=regle!$D$12,regle!$D$11,
IF(AP249=regle!$E$12,regle!$E$11,
IF(AP249=regle!$F$12,regle!$F$11,
IF(AP249=regle!$G$12,regle!$G$11,
IF(AP249=regle!$H$12,regle!$H$11,
IF(AP249=regle!$I$12,regle!$I$11,""))))))))))</f>
        <v/>
      </c>
      <c r="W249" t="str">
        <f>IF(NOT($A249),"",
IF(AQ249=-2,regle!$J$11,
IF(AQ249=regle!$B$12,regle!$B$11,
IF(AQ249=regle!$C$12,regle!$C$11,
IF(AQ249=regle!$D$12,regle!$D$11,
IF(AQ249=regle!$E$12,regle!$E$11,
IF(AQ249=regle!$F$12,regle!$F$11,
IF(AQ249=regle!$G$12,regle!$G$11,
IF(AQ249=regle!$H$12,regle!$H$11,
IF(AQ249=regle!$I$12,regle!$I$11,""))))))))))</f>
        <v>DGT</v>
      </c>
      <c r="X249" t="str">
        <f>IF(NOT($A249),"",
IF(AR249=-2,regle!$J$11,
IF(AR249=regle!$B$12,regle!$B$11,
IF(AR249=regle!$C$12,regle!$C$11,
IF(AR249=regle!$D$12,regle!$D$11,
IF(AR249=regle!$E$12,regle!$E$11,
IF(AR249=regle!$F$12,regle!$F$11,
IF(AR249=regle!$G$12,regle!$G$11,
IF(AR249=regle!$H$12,regle!$H$11,
IF(AR249=regle!$I$12,regle!$I$11,""))))))))))</f>
        <v/>
      </c>
      <c r="Y249" t="str">
        <f>IF(NOT($A249),"",
IF(AS249=-2,regle!$J$11,
IF(AS249=regle!$B$12,regle!$B$11,
IF(AS249=regle!$C$12,regle!$C$11,
IF(AS249=regle!$D$12,regle!$D$11,
IF(AS249=regle!$E$12,regle!$E$11,
IF(AS249=regle!$F$12,regle!$F$11,
IF(AS249=regle!$G$12,regle!$G$11,
IF(AS249=regle!$H$12,regle!$H$11,
IF(AS249=regle!$I$12,regle!$I$11,""))))))))))</f>
        <v/>
      </c>
      <c r="Z249" t="str">
        <f>IF(NOT($A249),"",
IF(AT249=-2,regle!$J$11,
IF(AT249=regle!$B$12,regle!$B$11,
IF(AT249=regle!$C$12,regle!$C$11,
IF(AT249=regle!$D$12,regle!$D$11,
IF(AT249=regle!$E$12,regle!$E$11,
IF(AT249=regle!$F$12,regle!$F$11,
IF(AT249=regle!$G$12,regle!$G$11,
IF(AT249=regle!$H$12,regle!$H$11,
IF(AT249=regle!$I$12,regle!$I$11,""))))))))))</f>
        <v>ENT1</v>
      </c>
      <c r="AA249" t="str">
        <f>IF(NOT($A249),"",
IF(AU249=-2,regle!$J$11,
IF(AU249=regle!$B$12,regle!$B$11,
IF(AU249=regle!$C$12,regle!$C$11,
IF(AU249=regle!$D$12,regle!$D$11,
IF(AU249=regle!$E$12,regle!$E$11,
IF(AU249=regle!$F$12,regle!$F$11,
IF(AU249=regle!$G$12,regle!$G$11,
IF(AU249=regle!$H$12,regle!$H$11,
IF(AU249=regle!$I$12,regle!$I$11,""))))))))))</f>
        <v/>
      </c>
      <c r="AB249" t="str">
        <f>IF(NOT($A249),"",
IF(AV249=-2,regle!$J$11,
IF(AV249=regle!$B$12,regle!$B$11,
IF(AV249=regle!$C$12,regle!$C$11,
IF(AV249=regle!$D$12,regle!$D$11,
IF(AV249=regle!$E$12,regle!$E$11,
IF(AV249=regle!$F$12,regle!$F$11,
IF(AV249=regle!$G$12,regle!$G$11,
IF(AV249=regle!$H$12,regle!$H$11,
IF(AV249=regle!$I$12,regle!$I$11,""))))))))))</f>
        <v/>
      </c>
      <c r="AC249" t="str">
        <f>IF(NOT($A249),"",
IF(AW249=-2,regle!$J$11,
IF(AW249=regle!$B$12,regle!$B$11,
IF(AW249=regle!$C$12,regle!$C$11,
IF(AW249=regle!$D$12,regle!$D$11,
IF(AW249=regle!$E$12,regle!$E$11,
IF(AW249=regle!$F$12,regle!$F$11,
IF(AW249=regle!$G$12,regle!$G$11,
IF(AW249=regle!$H$12,regle!$H$11,
IF(AW249=regle!$I$12,regle!$I$11,""))))))))))</f>
        <v>ENT2</v>
      </c>
      <c r="AD249" t="str">
        <f>IF(NOT($A249),"",
IF(AX249=-2,regle!$J$11,
IF(AX249=regle!$B$12,regle!$B$11,
IF(AX249=regle!$C$12,regle!$C$11,
IF(AX249=regle!$D$12,regle!$D$11,
IF(AX249=regle!$E$12,regle!$E$11,
IF(AX249=regle!$F$12,regle!$F$11,
IF(AX249=regle!$G$12,regle!$G$11,
IF(AX249=regle!$H$12,regle!$H$11,
IF(AX249=regle!$I$12,regle!$I$11,""))))))))))</f>
        <v/>
      </c>
      <c r="AE249" s="14">
        <f>IF($A249,$M249*(IF(U249=regle!$B$11,regle!$B$23,IF(U249=regle!$C$11,regle!$C$23,IF(U249=regle!$D$11,regle!$D$23,IF(U249=regle!$E$11,regle!$E$23,IF(U249=regle!$F$11,regle!$F$23,IF(U249=regle!$G$11,regle!$G$23,IF(U249=regle!$H$11,regle!$H$23,IF(U249=regle!$I$11,regle!$I$23,IF(U249=regle!$J$11,regle!$J$23,0)))))))))))</f>
        <v>-25.5</v>
      </c>
      <c r="AF249" s="14">
        <f>IF($A249,$M249*(IF(V249=regle!$B$11,regle!$B$23,IF(V249=regle!$C$11,regle!$C$23,IF(V249=regle!$D$11,regle!$D$23,IF(V249=regle!$E$11,regle!$E$23,IF(V249=regle!$F$11,regle!$F$23,IF(V249=regle!$G$11,regle!$G$23,IF(V249=regle!$H$11,regle!$H$23,IF(V249=regle!$I$11,regle!$I$23,IF(V249=regle!$J$11,regle!$J$23,0)))))))))))</f>
        <v>0</v>
      </c>
      <c r="AG249" s="14">
        <f>IF($A249,$M249*(IF(W249=regle!$B$11,regle!$B$23,IF(W249=regle!$C$11,regle!$C$23,IF(W249=regle!$D$11,regle!$D$23,IF(W249=regle!$E$11,regle!$E$23,IF(W249=regle!$F$11,regle!$F$23,IF(W249=regle!$G$11,regle!$G$23,IF(W249=regle!$H$11,regle!$H$23,IF(W249=regle!$I$11,regle!$I$23,IF(W249=regle!$J$11,regle!$J$23,0)))))))))))</f>
        <v>-1.125</v>
      </c>
      <c r="AH249" s="14">
        <f>IF($A249,$M249*(IF(X249=regle!$B$11,regle!$B$23,IF(X249=regle!$C$11,regle!$C$23,IF(X249=regle!$D$11,regle!$D$23,IF(X249=regle!$E$11,regle!$E$23,IF(X249=regle!$F$11,regle!$F$23,IF(X249=regle!$G$11,regle!$G$23,IF(X249=regle!$H$11,regle!$H$23,IF(X249=regle!$I$11,regle!$I$23,IF(X249=regle!$J$11,regle!$J$23,0)))))))))))</f>
        <v>0</v>
      </c>
      <c r="AI249" s="14">
        <f>IF($A249,$M249*(IF(Y249=regle!$B$11,regle!$B$23,IF(Y249=regle!$C$11,regle!$C$23,IF(Y249=regle!$D$11,regle!$D$23,IF(Y249=regle!$E$11,regle!$E$23,IF(Y249=regle!$F$11,regle!$F$23,IF(Y249=regle!$G$11,regle!$G$23,IF(Y249=regle!$H$11,regle!$H$23,IF(Y249=regle!$I$11,regle!$I$23,IF(Y249=regle!$J$11,regle!$J$23,0)))))))))))</f>
        <v>0</v>
      </c>
      <c r="AJ249" s="14">
        <f>IF($A249,$M249*(IF(Z249=regle!$B$11,regle!$B$23,IF(Z249=regle!$C$11,regle!$C$23,IF(Z249=regle!$D$11,regle!$D$23,IF(Z249=regle!$E$11,regle!$E$23,IF(Z249=regle!$F$11,regle!$F$23,IF(Z249=regle!$G$11,regle!$G$23,IF(Z249=regle!$H$11,regle!$H$23,IF(Z249=regle!$I$11,regle!$I$23,IF(Z249=regle!$J$11,regle!$J$23,0)))))))))))</f>
        <v>-1.3499999999999999</v>
      </c>
      <c r="AK249" s="14">
        <f>IF($A249,$M249*(IF(AA249=regle!$B$11,regle!$B$23,IF(AA249=regle!$C$11,regle!$C$23,IF(AA249=regle!$D$11,regle!$D$23,IF(AA249=regle!$E$11,regle!$E$23,IF(AA249=regle!$F$11,regle!$F$23,IF(AA249=regle!$G$11,regle!$G$23,IF(AA249=regle!$H$11,regle!$H$23,IF(AA249=regle!$I$11,regle!$I$23,IF(AA249=regle!$J$11,regle!$J$23,0)))))))))))</f>
        <v>0</v>
      </c>
      <c r="AL249" s="14">
        <f>IF($A249,$M249*(IF(AB249=regle!$B$11,regle!$B$23,IF(AB249=regle!$C$11,regle!$C$23,IF(AB249=regle!$D$11,regle!$D$23,IF(AB249=regle!$E$11,regle!$E$23,IF(AB249=regle!$F$11,regle!$F$23,IF(AB249=regle!$G$11,regle!$G$23,IF(AB249=regle!$H$11,regle!$H$23,IF(AB249=regle!$I$11,regle!$I$23,IF(AB249=regle!$J$11,regle!$J$23,0)))))))))))</f>
        <v>0</v>
      </c>
      <c r="AM249" s="14">
        <f>IF($A249,$M249*(IF(AC249=regle!$B$11,regle!$B$23,IF(AC249=regle!$C$11,regle!$C$23,IF(AC249=regle!$D$11,regle!$D$23,IF(AC249=regle!$E$11,regle!$E$23,IF(AC249=regle!$F$11,regle!$F$23,IF(AC249=regle!$G$11,regle!$G$23,IF(AC249=regle!$H$11,regle!$H$23,IF(AC249=regle!$I$11,regle!$I$23,IF(AC249=regle!$J$11,regle!$J$23,0)))))))))))</f>
        <v>-1.3499999999999999</v>
      </c>
      <c r="AN249" s="14">
        <f>IF($A249,$M249*(IF(AD249=regle!$B$11,regle!$B$23,IF(AD249=regle!$C$11,regle!$C$23,IF(AD249=regle!$D$11,regle!$D$23,IF(AD249=regle!$E$11,regle!$E$23,IF(AD249=regle!$F$11,regle!$F$23,IF(AD249=regle!$G$11,regle!$G$23,IF(AD249=regle!$H$11,regle!$H$23,IF(AD249=regle!$I$11,regle!$I$23,IF(AD249=regle!$J$11,regle!$J$23,0)))))))))))</f>
        <v>0</v>
      </c>
      <c r="AO249">
        <f>IF(AO$1=$AO$1,IF(regle!B$2-$Q249&gt;=regle!$J$12,-2,IF($S249,IF(regle!$B$2-$Q249&gt;=2,0,-1),regle!B$2-$Q249)),IF(AN249+1&gt;=regle!$J$12,-2,AN249+1))</f>
        <v>0</v>
      </c>
      <c r="AP249">
        <f>IF(AP$1=$AO$1,IF(regle!C$2-$Q249&gt;=regle!$J$12,-2,IF($S249,IF(regle!$B$2-$Q249&gt;=2,0,-1),regle!C$2-$Q249)),IF(AO249+1&gt;=regle!$J$12,-2,AO249+1))</f>
        <v>1</v>
      </c>
      <c r="AQ249">
        <f>IF(AQ$1=$AO$1,IF(regle!D$2-$Q249&gt;=regle!$J$12,-2,IF($S249,IF(regle!$B$2-$Q249&gt;=2,0,-1),regle!D$2-$Q249)),IF(AP249+1&gt;=regle!$J$12,-2,AP249+1))</f>
        <v>2</v>
      </c>
      <c r="AR249">
        <f>IF(AR$1=$AO$1,IF(regle!E$2-$Q249&gt;=regle!$J$12,-2,IF($S249,IF(regle!$B$2-$Q249&gt;=2,0,-1),regle!E$2-$Q249)),IF(AQ249+1&gt;=regle!$J$12,-2,AQ249+1))</f>
        <v>3</v>
      </c>
      <c r="AS249">
        <f>IF(AS$1=$AO$1,IF(regle!F$2-$Q249&gt;=regle!$J$12,-2,IF($S249,IF(regle!$B$2-$Q249&gt;=2,0,-1),regle!F$2-$Q249)),IF(AR249+1&gt;=regle!$J$12,-2,AR249+1))</f>
        <v>4</v>
      </c>
      <c r="AT249">
        <f>IF(AT$1=$AO$1,IF(regle!G$2-$Q249&gt;=regle!$J$12,-2,IF($S249,IF(regle!$B$2-$Q249&gt;=2,0,-1),regle!G$2-$Q249)),IF(AS249+1&gt;=regle!$J$12,-2,AS249+1))</f>
        <v>5</v>
      </c>
      <c r="AU249">
        <f>IF(AU$1=$AO$1,IF(regle!H$2-$Q249&gt;=regle!$J$12,-2,IF($S249,IF(regle!$B$2-$Q249&gt;=2,0,-1),regle!H$2-$Q249)),IF(AT249+1&gt;=regle!$J$12,-2,AT249+1))</f>
        <v>6</v>
      </c>
      <c r="AV249">
        <f>IF(AV$1=$AO$1,IF(regle!I$2-$Q249&gt;=regle!$J$12,-2,IF($S249,IF(regle!$B$2-$Q249&gt;=2,0,-1),regle!I$2-$Q249)),IF(AU249+1&gt;=regle!$J$12,-2,AU249+1))</f>
        <v>7</v>
      </c>
      <c r="AW249">
        <f>IF(AW$1=$AO$1,IF(regle!J$2-$Q249&gt;=regle!$J$12,-2,IF($S249,IF(regle!$B$2-$Q249&gt;=2,0,-1),regle!J$2-$Q249)),IF(AV249+1&gt;=regle!$J$12,-2,AV249+1))</f>
        <v>8</v>
      </c>
      <c r="AX249">
        <f>IF(AX$1=$AO$1,IF(regle!K$2-$Q249&gt;=regle!$J$12,-2,IF($S249,IF(regle!$B$2-$Q249&gt;=2,0,-1),regle!K$2-$Q249)),IF(AW249+1&gt;=regle!$J$12,-2,AW249+1))</f>
        <v>9</v>
      </c>
    </row>
    <row r="250" spans="1:50" x14ac:dyDescent="0.25">
      <c r="A250" t="b">
        <f>AND(modif0[[#This Row],[cdstr]]&lt;&gt;0,OR(regle!$H$27=FALSE,modif0[[#This Row],[essnc]]="PM"))</f>
        <v>1</v>
      </c>
      <c r="B250">
        <f>ROW(objet!A293)</f>
        <v>293</v>
      </c>
      <c r="C250" s="10" t="str">
        <f>objet!D293</f>
        <v>1710000B0251</v>
      </c>
      <c r="D250" t="str">
        <f>LEFT(modif0[[#This Row],[cdstr]],3)</f>
        <v>171</v>
      </c>
      <c r="E250" s="10" t="str">
        <f>objet!G293</f>
        <v>MANO</v>
      </c>
      <c r="F250">
        <f>LEN(modif0[[#This Row],[l_dt]])</f>
        <v>17</v>
      </c>
      <c r="G250" s="10" t="str">
        <f>objet!H293</f>
        <v>LANDE DE TABARTON</v>
      </c>
      <c r="H250" s="10" t="str">
        <f>objet!C293</f>
        <v>B251</v>
      </c>
      <c r="I250" t="str">
        <f>IF(ISNUMBER(VALUE(RIGHT(LEFT(modif0[[#This Row],[idntfn]],2),1))),_xlfn.CONCAT(0,LEFT(modif0[[#This Row],[idntfn]],1)),LEFT(modif0[[#This Row],[idntfn]],2))</f>
        <v>0B</v>
      </c>
      <c r="J250">
        <f>VALUE(LEFT(RIGHT(modif0[[#This Row],[idntfn]],LEN(modif0[[#This Row],[idntfn]])-IF(LEFT(modif0[[#This Row],[sctn]],1)="0",1,2)),LEN(modif0[[#This Row],[idntfn]])-IF(LEFT(modif0[[#This Row],[sctn]],1)="0",1,2)-LEN(modif0[[#This Row],[lttr]])))</f>
        <v>251</v>
      </c>
      <c r="K250" t="str">
        <f>IF(ISNUMBER(VALUE(RIGHT(modif0[[#This Row],[idntfn]],1))),"",IF(ISNUMBER(VALUE(LEFT(RIGHT(modif0[[#This Row],[idntfn]],2),1))),RIGHT(modif0[[#This Row],[idntfn]],1),RIGHT(modif0[[#This Row],[idntfn]],2)))</f>
        <v/>
      </c>
      <c r="L250" s="10">
        <f>objet!I293</f>
        <v>14000</v>
      </c>
      <c r="M250" s="11">
        <f>modif0[[#This Row],[srfc]]/10000</f>
        <v>1.4</v>
      </c>
      <c r="N250" s="10" t="str">
        <f>objet!Z293</f>
        <v>PM</v>
      </c>
      <c r="O250" s="10" t="str">
        <f>objet!AA293</f>
        <v>CR2022</v>
      </c>
      <c r="P250" t="str">
        <f>IF(ISNUMBER(modif0[[#This Row],[trvx]]),"",LEFT(modif0[[#This Row],[trvx]],LEN(modif0[[#This Row],[trvx]])-4))</f>
        <v>CR</v>
      </c>
      <c r="Q250">
        <f>VALUE(RIGHT(modif0[[#This Row],[trvx]],4))</f>
        <v>2022</v>
      </c>
      <c r="R250" t="str">
        <f>_xlfn.CONCAT(modif0[[#This Row],[tp]],"-",modif0[[#This Row],[essnc]],"_",modif0[[#This Row],[anns]])</f>
        <v>CR-PM_2022</v>
      </c>
      <c r="S250" t="b">
        <f>modif0[[#This Row],[tp]]="CR"</f>
        <v>1</v>
      </c>
      <c r="T250">
        <v>40</v>
      </c>
      <c r="U250" t="str">
        <f>IF(NOT($A250),"",
IF(AO250=-2,regle!$J$11,
IF(AO250=regle!$B$12,regle!$B$11,
IF(AO250=regle!$C$12,regle!$C$11,
IF(AO250=regle!$D$12,regle!$D$11,
IF(AO250=regle!$E$12,regle!$E$11,
IF(AO250=regle!$F$12,regle!$F$11,
IF(AO250=regle!$G$12,regle!$G$11,
IF(AO250=regle!$H$12,regle!$H$11,
IF(AO250=regle!$I$12,regle!$I$11,""))))))))))</f>
        <v>RBST</v>
      </c>
      <c r="V250" t="str">
        <f>IF(NOT($A250),"",
IF(AP250=-2,regle!$J$11,
IF(AP250=regle!$B$12,regle!$B$11,
IF(AP250=regle!$C$12,regle!$C$11,
IF(AP250=regle!$D$12,regle!$D$11,
IF(AP250=regle!$E$12,regle!$E$11,
IF(AP250=regle!$F$12,regle!$F$11,
IF(AP250=regle!$G$12,regle!$G$11,
IF(AP250=regle!$H$12,regle!$H$11,
IF(AP250=regle!$I$12,regle!$I$11,""))))))))))</f>
        <v/>
      </c>
      <c r="W250" t="str">
        <f>IF(NOT($A250),"",
IF(AQ250=-2,regle!$J$11,
IF(AQ250=regle!$B$12,regle!$B$11,
IF(AQ250=regle!$C$12,regle!$C$11,
IF(AQ250=regle!$D$12,regle!$D$11,
IF(AQ250=regle!$E$12,regle!$E$11,
IF(AQ250=regle!$F$12,regle!$F$11,
IF(AQ250=regle!$G$12,regle!$G$11,
IF(AQ250=regle!$H$12,regle!$H$11,
IF(AQ250=regle!$I$12,regle!$I$11,""))))))))))</f>
        <v>DGT</v>
      </c>
      <c r="X250" t="str">
        <f>IF(NOT($A250),"",
IF(AR250=-2,regle!$J$11,
IF(AR250=regle!$B$12,regle!$B$11,
IF(AR250=regle!$C$12,regle!$C$11,
IF(AR250=regle!$D$12,regle!$D$11,
IF(AR250=regle!$E$12,regle!$E$11,
IF(AR250=regle!$F$12,regle!$F$11,
IF(AR250=regle!$G$12,regle!$G$11,
IF(AR250=regle!$H$12,regle!$H$11,
IF(AR250=regle!$I$12,regle!$I$11,""))))))))))</f>
        <v/>
      </c>
      <c r="Y250" t="str">
        <f>IF(NOT($A250),"",
IF(AS250=-2,regle!$J$11,
IF(AS250=regle!$B$12,regle!$B$11,
IF(AS250=regle!$C$12,regle!$C$11,
IF(AS250=regle!$D$12,regle!$D$11,
IF(AS250=regle!$E$12,regle!$E$11,
IF(AS250=regle!$F$12,regle!$F$11,
IF(AS250=regle!$G$12,regle!$G$11,
IF(AS250=regle!$H$12,regle!$H$11,
IF(AS250=regle!$I$12,regle!$I$11,""))))))))))</f>
        <v/>
      </c>
      <c r="Z250" t="str">
        <f>IF(NOT($A250),"",
IF(AT250=-2,regle!$J$11,
IF(AT250=regle!$B$12,regle!$B$11,
IF(AT250=regle!$C$12,regle!$C$11,
IF(AT250=regle!$D$12,regle!$D$11,
IF(AT250=regle!$E$12,regle!$E$11,
IF(AT250=regle!$F$12,regle!$F$11,
IF(AT250=regle!$G$12,regle!$G$11,
IF(AT250=regle!$H$12,regle!$H$11,
IF(AT250=regle!$I$12,regle!$I$11,""))))))))))</f>
        <v>ENT1</v>
      </c>
      <c r="AA250" t="str">
        <f>IF(NOT($A250),"",
IF(AU250=-2,regle!$J$11,
IF(AU250=regle!$B$12,regle!$B$11,
IF(AU250=regle!$C$12,regle!$C$11,
IF(AU250=regle!$D$12,regle!$D$11,
IF(AU250=regle!$E$12,regle!$E$11,
IF(AU250=regle!$F$12,regle!$F$11,
IF(AU250=regle!$G$12,regle!$G$11,
IF(AU250=regle!$H$12,regle!$H$11,
IF(AU250=regle!$I$12,regle!$I$11,""))))))))))</f>
        <v/>
      </c>
      <c r="AB250" t="str">
        <f>IF(NOT($A250),"",
IF(AV250=-2,regle!$J$11,
IF(AV250=regle!$B$12,regle!$B$11,
IF(AV250=regle!$C$12,regle!$C$11,
IF(AV250=regle!$D$12,regle!$D$11,
IF(AV250=regle!$E$12,regle!$E$11,
IF(AV250=regle!$F$12,regle!$F$11,
IF(AV250=regle!$G$12,regle!$G$11,
IF(AV250=regle!$H$12,regle!$H$11,
IF(AV250=regle!$I$12,regle!$I$11,""))))))))))</f>
        <v/>
      </c>
      <c r="AC250" t="str">
        <f>IF(NOT($A250),"",
IF(AW250=-2,regle!$J$11,
IF(AW250=regle!$B$12,regle!$B$11,
IF(AW250=regle!$C$12,regle!$C$11,
IF(AW250=regle!$D$12,regle!$D$11,
IF(AW250=regle!$E$12,regle!$E$11,
IF(AW250=regle!$F$12,regle!$F$11,
IF(AW250=regle!$G$12,regle!$G$11,
IF(AW250=regle!$H$12,regle!$H$11,
IF(AW250=regle!$I$12,regle!$I$11,""))))))))))</f>
        <v>ENT2</v>
      </c>
      <c r="AD250" t="str">
        <f>IF(NOT($A250),"",
IF(AX250=-2,regle!$J$11,
IF(AX250=regle!$B$12,regle!$B$11,
IF(AX250=regle!$C$12,regle!$C$11,
IF(AX250=regle!$D$12,regle!$D$11,
IF(AX250=regle!$E$12,regle!$E$11,
IF(AX250=regle!$F$12,regle!$F$11,
IF(AX250=regle!$G$12,regle!$G$11,
IF(AX250=regle!$H$12,regle!$H$11,
IF(AX250=regle!$I$12,regle!$I$11,""))))))))))</f>
        <v/>
      </c>
      <c r="AE250" s="14">
        <f>IF($A250,$M250*(IF(U250=regle!$B$11,regle!$B$23,IF(U250=regle!$C$11,regle!$C$23,IF(U250=regle!$D$11,regle!$D$23,IF(U250=regle!$E$11,regle!$E$23,IF(U250=regle!$F$11,regle!$F$23,IF(U250=regle!$G$11,regle!$G$23,IF(U250=regle!$H$11,regle!$H$23,IF(U250=regle!$I$11,regle!$I$23,IF(U250=regle!$J$11,regle!$J$23,0)))))))))))</f>
        <v>-2380</v>
      </c>
      <c r="AF250" s="14">
        <f>IF($A250,$M250*(IF(V250=regle!$B$11,regle!$B$23,IF(V250=regle!$C$11,regle!$C$23,IF(V250=regle!$D$11,regle!$D$23,IF(V250=regle!$E$11,regle!$E$23,IF(V250=regle!$F$11,regle!$F$23,IF(V250=regle!$G$11,regle!$G$23,IF(V250=regle!$H$11,regle!$H$23,IF(V250=regle!$I$11,regle!$I$23,IF(V250=regle!$J$11,regle!$J$23,0)))))))))))</f>
        <v>0</v>
      </c>
      <c r="AG250" s="14">
        <f>IF($A250,$M250*(IF(W250=regle!$B$11,regle!$B$23,IF(W250=regle!$C$11,regle!$C$23,IF(W250=regle!$D$11,regle!$D$23,IF(W250=regle!$E$11,regle!$E$23,IF(W250=regle!$F$11,regle!$F$23,IF(W250=regle!$G$11,regle!$G$23,IF(W250=regle!$H$11,regle!$H$23,IF(W250=regle!$I$11,regle!$I$23,IF(W250=regle!$J$11,regle!$J$23,0)))))))))))</f>
        <v>-105</v>
      </c>
      <c r="AH250" s="14">
        <f>IF($A250,$M250*(IF(X250=regle!$B$11,regle!$B$23,IF(X250=regle!$C$11,regle!$C$23,IF(X250=regle!$D$11,regle!$D$23,IF(X250=regle!$E$11,regle!$E$23,IF(X250=regle!$F$11,regle!$F$23,IF(X250=regle!$G$11,regle!$G$23,IF(X250=regle!$H$11,regle!$H$23,IF(X250=regle!$I$11,regle!$I$23,IF(X250=regle!$J$11,regle!$J$23,0)))))))))))</f>
        <v>0</v>
      </c>
      <c r="AI250" s="14">
        <f>IF($A250,$M250*(IF(Y250=regle!$B$11,regle!$B$23,IF(Y250=regle!$C$11,regle!$C$23,IF(Y250=regle!$D$11,regle!$D$23,IF(Y250=regle!$E$11,regle!$E$23,IF(Y250=regle!$F$11,regle!$F$23,IF(Y250=regle!$G$11,regle!$G$23,IF(Y250=regle!$H$11,regle!$H$23,IF(Y250=regle!$I$11,regle!$I$23,IF(Y250=regle!$J$11,regle!$J$23,0)))))))))))</f>
        <v>0</v>
      </c>
      <c r="AJ250" s="14">
        <f>IF($A250,$M250*(IF(Z250=regle!$B$11,regle!$B$23,IF(Z250=regle!$C$11,regle!$C$23,IF(Z250=regle!$D$11,regle!$D$23,IF(Z250=regle!$E$11,regle!$E$23,IF(Z250=regle!$F$11,regle!$F$23,IF(Z250=regle!$G$11,regle!$G$23,IF(Z250=regle!$H$11,regle!$H$23,IF(Z250=regle!$I$11,regle!$I$23,IF(Z250=regle!$J$11,regle!$J$23,0)))))))))))</f>
        <v>-125.99999999999999</v>
      </c>
      <c r="AK250" s="14">
        <f>IF($A250,$M250*(IF(AA250=regle!$B$11,regle!$B$23,IF(AA250=regle!$C$11,regle!$C$23,IF(AA250=regle!$D$11,regle!$D$23,IF(AA250=regle!$E$11,regle!$E$23,IF(AA250=regle!$F$11,regle!$F$23,IF(AA250=regle!$G$11,regle!$G$23,IF(AA250=regle!$H$11,regle!$H$23,IF(AA250=regle!$I$11,regle!$I$23,IF(AA250=regle!$J$11,regle!$J$23,0)))))))))))</f>
        <v>0</v>
      </c>
      <c r="AL250" s="14">
        <f>IF($A250,$M250*(IF(AB250=regle!$B$11,regle!$B$23,IF(AB250=regle!$C$11,regle!$C$23,IF(AB250=regle!$D$11,regle!$D$23,IF(AB250=regle!$E$11,regle!$E$23,IF(AB250=regle!$F$11,regle!$F$23,IF(AB250=regle!$G$11,regle!$G$23,IF(AB250=regle!$H$11,regle!$H$23,IF(AB250=regle!$I$11,regle!$I$23,IF(AB250=regle!$J$11,regle!$J$23,0)))))))))))</f>
        <v>0</v>
      </c>
      <c r="AM250" s="14">
        <f>IF($A250,$M250*(IF(AC250=regle!$B$11,regle!$B$23,IF(AC250=regle!$C$11,regle!$C$23,IF(AC250=regle!$D$11,regle!$D$23,IF(AC250=regle!$E$11,regle!$E$23,IF(AC250=regle!$F$11,regle!$F$23,IF(AC250=regle!$G$11,regle!$G$23,IF(AC250=regle!$H$11,regle!$H$23,IF(AC250=regle!$I$11,regle!$I$23,IF(AC250=regle!$J$11,regle!$J$23,0)))))))))))</f>
        <v>-125.99999999999999</v>
      </c>
      <c r="AN250" s="14">
        <f>IF($A250,$M250*(IF(AD250=regle!$B$11,regle!$B$23,IF(AD250=regle!$C$11,regle!$C$23,IF(AD250=regle!$D$11,regle!$D$23,IF(AD250=regle!$E$11,regle!$E$23,IF(AD250=regle!$F$11,regle!$F$23,IF(AD250=regle!$G$11,regle!$G$23,IF(AD250=regle!$H$11,regle!$H$23,IF(AD250=regle!$I$11,regle!$I$23,IF(AD250=regle!$J$11,regle!$J$23,0)))))))))))</f>
        <v>0</v>
      </c>
      <c r="AO250">
        <f>IF(AO$1=$AO$1,IF(regle!B$2-$Q250&gt;=regle!$J$12,-2,IF($S250,IF(regle!$B$2-$Q250&gt;=2,0,-1),regle!B$2-$Q250)),IF(AN250+1&gt;=regle!$J$12,-2,AN250+1))</f>
        <v>0</v>
      </c>
      <c r="AP250">
        <f>IF(AP$1=$AO$1,IF(regle!C$2-$Q250&gt;=regle!$J$12,-2,IF($S250,IF(regle!$B$2-$Q250&gt;=2,0,-1),regle!C$2-$Q250)),IF(AO250+1&gt;=regle!$J$12,-2,AO250+1))</f>
        <v>1</v>
      </c>
      <c r="AQ250">
        <f>IF(AQ$1=$AO$1,IF(regle!D$2-$Q250&gt;=regle!$J$12,-2,IF($S250,IF(regle!$B$2-$Q250&gt;=2,0,-1),regle!D$2-$Q250)),IF(AP250+1&gt;=regle!$J$12,-2,AP250+1))</f>
        <v>2</v>
      </c>
      <c r="AR250">
        <f>IF(AR$1=$AO$1,IF(regle!E$2-$Q250&gt;=regle!$J$12,-2,IF($S250,IF(regle!$B$2-$Q250&gt;=2,0,-1),regle!E$2-$Q250)),IF(AQ250+1&gt;=regle!$J$12,-2,AQ250+1))</f>
        <v>3</v>
      </c>
      <c r="AS250">
        <f>IF(AS$1=$AO$1,IF(regle!F$2-$Q250&gt;=regle!$J$12,-2,IF($S250,IF(regle!$B$2-$Q250&gt;=2,0,-1),regle!F$2-$Q250)),IF(AR250+1&gt;=regle!$J$12,-2,AR250+1))</f>
        <v>4</v>
      </c>
      <c r="AT250">
        <f>IF(AT$1=$AO$1,IF(regle!G$2-$Q250&gt;=regle!$J$12,-2,IF($S250,IF(regle!$B$2-$Q250&gt;=2,0,-1),regle!G$2-$Q250)),IF(AS250+1&gt;=regle!$J$12,-2,AS250+1))</f>
        <v>5</v>
      </c>
      <c r="AU250">
        <f>IF(AU$1=$AO$1,IF(regle!H$2-$Q250&gt;=regle!$J$12,-2,IF($S250,IF(regle!$B$2-$Q250&gt;=2,0,-1),regle!H$2-$Q250)),IF(AT250+1&gt;=regle!$J$12,-2,AT250+1))</f>
        <v>6</v>
      </c>
      <c r="AV250">
        <f>IF(AV$1=$AO$1,IF(regle!I$2-$Q250&gt;=regle!$J$12,-2,IF($S250,IF(regle!$B$2-$Q250&gt;=2,0,-1),regle!I$2-$Q250)),IF(AU250+1&gt;=regle!$J$12,-2,AU250+1))</f>
        <v>7</v>
      </c>
      <c r="AW250">
        <f>IF(AW$1=$AO$1,IF(regle!J$2-$Q250&gt;=regle!$J$12,-2,IF($S250,IF(regle!$B$2-$Q250&gt;=2,0,-1),regle!J$2-$Q250)),IF(AV250+1&gt;=regle!$J$12,-2,AV250+1))</f>
        <v>8</v>
      </c>
      <c r="AX250">
        <f>IF(AX$1=$AO$1,IF(regle!K$2-$Q250&gt;=regle!$J$12,-2,IF($S250,IF(regle!$B$2-$Q250&gt;=2,0,-1),regle!K$2-$Q250)),IF(AW250+1&gt;=regle!$J$12,-2,AW250+1))</f>
        <v>9</v>
      </c>
    </row>
    <row r="251" spans="1:50" x14ac:dyDescent="0.25">
      <c r="A251" t="b">
        <f>AND(modif0[[#This Row],[cdstr]]&lt;&gt;0,OR(regle!$H$27=FALSE,modif0[[#This Row],[essnc]]="PM"))</f>
        <v>1</v>
      </c>
      <c r="B251">
        <f>ROW(objet!A294)</f>
        <v>294</v>
      </c>
      <c r="C251" s="10" t="str">
        <f>objet!D294</f>
        <v>1710000B0252</v>
      </c>
      <c r="D251" t="str">
        <f>LEFT(modif0[[#This Row],[cdstr]],3)</f>
        <v>171</v>
      </c>
      <c r="E251" s="10" t="str">
        <f>objet!G294</f>
        <v>MANO</v>
      </c>
      <c r="F251">
        <f>LEN(modif0[[#This Row],[l_dt]])</f>
        <v>17</v>
      </c>
      <c r="G251" s="10" t="str">
        <f>objet!H294</f>
        <v>LANDE DE TABARTON</v>
      </c>
      <c r="H251" s="10" t="str">
        <f>objet!C294</f>
        <v>B252</v>
      </c>
      <c r="I251" t="str">
        <f>IF(ISNUMBER(VALUE(RIGHT(LEFT(modif0[[#This Row],[idntfn]],2),1))),_xlfn.CONCAT(0,LEFT(modif0[[#This Row],[idntfn]],1)),LEFT(modif0[[#This Row],[idntfn]],2))</f>
        <v>0B</v>
      </c>
      <c r="J251">
        <f>VALUE(LEFT(RIGHT(modif0[[#This Row],[idntfn]],LEN(modif0[[#This Row],[idntfn]])-IF(LEFT(modif0[[#This Row],[sctn]],1)="0",1,2)),LEN(modif0[[#This Row],[idntfn]])-IF(LEFT(modif0[[#This Row],[sctn]],1)="0",1,2)-LEN(modif0[[#This Row],[lttr]])))</f>
        <v>252</v>
      </c>
      <c r="K251" t="str">
        <f>IF(ISNUMBER(VALUE(RIGHT(modif0[[#This Row],[idntfn]],1))),"",IF(ISNUMBER(VALUE(LEFT(RIGHT(modif0[[#This Row],[idntfn]],2),1))),RIGHT(modif0[[#This Row],[idntfn]],1),RIGHT(modif0[[#This Row],[idntfn]],2)))</f>
        <v/>
      </c>
      <c r="L251" s="10">
        <f>objet!I294</f>
        <v>5550</v>
      </c>
      <c r="M251" s="11">
        <f>modif0[[#This Row],[srfc]]/10000</f>
        <v>0.55500000000000005</v>
      </c>
      <c r="N251" s="10" t="str">
        <f>objet!Z294</f>
        <v>PM</v>
      </c>
      <c r="O251" s="10" t="str">
        <f>objet!AA294</f>
        <v>CR2022</v>
      </c>
      <c r="P251" t="str">
        <f>IF(ISNUMBER(modif0[[#This Row],[trvx]]),"",LEFT(modif0[[#This Row],[trvx]],LEN(modif0[[#This Row],[trvx]])-4))</f>
        <v>CR</v>
      </c>
      <c r="Q251">
        <f>VALUE(RIGHT(modif0[[#This Row],[trvx]],4))</f>
        <v>2022</v>
      </c>
      <c r="R251" t="str">
        <f>_xlfn.CONCAT(modif0[[#This Row],[tp]],"-",modif0[[#This Row],[essnc]],"_",modif0[[#This Row],[anns]])</f>
        <v>CR-PM_2022</v>
      </c>
      <c r="S251" t="b">
        <f>modif0[[#This Row],[tp]]="CR"</f>
        <v>1</v>
      </c>
      <c r="T251">
        <v>40</v>
      </c>
      <c r="U251" t="str">
        <f>IF(NOT($A251),"",
IF(AO251=-2,regle!$J$11,
IF(AO251=regle!$B$12,regle!$B$11,
IF(AO251=regle!$C$12,regle!$C$11,
IF(AO251=regle!$D$12,regle!$D$11,
IF(AO251=regle!$E$12,regle!$E$11,
IF(AO251=regle!$F$12,regle!$F$11,
IF(AO251=regle!$G$12,regle!$G$11,
IF(AO251=regle!$H$12,regle!$H$11,
IF(AO251=regle!$I$12,regle!$I$11,""))))))))))</f>
        <v>RBST</v>
      </c>
      <c r="V251" t="str">
        <f>IF(NOT($A251),"",
IF(AP251=-2,regle!$J$11,
IF(AP251=regle!$B$12,regle!$B$11,
IF(AP251=regle!$C$12,regle!$C$11,
IF(AP251=regle!$D$12,regle!$D$11,
IF(AP251=regle!$E$12,regle!$E$11,
IF(AP251=regle!$F$12,regle!$F$11,
IF(AP251=regle!$G$12,regle!$G$11,
IF(AP251=regle!$H$12,regle!$H$11,
IF(AP251=regle!$I$12,regle!$I$11,""))))))))))</f>
        <v/>
      </c>
      <c r="W251" t="str">
        <f>IF(NOT($A251),"",
IF(AQ251=-2,regle!$J$11,
IF(AQ251=regle!$B$12,regle!$B$11,
IF(AQ251=regle!$C$12,regle!$C$11,
IF(AQ251=regle!$D$12,regle!$D$11,
IF(AQ251=regle!$E$12,regle!$E$11,
IF(AQ251=regle!$F$12,regle!$F$11,
IF(AQ251=regle!$G$12,regle!$G$11,
IF(AQ251=regle!$H$12,regle!$H$11,
IF(AQ251=regle!$I$12,regle!$I$11,""))))))))))</f>
        <v>DGT</v>
      </c>
      <c r="X251" t="str">
        <f>IF(NOT($A251),"",
IF(AR251=-2,regle!$J$11,
IF(AR251=regle!$B$12,regle!$B$11,
IF(AR251=regle!$C$12,regle!$C$11,
IF(AR251=regle!$D$12,regle!$D$11,
IF(AR251=regle!$E$12,regle!$E$11,
IF(AR251=regle!$F$12,regle!$F$11,
IF(AR251=regle!$G$12,regle!$G$11,
IF(AR251=regle!$H$12,regle!$H$11,
IF(AR251=regle!$I$12,regle!$I$11,""))))))))))</f>
        <v/>
      </c>
      <c r="Y251" t="str">
        <f>IF(NOT($A251),"",
IF(AS251=-2,regle!$J$11,
IF(AS251=regle!$B$12,regle!$B$11,
IF(AS251=regle!$C$12,regle!$C$11,
IF(AS251=regle!$D$12,regle!$D$11,
IF(AS251=regle!$E$12,regle!$E$11,
IF(AS251=regle!$F$12,regle!$F$11,
IF(AS251=regle!$G$12,regle!$G$11,
IF(AS251=regle!$H$12,regle!$H$11,
IF(AS251=regle!$I$12,regle!$I$11,""))))))))))</f>
        <v/>
      </c>
      <c r="Z251" t="str">
        <f>IF(NOT($A251),"",
IF(AT251=-2,regle!$J$11,
IF(AT251=regle!$B$12,regle!$B$11,
IF(AT251=regle!$C$12,regle!$C$11,
IF(AT251=regle!$D$12,regle!$D$11,
IF(AT251=regle!$E$12,regle!$E$11,
IF(AT251=regle!$F$12,regle!$F$11,
IF(AT251=regle!$G$12,regle!$G$11,
IF(AT251=regle!$H$12,regle!$H$11,
IF(AT251=regle!$I$12,regle!$I$11,""))))))))))</f>
        <v>ENT1</v>
      </c>
      <c r="AA251" t="str">
        <f>IF(NOT($A251),"",
IF(AU251=-2,regle!$J$11,
IF(AU251=regle!$B$12,regle!$B$11,
IF(AU251=regle!$C$12,regle!$C$11,
IF(AU251=regle!$D$12,regle!$D$11,
IF(AU251=regle!$E$12,regle!$E$11,
IF(AU251=regle!$F$12,regle!$F$11,
IF(AU251=regle!$G$12,regle!$G$11,
IF(AU251=regle!$H$12,regle!$H$11,
IF(AU251=regle!$I$12,regle!$I$11,""))))))))))</f>
        <v/>
      </c>
      <c r="AB251" t="str">
        <f>IF(NOT($A251),"",
IF(AV251=-2,regle!$J$11,
IF(AV251=regle!$B$12,regle!$B$11,
IF(AV251=regle!$C$12,regle!$C$11,
IF(AV251=regle!$D$12,regle!$D$11,
IF(AV251=regle!$E$12,regle!$E$11,
IF(AV251=regle!$F$12,regle!$F$11,
IF(AV251=regle!$G$12,regle!$G$11,
IF(AV251=regle!$H$12,regle!$H$11,
IF(AV251=regle!$I$12,regle!$I$11,""))))))))))</f>
        <v/>
      </c>
      <c r="AC251" t="str">
        <f>IF(NOT($A251),"",
IF(AW251=-2,regle!$J$11,
IF(AW251=regle!$B$12,regle!$B$11,
IF(AW251=regle!$C$12,regle!$C$11,
IF(AW251=regle!$D$12,regle!$D$11,
IF(AW251=regle!$E$12,regle!$E$11,
IF(AW251=regle!$F$12,regle!$F$11,
IF(AW251=regle!$G$12,regle!$G$11,
IF(AW251=regle!$H$12,regle!$H$11,
IF(AW251=regle!$I$12,regle!$I$11,""))))))))))</f>
        <v>ENT2</v>
      </c>
      <c r="AD251" t="str">
        <f>IF(NOT($A251),"",
IF(AX251=-2,regle!$J$11,
IF(AX251=regle!$B$12,regle!$B$11,
IF(AX251=regle!$C$12,regle!$C$11,
IF(AX251=regle!$D$12,regle!$D$11,
IF(AX251=regle!$E$12,regle!$E$11,
IF(AX251=regle!$F$12,regle!$F$11,
IF(AX251=regle!$G$12,regle!$G$11,
IF(AX251=regle!$H$12,regle!$H$11,
IF(AX251=regle!$I$12,regle!$I$11,""))))))))))</f>
        <v/>
      </c>
      <c r="AE251" s="14">
        <f>IF($A251,$M251*(IF(U251=regle!$B$11,regle!$B$23,IF(U251=regle!$C$11,regle!$C$23,IF(U251=regle!$D$11,regle!$D$23,IF(U251=regle!$E$11,regle!$E$23,IF(U251=regle!$F$11,regle!$F$23,IF(U251=regle!$G$11,regle!$G$23,IF(U251=regle!$H$11,regle!$H$23,IF(U251=regle!$I$11,regle!$I$23,IF(U251=regle!$J$11,regle!$J$23,0)))))))))))</f>
        <v>-943.50000000000011</v>
      </c>
      <c r="AF251" s="14">
        <f>IF($A251,$M251*(IF(V251=regle!$B$11,regle!$B$23,IF(V251=regle!$C$11,regle!$C$23,IF(V251=regle!$D$11,regle!$D$23,IF(V251=regle!$E$11,regle!$E$23,IF(V251=regle!$F$11,regle!$F$23,IF(V251=regle!$G$11,regle!$G$23,IF(V251=regle!$H$11,regle!$H$23,IF(V251=regle!$I$11,regle!$I$23,IF(V251=regle!$J$11,regle!$J$23,0)))))))))))</f>
        <v>0</v>
      </c>
      <c r="AG251" s="14">
        <f>IF($A251,$M251*(IF(W251=regle!$B$11,regle!$B$23,IF(W251=regle!$C$11,regle!$C$23,IF(W251=regle!$D$11,regle!$D$23,IF(W251=regle!$E$11,regle!$E$23,IF(W251=regle!$F$11,regle!$F$23,IF(W251=regle!$G$11,regle!$G$23,IF(W251=regle!$H$11,regle!$H$23,IF(W251=regle!$I$11,regle!$I$23,IF(W251=regle!$J$11,regle!$J$23,0)))))))))))</f>
        <v>-41.625000000000007</v>
      </c>
      <c r="AH251" s="14">
        <f>IF($A251,$M251*(IF(X251=regle!$B$11,regle!$B$23,IF(X251=regle!$C$11,regle!$C$23,IF(X251=regle!$D$11,regle!$D$23,IF(X251=regle!$E$11,regle!$E$23,IF(X251=regle!$F$11,regle!$F$23,IF(X251=regle!$G$11,regle!$G$23,IF(X251=regle!$H$11,regle!$H$23,IF(X251=regle!$I$11,regle!$I$23,IF(X251=regle!$J$11,regle!$J$23,0)))))))))))</f>
        <v>0</v>
      </c>
      <c r="AI251" s="14">
        <f>IF($A251,$M251*(IF(Y251=regle!$B$11,regle!$B$23,IF(Y251=regle!$C$11,regle!$C$23,IF(Y251=regle!$D$11,regle!$D$23,IF(Y251=regle!$E$11,regle!$E$23,IF(Y251=regle!$F$11,regle!$F$23,IF(Y251=regle!$G$11,regle!$G$23,IF(Y251=regle!$H$11,regle!$H$23,IF(Y251=regle!$I$11,regle!$I$23,IF(Y251=regle!$J$11,regle!$J$23,0)))))))))))</f>
        <v>0</v>
      </c>
      <c r="AJ251" s="14">
        <f>IF($A251,$M251*(IF(Z251=regle!$B$11,regle!$B$23,IF(Z251=regle!$C$11,regle!$C$23,IF(Z251=regle!$D$11,regle!$D$23,IF(Z251=regle!$E$11,regle!$E$23,IF(Z251=regle!$F$11,regle!$F$23,IF(Z251=regle!$G$11,regle!$G$23,IF(Z251=regle!$H$11,regle!$H$23,IF(Z251=regle!$I$11,regle!$I$23,IF(Z251=regle!$J$11,regle!$J$23,0)))))))))))</f>
        <v>-49.95</v>
      </c>
      <c r="AK251" s="14">
        <f>IF($A251,$M251*(IF(AA251=regle!$B$11,regle!$B$23,IF(AA251=regle!$C$11,regle!$C$23,IF(AA251=regle!$D$11,regle!$D$23,IF(AA251=regle!$E$11,regle!$E$23,IF(AA251=regle!$F$11,regle!$F$23,IF(AA251=regle!$G$11,regle!$G$23,IF(AA251=regle!$H$11,regle!$H$23,IF(AA251=regle!$I$11,regle!$I$23,IF(AA251=regle!$J$11,regle!$J$23,0)))))))))))</f>
        <v>0</v>
      </c>
      <c r="AL251" s="14">
        <f>IF($A251,$M251*(IF(AB251=regle!$B$11,regle!$B$23,IF(AB251=regle!$C$11,regle!$C$23,IF(AB251=regle!$D$11,regle!$D$23,IF(AB251=regle!$E$11,regle!$E$23,IF(AB251=regle!$F$11,regle!$F$23,IF(AB251=regle!$G$11,regle!$G$23,IF(AB251=regle!$H$11,regle!$H$23,IF(AB251=regle!$I$11,regle!$I$23,IF(AB251=regle!$J$11,regle!$J$23,0)))))))))))</f>
        <v>0</v>
      </c>
      <c r="AM251" s="14">
        <f>IF($A251,$M251*(IF(AC251=regle!$B$11,regle!$B$23,IF(AC251=regle!$C$11,regle!$C$23,IF(AC251=regle!$D$11,regle!$D$23,IF(AC251=regle!$E$11,regle!$E$23,IF(AC251=regle!$F$11,regle!$F$23,IF(AC251=regle!$G$11,regle!$G$23,IF(AC251=regle!$H$11,regle!$H$23,IF(AC251=regle!$I$11,regle!$I$23,IF(AC251=regle!$J$11,regle!$J$23,0)))))))))))</f>
        <v>-49.95</v>
      </c>
      <c r="AN251" s="14">
        <f>IF($A251,$M251*(IF(AD251=regle!$B$11,regle!$B$23,IF(AD251=regle!$C$11,regle!$C$23,IF(AD251=regle!$D$11,regle!$D$23,IF(AD251=regle!$E$11,regle!$E$23,IF(AD251=regle!$F$11,regle!$F$23,IF(AD251=regle!$G$11,regle!$G$23,IF(AD251=regle!$H$11,regle!$H$23,IF(AD251=regle!$I$11,regle!$I$23,IF(AD251=regle!$J$11,regle!$J$23,0)))))))))))</f>
        <v>0</v>
      </c>
      <c r="AO251">
        <f>IF(AO$1=$AO$1,IF(regle!B$2-$Q251&gt;=regle!$J$12,-2,IF($S251,IF(regle!$B$2-$Q251&gt;=2,0,-1),regle!B$2-$Q251)),IF(AN251+1&gt;=regle!$J$12,-2,AN251+1))</f>
        <v>0</v>
      </c>
      <c r="AP251">
        <f>IF(AP$1=$AO$1,IF(regle!C$2-$Q251&gt;=regle!$J$12,-2,IF($S251,IF(regle!$B$2-$Q251&gt;=2,0,-1),regle!C$2-$Q251)),IF(AO251+1&gt;=regle!$J$12,-2,AO251+1))</f>
        <v>1</v>
      </c>
      <c r="AQ251">
        <f>IF(AQ$1=$AO$1,IF(regle!D$2-$Q251&gt;=regle!$J$12,-2,IF($S251,IF(regle!$B$2-$Q251&gt;=2,0,-1),regle!D$2-$Q251)),IF(AP251+1&gt;=regle!$J$12,-2,AP251+1))</f>
        <v>2</v>
      </c>
      <c r="AR251">
        <f>IF(AR$1=$AO$1,IF(regle!E$2-$Q251&gt;=regle!$J$12,-2,IF($S251,IF(regle!$B$2-$Q251&gt;=2,0,-1),regle!E$2-$Q251)),IF(AQ251+1&gt;=regle!$J$12,-2,AQ251+1))</f>
        <v>3</v>
      </c>
      <c r="AS251">
        <f>IF(AS$1=$AO$1,IF(regle!F$2-$Q251&gt;=regle!$J$12,-2,IF($S251,IF(regle!$B$2-$Q251&gt;=2,0,-1),regle!F$2-$Q251)),IF(AR251+1&gt;=regle!$J$12,-2,AR251+1))</f>
        <v>4</v>
      </c>
      <c r="AT251">
        <f>IF(AT$1=$AO$1,IF(regle!G$2-$Q251&gt;=regle!$J$12,-2,IF($S251,IF(regle!$B$2-$Q251&gt;=2,0,-1),regle!G$2-$Q251)),IF(AS251+1&gt;=regle!$J$12,-2,AS251+1))</f>
        <v>5</v>
      </c>
      <c r="AU251">
        <f>IF(AU$1=$AO$1,IF(regle!H$2-$Q251&gt;=regle!$J$12,-2,IF($S251,IF(regle!$B$2-$Q251&gt;=2,0,-1),regle!H$2-$Q251)),IF(AT251+1&gt;=regle!$J$12,-2,AT251+1))</f>
        <v>6</v>
      </c>
      <c r="AV251">
        <f>IF(AV$1=$AO$1,IF(regle!I$2-$Q251&gt;=regle!$J$12,-2,IF($S251,IF(regle!$B$2-$Q251&gt;=2,0,-1),regle!I$2-$Q251)),IF(AU251+1&gt;=regle!$J$12,-2,AU251+1))</f>
        <v>7</v>
      </c>
      <c r="AW251">
        <f>IF(AW$1=$AO$1,IF(regle!J$2-$Q251&gt;=regle!$J$12,-2,IF($S251,IF(regle!$B$2-$Q251&gt;=2,0,-1),regle!J$2-$Q251)),IF(AV251+1&gt;=regle!$J$12,-2,AV251+1))</f>
        <v>8</v>
      </c>
      <c r="AX251">
        <f>IF(AX$1=$AO$1,IF(regle!K$2-$Q251&gt;=regle!$J$12,-2,IF($S251,IF(regle!$B$2-$Q251&gt;=2,0,-1),regle!K$2-$Q251)),IF(AW251+1&gt;=regle!$J$12,-2,AW251+1))</f>
        <v>9</v>
      </c>
    </row>
    <row r="252" spans="1:50" x14ac:dyDescent="0.25">
      <c r="A252" t="b">
        <f>AND(modif0[[#This Row],[cdstr]]&lt;&gt;0,OR(regle!$H$27=FALSE,modif0[[#This Row],[essnc]]="PM"))</f>
        <v>1</v>
      </c>
      <c r="B252">
        <f>ROW(objet!A295)</f>
        <v>295</v>
      </c>
      <c r="C252" s="10" t="str">
        <f>objet!D295</f>
        <v>1710000B0266</v>
      </c>
      <c r="D252" t="str">
        <f>LEFT(modif0[[#This Row],[cdstr]],3)</f>
        <v>171</v>
      </c>
      <c r="E252" s="10" t="str">
        <f>objet!G295</f>
        <v>MANO</v>
      </c>
      <c r="F252">
        <f>LEN(modif0[[#This Row],[l_dt]])</f>
        <v>17</v>
      </c>
      <c r="G252" s="10" t="str">
        <f>objet!H295</f>
        <v>LANDE DE TABARTON</v>
      </c>
      <c r="H252" s="10" t="str">
        <f>objet!C295</f>
        <v>B266j</v>
      </c>
      <c r="I252" t="str">
        <f>IF(ISNUMBER(VALUE(RIGHT(LEFT(modif0[[#This Row],[idntfn]],2),1))),_xlfn.CONCAT(0,LEFT(modif0[[#This Row],[idntfn]],1)),LEFT(modif0[[#This Row],[idntfn]],2))</f>
        <v>0B</v>
      </c>
      <c r="J252">
        <f>VALUE(LEFT(RIGHT(modif0[[#This Row],[idntfn]],LEN(modif0[[#This Row],[idntfn]])-IF(LEFT(modif0[[#This Row],[sctn]],1)="0",1,2)),LEN(modif0[[#This Row],[idntfn]])-IF(LEFT(modif0[[#This Row],[sctn]],1)="0",1,2)-LEN(modif0[[#This Row],[lttr]])))</f>
        <v>266</v>
      </c>
      <c r="K252" t="str">
        <f>IF(ISNUMBER(VALUE(RIGHT(modif0[[#This Row],[idntfn]],1))),"",IF(ISNUMBER(VALUE(LEFT(RIGHT(modif0[[#This Row],[idntfn]],2),1))),RIGHT(modif0[[#This Row],[idntfn]],1),RIGHT(modif0[[#This Row],[idntfn]],2)))</f>
        <v>j</v>
      </c>
      <c r="L252" s="10">
        <f>objet!I295</f>
        <v>425614</v>
      </c>
      <c r="M252" s="11">
        <f>modif0[[#This Row],[srfc]]/10000</f>
        <v>42.561399999999999</v>
      </c>
      <c r="N252" s="10" t="str">
        <f>objet!Z295</f>
        <v>PM</v>
      </c>
      <c r="O252" s="10" t="str">
        <f>objet!AA295</f>
        <v>PLA2012</v>
      </c>
      <c r="P252" t="str">
        <f>IF(ISNUMBER(modif0[[#This Row],[trvx]]),"",LEFT(modif0[[#This Row],[trvx]],LEN(modif0[[#This Row],[trvx]])-4))</f>
        <v>PLA</v>
      </c>
      <c r="Q252">
        <f>VALUE(RIGHT(modif0[[#This Row],[trvx]],4))</f>
        <v>2012</v>
      </c>
      <c r="R252" t="str">
        <f>_xlfn.CONCAT(modif0[[#This Row],[tp]],"-",modif0[[#This Row],[essnc]],"_",modif0[[#This Row],[anns]])</f>
        <v>PLA-PM_2012</v>
      </c>
      <c r="S252" t="b">
        <f>modif0[[#This Row],[tp]]="CR"</f>
        <v>0</v>
      </c>
      <c r="T252">
        <v>40</v>
      </c>
      <c r="U252" t="str">
        <f>IF(NOT($A252),"",
IF(AO252=-2,regle!$J$11,
IF(AO252=regle!$B$12,regle!$B$11,
IF(AO252=regle!$C$12,regle!$C$11,
IF(AO252=regle!$D$12,regle!$D$11,
IF(AO252=regle!$E$12,regle!$E$11,
IF(AO252=regle!$F$12,regle!$F$11,
IF(AO252=regle!$G$12,regle!$G$11,
IF(AO252=regle!$H$12,regle!$H$11,
IF(AO252=regle!$I$12,regle!$I$11,""))))))))))</f>
        <v/>
      </c>
      <c r="V252" t="str">
        <f>IF(NOT($A252),"",
IF(AP252=-2,regle!$J$11,
IF(AP252=regle!$B$12,regle!$B$11,
IF(AP252=regle!$C$12,regle!$C$11,
IF(AP252=regle!$D$12,regle!$D$11,
IF(AP252=regle!$E$12,regle!$E$11,
IF(AP252=regle!$F$12,regle!$F$11,
IF(AP252=regle!$G$12,regle!$G$11,
IF(AP252=regle!$H$12,regle!$H$11,
IF(AP252=regle!$I$12,regle!$I$11,""))))))))))</f>
        <v>EC1</v>
      </c>
      <c r="W252" t="str">
        <f>IF(NOT($A252),"",
IF(AQ252=-2,regle!$J$11,
IF(AQ252=regle!$B$12,regle!$B$11,
IF(AQ252=regle!$C$12,regle!$C$11,
IF(AQ252=regle!$D$12,regle!$D$11,
IF(AQ252=regle!$E$12,regle!$E$11,
IF(AQ252=regle!$F$12,regle!$F$11,
IF(AQ252=regle!$G$12,regle!$G$11,
IF(AQ252=regle!$H$12,regle!$H$11,
IF(AQ252=regle!$I$12,regle!$I$11,""))))))))))</f>
        <v/>
      </c>
      <c r="X252" t="str">
        <f>IF(NOT($A252),"",
IF(AR252=-2,regle!$J$11,
IF(AR252=regle!$B$12,regle!$B$11,
IF(AR252=regle!$C$12,regle!$C$11,
IF(AR252=regle!$D$12,regle!$D$11,
IF(AR252=regle!$E$12,regle!$E$11,
IF(AR252=regle!$F$12,regle!$F$11,
IF(AR252=regle!$G$12,regle!$G$11,
IF(AR252=regle!$H$12,regle!$H$11,
IF(AR252=regle!$I$12,regle!$I$11,""))))))))))</f>
        <v/>
      </c>
      <c r="Y252" t="str">
        <f>IF(NOT($A252),"",
IF(AS252=-2,regle!$J$11,
IF(AS252=regle!$B$12,regle!$B$11,
IF(AS252=regle!$C$12,regle!$C$11,
IF(AS252=regle!$D$12,regle!$D$11,
IF(AS252=regle!$E$12,regle!$E$11,
IF(AS252=regle!$F$12,regle!$F$11,
IF(AS252=regle!$G$12,regle!$G$11,
IF(AS252=regle!$H$12,regle!$H$11,
IF(AS252=regle!$I$12,regle!$I$11,""))))))))))</f>
        <v/>
      </c>
      <c r="Z252" t="str">
        <f>IF(NOT($A252),"",
IF(AT252=-2,regle!$J$11,
IF(AT252=regle!$B$12,regle!$B$11,
IF(AT252=regle!$C$12,regle!$C$11,
IF(AT252=regle!$D$12,regle!$D$11,
IF(AT252=regle!$E$12,regle!$E$11,
IF(AT252=regle!$F$12,regle!$F$11,
IF(AT252=regle!$G$12,regle!$G$11,
IF(AT252=regle!$H$12,regle!$H$11,
IF(AT252=regle!$I$12,regle!$I$11,""))))))))))</f>
        <v/>
      </c>
      <c r="AA252" t="str">
        <f>IF(NOT($A252),"",
IF(AU252=-2,regle!$J$11,
IF(AU252=regle!$B$12,regle!$B$11,
IF(AU252=regle!$C$12,regle!$C$11,
IF(AU252=regle!$D$12,regle!$D$11,
IF(AU252=regle!$E$12,regle!$E$11,
IF(AU252=regle!$F$12,regle!$F$11,
IF(AU252=regle!$G$12,regle!$G$11,
IF(AU252=regle!$H$12,regle!$H$11,
IF(AU252=regle!$I$12,regle!$I$11,""))))))))))</f>
        <v>EC2</v>
      </c>
      <c r="AB252" t="str">
        <f>IF(NOT($A252),"",
IF(AV252=-2,regle!$J$11,
IF(AV252=regle!$B$12,regle!$B$11,
IF(AV252=regle!$C$12,regle!$C$11,
IF(AV252=regle!$D$12,regle!$D$11,
IF(AV252=regle!$E$12,regle!$E$11,
IF(AV252=regle!$F$12,regle!$F$11,
IF(AV252=regle!$G$12,regle!$G$11,
IF(AV252=regle!$H$12,regle!$H$11,
IF(AV252=regle!$I$12,regle!$I$11,""))))))))))</f>
        <v/>
      </c>
      <c r="AC252" t="str">
        <f>IF(NOT($A252),"",
IF(AW252=-2,regle!$J$11,
IF(AW252=regle!$B$12,regle!$B$11,
IF(AW252=regle!$C$12,regle!$C$11,
IF(AW252=regle!$D$12,regle!$D$11,
IF(AW252=regle!$E$12,regle!$E$11,
IF(AW252=regle!$F$12,regle!$F$11,
IF(AW252=regle!$G$12,regle!$G$11,
IF(AW252=regle!$H$12,regle!$H$11,
IF(AW252=regle!$I$12,regle!$I$11,""))))))))))</f>
        <v/>
      </c>
      <c r="AD252" t="str">
        <f>IF(NOT($A252),"",
IF(AX252=-2,regle!$J$11,
IF(AX252=regle!$B$12,regle!$B$11,
IF(AX252=regle!$C$12,regle!$C$11,
IF(AX252=regle!$D$12,regle!$D$11,
IF(AX252=regle!$E$12,regle!$E$11,
IF(AX252=regle!$F$12,regle!$F$11,
IF(AX252=regle!$G$12,regle!$G$11,
IF(AX252=regle!$H$12,regle!$H$11,
IF(AX252=regle!$I$12,regle!$I$11,""))))))))))</f>
        <v/>
      </c>
      <c r="AE252" s="14">
        <f>IF($A252,$M252*(IF(U252=regle!$B$11,regle!$B$23,IF(U252=regle!$C$11,regle!$C$23,IF(U252=regle!$D$11,regle!$D$23,IF(U252=regle!$E$11,regle!$E$23,IF(U252=regle!$F$11,regle!$F$23,IF(U252=regle!$G$11,regle!$G$23,IF(U252=regle!$H$11,regle!$H$23,IF(U252=regle!$I$11,regle!$I$23,IF(U252=regle!$J$11,regle!$J$23,0)))))))))))</f>
        <v>0</v>
      </c>
      <c r="AF252" s="14">
        <f>IF($A252,$M252*(IF(V252=regle!$B$11,regle!$B$23,IF(V252=regle!$C$11,regle!$C$23,IF(V252=regle!$D$11,regle!$D$23,IF(V252=regle!$E$11,regle!$E$23,IF(V252=regle!$F$11,regle!$F$23,IF(V252=regle!$G$11,regle!$G$23,IF(V252=regle!$H$11,regle!$H$23,IF(V252=regle!$I$11,regle!$I$23,IF(V252=regle!$J$11,regle!$J$23,0)))))))))))</f>
        <v>24515.366399999999</v>
      </c>
      <c r="AG252" s="14">
        <f>IF($A252,$M252*(IF(W252=regle!$B$11,regle!$B$23,IF(W252=regle!$C$11,regle!$C$23,IF(W252=regle!$D$11,regle!$D$23,IF(W252=regle!$E$11,regle!$E$23,IF(W252=regle!$F$11,regle!$F$23,IF(W252=regle!$G$11,regle!$G$23,IF(W252=regle!$H$11,regle!$H$23,IF(W252=regle!$I$11,regle!$I$23,IF(W252=regle!$J$11,regle!$J$23,0)))))))))))</f>
        <v>0</v>
      </c>
      <c r="AH252" s="14">
        <f>IF($A252,$M252*(IF(X252=regle!$B$11,regle!$B$23,IF(X252=regle!$C$11,regle!$C$23,IF(X252=regle!$D$11,regle!$D$23,IF(X252=regle!$E$11,regle!$E$23,IF(X252=regle!$F$11,regle!$F$23,IF(X252=regle!$G$11,regle!$G$23,IF(X252=regle!$H$11,regle!$H$23,IF(X252=regle!$I$11,regle!$I$23,IF(X252=regle!$J$11,regle!$J$23,0)))))))))))</f>
        <v>0</v>
      </c>
      <c r="AI252" s="14">
        <f>IF($A252,$M252*(IF(Y252=regle!$B$11,regle!$B$23,IF(Y252=regle!$C$11,regle!$C$23,IF(Y252=regle!$D$11,regle!$D$23,IF(Y252=regle!$E$11,regle!$E$23,IF(Y252=regle!$F$11,regle!$F$23,IF(Y252=regle!$G$11,regle!$G$23,IF(Y252=regle!$H$11,regle!$H$23,IF(Y252=regle!$I$11,regle!$I$23,IF(Y252=regle!$J$11,regle!$J$23,0)))))))))))</f>
        <v>0</v>
      </c>
      <c r="AJ252" s="14">
        <f>IF($A252,$M252*(IF(Z252=regle!$B$11,regle!$B$23,IF(Z252=regle!$C$11,regle!$C$23,IF(Z252=regle!$D$11,regle!$D$23,IF(Z252=regle!$E$11,regle!$E$23,IF(Z252=regle!$F$11,regle!$F$23,IF(Z252=regle!$G$11,regle!$G$23,IF(Z252=regle!$H$11,regle!$H$23,IF(Z252=regle!$I$11,regle!$I$23,IF(Z252=regle!$J$11,regle!$J$23,0)))))))))))</f>
        <v>0</v>
      </c>
      <c r="AK252" s="14">
        <f>IF($A252,$M252*(IF(AA252=regle!$B$11,regle!$B$23,IF(AA252=regle!$C$11,regle!$C$23,IF(AA252=regle!$D$11,regle!$D$23,IF(AA252=regle!$E$11,regle!$E$23,IF(AA252=regle!$F$11,regle!$F$23,IF(AA252=regle!$G$11,regle!$G$23,IF(AA252=regle!$H$11,regle!$H$23,IF(AA252=regle!$I$11,regle!$I$23,IF(AA252=regle!$J$11,regle!$J$23,0)))))))))))</f>
        <v>35751.576000000001</v>
      </c>
      <c r="AL252" s="14">
        <f>IF($A252,$M252*(IF(AB252=regle!$B$11,regle!$B$23,IF(AB252=regle!$C$11,regle!$C$23,IF(AB252=regle!$D$11,regle!$D$23,IF(AB252=regle!$E$11,regle!$E$23,IF(AB252=regle!$F$11,regle!$F$23,IF(AB252=regle!$G$11,regle!$G$23,IF(AB252=regle!$H$11,regle!$H$23,IF(AB252=regle!$I$11,regle!$I$23,IF(AB252=regle!$J$11,regle!$J$23,0)))))))))))</f>
        <v>0</v>
      </c>
      <c r="AM252" s="14">
        <f>IF($A252,$M252*(IF(AC252=regle!$B$11,regle!$B$23,IF(AC252=regle!$C$11,regle!$C$23,IF(AC252=regle!$D$11,regle!$D$23,IF(AC252=regle!$E$11,regle!$E$23,IF(AC252=regle!$F$11,regle!$F$23,IF(AC252=regle!$G$11,regle!$G$23,IF(AC252=regle!$H$11,regle!$H$23,IF(AC252=regle!$I$11,regle!$I$23,IF(AC252=regle!$J$11,regle!$J$23,0)))))))))))</f>
        <v>0</v>
      </c>
      <c r="AN252" s="14">
        <f>IF($A252,$M252*(IF(AD252=regle!$B$11,regle!$B$23,IF(AD252=regle!$C$11,regle!$C$23,IF(AD252=regle!$D$11,regle!$D$23,IF(AD252=regle!$E$11,regle!$E$23,IF(AD252=regle!$F$11,regle!$F$23,IF(AD252=regle!$G$11,regle!$G$23,IF(AD252=regle!$H$11,regle!$H$23,IF(AD252=regle!$I$11,regle!$I$23,IF(AD252=regle!$J$11,regle!$J$23,0)))))))))))</f>
        <v>0</v>
      </c>
      <c r="AO252">
        <f>IF(AO$1=$AO$1,IF(regle!B$2-$Q252&gt;=regle!$J$12,-2,IF($S252,IF(regle!$B$2-$Q252&gt;=2,0,-1),regle!B$2-$Q252)),IF(AN252+1&gt;=regle!$J$12,-2,AN252+1))</f>
        <v>12</v>
      </c>
      <c r="AP252">
        <f>IF(AP$1=$AO$1,IF(regle!C$2-$Q252&gt;=regle!$J$12,-2,IF($S252,IF(regle!$B$2-$Q252&gt;=2,0,-1),regle!C$2-$Q252)),IF(AO252+1&gt;=regle!$J$12,-2,AO252+1))</f>
        <v>13</v>
      </c>
      <c r="AQ252">
        <f>IF(AQ$1=$AO$1,IF(regle!D$2-$Q252&gt;=regle!$J$12,-2,IF($S252,IF(regle!$B$2-$Q252&gt;=2,0,-1),regle!D$2-$Q252)),IF(AP252+1&gt;=regle!$J$12,-2,AP252+1))</f>
        <v>14</v>
      </c>
      <c r="AR252">
        <f>IF(AR$1=$AO$1,IF(regle!E$2-$Q252&gt;=regle!$J$12,-2,IF($S252,IF(regle!$B$2-$Q252&gt;=2,0,-1),regle!E$2-$Q252)),IF(AQ252+1&gt;=regle!$J$12,-2,AQ252+1))</f>
        <v>15</v>
      </c>
      <c r="AS252">
        <f>IF(AS$1=$AO$1,IF(regle!F$2-$Q252&gt;=regle!$J$12,-2,IF($S252,IF(regle!$B$2-$Q252&gt;=2,0,-1),regle!F$2-$Q252)),IF(AR252+1&gt;=regle!$J$12,-2,AR252+1))</f>
        <v>16</v>
      </c>
      <c r="AT252">
        <f>IF(AT$1=$AO$1,IF(regle!G$2-$Q252&gt;=regle!$J$12,-2,IF($S252,IF(regle!$B$2-$Q252&gt;=2,0,-1),regle!G$2-$Q252)),IF(AS252+1&gt;=regle!$J$12,-2,AS252+1))</f>
        <v>17</v>
      </c>
      <c r="AU252">
        <f>IF(AU$1=$AO$1,IF(regle!H$2-$Q252&gt;=regle!$J$12,-2,IF($S252,IF(regle!$B$2-$Q252&gt;=2,0,-1),regle!H$2-$Q252)),IF(AT252+1&gt;=regle!$J$12,-2,AT252+1))</f>
        <v>18</v>
      </c>
      <c r="AV252">
        <f>IF(AV$1=$AO$1,IF(regle!I$2-$Q252&gt;=regle!$J$12,-2,IF($S252,IF(regle!$B$2-$Q252&gt;=2,0,-1),regle!I$2-$Q252)),IF(AU252+1&gt;=regle!$J$12,-2,AU252+1))</f>
        <v>19</v>
      </c>
      <c r="AW252">
        <f>IF(AW$1=$AO$1,IF(regle!J$2-$Q252&gt;=regle!$J$12,-2,IF($S252,IF(regle!$B$2-$Q252&gt;=2,0,-1),regle!J$2-$Q252)),IF(AV252+1&gt;=regle!$J$12,-2,AV252+1))</f>
        <v>20</v>
      </c>
      <c r="AX252">
        <f>IF(AX$1=$AO$1,IF(regle!K$2-$Q252&gt;=regle!$J$12,-2,IF($S252,IF(regle!$B$2-$Q252&gt;=2,0,-1),regle!K$2-$Q252)),IF(AW252+1&gt;=regle!$J$12,-2,AW252+1))</f>
        <v>21</v>
      </c>
    </row>
    <row r="253" spans="1:50" x14ac:dyDescent="0.25">
      <c r="A253" t="b">
        <f>AND(modif0[[#This Row],[cdstr]]&lt;&gt;0,OR(regle!$H$27=FALSE,modif0[[#This Row],[essnc]]="PM"))</f>
        <v>1</v>
      </c>
      <c r="B253">
        <f>ROW(objet!A296)</f>
        <v>296</v>
      </c>
      <c r="C253" s="10" t="str">
        <f>objet!D296</f>
        <v>1710000B0266</v>
      </c>
      <c r="D253" t="str">
        <f>LEFT(modif0[[#This Row],[cdstr]],3)</f>
        <v>171</v>
      </c>
      <c r="E253" s="10" t="str">
        <f>objet!G296</f>
        <v>MANO</v>
      </c>
      <c r="F253">
        <f>LEN(modif0[[#This Row],[l_dt]])</f>
        <v>17</v>
      </c>
      <c r="G253" s="10" t="str">
        <f>objet!H296</f>
        <v>LANDE DE TABARTON</v>
      </c>
      <c r="H253" s="10" t="str">
        <f>objet!C296</f>
        <v>B266k</v>
      </c>
      <c r="I253" t="str">
        <f>IF(ISNUMBER(VALUE(RIGHT(LEFT(modif0[[#This Row],[idntfn]],2),1))),_xlfn.CONCAT(0,LEFT(modif0[[#This Row],[idntfn]],1)),LEFT(modif0[[#This Row],[idntfn]],2))</f>
        <v>0B</v>
      </c>
      <c r="J253">
        <f>VALUE(LEFT(RIGHT(modif0[[#This Row],[idntfn]],LEN(modif0[[#This Row],[idntfn]])-IF(LEFT(modif0[[#This Row],[sctn]],1)="0",1,2)),LEN(modif0[[#This Row],[idntfn]])-IF(LEFT(modif0[[#This Row],[sctn]],1)="0",1,2)-LEN(modif0[[#This Row],[lttr]])))</f>
        <v>266</v>
      </c>
      <c r="K253" t="str">
        <f>IF(ISNUMBER(VALUE(RIGHT(modif0[[#This Row],[idntfn]],1))),"",IF(ISNUMBER(VALUE(LEFT(RIGHT(modif0[[#This Row],[idntfn]],2),1))),RIGHT(modif0[[#This Row],[idntfn]],1),RIGHT(modif0[[#This Row],[idntfn]],2)))</f>
        <v>k</v>
      </c>
      <c r="L253" s="10">
        <f>objet!I296</f>
        <v>33702</v>
      </c>
      <c r="M253" s="11">
        <f>modif0[[#This Row],[srfc]]/10000</f>
        <v>3.3702000000000001</v>
      </c>
      <c r="N253" s="10" t="str">
        <f>objet!Z296</f>
        <v>PM</v>
      </c>
      <c r="O253" s="10" t="str">
        <f>objet!AA296</f>
        <v>PLA2005</v>
      </c>
      <c r="P253" t="str">
        <f>IF(ISNUMBER(modif0[[#This Row],[trvx]]),"",LEFT(modif0[[#This Row],[trvx]],LEN(modif0[[#This Row],[trvx]])-4))</f>
        <v>PLA</v>
      </c>
      <c r="Q253">
        <f>VALUE(RIGHT(modif0[[#This Row],[trvx]],4))</f>
        <v>2005</v>
      </c>
      <c r="R253" t="str">
        <f>_xlfn.CONCAT(modif0[[#This Row],[tp]],"-",modif0[[#This Row],[essnc]],"_",modif0[[#This Row],[anns]])</f>
        <v>PLA-PM_2005</v>
      </c>
      <c r="S253" t="b">
        <f>modif0[[#This Row],[tp]]="CR"</f>
        <v>0</v>
      </c>
      <c r="T253">
        <v>40</v>
      </c>
      <c r="U253" t="str">
        <f>IF(NOT($A253),"",
IF(AO253=-2,regle!$J$11,
IF(AO253=regle!$B$12,regle!$B$11,
IF(AO253=regle!$C$12,regle!$C$11,
IF(AO253=regle!$D$12,regle!$D$11,
IF(AO253=regle!$E$12,regle!$E$11,
IF(AO253=regle!$F$12,regle!$F$11,
IF(AO253=regle!$G$12,regle!$G$11,
IF(AO253=regle!$H$12,regle!$H$11,
IF(AO253=regle!$I$12,regle!$I$11,""))))))))))</f>
        <v/>
      </c>
      <c r="V253" t="str">
        <f>IF(NOT($A253),"",
IF(AP253=-2,regle!$J$11,
IF(AP253=regle!$B$12,regle!$B$11,
IF(AP253=regle!$C$12,regle!$C$11,
IF(AP253=regle!$D$12,regle!$D$11,
IF(AP253=regle!$E$12,regle!$E$11,
IF(AP253=regle!$F$12,regle!$F$11,
IF(AP253=regle!$G$12,regle!$G$11,
IF(AP253=regle!$H$12,regle!$H$11,
IF(AP253=regle!$I$12,regle!$I$11,""))))))))))</f>
        <v/>
      </c>
      <c r="W253" t="str">
        <f>IF(NOT($A253),"",
IF(AQ253=-2,regle!$J$11,
IF(AQ253=regle!$B$12,regle!$B$11,
IF(AQ253=regle!$C$12,regle!$C$11,
IF(AQ253=regle!$D$12,regle!$D$11,
IF(AQ253=regle!$E$12,regle!$E$11,
IF(AQ253=regle!$F$12,regle!$F$11,
IF(AQ253=regle!$G$12,regle!$G$11,
IF(AQ253=regle!$H$12,regle!$H$11,
IF(AQ253=regle!$I$12,regle!$I$11,""))))))))))</f>
        <v/>
      </c>
      <c r="X253" t="str">
        <f>IF(NOT($A253),"",
IF(AR253=-2,regle!$J$11,
IF(AR253=regle!$B$12,regle!$B$11,
IF(AR253=regle!$C$12,regle!$C$11,
IF(AR253=regle!$D$12,regle!$D$11,
IF(AR253=regle!$E$12,regle!$E$11,
IF(AR253=regle!$F$12,regle!$F$11,
IF(AR253=regle!$G$12,regle!$G$11,
IF(AR253=regle!$H$12,regle!$H$11,
IF(AR253=regle!$I$12,regle!$I$11,""))))))))))</f>
        <v/>
      </c>
      <c r="Y253" t="str">
        <f>IF(NOT($A253),"",
IF(AS253=-2,regle!$J$11,
IF(AS253=regle!$B$12,regle!$B$11,
IF(AS253=regle!$C$12,regle!$C$11,
IF(AS253=regle!$D$12,regle!$D$11,
IF(AS253=regle!$E$12,regle!$E$11,
IF(AS253=regle!$F$12,regle!$F$11,
IF(AS253=regle!$G$12,regle!$G$11,
IF(AS253=regle!$H$12,regle!$H$11,
IF(AS253=regle!$I$12,regle!$I$11,""))))))))))</f>
        <v>EC3</v>
      </c>
      <c r="Z253" t="str">
        <f>IF(NOT($A253),"",
IF(AT253=-2,regle!$J$11,
IF(AT253=regle!$B$12,regle!$B$11,
IF(AT253=regle!$C$12,regle!$C$11,
IF(AT253=regle!$D$12,regle!$D$11,
IF(AT253=regle!$E$12,regle!$E$11,
IF(AT253=regle!$F$12,regle!$F$11,
IF(AT253=regle!$G$12,regle!$G$11,
IF(AT253=regle!$H$12,regle!$H$11,
IF(AT253=regle!$I$12,regle!$I$11,""))))))))))</f>
        <v/>
      </c>
      <c r="AA253" t="str">
        <f>IF(NOT($A253),"",
IF(AU253=-2,regle!$J$11,
IF(AU253=regle!$B$12,regle!$B$11,
IF(AU253=regle!$C$12,regle!$C$11,
IF(AU253=regle!$D$12,regle!$D$11,
IF(AU253=regle!$E$12,regle!$E$11,
IF(AU253=regle!$F$12,regle!$F$11,
IF(AU253=regle!$G$12,regle!$G$11,
IF(AU253=regle!$H$12,regle!$H$11,
IF(AU253=regle!$I$12,regle!$I$11,""))))))))))</f>
        <v/>
      </c>
      <c r="AB253" t="str">
        <f>IF(NOT($A253),"",
IF(AV253=-2,regle!$J$11,
IF(AV253=regle!$B$12,regle!$B$11,
IF(AV253=regle!$C$12,regle!$C$11,
IF(AV253=regle!$D$12,regle!$D$11,
IF(AV253=regle!$E$12,regle!$E$11,
IF(AV253=regle!$F$12,regle!$F$11,
IF(AV253=regle!$G$12,regle!$G$11,
IF(AV253=regle!$H$12,regle!$H$11,
IF(AV253=regle!$I$12,regle!$I$11,""))))))))))</f>
        <v/>
      </c>
      <c r="AC253" t="str">
        <f>IF(NOT($A253),"",
IF(AW253=-2,regle!$J$11,
IF(AW253=regle!$B$12,regle!$B$11,
IF(AW253=regle!$C$12,regle!$C$11,
IF(AW253=regle!$D$12,regle!$D$11,
IF(AW253=regle!$E$12,regle!$E$11,
IF(AW253=regle!$F$12,regle!$F$11,
IF(AW253=regle!$G$12,regle!$G$11,
IF(AW253=regle!$H$12,regle!$H$11,
IF(AW253=regle!$I$12,regle!$I$11,""))))))))))</f>
        <v/>
      </c>
      <c r="AD253" t="str">
        <f>IF(NOT($A253),"",
IF(AX253=-2,regle!$J$11,
IF(AX253=regle!$B$12,regle!$B$11,
IF(AX253=regle!$C$12,regle!$C$11,
IF(AX253=regle!$D$12,regle!$D$11,
IF(AX253=regle!$E$12,regle!$E$11,
IF(AX253=regle!$F$12,regle!$F$11,
IF(AX253=regle!$G$12,regle!$G$11,
IF(AX253=regle!$H$12,regle!$H$11,
IF(AX253=regle!$I$12,regle!$I$11,""))))))))))</f>
        <v>EC4</v>
      </c>
      <c r="AE253" s="14">
        <f>IF($A253,$M253*(IF(U253=regle!$B$11,regle!$B$23,IF(U253=regle!$C$11,regle!$C$23,IF(U253=regle!$D$11,regle!$D$23,IF(U253=regle!$E$11,regle!$E$23,IF(U253=regle!$F$11,regle!$F$23,IF(U253=regle!$G$11,regle!$G$23,IF(U253=regle!$H$11,regle!$H$23,IF(U253=regle!$I$11,regle!$I$23,IF(U253=regle!$J$11,regle!$J$23,0)))))))))))</f>
        <v>0</v>
      </c>
      <c r="AF253" s="14">
        <f>IF($A253,$M253*(IF(V253=regle!$B$11,regle!$B$23,IF(V253=regle!$C$11,regle!$C$23,IF(V253=regle!$D$11,regle!$D$23,IF(V253=regle!$E$11,regle!$E$23,IF(V253=regle!$F$11,regle!$F$23,IF(V253=regle!$G$11,regle!$G$23,IF(V253=regle!$H$11,regle!$H$23,IF(V253=regle!$I$11,regle!$I$23,IF(V253=regle!$J$11,regle!$J$23,0)))))))))))</f>
        <v>0</v>
      </c>
      <c r="AG253" s="14">
        <f>IF($A253,$M253*(IF(W253=regle!$B$11,regle!$B$23,IF(W253=regle!$C$11,regle!$C$23,IF(W253=regle!$D$11,regle!$D$23,IF(W253=regle!$E$11,regle!$E$23,IF(W253=regle!$F$11,regle!$F$23,IF(W253=regle!$G$11,regle!$G$23,IF(W253=regle!$H$11,regle!$H$23,IF(W253=regle!$I$11,regle!$I$23,IF(W253=regle!$J$11,regle!$J$23,0)))))))))))</f>
        <v>0</v>
      </c>
      <c r="AH253" s="14">
        <f>IF($A253,$M253*(IF(X253=regle!$B$11,regle!$B$23,IF(X253=regle!$C$11,regle!$C$23,IF(X253=regle!$D$11,regle!$D$23,IF(X253=regle!$E$11,regle!$E$23,IF(X253=regle!$F$11,regle!$F$23,IF(X253=regle!$G$11,regle!$G$23,IF(X253=regle!$H$11,regle!$H$23,IF(X253=regle!$I$11,regle!$I$23,IF(X253=regle!$J$11,regle!$J$23,0)))))))))))</f>
        <v>0</v>
      </c>
      <c r="AI253" s="14">
        <f>IF($A253,$M253*(IF(Y253=regle!$B$11,regle!$B$23,IF(Y253=regle!$C$11,regle!$C$23,IF(Y253=regle!$D$11,regle!$D$23,IF(Y253=regle!$E$11,regle!$E$23,IF(Y253=regle!$F$11,regle!$F$23,IF(Y253=regle!$G$11,regle!$G$23,IF(Y253=regle!$H$11,regle!$H$23,IF(Y253=regle!$I$11,regle!$I$23,IF(Y253=regle!$J$11,regle!$J$23,0)))))))))))</f>
        <v>4745.2416000000003</v>
      </c>
      <c r="AJ253" s="14">
        <f>IF($A253,$M253*(IF(Z253=regle!$B$11,regle!$B$23,IF(Z253=regle!$C$11,regle!$C$23,IF(Z253=regle!$D$11,regle!$D$23,IF(Z253=regle!$E$11,regle!$E$23,IF(Z253=regle!$F$11,regle!$F$23,IF(Z253=regle!$G$11,regle!$G$23,IF(Z253=regle!$H$11,regle!$H$23,IF(Z253=regle!$I$11,regle!$I$23,IF(Z253=regle!$J$11,regle!$J$23,0)))))))))))</f>
        <v>0</v>
      </c>
      <c r="AK253" s="14">
        <f>IF($A253,$M253*(IF(AA253=regle!$B$11,regle!$B$23,IF(AA253=regle!$C$11,regle!$C$23,IF(AA253=regle!$D$11,regle!$D$23,IF(AA253=regle!$E$11,regle!$E$23,IF(AA253=regle!$F$11,regle!$F$23,IF(AA253=regle!$G$11,regle!$G$23,IF(AA253=regle!$H$11,regle!$H$23,IF(AA253=regle!$I$11,regle!$I$23,IF(AA253=regle!$J$11,regle!$J$23,0)))))))))))</f>
        <v>0</v>
      </c>
      <c r="AL253" s="14">
        <f>IF($A253,$M253*(IF(AB253=regle!$B$11,regle!$B$23,IF(AB253=regle!$C$11,regle!$C$23,IF(AB253=regle!$D$11,regle!$D$23,IF(AB253=regle!$E$11,regle!$E$23,IF(AB253=regle!$F$11,regle!$F$23,IF(AB253=regle!$G$11,regle!$G$23,IF(AB253=regle!$H$11,regle!$H$23,IF(AB253=regle!$I$11,regle!$I$23,IF(AB253=regle!$J$11,regle!$J$23,0)))))))))))</f>
        <v>0</v>
      </c>
      <c r="AM253" s="14">
        <f>IF($A253,$M253*(IF(AC253=regle!$B$11,regle!$B$23,IF(AC253=regle!$C$11,regle!$C$23,IF(AC253=regle!$D$11,regle!$D$23,IF(AC253=regle!$E$11,regle!$E$23,IF(AC253=regle!$F$11,regle!$F$23,IF(AC253=regle!$G$11,regle!$G$23,IF(AC253=regle!$H$11,regle!$H$23,IF(AC253=regle!$I$11,regle!$I$23,IF(AC253=regle!$J$11,regle!$J$23,0)))))))))))</f>
        <v>0</v>
      </c>
      <c r="AN253" s="14">
        <f>IF($A253,$M253*(IF(AD253=regle!$B$11,regle!$B$23,IF(AD253=regle!$C$11,regle!$C$23,IF(AD253=regle!$D$11,regle!$D$23,IF(AD253=regle!$E$11,regle!$E$23,IF(AD253=regle!$F$11,regle!$F$23,IF(AD253=regle!$G$11,regle!$G$23,IF(AD253=regle!$H$11,regle!$H$23,IF(AD253=regle!$I$11,regle!$I$23,IF(AD253=regle!$J$11,regle!$J$23,0)))))))))))</f>
        <v>4313.8559999999998</v>
      </c>
      <c r="AO253">
        <f>IF(AO$1=$AO$1,IF(regle!B$2-$Q253&gt;=regle!$J$12,-2,IF($S253,IF(regle!$B$2-$Q253&gt;=2,0,-1),regle!B$2-$Q253)),IF(AN253+1&gt;=regle!$J$12,-2,AN253+1))</f>
        <v>19</v>
      </c>
      <c r="AP253">
        <f>IF(AP$1=$AO$1,IF(regle!C$2-$Q253&gt;=regle!$J$12,-2,IF($S253,IF(regle!$B$2-$Q253&gt;=2,0,-1),regle!C$2-$Q253)),IF(AO253+1&gt;=regle!$J$12,-2,AO253+1))</f>
        <v>20</v>
      </c>
      <c r="AQ253">
        <f>IF(AQ$1=$AO$1,IF(regle!D$2-$Q253&gt;=regle!$J$12,-2,IF($S253,IF(regle!$B$2-$Q253&gt;=2,0,-1),regle!D$2-$Q253)),IF(AP253+1&gt;=regle!$J$12,-2,AP253+1))</f>
        <v>21</v>
      </c>
      <c r="AR253">
        <f>IF(AR$1=$AO$1,IF(regle!E$2-$Q253&gt;=regle!$J$12,-2,IF($S253,IF(regle!$B$2-$Q253&gt;=2,0,-1),regle!E$2-$Q253)),IF(AQ253+1&gt;=regle!$J$12,-2,AQ253+1))</f>
        <v>22</v>
      </c>
      <c r="AS253">
        <f>IF(AS$1=$AO$1,IF(regle!F$2-$Q253&gt;=regle!$J$12,-2,IF($S253,IF(regle!$B$2-$Q253&gt;=2,0,-1),regle!F$2-$Q253)),IF(AR253+1&gt;=regle!$J$12,-2,AR253+1))</f>
        <v>23</v>
      </c>
      <c r="AT253">
        <f>IF(AT$1=$AO$1,IF(regle!G$2-$Q253&gt;=regle!$J$12,-2,IF($S253,IF(regle!$B$2-$Q253&gt;=2,0,-1),regle!G$2-$Q253)),IF(AS253+1&gt;=regle!$J$12,-2,AS253+1))</f>
        <v>24</v>
      </c>
      <c r="AU253">
        <f>IF(AU$1=$AO$1,IF(regle!H$2-$Q253&gt;=regle!$J$12,-2,IF($S253,IF(regle!$B$2-$Q253&gt;=2,0,-1),regle!H$2-$Q253)),IF(AT253+1&gt;=regle!$J$12,-2,AT253+1))</f>
        <v>25</v>
      </c>
      <c r="AV253">
        <f>IF(AV$1=$AO$1,IF(regle!I$2-$Q253&gt;=regle!$J$12,-2,IF($S253,IF(regle!$B$2-$Q253&gt;=2,0,-1),regle!I$2-$Q253)),IF(AU253+1&gt;=regle!$J$12,-2,AU253+1))</f>
        <v>26</v>
      </c>
      <c r="AW253">
        <f>IF(AW$1=$AO$1,IF(regle!J$2-$Q253&gt;=regle!$J$12,-2,IF($S253,IF(regle!$B$2-$Q253&gt;=2,0,-1),regle!J$2-$Q253)),IF(AV253+1&gt;=regle!$J$12,-2,AV253+1))</f>
        <v>27</v>
      </c>
      <c r="AX253">
        <f>IF(AX$1=$AO$1,IF(regle!K$2-$Q253&gt;=regle!$J$12,-2,IF($S253,IF(regle!$B$2-$Q253&gt;=2,0,-1),regle!K$2-$Q253)),IF(AW253+1&gt;=regle!$J$12,-2,AW253+1))</f>
        <v>28</v>
      </c>
    </row>
    <row r="254" spans="1:50" x14ac:dyDescent="0.25">
      <c r="A254" t="b">
        <f>AND(modif0[[#This Row],[cdstr]]&lt;&gt;0,OR(regle!$H$27=FALSE,modif0[[#This Row],[essnc]]="PM"))</f>
        <v>1</v>
      </c>
      <c r="B254">
        <f>ROW(objet!A297)</f>
        <v>297</v>
      </c>
      <c r="C254" s="10" t="str">
        <f>objet!D297</f>
        <v>1710000B0266</v>
      </c>
      <c r="D254" t="str">
        <f>LEFT(modif0[[#This Row],[cdstr]],3)</f>
        <v>171</v>
      </c>
      <c r="E254" s="10" t="str">
        <f>objet!G297</f>
        <v>MANO</v>
      </c>
      <c r="F254">
        <f>LEN(modif0[[#This Row],[l_dt]])</f>
        <v>17</v>
      </c>
      <c r="G254" s="10" t="str">
        <f>objet!H297</f>
        <v>LANDE DE TABARTON</v>
      </c>
      <c r="H254" s="10" t="str">
        <f>objet!C297</f>
        <v>B266l</v>
      </c>
      <c r="I254" t="str">
        <f>IF(ISNUMBER(VALUE(RIGHT(LEFT(modif0[[#This Row],[idntfn]],2),1))),_xlfn.CONCAT(0,LEFT(modif0[[#This Row],[idntfn]],1)),LEFT(modif0[[#This Row],[idntfn]],2))</f>
        <v>0B</v>
      </c>
      <c r="J254">
        <f>VALUE(LEFT(RIGHT(modif0[[#This Row],[idntfn]],LEN(modif0[[#This Row],[idntfn]])-IF(LEFT(modif0[[#This Row],[sctn]],1)="0",1,2)),LEN(modif0[[#This Row],[idntfn]])-IF(LEFT(modif0[[#This Row],[sctn]],1)="0",1,2)-LEN(modif0[[#This Row],[lttr]])))</f>
        <v>266</v>
      </c>
      <c r="K254" t="str">
        <f>IF(ISNUMBER(VALUE(RIGHT(modif0[[#This Row],[idntfn]],1))),"",IF(ISNUMBER(VALUE(LEFT(RIGHT(modif0[[#This Row],[idntfn]],2),1))),RIGHT(modif0[[#This Row],[idntfn]],1),RIGHT(modif0[[#This Row],[idntfn]],2)))</f>
        <v>l</v>
      </c>
      <c r="L254" s="10">
        <f>objet!I297</f>
        <v>84014</v>
      </c>
      <c r="M254" s="11">
        <f>modif0[[#This Row],[srfc]]/10000</f>
        <v>8.4014000000000006</v>
      </c>
      <c r="N254" s="10" t="str">
        <f>objet!Z297</f>
        <v>PM</v>
      </c>
      <c r="O254" s="10" t="str">
        <f>objet!AA297</f>
        <v>PLA2005</v>
      </c>
      <c r="P254" t="str">
        <f>IF(ISNUMBER(modif0[[#This Row],[trvx]]),"",LEFT(modif0[[#This Row],[trvx]],LEN(modif0[[#This Row],[trvx]])-4))</f>
        <v>PLA</v>
      </c>
      <c r="Q254">
        <f>VALUE(RIGHT(modif0[[#This Row],[trvx]],4))</f>
        <v>2005</v>
      </c>
      <c r="R254" t="str">
        <f>_xlfn.CONCAT(modif0[[#This Row],[tp]],"-",modif0[[#This Row],[essnc]],"_",modif0[[#This Row],[anns]])</f>
        <v>PLA-PM_2005</v>
      </c>
      <c r="S254" t="b">
        <f>modif0[[#This Row],[tp]]="CR"</f>
        <v>0</v>
      </c>
      <c r="T254">
        <v>40</v>
      </c>
      <c r="U254" t="str">
        <f>IF(NOT($A254),"",
IF(AO254=-2,regle!$J$11,
IF(AO254=regle!$B$12,regle!$B$11,
IF(AO254=regle!$C$12,regle!$C$11,
IF(AO254=regle!$D$12,regle!$D$11,
IF(AO254=regle!$E$12,regle!$E$11,
IF(AO254=regle!$F$12,regle!$F$11,
IF(AO254=regle!$G$12,regle!$G$11,
IF(AO254=regle!$H$12,regle!$H$11,
IF(AO254=regle!$I$12,regle!$I$11,""))))))))))</f>
        <v/>
      </c>
      <c r="V254" t="str">
        <f>IF(NOT($A254),"",
IF(AP254=-2,regle!$J$11,
IF(AP254=regle!$B$12,regle!$B$11,
IF(AP254=regle!$C$12,regle!$C$11,
IF(AP254=regle!$D$12,regle!$D$11,
IF(AP254=regle!$E$12,regle!$E$11,
IF(AP254=regle!$F$12,regle!$F$11,
IF(AP254=regle!$G$12,regle!$G$11,
IF(AP254=regle!$H$12,regle!$H$11,
IF(AP254=regle!$I$12,regle!$I$11,""))))))))))</f>
        <v/>
      </c>
      <c r="W254" t="str">
        <f>IF(NOT($A254),"",
IF(AQ254=-2,regle!$J$11,
IF(AQ254=regle!$B$12,regle!$B$11,
IF(AQ254=regle!$C$12,regle!$C$11,
IF(AQ254=regle!$D$12,regle!$D$11,
IF(AQ254=regle!$E$12,regle!$E$11,
IF(AQ254=regle!$F$12,regle!$F$11,
IF(AQ254=regle!$G$12,regle!$G$11,
IF(AQ254=regle!$H$12,regle!$H$11,
IF(AQ254=regle!$I$12,regle!$I$11,""))))))))))</f>
        <v/>
      </c>
      <c r="X254" t="str">
        <f>IF(NOT($A254),"",
IF(AR254=-2,regle!$J$11,
IF(AR254=regle!$B$12,regle!$B$11,
IF(AR254=regle!$C$12,regle!$C$11,
IF(AR254=regle!$D$12,regle!$D$11,
IF(AR254=regle!$E$12,regle!$E$11,
IF(AR254=regle!$F$12,regle!$F$11,
IF(AR254=regle!$G$12,regle!$G$11,
IF(AR254=regle!$H$12,regle!$H$11,
IF(AR254=regle!$I$12,regle!$I$11,""))))))))))</f>
        <v/>
      </c>
      <c r="Y254" t="str">
        <f>IF(NOT($A254),"",
IF(AS254=-2,regle!$J$11,
IF(AS254=regle!$B$12,regle!$B$11,
IF(AS254=regle!$C$12,regle!$C$11,
IF(AS254=regle!$D$12,regle!$D$11,
IF(AS254=regle!$E$12,regle!$E$11,
IF(AS254=regle!$F$12,regle!$F$11,
IF(AS254=regle!$G$12,regle!$G$11,
IF(AS254=regle!$H$12,regle!$H$11,
IF(AS254=regle!$I$12,regle!$I$11,""))))))))))</f>
        <v>EC3</v>
      </c>
      <c r="Z254" t="str">
        <f>IF(NOT($A254),"",
IF(AT254=-2,regle!$J$11,
IF(AT254=regle!$B$12,regle!$B$11,
IF(AT254=regle!$C$12,regle!$C$11,
IF(AT254=regle!$D$12,regle!$D$11,
IF(AT254=regle!$E$12,regle!$E$11,
IF(AT254=regle!$F$12,regle!$F$11,
IF(AT254=regle!$G$12,regle!$G$11,
IF(AT254=regle!$H$12,regle!$H$11,
IF(AT254=regle!$I$12,regle!$I$11,""))))))))))</f>
        <v/>
      </c>
      <c r="AA254" t="str">
        <f>IF(NOT($A254),"",
IF(AU254=-2,regle!$J$11,
IF(AU254=regle!$B$12,regle!$B$11,
IF(AU254=regle!$C$12,regle!$C$11,
IF(AU254=regle!$D$12,regle!$D$11,
IF(AU254=regle!$E$12,regle!$E$11,
IF(AU254=regle!$F$12,regle!$F$11,
IF(AU254=regle!$G$12,regle!$G$11,
IF(AU254=regle!$H$12,regle!$H$11,
IF(AU254=regle!$I$12,regle!$I$11,""))))))))))</f>
        <v/>
      </c>
      <c r="AB254" t="str">
        <f>IF(NOT($A254),"",
IF(AV254=-2,regle!$J$11,
IF(AV254=regle!$B$12,regle!$B$11,
IF(AV254=regle!$C$12,regle!$C$11,
IF(AV254=regle!$D$12,regle!$D$11,
IF(AV254=regle!$E$12,regle!$E$11,
IF(AV254=regle!$F$12,regle!$F$11,
IF(AV254=regle!$G$12,regle!$G$11,
IF(AV254=regle!$H$12,regle!$H$11,
IF(AV254=regle!$I$12,regle!$I$11,""))))))))))</f>
        <v/>
      </c>
      <c r="AC254" t="str">
        <f>IF(NOT($A254),"",
IF(AW254=-2,regle!$J$11,
IF(AW254=regle!$B$12,regle!$B$11,
IF(AW254=regle!$C$12,regle!$C$11,
IF(AW254=regle!$D$12,regle!$D$11,
IF(AW254=regle!$E$12,regle!$E$11,
IF(AW254=regle!$F$12,regle!$F$11,
IF(AW254=regle!$G$12,regle!$G$11,
IF(AW254=regle!$H$12,regle!$H$11,
IF(AW254=regle!$I$12,regle!$I$11,""))))))))))</f>
        <v/>
      </c>
      <c r="AD254" t="str">
        <f>IF(NOT($A254),"",
IF(AX254=-2,regle!$J$11,
IF(AX254=regle!$B$12,regle!$B$11,
IF(AX254=regle!$C$12,regle!$C$11,
IF(AX254=regle!$D$12,regle!$D$11,
IF(AX254=regle!$E$12,regle!$E$11,
IF(AX254=regle!$F$12,regle!$F$11,
IF(AX254=regle!$G$12,regle!$G$11,
IF(AX254=regle!$H$12,regle!$H$11,
IF(AX254=regle!$I$12,regle!$I$11,""))))))))))</f>
        <v>EC4</v>
      </c>
      <c r="AE254" s="14">
        <f>IF($A254,$M254*(IF(U254=regle!$B$11,regle!$B$23,IF(U254=regle!$C$11,regle!$C$23,IF(U254=regle!$D$11,regle!$D$23,IF(U254=regle!$E$11,regle!$E$23,IF(U254=regle!$F$11,regle!$F$23,IF(U254=regle!$G$11,regle!$G$23,IF(U254=regle!$H$11,regle!$H$23,IF(U254=regle!$I$11,regle!$I$23,IF(U254=regle!$J$11,regle!$J$23,0)))))))))))</f>
        <v>0</v>
      </c>
      <c r="AF254" s="14">
        <f>IF($A254,$M254*(IF(V254=regle!$B$11,regle!$B$23,IF(V254=regle!$C$11,regle!$C$23,IF(V254=regle!$D$11,regle!$D$23,IF(V254=regle!$E$11,regle!$E$23,IF(V254=regle!$F$11,regle!$F$23,IF(V254=regle!$G$11,regle!$G$23,IF(V254=regle!$H$11,regle!$H$23,IF(V254=regle!$I$11,regle!$I$23,IF(V254=regle!$J$11,regle!$J$23,0)))))))))))</f>
        <v>0</v>
      </c>
      <c r="AG254" s="14">
        <f>IF($A254,$M254*(IF(W254=regle!$B$11,regle!$B$23,IF(W254=regle!$C$11,regle!$C$23,IF(W254=regle!$D$11,regle!$D$23,IF(W254=regle!$E$11,regle!$E$23,IF(W254=regle!$F$11,regle!$F$23,IF(W254=regle!$G$11,regle!$G$23,IF(W254=regle!$H$11,regle!$H$23,IF(W254=regle!$I$11,regle!$I$23,IF(W254=regle!$J$11,regle!$J$23,0)))))))))))</f>
        <v>0</v>
      </c>
      <c r="AH254" s="14">
        <f>IF($A254,$M254*(IF(X254=regle!$B$11,regle!$B$23,IF(X254=regle!$C$11,regle!$C$23,IF(X254=regle!$D$11,regle!$D$23,IF(X254=regle!$E$11,regle!$E$23,IF(X254=regle!$F$11,regle!$F$23,IF(X254=regle!$G$11,regle!$G$23,IF(X254=regle!$H$11,regle!$H$23,IF(X254=regle!$I$11,regle!$I$23,IF(X254=regle!$J$11,regle!$J$23,0)))))))))))</f>
        <v>0</v>
      </c>
      <c r="AI254" s="14">
        <f>IF($A254,$M254*(IF(Y254=regle!$B$11,regle!$B$23,IF(Y254=regle!$C$11,regle!$C$23,IF(Y254=regle!$D$11,regle!$D$23,IF(Y254=regle!$E$11,regle!$E$23,IF(Y254=regle!$F$11,regle!$F$23,IF(Y254=regle!$G$11,regle!$G$23,IF(Y254=regle!$H$11,regle!$H$23,IF(Y254=regle!$I$11,regle!$I$23,IF(Y254=regle!$J$11,regle!$J$23,0)))))))))))</f>
        <v>11829.171200000001</v>
      </c>
      <c r="AJ254" s="14">
        <f>IF($A254,$M254*(IF(Z254=regle!$B$11,regle!$B$23,IF(Z254=regle!$C$11,regle!$C$23,IF(Z254=regle!$D$11,regle!$D$23,IF(Z254=regle!$E$11,regle!$E$23,IF(Z254=regle!$F$11,regle!$F$23,IF(Z254=regle!$G$11,regle!$G$23,IF(Z254=regle!$H$11,regle!$H$23,IF(Z254=regle!$I$11,regle!$I$23,IF(Z254=regle!$J$11,regle!$J$23,0)))))))))))</f>
        <v>0</v>
      </c>
      <c r="AK254" s="14">
        <f>IF($A254,$M254*(IF(AA254=regle!$B$11,regle!$B$23,IF(AA254=regle!$C$11,regle!$C$23,IF(AA254=regle!$D$11,regle!$D$23,IF(AA254=regle!$E$11,regle!$E$23,IF(AA254=regle!$F$11,regle!$F$23,IF(AA254=regle!$G$11,regle!$G$23,IF(AA254=regle!$H$11,regle!$H$23,IF(AA254=regle!$I$11,regle!$I$23,IF(AA254=regle!$J$11,regle!$J$23,0)))))))))))</f>
        <v>0</v>
      </c>
      <c r="AL254" s="14">
        <f>IF($A254,$M254*(IF(AB254=regle!$B$11,regle!$B$23,IF(AB254=regle!$C$11,regle!$C$23,IF(AB254=regle!$D$11,regle!$D$23,IF(AB254=regle!$E$11,regle!$E$23,IF(AB254=regle!$F$11,regle!$F$23,IF(AB254=regle!$G$11,regle!$G$23,IF(AB254=regle!$H$11,regle!$H$23,IF(AB254=regle!$I$11,regle!$I$23,IF(AB254=regle!$J$11,regle!$J$23,0)))))))))))</f>
        <v>0</v>
      </c>
      <c r="AM254" s="14">
        <f>IF($A254,$M254*(IF(AC254=regle!$B$11,regle!$B$23,IF(AC254=regle!$C$11,regle!$C$23,IF(AC254=regle!$D$11,regle!$D$23,IF(AC254=regle!$E$11,regle!$E$23,IF(AC254=regle!$F$11,regle!$F$23,IF(AC254=regle!$G$11,regle!$G$23,IF(AC254=regle!$H$11,regle!$H$23,IF(AC254=regle!$I$11,regle!$I$23,IF(AC254=regle!$J$11,regle!$J$23,0)))))))))))</f>
        <v>0</v>
      </c>
      <c r="AN254" s="14">
        <f>IF($A254,$M254*(IF(AD254=regle!$B$11,regle!$B$23,IF(AD254=regle!$C$11,regle!$C$23,IF(AD254=regle!$D$11,regle!$D$23,IF(AD254=regle!$E$11,regle!$E$23,IF(AD254=regle!$F$11,regle!$F$23,IF(AD254=regle!$G$11,regle!$G$23,IF(AD254=regle!$H$11,regle!$H$23,IF(AD254=regle!$I$11,regle!$I$23,IF(AD254=regle!$J$11,regle!$J$23,0)))))))))))</f>
        <v>10753.792000000001</v>
      </c>
      <c r="AO254">
        <f>IF(AO$1=$AO$1,IF(regle!B$2-$Q254&gt;=regle!$J$12,-2,IF($S254,IF(regle!$B$2-$Q254&gt;=2,0,-1),regle!B$2-$Q254)),IF(AN254+1&gt;=regle!$J$12,-2,AN254+1))</f>
        <v>19</v>
      </c>
      <c r="AP254">
        <f>IF(AP$1=$AO$1,IF(regle!C$2-$Q254&gt;=regle!$J$12,-2,IF($S254,IF(regle!$B$2-$Q254&gt;=2,0,-1),regle!C$2-$Q254)),IF(AO254+1&gt;=regle!$J$12,-2,AO254+1))</f>
        <v>20</v>
      </c>
      <c r="AQ254">
        <f>IF(AQ$1=$AO$1,IF(regle!D$2-$Q254&gt;=regle!$J$12,-2,IF($S254,IF(regle!$B$2-$Q254&gt;=2,0,-1),regle!D$2-$Q254)),IF(AP254+1&gt;=regle!$J$12,-2,AP254+1))</f>
        <v>21</v>
      </c>
      <c r="AR254">
        <f>IF(AR$1=$AO$1,IF(regle!E$2-$Q254&gt;=regle!$J$12,-2,IF($S254,IF(regle!$B$2-$Q254&gt;=2,0,-1),regle!E$2-$Q254)),IF(AQ254+1&gt;=regle!$J$12,-2,AQ254+1))</f>
        <v>22</v>
      </c>
      <c r="AS254">
        <f>IF(AS$1=$AO$1,IF(regle!F$2-$Q254&gt;=regle!$J$12,-2,IF($S254,IF(regle!$B$2-$Q254&gt;=2,0,-1),regle!F$2-$Q254)),IF(AR254+1&gt;=regle!$J$12,-2,AR254+1))</f>
        <v>23</v>
      </c>
      <c r="AT254">
        <f>IF(AT$1=$AO$1,IF(regle!G$2-$Q254&gt;=regle!$J$12,-2,IF($S254,IF(regle!$B$2-$Q254&gt;=2,0,-1),regle!G$2-$Q254)),IF(AS254+1&gt;=regle!$J$12,-2,AS254+1))</f>
        <v>24</v>
      </c>
      <c r="AU254">
        <f>IF(AU$1=$AO$1,IF(regle!H$2-$Q254&gt;=regle!$J$12,-2,IF($S254,IF(regle!$B$2-$Q254&gt;=2,0,-1),regle!H$2-$Q254)),IF(AT254+1&gt;=regle!$J$12,-2,AT254+1))</f>
        <v>25</v>
      </c>
      <c r="AV254">
        <f>IF(AV$1=$AO$1,IF(regle!I$2-$Q254&gt;=regle!$J$12,-2,IF($S254,IF(regle!$B$2-$Q254&gt;=2,0,-1),regle!I$2-$Q254)),IF(AU254+1&gt;=regle!$J$12,-2,AU254+1))</f>
        <v>26</v>
      </c>
      <c r="AW254">
        <f>IF(AW$1=$AO$1,IF(regle!J$2-$Q254&gt;=regle!$J$12,-2,IF($S254,IF(regle!$B$2-$Q254&gt;=2,0,-1),regle!J$2-$Q254)),IF(AV254+1&gt;=regle!$J$12,-2,AV254+1))</f>
        <v>27</v>
      </c>
      <c r="AX254">
        <f>IF(AX$1=$AO$1,IF(regle!K$2-$Q254&gt;=regle!$J$12,-2,IF($S254,IF(regle!$B$2-$Q254&gt;=2,0,-1),regle!K$2-$Q254)),IF(AW254+1&gt;=regle!$J$12,-2,AW254+1))</f>
        <v>28</v>
      </c>
    </row>
    <row r="255" spans="1:50" x14ac:dyDescent="0.25">
      <c r="A255" t="b">
        <f>AND(modif0[[#This Row],[cdstr]]&lt;&gt;0,OR(regle!$H$27=FALSE,modif0[[#This Row],[essnc]]="PM"))</f>
        <v>1</v>
      </c>
      <c r="B255">
        <f>ROW(objet!A299)</f>
        <v>299</v>
      </c>
      <c r="C255" s="10" t="str">
        <f>objet!D299</f>
        <v>1710000B0269</v>
      </c>
      <c r="D255" t="str">
        <f>LEFT(modif0[[#This Row],[cdstr]],3)</f>
        <v>171</v>
      </c>
      <c r="E255" s="10" t="str">
        <f>objet!G299</f>
        <v>MANO</v>
      </c>
      <c r="F255">
        <f>LEN(modif0[[#This Row],[l_dt]])</f>
        <v>17</v>
      </c>
      <c r="G255" s="10" t="str">
        <f>objet!H299</f>
        <v>LANDE DE TABARTON</v>
      </c>
      <c r="H255" s="10" t="str">
        <f>objet!C299</f>
        <v>B269</v>
      </c>
      <c r="I255" t="str">
        <f>IF(ISNUMBER(VALUE(RIGHT(LEFT(modif0[[#This Row],[idntfn]],2),1))),_xlfn.CONCAT(0,LEFT(modif0[[#This Row],[idntfn]],1)),LEFT(modif0[[#This Row],[idntfn]],2))</f>
        <v>0B</v>
      </c>
      <c r="J255">
        <f>VALUE(LEFT(RIGHT(modif0[[#This Row],[idntfn]],LEN(modif0[[#This Row],[idntfn]])-IF(LEFT(modif0[[#This Row],[sctn]],1)="0",1,2)),LEN(modif0[[#This Row],[idntfn]])-IF(LEFT(modif0[[#This Row],[sctn]],1)="0",1,2)-LEN(modif0[[#This Row],[lttr]])))</f>
        <v>269</v>
      </c>
      <c r="K255" t="str">
        <f>IF(ISNUMBER(VALUE(RIGHT(modif0[[#This Row],[idntfn]],1))),"",IF(ISNUMBER(VALUE(LEFT(RIGHT(modif0[[#This Row],[idntfn]],2),1))),RIGHT(modif0[[#This Row],[idntfn]],1),RIGHT(modif0[[#This Row],[idntfn]],2)))</f>
        <v/>
      </c>
      <c r="L255" s="10">
        <f>objet!I299</f>
        <v>21600</v>
      </c>
      <c r="M255" s="11">
        <f>modif0[[#This Row],[srfc]]/10000</f>
        <v>2.16</v>
      </c>
      <c r="N255" s="10" t="str">
        <f>objet!Z299</f>
        <v>PM</v>
      </c>
      <c r="O255" s="10" t="str">
        <f>objet!AA299</f>
        <v>CR2022</v>
      </c>
      <c r="P255" t="str">
        <f>IF(ISNUMBER(modif0[[#This Row],[trvx]]),"",LEFT(modif0[[#This Row],[trvx]],LEN(modif0[[#This Row],[trvx]])-4))</f>
        <v>CR</v>
      </c>
      <c r="Q255">
        <f>VALUE(RIGHT(modif0[[#This Row],[trvx]],4))</f>
        <v>2022</v>
      </c>
      <c r="R255" t="str">
        <f>_xlfn.CONCAT(modif0[[#This Row],[tp]],"-",modif0[[#This Row],[essnc]],"_",modif0[[#This Row],[anns]])</f>
        <v>CR-PM_2022</v>
      </c>
      <c r="S255" t="b">
        <f>modif0[[#This Row],[tp]]="CR"</f>
        <v>1</v>
      </c>
      <c r="T255">
        <v>40</v>
      </c>
      <c r="U255" t="str">
        <f>IF(NOT($A255),"",
IF(AO255=-2,regle!$J$11,
IF(AO255=regle!$B$12,regle!$B$11,
IF(AO255=regle!$C$12,regle!$C$11,
IF(AO255=regle!$D$12,regle!$D$11,
IF(AO255=regle!$E$12,regle!$E$11,
IF(AO255=regle!$F$12,regle!$F$11,
IF(AO255=regle!$G$12,regle!$G$11,
IF(AO255=regle!$H$12,regle!$H$11,
IF(AO255=regle!$I$12,regle!$I$11,""))))))))))</f>
        <v>RBST</v>
      </c>
      <c r="V255" t="str">
        <f>IF(NOT($A255),"",
IF(AP255=-2,regle!$J$11,
IF(AP255=regle!$B$12,regle!$B$11,
IF(AP255=regle!$C$12,regle!$C$11,
IF(AP255=regle!$D$12,regle!$D$11,
IF(AP255=regle!$E$12,regle!$E$11,
IF(AP255=regle!$F$12,regle!$F$11,
IF(AP255=regle!$G$12,regle!$G$11,
IF(AP255=regle!$H$12,regle!$H$11,
IF(AP255=regle!$I$12,regle!$I$11,""))))))))))</f>
        <v/>
      </c>
      <c r="W255" t="str">
        <f>IF(NOT($A255),"",
IF(AQ255=-2,regle!$J$11,
IF(AQ255=regle!$B$12,regle!$B$11,
IF(AQ255=regle!$C$12,regle!$C$11,
IF(AQ255=regle!$D$12,regle!$D$11,
IF(AQ255=regle!$E$12,regle!$E$11,
IF(AQ255=regle!$F$12,regle!$F$11,
IF(AQ255=regle!$G$12,regle!$G$11,
IF(AQ255=regle!$H$12,regle!$H$11,
IF(AQ255=regle!$I$12,regle!$I$11,""))))))))))</f>
        <v>DGT</v>
      </c>
      <c r="X255" t="str">
        <f>IF(NOT($A255),"",
IF(AR255=-2,regle!$J$11,
IF(AR255=regle!$B$12,regle!$B$11,
IF(AR255=regle!$C$12,regle!$C$11,
IF(AR255=regle!$D$12,regle!$D$11,
IF(AR255=regle!$E$12,regle!$E$11,
IF(AR255=regle!$F$12,regle!$F$11,
IF(AR255=regle!$G$12,regle!$G$11,
IF(AR255=regle!$H$12,regle!$H$11,
IF(AR255=regle!$I$12,regle!$I$11,""))))))))))</f>
        <v/>
      </c>
      <c r="Y255" t="str">
        <f>IF(NOT($A255),"",
IF(AS255=-2,regle!$J$11,
IF(AS255=regle!$B$12,regle!$B$11,
IF(AS255=regle!$C$12,regle!$C$11,
IF(AS255=regle!$D$12,regle!$D$11,
IF(AS255=regle!$E$12,regle!$E$11,
IF(AS255=regle!$F$12,regle!$F$11,
IF(AS255=regle!$G$12,regle!$G$11,
IF(AS255=regle!$H$12,regle!$H$11,
IF(AS255=regle!$I$12,regle!$I$11,""))))))))))</f>
        <v/>
      </c>
      <c r="Z255" t="str">
        <f>IF(NOT($A255),"",
IF(AT255=-2,regle!$J$11,
IF(AT255=regle!$B$12,regle!$B$11,
IF(AT255=regle!$C$12,regle!$C$11,
IF(AT255=regle!$D$12,regle!$D$11,
IF(AT255=regle!$E$12,regle!$E$11,
IF(AT255=regle!$F$12,regle!$F$11,
IF(AT255=regle!$G$12,regle!$G$11,
IF(AT255=regle!$H$12,regle!$H$11,
IF(AT255=regle!$I$12,regle!$I$11,""))))))))))</f>
        <v>ENT1</v>
      </c>
      <c r="AA255" t="str">
        <f>IF(NOT($A255),"",
IF(AU255=-2,regle!$J$11,
IF(AU255=regle!$B$12,regle!$B$11,
IF(AU255=regle!$C$12,regle!$C$11,
IF(AU255=regle!$D$12,regle!$D$11,
IF(AU255=regle!$E$12,regle!$E$11,
IF(AU255=regle!$F$12,regle!$F$11,
IF(AU255=regle!$G$12,regle!$G$11,
IF(AU255=regle!$H$12,regle!$H$11,
IF(AU255=regle!$I$12,regle!$I$11,""))))))))))</f>
        <v/>
      </c>
      <c r="AB255" t="str">
        <f>IF(NOT($A255),"",
IF(AV255=-2,regle!$J$11,
IF(AV255=regle!$B$12,regle!$B$11,
IF(AV255=regle!$C$12,regle!$C$11,
IF(AV255=regle!$D$12,regle!$D$11,
IF(AV255=regle!$E$12,regle!$E$11,
IF(AV255=regle!$F$12,regle!$F$11,
IF(AV255=regle!$G$12,regle!$G$11,
IF(AV255=regle!$H$12,regle!$H$11,
IF(AV255=regle!$I$12,regle!$I$11,""))))))))))</f>
        <v/>
      </c>
      <c r="AC255" t="str">
        <f>IF(NOT($A255),"",
IF(AW255=-2,regle!$J$11,
IF(AW255=regle!$B$12,regle!$B$11,
IF(AW255=regle!$C$12,regle!$C$11,
IF(AW255=regle!$D$12,regle!$D$11,
IF(AW255=regle!$E$12,regle!$E$11,
IF(AW255=regle!$F$12,regle!$F$11,
IF(AW255=regle!$G$12,regle!$G$11,
IF(AW255=regle!$H$12,regle!$H$11,
IF(AW255=regle!$I$12,regle!$I$11,""))))))))))</f>
        <v>ENT2</v>
      </c>
      <c r="AD255" t="str">
        <f>IF(NOT($A255),"",
IF(AX255=-2,regle!$J$11,
IF(AX255=regle!$B$12,regle!$B$11,
IF(AX255=regle!$C$12,regle!$C$11,
IF(AX255=regle!$D$12,regle!$D$11,
IF(AX255=regle!$E$12,regle!$E$11,
IF(AX255=regle!$F$12,regle!$F$11,
IF(AX255=regle!$G$12,regle!$G$11,
IF(AX255=regle!$H$12,regle!$H$11,
IF(AX255=regle!$I$12,regle!$I$11,""))))))))))</f>
        <v/>
      </c>
      <c r="AE255" s="14">
        <f>IF($A255,$M255*(IF(U255=regle!$B$11,regle!$B$23,IF(U255=regle!$C$11,regle!$C$23,IF(U255=regle!$D$11,regle!$D$23,IF(U255=regle!$E$11,regle!$E$23,IF(U255=regle!$F$11,regle!$F$23,IF(U255=regle!$G$11,regle!$G$23,IF(U255=regle!$H$11,regle!$H$23,IF(U255=regle!$I$11,regle!$I$23,IF(U255=regle!$J$11,regle!$J$23,0)))))))))))</f>
        <v>-3672.0000000000005</v>
      </c>
      <c r="AF255" s="14">
        <f>IF($A255,$M255*(IF(V255=regle!$B$11,regle!$B$23,IF(V255=regle!$C$11,regle!$C$23,IF(V255=regle!$D$11,regle!$D$23,IF(V255=regle!$E$11,regle!$E$23,IF(V255=regle!$F$11,regle!$F$23,IF(V255=regle!$G$11,regle!$G$23,IF(V255=regle!$H$11,regle!$H$23,IF(V255=regle!$I$11,regle!$I$23,IF(V255=regle!$J$11,regle!$J$23,0)))))))))))</f>
        <v>0</v>
      </c>
      <c r="AG255" s="14">
        <f>IF($A255,$M255*(IF(W255=regle!$B$11,regle!$B$23,IF(W255=regle!$C$11,regle!$C$23,IF(W255=regle!$D$11,regle!$D$23,IF(W255=regle!$E$11,regle!$E$23,IF(W255=regle!$F$11,regle!$F$23,IF(W255=regle!$G$11,regle!$G$23,IF(W255=regle!$H$11,regle!$H$23,IF(W255=regle!$I$11,regle!$I$23,IF(W255=regle!$J$11,regle!$J$23,0)))))))))))</f>
        <v>-162</v>
      </c>
      <c r="AH255" s="14">
        <f>IF($A255,$M255*(IF(X255=regle!$B$11,regle!$B$23,IF(X255=regle!$C$11,regle!$C$23,IF(X255=regle!$D$11,regle!$D$23,IF(X255=regle!$E$11,regle!$E$23,IF(X255=regle!$F$11,regle!$F$23,IF(X255=regle!$G$11,regle!$G$23,IF(X255=regle!$H$11,regle!$H$23,IF(X255=regle!$I$11,regle!$I$23,IF(X255=regle!$J$11,regle!$J$23,0)))))))))))</f>
        <v>0</v>
      </c>
      <c r="AI255" s="14">
        <f>IF($A255,$M255*(IF(Y255=regle!$B$11,regle!$B$23,IF(Y255=regle!$C$11,regle!$C$23,IF(Y255=regle!$D$11,regle!$D$23,IF(Y255=regle!$E$11,regle!$E$23,IF(Y255=regle!$F$11,regle!$F$23,IF(Y255=regle!$G$11,regle!$G$23,IF(Y255=regle!$H$11,regle!$H$23,IF(Y255=regle!$I$11,regle!$I$23,IF(Y255=regle!$J$11,regle!$J$23,0)))))))))))</f>
        <v>0</v>
      </c>
      <c r="AJ255" s="14">
        <f>IF($A255,$M255*(IF(Z255=regle!$B$11,regle!$B$23,IF(Z255=regle!$C$11,regle!$C$23,IF(Z255=regle!$D$11,regle!$D$23,IF(Z255=regle!$E$11,regle!$E$23,IF(Z255=regle!$F$11,regle!$F$23,IF(Z255=regle!$G$11,regle!$G$23,IF(Z255=regle!$H$11,regle!$H$23,IF(Z255=regle!$I$11,regle!$I$23,IF(Z255=regle!$J$11,regle!$J$23,0)))))))))))</f>
        <v>-194.4</v>
      </c>
      <c r="AK255" s="14">
        <f>IF($A255,$M255*(IF(AA255=regle!$B$11,regle!$B$23,IF(AA255=regle!$C$11,regle!$C$23,IF(AA255=regle!$D$11,regle!$D$23,IF(AA255=regle!$E$11,regle!$E$23,IF(AA255=regle!$F$11,regle!$F$23,IF(AA255=regle!$G$11,regle!$G$23,IF(AA255=regle!$H$11,regle!$H$23,IF(AA255=regle!$I$11,regle!$I$23,IF(AA255=regle!$J$11,regle!$J$23,0)))))))))))</f>
        <v>0</v>
      </c>
      <c r="AL255" s="14">
        <f>IF($A255,$M255*(IF(AB255=regle!$B$11,regle!$B$23,IF(AB255=regle!$C$11,regle!$C$23,IF(AB255=regle!$D$11,regle!$D$23,IF(AB255=regle!$E$11,regle!$E$23,IF(AB255=regle!$F$11,regle!$F$23,IF(AB255=regle!$G$11,regle!$G$23,IF(AB255=regle!$H$11,regle!$H$23,IF(AB255=regle!$I$11,regle!$I$23,IF(AB255=regle!$J$11,regle!$J$23,0)))))))))))</f>
        <v>0</v>
      </c>
      <c r="AM255" s="14">
        <f>IF($A255,$M255*(IF(AC255=regle!$B$11,regle!$B$23,IF(AC255=regle!$C$11,regle!$C$23,IF(AC255=regle!$D$11,regle!$D$23,IF(AC255=regle!$E$11,regle!$E$23,IF(AC255=regle!$F$11,regle!$F$23,IF(AC255=regle!$G$11,regle!$G$23,IF(AC255=regle!$H$11,regle!$H$23,IF(AC255=regle!$I$11,regle!$I$23,IF(AC255=regle!$J$11,regle!$J$23,0)))))))))))</f>
        <v>-194.4</v>
      </c>
      <c r="AN255" s="14">
        <f>IF($A255,$M255*(IF(AD255=regle!$B$11,regle!$B$23,IF(AD255=regle!$C$11,regle!$C$23,IF(AD255=regle!$D$11,regle!$D$23,IF(AD255=regle!$E$11,regle!$E$23,IF(AD255=regle!$F$11,regle!$F$23,IF(AD255=regle!$G$11,regle!$G$23,IF(AD255=regle!$H$11,regle!$H$23,IF(AD255=regle!$I$11,regle!$I$23,IF(AD255=regle!$J$11,regle!$J$23,0)))))))))))</f>
        <v>0</v>
      </c>
      <c r="AO255">
        <f>IF(AO$1=$AO$1,IF(regle!B$2-$Q255&gt;=regle!$J$12,-2,IF($S255,IF(regle!$B$2-$Q255&gt;=2,0,-1),regle!B$2-$Q255)),IF(AN255+1&gt;=regle!$J$12,-2,AN255+1))</f>
        <v>0</v>
      </c>
      <c r="AP255">
        <f>IF(AP$1=$AO$1,IF(regle!C$2-$Q255&gt;=regle!$J$12,-2,IF($S255,IF(regle!$B$2-$Q255&gt;=2,0,-1),regle!C$2-$Q255)),IF(AO255+1&gt;=regle!$J$12,-2,AO255+1))</f>
        <v>1</v>
      </c>
      <c r="AQ255">
        <f>IF(AQ$1=$AO$1,IF(regle!D$2-$Q255&gt;=regle!$J$12,-2,IF($S255,IF(regle!$B$2-$Q255&gt;=2,0,-1),regle!D$2-$Q255)),IF(AP255+1&gt;=regle!$J$12,-2,AP255+1))</f>
        <v>2</v>
      </c>
      <c r="AR255">
        <f>IF(AR$1=$AO$1,IF(regle!E$2-$Q255&gt;=regle!$J$12,-2,IF($S255,IF(regle!$B$2-$Q255&gt;=2,0,-1),regle!E$2-$Q255)),IF(AQ255+1&gt;=regle!$J$12,-2,AQ255+1))</f>
        <v>3</v>
      </c>
      <c r="AS255">
        <f>IF(AS$1=$AO$1,IF(regle!F$2-$Q255&gt;=regle!$J$12,-2,IF($S255,IF(regle!$B$2-$Q255&gt;=2,0,-1),regle!F$2-$Q255)),IF(AR255+1&gt;=regle!$J$12,-2,AR255+1))</f>
        <v>4</v>
      </c>
      <c r="AT255">
        <f>IF(AT$1=$AO$1,IF(regle!G$2-$Q255&gt;=regle!$J$12,-2,IF($S255,IF(regle!$B$2-$Q255&gt;=2,0,-1),regle!G$2-$Q255)),IF(AS255+1&gt;=regle!$J$12,-2,AS255+1))</f>
        <v>5</v>
      </c>
      <c r="AU255">
        <f>IF(AU$1=$AO$1,IF(regle!H$2-$Q255&gt;=regle!$J$12,-2,IF($S255,IF(regle!$B$2-$Q255&gt;=2,0,-1),regle!H$2-$Q255)),IF(AT255+1&gt;=regle!$J$12,-2,AT255+1))</f>
        <v>6</v>
      </c>
      <c r="AV255">
        <f>IF(AV$1=$AO$1,IF(regle!I$2-$Q255&gt;=regle!$J$12,-2,IF($S255,IF(regle!$B$2-$Q255&gt;=2,0,-1),regle!I$2-$Q255)),IF(AU255+1&gt;=regle!$J$12,-2,AU255+1))</f>
        <v>7</v>
      </c>
      <c r="AW255">
        <f>IF(AW$1=$AO$1,IF(regle!J$2-$Q255&gt;=regle!$J$12,-2,IF($S255,IF(regle!$B$2-$Q255&gt;=2,0,-1),regle!J$2-$Q255)),IF(AV255+1&gt;=regle!$J$12,-2,AV255+1))</f>
        <v>8</v>
      </c>
      <c r="AX255">
        <f>IF(AX$1=$AO$1,IF(regle!K$2-$Q255&gt;=regle!$J$12,-2,IF($S255,IF(regle!$B$2-$Q255&gt;=2,0,-1),regle!K$2-$Q255)),IF(AW255+1&gt;=regle!$J$12,-2,AW255+1))</f>
        <v>9</v>
      </c>
    </row>
    <row r="256" spans="1:50" x14ac:dyDescent="0.25">
      <c r="A256" t="b">
        <f>AND(modif0[[#This Row],[cdstr]]&lt;&gt;0,OR(regle!$H$27=FALSE,modif0[[#This Row],[essnc]]="PM"))</f>
        <v>1</v>
      </c>
      <c r="B256">
        <f>ROW(objet!A300)</f>
        <v>300</v>
      </c>
      <c r="C256" s="10" t="str">
        <f>objet!D300</f>
        <v>1710000B0270</v>
      </c>
      <c r="D256" t="str">
        <f>LEFT(modif0[[#This Row],[cdstr]],3)</f>
        <v>171</v>
      </c>
      <c r="E256" s="10" t="str">
        <f>objet!G300</f>
        <v>MANO</v>
      </c>
      <c r="F256">
        <f>LEN(modif0[[#This Row],[l_dt]])</f>
        <v>17</v>
      </c>
      <c r="G256" s="10" t="str">
        <f>objet!H300</f>
        <v>LANDE DE TABARTON</v>
      </c>
      <c r="H256" s="10" t="str">
        <f>objet!C300</f>
        <v>B270</v>
      </c>
      <c r="I256" t="str">
        <f>IF(ISNUMBER(VALUE(RIGHT(LEFT(modif0[[#This Row],[idntfn]],2),1))),_xlfn.CONCAT(0,LEFT(modif0[[#This Row],[idntfn]],1)),LEFT(modif0[[#This Row],[idntfn]],2))</f>
        <v>0B</v>
      </c>
      <c r="J256">
        <f>VALUE(LEFT(RIGHT(modif0[[#This Row],[idntfn]],LEN(modif0[[#This Row],[idntfn]])-IF(LEFT(modif0[[#This Row],[sctn]],1)="0",1,2)),LEN(modif0[[#This Row],[idntfn]])-IF(LEFT(modif0[[#This Row],[sctn]],1)="0",1,2)-LEN(modif0[[#This Row],[lttr]])))</f>
        <v>270</v>
      </c>
      <c r="K256" t="str">
        <f>IF(ISNUMBER(VALUE(RIGHT(modif0[[#This Row],[idntfn]],1))),"",IF(ISNUMBER(VALUE(LEFT(RIGHT(modif0[[#This Row],[idntfn]],2),1))),RIGHT(modif0[[#This Row],[idntfn]],1),RIGHT(modif0[[#This Row],[idntfn]],2)))</f>
        <v/>
      </c>
      <c r="L256" s="10">
        <f>objet!I300</f>
        <v>35100</v>
      </c>
      <c r="M256" s="11">
        <f>modif0[[#This Row],[srfc]]/10000</f>
        <v>3.51</v>
      </c>
      <c r="N256" s="10" t="str">
        <f>objet!Z300</f>
        <v>PM</v>
      </c>
      <c r="O256" s="10" t="str">
        <f>objet!AA300</f>
        <v>CR2022</v>
      </c>
      <c r="P256" t="str">
        <f>IF(ISNUMBER(modif0[[#This Row],[trvx]]),"",LEFT(modif0[[#This Row],[trvx]],LEN(modif0[[#This Row],[trvx]])-4))</f>
        <v>CR</v>
      </c>
      <c r="Q256">
        <f>VALUE(RIGHT(modif0[[#This Row],[trvx]],4))</f>
        <v>2022</v>
      </c>
      <c r="R256" t="str">
        <f>_xlfn.CONCAT(modif0[[#This Row],[tp]],"-",modif0[[#This Row],[essnc]],"_",modif0[[#This Row],[anns]])</f>
        <v>CR-PM_2022</v>
      </c>
      <c r="S256" t="b">
        <f>modif0[[#This Row],[tp]]="CR"</f>
        <v>1</v>
      </c>
      <c r="T256">
        <v>40</v>
      </c>
      <c r="U256" t="str">
        <f>IF(NOT($A256),"",
IF(AO256=-2,regle!$J$11,
IF(AO256=regle!$B$12,regle!$B$11,
IF(AO256=regle!$C$12,regle!$C$11,
IF(AO256=regle!$D$12,regle!$D$11,
IF(AO256=regle!$E$12,regle!$E$11,
IF(AO256=regle!$F$12,regle!$F$11,
IF(AO256=regle!$G$12,regle!$G$11,
IF(AO256=regle!$H$12,regle!$H$11,
IF(AO256=regle!$I$12,regle!$I$11,""))))))))))</f>
        <v>RBST</v>
      </c>
      <c r="V256" t="str">
        <f>IF(NOT($A256),"",
IF(AP256=-2,regle!$J$11,
IF(AP256=regle!$B$12,regle!$B$11,
IF(AP256=regle!$C$12,regle!$C$11,
IF(AP256=regle!$D$12,regle!$D$11,
IF(AP256=regle!$E$12,regle!$E$11,
IF(AP256=regle!$F$12,regle!$F$11,
IF(AP256=regle!$G$12,regle!$G$11,
IF(AP256=regle!$H$12,regle!$H$11,
IF(AP256=regle!$I$12,regle!$I$11,""))))))))))</f>
        <v/>
      </c>
      <c r="W256" t="str">
        <f>IF(NOT($A256),"",
IF(AQ256=-2,regle!$J$11,
IF(AQ256=regle!$B$12,regle!$B$11,
IF(AQ256=regle!$C$12,regle!$C$11,
IF(AQ256=regle!$D$12,regle!$D$11,
IF(AQ256=regle!$E$12,regle!$E$11,
IF(AQ256=regle!$F$12,regle!$F$11,
IF(AQ256=regle!$G$12,regle!$G$11,
IF(AQ256=regle!$H$12,regle!$H$11,
IF(AQ256=regle!$I$12,regle!$I$11,""))))))))))</f>
        <v>DGT</v>
      </c>
      <c r="X256" t="str">
        <f>IF(NOT($A256),"",
IF(AR256=-2,regle!$J$11,
IF(AR256=regle!$B$12,regle!$B$11,
IF(AR256=regle!$C$12,regle!$C$11,
IF(AR256=regle!$D$12,regle!$D$11,
IF(AR256=regle!$E$12,regle!$E$11,
IF(AR256=regle!$F$12,regle!$F$11,
IF(AR256=regle!$G$12,regle!$G$11,
IF(AR256=regle!$H$12,regle!$H$11,
IF(AR256=regle!$I$12,regle!$I$11,""))))))))))</f>
        <v/>
      </c>
      <c r="Y256" t="str">
        <f>IF(NOT($A256),"",
IF(AS256=-2,regle!$J$11,
IF(AS256=regle!$B$12,regle!$B$11,
IF(AS256=regle!$C$12,regle!$C$11,
IF(AS256=regle!$D$12,regle!$D$11,
IF(AS256=regle!$E$12,regle!$E$11,
IF(AS256=regle!$F$12,regle!$F$11,
IF(AS256=regle!$G$12,regle!$G$11,
IF(AS256=regle!$H$12,regle!$H$11,
IF(AS256=regle!$I$12,regle!$I$11,""))))))))))</f>
        <v/>
      </c>
      <c r="Z256" t="str">
        <f>IF(NOT($A256),"",
IF(AT256=-2,regle!$J$11,
IF(AT256=regle!$B$12,regle!$B$11,
IF(AT256=regle!$C$12,regle!$C$11,
IF(AT256=regle!$D$12,regle!$D$11,
IF(AT256=regle!$E$12,regle!$E$11,
IF(AT256=regle!$F$12,regle!$F$11,
IF(AT256=regle!$G$12,regle!$G$11,
IF(AT256=regle!$H$12,regle!$H$11,
IF(AT256=regle!$I$12,regle!$I$11,""))))))))))</f>
        <v>ENT1</v>
      </c>
      <c r="AA256" t="str">
        <f>IF(NOT($A256),"",
IF(AU256=-2,regle!$J$11,
IF(AU256=regle!$B$12,regle!$B$11,
IF(AU256=regle!$C$12,regle!$C$11,
IF(AU256=regle!$D$12,regle!$D$11,
IF(AU256=regle!$E$12,regle!$E$11,
IF(AU256=regle!$F$12,regle!$F$11,
IF(AU256=regle!$G$12,regle!$G$11,
IF(AU256=regle!$H$12,regle!$H$11,
IF(AU256=regle!$I$12,regle!$I$11,""))))))))))</f>
        <v/>
      </c>
      <c r="AB256" t="str">
        <f>IF(NOT($A256),"",
IF(AV256=-2,regle!$J$11,
IF(AV256=regle!$B$12,regle!$B$11,
IF(AV256=regle!$C$12,regle!$C$11,
IF(AV256=regle!$D$12,regle!$D$11,
IF(AV256=regle!$E$12,regle!$E$11,
IF(AV256=regle!$F$12,regle!$F$11,
IF(AV256=regle!$G$12,regle!$G$11,
IF(AV256=regle!$H$12,regle!$H$11,
IF(AV256=regle!$I$12,regle!$I$11,""))))))))))</f>
        <v/>
      </c>
      <c r="AC256" t="str">
        <f>IF(NOT($A256),"",
IF(AW256=-2,regle!$J$11,
IF(AW256=regle!$B$12,regle!$B$11,
IF(AW256=regle!$C$12,regle!$C$11,
IF(AW256=regle!$D$12,regle!$D$11,
IF(AW256=regle!$E$12,regle!$E$11,
IF(AW256=regle!$F$12,regle!$F$11,
IF(AW256=regle!$G$12,regle!$G$11,
IF(AW256=regle!$H$12,regle!$H$11,
IF(AW256=regle!$I$12,regle!$I$11,""))))))))))</f>
        <v>ENT2</v>
      </c>
      <c r="AD256" t="str">
        <f>IF(NOT($A256),"",
IF(AX256=-2,regle!$J$11,
IF(AX256=regle!$B$12,regle!$B$11,
IF(AX256=regle!$C$12,regle!$C$11,
IF(AX256=regle!$D$12,regle!$D$11,
IF(AX256=regle!$E$12,regle!$E$11,
IF(AX256=regle!$F$12,regle!$F$11,
IF(AX256=regle!$G$12,regle!$G$11,
IF(AX256=regle!$H$12,regle!$H$11,
IF(AX256=regle!$I$12,regle!$I$11,""))))))))))</f>
        <v/>
      </c>
      <c r="AE256" s="14">
        <f>IF($A256,$M256*(IF(U256=regle!$B$11,regle!$B$23,IF(U256=regle!$C$11,regle!$C$23,IF(U256=regle!$D$11,regle!$D$23,IF(U256=regle!$E$11,regle!$E$23,IF(U256=regle!$F$11,regle!$F$23,IF(U256=regle!$G$11,regle!$G$23,IF(U256=regle!$H$11,regle!$H$23,IF(U256=regle!$I$11,regle!$I$23,IF(U256=regle!$J$11,regle!$J$23,0)))))))))))</f>
        <v>-5967</v>
      </c>
      <c r="AF256" s="14">
        <f>IF($A256,$M256*(IF(V256=regle!$B$11,regle!$B$23,IF(V256=regle!$C$11,regle!$C$23,IF(V256=regle!$D$11,regle!$D$23,IF(V256=regle!$E$11,regle!$E$23,IF(V256=regle!$F$11,regle!$F$23,IF(V256=regle!$G$11,regle!$G$23,IF(V256=regle!$H$11,regle!$H$23,IF(V256=regle!$I$11,regle!$I$23,IF(V256=regle!$J$11,regle!$J$23,0)))))))))))</f>
        <v>0</v>
      </c>
      <c r="AG256" s="14">
        <f>IF($A256,$M256*(IF(W256=regle!$B$11,regle!$B$23,IF(W256=regle!$C$11,regle!$C$23,IF(W256=regle!$D$11,regle!$D$23,IF(W256=regle!$E$11,regle!$E$23,IF(W256=regle!$F$11,regle!$F$23,IF(W256=regle!$G$11,regle!$G$23,IF(W256=regle!$H$11,regle!$H$23,IF(W256=regle!$I$11,regle!$I$23,IF(W256=regle!$J$11,regle!$J$23,0)))))))))))</f>
        <v>-263.25</v>
      </c>
      <c r="AH256" s="14">
        <f>IF($A256,$M256*(IF(X256=regle!$B$11,regle!$B$23,IF(X256=regle!$C$11,regle!$C$23,IF(X256=regle!$D$11,regle!$D$23,IF(X256=regle!$E$11,regle!$E$23,IF(X256=regle!$F$11,regle!$F$23,IF(X256=regle!$G$11,regle!$G$23,IF(X256=regle!$H$11,regle!$H$23,IF(X256=regle!$I$11,regle!$I$23,IF(X256=regle!$J$11,regle!$J$23,0)))))))))))</f>
        <v>0</v>
      </c>
      <c r="AI256" s="14">
        <f>IF($A256,$M256*(IF(Y256=regle!$B$11,regle!$B$23,IF(Y256=regle!$C$11,regle!$C$23,IF(Y256=regle!$D$11,regle!$D$23,IF(Y256=regle!$E$11,regle!$E$23,IF(Y256=regle!$F$11,regle!$F$23,IF(Y256=regle!$G$11,regle!$G$23,IF(Y256=regle!$H$11,regle!$H$23,IF(Y256=regle!$I$11,regle!$I$23,IF(Y256=regle!$J$11,regle!$J$23,0)))))))))))</f>
        <v>0</v>
      </c>
      <c r="AJ256" s="14">
        <f>IF($A256,$M256*(IF(Z256=regle!$B$11,regle!$B$23,IF(Z256=regle!$C$11,regle!$C$23,IF(Z256=regle!$D$11,regle!$D$23,IF(Z256=regle!$E$11,regle!$E$23,IF(Z256=regle!$F$11,regle!$F$23,IF(Z256=regle!$G$11,regle!$G$23,IF(Z256=regle!$H$11,regle!$H$23,IF(Z256=regle!$I$11,regle!$I$23,IF(Z256=regle!$J$11,regle!$J$23,0)))))))))))</f>
        <v>-315.89999999999998</v>
      </c>
      <c r="AK256" s="14">
        <f>IF($A256,$M256*(IF(AA256=regle!$B$11,regle!$B$23,IF(AA256=regle!$C$11,regle!$C$23,IF(AA256=regle!$D$11,regle!$D$23,IF(AA256=regle!$E$11,regle!$E$23,IF(AA256=regle!$F$11,regle!$F$23,IF(AA256=regle!$G$11,regle!$G$23,IF(AA256=regle!$H$11,regle!$H$23,IF(AA256=regle!$I$11,regle!$I$23,IF(AA256=regle!$J$11,regle!$J$23,0)))))))))))</f>
        <v>0</v>
      </c>
      <c r="AL256" s="14">
        <f>IF($A256,$M256*(IF(AB256=regle!$B$11,regle!$B$23,IF(AB256=regle!$C$11,regle!$C$23,IF(AB256=regle!$D$11,regle!$D$23,IF(AB256=regle!$E$11,regle!$E$23,IF(AB256=regle!$F$11,regle!$F$23,IF(AB256=regle!$G$11,regle!$G$23,IF(AB256=regle!$H$11,regle!$H$23,IF(AB256=regle!$I$11,regle!$I$23,IF(AB256=regle!$J$11,regle!$J$23,0)))))))))))</f>
        <v>0</v>
      </c>
      <c r="AM256" s="14">
        <f>IF($A256,$M256*(IF(AC256=regle!$B$11,regle!$B$23,IF(AC256=regle!$C$11,regle!$C$23,IF(AC256=regle!$D$11,regle!$D$23,IF(AC256=regle!$E$11,regle!$E$23,IF(AC256=regle!$F$11,regle!$F$23,IF(AC256=regle!$G$11,regle!$G$23,IF(AC256=regle!$H$11,regle!$H$23,IF(AC256=regle!$I$11,regle!$I$23,IF(AC256=regle!$J$11,regle!$J$23,0)))))))))))</f>
        <v>-315.89999999999998</v>
      </c>
      <c r="AN256" s="14">
        <f>IF($A256,$M256*(IF(AD256=regle!$B$11,regle!$B$23,IF(AD256=regle!$C$11,regle!$C$23,IF(AD256=regle!$D$11,regle!$D$23,IF(AD256=regle!$E$11,regle!$E$23,IF(AD256=regle!$F$11,regle!$F$23,IF(AD256=regle!$G$11,regle!$G$23,IF(AD256=regle!$H$11,regle!$H$23,IF(AD256=regle!$I$11,regle!$I$23,IF(AD256=regle!$J$11,regle!$J$23,0)))))))))))</f>
        <v>0</v>
      </c>
      <c r="AO256">
        <f>IF(AO$1=$AO$1,IF(regle!B$2-$Q256&gt;=regle!$J$12,-2,IF($S256,IF(regle!$B$2-$Q256&gt;=2,0,-1),regle!B$2-$Q256)),IF(AN256+1&gt;=regle!$J$12,-2,AN256+1))</f>
        <v>0</v>
      </c>
      <c r="AP256">
        <f>IF(AP$1=$AO$1,IF(regle!C$2-$Q256&gt;=regle!$J$12,-2,IF($S256,IF(regle!$B$2-$Q256&gt;=2,0,-1),regle!C$2-$Q256)),IF(AO256+1&gt;=regle!$J$12,-2,AO256+1))</f>
        <v>1</v>
      </c>
      <c r="AQ256">
        <f>IF(AQ$1=$AO$1,IF(regle!D$2-$Q256&gt;=regle!$J$12,-2,IF($S256,IF(regle!$B$2-$Q256&gt;=2,0,-1),regle!D$2-$Q256)),IF(AP256+1&gt;=regle!$J$12,-2,AP256+1))</f>
        <v>2</v>
      </c>
      <c r="AR256">
        <f>IF(AR$1=$AO$1,IF(regle!E$2-$Q256&gt;=regle!$J$12,-2,IF($S256,IF(regle!$B$2-$Q256&gt;=2,0,-1),regle!E$2-$Q256)),IF(AQ256+1&gt;=regle!$J$12,-2,AQ256+1))</f>
        <v>3</v>
      </c>
      <c r="AS256">
        <f>IF(AS$1=$AO$1,IF(regle!F$2-$Q256&gt;=regle!$J$12,-2,IF($S256,IF(regle!$B$2-$Q256&gt;=2,0,-1),regle!F$2-$Q256)),IF(AR256+1&gt;=regle!$J$12,-2,AR256+1))</f>
        <v>4</v>
      </c>
      <c r="AT256">
        <f>IF(AT$1=$AO$1,IF(regle!G$2-$Q256&gt;=regle!$J$12,-2,IF($S256,IF(regle!$B$2-$Q256&gt;=2,0,-1),regle!G$2-$Q256)),IF(AS256+1&gt;=regle!$J$12,-2,AS256+1))</f>
        <v>5</v>
      </c>
      <c r="AU256">
        <f>IF(AU$1=$AO$1,IF(regle!H$2-$Q256&gt;=regle!$J$12,-2,IF($S256,IF(regle!$B$2-$Q256&gt;=2,0,-1),regle!H$2-$Q256)),IF(AT256+1&gt;=regle!$J$12,-2,AT256+1))</f>
        <v>6</v>
      </c>
      <c r="AV256">
        <f>IF(AV$1=$AO$1,IF(regle!I$2-$Q256&gt;=regle!$J$12,-2,IF($S256,IF(regle!$B$2-$Q256&gt;=2,0,-1),regle!I$2-$Q256)),IF(AU256+1&gt;=regle!$J$12,-2,AU256+1))</f>
        <v>7</v>
      </c>
      <c r="AW256">
        <f>IF(AW$1=$AO$1,IF(regle!J$2-$Q256&gt;=regle!$J$12,-2,IF($S256,IF(regle!$B$2-$Q256&gt;=2,0,-1),regle!J$2-$Q256)),IF(AV256+1&gt;=regle!$J$12,-2,AV256+1))</f>
        <v>8</v>
      </c>
      <c r="AX256">
        <f>IF(AX$1=$AO$1,IF(regle!K$2-$Q256&gt;=regle!$J$12,-2,IF($S256,IF(regle!$B$2-$Q256&gt;=2,0,-1),regle!K$2-$Q256)),IF(AW256+1&gt;=regle!$J$12,-2,AW256+1))</f>
        <v>9</v>
      </c>
    </row>
    <row r="257" spans="1:50" x14ac:dyDescent="0.25">
      <c r="A257" t="b">
        <f>AND(modif0[[#This Row],[cdstr]]&lt;&gt;0,OR(regle!$H$27=FALSE,modif0[[#This Row],[essnc]]="PM"))</f>
        <v>1</v>
      </c>
      <c r="B257">
        <f>ROW(objet!A301)</f>
        <v>301</v>
      </c>
      <c r="C257" s="10" t="str">
        <f>objet!D301</f>
        <v>1710000B0271</v>
      </c>
      <c r="D257" t="str">
        <f>LEFT(modif0[[#This Row],[cdstr]],3)</f>
        <v>171</v>
      </c>
      <c r="E257" s="10" t="str">
        <f>objet!G301</f>
        <v>MANO</v>
      </c>
      <c r="F257">
        <f>LEN(modif0[[#This Row],[l_dt]])</f>
        <v>17</v>
      </c>
      <c r="G257" s="10" t="str">
        <f>objet!H301</f>
        <v>LANDE DE TABARTON</v>
      </c>
      <c r="H257" s="10" t="str">
        <f>objet!C301</f>
        <v>B271</v>
      </c>
      <c r="I257" t="str">
        <f>IF(ISNUMBER(VALUE(RIGHT(LEFT(modif0[[#This Row],[idntfn]],2),1))),_xlfn.CONCAT(0,LEFT(modif0[[#This Row],[idntfn]],1)),LEFT(modif0[[#This Row],[idntfn]],2))</f>
        <v>0B</v>
      </c>
      <c r="J257">
        <f>VALUE(LEFT(RIGHT(modif0[[#This Row],[idntfn]],LEN(modif0[[#This Row],[idntfn]])-IF(LEFT(modif0[[#This Row],[sctn]],1)="0",1,2)),LEN(modif0[[#This Row],[idntfn]])-IF(LEFT(modif0[[#This Row],[sctn]],1)="0",1,2)-LEN(modif0[[#This Row],[lttr]])))</f>
        <v>271</v>
      </c>
      <c r="K257" t="str">
        <f>IF(ISNUMBER(VALUE(RIGHT(modif0[[#This Row],[idntfn]],1))),"",IF(ISNUMBER(VALUE(LEFT(RIGHT(modif0[[#This Row],[idntfn]],2),1))),RIGHT(modif0[[#This Row],[idntfn]],1),RIGHT(modif0[[#This Row],[idntfn]],2)))</f>
        <v/>
      </c>
      <c r="L257" s="10">
        <f>objet!I301</f>
        <v>20000</v>
      </c>
      <c r="M257" s="11">
        <f>modif0[[#This Row],[srfc]]/10000</f>
        <v>2</v>
      </c>
      <c r="N257" s="10" t="str">
        <f>objet!Z301</f>
        <v>PM</v>
      </c>
      <c r="O257" s="10" t="str">
        <f>objet!AA301</f>
        <v>CR2022</v>
      </c>
      <c r="P257" t="str">
        <f>IF(ISNUMBER(modif0[[#This Row],[trvx]]),"",LEFT(modif0[[#This Row],[trvx]],LEN(modif0[[#This Row],[trvx]])-4))</f>
        <v>CR</v>
      </c>
      <c r="Q257">
        <f>VALUE(RIGHT(modif0[[#This Row],[trvx]],4))</f>
        <v>2022</v>
      </c>
      <c r="R257" t="str">
        <f>_xlfn.CONCAT(modif0[[#This Row],[tp]],"-",modif0[[#This Row],[essnc]],"_",modif0[[#This Row],[anns]])</f>
        <v>CR-PM_2022</v>
      </c>
      <c r="S257" t="b">
        <f>modif0[[#This Row],[tp]]="CR"</f>
        <v>1</v>
      </c>
      <c r="T257">
        <v>40</v>
      </c>
      <c r="U257" t="str">
        <f>IF(NOT($A257),"",
IF(AO257=-2,regle!$J$11,
IF(AO257=regle!$B$12,regle!$B$11,
IF(AO257=regle!$C$12,regle!$C$11,
IF(AO257=regle!$D$12,regle!$D$11,
IF(AO257=regle!$E$12,regle!$E$11,
IF(AO257=regle!$F$12,regle!$F$11,
IF(AO257=regle!$G$12,regle!$G$11,
IF(AO257=regle!$H$12,regle!$H$11,
IF(AO257=regle!$I$12,regle!$I$11,""))))))))))</f>
        <v>RBST</v>
      </c>
      <c r="V257" t="str">
        <f>IF(NOT($A257),"",
IF(AP257=-2,regle!$J$11,
IF(AP257=regle!$B$12,regle!$B$11,
IF(AP257=regle!$C$12,regle!$C$11,
IF(AP257=regle!$D$12,regle!$D$11,
IF(AP257=regle!$E$12,regle!$E$11,
IF(AP257=regle!$F$12,regle!$F$11,
IF(AP257=regle!$G$12,regle!$G$11,
IF(AP257=regle!$H$12,regle!$H$11,
IF(AP257=regle!$I$12,regle!$I$11,""))))))))))</f>
        <v/>
      </c>
      <c r="W257" t="str">
        <f>IF(NOT($A257),"",
IF(AQ257=-2,regle!$J$11,
IF(AQ257=regle!$B$12,regle!$B$11,
IF(AQ257=regle!$C$12,regle!$C$11,
IF(AQ257=regle!$D$12,regle!$D$11,
IF(AQ257=regle!$E$12,regle!$E$11,
IF(AQ257=regle!$F$12,regle!$F$11,
IF(AQ257=regle!$G$12,regle!$G$11,
IF(AQ257=regle!$H$12,regle!$H$11,
IF(AQ257=regle!$I$12,regle!$I$11,""))))))))))</f>
        <v>DGT</v>
      </c>
      <c r="X257" t="str">
        <f>IF(NOT($A257),"",
IF(AR257=-2,regle!$J$11,
IF(AR257=regle!$B$12,regle!$B$11,
IF(AR257=regle!$C$12,regle!$C$11,
IF(AR257=regle!$D$12,regle!$D$11,
IF(AR257=regle!$E$12,regle!$E$11,
IF(AR257=regle!$F$12,regle!$F$11,
IF(AR257=regle!$G$12,regle!$G$11,
IF(AR257=regle!$H$12,regle!$H$11,
IF(AR257=regle!$I$12,regle!$I$11,""))))))))))</f>
        <v/>
      </c>
      <c r="Y257" t="str">
        <f>IF(NOT($A257),"",
IF(AS257=-2,regle!$J$11,
IF(AS257=regle!$B$12,regle!$B$11,
IF(AS257=regle!$C$12,regle!$C$11,
IF(AS257=regle!$D$12,regle!$D$11,
IF(AS257=regle!$E$12,regle!$E$11,
IF(AS257=regle!$F$12,regle!$F$11,
IF(AS257=regle!$G$12,regle!$G$11,
IF(AS257=regle!$H$12,regle!$H$11,
IF(AS257=regle!$I$12,regle!$I$11,""))))))))))</f>
        <v/>
      </c>
      <c r="Z257" t="str">
        <f>IF(NOT($A257),"",
IF(AT257=-2,regle!$J$11,
IF(AT257=regle!$B$12,regle!$B$11,
IF(AT257=regle!$C$12,regle!$C$11,
IF(AT257=regle!$D$12,regle!$D$11,
IF(AT257=regle!$E$12,regle!$E$11,
IF(AT257=regle!$F$12,regle!$F$11,
IF(AT257=regle!$G$12,regle!$G$11,
IF(AT257=regle!$H$12,regle!$H$11,
IF(AT257=regle!$I$12,regle!$I$11,""))))))))))</f>
        <v>ENT1</v>
      </c>
      <c r="AA257" t="str">
        <f>IF(NOT($A257),"",
IF(AU257=-2,regle!$J$11,
IF(AU257=regle!$B$12,regle!$B$11,
IF(AU257=regle!$C$12,regle!$C$11,
IF(AU257=regle!$D$12,regle!$D$11,
IF(AU257=regle!$E$12,regle!$E$11,
IF(AU257=regle!$F$12,regle!$F$11,
IF(AU257=regle!$G$12,regle!$G$11,
IF(AU257=regle!$H$12,regle!$H$11,
IF(AU257=regle!$I$12,regle!$I$11,""))))))))))</f>
        <v/>
      </c>
      <c r="AB257" t="str">
        <f>IF(NOT($A257),"",
IF(AV257=-2,regle!$J$11,
IF(AV257=regle!$B$12,regle!$B$11,
IF(AV257=regle!$C$12,regle!$C$11,
IF(AV257=regle!$D$12,regle!$D$11,
IF(AV257=regle!$E$12,regle!$E$11,
IF(AV257=regle!$F$12,regle!$F$11,
IF(AV257=regle!$G$12,regle!$G$11,
IF(AV257=regle!$H$12,regle!$H$11,
IF(AV257=regle!$I$12,regle!$I$11,""))))))))))</f>
        <v/>
      </c>
      <c r="AC257" t="str">
        <f>IF(NOT($A257),"",
IF(AW257=-2,regle!$J$11,
IF(AW257=regle!$B$12,regle!$B$11,
IF(AW257=regle!$C$12,regle!$C$11,
IF(AW257=regle!$D$12,regle!$D$11,
IF(AW257=regle!$E$12,regle!$E$11,
IF(AW257=regle!$F$12,regle!$F$11,
IF(AW257=regle!$G$12,regle!$G$11,
IF(AW257=regle!$H$12,regle!$H$11,
IF(AW257=regle!$I$12,regle!$I$11,""))))))))))</f>
        <v>ENT2</v>
      </c>
      <c r="AD257" t="str">
        <f>IF(NOT($A257),"",
IF(AX257=-2,regle!$J$11,
IF(AX257=regle!$B$12,regle!$B$11,
IF(AX257=regle!$C$12,regle!$C$11,
IF(AX257=regle!$D$12,regle!$D$11,
IF(AX257=regle!$E$12,regle!$E$11,
IF(AX257=regle!$F$12,regle!$F$11,
IF(AX257=regle!$G$12,regle!$G$11,
IF(AX257=regle!$H$12,regle!$H$11,
IF(AX257=regle!$I$12,regle!$I$11,""))))))))))</f>
        <v/>
      </c>
      <c r="AE257" s="14">
        <f>IF($A257,$M257*(IF(U257=regle!$B$11,regle!$B$23,IF(U257=regle!$C$11,regle!$C$23,IF(U257=regle!$D$11,regle!$D$23,IF(U257=regle!$E$11,regle!$E$23,IF(U257=regle!$F$11,regle!$F$23,IF(U257=regle!$G$11,regle!$G$23,IF(U257=regle!$H$11,regle!$H$23,IF(U257=regle!$I$11,regle!$I$23,IF(U257=regle!$J$11,regle!$J$23,0)))))))))))</f>
        <v>-3400</v>
      </c>
      <c r="AF257" s="14">
        <f>IF($A257,$M257*(IF(V257=regle!$B$11,regle!$B$23,IF(V257=regle!$C$11,regle!$C$23,IF(V257=regle!$D$11,regle!$D$23,IF(V257=regle!$E$11,regle!$E$23,IF(V257=regle!$F$11,regle!$F$23,IF(V257=regle!$G$11,regle!$G$23,IF(V257=regle!$H$11,regle!$H$23,IF(V257=regle!$I$11,regle!$I$23,IF(V257=regle!$J$11,regle!$J$23,0)))))))))))</f>
        <v>0</v>
      </c>
      <c r="AG257" s="14">
        <f>IF($A257,$M257*(IF(W257=regle!$B$11,regle!$B$23,IF(W257=regle!$C$11,regle!$C$23,IF(W257=regle!$D$11,regle!$D$23,IF(W257=regle!$E$11,regle!$E$23,IF(W257=regle!$F$11,regle!$F$23,IF(W257=regle!$G$11,regle!$G$23,IF(W257=regle!$H$11,regle!$H$23,IF(W257=regle!$I$11,regle!$I$23,IF(W257=regle!$J$11,regle!$J$23,0)))))))))))</f>
        <v>-150</v>
      </c>
      <c r="AH257" s="14">
        <f>IF($A257,$M257*(IF(X257=regle!$B$11,regle!$B$23,IF(X257=regle!$C$11,regle!$C$23,IF(X257=regle!$D$11,regle!$D$23,IF(X257=regle!$E$11,regle!$E$23,IF(X257=regle!$F$11,regle!$F$23,IF(X257=regle!$G$11,regle!$G$23,IF(X257=regle!$H$11,regle!$H$23,IF(X257=regle!$I$11,regle!$I$23,IF(X257=regle!$J$11,regle!$J$23,0)))))))))))</f>
        <v>0</v>
      </c>
      <c r="AI257" s="14">
        <f>IF($A257,$M257*(IF(Y257=regle!$B$11,regle!$B$23,IF(Y257=regle!$C$11,regle!$C$23,IF(Y257=regle!$D$11,regle!$D$23,IF(Y257=regle!$E$11,regle!$E$23,IF(Y257=regle!$F$11,regle!$F$23,IF(Y257=regle!$G$11,regle!$G$23,IF(Y257=regle!$H$11,regle!$H$23,IF(Y257=regle!$I$11,regle!$I$23,IF(Y257=regle!$J$11,regle!$J$23,0)))))))))))</f>
        <v>0</v>
      </c>
      <c r="AJ257" s="14">
        <f>IF($A257,$M257*(IF(Z257=regle!$B$11,regle!$B$23,IF(Z257=regle!$C$11,regle!$C$23,IF(Z257=regle!$D$11,regle!$D$23,IF(Z257=regle!$E$11,regle!$E$23,IF(Z257=regle!$F$11,regle!$F$23,IF(Z257=regle!$G$11,regle!$G$23,IF(Z257=regle!$H$11,regle!$H$23,IF(Z257=regle!$I$11,regle!$I$23,IF(Z257=regle!$J$11,regle!$J$23,0)))))))))))</f>
        <v>-180</v>
      </c>
      <c r="AK257" s="14">
        <f>IF($A257,$M257*(IF(AA257=regle!$B$11,regle!$B$23,IF(AA257=regle!$C$11,regle!$C$23,IF(AA257=regle!$D$11,regle!$D$23,IF(AA257=regle!$E$11,regle!$E$23,IF(AA257=regle!$F$11,regle!$F$23,IF(AA257=regle!$G$11,regle!$G$23,IF(AA257=regle!$H$11,regle!$H$23,IF(AA257=regle!$I$11,regle!$I$23,IF(AA257=regle!$J$11,regle!$J$23,0)))))))))))</f>
        <v>0</v>
      </c>
      <c r="AL257" s="14">
        <f>IF($A257,$M257*(IF(AB257=regle!$B$11,regle!$B$23,IF(AB257=regle!$C$11,regle!$C$23,IF(AB257=regle!$D$11,regle!$D$23,IF(AB257=regle!$E$11,regle!$E$23,IF(AB257=regle!$F$11,regle!$F$23,IF(AB257=regle!$G$11,regle!$G$23,IF(AB257=regle!$H$11,regle!$H$23,IF(AB257=regle!$I$11,regle!$I$23,IF(AB257=regle!$J$11,regle!$J$23,0)))))))))))</f>
        <v>0</v>
      </c>
      <c r="AM257" s="14">
        <f>IF($A257,$M257*(IF(AC257=regle!$B$11,regle!$B$23,IF(AC257=regle!$C$11,regle!$C$23,IF(AC257=regle!$D$11,regle!$D$23,IF(AC257=regle!$E$11,regle!$E$23,IF(AC257=regle!$F$11,regle!$F$23,IF(AC257=regle!$G$11,regle!$G$23,IF(AC257=regle!$H$11,regle!$H$23,IF(AC257=regle!$I$11,regle!$I$23,IF(AC257=regle!$J$11,regle!$J$23,0)))))))))))</f>
        <v>-180</v>
      </c>
      <c r="AN257" s="14">
        <f>IF($A257,$M257*(IF(AD257=regle!$B$11,regle!$B$23,IF(AD257=regle!$C$11,regle!$C$23,IF(AD257=regle!$D$11,regle!$D$23,IF(AD257=regle!$E$11,regle!$E$23,IF(AD257=regle!$F$11,regle!$F$23,IF(AD257=regle!$G$11,regle!$G$23,IF(AD257=regle!$H$11,regle!$H$23,IF(AD257=regle!$I$11,regle!$I$23,IF(AD257=regle!$J$11,regle!$J$23,0)))))))))))</f>
        <v>0</v>
      </c>
      <c r="AO257">
        <f>IF(AO$1=$AO$1,IF(regle!B$2-$Q257&gt;=regle!$J$12,-2,IF($S257,IF(regle!$B$2-$Q257&gt;=2,0,-1),regle!B$2-$Q257)),IF(AN257+1&gt;=regle!$J$12,-2,AN257+1))</f>
        <v>0</v>
      </c>
      <c r="AP257">
        <f>IF(AP$1=$AO$1,IF(regle!C$2-$Q257&gt;=regle!$J$12,-2,IF($S257,IF(regle!$B$2-$Q257&gt;=2,0,-1),regle!C$2-$Q257)),IF(AO257+1&gt;=regle!$J$12,-2,AO257+1))</f>
        <v>1</v>
      </c>
      <c r="AQ257">
        <f>IF(AQ$1=$AO$1,IF(regle!D$2-$Q257&gt;=regle!$J$12,-2,IF($S257,IF(regle!$B$2-$Q257&gt;=2,0,-1),regle!D$2-$Q257)),IF(AP257+1&gt;=regle!$J$12,-2,AP257+1))</f>
        <v>2</v>
      </c>
      <c r="AR257">
        <f>IF(AR$1=$AO$1,IF(regle!E$2-$Q257&gt;=regle!$J$12,-2,IF($S257,IF(regle!$B$2-$Q257&gt;=2,0,-1),regle!E$2-$Q257)),IF(AQ257+1&gt;=regle!$J$12,-2,AQ257+1))</f>
        <v>3</v>
      </c>
      <c r="AS257">
        <f>IF(AS$1=$AO$1,IF(regle!F$2-$Q257&gt;=regle!$J$12,-2,IF($S257,IF(regle!$B$2-$Q257&gt;=2,0,-1),regle!F$2-$Q257)),IF(AR257+1&gt;=regle!$J$12,-2,AR257+1))</f>
        <v>4</v>
      </c>
      <c r="AT257">
        <f>IF(AT$1=$AO$1,IF(regle!G$2-$Q257&gt;=regle!$J$12,-2,IF($S257,IF(regle!$B$2-$Q257&gt;=2,0,-1),regle!G$2-$Q257)),IF(AS257+1&gt;=regle!$J$12,-2,AS257+1))</f>
        <v>5</v>
      </c>
      <c r="AU257">
        <f>IF(AU$1=$AO$1,IF(regle!H$2-$Q257&gt;=regle!$J$12,-2,IF($S257,IF(regle!$B$2-$Q257&gt;=2,0,-1),regle!H$2-$Q257)),IF(AT257+1&gt;=regle!$J$12,-2,AT257+1))</f>
        <v>6</v>
      </c>
      <c r="AV257">
        <f>IF(AV$1=$AO$1,IF(regle!I$2-$Q257&gt;=regle!$J$12,-2,IF($S257,IF(regle!$B$2-$Q257&gt;=2,0,-1),regle!I$2-$Q257)),IF(AU257+1&gt;=regle!$J$12,-2,AU257+1))</f>
        <v>7</v>
      </c>
      <c r="AW257">
        <f>IF(AW$1=$AO$1,IF(regle!J$2-$Q257&gt;=regle!$J$12,-2,IF($S257,IF(regle!$B$2-$Q257&gt;=2,0,-1),regle!J$2-$Q257)),IF(AV257+1&gt;=regle!$J$12,-2,AV257+1))</f>
        <v>8</v>
      </c>
      <c r="AX257">
        <f>IF(AX$1=$AO$1,IF(regle!K$2-$Q257&gt;=regle!$J$12,-2,IF($S257,IF(regle!$B$2-$Q257&gt;=2,0,-1),regle!K$2-$Q257)),IF(AW257+1&gt;=regle!$J$12,-2,AW257+1))</f>
        <v>9</v>
      </c>
    </row>
    <row r="258" spans="1:50" x14ac:dyDescent="0.25">
      <c r="A258" t="b">
        <f>AND(modif0[[#This Row],[cdstr]]&lt;&gt;0,OR(regle!$H$27=FALSE,modif0[[#This Row],[essnc]]="PM"))</f>
        <v>1</v>
      </c>
      <c r="B258">
        <f>ROW(objet!A302)</f>
        <v>302</v>
      </c>
      <c r="C258" s="10" t="str">
        <f>objet!D302</f>
        <v>1710000B0272</v>
      </c>
      <c r="D258" t="str">
        <f>LEFT(modif0[[#This Row],[cdstr]],3)</f>
        <v>171</v>
      </c>
      <c r="E258" s="10" t="str">
        <f>objet!G302</f>
        <v>MANO</v>
      </c>
      <c r="F258">
        <f>LEN(modif0[[#This Row],[l_dt]])</f>
        <v>17</v>
      </c>
      <c r="G258" s="10" t="str">
        <f>objet!H302</f>
        <v>LANDE DE TABARTON</v>
      </c>
      <c r="H258" s="10" t="str">
        <f>objet!C302</f>
        <v>B272</v>
      </c>
      <c r="I258" t="str">
        <f>IF(ISNUMBER(VALUE(RIGHT(LEFT(modif0[[#This Row],[idntfn]],2),1))),_xlfn.CONCAT(0,LEFT(modif0[[#This Row],[idntfn]],1)),LEFT(modif0[[#This Row],[idntfn]],2))</f>
        <v>0B</v>
      </c>
      <c r="J258">
        <f>VALUE(LEFT(RIGHT(modif0[[#This Row],[idntfn]],LEN(modif0[[#This Row],[idntfn]])-IF(LEFT(modif0[[#This Row],[sctn]],1)="0",1,2)),LEN(modif0[[#This Row],[idntfn]])-IF(LEFT(modif0[[#This Row],[sctn]],1)="0",1,2)-LEN(modif0[[#This Row],[lttr]])))</f>
        <v>272</v>
      </c>
      <c r="K258" t="str">
        <f>IF(ISNUMBER(VALUE(RIGHT(modif0[[#This Row],[idntfn]],1))),"",IF(ISNUMBER(VALUE(LEFT(RIGHT(modif0[[#This Row],[idntfn]],2),1))),RIGHT(modif0[[#This Row],[idntfn]],1),RIGHT(modif0[[#This Row],[idntfn]],2)))</f>
        <v/>
      </c>
      <c r="L258" s="10">
        <f>objet!I302</f>
        <v>13550</v>
      </c>
      <c r="M258" s="11">
        <f>modif0[[#This Row],[srfc]]/10000</f>
        <v>1.355</v>
      </c>
      <c r="N258" s="10" t="str">
        <f>objet!Z302</f>
        <v>PM</v>
      </c>
      <c r="O258" s="10" t="str">
        <f>objet!AA302</f>
        <v>CR2022</v>
      </c>
      <c r="P258" t="str">
        <f>IF(ISNUMBER(modif0[[#This Row],[trvx]]),"",LEFT(modif0[[#This Row],[trvx]],LEN(modif0[[#This Row],[trvx]])-4))</f>
        <v>CR</v>
      </c>
      <c r="Q258">
        <f>VALUE(RIGHT(modif0[[#This Row],[trvx]],4))</f>
        <v>2022</v>
      </c>
      <c r="R258" t="str">
        <f>_xlfn.CONCAT(modif0[[#This Row],[tp]],"-",modif0[[#This Row],[essnc]],"_",modif0[[#This Row],[anns]])</f>
        <v>CR-PM_2022</v>
      </c>
      <c r="S258" t="b">
        <f>modif0[[#This Row],[tp]]="CR"</f>
        <v>1</v>
      </c>
      <c r="T258">
        <v>40</v>
      </c>
      <c r="U258" t="str">
        <f>IF(NOT($A258),"",
IF(AO258=-2,regle!$J$11,
IF(AO258=regle!$B$12,regle!$B$11,
IF(AO258=regle!$C$12,regle!$C$11,
IF(AO258=regle!$D$12,regle!$D$11,
IF(AO258=regle!$E$12,regle!$E$11,
IF(AO258=regle!$F$12,regle!$F$11,
IF(AO258=regle!$G$12,regle!$G$11,
IF(AO258=regle!$H$12,regle!$H$11,
IF(AO258=regle!$I$12,regle!$I$11,""))))))))))</f>
        <v>RBST</v>
      </c>
      <c r="V258" t="str">
        <f>IF(NOT($A258),"",
IF(AP258=-2,regle!$J$11,
IF(AP258=regle!$B$12,regle!$B$11,
IF(AP258=regle!$C$12,regle!$C$11,
IF(AP258=regle!$D$12,regle!$D$11,
IF(AP258=regle!$E$12,regle!$E$11,
IF(AP258=regle!$F$12,regle!$F$11,
IF(AP258=regle!$G$12,regle!$G$11,
IF(AP258=regle!$H$12,regle!$H$11,
IF(AP258=regle!$I$12,regle!$I$11,""))))))))))</f>
        <v/>
      </c>
      <c r="W258" t="str">
        <f>IF(NOT($A258),"",
IF(AQ258=-2,regle!$J$11,
IF(AQ258=regle!$B$12,regle!$B$11,
IF(AQ258=regle!$C$12,regle!$C$11,
IF(AQ258=regle!$D$12,regle!$D$11,
IF(AQ258=regle!$E$12,regle!$E$11,
IF(AQ258=regle!$F$12,regle!$F$11,
IF(AQ258=regle!$G$12,regle!$G$11,
IF(AQ258=regle!$H$12,regle!$H$11,
IF(AQ258=regle!$I$12,regle!$I$11,""))))))))))</f>
        <v>DGT</v>
      </c>
      <c r="X258" t="str">
        <f>IF(NOT($A258),"",
IF(AR258=-2,regle!$J$11,
IF(AR258=regle!$B$12,regle!$B$11,
IF(AR258=regle!$C$12,regle!$C$11,
IF(AR258=regle!$D$12,regle!$D$11,
IF(AR258=regle!$E$12,regle!$E$11,
IF(AR258=regle!$F$12,regle!$F$11,
IF(AR258=regle!$G$12,regle!$G$11,
IF(AR258=regle!$H$12,regle!$H$11,
IF(AR258=regle!$I$12,regle!$I$11,""))))))))))</f>
        <v/>
      </c>
      <c r="Y258" t="str">
        <f>IF(NOT($A258),"",
IF(AS258=-2,regle!$J$11,
IF(AS258=regle!$B$12,regle!$B$11,
IF(AS258=regle!$C$12,regle!$C$11,
IF(AS258=regle!$D$12,regle!$D$11,
IF(AS258=regle!$E$12,regle!$E$11,
IF(AS258=regle!$F$12,regle!$F$11,
IF(AS258=regle!$G$12,regle!$G$11,
IF(AS258=regle!$H$12,regle!$H$11,
IF(AS258=regle!$I$12,regle!$I$11,""))))))))))</f>
        <v/>
      </c>
      <c r="Z258" t="str">
        <f>IF(NOT($A258),"",
IF(AT258=-2,regle!$J$11,
IF(AT258=regle!$B$12,regle!$B$11,
IF(AT258=regle!$C$12,regle!$C$11,
IF(AT258=regle!$D$12,regle!$D$11,
IF(AT258=regle!$E$12,regle!$E$11,
IF(AT258=regle!$F$12,regle!$F$11,
IF(AT258=regle!$G$12,regle!$G$11,
IF(AT258=regle!$H$12,regle!$H$11,
IF(AT258=regle!$I$12,regle!$I$11,""))))))))))</f>
        <v>ENT1</v>
      </c>
      <c r="AA258" t="str">
        <f>IF(NOT($A258),"",
IF(AU258=-2,regle!$J$11,
IF(AU258=regle!$B$12,regle!$B$11,
IF(AU258=regle!$C$12,regle!$C$11,
IF(AU258=regle!$D$12,regle!$D$11,
IF(AU258=regle!$E$12,regle!$E$11,
IF(AU258=regle!$F$12,regle!$F$11,
IF(AU258=regle!$G$12,regle!$G$11,
IF(AU258=regle!$H$12,regle!$H$11,
IF(AU258=regle!$I$12,regle!$I$11,""))))))))))</f>
        <v/>
      </c>
      <c r="AB258" t="str">
        <f>IF(NOT($A258),"",
IF(AV258=-2,regle!$J$11,
IF(AV258=regle!$B$12,regle!$B$11,
IF(AV258=regle!$C$12,regle!$C$11,
IF(AV258=regle!$D$12,regle!$D$11,
IF(AV258=regle!$E$12,regle!$E$11,
IF(AV258=regle!$F$12,regle!$F$11,
IF(AV258=regle!$G$12,regle!$G$11,
IF(AV258=regle!$H$12,regle!$H$11,
IF(AV258=regle!$I$12,regle!$I$11,""))))))))))</f>
        <v/>
      </c>
      <c r="AC258" t="str">
        <f>IF(NOT($A258),"",
IF(AW258=-2,regle!$J$11,
IF(AW258=regle!$B$12,regle!$B$11,
IF(AW258=regle!$C$12,regle!$C$11,
IF(AW258=regle!$D$12,regle!$D$11,
IF(AW258=regle!$E$12,regle!$E$11,
IF(AW258=regle!$F$12,regle!$F$11,
IF(AW258=regle!$G$12,regle!$G$11,
IF(AW258=regle!$H$12,regle!$H$11,
IF(AW258=regle!$I$12,regle!$I$11,""))))))))))</f>
        <v>ENT2</v>
      </c>
      <c r="AD258" t="str">
        <f>IF(NOT($A258),"",
IF(AX258=-2,regle!$J$11,
IF(AX258=regle!$B$12,regle!$B$11,
IF(AX258=regle!$C$12,regle!$C$11,
IF(AX258=regle!$D$12,regle!$D$11,
IF(AX258=regle!$E$12,regle!$E$11,
IF(AX258=regle!$F$12,regle!$F$11,
IF(AX258=regle!$G$12,regle!$G$11,
IF(AX258=regle!$H$12,regle!$H$11,
IF(AX258=regle!$I$12,regle!$I$11,""))))))))))</f>
        <v/>
      </c>
      <c r="AE258" s="14">
        <f>IF($A258,$M258*(IF(U258=regle!$B$11,regle!$B$23,IF(U258=regle!$C$11,regle!$C$23,IF(U258=regle!$D$11,regle!$D$23,IF(U258=regle!$E$11,regle!$E$23,IF(U258=regle!$F$11,regle!$F$23,IF(U258=regle!$G$11,regle!$G$23,IF(U258=regle!$H$11,regle!$H$23,IF(U258=regle!$I$11,regle!$I$23,IF(U258=regle!$J$11,regle!$J$23,0)))))))))))</f>
        <v>-2303.5</v>
      </c>
      <c r="AF258" s="14">
        <f>IF($A258,$M258*(IF(V258=regle!$B$11,regle!$B$23,IF(V258=regle!$C$11,regle!$C$23,IF(V258=regle!$D$11,regle!$D$23,IF(V258=regle!$E$11,regle!$E$23,IF(V258=regle!$F$11,regle!$F$23,IF(V258=regle!$G$11,regle!$G$23,IF(V258=regle!$H$11,regle!$H$23,IF(V258=regle!$I$11,regle!$I$23,IF(V258=regle!$J$11,regle!$J$23,0)))))))))))</f>
        <v>0</v>
      </c>
      <c r="AG258" s="14">
        <f>IF($A258,$M258*(IF(W258=regle!$B$11,regle!$B$23,IF(W258=regle!$C$11,regle!$C$23,IF(W258=regle!$D$11,regle!$D$23,IF(W258=regle!$E$11,regle!$E$23,IF(W258=regle!$F$11,regle!$F$23,IF(W258=regle!$G$11,regle!$G$23,IF(W258=regle!$H$11,regle!$H$23,IF(W258=regle!$I$11,regle!$I$23,IF(W258=regle!$J$11,regle!$J$23,0)))))))))))</f>
        <v>-101.625</v>
      </c>
      <c r="AH258" s="14">
        <f>IF($A258,$M258*(IF(X258=regle!$B$11,regle!$B$23,IF(X258=regle!$C$11,regle!$C$23,IF(X258=regle!$D$11,regle!$D$23,IF(X258=regle!$E$11,regle!$E$23,IF(X258=regle!$F$11,regle!$F$23,IF(X258=regle!$G$11,regle!$G$23,IF(X258=regle!$H$11,regle!$H$23,IF(X258=regle!$I$11,regle!$I$23,IF(X258=regle!$J$11,regle!$J$23,0)))))))))))</f>
        <v>0</v>
      </c>
      <c r="AI258" s="14">
        <f>IF($A258,$M258*(IF(Y258=regle!$B$11,regle!$B$23,IF(Y258=regle!$C$11,regle!$C$23,IF(Y258=regle!$D$11,regle!$D$23,IF(Y258=regle!$E$11,regle!$E$23,IF(Y258=regle!$F$11,regle!$F$23,IF(Y258=regle!$G$11,regle!$G$23,IF(Y258=regle!$H$11,regle!$H$23,IF(Y258=regle!$I$11,regle!$I$23,IF(Y258=regle!$J$11,regle!$J$23,0)))))))))))</f>
        <v>0</v>
      </c>
      <c r="AJ258" s="14">
        <f>IF($A258,$M258*(IF(Z258=regle!$B$11,regle!$B$23,IF(Z258=regle!$C$11,regle!$C$23,IF(Z258=regle!$D$11,regle!$D$23,IF(Z258=regle!$E$11,regle!$E$23,IF(Z258=regle!$F$11,regle!$F$23,IF(Z258=regle!$G$11,regle!$G$23,IF(Z258=regle!$H$11,regle!$H$23,IF(Z258=regle!$I$11,regle!$I$23,IF(Z258=regle!$J$11,regle!$J$23,0)))))))))))</f>
        <v>-121.95</v>
      </c>
      <c r="AK258" s="14">
        <f>IF($A258,$M258*(IF(AA258=regle!$B$11,regle!$B$23,IF(AA258=regle!$C$11,regle!$C$23,IF(AA258=regle!$D$11,regle!$D$23,IF(AA258=regle!$E$11,regle!$E$23,IF(AA258=regle!$F$11,regle!$F$23,IF(AA258=regle!$G$11,regle!$G$23,IF(AA258=regle!$H$11,regle!$H$23,IF(AA258=regle!$I$11,regle!$I$23,IF(AA258=regle!$J$11,regle!$J$23,0)))))))))))</f>
        <v>0</v>
      </c>
      <c r="AL258" s="14">
        <f>IF($A258,$M258*(IF(AB258=regle!$B$11,regle!$B$23,IF(AB258=regle!$C$11,regle!$C$23,IF(AB258=regle!$D$11,regle!$D$23,IF(AB258=regle!$E$11,regle!$E$23,IF(AB258=regle!$F$11,regle!$F$23,IF(AB258=regle!$G$11,regle!$G$23,IF(AB258=regle!$H$11,regle!$H$23,IF(AB258=regle!$I$11,regle!$I$23,IF(AB258=regle!$J$11,regle!$J$23,0)))))))))))</f>
        <v>0</v>
      </c>
      <c r="AM258" s="14">
        <f>IF($A258,$M258*(IF(AC258=regle!$B$11,regle!$B$23,IF(AC258=regle!$C$11,regle!$C$23,IF(AC258=regle!$D$11,regle!$D$23,IF(AC258=regle!$E$11,regle!$E$23,IF(AC258=regle!$F$11,regle!$F$23,IF(AC258=regle!$G$11,regle!$G$23,IF(AC258=regle!$H$11,regle!$H$23,IF(AC258=regle!$I$11,regle!$I$23,IF(AC258=regle!$J$11,regle!$J$23,0)))))))))))</f>
        <v>-121.95</v>
      </c>
      <c r="AN258" s="14">
        <f>IF($A258,$M258*(IF(AD258=regle!$B$11,regle!$B$23,IF(AD258=regle!$C$11,regle!$C$23,IF(AD258=regle!$D$11,regle!$D$23,IF(AD258=regle!$E$11,regle!$E$23,IF(AD258=regle!$F$11,regle!$F$23,IF(AD258=regle!$G$11,regle!$G$23,IF(AD258=regle!$H$11,regle!$H$23,IF(AD258=regle!$I$11,regle!$I$23,IF(AD258=regle!$J$11,regle!$J$23,0)))))))))))</f>
        <v>0</v>
      </c>
      <c r="AO258">
        <f>IF(AO$1=$AO$1,IF(regle!B$2-$Q258&gt;=regle!$J$12,-2,IF($S258,IF(regle!$B$2-$Q258&gt;=2,0,-1),regle!B$2-$Q258)),IF(AN258+1&gt;=regle!$J$12,-2,AN258+1))</f>
        <v>0</v>
      </c>
      <c r="AP258">
        <f>IF(AP$1=$AO$1,IF(regle!C$2-$Q258&gt;=regle!$J$12,-2,IF($S258,IF(regle!$B$2-$Q258&gt;=2,0,-1),regle!C$2-$Q258)),IF(AO258+1&gt;=regle!$J$12,-2,AO258+1))</f>
        <v>1</v>
      </c>
      <c r="AQ258">
        <f>IF(AQ$1=$AO$1,IF(regle!D$2-$Q258&gt;=regle!$J$12,-2,IF($S258,IF(regle!$B$2-$Q258&gt;=2,0,-1),regle!D$2-$Q258)),IF(AP258+1&gt;=regle!$J$12,-2,AP258+1))</f>
        <v>2</v>
      </c>
      <c r="AR258">
        <f>IF(AR$1=$AO$1,IF(regle!E$2-$Q258&gt;=regle!$J$12,-2,IF($S258,IF(regle!$B$2-$Q258&gt;=2,0,-1),regle!E$2-$Q258)),IF(AQ258+1&gt;=regle!$J$12,-2,AQ258+1))</f>
        <v>3</v>
      </c>
      <c r="AS258">
        <f>IF(AS$1=$AO$1,IF(regle!F$2-$Q258&gt;=regle!$J$12,-2,IF($S258,IF(regle!$B$2-$Q258&gt;=2,0,-1),regle!F$2-$Q258)),IF(AR258+1&gt;=regle!$J$12,-2,AR258+1))</f>
        <v>4</v>
      </c>
      <c r="AT258">
        <f>IF(AT$1=$AO$1,IF(regle!G$2-$Q258&gt;=regle!$J$12,-2,IF($S258,IF(regle!$B$2-$Q258&gt;=2,0,-1),regle!G$2-$Q258)),IF(AS258+1&gt;=regle!$J$12,-2,AS258+1))</f>
        <v>5</v>
      </c>
      <c r="AU258">
        <f>IF(AU$1=$AO$1,IF(regle!H$2-$Q258&gt;=regle!$J$12,-2,IF($S258,IF(regle!$B$2-$Q258&gt;=2,0,-1),regle!H$2-$Q258)),IF(AT258+1&gt;=regle!$J$12,-2,AT258+1))</f>
        <v>6</v>
      </c>
      <c r="AV258">
        <f>IF(AV$1=$AO$1,IF(regle!I$2-$Q258&gt;=regle!$J$12,-2,IF($S258,IF(regle!$B$2-$Q258&gt;=2,0,-1),regle!I$2-$Q258)),IF(AU258+1&gt;=regle!$J$12,-2,AU258+1))</f>
        <v>7</v>
      </c>
      <c r="AW258">
        <f>IF(AW$1=$AO$1,IF(regle!J$2-$Q258&gt;=regle!$J$12,-2,IF($S258,IF(regle!$B$2-$Q258&gt;=2,0,-1),regle!J$2-$Q258)),IF(AV258+1&gt;=regle!$J$12,-2,AV258+1))</f>
        <v>8</v>
      </c>
      <c r="AX258">
        <f>IF(AX$1=$AO$1,IF(regle!K$2-$Q258&gt;=regle!$J$12,-2,IF($S258,IF(regle!$B$2-$Q258&gt;=2,0,-1),regle!K$2-$Q258)),IF(AW258+1&gt;=regle!$J$12,-2,AW258+1))</f>
        <v>9</v>
      </c>
    </row>
    <row r="259" spans="1:50" x14ac:dyDescent="0.25">
      <c r="A259" t="b">
        <f>AND(modif0[[#This Row],[cdstr]]&lt;&gt;0,OR(regle!$H$27=FALSE,modif0[[#This Row],[essnc]]="PM"))</f>
        <v>1</v>
      </c>
      <c r="B259">
        <f>ROW(objet!A303)</f>
        <v>303</v>
      </c>
      <c r="C259" s="10" t="str">
        <f>objet!D303</f>
        <v>1710000B0273</v>
      </c>
      <c r="D259" t="str">
        <f>LEFT(modif0[[#This Row],[cdstr]],3)</f>
        <v>171</v>
      </c>
      <c r="E259" s="10" t="str">
        <f>objet!G303</f>
        <v>MANO</v>
      </c>
      <c r="F259">
        <f>LEN(modif0[[#This Row],[l_dt]])</f>
        <v>17</v>
      </c>
      <c r="G259" s="10" t="str">
        <f>objet!H303</f>
        <v>LANDE DE TABARTON</v>
      </c>
      <c r="H259" s="10" t="str">
        <f>objet!C303</f>
        <v>B273</v>
      </c>
      <c r="I259" t="str">
        <f>IF(ISNUMBER(VALUE(RIGHT(LEFT(modif0[[#This Row],[idntfn]],2),1))),_xlfn.CONCAT(0,LEFT(modif0[[#This Row],[idntfn]],1)),LEFT(modif0[[#This Row],[idntfn]],2))</f>
        <v>0B</v>
      </c>
      <c r="J259">
        <f>VALUE(LEFT(RIGHT(modif0[[#This Row],[idntfn]],LEN(modif0[[#This Row],[idntfn]])-IF(LEFT(modif0[[#This Row],[sctn]],1)="0",1,2)),LEN(modif0[[#This Row],[idntfn]])-IF(LEFT(modif0[[#This Row],[sctn]],1)="0",1,2)-LEN(modif0[[#This Row],[lttr]])))</f>
        <v>273</v>
      </c>
      <c r="K259" t="str">
        <f>IF(ISNUMBER(VALUE(RIGHT(modif0[[#This Row],[idntfn]],1))),"",IF(ISNUMBER(VALUE(LEFT(RIGHT(modif0[[#This Row],[idntfn]],2),1))),RIGHT(modif0[[#This Row],[idntfn]],1),RIGHT(modif0[[#This Row],[idntfn]],2)))</f>
        <v/>
      </c>
      <c r="L259" s="10">
        <f>objet!I303</f>
        <v>14500</v>
      </c>
      <c r="M259" s="11">
        <f>modif0[[#This Row],[srfc]]/10000</f>
        <v>1.45</v>
      </c>
      <c r="N259" s="10" t="str">
        <f>objet!Z303</f>
        <v>PM</v>
      </c>
      <c r="O259" s="10" t="str">
        <f>objet!AA303</f>
        <v>CR2022</v>
      </c>
      <c r="P259" t="str">
        <f>IF(ISNUMBER(modif0[[#This Row],[trvx]]),"",LEFT(modif0[[#This Row],[trvx]],LEN(modif0[[#This Row],[trvx]])-4))</f>
        <v>CR</v>
      </c>
      <c r="Q259">
        <f>VALUE(RIGHT(modif0[[#This Row],[trvx]],4))</f>
        <v>2022</v>
      </c>
      <c r="R259" t="str">
        <f>_xlfn.CONCAT(modif0[[#This Row],[tp]],"-",modif0[[#This Row],[essnc]],"_",modif0[[#This Row],[anns]])</f>
        <v>CR-PM_2022</v>
      </c>
      <c r="S259" t="b">
        <f>modif0[[#This Row],[tp]]="CR"</f>
        <v>1</v>
      </c>
      <c r="T259">
        <v>40</v>
      </c>
      <c r="U259" t="str">
        <f>IF(NOT($A259),"",
IF(AO259=-2,regle!$J$11,
IF(AO259=regle!$B$12,regle!$B$11,
IF(AO259=regle!$C$12,regle!$C$11,
IF(AO259=regle!$D$12,regle!$D$11,
IF(AO259=regle!$E$12,regle!$E$11,
IF(AO259=regle!$F$12,regle!$F$11,
IF(AO259=regle!$G$12,regle!$G$11,
IF(AO259=regle!$H$12,regle!$H$11,
IF(AO259=regle!$I$12,regle!$I$11,""))))))))))</f>
        <v>RBST</v>
      </c>
      <c r="V259" t="str">
        <f>IF(NOT($A259),"",
IF(AP259=-2,regle!$J$11,
IF(AP259=regle!$B$12,regle!$B$11,
IF(AP259=regle!$C$12,regle!$C$11,
IF(AP259=regle!$D$12,regle!$D$11,
IF(AP259=regle!$E$12,regle!$E$11,
IF(AP259=regle!$F$12,regle!$F$11,
IF(AP259=regle!$G$12,regle!$G$11,
IF(AP259=regle!$H$12,regle!$H$11,
IF(AP259=regle!$I$12,regle!$I$11,""))))))))))</f>
        <v/>
      </c>
      <c r="W259" t="str">
        <f>IF(NOT($A259),"",
IF(AQ259=-2,regle!$J$11,
IF(AQ259=regle!$B$12,regle!$B$11,
IF(AQ259=regle!$C$12,regle!$C$11,
IF(AQ259=regle!$D$12,regle!$D$11,
IF(AQ259=regle!$E$12,regle!$E$11,
IF(AQ259=regle!$F$12,regle!$F$11,
IF(AQ259=regle!$G$12,regle!$G$11,
IF(AQ259=regle!$H$12,regle!$H$11,
IF(AQ259=regle!$I$12,regle!$I$11,""))))))))))</f>
        <v>DGT</v>
      </c>
      <c r="X259" t="str">
        <f>IF(NOT($A259),"",
IF(AR259=-2,regle!$J$11,
IF(AR259=regle!$B$12,regle!$B$11,
IF(AR259=regle!$C$12,regle!$C$11,
IF(AR259=regle!$D$12,regle!$D$11,
IF(AR259=regle!$E$12,regle!$E$11,
IF(AR259=regle!$F$12,regle!$F$11,
IF(AR259=regle!$G$12,regle!$G$11,
IF(AR259=regle!$H$12,regle!$H$11,
IF(AR259=regle!$I$12,regle!$I$11,""))))))))))</f>
        <v/>
      </c>
      <c r="Y259" t="str">
        <f>IF(NOT($A259),"",
IF(AS259=-2,regle!$J$11,
IF(AS259=regle!$B$12,regle!$B$11,
IF(AS259=regle!$C$12,regle!$C$11,
IF(AS259=regle!$D$12,regle!$D$11,
IF(AS259=regle!$E$12,regle!$E$11,
IF(AS259=regle!$F$12,regle!$F$11,
IF(AS259=regle!$G$12,regle!$G$11,
IF(AS259=regle!$H$12,regle!$H$11,
IF(AS259=regle!$I$12,regle!$I$11,""))))))))))</f>
        <v/>
      </c>
      <c r="Z259" t="str">
        <f>IF(NOT($A259),"",
IF(AT259=-2,regle!$J$11,
IF(AT259=regle!$B$12,regle!$B$11,
IF(AT259=regle!$C$12,regle!$C$11,
IF(AT259=regle!$D$12,regle!$D$11,
IF(AT259=regle!$E$12,regle!$E$11,
IF(AT259=regle!$F$12,regle!$F$11,
IF(AT259=regle!$G$12,regle!$G$11,
IF(AT259=regle!$H$12,regle!$H$11,
IF(AT259=regle!$I$12,regle!$I$11,""))))))))))</f>
        <v>ENT1</v>
      </c>
      <c r="AA259" t="str">
        <f>IF(NOT($A259),"",
IF(AU259=-2,regle!$J$11,
IF(AU259=regle!$B$12,regle!$B$11,
IF(AU259=regle!$C$12,regle!$C$11,
IF(AU259=regle!$D$12,regle!$D$11,
IF(AU259=regle!$E$12,regle!$E$11,
IF(AU259=regle!$F$12,regle!$F$11,
IF(AU259=regle!$G$12,regle!$G$11,
IF(AU259=regle!$H$12,regle!$H$11,
IF(AU259=regle!$I$12,regle!$I$11,""))))))))))</f>
        <v/>
      </c>
      <c r="AB259" t="str">
        <f>IF(NOT($A259),"",
IF(AV259=-2,regle!$J$11,
IF(AV259=regle!$B$12,regle!$B$11,
IF(AV259=regle!$C$12,regle!$C$11,
IF(AV259=regle!$D$12,regle!$D$11,
IF(AV259=regle!$E$12,regle!$E$11,
IF(AV259=regle!$F$12,regle!$F$11,
IF(AV259=regle!$G$12,regle!$G$11,
IF(AV259=regle!$H$12,regle!$H$11,
IF(AV259=regle!$I$12,regle!$I$11,""))))))))))</f>
        <v/>
      </c>
      <c r="AC259" t="str">
        <f>IF(NOT($A259),"",
IF(AW259=-2,regle!$J$11,
IF(AW259=regle!$B$12,regle!$B$11,
IF(AW259=regle!$C$12,regle!$C$11,
IF(AW259=regle!$D$12,regle!$D$11,
IF(AW259=regle!$E$12,regle!$E$11,
IF(AW259=regle!$F$12,regle!$F$11,
IF(AW259=regle!$G$12,regle!$G$11,
IF(AW259=regle!$H$12,regle!$H$11,
IF(AW259=regle!$I$12,regle!$I$11,""))))))))))</f>
        <v>ENT2</v>
      </c>
      <c r="AD259" t="str">
        <f>IF(NOT($A259),"",
IF(AX259=-2,regle!$J$11,
IF(AX259=regle!$B$12,regle!$B$11,
IF(AX259=regle!$C$12,regle!$C$11,
IF(AX259=regle!$D$12,regle!$D$11,
IF(AX259=regle!$E$12,regle!$E$11,
IF(AX259=regle!$F$12,regle!$F$11,
IF(AX259=regle!$G$12,regle!$G$11,
IF(AX259=regle!$H$12,regle!$H$11,
IF(AX259=regle!$I$12,regle!$I$11,""))))))))))</f>
        <v/>
      </c>
      <c r="AE259" s="14">
        <f>IF($A259,$M259*(IF(U259=regle!$B$11,regle!$B$23,IF(U259=regle!$C$11,regle!$C$23,IF(U259=regle!$D$11,regle!$D$23,IF(U259=regle!$E$11,regle!$E$23,IF(U259=regle!$F$11,regle!$F$23,IF(U259=regle!$G$11,regle!$G$23,IF(U259=regle!$H$11,regle!$H$23,IF(U259=regle!$I$11,regle!$I$23,IF(U259=regle!$J$11,regle!$J$23,0)))))))))))</f>
        <v>-2465</v>
      </c>
      <c r="AF259" s="14">
        <f>IF($A259,$M259*(IF(V259=regle!$B$11,regle!$B$23,IF(V259=regle!$C$11,regle!$C$23,IF(V259=regle!$D$11,regle!$D$23,IF(V259=regle!$E$11,regle!$E$23,IF(V259=regle!$F$11,regle!$F$23,IF(V259=regle!$G$11,regle!$G$23,IF(V259=regle!$H$11,regle!$H$23,IF(V259=regle!$I$11,regle!$I$23,IF(V259=regle!$J$11,regle!$J$23,0)))))))))))</f>
        <v>0</v>
      </c>
      <c r="AG259" s="14">
        <f>IF($A259,$M259*(IF(W259=regle!$B$11,regle!$B$23,IF(W259=regle!$C$11,regle!$C$23,IF(W259=regle!$D$11,regle!$D$23,IF(W259=regle!$E$11,regle!$E$23,IF(W259=regle!$F$11,regle!$F$23,IF(W259=regle!$G$11,regle!$G$23,IF(W259=regle!$H$11,regle!$H$23,IF(W259=regle!$I$11,regle!$I$23,IF(W259=regle!$J$11,regle!$J$23,0)))))))))))</f>
        <v>-108.75</v>
      </c>
      <c r="AH259" s="14">
        <f>IF($A259,$M259*(IF(X259=regle!$B$11,regle!$B$23,IF(X259=regle!$C$11,regle!$C$23,IF(X259=regle!$D$11,regle!$D$23,IF(X259=regle!$E$11,regle!$E$23,IF(X259=regle!$F$11,regle!$F$23,IF(X259=regle!$G$11,regle!$G$23,IF(X259=regle!$H$11,regle!$H$23,IF(X259=regle!$I$11,regle!$I$23,IF(X259=regle!$J$11,regle!$J$23,0)))))))))))</f>
        <v>0</v>
      </c>
      <c r="AI259" s="14">
        <f>IF($A259,$M259*(IF(Y259=regle!$B$11,regle!$B$23,IF(Y259=regle!$C$11,regle!$C$23,IF(Y259=regle!$D$11,regle!$D$23,IF(Y259=regle!$E$11,regle!$E$23,IF(Y259=regle!$F$11,regle!$F$23,IF(Y259=regle!$G$11,regle!$G$23,IF(Y259=regle!$H$11,regle!$H$23,IF(Y259=regle!$I$11,regle!$I$23,IF(Y259=regle!$J$11,regle!$J$23,0)))))))))))</f>
        <v>0</v>
      </c>
      <c r="AJ259" s="14">
        <f>IF($A259,$M259*(IF(Z259=regle!$B$11,regle!$B$23,IF(Z259=regle!$C$11,regle!$C$23,IF(Z259=regle!$D$11,regle!$D$23,IF(Z259=regle!$E$11,regle!$E$23,IF(Z259=regle!$F$11,regle!$F$23,IF(Z259=regle!$G$11,regle!$G$23,IF(Z259=regle!$H$11,regle!$H$23,IF(Z259=regle!$I$11,regle!$I$23,IF(Z259=regle!$J$11,regle!$J$23,0)))))))))))</f>
        <v>-130.5</v>
      </c>
      <c r="AK259" s="14">
        <f>IF($A259,$M259*(IF(AA259=regle!$B$11,regle!$B$23,IF(AA259=regle!$C$11,regle!$C$23,IF(AA259=regle!$D$11,regle!$D$23,IF(AA259=regle!$E$11,regle!$E$23,IF(AA259=regle!$F$11,regle!$F$23,IF(AA259=regle!$G$11,regle!$G$23,IF(AA259=regle!$H$11,regle!$H$23,IF(AA259=regle!$I$11,regle!$I$23,IF(AA259=regle!$J$11,regle!$J$23,0)))))))))))</f>
        <v>0</v>
      </c>
      <c r="AL259" s="14">
        <f>IF($A259,$M259*(IF(AB259=regle!$B$11,regle!$B$23,IF(AB259=regle!$C$11,regle!$C$23,IF(AB259=regle!$D$11,regle!$D$23,IF(AB259=regle!$E$11,regle!$E$23,IF(AB259=regle!$F$11,regle!$F$23,IF(AB259=regle!$G$11,regle!$G$23,IF(AB259=regle!$H$11,regle!$H$23,IF(AB259=regle!$I$11,regle!$I$23,IF(AB259=regle!$J$11,regle!$J$23,0)))))))))))</f>
        <v>0</v>
      </c>
      <c r="AM259" s="14">
        <f>IF($A259,$M259*(IF(AC259=regle!$B$11,regle!$B$23,IF(AC259=regle!$C$11,regle!$C$23,IF(AC259=regle!$D$11,regle!$D$23,IF(AC259=regle!$E$11,regle!$E$23,IF(AC259=regle!$F$11,regle!$F$23,IF(AC259=regle!$G$11,regle!$G$23,IF(AC259=regle!$H$11,regle!$H$23,IF(AC259=regle!$I$11,regle!$I$23,IF(AC259=regle!$J$11,regle!$J$23,0)))))))))))</f>
        <v>-130.5</v>
      </c>
      <c r="AN259" s="14">
        <f>IF($A259,$M259*(IF(AD259=regle!$B$11,regle!$B$23,IF(AD259=regle!$C$11,regle!$C$23,IF(AD259=regle!$D$11,regle!$D$23,IF(AD259=regle!$E$11,regle!$E$23,IF(AD259=regle!$F$11,regle!$F$23,IF(AD259=regle!$G$11,regle!$G$23,IF(AD259=regle!$H$11,regle!$H$23,IF(AD259=regle!$I$11,regle!$I$23,IF(AD259=regle!$J$11,regle!$J$23,0)))))))))))</f>
        <v>0</v>
      </c>
      <c r="AO259">
        <f>IF(AO$1=$AO$1,IF(regle!B$2-$Q259&gt;=regle!$J$12,-2,IF($S259,IF(regle!$B$2-$Q259&gt;=2,0,-1),regle!B$2-$Q259)),IF(AN259+1&gt;=regle!$J$12,-2,AN259+1))</f>
        <v>0</v>
      </c>
      <c r="AP259">
        <f>IF(AP$1=$AO$1,IF(regle!C$2-$Q259&gt;=regle!$J$12,-2,IF($S259,IF(regle!$B$2-$Q259&gt;=2,0,-1),regle!C$2-$Q259)),IF(AO259+1&gt;=regle!$J$12,-2,AO259+1))</f>
        <v>1</v>
      </c>
      <c r="AQ259">
        <f>IF(AQ$1=$AO$1,IF(regle!D$2-$Q259&gt;=regle!$J$12,-2,IF($S259,IF(regle!$B$2-$Q259&gt;=2,0,-1),regle!D$2-$Q259)),IF(AP259+1&gt;=regle!$J$12,-2,AP259+1))</f>
        <v>2</v>
      </c>
      <c r="AR259">
        <f>IF(AR$1=$AO$1,IF(regle!E$2-$Q259&gt;=regle!$J$12,-2,IF($S259,IF(regle!$B$2-$Q259&gt;=2,0,-1),regle!E$2-$Q259)),IF(AQ259+1&gt;=regle!$J$12,-2,AQ259+1))</f>
        <v>3</v>
      </c>
      <c r="AS259">
        <f>IF(AS$1=$AO$1,IF(regle!F$2-$Q259&gt;=regle!$J$12,-2,IF($S259,IF(regle!$B$2-$Q259&gt;=2,0,-1),regle!F$2-$Q259)),IF(AR259+1&gt;=regle!$J$12,-2,AR259+1))</f>
        <v>4</v>
      </c>
      <c r="AT259">
        <f>IF(AT$1=$AO$1,IF(regle!G$2-$Q259&gt;=regle!$J$12,-2,IF($S259,IF(regle!$B$2-$Q259&gt;=2,0,-1),regle!G$2-$Q259)),IF(AS259+1&gt;=regle!$J$12,-2,AS259+1))</f>
        <v>5</v>
      </c>
      <c r="AU259">
        <f>IF(AU$1=$AO$1,IF(regle!H$2-$Q259&gt;=regle!$J$12,-2,IF($S259,IF(regle!$B$2-$Q259&gt;=2,0,-1),regle!H$2-$Q259)),IF(AT259+1&gt;=regle!$J$12,-2,AT259+1))</f>
        <v>6</v>
      </c>
      <c r="AV259">
        <f>IF(AV$1=$AO$1,IF(regle!I$2-$Q259&gt;=regle!$J$12,-2,IF($S259,IF(regle!$B$2-$Q259&gt;=2,0,-1),regle!I$2-$Q259)),IF(AU259+1&gt;=regle!$J$12,-2,AU259+1))</f>
        <v>7</v>
      </c>
      <c r="AW259">
        <f>IF(AW$1=$AO$1,IF(regle!J$2-$Q259&gt;=regle!$J$12,-2,IF($S259,IF(regle!$B$2-$Q259&gt;=2,0,-1),regle!J$2-$Q259)),IF(AV259+1&gt;=regle!$J$12,-2,AV259+1))</f>
        <v>8</v>
      </c>
      <c r="AX259">
        <f>IF(AX$1=$AO$1,IF(regle!K$2-$Q259&gt;=regle!$J$12,-2,IF($S259,IF(regle!$B$2-$Q259&gt;=2,0,-1),regle!K$2-$Q259)),IF(AW259+1&gt;=regle!$J$12,-2,AW259+1))</f>
        <v>9</v>
      </c>
    </row>
    <row r="260" spans="1:50" x14ac:dyDescent="0.25">
      <c r="A260" t="b">
        <f>AND(modif0[[#This Row],[cdstr]]&lt;&gt;0,OR(regle!$H$27=FALSE,modif0[[#This Row],[essnc]]="PM"))</f>
        <v>1</v>
      </c>
      <c r="B260">
        <f>ROW(objet!A304)</f>
        <v>304</v>
      </c>
      <c r="C260" s="10" t="str">
        <f>objet!D304</f>
        <v>1710000B0275</v>
      </c>
      <c r="D260" t="str">
        <f>LEFT(modif0[[#This Row],[cdstr]],3)</f>
        <v>171</v>
      </c>
      <c r="E260" s="10" t="str">
        <f>objet!G304</f>
        <v>MANO</v>
      </c>
      <c r="F260">
        <f>LEN(modif0[[#This Row],[l_dt]])</f>
        <v>17</v>
      </c>
      <c r="G260" s="10" t="str">
        <f>objet!H304</f>
        <v>LANDE DE TABARTON</v>
      </c>
      <c r="H260" s="10" t="str">
        <f>objet!C304</f>
        <v>B275</v>
      </c>
      <c r="I260" t="str">
        <f>IF(ISNUMBER(VALUE(RIGHT(LEFT(modif0[[#This Row],[idntfn]],2),1))),_xlfn.CONCAT(0,LEFT(modif0[[#This Row],[idntfn]],1)),LEFT(modif0[[#This Row],[idntfn]],2))</f>
        <v>0B</v>
      </c>
      <c r="J260">
        <f>VALUE(LEFT(RIGHT(modif0[[#This Row],[idntfn]],LEN(modif0[[#This Row],[idntfn]])-IF(LEFT(modif0[[#This Row],[sctn]],1)="0",1,2)),LEN(modif0[[#This Row],[idntfn]])-IF(LEFT(modif0[[#This Row],[sctn]],1)="0",1,2)-LEN(modif0[[#This Row],[lttr]])))</f>
        <v>275</v>
      </c>
      <c r="K260" t="str">
        <f>IF(ISNUMBER(VALUE(RIGHT(modif0[[#This Row],[idntfn]],1))),"",IF(ISNUMBER(VALUE(LEFT(RIGHT(modif0[[#This Row],[idntfn]],2),1))),RIGHT(modif0[[#This Row],[idntfn]],1),RIGHT(modif0[[#This Row],[idntfn]],2)))</f>
        <v/>
      </c>
      <c r="L260" s="10">
        <f>objet!I304</f>
        <v>10450</v>
      </c>
      <c r="M260" s="11">
        <f>modif0[[#This Row],[srfc]]/10000</f>
        <v>1.0449999999999999</v>
      </c>
      <c r="N260" s="10" t="str">
        <f>objet!Z304</f>
        <v>PM</v>
      </c>
      <c r="O260" s="10" t="str">
        <f>objet!AA304</f>
        <v>CR2022</v>
      </c>
      <c r="P260" t="str">
        <f>IF(ISNUMBER(modif0[[#This Row],[trvx]]),"",LEFT(modif0[[#This Row],[trvx]],LEN(modif0[[#This Row],[trvx]])-4))</f>
        <v>CR</v>
      </c>
      <c r="Q260">
        <f>VALUE(RIGHT(modif0[[#This Row],[trvx]],4))</f>
        <v>2022</v>
      </c>
      <c r="R260" t="str">
        <f>_xlfn.CONCAT(modif0[[#This Row],[tp]],"-",modif0[[#This Row],[essnc]],"_",modif0[[#This Row],[anns]])</f>
        <v>CR-PM_2022</v>
      </c>
      <c r="S260" t="b">
        <f>modif0[[#This Row],[tp]]="CR"</f>
        <v>1</v>
      </c>
      <c r="T260">
        <v>40</v>
      </c>
      <c r="U260" t="str">
        <f>IF(NOT($A260),"",
IF(AO260=-2,regle!$J$11,
IF(AO260=regle!$B$12,regle!$B$11,
IF(AO260=regle!$C$12,regle!$C$11,
IF(AO260=regle!$D$12,regle!$D$11,
IF(AO260=regle!$E$12,regle!$E$11,
IF(AO260=regle!$F$12,regle!$F$11,
IF(AO260=regle!$G$12,regle!$G$11,
IF(AO260=regle!$H$12,regle!$H$11,
IF(AO260=regle!$I$12,regle!$I$11,""))))))))))</f>
        <v>RBST</v>
      </c>
      <c r="V260" t="str">
        <f>IF(NOT($A260),"",
IF(AP260=-2,regle!$J$11,
IF(AP260=regle!$B$12,regle!$B$11,
IF(AP260=regle!$C$12,regle!$C$11,
IF(AP260=regle!$D$12,regle!$D$11,
IF(AP260=regle!$E$12,regle!$E$11,
IF(AP260=regle!$F$12,regle!$F$11,
IF(AP260=regle!$G$12,regle!$G$11,
IF(AP260=regle!$H$12,regle!$H$11,
IF(AP260=regle!$I$12,regle!$I$11,""))))))))))</f>
        <v/>
      </c>
      <c r="W260" t="str">
        <f>IF(NOT($A260),"",
IF(AQ260=-2,regle!$J$11,
IF(AQ260=regle!$B$12,regle!$B$11,
IF(AQ260=regle!$C$12,regle!$C$11,
IF(AQ260=regle!$D$12,regle!$D$11,
IF(AQ260=regle!$E$12,regle!$E$11,
IF(AQ260=regle!$F$12,regle!$F$11,
IF(AQ260=regle!$G$12,regle!$G$11,
IF(AQ260=regle!$H$12,regle!$H$11,
IF(AQ260=regle!$I$12,regle!$I$11,""))))))))))</f>
        <v>DGT</v>
      </c>
      <c r="X260" t="str">
        <f>IF(NOT($A260),"",
IF(AR260=-2,regle!$J$11,
IF(AR260=regle!$B$12,regle!$B$11,
IF(AR260=regle!$C$12,regle!$C$11,
IF(AR260=regle!$D$12,regle!$D$11,
IF(AR260=regle!$E$12,regle!$E$11,
IF(AR260=regle!$F$12,regle!$F$11,
IF(AR260=regle!$G$12,regle!$G$11,
IF(AR260=regle!$H$12,regle!$H$11,
IF(AR260=regle!$I$12,regle!$I$11,""))))))))))</f>
        <v/>
      </c>
      <c r="Y260" t="str">
        <f>IF(NOT($A260),"",
IF(AS260=-2,regle!$J$11,
IF(AS260=regle!$B$12,regle!$B$11,
IF(AS260=regle!$C$12,regle!$C$11,
IF(AS260=regle!$D$12,regle!$D$11,
IF(AS260=regle!$E$12,regle!$E$11,
IF(AS260=regle!$F$12,regle!$F$11,
IF(AS260=regle!$G$12,regle!$G$11,
IF(AS260=regle!$H$12,regle!$H$11,
IF(AS260=regle!$I$12,regle!$I$11,""))))))))))</f>
        <v/>
      </c>
      <c r="Z260" t="str">
        <f>IF(NOT($A260),"",
IF(AT260=-2,regle!$J$11,
IF(AT260=regle!$B$12,regle!$B$11,
IF(AT260=regle!$C$12,regle!$C$11,
IF(AT260=regle!$D$12,regle!$D$11,
IF(AT260=regle!$E$12,regle!$E$11,
IF(AT260=regle!$F$12,regle!$F$11,
IF(AT260=regle!$G$12,regle!$G$11,
IF(AT260=regle!$H$12,regle!$H$11,
IF(AT260=regle!$I$12,regle!$I$11,""))))))))))</f>
        <v>ENT1</v>
      </c>
      <c r="AA260" t="str">
        <f>IF(NOT($A260),"",
IF(AU260=-2,regle!$J$11,
IF(AU260=regle!$B$12,regle!$B$11,
IF(AU260=regle!$C$12,regle!$C$11,
IF(AU260=regle!$D$12,regle!$D$11,
IF(AU260=regle!$E$12,regle!$E$11,
IF(AU260=regle!$F$12,regle!$F$11,
IF(AU260=regle!$G$12,regle!$G$11,
IF(AU260=regle!$H$12,regle!$H$11,
IF(AU260=regle!$I$12,regle!$I$11,""))))))))))</f>
        <v/>
      </c>
      <c r="AB260" t="str">
        <f>IF(NOT($A260),"",
IF(AV260=-2,regle!$J$11,
IF(AV260=regle!$B$12,regle!$B$11,
IF(AV260=regle!$C$12,regle!$C$11,
IF(AV260=regle!$D$12,regle!$D$11,
IF(AV260=regle!$E$12,regle!$E$11,
IF(AV260=regle!$F$12,regle!$F$11,
IF(AV260=regle!$G$12,regle!$G$11,
IF(AV260=regle!$H$12,regle!$H$11,
IF(AV260=regle!$I$12,regle!$I$11,""))))))))))</f>
        <v/>
      </c>
      <c r="AC260" t="str">
        <f>IF(NOT($A260),"",
IF(AW260=-2,regle!$J$11,
IF(AW260=regle!$B$12,regle!$B$11,
IF(AW260=regle!$C$12,regle!$C$11,
IF(AW260=regle!$D$12,regle!$D$11,
IF(AW260=regle!$E$12,regle!$E$11,
IF(AW260=regle!$F$12,regle!$F$11,
IF(AW260=regle!$G$12,regle!$G$11,
IF(AW260=regle!$H$12,regle!$H$11,
IF(AW260=regle!$I$12,regle!$I$11,""))))))))))</f>
        <v>ENT2</v>
      </c>
      <c r="AD260" t="str">
        <f>IF(NOT($A260),"",
IF(AX260=-2,regle!$J$11,
IF(AX260=regle!$B$12,regle!$B$11,
IF(AX260=regle!$C$12,regle!$C$11,
IF(AX260=regle!$D$12,regle!$D$11,
IF(AX260=regle!$E$12,regle!$E$11,
IF(AX260=regle!$F$12,regle!$F$11,
IF(AX260=regle!$G$12,regle!$G$11,
IF(AX260=regle!$H$12,regle!$H$11,
IF(AX260=regle!$I$12,regle!$I$11,""))))))))))</f>
        <v/>
      </c>
      <c r="AE260" s="14">
        <f>IF($A260,$M260*(IF(U260=regle!$B$11,regle!$B$23,IF(U260=regle!$C$11,regle!$C$23,IF(U260=regle!$D$11,regle!$D$23,IF(U260=regle!$E$11,regle!$E$23,IF(U260=regle!$F$11,regle!$F$23,IF(U260=regle!$G$11,regle!$G$23,IF(U260=regle!$H$11,regle!$H$23,IF(U260=regle!$I$11,regle!$I$23,IF(U260=regle!$J$11,regle!$J$23,0)))))))))))</f>
        <v>-1776.4999999999998</v>
      </c>
      <c r="AF260" s="14">
        <f>IF($A260,$M260*(IF(V260=regle!$B$11,regle!$B$23,IF(V260=regle!$C$11,regle!$C$23,IF(V260=regle!$D$11,regle!$D$23,IF(V260=regle!$E$11,regle!$E$23,IF(V260=regle!$F$11,regle!$F$23,IF(V260=regle!$G$11,regle!$G$23,IF(V260=regle!$H$11,regle!$H$23,IF(V260=regle!$I$11,regle!$I$23,IF(V260=regle!$J$11,regle!$J$23,0)))))))))))</f>
        <v>0</v>
      </c>
      <c r="AG260" s="14">
        <f>IF($A260,$M260*(IF(W260=regle!$B$11,regle!$B$23,IF(W260=regle!$C$11,regle!$C$23,IF(W260=regle!$D$11,regle!$D$23,IF(W260=regle!$E$11,regle!$E$23,IF(W260=regle!$F$11,regle!$F$23,IF(W260=regle!$G$11,regle!$G$23,IF(W260=regle!$H$11,regle!$H$23,IF(W260=regle!$I$11,regle!$I$23,IF(W260=regle!$J$11,regle!$J$23,0)))))))))))</f>
        <v>-78.375</v>
      </c>
      <c r="AH260" s="14">
        <f>IF($A260,$M260*(IF(X260=regle!$B$11,regle!$B$23,IF(X260=regle!$C$11,regle!$C$23,IF(X260=regle!$D$11,regle!$D$23,IF(X260=regle!$E$11,regle!$E$23,IF(X260=regle!$F$11,regle!$F$23,IF(X260=regle!$G$11,regle!$G$23,IF(X260=regle!$H$11,regle!$H$23,IF(X260=regle!$I$11,regle!$I$23,IF(X260=regle!$J$11,regle!$J$23,0)))))))))))</f>
        <v>0</v>
      </c>
      <c r="AI260" s="14">
        <f>IF($A260,$M260*(IF(Y260=regle!$B$11,regle!$B$23,IF(Y260=regle!$C$11,regle!$C$23,IF(Y260=regle!$D$11,regle!$D$23,IF(Y260=regle!$E$11,regle!$E$23,IF(Y260=regle!$F$11,regle!$F$23,IF(Y260=regle!$G$11,regle!$G$23,IF(Y260=regle!$H$11,regle!$H$23,IF(Y260=regle!$I$11,regle!$I$23,IF(Y260=regle!$J$11,regle!$J$23,0)))))))))))</f>
        <v>0</v>
      </c>
      <c r="AJ260" s="14">
        <f>IF($A260,$M260*(IF(Z260=regle!$B$11,regle!$B$23,IF(Z260=regle!$C$11,regle!$C$23,IF(Z260=regle!$D$11,regle!$D$23,IF(Z260=regle!$E$11,regle!$E$23,IF(Z260=regle!$F$11,regle!$F$23,IF(Z260=regle!$G$11,regle!$G$23,IF(Z260=regle!$H$11,regle!$H$23,IF(Z260=regle!$I$11,regle!$I$23,IF(Z260=regle!$J$11,regle!$J$23,0)))))))))))</f>
        <v>-94.05</v>
      </c>
      <c r="AK260" s="14">
        <f>IF($A260,$M260*(IF(AA260=regle!$B$11,regle!$B$23,IF(AA260=regle!$C$11,regle!$C$23,IF(AA260=regle!$D$11,regle!$D$23,IF(AA260=regle!$E$11,regle!$E$23,IF(AA260=regle!$F$11,regle!$F$23,IF(AA260=regle!$G$11,regle!$G$23,IF(AA260=regle!$H$11,regle!$H$23,IF(AA260=regle!$I$11,regle!$I$23,IF(AA260=regle!$J$11,regle!$J$23,0)))))))))))</f>
        <v>0</v>
      </c>
      <c r="AL260" s="14">
        <f>IF($A260,$M260*(IF(AB260=regle!$B$11,regle!$B$23,IF(AB260=regle!$C$11,regle!$C$23,IF(AB260=regle!$D$11,regle!$D$23,IF(AB260=regle!$E$11,regle!$E$23,IF(AB260=regle!$F$11,regle!$F$23,IF(AB260=regle!$G$11,regle!$G$23,IF(AB260=regle!$H$11,regle!$H$23,IF(AB260=regle!$I$11,regle!$I$23,IF(AB260=regle!$J$11,regle!$J$23,0)))))))))))</f>
        <v>0</v>
      </c>
      <c r="AM260" s="14">
        <f>IF($A260,$M260*(IF(AC260=regle!$B$11,regle!$B$23,IF(AC260=regle!$C$11,regle!$C$23,IF(AC260=regle!$D$11,regle!$D$23,IF(AC260=regle!$E$11,regle!$E$23,IF(AC260=regle!$F$11,regle!$F$23,IF(AC260=regle!$G$11,regle!$G$23,IF(AC260=regle!$H$11,regle!$H$23,IF(AC260=regle!$I$11,regle!$I$23,IF(AC260=regle!$J$11,regle!$J$23,0)))))))))))</f>
        <v>-94.05</v>
      </c>
      <c r="AN260" s="14">
        <f>IF($A260,$M260*(IF(AD260=regle!$B$11,regle!$B$23,IF(AD260=regle!$C$11,regle!$C$23,IF(AD260=regle!$D$11,regle!$D$23,IF(AD260=regle!$E$11,regle!$E$23,IF(AD260=regle!$F$11,regle!$F$23,IF(AD260=regle!$G$11,regle!$G$23,IF(AD260=regle!$H$11,regle!$H$23,IF(AD260=regle!$I$11,regle!$I$23,IF(AD260=regle!$J$11,regle!$J$23,0)))))))))))</f>
        <v>0</v>
      </c>
      <c r="AO260">
        <f>IF(AO$1=$AO$1,IF(regle!B$2-$Q260&gt;=regle!$J$12,-2,IF($S260,IF(regle!$B$2-$Q260&gt;=2,0,-1),regle!B$2-$Q260)),IF(AN260+1&gt;=regle!$J$12,-2,AN260+1))</f>
        <v>0</v>
      </c>
      <c r="AP260">
        <f>IF(AP$1=$AO$1,IF(regle!C$2-$Q260&gt;=regle!$J$12,-2,IF($S260,IF(regle!$B$2-$Q260&gt;=2,0,-1),regle!C$2-$Q260)),IF(AO260+1&gt;=regle!$J$12,-2,AO260+1))</f>
        <v>1</v>
      </c>
      <c r="AQ260">
        <f>IF(AQ$1=$AO$1,IF(regle!D$2-$Q260&gt;=regle!$J$12,-2,IF($S260,IF(regle!$B$2-$Q260&gt;=2,0,-1),regle!D$2-$Q260)),IF(AP260+1&gt;=regle!$J$12,-2,AP260+1))</f>
        <v>2</v>
      </c>
      <c r="AR260">
        <f>IF(AR$1=$AO$1,IF(regle!E$2-$Q260&gt;=regle!$J$12,-2,IF($S260,IF(regle!$B$2-$Q260&gt;=2,0,-1),regle!E$2-$Q260)),IF(AQ260+1&gt;=regle!$J$12,-2,AQ260+1))</f>
        <v>3</v>
      </c>
      <c r="AS260">
        <f>IF(AS$1=$AO$1,IF(regle!F$2-$Q260&gt;=regle!$J$12,-2,IF($S260,IF(regle!$B$2-$Q260&gt;=2,0,-1),regle!F$2-$Q260)),IF(AR260+1&gt;=regle!$J$12,-2,AR260+1))</f>
        <v>4</v>
      </c>
      <c r="AT260">
        <f>IF(AT$1=$AO$1,IF(regle!G$2-$Q260&gt;=regle!$J$12,-2,IF($S260,IF(regle!$B$2-$Q260&gt;=2,0,-1),regle!G$2-$Q260)),IF(AS260+1&gt;=regle!$J$12,-2,AS260+1))</f>
        <v>5</v>
      </c>
      <c r="AU260">
        <f>IF(AU$1=$AO$1,IF(regle!H$2-$Q260&gt;=regle!$J$12,-2,IF($S260,IF(regle!$B$2-$Q260&gt;=2,0,-1),regle!H$2-$Q260)),IF(AT260+1&gt;=regle!$J$12,-2,AT260+1))</f>
        <v>6</v>
      </c>
      <c r="AV260">
        <f>IF(AV$1=$AO$1,IF(regle!I$2-$Q260&gt;=regle!$J$12,-2,IF($S260,IF(regle!$B$2-$Q260&gt;=2,0,-1),regle!I$2-$Q260)),IF(AU260+1&gt;=regle!$J$12,-2,AU260+1))</f>
        <v>7</v>
      </c>
      <c r="AW260">
        <f>IF(AW$1=$AO$1,IF(regle!J$2-$Q260&gt;=regle!$J$12,-2,IF($S260,IF(regle!$B$2-$Q260&gt;=2,0,-1),regle!J$2-$Q260)),IF(AV260+1&gt;=regle!$J$12,-2,AV260+1))</f>
        <v>8</v>
      </c>
      <c r="AX260">
        <f>IF(AX$1=$AO$1,IF(regle!K$2-$Q260&gt;=regle!$J$12,-2,IF($S260,IF(regle!$B$2-$Q260&gt;=2,0,-1),regle!K$2-$Q260)),IF(AW260+1&gt;=regle!$J$12,-2,AW260+1))</f>
        <v>9</v>
      </c>
    </row>
    <row r="261" spans="1:50" x14ac:dyDescent="0.25">
      <c r="A261" t="b">
        <f>AND(modif0[[#This Row],[cdstr]]&lt;&gt;0,OR(regle!$H$27=FALSE,modif0[[#This Row],[essnc]]="PM"))</f>
        <v>1</v>
      </c>
      <c r="B261">
        <f>ROW(objet!A305)</f>
        <v>305</v>
      </c>
      <c r="C261" s="10" t="str">
        <f>objet!D305</f>
        <v>1710000B0276</v>
      </c>
      <c r="D261" t="str">
        <f>LEFT(modif0[[#This Row],[cdstr]],3)</f>
        <v>171</v>
      </c>
      <c r="E261" s="10" t="str">
        <f>objet!G305</f>
        <v>MANO</v>
      </c>
      <c r="F261">
        <f>LEN(modif0[[#This Row],[l_dt]])</f>
        <v>17</v>
      </c>
      <c r="G261" s="10" t="str">
        <f>objet!H305</f>
        <v>LANDE DE TABARTON</v>
      </c>
      <c r="H261" s="10" t="str">
        <f>objet!C305</f>
        <v>B276</v>
      </c>
      <c r="I261" t="str">
        <f>IF(ISNUMBER(VALUE(RIGHT(LEFT(modif0[[#This Row],[idntfn]],2),1))),_xlfn.CONCAT(0,LEFT(modif0[[#This Row],[idntfn]],1)),LEFT(modif0[[#This Row],[idntfn]],2))</f>
        <v>0B</v>
      </c>
      <c r="J261">
        <f>VALUE(LEFT(RIGHT(modif0[[#This Row],[idntfn]],LEN(modif0[[#This Row],[idntfn]])-IF(LEFT(modif0[[#This Row],[sctn]],1)="0",1,2)),LEN(modif0[[#This Row],[idntfn]])-IF(LEFT(modif0[[#This Row],[sctn]],1)="0",1,2)-LEN(modif0[[#This Row],[lttr]])))</f>
        <v>276</v>
      </c>
      <c r="K261" t="str">
        <f>IF(ISNUMBER(VALUE(RIGHT(modif0[[#This Row],[idntfn]],1))),"",IF(ISNUMBER(VALUE(LEFT(RIGHT(modif0[[#This Row],[idntfn]],2),1))),RIGHT(modif0[[#This Row],[idntfn]],1),RIGHT(modif0[[#This Row],[idntfn]],2)))</f>
        <v/>
      </c>
      <c r="L261" s="10">
        <f>objet!I305</f>
        <v>27740</v>
      </c>
      <c r="M261" s="11">
        <f>modif0[[#This Row],[srfc]]/10000</f>
        <v>2.774</v>
      </c>
      <c r="N261" s="10" t="str">
        <f>objet!Z305</f>
        <v>PM</v>
      </c>
      <c r="O261" s="10" t="str">
        <f>objet!AA305</f>
        <v>CR2022</v>
      </c>
      <c r="P261" t="str">
        <f>IF(ISNUMBER(modif0[[#This Row],[trvx]]),"",LEFT(modif0[[#This Row],[trvx]],LEN(modif0[[#This Row],[trvx]])-4))</f>
        <v>CR</v>
      </c>
      <c r="Q261">
        <f>VALUE(RIGHT(modif0[[#This Row],[trvx]],4))</f>
        <v>2022</v>
      </c>
      <c r="R261" t="str">
        <f>_xlfn.CONCAT(modif0[[#This Row],[tp]],"-",modif0[[#This Row],[essnc]],"_",modif0[[#This Row],[anns]])</f>
        <v>CR-PM_2022</v>
      </c>
      <c r="S261" t="b">
        <f>modif0[[#This Row],[tp]]="CR"</f>
        <v>1</v>
      </c>
      <c r="T261">
        <v>40</v>
      </c>
      <c r="U261" t="str">
        <f>IF(NOT($A261),"",
IF(AO261=-2,regle!$J$11,
IF(AO261=regle!$B$12,regle!$B$11,
IF(AO261=regle!$C$12,regle!$C$11,
IF(AO261=regle!$D$12,regle!$D$11,
IF(AO261=regle!$E$12,regle!$E$11,
IF(AO261=regle!$F$12,regle!$F$11,
IF(AO261=regle!$G$12,regle!$G$11,
IF(AO261=regle!$H$12,regle!$H$11,
IF(AO261=regle!$I$12,regle!$I$11,""))))))))))</f>
        <v>RBST</v>
      </c>
      <c r="V261" t="str">
        <f>IF(NOT($A261),"",
IF(AP261=-2,regle!$J$11,
IF(AP261=regle!$B$12,regle!$B$11,
IF(AP261=regle!$C$12,regle!$C$11,
IF(AP261=regle!$D$12,regle!$D$11,
IF(AP261=regle!$E$12,regle!$E$11,
IF(AP261=regle!$F$12,regle!$F$11,
IF(AP261=regle!$G$12,regle!$G$11,
IF(AP261=regle!$H$12,regle!$H$11,
IF(AP261=regle!$I$12,regle!$I$11,""))))))))))</f>
        <v/>
      </c>
      <c r="W261" t="str">
        <f>IF(NOT($A261),"",
IF(AQ261=-2,regle!$J$11,
IF(AQ261=regle!$B$12,regle!$B$11,
IF(AQ261=regle!$C$12,regle!$C$11,
IF(AQ261=regle!$D$12,regle!$D$11,
IF(AQ261=regle!$E$12,regle!$E$11,
IF(AQ261=regle!$F$12,regle!$F$11,
IF(AQ261=regle!$G$12,regle!$G$11,
IF(AQ261=regle!$H$12,regle!$H$11,
IF(AQ261=regle!$I$12,regle!$I$11,""))))))))))</f>
        <v>DGT</v>
      </c>
      <c r="X261" t="str">
        <f>IF(NOT($A261),"",
IF(AR261=-2,regle!$J$11,
IF(AR261=regle!$B$12,regle!$B$11,
IF(AR261=regle!$C$12,regle!$C$11,
IF(AR261=regle!$D$12,regle!$D$11,
IF(AR261=regle!$E$12,regle!$E$11,
IF(AR261=regle!$F$12,regle!$F$11,
IF(AR261=regle!$G$12,regle!$G$11,
IF(AR261=regle!$H$12,regle!$H$11,
IF(AR261=regle!$I$12,regle!$I$11,""))))))))))</f>
        <v/>
      </c>
      <c r="Y261" t="str">
        <f>IF(NOT($A261),"",
IF(AS261=-2,regle!$J$11,
IF(AS261=regle!$B$12,regle!$B$11,
IF(AS261=regle!$C$12,regle!$C$11,
IF(AS261=regle!$D$12,regle!$D$11,
IF(AS261=regle!$E$12,regle!$E$11,
IF(AS261=regle!$F$12,regle!$F$11,
IF(AS261=regle!$G$12,regle!$G$11,
IF(AS261=regle!$H$12,regle!$H$11,
IF(AS261=regle!$I$12,regle!$I$11,""))))))))))</f>
        <v/>
      </c>
      <c r="Z261" t="str">
        <f>IF(NOT($A261),"",
IF(AT261=-2,regle!$J$11,
IF(AT261=regle!$B$12,regle!$B$11,
IF(AT261=regle!$C$12,regle!$C$11,
IF(AT261=regle!$D$12,regle!$D$11,
IF(AT261=regle!$E$12,regle!$E$11,
IF(AT261=regle!$F$12,regle!$F$11,
IF(AT261=regle!$G$12,regle!$G$11,
IF(AT261=regle!$H$12,regle!$H$11,
IF(AT261=regle!$I$12,regle!$I$11,""))))))))))</f>
        <v>ENT1</v>
      </c>
      <c r="AA261" t="str">
        <f>IF(NOT($A261),"",
IF(AU261=-2,regle!$J$11,
IF(AU261=regle!$B$12,regle!$B$11,
IF(AU261=regle!$C$12,regle!$C$11,
IF(AU261=regle!$D$12,regle!$D$11,
IF(AU261=regle!$E$12,regle!$E$11,
IF(AU261=regle!$F$12,regle!$F$11,
IF(AU261=regle!$G$12,regle!$G$11,
IF(AU261=regle!$H$12,regle!$H$11,
IF(AU261=regle!$I$12,regle!$I$11,""))))))))))</f>
        <v/>
      </c>
      <c r="AB261" t="str">
        <f>IF(NOT($A261),"",
IF(AV261=-2,regle!$J$11,
IF(AV261=regle!$B$12,regle!$B$11,
IF(AV261=regle!$C$12,regle!$C$11,
IF(AV261=regle!$D$12,regle!$D$11,
IF(AV261=regle!$E$12,regle!$E$11,
IF(AV261=regle!$F$12,regle!$F$11,
IF(AV261=regle!$G$12,regle!$G$11,
IF(AV261=regle!$H$12,regle!$H$11,
IF(AV261=regle!$I$12,regle!$I$11,""))))))))))</f>
        <v/>
      </c>
      <c r="AC261" t="str">
        <f>IF(NOT($A261),"",
IF(AW261=-2,regle!$J$11,
IF(AW261=regle!$B$12,regle!$B$11,
IF(AW261=regle!$C$12,regle!$C$11,
IF(AW261=regle!$D$12,regle!$D$11,
IF(AW261=regle!$E$12,regle!$E$11,
IF(AW261=regle!$F$12,regle!$F$11,
IF(AW261=regle!$G$12,regle!$G$11,
IF(AW261=regle!$H$12,regle!$H$11,
IF(AW261=regle!$I$12,regle!$I$11,""))))))))))</f>
        <v>ENT2</v>
      </c>
      <c r="AD261" t="str">
        <f>IF(NOT($A261),"",
IF(AX261=-2,regle!$J$11,
IF(AX261=regle!$B$12,regle!$B$11,
IF(AX261=regle!$C$12,regle!$C$11,
IF(AX261=regle!$D$12,regle!$D$11,
IF(AX261=regle!$E$12,regle!$E$11,
IF(AX261=regle!$F$12,regle!$F$11,
IF(AX261=regle!$G$12,regle!$G$11,
IF(AX261=regle!$H$12,regle!$H$11,
IF(AX261=regle!$I$12,regle!$I$11,""))))))))))</f>
        <v/>
      </c>
      <c r="AE261" s="14">
        <f>IF($A261,$M261*(IF(U261=regle!$B$11,regle!$B$23,IF(U261=regle!$C$11,regle!$C$23,IF(U261=regle!$D$11,regle!$D$23,IF(U261=regle!$E$11,regle!$E$23,IF(U261=regle!$F$11,regle!$F$23,IF(U261=regle!$G$11,regle!$G$23,IF(U261=regle!$H$11,regle!$H$23,IF(U261=regle!$I$11,regle!$I$23,IF(U261=regle!$J$11,regle!$J$23,0)))))))))))</f>
        <v>-4715.8</v>
      </c>
      <c r="AF261" s="14">
        <f>IF($A261,$M261*(IF(V261=regle!$B$11,regle!$B$23,IF(V261=regle!$C$11,regle!$C$23,IF(V261=regle!$D$11,regle!$D$23,IF(V261=regle!$E$11,regle!$E$23,IF(V261=regle!$F$11,regle!$F$23,IF(V261=regle!$G$11,regle!$G$23,IF(V261=regle!$H$11,regle!$H$23,IF(V261=regle!$I$11,regle!$I$23,IF(V261=regle!$J$11,regle!$J$23,0)))))))))))</f>
        <v>0</v>
      </c>
      <c r="AG261" s="14">
        <f>IF($A261,$M261*(IF(W261=regle!$B$11,regle!$B$23,IF(W261=regle!$C$11,regle!$C$23,IF(W261=regle!$D$11,regle!$D$23,IF(W261=regle!$E$11,regle!$E$23,IF(W261=regle!$F$11,regle!$F$23,IF(W261=regle!$G$11,regle!$G$23,IF(W261=regle!$H$11,regle!$H$23,IF(W261=regle!$I$11,regle!$I$23,IF(W261=regle!$J$11,regle!$J$23,0)))))))))))</f>
        <v>-208.05</v>
      </c>
      <c r="AH261" s="14">
        <f>IF($A261,$M261*(IF(X261=regle!$B$11,regle!$B$23,IF(X261=regle!$C$11,regle!$C$23,IF(X261=regle!$D$11,regle!$D$23,IF(X261=regle!$E$11,regle!$E$23,IF(X261=regle!$F$11,regle!$F$23,IF(X261=regle!$G$11,regle!$G$23,IF(X261=regle!$H$11,regle!$H$23,IF(X261=regle!$I$11,regle!$I$23,IF(X261=regle!$J$11,regle!$J$23,0)))))))))))</f>
        <v>0</v>
      </c>
      <c r="AI261" s="14">
        <f>IF($A261,$M261*(IF(Y261=regle!$B$11,regle!$B$23,IF(Y261=regle!$C$11,regle!$C$23,IF(Y261=regle!$D$11,regle!$D$23,IF(Y261=regle!$E$11,regle!$E$23,IF(Y261=regle!$F$11,regle!$F$23,IF(Y261=regle!$G$11,regle!$G$23,IF(Y261=regle!$H$11,regle!$H$23,IF(Y261=regle!$I$11,regle!$I$23,IF(Y261=regle!$J$11,regle!$J$23,0)))))))))))</f>
        <v>0</v>
      </c>
      <c r="AJ261" s="14">
        <f>IF($A261,$M261*(IF(Z261=regle!$B$11,regle!$B$23,IF(Z261=regle!$C$11,regle!$C$23,IF(Z261=regle!$D$11,regle!$D$23,IF(Z261=regle!$E$11,regle!$E$23,IF(Z261=regle!$F$11,regle!$F$23,IF(Z261=regle!$G$11,regle!$G$23,IF(Z261=regle!$H$11,regle!$H$23,IF(Z261=regle!$I$11,regle!$I$23,IF(Z261=regle!$J$11,regle!$J$23,0)))))))))))</f>
        <v>-249.66</v>
      </c>
      <c r="AK261" s="14">
        <f>IF($A261,$M261*(IF(AA261=regle!$B$11,regle!$B$23,IF(AA261=regle!$C$11,regle!$C$23,IF(AA261=regle!$D$11,regle!$D$23,IF(AA261=regle!$E$11,regle!$E$23,IF(AA261=regle!$F$11,regle!$F$23,IF(AA261=regle!$G$11,regle!$G$23,IF(AA261=regle!$H$11,regle!$H$23,IF(AA261=regle!$I$11,regle!$I$23,IF(AA261=regle!$J$11,regle!$J$23,0)))))))))))</f>
        <v>0</v>
      </c>
      <c r="AL261" s="14">
        <f>IF($A261,$M261*(IF(AB261=regle!$B$11,regle!$B$23,IF(AB261=regle!$C$11,regle!$C$23,IF(AB261=regle!$D$11,regle!$D$23,IF(AB261=regle!$E$11,regle!$E$23,IF(AB261=regle!$F$11,regle!$F$23,IF(AB261=regle!$G$11,regle!$G$23,IF(AB261=regle!$H$11,regle!$H$23,IF(AB261=regle!$I$11,regle!$I$23,IF(AB261=regle!$J$11,regle!$J$23,0)))))))))))</f>
        <v>0</v>
      </c>
      <c r="AM261" s="14">
        <f>IF($A261,$M261*(IF(AC261=regle!$B$11,regle!$B$23,IF(AC261=regle!$C$11,regle!$C$23,IF(AC261=regle!$D$11,regle!$D$23,IF(AC261=regle!$E$11,regle!$E$23,IF(AC261=regle!$F$11,regle!$F$23,IF(AC261=regle!$G$11,regle!$G$23,IF(AC261=regle!$H$11,regle!$H$23,IF(AC261=regle!$I$11,regle!$I$23,IF(AC261=regle!$J$11,regle!$J$23,0)))))))))))</f>
        <v>-249.66</v>
      </c>
      <c r="AN261" s="14">
        <f>IF($A261,$M261*(IF(AD261=regle!$B$11,regle!$B$23,IF(AD261=regle!$C$11,regle!$C$23,IF(AD261=regle!$D$11,regle!$D$23,IF(AD261=regle!$E$11,regle!$E$23,IF(AD261=regle!$F$11,regle!$F$23,IF(AD261=regle!$G$11,regle!$G$23,IF(AD261=regle!$H$11,regle!$H$23,IF(AD261=regle!$I$11,regle!$I$23,IF(AD261=regle!$J$11,regle!$J$23,0)))))))))))</f>
        <v>0</v>
      </c>
      <c r="AO261">
        <f>IF(AO$1=$AO$1,IF(regle!B$2-$Q261&gt;=regle!$J$12,-2,IF($S261,IF(regle!$B$2-$Q261&gt;=2,0,-1),regle!B$2-$Q261)),IF(AN261+1&gt;=regle!$J$12,-2,AN261+1))</f>
        <v>0</v>
      </c>
      <c r="AP261">
        <f>IF(AP$1=$AO$1,IF(regle!C$2-$Q261&gt;=regle!$J$12,-2,IF($S261,IF(regle!$B$2-$Q261&gt;=2,0,-1),regle!C$2-$Q261)),IF(AO261+1&gt;=regle!$J$12,-2,AO261+1))</f>
        <v>1</v>
      </c>
      <c r="AQ261">
        <f>IF(AQ$1=$AO$1,IF(regle!D$2-$Q261&gt;=regle!$J$12,-2,IF($S261,IF(regle!$B$2-$Q261&gt;=2,0,-1),regle!D$2-$Q261)),IF(AP261+1&gt;=regle!$J$12,-2,AP261+1))</f>
        <v>2</v>
      </c>
      <c r="AR261">
        <f>IF(AR$1=$AO$1,IF(regle!E$2-$Q261&gt;=regle!$J$12,-2,IF($S261,IF(regle!$B$2-$Q261&gt;=2,0,-1),regle!E$2-$Q261)),IF(AQ261+1&gt;=regle!$J$12,-2,AQ261+1))</f>
        <v>3</v>
      </c>
      <c r="AS261">
        <f>IF(AS$1=$AO$1,IF(regle!F$2-$Q261&gt;=regle!$J$12,-2,IF($S261,IF(regle!$B$2-$Q261&gt;=2,0,-1),regle!F$2-$Q261)),IF(AR261+1&gt;=regle!$J$12,-2,AR261+1))</f>
        <v>4</v>
      </c>
      <c r="AT261">
        <f>IF(AT$1=$AO$1,IF(regle!G$2-$Q261&gt;=regle!$J$12,-2,IF($S261,IF(regle!$B$2-$Q261&gt;=2,0,-1),regle!G$2-$Q261)),IF(AS261+1&gt;=regle!$J$12,-2,AS261+1))</f>
        <v>5</v>
      </c>
      <c r="AU261">
        <f>IF(AU$1=$AO$1,IF(regle!H$2-$Q261&gt;=regle!$J$12,-2,IF($S261,IF(regle!$B$2-$Q261&gt;=2,0,-1),regle!H$2-$Q261)),IF(AT261+1&gt;=regle!$J$12,-2,AT261+1))</f>
        <v>6</v>
      </c>
      <c r="AV261">
        <f>IF(AV$1=$AO$1,IF(regle!I$2-$Q261&gt;=regle!$J$12,-2,IF($S261,IF(regle!$B$2-$Q261&gt;=2,0,-1),regle!I$2-$Q261)),IF(AU261+1&gt;=regle!$J$12,-2,AU261+1))</f>
        <v>7</v>
      </c>
      <c r="AW261">
        <f>IF(AW$1=$AO$1,IF(regle!J$2-$Q261&gt;=regle!$J$12,-2,IF($S261,IF(regle!$B$2-$Q261&gt;=2,0,-1),regle!J$2-$Q261)),IF(AV261+1&gt;=regle!$J$12,-2,AV261+1))</f>
        <v>8</v>
      </c>
      <c r="AX261">
        <f>IF(AX$1=$AO$1,IF(regle!K$2-$Q261&gt;=regle!$J$12,-2,IF($S261,IF(regle!$B$2-$Q261&gt;=2,0,-1),regle!K$2-$Q261)),IF(AW261+1&gt;=regle!$J$12,-2,AW261+1))</f>
        <v>9</v>
      </c>
    </row>
    <row r="262" spans="1:50" x14ac:dyDescent="0.25">
      <c r="A262" t="b">
        <f>AND(modif0[[#This Row],[cdstr]]&lt;&gt;0,OR(regle!$H$27=FALSE,modif0[[#This Row],[essnc]]="PM"))</f>
        <v>1</v>
      </c>
      <c r="B262">
        <f>ROW(objet!A306)</f>
        <v>306</v>
      </c>
      <c r="C262" s="10" t="str">
        <f>objet!D306</f>
        <v>1710000B0277</v>
      </c>
      <c r="D262" t="str">
        <f>LEFT(modif0[[#This Row],[cdstr]],3)</f>
        <v>171</v>
      </c>
      <c r="E262" s="10" t="str">
        <f>objet!G306</f>
        <v>MANO</v>
      </c>
      <c r="F262">
        <f>LEN(modif0[[#This Row],[l_dt]])</f>
        <v>17</v>
      </c>
      <c r="G262" s="10" t="str">
        <f>objet!H306</f>
        <v>LANDE DE TABARTON</v>
      </c>
      <c r="H262" s="10" t="str">
        <f>objet!C306</f>
        <v>B277</v>
      </c>
      <c r="I262" t="str">
        <f>IF(ISNUMBER(VALUE(RIGHT(LEFT(modif0[[#This Row],[idntfn]],2),1))),_xlfn.CONCAT(0,LEFT(modif0[[#This Row],[idntfn]],1)),LEFT(modif0[[#This Row],[idntfn]],2))</f>
        <v>0B</v>
      </c>
      <c r="J262">
        <f>VALUE(LEFT(RIGHT(modif0[[#This Row],[idntfn]],LEN(modif0[[#This Row],[idntfn]])-IF(LEFT(modif0[[#This Row],[sctn]],1)="0",1,2)),LEN(modif0[[#This Row],[idntfn]])-IF(LEFT(modif0[[#This Row],[sctn]],1)="0",1,2)-LEN(modif0[[#This Row],[lttr]])))</f>
        <v>277</v>
      </c>
      <c r="K262" t="str">
        <f>IF(ISNUMBER(VALUE(RIGHT(modif0[[#This Row],[idntfn]],1))),"",IF(ISNUMBER(VALUE(LEFT(RIGHT(modif0[[#This Row],[idntfn]],2),1))),RIGHT(modif0[[#This Row],[idntfn]],1),RIGHT(modif0[[#This Row],[idntfn]],2)))</f>
        <v/>
      </c>
      <c r="L262" s="10">
        <f>objet!I306</f>
        <v>29100</v>
      </c>
      <c r="M262" s="11">
        <f>modif0[[#This Row],[srfc]]/10000</f>
        <v>2.91</v>
      </c>
      <c r="N262" s="10" t="str">
        <f>objet!Z306</f>
        <v>PM</v>
      </c>
      <c r="O262" s="10" t="str">
        <f>objet!AA306</f>
        <v>CR2022</v>
      </c>
      <c r="P262" t="str">
        <f>IF(ISNUMBER(modif0[[#This Row],[trvx]]),"",LEFT(modif0[[#This Row],[trvx]],LEN(modif0[[#This Row],[trvx]])-4))</f>
        <v>CR</v>
      </c>
      <c r="Q262">
        <f>VALUE(RIGHT(modif0[[#This Row],[trvx]],4))</f>
        <v>2022</v>
      </c>
      <c r="R262" t="str">
        <f>_xlfn.CONCAT(modif0[[#This Row],[tp]],"-",modif0[[#This Row],[essnc]],"_",modif0[[#This Row],[anns]])</f>
        <v>CR-PM_2022</v>
      </c>
      <c r="S262" t="b">
        <f>modif0[[#This Row],[tp]]="CR"</f>
        <v>1</v>
      </c>
      <c r="T262">
        <v>40</v>
      </c>
      <c r="U262" t="str">
        <f>IF(NOT($A262),"",
IF(AO262=-2,regle!$J$11,
IF(AO262=regle!$B$12,regle!$B$11,
IF(AO262=regle!$C$12,regle!$C$11,
IF(AO262=regle!$D$12,regle!$D$11,
IF(AO262=regle!$E$12,regle!$E$11,
IF(AO262=regle!$F$12,regle!$F$11,
IF(AO262=regle!$G$12,regle!$G$11,
IF(AO262=regle!$H$12,regle!$H$11,
IF(AO262=regle!$I$12,regle!$I$11,""))))))))))</f>
        <v>RBST</v>
      </c>
      <c r="V262" t="str">
        <f>IF(NOT($A262),"",
IF(AP262=-2,regle!$J$11,
IF(AP262=regle!$B$12,regle!$B$11,
IF(AP262=regle!$C$12,regle!$C$11,
IF(AP262=regle!$D$12,regle!$D$11,
IF(AP262=regle!$E$12,regle!$E$11,
IF(AP262=regle!$F$12,regle!$F$11,
IF(AP262=regle!$G$12,regle!$G$11,
IF(AP262=regle!$H$12,regle!$H$11,
IF(AP262=regle!$I$12,regle!$I$11,""))))))))))</f>
        <v/>
      </c>
      <c r="W262" t="str">
        <f>IF(NOT($A262),"",
IF(AQ262=-2,regle!$J$11,
IF(AQ262=regle!$B$12,regle!$B$11,
IF(AQ262=regle!$C$12,regle!$C$11,
IF(AQ262=regle!$D$12,regle!$D$11,
IF(AQ262=regle!$E$12,regle!$E$11,
IF(AQ262=regle!$F$12,regle!$F$11,
IF(AQ262=regle!$G$12,regle!$G$11,
IF(AQ262=regle!$H$12,regle!$H$11,
IF(AQ262=regle!$I$12,regle!$I$11,""))))))))))</f>
        <v>DGT</v>
      </c>
      <c r="X262" t="str">
        <f>IF(NOT($A262),"",
IF(AR262=-2,regle!$J$11,
IF(AR262=regle!$B$12,regle!$B$11,
IF(AR262=regle!$C$12,regle!$C$11,
IF(AR262=regle!$D$12,regle!$D$11,
IF(AR262=regle!$E$12,regle!$E$11,
IF(AR262=regle!$F$12,regle!$F$11,
IF(AR262=regle!$G$12,regle!$G$11,
IF(AR262=regle!$H$12,regle!$H$11,
IF(AR262=regle!$I$12,regle!$I$11,""))))))))))</f>
        <v/>
      </c>
      <c r="Y262" t="str">
        <f>IF(NOT($A262),"",
IF(AS262=-2,regle!$J$11,
IF(AS262=regle!$B$12,regle!$B$11,
IF(AS262=regle!$C$12,regle!$C$11,
IF(AS262=regle!$D$12,regle!$D$11,
IF(AS262=regle!$E$12,regle!$E$11,
IF(AS262=regle!$F$12,regle!$F$11,
IF(AS262=regle!$G$12,regle!$G$11,
IF(AS262=regle!$H$12,regle!$H$11,
IF(AS262=regle!$I$12,regle!$I$11,""))))))))))</f>
        <v/>
      </c>
      <c r="Z262" t="str">
        <f>IF(NOT($A262),"",
IF(AT262=-2,regle!$J$11,
IF(AT262=regle!$B$12,regle!$B$11,
IF(AT262=regle!$C$12,regle!$C$11,
IF(AT262=regle!$D$12,regle!$D$11,
IF(AT262=regle!$E$12,regle!$E$11,
IF(AT262=regle!$F$12,regle!$F$11,
IF(AT262=regle!$G$12,regle!$G$11,
IF(AT262=regle!$H$12,regle!$H$11,
IF(AT262=regle!$I$12,regle!$I$11,""))))))))))</f>
        <v>ENT1</v>
      </c>
      <c r="AA262" t="str">
        <f>IF(NOT($A262),"",
IF(AU262=-2,regle!$J$11,
IF(AU262=regle!$B$12,regle!$B$11,
IF(AU262=regle!$C$12,regle!$C$11,
IF(AU262=regle!$D$12,regle!$D$11,
IF(AU262=regle!$E$12,regle!$E$11,
IF(AU262=regle!$F$12,regle!$F$11,
IF(AU262=regle!$G$12,regle!$G$11,
IF(AU262=regle!$H$12,regle!$H$11,
IF(AU262=regle!$I$12,regle!$I$11,""))))))))))</f>
        <v/>
      </c>
      <c r="AB262" t="str">
        <f>IF(NOT($A262),"",
IF(AV262=-2,regle!$J$11,
IF(AV262=regle!$B$12,regle!$B$11,
IF(AV262=regle!$C$12,regle!$C$11,
IF(AV262=regle!$D$12,regle!$D$11,
IF(AV262=regle!$E$12,regle!$E$11,
IF(AV262=regle!$F$12,regle!$F$11,
IF(AV262=regle!$G$12,regle!$G$11,
IF(AV262=regle!$H$12,regle!$H$11,
IF(AV262=regle!$I$12,regle!$I$11,""))))))))))</f>
        <v/>
      </c>
      <c r="AC262" t="str">
        <f>IF(NOT($A262),"",
IF(AW262=-2,regle!$J$11,
IF(AW262=regle!$B$12,regle!$B$11,
IF(AW262=regle!$C$12,regle!$C$11,
IF(AW262=regle!$D$12,regle!$D$11,
IF(AW262=regle!$E$12,regle!$E$11,
IF(AW262=regle!$F$12,regle!$F$11,
IF(AW262=regle!$G$12,regle!$G$11,
IF(AW262=regle!$H$12,regle!$H$11,
IF(AW262=regle!$I$12,regle!$I$11,""))))))))))</f>
        <v>ENT2</v>
      </c>
      <c r="AD262" t="str">
        <f>IF(NOT($A262),"",
IF(AX262=-2,regle!$J$11,
IF(AX262=regle!$B$12,regle!$B$11,
IF(AX262=regle!$C$12,regle!$C$11,
IF(AX262=regle!$D$12,regle!$D$11,
IF(AX262=regle!$E$12,regle!$E$11,
IF(AX262=regle!$F$12,regle!$F$11,
IF(AX262=regle!$G$12,regle!$G$11,
IF(AX262=regle!$H$12,regle!$H$11,
IF(AX262=regle!$I$12,regle!$I$11,""))))))))))</f>
        <v/>
      </c>
      <c r="AE262" s="14">
        <f>IF($A262,$M262*(IF(U262=regle!$B$11,regle!$B$23,IF(U262=regle!$C$11,regle!$C$23,IF(U262=regle!$D$11,regle!$D$23,IF(U262=regle!$E$11,regle!$E$23,IF(U262=regle!$F$11,regle!$F$23,IF(U262=regle!$G$11,regle!$G$23,IF(U262=regle!$H$11,regle!$H$23,IF(U262=regle!$I$11,regle!$I$23,IF(U262=regle!$J$11,regle!$J$23,0)))))))))))</f>
        <v>-4947</v>
      </c>
      <c r="AF262" s="14">
        <f>IF($A262,$M262*(IF(V262=regle!$B$11,regle!$B$23,IF(V262=regle!$C$11,regle!$C$23,IF(V262=regle!$D$11,regle!$D$23,IF(V262=regle!$E$11,regle!$E$23,IF(V262=regle!$F$11,regle!$F$23,IF(V262=regle!$G$11,regle!$G$23,IF(V262=regle!$H$11,regle!$H$23,IF(V262=regle!$I$11,regle!$I$23,IF(V262=regle!$J$11,regle!$J$23,0)))))))))))</f>
        <v>0</v>
      </c>
      <c r="AG262" s="14">
        <f>IF($A262,$M262*(IF(W262=regle!$B$11,regle!$B$23,IF(W262=regle!$C$11,regle!$C$23,IF(W262=regle!$D$11,regle!$D$23,IF(W262=regle!$E$11,regle!$E$23,IF(W262=regle!$F$11,regle!$F$23,IF(W262=regle!$G$11,regle!$G$23,IF(W262=regle!$H$11,regle!$H$23,IF(W262=regle!$I$11,regle!$I$23,IF(W262=regle!$J$11,regle!$J$23,0)))))))))))</f>
        <v>-218.25</v>
      </c>
      <c r="AH262" s="14">
        <f>IF($A262,$M262*(IF(X262=regle!$B$11,regle!$B$23,IF(X262=regle!$C$11,regle!$C$23,IF(X262=regle!$D$11,regle!$D$23,IF(X262=regle!$E$11,regle!$E$23,IF(X262=regle!$F$11,regle!$F$23,IF(X262=regle!$G$11,regle!$G$23,IF(X262=regle!$H$11,regle!$H$23,IF(X262=regle!$I$11,regle!$I$23,IF(X262=regle!$J$11,regle!$J$23,0)))))))))))</f>
        <v>0</v>
      </c>
      <c r="AI262" s="14">
        <f>IF($A262,$M262*(IF(Y262=regle!$B$11,regle!$B$23,IF(Y262=regle!$C$11,regle!$C$23,IF(Y262=regle!$D$11,regle!$D$23,IF(Y262=regle!$E$11,regle!$E$23,IF(Y262=regle!$F$11,regle!$F$23,IF(Y262=regle!$G$11,regle!$G$23,IF(Y262=regle!$H$11,regle!$H$23,IF(Y262=regle!$I$11,regle!$I$23,IF(Y262=regle!$J$11,regle!$J$23,0)))))))))))</f>
        <v>0</v>
      </c>
      <c r="AJ262" s="14">
        <f>IF($A262,$M262*(IF(Z262=regle!$B$11,regle!$B$23,IF(Z262=regle!$C$11,regle!$C$23,IF(Z262=regle!$D$11,regle!$D$23,IF(Z262=regle!$E$11,regle!$E$23,IF(Z262=regle!$F$11,regle!$F$23,IF(Z262=regle!$G$11,regle!$G$23,IF(Z262=regle!$H$11,regle!$H$23,IF(Z262=regle!$I$11,regle!$I$23,IF(Z262=regle!$J$11,regle!$J$23,0)))))))))))</f>
        <v>-261.90000000000003</v>
      </c>
      <c r="AK262" s="14">
        <f>IF($A262,$M262*(IF(AA262=regle!$B$11,regle!$B$23,IF(AA262=regle!$C$11,regle!$C$23,IF(AA262=regle!$D$11,regle!$D$23,IF(AA262=regle!$E$11,regle!$E$23,IF(AA262=regle!$F$11,regle!$F$23,IF(AA262=regle!$G$11,regle!$G$23,IF(AA262=regle!$H$11,regle!$H$23,IF(AA262=regle!$I$11,regle!$I$23,IF(AA262=regle!$J$11,regle!$J$23,0)))))))))))</f>
        <v>0</v>
      </c>
      <c r="AL262" s="14">
        <f>IF($A262,$M262*(IF(AB262=regle!$B$11,regle!$B$23,IF(AB262=regle!$C$11,regle!$C$23,IF(AB262=regle!$D$11,regle!$D$23,IF(AB262=regle!$E$11,regle!$E$23,IF(AB262=regle!$F$11,regle!$F$23,IF(AB262=regle!$G$11,regle!$G$23,IF(AB262=regle!$H$11,regle!$H$23,IF(AB262=regle!$I$11,regle!$I$23,IF(AB262=regle!$J$11,regle!$J$23,0)))))))))))</f>
        <v>0</v>
      </c>
      <c r="AM262" s="14">
        <f>IF($A262,$M262*(IF(AC262=regle!$B$11,regle!$B$23,IF(AC262=regle!$C$11,regle!$C$23,IF(AC262=regle!$D$11,regle!$D$23,IF(AC262=regle!$E$11,regle!$E$23,IF(AC262=regle!$F$11,regle!$F$23,IF(AC262=regle!$G$11,regle!$G$23,IF(AC262=regle!$H$11,regle!$H$23,IF(AC262=regle!$I$11,regle!$I$23,IF(AC262=regle!$J$11,regle!$J$23,0)))))))))))</f>
        <v>-261.90000000000003</v>
      </c>
      <c r="AN262" s="14">
        <f>IF($A262,$M262*(IF(AD262=regle!$B$11,regle!$B$23,IF(AD262=regle!$C$11,regle!$C$23,IF(AD262=regle!$D$11,regle!$D$23,IF(AD262=regle!$E$11,regle!$E$23,IF(AD262=regle!$F$11,regle!$F$23,IF(AD262=regle!$G$11,regle!$G$23,IF(AD262=regle!$H$11,regle!$H$23,IF(AD262=regle!$I$11,regle!$I$23,IF(AD262=regle!$J$11,regle!$J$23,0)))))))))))</f>
        <v>0</v>
      </c>
      <c r="AO262">
        <f>IF(AO$1=$AO$1,IF(regle!B$2-$Q262&gt;=regle!$J$12,-2,IF($S262,IF(regle!$B$2-$Q262&gt;=2,0,-1),regle!B$2-$Q262)),IF(AN262+1&gt;=regle!$J$12,-2,AN262+1))</f>
        <v>0</v>
      </c>
      <c r="AP262">
        <f>IF(AP$1=$AO$1,IF(regle!C$2-$Q262&gt;=regle!$J$12,-2,IF($S262,IF(regle!$B$2-$Q262&gt;=2,0,-1),regle!C$2-$Q262)),IF(AO262+1&gt;=regle!$J$12,-2,AO262+1))</f>
        <v>1</v>
      </c>
      <c r="AQ262">
        <f>IF(AQ$1=$AO$1,IF(regle!D$2-$Q262&gt;=regle!$J$12,-2,IF($S262,IF(regle!$B$2-$Q262&gt;=2,0,-1),regle!D$2-$Q262)),IF(AP262+1&gt;=regle!$J$12,-2,AP262+1))</f>
        <v>2</v>
      </c>
      <c r="AR262">
        <f>IF(AR$1=$AO$1,IF(regle!E$2-$Q262&gt;=regle!$J$12,-2,IF($S262,IF(regle!$B$2-$Q262&gt;=2,0,-1),regle!E$2-$Q262)),IF(AQ262+1&gt;=regle!$J$12,-2,AQ262+1))</f>
        <v>3</v>
      </c>
      <c r="AS262">
        <f>IF(AS$1=$AO$1,IF(regle!F$2-$Q262&gt;=regle!$J$12,-2,IF($S262,IF(regle!$B$2-$Q262&gt;=2,0,-1),regle!F$2-$Q262)),IF(AR262+1&gt;=regle!$J$12,-2,AR262+1))</f>
        <v>4</v>
      </c>
      <c r="AT262">
        <f>IF(AT$1=$AO$1,IF(regle!G$2-$Q262&gt;=regle!$J$12,-2,IF($S262,IF(regle!$B$2-$Q262&gt;=2,0,-1),regle!G$2-$Q262)),IF(AS262+1&gt;=regle!$J$12,-2,AS262+1))</f>
        <v>5</v>
      </c>
      <c r="AU262">
        <f>IF(AU$1=$AO$1,IF(regle!H$2-$Q262&gt;=regle!$J$12,-2,IF($S262,IF(regle!$B$2-$Q262&gt;=2,0,-1),regle!H$2-$Q262)),IF(AT262+1&gt;=regle!$J$12,-2,AT262+1))</f>
        <v>6</v>
      </c>
      <c r="AV262">
        <f>IF(AV$1=$AO$1,IF(regle!I$2-$Q262&gt;=regle!$J$12,-2,IF($S262,IF(regle!$B$2-$Q262&gt;=2,0,-1),regle!I$2-$Q262)),IF(AU262+1&gt;=regle!$J$12,-2,AU262+1))</f>
        <v>7</v>
      </c>
      <c r="AW262">
        <f>IF(AW$1=$AO$1,IF(regle!J$2-$Q262&gt;=regle!$J$12,-2,IF($S262,IF(regle!$B$2-$Q262&gt;=2,0,-1),regle!J$2-$Q262)),IF(AV262+1&gt;=regle!$J$12,-2,AV262+1))</f>
        <v>8</v>
      </c>
      <c r="AX262">
        <f>IF(AX$1=$AO$1,IF(regle!K$2-$Q262&gt;=regle!$J$12,-2,IF($S262,IF(regle!$B$2-$Q262&gt;=2,0,-1),regle!K$2-$Q262)),IF(AW262+1&gt;=regle!$J$12,-2,AW262+1))</f>
        <v>9</v>
      </c>
    </row>
    <row r="263" spans="1:50" x14ac:dyDescent="0.25">
      <c r="A263" t="b">
        <f>AND(modif0[[#This Row],[cdstr]]&lt;&gt;0,OR(regle!$H$27=FALSE,modif0[[#This Row],[essnc]]="PM"))</f>
        <v>1</v>
      </c>
      <c r="B263">
        <f>ROW(objet!A307)</f>
        <v>307</v>
      </c>
      <c r="C263" s="10" t="str">
        <f>objet!D307</f>
        <v>1710000B0279</v>
      </c>
      <c r="D263" t="str">
        <f>LEFT(modif0[[#This Row],[cdstr]],3)</f>
        <v>171</v>
      </c>
      <c r="E263" s="10" t="str">
        <f>objet!G307</f>
        <v>MANO</v>
      </c>
      <c r="F263">
        <f>LEN(modif0[[#This Row],[l_dt]])</f>
        <v>17</v>
      </c>
      <c r="G263" s="10" t="str">
        <f>objet!H307</f>
        <v>LANDE DE TABARTON</v>
      </c>
      <c r="H263" s="10" t="str">
        <f>objet!C307</f>
        <v>B279</v>
      </c>
      <c r="I263" t="str">
        <f>IF(ISNUMBER(VALUE(RIGHT(LEFT(modif0[[#This Row],[idntfn]],2),1))),_xlfn.CONCAT(0,LEFT(modif0[[#This Row],[idntfn]],1)),LEFT(modif0[[#This Row],[idntfn]],2))</f>
        <v>0B</v>
      </c>
      <c r="J263">
        <f>VALUE(LEFT(RIGHT(modif0[[#This Row],[idntfn]],LEN(modif0[[#This Row],[idntfn]])-IF(LEFT(modif0[[#This Row],[sctn]],1)="0",1,2)),LEN(modif0[[#This Row],[idntfn]])-IF(LEFT(modif0[[#This Row],[sctn]],1)="0",1,2)-LEN(modif0[[#This Row],[lttr]])))</f>
        <v>279</v>
      </c>
      <c r="K263" t="str">
        <f>IF(ISNUMBER(VALUE(RIGHT(modif0[[#This Row],[idntfn]],1))),"",IF(ISNUMBER(VALUE(LEFT(RIGHT(modif0[[#This Row],[idntfn]],2),1))),RIGHT(modif0[[#This Row],[idntfn]],1),RIGHT(modif0[[#This Row],[idntfn]],2)))</f>
        <v/>
      </c>
      <c r="L263" s="10">
        <f>objet!I307</f>
        <v>11200</v>
      </c>
      <c r="M263" s="11">
        <f>modif0[[#This Row],[srfc]]/10000</f>
        <v>1.1200000000000001</v>
      </c>
      <c r="N263" s="10" t="str">
        <f>objet!Z307</f>
        <v>PM</v>
      </c>
      <c r="O263" s="10" t="str">
        <f>objet!AA307</f>
        <v>CR2022</v>
      </c>
      <c r="P263" t="str">
        <f>IF(ISNUMBER(modif0[[#This Row],[trvx]]),"",LEFT(modif0[[#This Row],[trvx]],LEN(modif0[[#This Row],[trvx]])-4))</f>
        <v>CR</v>
      </c>
      <c r="Q263">
        <f>VALUE(RIGHT(modif0[[#This Row],[trvx]],4))</f>
        <v>2022</v>
      </c>
      <c r="R263" t="str">
        <f>_xlfn.CONCAT(modif0[[#This Row],[tp]],"-",modif0[[#This Row],[essnc]],"_",modif0[[#This Row],[anns]])</f>
        <v>CR-PM_2022</v>
      </c>
      <c r="S263" t="b">
        <f>modif0[[#This Row],[tp]]="CR"</f>
        <v>1</v>
      </c>
      <c r="T263">
        <v>40</v>
      </c>
      <c r="U263" t="str">
        <f>IF(NOT($A263),"",
IF(AO263=-2,regle!$J$11,
IF(AO263=regle!$B$12,regle!$B$11,
IF(AO263=regle!$C$12,regle!$C$11,
IF(AO263=regle!$D$12,regle!$D$11,
IF(AO263=regle!$E$12,regle!$E$11,
IF(AO263=regle!$F$12,regle!$F$11,
IF(AO263=regle!$G$12,regle!$G$11,
IF(AO263=regle!$H$12,regle!$H$11,
IF(AO263=regle!$I$12,regle!$I$11,""))))))))))</f>
        <v>RBST</v>
      </c>
      <c r="V263" t="str">
        <f>IF(NOT($A263),"",
IF(AP263=-2,regle!$J$11,
IF(AP263=regle!$B$12,regle!$B$11,
IF(AP263=regle!$C$12,regle!$C$11,
IF(AP263=regle!$D$12,regle!$D$11,
IF(AP263=regle!$E$12,regle!$E$11,
IF(AP263=regle!$F$12,regle!$F$11,
IF(AP263=regle!$G$12,regle!$G$11,
IF(AP263=regle!$H$12,regle!$H$11,
IF(AP263=regle!$I$12,regle!$I$11,""))))))))))</f>
        <v/>
      </c>
      <c r="W263" t="str">
        <f>IF(NOT($A263),"",
IF(AQ263=-2,regle!$J$11,
IF(AQ263=regle!$B$12,regle!$B$11,
IF(AQ263=regle!$C$12,regle!$C$11,
IF(AQ263=regle!$D$12,regle!$D$11,
IF(AQ263=regle!$E$12,regle!$E$11,
IF(AQ263=regle!$F$12,regle!$F$11,
IF(AQ263=regle!$G$12,regle!$G$11,
IF(AQ263=regle!$H$12,regle!$H$11,
IF(AQ263=regle!$I$12,regle!$I$11,""))))))))))</f>
        <v>DGT</v>
      </c>
      <c r="X263" t="str">
        <f>IF(NOT($A263),"",
IF(AR263=-2,regle!$J$11,
IF(AR263=regle!$B$12,regle!$B$11,
IF(AR263=regle!$C$12,regle!$C$11,
IF(AR263=regle!$D$12,regle!$D$11,
IF(AR263=regle!$E$12,regle!$E$11,
IF(AR263=regle!$F$12,regle!$F$11,
IF(AR263=regle!$G$12,regle!$G$11,
IF(AR263=regle!$H$12,regle!$H$11,
IF(AR263=regle!$I$12,regle!$I$11,""))))))))))</f>
        <v/>
      </c>
      <c r="Y263" t="str">
        <f>IF(NOT($A263),"",
IF(AS263=-2,regle!$J$11,
IF(AS263=regle!$B$12,regle!$B$11,
IF(AS263=regle!$C$12,regle!$C$11,
IF(AS263=regle!$D$12,regle!$D$11,
IF(AS263=regle!$E$12,regle!$E$11,
IF(AS263=regle!$F$12,regle!$F$11,
IF(AS263=regle!$G$12,regle!$G$11,
IF(AS263=regle!$H$12,regle!$H$11,
IF(AS263=regle!$I$12,regle!$I$11,""))))))))))</f>
        <v/>
      </c>
      <c r="Z263" t="str">
        <f>IF(NOT($A263),"",
IF(AT263=-2,regle!$J$11,
IF(AT263=regle!$B$12,regle!$B$11,
IF(AT263=regle!$C$12,regle!$C$11,
IF(AT263=regle!$D$12,regle!$D$11,
IF(AT263=regle!$E$12,regle!$E$11,
IF(AT263=regle!$F$12,regle!$F$11,
IF(AT263=regle!$G$12,regle!$G$11,
IF(AT263=regle!$H$12,regle!$H$11,
IF(AT263=regle!$I$12,regle!$I$11,""))))))))))</f>
        <v>ENT1</v>
      </c>
      <c r="AA263" t="str">
        <f>IF(NOT($A263),"",
IF(AU263=-2,regle!$J$11,
IF(AU263=regle!$B$12,regle!$B$11,
IF(AU263=regle!$C$12,regle!$C$11,
IF(AU263=regle!$D$12,regle!$D$11,
IF(AU263=regle!$E$12,regle!$E$11,
IF(AU263=regle!$F$12,regle!$F$11,
IF(AU263=regle!$G$12,regle!$G$11,
IF(AU263=regle!$H$12,regle!$H$11,
IF(AU263=regle!$I$12,regle!$I$11,""))))))))))</f>
        <v/>
      </c>
      <c r="AB263" t="str">
        <f>IF(NOT($A263),"",
IF(AV263=-2,regle!$J$11,
IF(AV263=regle!$B$12,regle!$B$11,
IF(AV263=regle!$C$12,regle!$C$11,
IF(AV263=regle!$D$12,regle!$D$11,
IF(AV263=regle!$E$12,regle!$E$11,
IF(AV263=regle!$F$12,regle!$F$11,
IF(AV263=regle!$G$12,regle!$G$11,
IF(AV263=regle!$H$12,regle!$H$11,
IF(AV263=regle!$I$12,regle!$I$11,""))))))))))</f>
        <v/>
      </c>
      <c r="AC263" t="str">
        <f>IF(NOT($A263),"",
IF(AW263=-2,regle!$J$11,
IF(AW263=regle!$B$12,regle!$B$11,
IF(AW263=regle!$C$12,regle!$C$11,
IF(AW263=regle!$D$12,regle!$D$11,
IF(AW263=regle!$E$12,regle!$E$11,
IF(AW263=regle!$F$12,regle!$F$11,
IF(AW263=regle!$G$12,regle!$G$11,
IF(AW263=regle!$H$12,regle!$H$11,
IF(AW263=regle!$I$12,regle!$I$11,""))))))))))</f>
        <v>ENT2</v>
      </c>
      <c r="AD263" t="str">
        <f>IF(NOT($A263),"",
IF(AX263=-2,regle!$J$11,
IF(AX263=regle!$B$12,regle!$B$11,
IF(AX263=regle!$C$12,regle!$C$11,
IF(AX263=regle!$D$12,regle!$D$11,
IF(AX263=regle!$E$12,regle!$E$11,
IF(AX263=regle!$F$12,regle!$F$11,
IF(AX263=regle!$G$12,regle!$G$11,
IF(AX263=regle!$H$12,regle!$H$11,
IF(AX263=regle!$I$12,regle!$I$11,""))))))))))</f>
        <v/>
      </c>
      <c r="AE263" s="14">
        <f>IF($A263,$M263*(IF(U263=regle!$B$11,regle!$B$23,IF(U263=regle!$C$11,regle!$C$23,IF(U263=regle!$D$11,regle!$D$23,IF(U263=regle!$E$11,regle!$E$23,IF(U263=regle!$F$11,regle!$F$23,IF(U263=regle!$G$11,regle!$G$23,IF(U263=regle!$H$11,regle!$H$23,IF(U263=regle!$I$11,regle!$I$23,IF(U263=regle!$J$11,regle!$J$23,0)))))))))))</f>
        <v>-1904.0000000000002</v>
      </c>
      <c r="AF263" s="14">
        <f>IF($A263,$M263*(IF(V263=regle!$B$11,regle!$B$23,IF(V263=regle!$C$11,regle!$C$23,IF(V263=regle!$D$11,regle!$D$23,IF(V263=regle!$E$11,regle!$E$23,IF(V263=regle!$F$11,regle!$F$23,IF(V263=regle!$G$11,regle!$G$23,IF(V263=regle!$H$11,regle!$H$23,IF(V263=regle!$I$11,regle!$I$23,IF(V263=regle!$J$11,regle!$J$23,0)))))))))))</f>
        <v>0</v>
      </c>
      <c r="AG263" s="14">
        <f>IF($A263,$M263*(IF(W263=regle!$B$11,regle!$B$23,IF(W263=regle!$C$11,regle!$C$23,IF(W263=regle!$D$11,regle!$D$23,IF(W263=regle!$E$11,regle!$E$23,IF(W263=regle!$F$11,regle!$F$23,IF(W263=regle!$G$11,regle!$G$23,IF(W263=regle!$H$11,regle!$H$23,IF(W263=regle!$I$11,regle!$I$23,IF(W263=regle!$J$11,regle!$J$23,0)))))))))))</f>
        <v>-84.000000000000014</v>
      </c>
      <c r="AH263" s="14">
        <f>IF($A263,$M263*(IF(X263=regle!$B$11,regle!$B$23,IF(X263=regle!$C$11,regle!$C$23,IF(X263=regle!$D$11,regle!$D$23,IF(X263=regle!$E$11,regle!$E$23,IF(X263=regle!$F$11,regle!$F$23,IF(X263=regle!$G$11,regle!$G$23,IF(X263=regle!$H$11,regle!$H$23,IF(X263=regle!$I$11,regle!$I$23,IF(X263=regle!$J$11,regle!$J$23,0)))))))))))</f>
        <v>0</v>
      </c>
      <c r="AI263" s="14">
        <f>IF($A263,$M263*(IF(Y263=regle!$B$11,regle!$B$23,IF(Y263=regle!$C$11,regle!$C$23,IF(Y263=regle!$D$11,regle!$D$23,IF(Y263=regle!$E$11,regle!$E$23,IF(Y263=regle!$F$11,regle!$F$23,IF(Y263=regle!$G$11,regle!$G$23,IF(Y263=regle!$H$11,regle!$H$23,IF(Y263=regle!$I$11,regle!$I$23,IF(Y263=regle!$J$11,regle!$J$23,0)))))))))))</f>
        <v>0</v>
      </c>
      <c r="AJ263" s="14">
        <f>IF($A263,$M263*(IF(Z263=regle!$B$11,regle!$B$23,IF(Z263=regle!$C$11,regle!$C$23,IF(Z263=regle!$D$11,regle!$D$23,IF(Z263=regle!$E$11,regle!$E$23,IF(Z263=regle!$F$11,regle!$F$23,IF(Z263=regle!$G$11,regle!$G$23,IF(Z263=regle!$H$11,regle!$H$23,IF(Z263=regle!$I$11,regle!$I$23,IF(Z263=regle!$J$11,regle!$J$23,0)))))))))))</f>
        <v>-100.80000000000001</v>
      </c>
      <c r="AK263" s="14">
        <f>IF($A263,$M263*(IF(AA263=regle!$B$11,regle!$B$23,IF(AA263=regle!$C$11,regle!$C$23,IF(AA263=regle!$D$11,regle!$D$23,IF(AA263=regle!$E$11,regle!$E$23,IF(AA263=regle!$F$11,regle!$F$23,IF(AA263=regle!$G$11,regle!$G$23,IF(AA263=regle!$H$11,regle!$H$23,IF(AA263=regle!$I$11,regle!$I$23,IF(AA263=regle!$J$11,regle!$J$23,0)))))))))))</f>
        <v>0</v>
      </c>
      <c r="AL263" s="14">
        <f>IF($A263,$M263*(IF(AB263=regle!$B$11,regle!$B$23,IF(AB263=regle!$C$11,regle!$C$23,IF(AB263=regle!$D$11,regle!$D$23,IF(AB263=regle!$E$11,regle!$E$23,IF(AB263=regle!$F$11,regle!$F$23,IF(AB263=regle!$G$11,regle!$G$23,IF(AB263=regle!$H$11,regle!$H$23,IF(AB263=regle!$I$11,regle!$I$23,IF(AB263=regle!$J$11,regle!$J$23,0)))))))))))</f>
        <v>0</v>
      </c>
      <c r="AM263" s="14">
        <f>IF($A263,$M263*(IF(AC263=regle!$B$11,regle!$B$23,IF(AC263=regle!$C$11,regle!$C$23,IF(AC263=regle!$D$11,regle!$D$23,IF(AC263=regle!$E$11,regle!$E$23,IF(AC263=regle!$F$11,regle!$F$23,IF(AC263=regle!$G$11,regle!$G$23,IF(AC263=regle!$H$11,regle!$H$23,IF(AC263=regle!$I$11,regle!$I$23,IF(AC263=regle!$J$11,regle!$J$23,0)))))))))))</f>
        <v>-100.80000000000001</v>
      </c>
      <c r="AN263" s="14">
        <f>IF($A263,$M263*(IF(AD263=regle!$B$11,regle!$B$23,IF(AD263=regle!$C$11,regle!$C$23,IF(AD263=regle!$D$11,regle!$D$23,IF(AD263=regle!$E$11,regle!$E$23,IF(AD263=regle!$F$11,regle!$F$23,IF(AD263=regle!$G$11,regle!$G$23,IF(AD263=regle!$H$11,regle!$H$23,IF(AD263=regle!$I$11,regle!$I$23,IF(AD263=regle!$J$11,regle!$J$23,0)))))))))))</f>
        <v>0</v>
      </c>
      <c r="AO263">
        <f>IF(AO$1=$AO$1,IF(regle!B$2-$Q263&gt;=regle!$J$12,-2,IF($S263,IF(regle!$B$2-$Q263&gt;=2,0,-1),regle!B$2-$Q263)),IF(AN263+1&gt;=regle!$J$12,-2,AN263+1))</f>
        <v>0</v>
      </c>
      <c r="AP263">
        <f>IF(AP$1=$AO$1,IF(regle!C$2-$Q263&gt;=regle!$J$12,-2,IF($S263,IF(regle!$B$2-$Q263&gt;=2,0,-1),regle!C$2-$Q263)),IF(AO263+1&gt;=regle!$J$12,-2,AO263+1))</f>
        <v>1</v>
      </c>
      <c r="AQ263">
        <f>IF(AQ$1=$AO$1,IF(regle!D$2-$Q263&gt;=regle!$J$12,-2,IF($S263,IF(regle!$B$2-$Q263&gt;=2,0,-1),regle!D$2-$Q263)),IF(AP263+1&gt;=regle!$J$12,-2,AP263+1))</f>
        <v>2</v>
      </c>
      <c r="AR263">
        <f>IF(AR$1=$AO$1,IF(regle!E$2-$Q263&gt;=regle!$J$12,-2,IF($S263,IF(regle!$B$2-$Q263&gt;=2,0,-1),regle!E$2-$Q263)),IF(AQ263+1&gt;=regle!$J$12,-2,AQ263+1))</f>
        <v>3</v>
      </c>
      <c r="AS263">
        <f>IF(AS$1=$AO$1,IF(regle!F$2-$Q263&gt;=regle!$J$12,-2,IF($S263,IF(regle!$B$2-$Q263&gt;=2,0,-1),regle!F$2-$Q263)),IF(AR263+1&gt;=regle!$J$12,-2,AR263+1))</f>
        <v>4</v>
      </c>
      <c r="AT263">
        <f>IF(AT$1=$AO$1,IF(regle!G$2-$Q263&gt;=regle!$J$12,-2,IF($S263,IF(regle!$B$2-$Q263&gt;=2,0,-1),regle!G$2-$Q263)),IF(AS263+1&gt;=regle!$J$12,-2,AS263+1))</f>
        <v>5</v>
      </c>
      <c r="AU263">
        <f>IF(AU$1=$AO$1,IF(regle!H$2-$Q263&gt;=regle!$J$12,-2,IF($S263,IF(regle!$B$2-$Q263&gt;=2,0,-1),regle!H$2-$Q263)),IF(AT263+1&gt;=regle!$J$12,-2,AT263+1))</f>
        <v>6</v>
      </c>
      <c r="AV263">
        <f>IF(AV$1=$AO$1,IF(regle!I$2-$Q263&gt;=regle!$J$12,-2,IF($S263,IF(regle!$B$2-$Q263&gt;=2,0,-1),regle!I$2-$Q263)),IF(AU263+1&gt;=regle!$J$12,-2,AU263+1))</f>
        <v>7</v>
      </c>
      <c r="AW263">
        <f>IF(AW$1=$AO$1,IF(regle!J$2-$Q263&gt;=regle!$J$12,-2,IF($S263,IF(regle!$B$2-$Q263&gt;=2,0,-1),regle!J$2-$Q263)),IF(AV263+1&gt;=regle!$J$12,-2,AV263+1))</f>
        <v>8</v>
      </c>
      <c r="AX263">
        <f>IF(AX$1=$AO$1,IF(regle!K$2-$Q263&gt;=regle!$J$12,-2,IF($S263,IF(regle!$B$2-$Q263&gt;=2,0,-1),regle!K$2-$Q263)),IF(AW263+1&gt;=regle!$J$12,-2,AW263+1))</f>
        <v>9</v>
      </c>
    </row>
    <row r="264" spans="1:50" x14ac:dyDescent="0.25">
      <c r="A264" t="b">
        <f>AND(modif0[[#This Row],[cdstr]]&lt;&gt;0,OR(regle!$H$27=FALSE,modif0[[#This Row],[essnc]]="PM"))</f>
        <v>1</v>
      </c>
      <c r="B264">
        <f>ROW(objet!A308)</f>
        <v>308</v>
      </c>
      <c r="C264" s="10" t="str">
        <f>objet!D308</f>
        <v>1710000B0281</v>
      </c>
      <c r="D264" t="str">
        <f>LEFT(modif0[[#This Row],[cdstr]],3)</f>
        <v>171</v>
      </c>
      <c r="E264" s="10" t="str">
        <f>objet!G308</f>
        <v>MANO</v>
      </c>
      <c r="F264">
        <f>LEN(modif0[[#This Row],[l_dt]])</f>
        <v>17</v>
      </c>
      <c r="G264" s="10" t="str">
        <f>objet!H308</f>
        <v>LANDE DE TABARTON</v>
      </c>
      <c r="H264" s="10" t="str">
        <f>objet!C308</f>
        <v>B281</v>
      </c>
      <c r="I264" t="str">
        <f>IF(ISNUMBER(VALUE(RIGHT(LEFT(modif0[[#This Row],[idntfn]],2),1))),_xlfn.CONCAT(0,LEFT(modif0[[#This Row],[idntfn]],1)),LEFT(modif0[[#This Row],[idntfn]],2))</f>
        <v>0B</v>
      </c>
      <c r="J264">
        <f>VALUE(LEFT(RIGHT(modif0[[#This Row],[idntfn]],LEN(modif0[[#This Row],[idntfn]])-IF(LEFT(modif0[[#This Row],[sctn]],1)="0",1,2)),LEN(modif0[[#This Row],[idntfn]])-IF(LEFT(modif0[[#This Row],[sctn]],1)="0",1,2)-LEN(modif0[[#This Row],[lttr]])))</f>
        <v>281</v>
      </c>
      <c r="K264" t="str">
        <f>IF(ISNUMBER(VALUE(RIGHT(modif0[[#This Row],[idntfn]],1))),"",IF(ISNUMBER(VALUE(LEFT(RIGHT(modif0[[#This Row],[idntfn]],2),1))),RIGHT(modif0[[#This Row],[idntfn]],1),RIGHT(modif0[[#This Row],[idntfn]],2)))</f>
        <v/>
      </c>
      <c r="L264" s="10">
        <f>objet!I308</f>
        <v>5630</v>
      </c>
      <c r="M264" s="11">
        <f>modif0[[#This Row],[srfc]]/10000</f>
        <v>0.56299999999999994</v>
      </c>
      <c r="N264" s="10" t="str">
        <f>objet!Z308</f>
        <v>PM</v>
      </c>
      <c r="O264" s="10" t="str">
        <f>objet!AA308</f>
        <v>CR2022</v>
      </c>
      <c r="P264" t="str">
        <f>IF(ISNUMBER(modif0[[#This Row],[trvx]]),"",LEFT(modif0[[#This Row],[trvx]],LEN(modif0[[#This Row],[trvx]])-4))</f>
        <v>CR</v>
      </c>
      <c r="Q264">
        <f>VALUE(RIGHT(modif0[[#This Row],[trvx]],4))</f>
        <v>2022</v>
      </c>
      <c r="R264" t="str">
        <f>_xlfn.CONCAT(modif0[[#This Row],[tp]],"-",modif0[[#This Row],[essnc]],"_",modif0[[#This Row],[anns]])</f>
        <v>CR-PM_2022</v>
      </c>
      <c r="S264" t="b">
        <f>modif0[[#This Row],[tp]]="CR"</f>
        <v>1</v>
      </c>
      <c r="T264">
        <v>40</v>
      </c>
      <c r="U264" t="str">
        <f>IF(NOT($A264),"",
IF(AO264=-2,regle!$J$11,
IF(AO264=regle!$B$12,regle!$B$11,
IF(AO264=regle!$C$12,regle!$C$11,
IF(AO264=regle!$D$12,regle!$D$11,
IF(AO264=regle!$E$12,regle!$E$11,
IF(AO264=regle!$F$12,regle!$F$11,
IF(AO264=regle!$G$12,regle!$G$11,
IF(AO264=regle!$H$12,regle!$H$11,
IF(AO264=regle!$I$12,regle!$I$11,""))))))))))</f>
        <v>RBST</v>
      </c>
      <c r="V264" t="str">
        <f>IF(NOT($A264),"",
IF(AP264=-2,regle!$J$11,
IF(AP264=regle!$B$12,regle!$B$11,
IF(AP264=regle!$C$12,regle!$C$11,
IF(AP264=regle!$D$12,regle!$D$11,
IF(AP264=regle!$E$12,regle!$E$11,
IF(AP264=regle!$F$12,regle!$F$11,
IF(AP264=regle!$G$12,regle!$G$11,
IF(AP264=regle!$H$12,regle!$H$11,
IF(AP264=regle!$I$12,regle!$I$11,""))))))))))</f>
        <v/>
      </c>
      <c r="W264" t="str">
        <f>IF(NOT($A264),"",
IF(AQ264=-2,regle!$J$11,
IF(AQ264=regle!$B$12,regle!$B$11,
IF(AQ264=regle!$C$12,regle!$C$11,
IF(AQ264=regle!$D$12,regle!$D$11,
IF(AQ264=regle!$E$12,regle!$E$11,
IF(AQ264=regle!$F$12,regle!$F$11,
IF(AQ264=regle!$G$12,regle!$G$11,
IF(AQ264=regle!$H$12,regle!$H$11,
IF(AQ264=regle!$I$12,regle!$I$11,""))))))))))</f>
        <v>DGT</v>
      </c>
      <c r="X264" t="str">
        <f>IF(NOT($A264),"",
IF(AR264=-2,regle!$J$11,
IF(AR264=regle!$B$12,regle!$B$11,
IF(AR264=regle!$C$12,regle!$C$11,
IF(AR264=regle!$D$12,regle!$D$11,
IF(AR264=regle!$E$12,regle!$E$11,
IF(AR264=regle!$F$12,regle!$F$11,
IF(AR264=regle!$G$12,regle!$G$11,
IF(AR264=regle!$H$12,regle!$H$11,
IF(AR264=regle!$I$12,regle!$I$11,""))))))))))</f>
        <v/>
      </c>
      <c r="Y264" t="str">
        <f>IF(NOT($A264),"",
IF(AS264=-2,regle!$J$11,
IF(AS264=regle!$B$12,regle!$B$11,
IF(AS264=regle!$C$12,regle!$C$11,
IF(AS264=regle!$D$12,regle!$D$11,
IF(AS264=regle!$E$12,regle!$E$11,
IF(AS264=regle!$F$12,regle!$F$11,
IF(AS264=regle!$G$12,regle!$G$11,
IF(AS264=regle!$H$12,regle!$H$11,
IF(AS264=regle!$I$12,regle!$I$11,""))))))))))</f>
        <v/>
      </c>
      <c r="Z264" t="str">
        <f>IF(NOT($A264),"",
IF(AT264=-2,regle!$J$11,
IF(AT264=regle!$B$12,regle!$B$11,
IF(AT264=regle!$C$12,regle!$C$11,
IF(AT264=regle!$D$12,regle!$D$11,
IF(AT264=regle!$E$12,regle!$E$11,
IF(AT264=regle!$F$12,regle!$F$11,
IF(AT264=regle!$G$12,regle!$G$11,
IF(AT264=regle!$H$12,regle!$H$11,
IF(AT264=regle!$I$12,regle!$I$11,""))))))))))</f>
        <v>ENT1</v>
      </c>
      <c r="AA264" t="str">
        <f>IF(NOT($A264),"",
IF(AU264=-2,regle!$J$11,
IF(AU264=regle!$B$12,regle!$B$11,
IF(AU264=regle!$C$12,regle!$C$11,
IF(AU264=regle!$D$12,regle!$D$11,
IF(AU264=regle!$E$12,regle!$E$11,
IF(AU264=regle!$F$12,regle!$F$11,
IF(AU264=regle!$G$12,regle!$G$11,
IF(AU264=regle!$H$12,regle!$H$11,
IF(AU264=regle!$I$12,regle!$I$11,""))))))))))</f>
        <v/>
      </c>
      <c r="AB264" t="str">
        <f>IF(NOT($A264),"",
IF(AV264=-2,regle!$J$11,
IF(AV264=regle!$B$12,regle!$B$11,
IF(AV264=regle!$C$12,regle!$C$11,
IF(AV264=regle!$D$12,regle!$D$11,
IF(AV264=regle!$E$12,regle!$E$11,
IF(AV264=regle!$F$12,regle!$F$11,
IF(AV264=regle!$G$12,regle!$G$11,
IF(AV264=regle!$H$12,regle!$H$11,
IF(AV264=regle!$I$12,regle!$I$11,""))))))))))</f>
        <v/>
      </c>
      <c r="AC264" t="str">
        <f>IF(NOT($A264),"",
IF(AW264=-2,regle!$J$11,
IF(AW264=regle!$B$12,regle!$B$11,
IF(AW264=regle!$C$12,regle!$C$11,
IF(AW264=regle!$D$12,regle!$D$11,
IF(AW264=regle!$E$12,regle!$E$11,
IF(AW264=regle!$F$12,regle!$F$11,
IF(AW264=regle!$G$12,regle!$G$11,
IF(AW264=regle!$H$12,regle!$H$11,
IF(AW264=regle!$I$12,regle!$I$11,""))))))))))</f>
        <v>ENT2</v>
      </c>
      <c r="AD264" t="str">
        <f>IF(NOT($A264),"",
IF(AX264=-2,regle!$J$11,
IF(AX264=regle!$B$12,regle!$B$11,
IF(AX264=regle!$C$12,regle!$C$11,
IF(AX264=regle!$D$12,regle!$D$11,
IF(AX264=regle!$E$12,regle!$E$11,
IF(AX264=regle!$F$12,regle!$F$11,
IF(AX264=regle!$G$12,regle!$G$11,
IF(AX264=regle!$H$12,regle!$H$11,
IF(AX264=regle!$I$12,regle!$I$11,""))))))))))</f>
        <v/>
      </c>
      <c r="AE264" s="14">
        <f>IF($A264,$M264*(IF(U264=regle!$B$11,regle!$B$23,IF(U264=regle!$C$11,regle!$C$23,IF(U264=regle!$D$11,regle!$D$23,IF(U264=regle!$E$11,regle!$E$23,IF(U264=regle!$F$11,regle!$F$23,IF(U264=regle!$G$11,regle!$G$23,IF(U264=regle!$H$11,regle!$H$23,IF(U264=regle!$I$11,regle!$I$23,IF(U264=regle!$J$11,regle!$J$23,0)))))))))))</f>
        <v>-957.09999999999991</v>
      </c>
      <c r="AF264" s="14">
        <f>IF($A264,$M264*(IF(V264=regle!$B$11,regle!$B$23,IF(V264=regle!$C$11,regle!$C$23,IF(V264=regle!$D$11,regle!$D$23,IF(V264=regle!$E$11,regle!$E$23,IF(V264=regle!$F$11,regle!$F$23,IF(V264=regle!$G$11,regle!$G$23,IF(V264=regle!$H$11,regle!$H$23,IF(V264=regle!$I$11,regle!$I$23,IF(V264=regle!$J$11,regle!$J$23,0)))))))))))</f>
        <v>0</v>
      </c>
      <c r="AG264" s="14">
        <f>IF($A264,$M264*(IF(W264=regle!$B$11,regle!$B$23,IF(W264=regle!$C$11,regle!$C$23,IF(W264=regle!$D$11,regle!$D$23,IF(W264=regle!$E$11,regle!$E$23,IF(W264=regle!$F$11,regle!$F$23,IF(W264=regle!$G$11,regle!$G$23,IF(W264=regle!$H$11,regle!$H$23,IF(W264=regle!$I$11,regle!$I$23,IF(W264=regle!$J$11,regle!$J$23,0)))))))))))</f>
        <v>-42.224999999999994</v>
      </c>
      <c r="AH264" s="14">
        <f>IF($A264,$M264*(IF(X264=regle!$B$11,regle!$B$23,IF(X264=regle!$C$11,regle!$C$23,IF(X264=regle!$D$11,regle!$D$23,IF(X264=regle!$E$11,regle!$E$23,IF(X264=regle!$F$11,regle!$F$23,IF(X264=regle!$G$11,regle!$G$23,IF(X264=regle!$H$11,regle!$H$23,IF(X264=regle!$I$11,regle!$I$23,IF(X264=regle!$J$11,regle!$J$23,0)))))))))))</f>
        <v>0</v>
      </c>
      <c r="AI264" s="14">
        <f>IF($A264,$M264*(IF(Y264=regle!$B$11,regle!$B$23,IF(Y264=regle!$C$11,regle!$C$23,IF(Y264=regle!$D$11,regle!$D$23,IF(Y264=regle!$E$11,regle!$E$23,IF(Y264=regle!$F$11,regle!$F$23,IF(Y264=regle!$G$11,regle!$G$23,IF(Y264=regle!$H$11,regle!$H$23,IF(Y264=regle!$I$11,regle!$I$23,IF(Y264=regle!$J$11,regle!$J$23,0)))))))))))</f>
        <v>0</v>
      </c>
      <c r="AJ264" s="14">
        <f>IF($A264,$M264*(IF(Z264=regle!$B$11,regle!$B$23,IF(Z264=regle!$C$11,regle!$C$23,IF(Z264=regle!$D$11,regle!$D$23,IF(Z264=regle!$E$11,regle!$E$23,IF(Z264=regle!$F$11,regle!$F$23,IF(Z264=regle!$G$11,regle!$G$23,IF(Z264=regle!$H$11,regle!$H$23,IF(Z264=regle!$I$11,regle!$I$23,IF(Z264=regle!$J$11,regle!$J$23,0)))))))))))</f>
        <v>-50.669999999999995</v>
      </c>
      <c r="AK264" s="14">
        <f>IF($A264,$M264*(IF(AA264=regle!$B$11,regle!$B$23,IF(AA264=regle!$C$11,regle!$C$23,IF(AA264=regle!$D$11,regle!$D$23,IF(AA264=regle!$E$11,regle!$E$23,IF(AA264=regle!$F$11,regle!$F$23,IF(AA264=regle!$G$11,regle!$G$23,IF(AA264=regle!$H$11,regle!$H$23,IF(AA264=regle!$I$11,regle!$I$23,IF(AA264=regle!$J$11,regle!$J$23,0)))))))))))</f>
        <v>0</v>
      </c>
      <c r="AL264" s="14">
        <f>IF($A264,$M264*(IF(AB264=regle!$B$11,regle!$B$23,IF(AB264=regle!$C$11,regle!$C$23,IF(AB264=regle!$D$11,regle!$D$23,IF(AB264=regle!$E$11,regle!$E$23,IF(AB264=regle!$F$11,regle!$F$23,IF(AB264=regle!$G$11,regle!$G$23,IF(AB264=regle!$H$11,regle!$H$23,IF(AB264=regle!$I$11,regle!$I$23,IF(AB264=regle!$J$11,regle!$J$23,0)))))))))))</f>
        <v>0</v>
      </c>
      <c r="AM264" s="14">
        <f>IF($A264,$M264*(IF(AC264=regle!$B$11,regle!$B$23,IF(AC264=regle!$C$11,regle!$C$23,IF(AC264=regle!$D$11,regle!$D$23,IF(AC264=regle!$E$11,regle!$E$23,IF(AC264=regle!$F$11,regle!$F$23,IF(AC264=regle!$G$11,regle!$G$23,IF(AC264=regle!$H$11,regle!$H$23,IF(AC264=regle!$I$11,regle!$I$23,IF(AC264=regle!$J$11,regle!$J$23,0)))))))))))</f>
        <v>-50.669999999999995</v>
      </c>
      <c r="AN264" s="14">
        <f>IF($A264,$M264*(IF(AD264=regle!$B$11,regle!$B$23,IF(AD264=regle!$C$11,regle!$C$23,IF(AD264=regle!$D$11,regle!$D$23,IF(AD264=regle!$E$11,regle!$E$23,IF(AD264=regle!$F$11,regle!$F$23,IF(AD264=regle!$G$11,regle!$G$23,IF(AD264=regle!$H$11,regle!$H$23,IF(AD264=regle!$I$11,regle!$I$23,IF(AD264=regle!$J$11,regle!$J$23,0)))))))))))</f>
        <v>0</v>
      </c>
      <c r="AO264">
        <f>IF(AO$1=$AO$1,IF(regle!B$2-$Q264&gt;=regle!$J$12,-2,IF($S264,IF(regle!$B$2-$Q264&gt;=2,0,-1),regle!B$2-$Q264)),IF(AN264+1&gt;=regle!$J$12,-2,AN264+1))</f>
        <v>0</v>
      </c>
      <c r="AP264">
        <f>IF(AP$1=$AO$1,IF(regle!C$2-$Q264&gt;=regle!$J$12,-2,IF($S264,IF(regle!$B$2-$Q264&gt;=2,0,-1),regle!C$2-$Q264)),IF(AO264+1&gt;=regle!$J$12,-2,AO264+1))</f>
        <v>1</v>
      </c>
      <c r="AQ264">
        <f>IF(AQ$1=$AO$1,IF(regle!D$2-$Q264&gt;=regle!$J$12,-2,IF($S264,IF(regle!$B$2-$Q264&gt;=2,0,-1),regle!D$2-$Q264)),IF(AP264+1&gt;=regle!$J$12,-2,AP264+1))</f>
        <v>2</v>
      </c>
      <c r="AR264">
        <f>IF(AR$1=$AO$1,IF(regle!E$2-$Q264&gt;=regle!$J$12,-2,IF($S264,IF(regle!$B$2-$Q264&gt;=2,0,-1),regle!E$2-$Q264)),IF(AQ264+1&gt;=regle!$J$12,-2,AQ264+1))</f>
        <v>3</v>
      </c>
      <c r="AS264">
        <f>IF(AS$1=$AO$1,IF(regle!F$2-$Q264&gt;=regle!$J$12,-2,IF($S264,IF(regle!$B$2-$Q264&gt;=2,0,-1),regle!F$2-$Q264)),IF(AR264+1&gt;=regle!$J$12,-2,AR264+1))</f>
        <v>4</v>
      </c>
      <c r="AT264">
        <f>IF(AT$1=$AO$1,IF(regle!G$2-$Q264&gt;=regle!$J$12,-2,IF($S264,IF(regle!$B$2-$Q264&gt;=2,0,-1),regle!G$2-$Q264)),IF(AS264+1&gt;=regle!$J$12,-2,AS264+1))</f>
        <v>5</v>
      </c>
      <c r="AU264">
        <f>IF(AU$1=$AO$1,IF(regle!H$2-$Q264&gt;=regle!$J$12,-2,IF($S264,IF(regle!$B$2-$Q264&gt;=2,0,-1),regle!H$2-$Q264)),IF(AT264+1&gt;=regle!$J$12,-2,AT264+1))</f>
        <v>6</v>
      </c>
      <c r="AV264">
        <f>IF(AV$1=$AO$1,IF(regle!I$2-$Q264&gt;=regle!$J$12,-2,IF($S264,IF(regle!$B$2-$Q264&gt;=2,0,-1),regle!I$2-$Q264)),IF(AU264+1&gt;=regle!$J$12,-2,AU264+1))</f>
        <v>7</v>
      </c>
      <c r="AW264">
        <f>IF(AW$1=$AO$1,IF(regle!J$2-$Q264&gt;=regle!$J$12,-2,IF($S264,IF(regle!$B$2-$Q264&gt;=2,0,-1),regle!J$2-$Q264)),IF(AV264+1&gt;=regle!$J$12,-2,AV264+1))</f>
        <v>8</v>
      </c>
      <c r="AX264">
        <f>IF(AX$1=$AO$1,IF(regle!K$2-$Q264&gt;=regle!$J$12,-2,IF($S264,IF(regle!$B$2-$Q264&gt;=2,0,-1),regle!K$2-$Q264)),IF(AW264+1&gt;=regle!$J$12,-2,AW264+1))</f>
        <v>9</v>
      </c>
    </row>
    <row r="265" spans="1:50" x14ac:dyDescent="0.25">
      <c r="A265" t="b">
        <f>AND(modif0[[#This Row],[cdstr]]&lt;&gt;0,OR(regle!$H$27=FALSE,modif0[[#This Row],[essnc]]="PM"))</f>
        <v>1</v>
      </c>
      <c r="B265">
        <f>ROW(objet!A310)</f>
        <v>310</v>
      </c>
      <c r="C265" s="10" t="str">
        <f>objet!D310</f>
        <v>1710000B0297</v>
      </c>
      <c r="D265" t="str">
        <f>LEFT(modif0[[#This Row],[cdstr]],3)</f>
        <v>171</v>
      </c>
      <c r="E265" s="10" t="str">
        <f>objet!G310</f>
        <v>MANO</v>
      </c>
      <c r="F265">
        <f>LEN(modif0[[#This Row],[l_dt]])</f>
        <v>17</v>
      </c>
      <c r="G265" s="10" t="str">
        <f>objet!H310</f>
        <v>LANDE DE TABARTON</v>
      </c>
      <c r="H265" s="10" t="str">
        <f>objet!C310</f>
        <v>B297</v>
      </c>
      <c r="I265" t="str">
        <f>IF(ISNUMBER(VALUE(RIGHT(LEFT(modif0[[#This Row],[idntfn]],2),1))),_xlfn.CONCAT(0,LEFT(modif0[[#This Row],[idntfn]],1)),LEFT(modif0[[#This Row],[idntfn]],2))</f>
        <v>0B</v>
      </c>
      <c r="J265">
        <f>VALUE(LEFT(RIGHT(modif0[[#This Row],[idntfn]],LEN(modif0[[#This Row],[idntfn]])-IF(LEFT(modif0[[#This Row],[sctn]],1)="0",1,2)),LEN(modif0[[#This Row],[idntfn]])-IF(LEFT(modif0[[#This Row],[sctn]],1)="0",1,2)-LEN(modif0[[#This Row],[lttr]])))</f>
        <v>297</v>
      </c>
      <c r="K265" t="str">
        <f>IF(ISNUMBER(VALUE(RIGHT(modif0[[#This Row],[idntfn]],1))),"",IF(ISNUMBER(VALUE(LEFT(RIGHT(modif0[[#This Row],[idntfn]],2),1))),RIGHT(modif0[[#This Row],[idntfn]],1),RIGHT(modif0[[#This Row],[idntfn]],2)))</f>
        <v/>
      </c>
      <c r="L265" s="10">
        <f>objet!I310</f>
        <v>14850</v>
      </c>
      <c r="M265" s="11">
        <f>modif0[[#This Row],[srfc]]/10000</f>
        <v>1.4850000000000001</v>
      </c>
      <c r="N265" s="10" t="str">
        <f>objet!Z310</f>
        <v>PM</v>
      </c>
      <c r="O265" s="10" t="str">
        <f>objet!AA310</f>
        <v>CR2022</v>
      </c>
      <c r="P265" t="str">
        <f>IF(ISNUMBER(modif0[[#This Row],[trvx]]),"",LEFT(modif0[[#This Row],[trvx]],LEN(modif0[[#This Row],[trvx]])-4))</f>
        <v>CR</v>
      </c>
      <c r="Q265">
        <f>VALUE(RIGHT(modif0[[#This Row],[trvx]],4))</f>
        <v>2022</v>
      </c>
      <c r="R265" t="str">
        <f>_xlfn.CONCAT(modif0[[#This Row],[tp]],"-",modif0[[#This Row],[essnc]],"_",modif0[[#This Row],[anns]])</f>
        <v>CR-PM_2022</v>
      </c>
      <c r="S265" t="b">
        <f>modif0[[#This Row],[tp]]="CR"</f>
        <v>1</v>
      </c>
      <c r="T265">
        <v>40</v>
      </c>
      <c r="U265" t="str">
        <f>IF(NOT($A265),"",
IF(AO265=-2,regle!$J$11,
IF(AO265=regle!$B$12,regle!$B$11,
IF(AO265=regle!$C$12,regle!$C$11,
IF(AO265=regle!$D$12,regle!$D$11,
IF(AO265=regle!$E$12,regle!$E$11,
IF(AO265=regle!$F$12,regle!$F$11,
IF(AO265=regle!$G$12,regle!$G$11,
IF(AO265=regle!$H$12,regle!$H$11,
IF(AO265=regle!$I$12,regle!$I$11,""))))))))))</f>
        <v>RBST</v>
      </c>
      <c r="V265" t="str">
        <f>IF(NOT($A265),"",
IF(AP265=-2,regle!$J$11,
IF(AP265=regle!$B$12,regle!$B$11,
IF(AP265=regle!$C$12,regle!$C$11,
IF(AP265=regle!$D$12,regle!$D$11,
IF(AP265=regle!$E$12,regle!$E$11,
IF(AP265=regle!$F$12,regle!$F$11,
IF(AP265=regle!$G$12,regle!$G$11,
IF(AP265=regle!$H$12,regle!$H$11,
IF(AP265=regle!$I$12,regle!$I$11,""))))))))))</f>
        <v/>
      </c>
      <c r="W265" t="str">
        <f>IF(NOT($A265),"",
IF(AQ265=-2,regle!$J$11,
IF(AQ265=regle!$B$12,regle!$B$11,
IF(AQ265=regle!$C$12,regle!$C$11,
IF(AQ265=regle!$D$12,regle!$D$11,
IF(AQ265=regle!$E$12,regle!$E$11,
IF(AQ265=regle!$F$12,regle!$F$11,
IF(AQ265=regle!$G$12,regle!$G$11,
IF(AQ265=regle!$H$12,regle!$H$11,
IF(AQ265=regle!$I$12,regle!$I$11,""))))))))))</f>
        <v>DGT</v>
      </c>
      <c r="X265" t="str">
        <f>IF(NOT($A265),"",
IF(AR265=-2,regle!$J$11,
IF(AR265=regle!$B$12,regle!$B$11,
IF(AR265=regle!$C$12,regle!$C$11,
IF(AR265=regle!$D$12,regle!$D$11,
IF(AR265=regle!$E$12,regle!$E$11,
IF(AR265=regle!$F$12,regle!$F$11,
IF(AR265=regle!$G$12,regle!$G$11,
IF(AR265=regle!$H$12,regle!$H$11,
IF(AR265=regle!$I$12,regle!$I$11,""))))))))))</f>
        <v/>
      </c>
      <c r="Y265" t="str">
        <f>IF(NOT($A265),"",
IF(AS265=-2,regle!$J$11,
IF(AS265=regle!$B$12,regle!$B$11,
IF(AS265=regle!$C$12,regle!$C$11,
IF(AS265=regle!$D$12,regle!$D$11,
IF(AS265=regle!$E$12,regle!$E$11,
IF(AS265=regle!$F$12,regle!$F$11,
IF(AS265=regle!$G$12,regle!$G$11,
IF(AS265=regle!$H$12,regle!$H$11,
IF(AS265=regle!$I$12,regle!$I$11,""))))))))))</f>
        <v/>
      </c>
      <c r="Z265" t="str">
        <f>IF(NOT($A265),"",
IF(AT265=-2,regle!$J$11,
IF(AT265=regle!$B$12,regle!$B$11,
IF(AT265=regle!$C$12,regle!$C$11,
IF(AT265=regle!$D$12,regle!$D$11,
IF(AT265=regle!$E$12,regle!$E$11,
IF(AT265=regle!$F$12,regle!$F$11,
IF(AT265=regle!$G$12,regle!$G$11,
IF(AT265=regle!$H$12,regle!$H$11,
IF(AT265=regle!$I$12,regle!$I$11,""))))))))))</f>
        <v>ENT1</v>
      </c>
      <c r="AA265" t="str">
        <f>IF(NOT($A265),"",
IF(AU265=-2,regle!$J$11,
IF(AU265=regle!$B$12,regle!$B$11,
IF(AU265=regle!$C$12,regle!$C$11,
IF(AU265=regle!$D$12,regle!$D$11,
IF(AU265=regle!$E$12,regle!$E$11,
IF(AU265=regle!$F$12,regle!$F$11,
IF(AU265=regle!$G$12,regle!$G$11,
IF(AU265=regle!$H$12,regle!$H$11,
IF(AU265=regle!$I$12,regle!$I$11,""))))))))))</f>
        <v/>
      </c>
      <c r="AB265" t="str">
        <f>IF(NOT($A265),"",
IF(AV265=-2,regle!$J$11,
IF(AV265=regle!$B$12,regle!$B$11,
IF(AV265=regle!$C$12,regle!$C$11,
IF(AV265=regle!$D$12,regle!$D$11,
IF(AV265=regle!$E$12,regle!$E$11,
IF(AV265=regle!$F$12,regle!$F$11,
IF(AV265=regle!$G$12,regle!$G$11,
IF(AV265=regle!$H$12,regle!$H$11,
IF(AV265=regle!$I$12,regle!$I$11,""))))))))))</f>
        <v/>
      </c>
      <c r="AC265" t="str">
        <f>IF(NOT($A265),"",
IF(AW265=-2,regle!$J$11,
IF(AW265=regle!$B$12,regle!$B$11,
IF(AW265=regle!$C$12,regle!$C$11,
IF(AW265=regle!$D$12,regle!$D$11,
IF(AW265=regle!$E$12,regle!$E$11,
IF(AW265=regle!$F$12,regle!$F$11,
IF(AW265=regle!$G$12,regle!$G$11,
IF(AW265=regle!$H$12,regle!$H$11,
IF(AW265=regle!$I$12,regle!$I$11,""))))))))))</f>
        <v>ENT2</v>
      </c>
      <c r="AD265" t="str">
        <f>IF(NOT($A265),"",
IF(AX265=-2,regle!$J$11,
IF(AX265=regle!$B$12,regle!$B$11,
IF(AX265=regle!$C$12,regle!$C$11,
IF(AX265=regle!$D$12,regle!$D$11,
IF(AX265=regle!$E$12,regle!$E$11,
IF(AX265=regle!$F$12,regle!$F$11,
IF(AX265=regle!$G$12,regle!$G$11,
IF(AX265=regle!$H$12,regle!$H$11,
IF(AX265=regle!$I$12,regle!$I$11,""))))))))))</f>
        <v/>
      </c>
      <c r="AE265" s="14">
        <f>IF($A265,$M265*(IF(U265=regle!$B$11,regle!$B$23,IF(U265=regle!$C$11,regle!$C$23,IF(U265=regle!$D$11,regle!$D$23,IF(U265=regle!$E$11,regle!$E$23,IF(U265=regle!$F$11,regle!$F$23,IF(U265=regle!$G$11,regle!$G$23,IF(U265=regle!$H$11,regle!$H$23,IF(U265=regle!$I$11,regle!$I$23,IF(U265=regle!$J$11,regle!$J$23,0)))))))))))</f>
        <v>-2524.5</v>
      </c>
      <c r="AF265" s="14">
        <f>IF($A265,$M265*(IF(V265=regle!$B$11,regle!$B$23,IF(V265=regle!$C$11,regle!$C$23,IF(V265=regle!$D$11,regle!$D$23,IF(V265=regle!$E$11,regle!$E$23,IF(V265=regle!$F$11,regle!$F$23,IF(V265=regle!$G$11,regle!$G$23,IF(V265=regle!$H$11,regle!$H$23,IF(V265=regle!$I$11,regle!$I$23,IF(V265=regle!$J$11,regle!$J$23,0)))))))))))</f>
        <v>0</v>
      </c>
      <c r="AG265" s="14">
        <f>IF($A265,$M265*(IF(W265=regle!$B$11,regle!$B$23,IF(W265=regle!$C$11,regle!$C$23,IF(W265=regle!$D$11,regle!$D$23,IF(W265=regle!$E$11,regle!$E$23,IF(W265=regle!$F$11,regle!$F$23,IF(W265=regle!$G$11,regle!$G$23,IF(W265=regle!$H$11,regle!$H$23,IF(W265=regle!$I$11,regle!$I$23,IF(W265=regle!$J$11,regle!$J$23,0)))))))))))</f>
        <v>-111.37500000000001</v>
      </c>
      <c r="AH265" s="14">
        <f>IF($A265,$M265*(IF(X265=regle!$B$11,regle!$B$23,IF(X265=regle!$C$11,regle!$C$23,IF(X265=regle!$D$11,regle!$D$23,IF(X265=regle!$E$11,regle!$E$23,IF(X265=regle!$F$11,regle!$F$23,IF(X265=regle!$G$11,regle!$G$23,IF(X265=regle!$H$11,regle!$H$23,IF(X265=regle!$I$11,regle!$I$23,IF(X265=regle!$J$11,regle!$J$23,0)))))))))))</f>
        <v>0</v>
      </c>
      <c r="AI265" s="14">
        <f>IF($A265,$M265*(IF(Y265=regle!$B$11,regle!$B$23,IF(Y265=regle!$C$11,regle!$C$23,IF(Y265=regle!$D$11,regle!$D$23,IF(Y265=regle!$E$11,regle!$E$23,IF(Y265=regle!$F$11,regle!$F$23,IF(Y265=regle!$G$11,regle!$G$23,IF(Y265=regle!$H$11,regle!$H$23,IF(Y265=regle!$I$11,regle!$I$23,IF(Y265=regle!$J$11,regle!$J$23,0)))))))))))</f>
        <v>0</v>
      </c>
      <c r="AJ265" s="14">
        <f>IF($A265,$M265*(IF(Z265=regle!$B$11,regle!$B$23,IF(Z265=regle!$C$11,regle!$C$23,IF(Z265=regle!$D$11,regle!$D$23,IF(Z265=regle!$E$11,regle!$E$23,IF(Z265=regle!$F$11,regle!$F$23,IF(Z265=regle!$G$11,regle!$G$23,IF(Z265=regle!$H$11,regle!$H$23,IF(Z265=regle!$I$11,regle!$I$23,IF(Z265=regle!$J$11,regle!$J$23,0)))))))))))</f>
        <v>-133.65</v>
      </c>
      <c r="AK265" s="14">
        <f>IF($A265,$M265*(IF(AA265=regle!$B$11,regle!$B$23,IF(AA265=regle!$C$11,regle!$C$23,IF(AA265=regle!$D$11,regle!$D$23,IF(AA265=regle!$E$11,regle!$E$23,IF(AA265=regle!$F$11,regle!$F$23,IF(AA265=regle!$G$11,regle!$G$23,IF(AA265=regle!$H$11,regle!$H$23,IF(AA265=regle!$I$11,regle!$I$23,IF(AA265=regle!$J$11,regle!$J$23,0)))))))))))</f>
        <v>0</v>
      </c>
      <c r="AL265" s="14">
        <f>IF($A265,$M265*(IF(AB265=regle!$B$11,regle!$B$23,IF(AB265=regle!$C$11,regle!$C$23,IF(AB265=regle!$D$11,regle!$D$23,IF(AB265=regle!$E$11,regle!$E$23,IF(AB265=regle!$F$11,regle!$F$23,IF(AB265=regle!$G$11,regle!$G$23,IF(AB265=regle!$H$11,regle!$H$23,IF(AB265=regle!$I$11,regle!$I$23,IF(AB265=regle!$J$11,regle!$J$23,0)))))))))))</f>
        <v>0</v>
      </c>
      <c r="AM265" s="14">
        <f>IF($A265,$M265*(IF(AC265=regle!$B$11,regle!$B$23,IF(AC265=regle!$C$11,regle!$C$23,IF(AC265=regle!$D$11,regle!$D$23,IF(AC265=regle!$E$11,regle!$E$23,IF(AC265=regle!$F$11,regle!$F$23,IF(AC265=regle!$G$11,regle!$G$23,IF(AC265=regle!$H$11,regle!$H$23,IF(AC265=regle!$I$11,regle!$I$23,IF(AC265=regle!$J$11,regle!$J$23,0)))))))))))</f>
        <v>-133.65</v>
      </c>
      <c r="AN265" s="14">
        <f>IF($A265,$M265*(IF(AD265=regle!$B$11,regle!$B$23,IF(AD265=regle!$C$11,regle!$C$23,IF(AD265=regle!$D$11,regle!$D$23,IF(AD265=regle!$E$11,regle!$E$23,IF(AD265=regle!$F$11,regle!$F$23,IF(AD265=regle!$G$11,regle!$G$23,IF(AD265=regle!$H$11,regle!$H$23,IF(AD265=regle!$I$11,regle!$I$23,IF(AD265=regle!$J$11,regle!$J$23,0)))))))))))</f>
        <v>0</v>
      </c>
      <c r="AO265">
        <f>IF(AO$1=$AO$1,IF(regle!B$2-$Q265&gt;=regle!$J$12,-2,IF($S265,IF(regle!$B$2-$Q265&gt;=2,0,-1),regle!B$2-$Q265)),IF(AN265+1&gt;=regle!$J$12,-2,AN265+1))</f>
        <v>0</v>
      </c>
      <c r="AP265">
        <f>IF(AP$1=$AO$1,IF(regle!C$2-$Q265&gt;=regle!$J$12,-2,IF($S265,IF(regle!$B$2-$Q265&gt;=2,0,-1),regle!C$2-$Q265)),IF(AO265+1&gt;=regle!$J$12,-2,AO265+1))</f>
        <v>1</v>
      </c>
      <c r="AQ265">
        <f>IF(AQ$1=$AO$1,IF(regle!D$2-$Q265&gt;=regle!$J$12,-2,IF($S265,IF(regle!$B$2-$Q265&gt;=2,0,-1),regle!D$2-$Q265)),IF(AP265+1&gt;=regle!$J$12,-2,AP265+1))</f>
        <v>2</v>
      </c>
      <c r="AR265">
        <f>IF(AR$1=$AO$1,IF(regle!E$2-$Q265&gt;=regle!$J$12,-2,IF($S265,IF(regle!$B$2-$Q265&gt;=2,0,-1),regle!E$2-$Q265)),IF(AQ265+1&gt;=regle!$J$12,-2,AQ265+1))</f>
        <v>3</v>
      </c>
      <c r="AS265">
        <f>IF(AS$1=$AO$1,IF(regle!F$2-$Q265&gt;=regle!$J$12,-2,IF($S265,IF(regle!$B$2-$Q265&gt;=2,0,-1),regle!F$2-$Q265)),IF(AR265+1&gt;=regle!$J$12,-2,AR265+1))</f>
        <v>4</v>
      </c>
      <c r="AT265">
        <f>IF(AT$1=$AO$1,IF(regle!G$2-$Q265&gt;=regle!$J$12,-2,IF($S265,IF(regle!$B$2-$Q265&gt;=2,0,-1),regle!G$2-$Q265)),IF(AS265+1&gt;=regle!$J$12,-2,AS265+1))</f>
        <v>5</v>
      </c>
      <c r="AU265">
        <f>IF(AU$1=$AO$1,IF(regle!H$2-$Q265&gt;=regle!$J$12,-2,IF($S265,IF(regle!$B$2-$Q265&gt;=2,0,-1),regle!H$2-$Q265)),IF(AT265+1&gt;=regle!$J$12,-2,AT265+1))</f>
        <v>6</v>
      </c>
      <c r="AV265">
        <f>IF(AV$1=$AO$1,IF(regle!I$2-$Q265&gt;=regle!$J$12,-2,IF($S265,IF(regle!$B$2-$Q265&gt;=2,0,-1),regle!I$2-$Q265)),IF(AU265+1&gt;=regle!$J$12,-2,AU265+1))</f>
        <v>7</v>
      </c>
      <c r="AW265">
        <f>IF(AW$1=$AO$1,IF(regle!J$2-$Q265&gt;=regle!$J$12,-2,IF($S265,IF(regle!$B$2-$Q265&gt;=2,0,-1),regle!J$2-$Q265)),IF(AV265+1&gt;=regle!$J$12,-2,AV265+1))</f>
        <v>8</v>
      </c>
      <c r="AX265">
        <f>IF(AX$1=$AO$1,IF(regle!K$2-$Q265&gt;=regle!$J$12,-2,IF($S265,IF(regle!$B$2-$Q265&gt;=2,0,-1),regle!K$2-$Q265)),IF(AW265+1&gt;=regle!$J$12,-2,AW265+1))</f>
        <v>9</v>
      </c>
    </row>
    <row r="266" spans="1:50" x14ac:dyDescent="0.25">
      <c r="A266" t="b">
        <f>AND(modif0[[#This Row],[cdstr]]&lt;&gt;0,OR(regle!$H$27=FALSE,modif0[[#This Row],[essnc]]="PM"))</f>
        <v>1</v>
      </c>
      <c r="B266">
        <f>ROW(objet!A311)</f>
        <v>311</v>
      </c>
      <c r="C266" s="10" t="str">
        <f>objet!D311</f>
        <v>1710000B0298</v>
      </c>
      <c r="D266" t="str">
        <f>LEFT(modif0[[#This Row],[cdstr]],3)</f>
        <v>171</v>
      </c>
      <c r="E266" s="10" t="str">
        <f>objet!G311</f>
        <v>MANO</v>
      </c>
      <c r="F266">
        <f>LEN(modif0[[#This Row],[l_dt]])</f>
        <v>17</v>
      </c>
      <c r="G266" s="10" t="str">
        <f>objet!H311</f>
        <v>LANDE DE TABARTON</v>
      </c>
      <c r="H266" s="10" t="str">
        <f>objet!C311</f>
        <v>B298</v>
      </c>
      <c r="I266" t="str">
        <f>IF(ISNUMBER(VALUE(RIGHT(LEFT(modif0[[#This Row],[idntfn]],2),1))),_xlfn.CONCAT(0,LEFT(modif0[[#This Row],[idntfn]],1)),LEFT(modif0[[#This Row],[idntfn]],2))</f>
        <v>0B</v>
      </c>
      <c r="J266">
        <f>VALUE(LEFT(RIGHT(modif0[[#This Row],[idntfn]],LEN(modif0[[#This Row],[idntfn]])-IF(LEFT(modif0[[#This Row],[sctn]],1)="0",1,2)),LEN(modif0[[#This Row],[idntfn]])-IF(LEFT(modif0[[#This Row],[sctn]],1)="0",1,2)-LEN(modif0[[#This Row],[lttr]])))</f>
        <v>298</v>
      </c>
      <c r="K266" t="str">
        <f>IF(ISNUMBER(VALUE(RIGHT(modif0[[#This Row],[idntfn]],1))),"",IF(ISNUMBER(VALUE(LEFT(RIGHT(modif0[[#This Row],[idntfn]],2),1))),RIGHT(modif0[[#This Row],[idntfn]],1),RIGHT(modif0[[#This Row],[idntfn]],2)))</f>
        <v/>
      </c>
      <c r="L266" s="10">
        <f>objet!I311</f>
        <v>19734</v>
      </c>
      <c r="M266" s="11">
        <f>modif0[[#This Row],[srfc]]/10000</f>
        <v>1.9734</v>
      </c>
      <c r="N266" s="10" t="str">
        <f>objet!Z311</f>
        <v>PM</v>
      </c>
      <c r="O266" s="10" t="str">
        <f>objet!AA311</f>
        <v>CR2022</v>
      </c>
      <c r="P266" t="str">
        <f>IF(ISNUMBER(modif0[[#This Row],[trvx]]),"",LEFT(modif0[[#This Row],[trvx]],LEN(modif0[[#This Row],[trvx]])-4))</f>
        <v>CR</v>
      </c>
      <c r="Q266">
        <f>VALUE(RIGHT(modif0[[#This Row],[trvx]],4))</f>
        <v>2022</v>
      </c>
      <c r="R266" t="str">
        <f>_xlfn.CONCAT(modif0[[#This Row],[tp]],"-",modif0[[#This Row],[essnc]],"_",modif0[[#This Row],[anns]])</f>
        <v>CR-PM_2022</v>
      </c>
      <c r="S266" t="b">
        <f>modif0[[#This Row],[tp]]="CR"</f>
        <v>1</v>
      </c>
      <c r="T266">
        <v>40</v>
      </c>
      <c r="U266" t="str">
        <f>IF(NOT($A266),"",
IF(AO266=-2,regle!$J$11,
IF(AO266=regle!$B$12,regle!$B$11,
IF(AO266=regle!$C$12,regle!$C$11,
IF(AO266=regle!$D$12,regle!$D$11,
IF(AO266=regle!$E$12,regle!$E$11,
IF(AO266=regle!$F$12,regle!$F$11,
IF(AO266=regle!$G$12,regle!$G$11,
IF(AO266=regle!$H$12,regle!$H$11,
IF(AO266=regle!$I$12,regle!$I$11,""))))))))))</f>
        <v>RBST</v>
      </c>
      <c r="V266" t="str">
        <f>IF(NOT($A266),"",
IF(AP266=-2,regle!$J$11,
IF(AP266=regle!$B$12,regle!$B$11,
IF(AP266=regle!$C$12,regle!$C$11,
IF(AP266=regle!$D$12,regle!$D$11,
IF(AP266=regle!$E$12,regle!$E$11,
IF(AP266=regle!$F$12,regle!$F$11,
IF(AP266=regle!$G$12,regle!$G$11,
IF(AP266=regle!$H$12,regle!$H$11,
IF(AP266=regle!$I$12,regle!$I$11,""))))))))))</f>
        <v/>
      </c>
      <c r="W266" t="str">
        <f>IF(NOT($A266),"",
IF(AQ266=-2,regle!$J$11,
IF(AQ266=regle!$B$12,regle!$B$11,
IF(AQ266=regle!$C$12,regle!$C$11,
IF(AQ266=regle!$D$12,regle!$D$11,
IF(AQ266=regle!$E$12,regle!$E$11,
IF(AQ266=regle!$F$12,regle!$F$11,
IF(AQ266=regle!$G$12,regle!$G$11,
IF(AQ266=regle!$H$12,regle!$H$11,
IF(AQ266=regle!$I$12,regle!$I$11,""))))))))))</f>
        <v>DGT</v>
      </c>
      <c r="X266" t="str">
        <f>IF(NOT($A266),"",
IF(AR266=-2,regle!$J$11,
IF(AR266=regle!$B$12,regle!$B$11,
IF(AR266=regle!$C$12,regle!$C$11,
IF(AR266=regle!$D$12,regle!$D$11,
IF(AR266=regle!$E$12,regle!$E$11,
IF(AR266=regle!$F$12,regle!$F$11,
IF(AR266=regle!$G$12,regle!$G$11,
IF(AR266=regle!$H$12,regle!$H$11,
IF(AR266=regle!$I$12,regle!$I$11,""))))))))))</f>
        <v/>
      </c>
      <c r="Y266" t="str">
        <f>IF(NOT($A266),"",
IF(AS266=-2,regle!$J$11,
IF(AS266=regle!$B$12,regle!$B$11,
IF(AS266=regle!$C$12,regle!$C$11,
IF(AS266=regle!$D$12,regle!$D$11,
IF(AS266=regle!$E$12,regle!$E$11,
IF(AS266=regle!$F$12,regle!$F$11,
IF(AS266=regle!$G$12,regle!$G$11,
IF(AS266=regle!$H$12,regle!$H$11,
IF(AS266=regle!$I$12,regle!$I$11,""))))))))))</f>
        <v/>
      </c>
      <c r="Z266" t="str">
        <f>IF(NOT($A266),"",
IF(AT266=-2,regle!$J$11,
IF(AT266=regle!$B$12,regle!$B$11,
IF(AT266=regle!$C$12,regle!$C$11,
IF(AT266=regle!$D$12,regle!$D$11,
IF(AT266=regle!$E$12,regle!$E$11,
IF(AT266=regle!$F$12,regle!$F$11,
IF(AT266=regle!$G$12,regle!$G$11,
IF(AT266=regle!$H$12,regle!$H$11,
IF(AT266=regle!$I$12,regle!$I$11,""))))))))))</f>
        <v>ENT1</v>
      </c>
      <c r="AA266" t="str">
        <f>IF(NOT($A266),"",
IF(AU266=-2,regle!$J$11,
IF(AU266=regle!$B$12,regle!$B$11,
IF(AU266=regle!$C$12,regle!$C$11,
IF(AU266=regle!$D$12,regle!$D$11,
IF(AU266=regle!$E$12,regle!$E$11,
IF(AU266=regle!$F$12,regle!$F$11,
IF(AU266=regle!$G$12,regle!$G$11,
IF(AU266=regle!$H$12,regle!$H$11,
IF(AU266=regle!$I$12,regle!$I$11,""))))))))))</f>
        <v/>
      </c>
      <c r="AB266" t="str">
        <f>IF(NOT($A266),"",
IF(AV266=-2,regle!$J$11,
IF(AV266=regle!$B$12,regle!$B$11,
IF(AV266=regle!$C$12,regle!$C$11,
IF(AV266=regle!$D$12,regle!$D$11,
IF(AV266=regle!$E$12,regle!$E$11,
IF(AV266=regle!$F$12,regle!$F$11,
IF(AV266=regle!$G$12,regle!$G$11,
IF(AV266=regle!$H$12,regle!$H$11,
IF(AV266=regle!$I$12,regle!$I$11,""))))))))))</f>
        <v/>
      </c>
      <c r="AC266" t="str">
        <f>IF(NOT($A266),"",
IF(AW266=-2,regle!$J$11,
IF(AW266=regle!$B$12,regle!$B$11,
IF(AW266=regle!$C$12,regle!$C$11,
IF(AW266=regle!$D$12,regle!$D$11,
IF(AW266=regle!$E$12,regle!$E$11,
IF(AW266=regle!$F$12,regle!$F$11,
IF(AW266=regle!$G$12,regle!$G$11,
IF(AW266=regle!$H$12,regle!$H$11,
IF(AW266=regle!$I$12,regle!$I$11,""))))))))))</f>
        <v>ENT2</v>
      </c>
      <c r="AD266" t="str">
        <f>IF(NOT($A266),"",
IF(AX266=-2,regle!$J$11,
IF(AX266=regle!$B$12,regle!$B$11,
IF(AX266=regle!$C$12,regle!$C$11,
IF(AX266=regle!$D$12,regle!$D$11,
IF(AX266=regle!$E$12,regle!$E$11,
IF(AX266=regle!$F$12,regle!$F$11,
IF(AX266=regle!$G$12,regle!$G$11,
IF(AX266=regle!$H$12,regle!$H$11,
IF(AX266=regle!$I$12,regle!$I$11,""))))))))))</f>
        <v/>
      </c>
      <c r="AE266" s="14">
        <f>IF($A266,$M266*(IF(U266=regle!$B$11,regle!$B$23,IF(U266=regle!$C$11,regle!$C$23,IF(U266=regle!$D$11,regle!$D$23,IF(U266=regle!$E$11,regle!$E$23,IF(U266=regle!$F$11,regle!$F$23,IF(U266=regle!$G$11,regle!$G$23,IF(U266=regle!$H$11,regle!$H$23,IF(U266=regle!$I$11,regle!$I$23,IF(U266=regle!$J$11,regle!$J$23,0)))))))))))</f>
        <v>-3354.78</v>
      </c>
      <c r="AF266" s="14">
        <f>IF($A266,$M266*(IF(V266=regle!$B$11,regle!$B$23,IF(V266=regle!$C$11,regle!$C$23,IF(V266=regle!$D$11,regle!$D$23,IF(V266=regle!$E$11,regle!$E$23,IF(V266=regle!$F$11,regle!$F$23,IF(V266=regle!$G$11,regle!$G$23,IF(V266=regle!$H$11,regle!$H$23,IF(V266=regle!$I$11,regle!$I$23,IF(V266=regle!$J$11,regle!$J$23,0)))))))))))</f>
        <v>0</v>
      </c>
      <c r="AG266" s="14">
        <f>IF($A266,$M266*(IF(W266=regle!$B$11,regle!$B$23,IF(W266=regle!$C$11,regle!$C$23,IF(W266=regle!$D$11,regle!$D$23,IF(W266=regle!$E$11,regle!$E$23,IF(W266=regle!$F$11,regle!$F$23,IF(W266=regle!$G$11,regle!$G$23,IF(W266=regle!$H$11,regle!$H$23,IF(W266=regle!$I$11,regle!$I$23,IF(W266=regle!$J$11,regle!$J$23,0)))))))))))</f>
        <v>-148.005</v>
      </c>
      <c r="AH266" s="14">
        <f>IF($A266,$M266*(IF(X266=regle!$B$11,regle!$B$23,IF(X266=regle!$C$11,regle!$C$23,IF(X266=regle!$D$11,regle!$D$23,IF(X266=regle!$E$11,regle!$E$23,IF(X266=regle!$F$11,regle!$F$23,IF(X266=regle!$G$11,regle!$G$23,IF(X266=regle!$H$11,regle!$H$23,IF(X266=regle!$I$11,regle!$I$23,IF(X266=regle!$J$11,regle!$J$23,0)))))))))))</f>
        <v>0</v>
      </c>
      <c r="AI266" s="14">
        <f>IF($A266,$M266*(IF(Y266=regle!$B$11,regle!$B$23,IF(Y266=regle!$C$11,regle!$C$23,IF(Y266=regle!$D$11,regle!$D$23,IF(Y266=regle!$E$11,regle!$E$23,IF(Y266=regle!$F$11,regle!$F$23,IF(Y266=regle!$G$11,regle!$G$23,IF(Y266=regle!$H$11,regle!$H$23,IF(Y266=regle!$I$11,regle!$I$23,IF(Y266=regle!$J$11,regle!$J$23,0)))))))))))</f>
        <v>0</v>
      </c>
      <c r="AJ266" s="14">
        <f>IF($A266,$M266*(IF(Z266=regle!$B$11,regle!$B$23,IF(Z266=regle!$C$11,regle!$C$23,IF(Z266=regle!$D$11,regle!$D$23,IF(Z266=regle!$E$11,regle!$E$23,IF(Z266=regle!$F$11,regle!$F$23,IF(Z266=regle!$G$11,regle!$G$23,IF(Z266=regle!$H$11,regle!$H$23,IF(Z266=regle!$I$11,regle!$I$23,IF(Z266=regle!$J$11,regle!$J$23,0)))))))))))</f>
        <v>-177.60599999999999</v>
      </c>
      <c r="AK266" s="14">
        <f>IF($A266,$M266*(IF(AA266=regle!$B$11,regle!$B$23,IF(AA266=regle!$C$11,regle!$C$23,IF(AA266=regle!$D$11,regle!$D$23,IF(AA266=regle!$E$11,regle!$E$23,IF(AA266=regle!$F$11,regle!$F$23,IF(AA266=regle!$G$11,regle!$G$23,IF(AA266=regle!$H$11,regle!$H$23,IF(AA266=regle!$I$11,regle!$I$23,IF(AA266=regle!$J$11,regle!$J$23,0)))))))))))</f>
        <v>0</v>
      </c>
      <c r="AL266" s="14">
        <f>IF($A266,$M266*(IF(AB266=regle!$B$11,regle!$B$23,IF(AB266=regle!$C$11,regle!$C$23,IF(AB266=regle!$D$11,regle!$D$23,IF(AB266=regle!$E$11,regle!$E$23,IF(AB266=regle!$F$11,regle!$F$23,IF(AB266=regle!$G$11,regle!$G$23,IF(AB266=regle!$H$11,regle!$H$23,IF(AB266=regle!$I$11,regle!$I$23,IF(AB266=regle!$J$11,regle!$J$23,0)))))))))))</f>
        <v>0</v>
      </c>
      <c r="AM266" s="14">
        <f>IF($A266,$M266*(IF(AC266=regle!$B$11,regle!$B$23,IF(AC266=regle!$C$11,regle!$C$23,IF(AC266=regle!$D$11,regle!$D$23,IF(AC266=regle!$E$11,regle!$E$23,IF(AC266=regle!$F$11,regle!$F$23,IF(AC266=regle!$G$11,regle!$G$23,IF(AC266=regle!$H$11,regle!$H$23,IF(AC266=regle!$I$11,regle!$I$23,IF(AC266=regle!$J$11,regle!$J$23,0)))))))))))</f>
        <v>-177.60599999999999</v>
      </c>
      <c r="AN266" s="14">
        <f>IF($A266,$M266*(IF(AD266=regle!$B$11,regle!$B$23,IF(AD266=regle!$C$11,regle!$C$23,IF(AD266=regle!$D$11,regle!$D$23,IF(AD266=regle!$E$11,regle!$E$23,IF(AD266=regle!$F$11,regle!$F$23,IF(AD266=regle!$G$11,regle!$G$23,IF(AD266=regle!$H$11,regle!$H$23,IF(AD266=regle!$I$11,regle!$I$23,IF(AD266=regle!$J$11,regle!$J$23,0)))))))))))</f>
        <v>0</v>
      </c>
      <c r="AO266">
        <f>IF(AO$1=$AO$1,IF(regle!B$2-$Q266&gt;=regle!$J$12,-2,IF($S266,IF(regle!$B$2-$Q266&gt;=2,0,-1),regle!B$2-$Q266)),IF(AN266+1&gt;=regle!$J$12,-2,AN266+1))</f>
        <v>0</v>
      </c>
      <c r="AP266">
        <f>IF(AP$1=$AO$1,IF(regle!C$2-$Q266&gt;=regle!$J$12,-2,IF($S266,IF(regle!$B$2-$Q266&gt;=2,0,-1),regle!C$2-$Q266)),IF(AO266+1&gt;=regle!$J$12,-2,AO266+1))</f>
        <v>1</v>
      </c>
      <c r="AQ266">
        <f>IF(AQ$1=$AO$1,IF(regle!D$2-$Q266&gt;=regle!$J$12,-2,IF($S266,IF(regle!$B$2-$Q266&gt;=2,0,-1),regle!D$2-$Q266)),IF(AP266+1&gt;=regle!$J$12,-2,AP266+1))</f>
        <v>2</v>
      </c>
      <c r="AR266">
        <f>IF(AR$1=$AO$1,IF(regle!E$2-$Q266&gt;=regle!$J$12,-2,IF($S266,IF(regle!$B$2-$Q266&gt;=2,0,-1),regle!E$2-$Q266)),IF(AQ266+1&gt;=regle!$J$12,-2,AQ266+1))</f>
        <v>3</v>
      </c>
      <c r="AS266">
        <f>IF(AS$1=$AO$1,IF(regle!F$2-$Q266&gt;=regle!$J$12,-2,IF($S266,IF(regle!$B$2-$Q266&gt;=2,0,-1),regle!F$2-$Q266)),IF(AR266+1&gt;=regle!$J$12,-2,AR266+1))</f>
        <v>4</v>
      </c>
      <c r="AT266">
        <f>IF(AT$1=$AO$1,IF(regle!G$2-$Q266&gt;=regle!$J$12,-2,IF($S266,IF(regle!$B$2-$Q266&gt;=2,0,-1),regle!G$2-$Q266)),IF(AS266+1&gt;=regle!$J$12,-2,AS266+1))</f>
        <v>5</v>
      </c>
      <c r="AU266">
        <f>IF(AU$1=$AO$1,IF(regle!H$2-$Q266&gt;=regle!$J$12,-2,IF($S266,IF(regle!$B$2-$Q266&gt;=2,0,-1),regle!H$2-$Q266)),IF(AT266+1&gt;=regle!$J$12,-2,AT266+1))</f>
        <v>6</v>
      </c>
      <c r="AV266">
        <f>IF(AV$1=$AO$1,IF(regle!I$2-$Q266&gt;=regle!$J$12,-2,IF($S266,IF(regle!$B$2-$Q266&gt;=2,0,-1),regle!I$2-$Q266)),IF(AU266+1&gt;=regle!$J$12,-2,AU266+1))</f>
        <v>7</v>
      </c>
      <c r="AW266">
        <f>IF(AW$1=$AO$1,IF(regle!J$2-$Q266&gt;=regle!$J$12,-2,IF($S266,IF(regle!$B$2-$Q266&gt;=2,0,-1),regle!J$2-$Q266)),IF(AV266+1&gt;=regle!$J$12,-2,AV266+1))</f>
        <v>8</v>
      </c>
      <c r="AX266">
        <f>IF(AX$1=$AO$1,IF(regle!K$2-$Q266&gt;=regle!$J$12,-2,IF($S266,IF(regle!$B$2-$Q266&gt;=2,0,-1),regle!K$2-$Q266)),IF(AW266+1&gt;=regle!$J$12,-2,AW266+1))</f>
        <v>9</v>
      </c>
    </row>
    <row r="267" spans="1:50" x14ac:dyDescent="0.25">
      <c r="A267" t="b">
        <f>AND(modif0[[#This Row],[cdstr]]&lt;&gt;0,OR(regle!$H$27=FALSE,modif0[[#This Row],[essnc]]="PM"))</f>
        <v>1</v>
      </c>
      <c r="B267">
        <f>ROW(objet!A312)</f>
        <v>312</v>
      </c>
      <c r="C267" s="10" t="str">
        <f>objet!D312</f>
        <v>1710000B0299</v>
      </c>
      <c r="D267" t="str">
        <f>LEFT(modif0[[#This Row],[cdstr]],3)</f>
        <v>171</v>
      </c>
      <c r="E267" s="10" t="str">
        <f>objet!G312</f>
        <v>MANO</v>
      </c>
      <c r="F267">
        <f>LEN(modif0[[#This Row],[l_dt]])</f>
        <v>17</v>
      </c>
      <c r="G267" s="10" t="str">
        <f>objet!H312</f>
        <v>LANDE DE TABARTON</v>
      </c>
      <c r="H267" s="10" t="str">
        <f>objet!C312</f>
        <v>B299</v>
      </c>
      <c r="I267" t="str">
        <f>IF(ISNUMBER(VALUE(RIGHT(LEFT(modif0[[#This Row],[idntfn]],2),1))),_xlfn.CONCAT(0,LEFT(modif0[[#This Row],[idntfn]],1)),LEFT(modif0[[#This Row],[idntfn]],2))</f>
        <v>0B</v>
      </c>
      <c r="J267">
        <f>VALUE(LEFT(RIGHT(modif0[[#This Row],[idntfn]],LEN(modif0[[#This Row],[idntfn]])-IF(LEFT(modif0[[#This Row],[sctn]],1)="0",1,2)),LEN(modif0[[#This Row],[idntfn]])-IF(LEFT(modif0[[#This Row],[sctn]],1)="0",1,2)-LEN(modif0[[#This Row],[lttr]])))</f>
        <v>299</v>
      </c>
      <c r="K267" t="str">
        <f>IF(ISNUMBER(VALUE(RIGHT(modif0[[#This Row],[idntfn]],1))),"",IF(ISNUMBER(VALUE(LEFT(RIGHT(modif0[[#This Row],[idntfn]],2),1))),RIGHT(modif0[[#This Row],[idntfn]],1),RIGHT(modif0[[#This Row],[idntfn]],2)))</f>
        <v/>
      </c>
      <c r="L267" s="10">
        <f>objet!I312</f>
        <v>8350</v>
      </c>
      <c r="M267" s="11">
        <f>modif0[[#This Row],[srfc]]/10000</f>
        <v>0.83499999999999996</v>
      </c>
      <c r="N267" s="10" t="str">
        <f>objet!Z312</f>
        <v>PM</v>
      </c>
      <c r="O267" s="10" t="str">
        <f>objet!AA312</f>
        <v>PLA2023</v>
      </c>
      <c r="P267" t="str">
        <f>IF(ISNUMBER(modif0[[#This Row],[trvx]]),"",LEFT(modif0[[#This Row],[trvx]],LEN(modif0[[#This Row],[trvx]])-4))</f>
        <v>PLA</v>
      </c>
      <c r="Q267">
        <f>VALUE(RIGHT(modif0[[#This Row],[trvx]],4))</f>
        <v>2023</v>
      </c>
      <c r="R267" t="str">
        <f>_xlfn.CONCAT(modif0[[#This Row],[tp]],"-",modif0[[#This Row],[essnc]],"_",modif0[[#This Row],[anns]])</f>
        <v>PLA-PM_2023</v>
      </c>
      <c r="S267" t="b">
        <f>modif0[[#This Row],[tp]]="CR"</f>
        <v>0</v>
      </c>
      <c r="T267">
        <v>40</v>
      </c>
      <c r="U267" t="str">
        <f>IF(NOT($A267),"",
IF(AO267=-2,regle!$J$11,
IF(AO267=regle!$B$12,regle!$B$11,
IF(AO267=regle!$C$12,regle!$C$11,
IF(AO267=regle!$D$12,regle!$D$11,
IF(AO267=regle!$E$12,regle!$E$11,
IF(AO267=regle!$F$12,regle!$F$11,
IF(AO267=regle!$G$12,regle!$G$11,
IF(AO267=regle!$H$12,regle!$H$11,
IF(AO267=regle!$I$12,regle!$I$11,""))))))))))</f>
        <v/>
      </c>
      <c r="V267" t="str">
        <f>IF(NOT($A267),"",
IF(AP267=-2,regle!$J$11,
IF(AP267=regle!$B$12,regle!$B$11,
IF(AP267=regle!$C$12,regle!$C$11,
IF(AP267=regle!$D$12,regle!$D$11,
IF(AP267=regle!$E$12,regle!$E$11,
IF(AP267=regle!$F$12,regle!$F$11,
IF(AP267=regle!$G$12,regle!$G$11,
IF(AP267=regle!$H$12,regle!$H$11,
IF(AP267=regle!$I$12,regle!$I$11,""))))))))))</f>
        <v>DGT</v>
      </c>
      <c r="W267" t="str">
        <f>IF(NOT($A267),"",
IF(AQ267=-2,regle!$J$11,
IF(AQ267=regle!$B$12,regle!$B$11,
IF(AQ267=regle!$C$12,regle!$C$11,
IF(AQ267=regle!$D$12,regle!$D$11,
IF(AQ267=regle!$E$12,regle!$E$11,
IF(AQ267=regle!$F$12,regle!$F$11,
IF(AQ267=regle!$G$12,regle!$G$11,
IF(AQ267=regle!$H$12,regle!$H$11,
IF(AQ267=regle!$I$12,regle!$I$11,""))))))))))</f>
        <v/>
      </c>
      <c r="X267" t="str">
        <f>IF(NOT($A267),"",
IF(AR267=-2,regle!$J$11,
IF(AR267=regle!$B$12,regle!$B$11,
IF(AR267=regle!$C$12,regle!$C$11,
IF(AR267=regle!$D$12,regle!$D$11,
IF(AR267=regle!$E$12,regle!$E$11,
IF(AR267=regle!$F$12,regle!$F$11,
IF(AR267=regle!$G$12,regle!$G$11,
IF(AR267=regle!$H$12,regle!$H$11,
IF(AR267=regle!$I$12,regle!$I$11,""))))))))))</f>
        <v/>
      </c>
      <c r="Y267" t="str">
        <f>IF(NOT($A267),"",
IF(AS267=-2,regle!$J$11,
IF(AS267=regle!$B$12,regle!$B$11,
IF(AS267=regle!$C$12,regle!$C$11,
IF(AS267=regle!$D$12,regle!$D$11,
IF(AS267=regle!$E$12,regle!$E$11,
IF(AS267=regle!$F$12,regle!$F$11,
IF(AS267=regle!$G$12,regle!$G$11,
IF(AS267=regle!$H$12,regle!$H$11,
IF(AS267=regle!$I$12,regle!$I$11,""))))))))))</f>
        <v>ENT1</v>
      </c>
      <c r="Z267" t="str">
        <f>IF(NOT($A267),"",
IF(AT267=-2,regle!$J$11,
IF(AT267=regle!$B$12,regle!$B$11,
IF(AT267=regle!$C$12,regle!$C$11,
IF(AT267=regle!$D$12,regle!$D$11,
IF(AT267=regle!$E$12,regle!$E$11,
IF(AT267=regle!$F$12,regle!$F$11,
IF(AT267=regle!$G$12,regle!$G$11,
IF(AT267=regle!$H$12,regle!$H$11,
IF(AT267=regle!$I$12,regle!$I$11,""))))))))))</f>
        <v/>
      </c>
      <c r="AA267" t="str">
        <f>IF(NOT($A267),"",
IF(AU267=-2,regle!$J$11,
IF(AU267=regle!$B$12,regle!$B$11,
IF(AU267=regle!$C$12,regle!$C$11,
IF(AU267=regle!$D$12,regle!$D$11,
IF(AU267=regle!$E$12,regle!$E$11,
IF(AU267=regle!$F$12,regle!$F$11,
IF(AU267=regle!$G$12,regle!$G$11,
IF(AU267=regle!$H$12,regle!$H$11,
IF(AU267=regle!$I$12,regle!$I$11,""))))))))))</f>
        <v/>
      </c>
      <c r="AB267" t="str">
        <f>IF(NOT($A267),"",
IF(AV267=-2,regle!$J$11,
IF(AV267=regle!$B$12,regle!$B$11,
IF(AV267=regle!$C$12,regle!$C$11,
IF(AV267=regle!$D$12,regle!$D$11,
IF(AV267=regle!$E$12,regle!$E$11,
IF(AV267=regle!$F$12,regle!$F$11,
IF(AV267=regle!$G$12,regle!$G$11,
IF(AV267=regle!$H$12,regle!$H$11,
IF(AV267=regle!$I$12,regle!$I$11,""))))))))))</f>
        <v>ENT2</v>
      </c>
      <c r="AC267" t="str">
        <f>IF(NOT($A267),"",
IF(AW267=-2,regle!$J$11,
IF(AW267=regle!$B$12,regle!$B$11,
IF(AW267=regle!$C$12,regle!$C$11,
IF(AW267=regle!$D$12,regle!$D$11,
IF(AW267=regle!$E$12,regle!$E$11,
IF(AW267=regle!$F$12,regle!$F$11,
IF(AW267=regle!$G$12,regle!$G$11,
IF(AW267=regle!$H$12,regle!$H$11,
IF(AW267=regle!$I$12,regle!$I$11,""))))))))))</f>
        <v/>
      </c>
      <c r="AD267" t="str">
        <f>IF(NOT($A267),"",
IF(AX267=-2,regle!$J$11,
IF(AX267=regle!$B$12,regle!$B$11,
IF(AX267=regle!$C$12,regle!$C$11,
IF(AX267=regle!$D$12,regle!$D$11,
IF(AX267=regle!$E$12,regle!$E$11,
IF(AX267=regle!$F$12,regle!$F$11,
IF(AX267=regle!$G$12,regle!$G$11,
IF(AX267=regle!$H$12,regle!$H$11,
IF(AX267=regle!$I$12,regle!$I$11,""))))))))))</f>
        <v/>
      </c>
      <c r="AE267" s="14">
        <f>IF($A267,$M267*(IF(U267=regle!$B$11,regle!$B$23,IF(U267=regle!$C$11,regle!$C$23,IF(U267=regle!$D$11,regle!$D$23,IF(U267=regle!$E$11,regle!$E$23,IF(U267=regle!$F$11,regle!$F$23,IF(U267=regle!$G$11,regle!$G$23,IF(U267=regle!$H$11,regle!$H$23,IF(U267=regle!$I$11,regle!$I$23,IF(U267=regle!$J$11,regle!$J$23,0)))))))))))</f>
        <v>0</v>
      </c>
      <c r="AF267" s="14">
        <f>IF($A267,$M267*(IF(V267=regle!$B$11,regle!$B$23,IF(V267=regle!$C$11,regle!$C$23,IF(V267=regle!$D$11,regle!$D$23,IF(V267=regle!$E$11,regle!$E$23,IF(V267=regle!$F$11,regle!$F$23,IF(V267=regle!$G$11,regle!$G$23,IF(V267=regle!$H$11,regle!$H$23,IF(V267=regle!$I$11,regle!$I$23,IF(V267=regle!$J$11,regle!$J$23,0)))))))))))</f>
        <v>-62.625</v>
      </c>
      <c r="AG267" s="14">
        <f>IF($A267,$M267*(IF(W267=regle!$B$11,regle!$B$23,IF(W267=regle!$C$11,regle!$C$23,IF(W267=regle!$D$11,regle!$D$23,IF(W267=regle!$E$11,regle!$E$23,IF(W267=regle!$F$11,regle!$F$23,IF(W267=regle!$G$11,regle!$G$23,IF(W267=regle!$H$11,regle!$H$23,IF(W267=regle!$I$11,regle!$I$23,IF(W267=regle!$J$11,regle!$J$23,0)))))))))))</f>
        <v>0</v>
      </c>
      <c r="AH267" s="14">
        <f>IF($A267,$M267*(IF(X267=regle!$B$11,regle!$B$23,IF(X267=regle!$C$11,regle!$C$23,IF(X267=regle!$D$11,regle!$D$23,IF(X267=regle!$E$11,regle!$E$23,IF(X267=regle!$F$11,regle!$F$23,IF(X267=regle!$G$11,regle!$G$23,IF(X267=regle!$H$11,regle!$H$23,IF(X267=regle!$I$11,regle!$I$23,IF(X267=regle!$J$11,regle!$J$23,0)))))))))))</f>
        <v>0</v>
      </c>
      <c r="AI267" s="14">
        <f>IF($A267,$M267*(IF(Y267=regle!$B$11,regle!$B$23,IF(Y267=regle!$C$11,regle!$C$23,IF(Y267=regle!$D$11,regle!$D$23,IF(Y267=regle!$E$11,regle!$E$23,IF(Y267=regle!$F$11,regle!$F$23,IF(Y267=regle!$G$11,regle!$G$23,IF(Y267=regle!$H$11,regle!$H$23,IF(Y267=regle!$I$11,regle!$I$23,IF(Y267=regle!$J$11,regle!$J$23,0)))))))))))</f>
        <v>-75.149999999999991</v>
      </c>
      <c r="AJ267" s="14">
        <f>IF($A267,$M267*(IF(Z267=regle!$B$11,regle!$B$23,IF(Z267=regle!$C$11,regle!$C$23,IF(Z267=regle!$D$11,regle!$D$23,IF(Z267=regle!$E$11,regle!$E$23,IF(Z267=regle!$F$11,regle!$F$23,IF(Z267=regle!$G$11,regle!$G$23,IF(Z267=regle!$H$11,regle!$H$23,IF(Z267=regle!$I$11,regle!$I$23,IF(Z267=regle!$J$11,regle!$J$23,0)))))))))))</f>
        <v>0</v>
      </c>
      <c r="AK267" s="14">
        <f>IF($A267,$M267*(IF(AA267=regle!$B$11,regle!$B$23,IF(AA267=regle!$C$11,regle!$C$23,IF(AA267=regle!$D$11,regle!$D$23,IF(AA267=regle!$E$11,regle!$E$23,IF(AA267=regle!$F$11,regle!$F$23,IF(AA267=regle!$G$11,regle!$G$23,IF(AA267=regle!$H$11,regle!$H$23,IF(AA267=regle!$I$11,regle!$I$23,IF(AA267=regle!$J$11,regle!$J$23,0)))))))))))</f>
        <v>0</v>
      </c>
      <c r="AL267" s="14">
        <f>IF($A267,$M267*(IF(AB267=regle!$B$11,regle!$B$23,IF(AB267=regle!$C$11,regle!$C$23,IF(AB267=regle!$D$11,regle!$D$23,IF(AB267=regle!$E$11,regle!$E$23,IF(AB267=regle!$F$11,regle!$F$23,IF(AB267=regle!$G$11,regle!$G$23,IF(AB267=regle!$H$11,regle!$H$23,IF(AB267=regle!$I$11,regle!$I$23,IF(AB267=regle!$J$11,regle!$J$23,0)))))))))))</f>
        <v>-75.149999999999991</v>
      </c>
      <c r="AM267" s="14">
        <f>IF($A267,$M267*(IF(AC267=regle!$B$11,regle!$B$23,IF(AC267=regle!$C$11,regle!$C$23,IF(AC267=regle!$D$11,regle!$D$23,IF(AC267=regle!$E$11,regle!$E$23,IF(AC267=regle!$F$11,regle!$F$23,IF(AC267=regle!$G$11,regle!$G$23,IF(AC267=regle!$H$11,regle!$H$23,IF(AC267=regle!$I$11,regle!$I$23,IF(AC267=regle!$J$11,regle!$J$23,0)))))))))))</f>
        <v>0</v>
      </c>
      <c r="AN267" s="14">
        <f>IF($A267,$M267*(IF(AD267=regle!$B$11,regle!$B$23,IF(AD267=regle!$C$11,regle!$C$23,IF(AD267=regle!$D$11,regle!$D$23,IF(AD267=regle!$E$11,regle!$E$23,IF(AD267=regle!$F$11,regle!$F$23,IF(AD267=regle!$G$11,regle!$G$23,IF(AD267=regle!$H$11,regle!$H$23,IF(AD267=regle!$I$11,regle!$I$23,IF(AD267=regle!$J$11,regle!$J$23,0)))))))))))</f>
        <v>0</v>
      </c>
      <c r="AO267">
        <f>IF(AO$1=$AO$1,IF(regle!B$2-$Q267&gt;=regle!$J$12,-2,IF($S267,IF(regle!$B$2-$Q267&gt;=2,0,-1),regle!B$2-$Q267)),IF(AN267+1&gt;=regle!$J$12,-2,AN267+1))</f>
        <v>1</v>
      </c>
      <c r="AP267">
        <f>IF(AP$1=$AO$1,IF(regle!C$2-$Q267&gt;=regle!$J$12,-2,IF($S267,IF(regle!$B$2-$Q267&gt;=2,0,-1),regle!C$2-$Q267)),IF(AO267+1&gt;=regle!$J$12,-2,AO267+1))</f>
        <v>2</v>
      </c>
      <c r="AQ267">
        <f>IF(AQ$1=$AO$1,IF(regle!D$2-$Q267&gt;=regle!$J$12,-2,IF($S267,IF(regle!$B$2-$Q267&gt;=2,0,-1),regle!D$2-$Q267)),IF(AP267+1&gt;=regle!$J$12,-2,AP267+1))</f>
        <v>3</v>
      </c>
      <c r="AR267">
        <f>IF(AR$1=$AO$1,IF(regle!E$2-$Q267&gt;=regle!$J$12,-2,IF($S267,IF(regle!$B$2-$Q267&gt;=2,0,-1),regle!E$2-$Q267)),IF(AQ267+1&gt;=regle!$J$12,-2,AQ267+1))</f>
        <v>4</v>
      </c>
      <c r="AS267">
        <f>IF(AS$1=$AO$1,IF(regle!F$2-$Q267&gt;=regle!$J$12,-2,IF($S267,IF(regle!$B$2-$Q267&gt;=2,0,-1),regle!F$2-$Q267)),IF(AR267+1&gt;=regle!$J$12,-2,AR267+1))</f>
        <v>5</v>
      </c>
      <c r="AT267">
        <f>IF(AT$1=$AO$1,IF(regle!G$2-$Q267&gt;=regle!$J$12,-2,IF($S267,IF(regle!$B$2-$Q267&gt;=2,0,-1),regle!G$2-$Q267)),IF(AS267+1&gt;=regle!$J$12,-2,AS267+1))</f>
        <v>6</v>
      </c>
      <c r="AU267">
        <f>IF(AU$1=$AO$1,IF(regle!H$2-$Q267&gt;=regle!$J$12,-2,IF($S267,IF(regle!$B$2-$Q267&gt;=2,0,-1),regle!H$2-$Q267)),IF(AT267+1&gt;=regle!$J$12,-2,AT267+1))</f>
        <v>7</v>
      </c>
      <c r="AV267">
        <f>IF(AV$1=$AO$1,IF(regle!I$2-$Q267&gt;=regle!$J$12,-2,IF($S267,IF(regle!$B$2-$Q267&gt;=2,0,-1),regle!I$2-$Q267)),IF(AU267+1&gt;=regle!$J$12,-2,AU267+1))</f>
        <v>8</v>
      </c>
      <c r="AW267">
        <f>IF(AW$1=$AO$1,IF(regle!J$2-$Q267&gt;=regle!$J$12,-2,IF($S267,IF(regle!$B$2-$Q267&gt;=2,0,-1),regle!J$2-$Q267)),IF(AV267+1&gt;=regle!$J$12,-2,AV267+1))</f>
        <v>9</v>
      </c>
      <c r="AX267">
        <f>IF(AX$1=$AO$1,IF(regle!K$2-$Q267&gt;=regle!$J$12,-2,IF($S267,IF(regle!$B$2-$Q267&gt;=2,0,-1),regle!K$2-$Q267)),IF(AW267+1&gt;=regle!$J$12,-2,AW267+1))</f>
        <v>10</v>
      </c>
    </row>
    <row r="268" spans="1:50" x14ac:dyDescent="0.25">
      <c r="A268" t="b">
        <f>AND(modif0[[#This Row],[cdstr]]&lt;&gt;0,OR(regle!$H$27=FALSE,modif0[[#This Row],[essnc]]="PM"))</f>
        <v>1</v>
      </c>
      <c r="B268">
        <f>ROW(objet!A315)</f>
        <v>315</v>
      </c>
      <c r="C268" s="10" t="str">
        <f>objet!D315</f>
        <v>1710000B0302</v>
      </c>
      <c r="D268" t="str">
        <f>LEFT(modif0[[#This Row],[cdstr]],3)</f>
        <v>171</v>
      </c>
      <c r="E268" s="10" t="str">
        <f>objet!G315</f>
        <v>MANO</v>
      </c>
      <c r="F268">
        <f>LEN(modif0[[#This Row],[l_dt]])</f>
        <v>17</v>
      </c>
      <c r="G268" s="10" t="str">
        <f>objet!H315</f>
        <v>LANDE DE TABARTON</v>
      </c>
      <c r="H268" s="10" t="str">
        <f>objet!C315</f>
        <v>B302</v>
      </c>
      <c r="I268" t="str">
        <f>IF(ISNUMBER(VALUE(RIGHT(LEFT(modif0[[#This Row],[idntfn]],2),1))),_xlfn.CONCAT(0,LEFT(modif0[[#This Row],[idntfn]],1)),LEFT(modif0[[#This Row],[idntfn]],2))</f>
        <v>0B</v>
      </c>
      <c r="J268">
        <f>VALUE(LEFT(RIGHT(modif0[[#This Row],[idntfn]],LEN(modif0[[#This Row],[idntfn]])-IF(LEFT(modif0[[#This Row],[sctn]],1)="0",1,2)),LEN(modif0[[#This Row],[idntfn]])-IF(LEFT(modif0[[#This Row],[sctn]],1)="0",1,2)-LEN(modif0[[#This Row],[lttr]])))</f>
        <v>302</v>
      </c>
      <c r="K268" t="str">
        <f>IF(ISNUMBER(VALUE(RIGHT(modif0[[#This Row],[idntfn]],1))),"",IF(ISNUMBER(VALUE(LEFT(RIGHT(modif0[[#This Row],[idntfn]],2),1))),RIGHT(modif0[[#This Row],[idntfn]],1),RIGHT(modif0[[#This Row],[idntfn]],2)))</f>
        <v/>
      </c>
      <c r="L268" s="10">
        <f>objet!I315</f>
        <v>4170</v>
      </c>
      <c r="M268" s="11">
        <f>modif0[[#This Row],[srfc]]/10000</f>
        <v>0.41699999999999998</v>
      </c>
      <c r="N268" s="10" t="str">
        <f>objet!Z315</f>
        <v>PM</v>
      </c>
      <c r="O268" s="10" t="str">
        <f>objet!AA315</f>
        <v>CR2022</v>
      </c>
      <c r="P268" t="str">
        <f>IF(ISNUMBER(modif0[[#This Row],[trvx]]),"",LEFT(modif0[[#This Row],[trvx]],LEN(modif0[[#This Row],[trvx]])-4))</f>
        <v>CR</v>
      </c>
      <c r="Q268">
        <f>VALUE(RIGHT(modif0[[#This Row],[trvx]],4))</f>
        <v>2022</v>
      </c>
      <c r="R268" t="str">
        <f>_xlfn.CONCAT(modif0[[#This Row],[tp]],"-",modif0[[#This Row],[essnc]],"_",modif0[[#This Row],[anns]])</f>
        <v>CR-PM_2022</v>
      </c>
      <c r="S268" t="b">
        <f>modif0[[#This Row],[tp]]="CR"</f>
        <v>1</v>
      </c>
      <c r="T268">
        <v>40</v>
      </c>
      <c r="U268" t="str">
        <f>IF(NOT($A268),"",
IF(AO268=-2,regle!$J$11,
IF(AO268=regle!$B$12,regle!$B$11,
IF(AO268=regle!$C$12,regle!$C$11,
IF(AO268=regle!$D$12,regle!$D$11,
IF(AO268=regle!$E$12,regle!$E$11,
IF(AO268=regle!$F$12,regle!$F$11,
IF(AO268=regle!$G$12,regle!$G$11,
IF(AO268=regle!$H$12,regle!$H$11,
IF(AO268=regle!$I$12,regle!$I$11,""))))))))))</f>
        <v>RBST</v>
      </c>
      <c r="V268" t="str">
        <f>IF(NOT($A268),"",
IF(AP268=-2,regle!$J$11,
IF(AP268=regle!$B$12,regle!$B$11,
IF(AP268=regle!$C$12,regle!$C$11,
IF(AP268=regle!$D$12,regle!$D$11,
IF(AP268=regle!$E$12,regle!$E$11,
IF(AP268=regle!$F$12,regle!$F$11,
IF(AP268=regle!$G$12,regle!$G$11,
IF(AP268=regle!$H$12,regle!$H$11,
IF(AP268=regle!$I$12,regle!$I$11,""))))))))))</f>
        <v/>
      </c>
      <c r="W268" t="str">
        <f>IF(NOT($A268),"",
IF(AQ268=-2,regle!$J$11,
IF(AQ268=regle!$B$12,regle!$B$11,
IF(AQ268=regle!$C$12,regle!$C$11,
IF(AQ268=regle!$D$12,regle!$D$11,
IF(AQ268=regle!$E$12,regle!$E$11,
IF(AQ268=regle!$F$12,regle!$F$11,
IF(AQ268=regle!$G$12,regle!$G$11,
IF(AQ268=regle!$H$12,regle!$H$11,
IF(AQ268=regle!$I$12,regle!$I$11,""))))))))))</f>
        <v>DGT</v>
      </c>
      <c r="X268" t="str">
        <f>IF(NOT($A268),"",
IF(AR268=-2,regle!$J$11,
IF(AR268=regle!$B$12,regle!$B$11,
IF(AR268=regle!$C$12,regle!$C$11,
IF(AR268=regle!$D$12,regle!$D$11,
IF(AR268=regle!$E$12,regle!$E$11,
IF(AR268=regle!$F$12,regle!$F$11,
IF(AR268=regle!$G$12,regle!$G$11,
IF(AR268=regle!$H$12,regle!$H$11,
IF(AR268=regle!$I$12,regle!$I$11,""))))))))))</f>
        <v/>
      </c>
      <c r="Y268" t="str">
        <f>IF(NOT($A268),"",
IF(AS268=-2,regle!$J$11,
IF(AS268=regle!$B$12,regle!$B$11,
IF(AS268=regle!$C$12,regle!$C$11,
IF(AS268=regle!$D$12,regle!$D$11,
IF(AS268=regle!$E$12,regle!$E$11,
IF(AS268=regle!$F$12,regle!$F$11,
IF(AS268=regle!$G$12,regle!$G$11,
IF(AS268=regle!$H$12,regle!$H$11,
IF(AS268=regle!$I$12,regle!$I$11,""))))))))))</f>
        <v/>
      </c>
      <c r="Z268" t="str">
        <f>IF(NOT($A268),"",
IF(AT268=-2,regle!$J$11,
IF(AT268=regle!$B$12,regle!$B$11,
IF(AT268=regle!$C$12,regle!$C$11,
IF(AT268=regle!$D$12,regle!$D$11,
IF(AT268=regle!$E$12,regle!$E$11,
IF(AT268=regle!$F$12,regle!$F$11,
IF(AT268=regle!$G$12,regle!$G$11,
IF(AT268=regle!$H$12,regle!$H$11,
IF(AT268=regle!$I$12,regle!$I$11,""))))))))))</f>
        <v>ENT1</v>
      </c>
      <c r="AA268" t="str">
        <f>IF(NOT($A268),"",
IF(AU268=-2,regle!$J$11,
IF(AU268=regle!$B$12,regle!$B$11,
IF(AU268=regle!$C$12,regle!$C$11,
IF(AU268=regle!$D$12,regle!$D$11,
IF(AU268=regle!$E$12,regle!$E$11,
IF(AU268=regle!$F$12,regle!$F$11,
IF(AU268=regle!$G$12,regle!$G$11,
IF(AU268=regle!$H$12,regle!$H$11,
IF(AU268=regle!$I$12,regle!$I$11,""))))))))))</f>
        <v/>
      </c>
      <c r="AB268" t="str">
        <f>IF(NOT($A268),"",
IF(AV268=-2,regle!$J$11,
IF(AV268=regle!$B$12,regle!$B$11,
IF(AV268=regle!$C$12,regle!$C$11,
IF(AV268=regle!$D$12,regle!$D$11,
IF(AV268=regle!$E$12,regle!$E$11,
IF(AV268=regle!$F$12,regle!$F$11,
IF(AV268=regle!$G$12,regle!$G$11,
IF(AV268=regle!$H$12,regle!$H$11,
IF(AV268=regle!$I$12,regle!$I$11,""))))))))))</f>
        <v/>
      </c>
      <c r="AC268" t="str">
        <f>IF(NOT($A268),"",
IF(AW268=-2,regle!$J$11,
IF(AW268=regle!$B$12,regle!$B$11,
IF(AW268=regle!$C$12,regle!$C$11,
IF(AW268=regle!$D$12,regle!$D$11,
IF(AW268=regle!$E$12,regle!$E$11,
IF(AW268=regle!$F$12,regle!$F$11,
IF(AW268=regle!$G$12,regle!$G$11,
IF(AW268=regle!$H$12,regle!$H$11,
IF(AW268=regle!$I$12,regle!$I$11,""))))))))))</f>
        <v>ENT2</v>
      </c>
      <c r="AD268" t="str">
        <f>IF(NOT($A268),"",
IF(AX268=-2,regle!$J$11,
IF(AX268=regle!$B$12,regle!$B$11,
IF(AX268=regle!$C$12,regle!$C$11,
IF(AX268=regle!$D$12,regle!$D$11,
IF(AX268=regle!$E$12,regle!$E$11,
IF(AX268=regle!$F$12,regle!$F$11,
IF(AX268=regle!$G$12,regle!$G$11,
IF(AX268=regle!$H$12,regle!$H$11,
IF(AX268=regle!$I$12,regle!$I$11,""))))))))))</f>
        <v/>
      </c>
      <c r="AE268" s="14">
        <f>IF($A268,$M268*(IF(U268=regle!$B$11,regle!$B$23,IF(U268=regle!$C$11,regle!$C$23,IF(U268=regle!$D$11,regle!$D$23,IF(U268=regle!$E$11,regle!$E$23,IF(U268=regle!$F$11,regle!$F$23,IF(U268=regle!$G$11,regle!$G$23,IF(U268=regle!$H$11,regle!$H$23,IF(U268=regle!$I$11,regle!$I$23,IF(U268=regle!$J$11,regle!$J$23,0)))))))))))</f>
        <v>-708.9</v>
      </c>
      <c r="AF268" s="14">
        <f>IF($A268,$M268*(IF(V268=regle!$B$11,regle!$B$23,IF(V268=regle!$C$11,regle!$C$23,IF(V268=regle!$D$11,regle!$D$23,IF(V268=regle!$E$11,regle!$E$23,IF(V268=regle!$F$11,regle!$F$23,IF(V268=regle!$G$11,regle!$G$23,IF(V268=regle!$H$11,regle!$H$23,IF(V268=regle!$I$11,regle!$I$23,IF(V268=regle!$J$11,regle!$J$23,0)))))))))))</f>
        <v>0</v>
      </c>
      <c r="AG268" s="14">
        <f>IF($A268,$M268*(IF(W268=regle!$B$11,regle!$B$23,IF(W268=regle!$C$11,regle!$C$23,IF(W268=regle!$D$11,regle!$D$23,IF(W268=regle!$E$11,regle!$E$23,IF(W268=regle!$F$11,regle!$F$23,IF(W268=regle!$G$11,regle!$G$23,IF(W268=regle!$H$11,regle!$H$23,IF(W268=regle!$I$11,regle!$I$23,IF(W268=regle!$J$11,regle!$J$23,0)))))))))))</f>
        <v>-31.274999999999999</v>
      </c>
      <c r="AH268" s="14">
        <f>IF($A268,$M268*(IF(X268=regle!$B$11,regle!$B$23,IF(X268=regle!$C$11,regle!$C$23,IF(X268=regle!$D$11,regle!$D$23,IF(X268=regle!$E$11,regle!$E$23,IF(X268=regle!$F$11,regle!$F$23,IF(X268=regle!$G$11,regle!$G$23,IF(X268=regle!$H$11,regle!$H$23,IF(X268=regle!$I$11,regle!$I$23,IF(X268=regle!$J$11,regle!$J$23,0)))))))))))</f>
        <v>0</v>
      </c>
      <c r="AI268" s="14">
        <f>IF($A268,$M268*(IF(Y268=regle!$B$11,regle!$B$23,IF(Y268=regle!$C$11,regle!$C$23,IF(Y268=regle!$D$11,regle!$D$23,IF(Y268=regle!$E$11,regle!$E$23,IF(Y268=regle!$F$11,regle!$F$23,IF(Y268=regle!$G$11,regle!$G$23,IF(Y268=regle!$H$11,regle!$H$23,IF(Y268=regle!$I$11,regle!$I$23,IF(Y268=regle!$J$11,regle!$J$23,0)))))))))))</f>
        <v>0</v>
      </c>
      <c r="AJ268" s="14">
        <f>IF($A268,$M268*(IF(Z268=regle!$B$11,regle!$B$23,IF(Z268=regle!$C$11,regle!$C$23,IF(Z268=regle!$D$11,regle!$D$23,IF(Z268=regle!$E$11,regle!$E$23,IF(Z268=regle!$F$11,regle!$F$23,IF(Z268=regle!$G$11,regle!$G$23,IF(Z268=regle!$H$11,regle!$H$23,IF(Z268=regle!$I$11,regle!$I$23,IF(Z268=regle!$J$11,regle!$J$23,0)))))))))))</f>
        <v>-37.53</v>
      </c>
      <c r="AK268" s="14">
        <f>IF($A268,$M268*(IF(AA268=regle!$B$11,regle!$B$23,IF(AA268=regle!$C$11,regle!$C$23,IF(AA268=regle!$D$11,regle!$D$23,IF(AA268=regle!$E$11,regle!$E$23,IF(AA268=regle!$F$11,regle!$F$23,IF(AA268=regle!$G$11,regle!$G$23,IF(AA268=regle!$H$11,regle!$H$23,IF(AA268=regle!$I$11,regle!$I$23,IF(AA268=regle!$J$11,regle!$J$23,0)))))))))))</f>
        <v>0</v>
      </c>
      <c r="AL268" s="14">
        <f>IF($A268,$M268*(IF(AB268=regle!$B$11,regle!$B$23,IF(AB268=regle!$C$11,regle!$C$23,IF(AB268=regle!$D$11,regle!$D$23,IF(AB268=regle!$E$11,regle!$E$23,IF(AB268=regle!$F$11,regle!$F$23,IF(AB268=regle!$G$11,regle!$G$23,IF(AB268=regle!$H$11,regle!$H$23,IF(AB268=regle!$I$11,regle!$I$23,IF(AB268=regle!$J$11,regle!$J$23,0)))))))))))</f>
        <v>0</v>
      </c>
      <c r="AM268" s="14">
        <f>IF($A268,$M268*(IF(AC268=regle!$B$11,regle!$B$23,IF(AC268=regle!$C$11,regle!$C$23,IF(AC268=regle!$D$11,regle!$D$23,IF(AC268=regle!$E$11,regle!$E$23,IF(AC268=regle!$F$11,regle!$F$23,IF(AC268=regle!$G$11,regle!$G$23,IF(AC268=regle!$H$11,regle!$H$23,IF(AC268=regle!$I$11,regle!$I$23,IF(AC268=regle!$J$11,regle!$J$23,0)))))))))))</f>
        <v>-37.53</v>
      </c>
      <c r="AN268" s="14">
        <f>IF($A268,$M268*(IF(AD268=regle!$B$11,regle!$B$23,IF(AD268=regle!$C$11,regle!$C$23,IF(AD268=regle!$D$11,regle!$D$23,IF(AD268=regle!$E$11,regle!$E$23,IF(AD268=regle!$F$11,regle!$F$23,IF(AD268=regle!$G$11,regle!$G$23,IF(AD268=regle!$H$11,regle!$H$23,IF(AD268=regle!$I$11,regle!$I$23,IF(AD268=regle!$J$11,regle!$J$23,0)))))))))))</f>
        <v>0</v>
      </c>
      <c r="AO268">
        <f>IF(AO$1=$AO$1,IF(regle!B$2-$Q268&gt;=regle!$J$12,-2,IF($S268,IF(regle!$B$2-$Q268&gt;=2,0,-1),regle!B$2-$Q268)),IF(AN268+1&gt;=regle!$J$12,-2,AN268+1))</f>
        <v>0</v>
      </c>
      <c r="AP268">
        <f>IF(AP$1=$AO$1,IF(regle!C$2-$Q268&gt;=regle!$J$12,-2,IF($S268,IF(regle!$B$2-$Q268&gt;=2,0,-1),regle!C$2-$Q268)),IF(AO268+1&gt;=regle!$J$12,-2,AO268+1))</f>
        <v>1</v>
      </c>
      <c r="AQ268">
        <f>IF(AQ$1=$AO$1,IF(regle!D$2-$Q268&gt;=regle!$J$12,-2,IF($S268,IF(regle!$B$2-$Q268&gt;=2,0,-1),regle!D$2-$Q268)),IF(AP268+1&gt;=regle!$J$12,-2,AP268+1))</f>
        <v>2</v>
      </c>
      <c r="AR268">
        <f>IF(AR$1=$AO$1,IF(regle!E$2-$Q268&gt;=regle!$J$12,-2,IF($S268,IF(regle!$B$2-$Q268&gt;=2,0,-1),regle!E$2-$Q268)),IF(AQ268+1&gt;=regle!$J$12,-2,AQ268+1))</f>
        <v>3</v>
      </c>
      <c r="AS268">
        <f>IF(AS$1=$AO$1,IF(regle!F$2-$Q268&gt;=regle!$J$12,-2,IF($S268,IF(regle!$B$2-$Q268&gt;=2,0,-1),regle!F$2-$Q268)),IF(AR268+1&gt;=regle!$J$12,-2,AR268+1))</f>
        <v>4</v>
      </c>
      <c r="AT268">
        <f>IF(AT$1=$AO$1,IF(regle!G$2-$Q268&gt;=regle!$J$12,-2,IF($S268,IF(regle!$B$2-$Q268&gt;=2,0,-1),regle!G$2-$Q268)),IF(AS268+1&gt;=regle!$J$12,-2,AS268+1))</f>
        <v>5</v>
      </c>
      <c r="AU268">
        <f>IF(AU$1=$AO$1,IF(regle!H$2-$Q268&gt;=regle!$J$12,-2,IF($S268,IF(regle!$B$2-$Q268&gt;=2,0,-1),regle!H$2-$Q268)),IF(AT268+1&gt;=regle!$J$12,-2,AT268+1))</f>
        <v>6</v>
      </c>
      <c r="AV268">
        <f>IF(AV$1=$AO$1,IF(regle!I$2-$Q268&gt;=regle!$J$12,-2,IF($S268,IF(regle!$B$2-$Q268&gt;=2,0,-1),regle!I$2-$Q268)),IF(AU268+1&gt;=regle!$J$12,-2,AU268+1))</f>
        <v>7</v>
      </c>
      <c r="AW268">
        <f>IF(AW$1=$AO$1,IF(regle!J$2-$Q268&gt;=regle!$J$12,-2,IF($S268,IF(regle!$B$2-$Q268&gt;=2,0,-1),regle!J$2-$Q268)),IF(AV268+1&gt;=regle!$J$12,-2,AV268+1))</f>
        <v>8</v>
      </c>
      <c r="AX268">
        <f>IF(AX$1=$AO$1,IF(regle!K$2-$Q268&gt;=regle!$J$12,-2,IF($S268,IF(regle!$B$2-$Q268&gt;=2,0,-1),regle!K$2-$Q268)),IF(AW268+1&gt;=regle!$J$12,-2,AW268+1))</f>
        <v>9</v>
      </c>
    </row>
    <row r="269" spans="1:50" x14ac:dyDescent="0.25">
      <c r="A269" t="b">
        <f>AND(modif0[[#This Row],[cdstr]]&lt;&gt;0,OR(regle!$H$27=FALSE,modif0[[#This Row],[essnc]]="PM"))</f>
        <v>1</v>
      </c>
      <c r="B269">
        <f>ROW(objet!A316)</f>
        <v>316</v>
      </c>
      <c r="C269" s="10" t="str">
        <f>objet!D316</f>
        <v>1710000B0303</v>
      </c>
      <c r="D269" t="str">
        <f>LEFT(modif0[[#This Row],[cdstr]],3)</f>
        <v>171</v>
      </c>
      <c r="E269" s="10" t="str">
        <f>objet!G316</f>
        <v>MANO</v>
      </c>
      <c r="F269">
        <f>LEN(modif0[[#This Row],[l_dt]])</f>
        <v>17</v>
      </c>
      <c r="G269" s="10" t="str">
        <f>objet!H316</f>
        <v>LANDE DE TABARTON</v>
      </c>
      <c r="H269" s="10" t="str">
        <f>objet!C316</f>
        <v>B303j</v>
      </c>
      <c r="I269" t="str">
        <f>IF(ISNUMBER(VALUE(RIGHT(LEFT(modif0[[#This Row],[idntfn]],2),1))),_xlfn.CONCAT(0,LEFT(modif0[[#This Row],[idntfn]],1)),LEFT(modif0[[#This Row],[idntfn]],2))</f>
        <v>0B</v>
      </c>
      <c r="J269">
        <f>VALUE(LEFT(RIGHT(modif0[[#This Row],[idntfn]],LEN(modif0[[#This Row],[idntfn]])-IF(LEFT(modif0[[#This Row],[sctn]],1)="0",1,2)),LEN(modif0[[#This Row],[idntfn]])-IF(LEFT(modif0[[#This Row],[sctn]],1)="0",1,2)-LEN(modif0[[#This Row],[lttr]])))</f>
        <v>303</v>
      </c>
      <c r="K269" t="str">
        <f>IF(ISNUMBER(VALUE(RIGHT(modif0[[#This Row],[idntfn]],1))),"",IF(ISNUMBER(VALUE(LEFT(RIGHT(modif0[[#This Row],[idntfn]],2),1))),RIGHT(modif0[[#This Row],[idntfn]],1),RIGHT(modif0[[#This Row],[idntfn]],2)))</f>
        <v>j</v>
      </c>
      <c r="L269" s="10">
        <f>objet!I316</f>
        <v>8497</v>
      </c>
      <c r="M269" s="11">
        <f>modif0[[#This Row],[srfc]]/10000</f>
        <v>0.84970000000000001</v>
      </c>
      <c r="N269" s="10" t="str">
        <f>objet!Z316</f>
        <v>PM</v>
      </c>
      <c r="O269" s="10" t="str">
        <f>objet!AA316</f>
        <v>CR2022</v>
      </c>
      <c r="P269" t="str">
        <f>IF(ISNUMBER(modif0[[#This Row],[trvx]]),"",LEFT(modif0[[#This Row],[trvx]],LEN(modif0[[#This Row],[trvx]])-4))</f>
        <v>CR</v>
      </c>
      <c r="Q269">
        <f>VALUE(RIGHT(modif0[[#This Row],[trvx]],4))</f>
        <v>2022</v>
      </c>
      <c r="R269" t="str">
        <f>_xlfn.CONCAT(modif0[[#This Row],[tp]],"-",modif0[[#This Row],[essnc]],"_",modif0[[#This Row],[anns]])</f>
        <v>CR-PM_2022</v>
      </c>
      <c r="S269" t="b">
        <f>modif0[[#This Row],[tp]]="CR"</f>
        <v>1</v>
      </c>
      <c r="T269">
        <v>40</v>
      </c>
      <c r="U269" t="str">
        <f>IF(NOT($A269),"",
IF(AO269=-2,regle!$J$11,
IF(AO269=regle!$B$12,regle!$B$11,
IF(AO269=regle!$C$12,regle!$C$11,
IF(AO269=regle!$D$12,regle!$D$11,
IF(AO269=regle!$E$12,regle!$E$11,
IF(AO269=regle!$F$12,regle!$F$11,
IF(AO269=regle!$G$12,regle!$G$11,
IF(AO269=regle!$H$12,regle!$H$11,
IF(AO269=regle!$I$12,regle!$I$11,""))))))))))</f>
        <v>RBST</v>
      </c>
      <c r="V269" t="str">
        <f>IF(NOT($A269),"",
IF(AP269=-2,regle!$J$11,
IF(AP269=regle!$B$12,regle!$B$11,
IF(AP269=regle!$C$12,regle!$C$11,
IF(AP269=regle!$D$12,regle!$D$11,
IF(AP269=regle!$E$12,regle!$E$11,
IF(AP269=regle!$F$12,regle!$F$11,
IF(AP269=regle!$G$12,regle!$G$11,
IF(AP269=regle!$H$12,regle!$H$11,
IF(AP269=regle!$I$12,regle!$I$11,""))))))))))</f>
        <v/>
      </c>
      <c r="W269" t="str">
        <f>IF(NOT($A269),"",
IF(AQ269=-2,regle!$J$11,
IF(AQ269=regle!$B$12,regle!$B$11,
IF(AQ269=regle!$C$12,regle!$C$11,
IF(AQ269=regle!$D$12,regle!$D$11,
IF(AQ269=regle!$E$12,regle!$E$11,
IF(AQ269=regle!$F$12,regle!$F$11,
IF(AQ269=regle!$G$12,regle!$G$11,
IF(AQ269=regle!$H$12,regle!$H$11,
IF(AQ269=regle!$I$12,regle!$I$11,""))))))))))</f>
        <v>DGT</v>
      </c>
      <c r="X269" t="str">
        <f>IF(NOT($A269),"",
IF(AR269=-2,regle!$J$11,
IF(AR269=regle!$B$12,regle!$B$11,
IF(AR269=regle!$C$12,regle!$C$11,
IF(AR269=regle!$D$12,regle!$D$11,
IF(AR269=regle!$E$12,regle!$E$11,
IF(AR269=regle!$F$12,regle!$F$11,
IF(AR269=regle!$G$12,regle!$G$11,
IF(AR269=regle!$H$12,regle!$H$11,
IF(AR269=regle!$I$12,regle!$I$11,""))))))))))</f>
        <v/>
      </c>
      <c r="Y269" t="str">
        <f>IF(NOT($A269),"",
IF(AS269=-2,regle!$J$11,
IF(AS269=regle!$B$12,regle!$B$11,
IF(AS269=regle!$C$12,regle!$C$11,
IF(AS269=regle!$D$12,regle!$D$11,
IF(AS269=regle!$E$12,regle!$E$11,
IF(AS269=regle!$F$12,regle!$F$11,
IF(AS269=regle!$G$12,regle!$G$11,
IF(AS269=regle!$H$12,regle!$H$11,
IF(AS269=regle!$I$12,regle!$I$11,""))))))))))</f>
        <v/>
      </c>
      <c r="Z269" t="str">
        <f>IF(NOT($A269),"",
IF(AT269=-2,regle!$J$11,
IF(AT269=regle!$B$12,regle!$B$11,
IF(AT269=regle!$C$12,regle!$C$11,
IF(AT269=regle!$D$12,regle!$D$11,
IF(AT269=regle!$E$12,regle!$E$11,
IF(AT269=regle!$F$12,regle!$F$11,
IF(AT269=regle!$G$12,regle!$G$11,
IF(AT269=regle!$H$12,regle!$H$11,
IF(AT269=regle!$I$12,regle!$I$11,""))))))))))</f>
        <v>ENT1</v>
      </c>
      <c r="AA269" t="str">
        <f>IF(NOT($A269),"",
IF(AU269=-2,regle!$J$11,
IF(AU269=regle!$B$12,regle!$B$11,
IF(AU269=regle!$C$12,regle!$C$11,
IF(AU269=regle!$D$12,regle!$D$11,
IF(AU269=regle!$E$12,regle!$E$11,
IF(AU269=regle!$F$12,regle!$F$11,
IF(AU269=regle!$G$12,regle!$G$11,
IF(AU269=regle!$H$12,regle!$H$11,
IF(AU269=regle!$I$12,regle!$I$11,""))))))))))</f>
        <v/>
      </c>
      <c r="AB269" t="str">
        <f>IF(NOT($A269),"",
IF(AV269=-2,regle!$J$11,
IF(AV269=regle!$B$12,regle!$B$11,
IF(AV269=regle!$C$12,regle!$C$11,
IF(AV269=regle!$D$12,regle!$D$11,
IF(AV269=regle!$E$12,regle!$E$11,
IF(AV269=regle!$F$12,regle!$F$11,
IF(AV269=regle!$G$12,regle!$G$11,
IF(AV269=regle!$H$12,regle!$H$11,
IF(AV269=regle!$I$12,regle!$I$11,""))))))))))</f>
        <v/>
      </c>
      <c r="AC269" t="str">
        <f>IF(NOT($A269),"",
IF(AW269=-2,regle!$J$11,
IF(AW269=regle!$B$12,regle!$B$11,
IF(AW269=regle!$C$12,regle!$C$11,
IF(AW269=regle!$D$12,regle!$D$11,
IF(AW269=regle!$E$12,regle!$E$11,
IF(AW269=regle!$F$12,regle!$F$11,
IF(AW269=regle!$G$12,regle!$G$11,
IF(AW269=regle!$H$12,regle!$H$11,
IF(AW269=regle!$I$12,regle!$I$11,""))))))))))</f>
        <v>ENT2</v>
      </c>
      <c r="AD269" t="str">
        <f>IF(NOT($A269),"",
IF(AX269=-2,regle!$J$11,
IF(AX269=regle!$B$12,regle!$B$11,
IF(AX269=regle!$C$12,regle!$C$11,
IF(AX269=regle!$D$12,regle!$D$11,
IF(AX269=regle!$E$12,regle!$E$11,
IF(AX269=regle!$F$12,regle!$F$11,
IF(AX269=regle!$G$12,regle!$G$11,
IF(AX269=regle!$H$12,regle!$H$11,
IF(AX269=regle!$I$12,regle!$I$11,""))))))))))</f>
        <v/>
      </c>
      <c r="AE269" s="14">
        <f>IF($A269,$M269*(IF(U269=regle!$B$11,regle!$B$23,IF(U269=regle!$C$11,regle!$C$23,IF(U269=regle!$D$11,regle!$D$23,IF(U269=regle!$E$11,regle!$E$23,IF(U269=regle!$F$11,regle!$F$23,IF(U269=regle!$G$11,regle!$G$23,IF(U269=regle!$H$11,regle!$H$23,IF(U269=regle!$I$11,regle!$I$23,IF(U269=regle!$J$11,regle!$J$23,0)))))))))))</f>
        <v>-1444.49</v>
      </c>
      <c r="AF269" s="14">
        <f>IF($A269,$M269*(IF(V269=regle!$B$11,regle!$B$23,IF(V269=regle!$C$11,regle!$C$23,IF(V269=regle!$D$11,regle!$D$23,IF(V269=regle!$E$11,regle!$E$23,IF(V269=regle!$F$11,regle!$F$23,IF(V269=regle!$G$11,regle!$G$23,IF(V269=regle!$H$11,regle!$H$23,IF(V269=regle!$I$11,regle!$I$23,IF(V269=regle!$J$11,regle!$J$23,0)))))))))))</f>
        <v>0</v>
      </c>
      <c r="AG269" s="14">
        <f>IF($A269,$M269*(IF(W269=regle!$B$11,regle!$B$23,IF(W269=regle!$C$11,regle!$C$23,IF(W269=regle!$D$11,regle!$D$23,IF(W269=regle!$E$11,regle!$E$23,IF(W269=regle!$F$11,regle!$F$23,IF(W269=regle!$G$11,regle!$G$23,IF(W269=regle!$H$11,regle!$H$23,IF(W269=regle!$I$11,regle!$I$23,IF(W269=regle!$J$11,regle!$J$23,0)))))))))))</f>
        <v>-63.727499999999999</v>
      </c>
      <c r="AH269" s="14">
        <f>IF($A269,$M269*(IF(X269=regle!$B$11,regle!$B$23,IF(X269=regle!$C$11,regle!$C$23,IF(X269=regle!$D$11,regle!$D$23,IF(X269=regle!$E$11,regle!$E$23,IF(X269=regle!$F$11,regle!$F$23,IF(X269=regle!$G$11,regle!$G$23,IF(X269=regle!$H$11,regle!$H$23,IF(X269=regle!$I$11,regle!$I$23,IF(X269=regle!$J$11,regle!$J$23,0)))))))))))</f>
        <v>0</v>
      </c>
      <c r="AI269" s="14">
        <f>IF($A269,$M269*(IF(Y269=regle!$B$11,regle!$B$23,IF(Y269=regle!$C$11,regle!$C$23,IF(Y269=regle!$D$11,regle!$D$23,IF(Y269=regle!$E$11,regle!$E$23,IF(Y269=regle!$F$11,regle!$F$23,IF(Y269=regle!$G$11,regle!$G$23,IF(Y269=regle!$H$11,regle!$H$23,IF(Y269=regle!$I$11,regle!$I$23,IF(Y269=regle!$J$11,regle!$J$23,0)))))))))))</f>
        <v>0</v>
      </c>
      <c r="AJ269" s="14">
        <f>IF($A269,$M269*(IF(Z269=regle!$B$11,regle!$B$23,IF(Z269=regle!$C$11,regle!$C$23,IF(Z269=regle!$D$11,regle!$D$23,IF(Z269=regle!$E$11,regle!$E$23,IF(Z269=regle!$F$11,regle!$F$23,IF(Z269=regle!$G$11,regle!$G$23,IF(Z269=regle!$H$11,regle!$H$23,IF(Z269=regle!$I$11,regle!$I$23,IF(Z269=regle!$J$11,regle!$J$23,0)))))))))))</f>
        <v>-76.472999999999999</v>
      </c>
      <c r="AK269" s="14">
        <f>IF($A269,$M269*(IF(AA269=regle!$B$11,regle!$B$23,IF(AA269=regle!$C$11,regle!$C$23,IF(AA269=regle!$D$11,regle!$D$23,IF(AA269=regle!$E$11,regle!$E$23,IF(AA269=regle!$F$11,regle!$F$23,IF(AA269=regle!$G$11,regle!$G$23,IF(AA269=regle!$H$11,regle!$H$23,IF(AA269=regle!$I$11,regle!$I$23,IF(AA269=regle!$J$11,regle!$J$23,0)))))))))))</f>
        <v>0</v>
      </c>
      <c r="AL269" s="14">
        <f>IF($A269,$M269*(IF(AB269=regle!$B$11,regle!$B$23,IF(AB269=regle!$C$11,regle!$C$23,IF(AB269=regle!$D$11,regle!$D$23,IF(AB269=regle!$E$11,regle!$E$23,IF(AB269=regle!$F$11,regle!$F$23,IF(AB269=regle!$G$11,regle!$G$23,IF(AB269=regle!$H$11,regle!$H$23,IF(AB269=regle!$I$11,regle!$I$23,IF(AB269=regle!$J$11,regle!$J$23,0)))))))))))</f>
        <v>0</v>
      </c>
      <c r="AM269" s="14">
        <f>IF($A269,$M269*(IF(AC269=regle!$B$11,regle!$B$23,IF(AC269=regle!$C$11,regle!$C$23,IF(AC269=regle!$D$11,regle!$D$23,IF(AC269=regle!$E$11,regle!$E$23,IF(AC269=regle!$F$11,regle!$F$23,IF(AC269=regle!$G$11,regle!$G$23,IF(AC269=regle!$H$11,regle!$H$23,IF(AC269=regle!$I$11,regle!$I$23,IF(AC269=regle!$J$11,regle!$J$23,0)))))))))))</f>
        <v>-76.472999999999999</v>
      </c>
      <c r="AN269" s="14">
        <f>IF($A269,$M269*(IF(AD269=regle!$B$11,regle!$B$23,IF(AD269=regle!$C$11,regle!$C$23,IF(AD269=regle!$D$11,regle!$D$23,IF(AD269=regle!$E$11,regle!$E$23,IF(AD269=regle!$F$11,regle!$F$23,IF(AD269=regle!$G$11,regle!$G$23,IF(AD269=regle!$H$11,regle!$H$23,IF(AD269=regle!$I$11,regle!$I$23,IF(AD269=regle!$J$11,regle!$J$23,0)))))))))))</f>
        <v>0</v>
      </c>
      <c r="AO269">
        <f>IF(AO$1=$AO$1,IF(regle!B$2-$Q269&gt;=regle!$J$12,-2,IF($S269,IF(regle!$B$2-$Q269&gt;=2,0,-1),regle!B$2-$Q269)),IF(AN269+1&gt;=regle!$J$12,-2,AN269+1))</f>
        <v>0</v>
      </c>
      <c r="AP269">
        <f>IF(AP$1=$AO$1,IF(regle!C$2-$Q269&gt;=regle!$J$12,-2,IF($S269,IF(regle!$B$2-$Q269&gt;=2,0,-1),regle!C$2-$Q269)),IF(AO269+1&gt;=regle!$J$12,-2,AO269+1))</f>
        <v>1</v>
      </c>
      <c r="AQ269">
        <f>IF(AQ$1=$AO$1,IF(regle!D$2-$Q269&gt;=regle!$J$12,-2,IF($S269,IF(regle!$B$2-$Q269&gt;=2,0,-1),regle!D$2-$Q269)),IF(AP269+1&gt;=regle!$J$12,-2,AP269+1))</f>
        <v>2</v>
      </c>
      <c r="AR269">
        <f>IF(AR$1=$AO$1,IF(regle!E$2-$Q269&gt;=regle!$J$12,-2,IF($S269,IF(regle!$B$2-$Q269&gt;=2,0,-1),regle!E$2-$Q269)),IF(AQ269+1&gt;=regle!$J$12,-2,AQ269+1))</f>
        <v>3</v>
      </c>
      <c r="AS269">
        <f>IF(AS$1=$AO$1,IF(regle!F$2-$Q269&gt;=regle!$J$12,-2,IF($S269,IF(regle!$B$2-$Q269&gt;=2,0,-1),regle!F$2-$Q269)),IF(AR269+1&gt;=regle!$J$12,-2,AR269+1))</f>
        <v>4</v>
      </c>
      <c r="AT269">
        <f>IF(AT$1=$AO$1,IF(regle!G$2-$Q269&gt;=regle!$J$12,-2,IF($S269,IF(regle!$B$2-$Q269&gt;=2,0,-1),regle!G$2-$Q269)),IF(AS269+1&gt;=regle!$J$12,-2,AS269+1))</f>
        <v>5</v>
      </c>
      <c r="AU269">
        <f>IF(AU$1=$AO$1,IF(regle!H$2-$Q269&gt;=regle!$J$12,-2,IF($S269,IF(regle!$B$2-$Q269&gt;=2,0,-1),regle!H$2-$Q269)),IF(AT269+1&gt;=regle!$J$12,-2,AT269+1))</f>
        <v>6</v>
      </c>
      <c r="AV269">
        <f>IF(AV$1=$AO$1,IF(regle!I$2-$Q269&gt;=regle!$J$12,-2,IF($S269,IF(regle!$B$2-$Q269&gt;=2,0,-1),regle!I$2-$Q269)),IF(AU269+1&gt;=regle!$J$12,-2,AU269+1))</f>
        <v>7</v>
      </c>
      <c r="AW269">
        <f>IF(AW$1=$AO$1,IF(regle!J$2-$Q269&gt;=regle!$J$12,-2,IF($S269,IF(regle!$B$2-$Q269&gt;=2,0,-1),regle!J$2-$Q269)),IF(AV269+1&gt;=regle!$J$12,-2,AV269+1))</f>
        <v>8</v>
      </c>
      <c r="AX269">
        <f>IF(AX$1=$AO$1,IF(regle!K$2-$Q269&gt;=regle!$J$12,-2,IF($S269,IF(regle!$B$2-$Q269&gt;=2,0,-1),regle!K$2-$Q269)),IF(AW269+1&gt;=regle!$J$12,-2,AW269+1))</f>
        <v>9</v>
      </c>
    </row>
    <row r="270" spans="1:50" x14ac:dyDescent="0.25">
      <c r="A270" t="b">
        <f>AND(modif0[[#This Row],[cdstr]]&lt;&gt;0,OR(regle!$H$27=FALSE,modif0[[#This Row],[essnc]]="PM"))</f>
        <v>1</v>
      </c>
      <c r="B270">
        <f>ROW(objet!A317)</f>
        <v>317</v>
      </c>
      <c r="C270" s="10" t="str">
        <f>objet!D317</f>
        <v>1710000B0303</v>
      </c>
      <c r="D270" t="str">
        <f>LEFT(modif0[[#This Row],[cdstr]],3)</f>
        <v>171</v>
      </c>
      <c r="E270" s="10" t="str">
        <f>objet!G317</f>
        <v>MANO</v>
      </c>
      <c r="F270">
        <f>LEN(modif0[[#This Row],[l_dt]])</f>
        <v>17</v>
      </c>
      <c r="G270" s="10" t="str">
        <f>objet!H317</f>
        <v>LANDE DE TABARTON</v>
      </c>
      <c r="H270" s="10" t="str">
        <f>objet!C317</f>
        <v>B303k</v>
      </c>
      <c r="I270" t="str">
        <f>IF(ISNUMBER(VALUE(RIGHT(LEFT(modif0[[#This Row],[idntfn]],2),1))),_xlfn.CONCAT(0,LEFT(modif0[[#This Row],[idntfn]],1)),LEFT(modif0[[#This Row],[idntfn]],2))</f>
        <v>0B</v>
      </c>
      <c r="J270">
        <f>VALUE(LEFT(RIGHT(modif0[[#This Row],[idntfn]],LEN(modif0[[#This Row],[idntfn]])-IF(LEFT(modif0[[#This Row],[sctn]],1)="0",1,2)),LEN(modif0[[#This Row],[idntfn]])-IF(LEFT(modif0[[#This Row],[sctn]],1)="0",1,2)-LEN(modif0[[#This Row],[lttr]])))</f>
        <v>303</v>
      </c>
      <c r="K270" t="str">
        <f>IF(ISNUMBER(VALUE(RIGHT(modif0[[#This Row],[idntfn]],1))),"",IF(ISNUMBER(VALUE(LEFT(RIGHT(modif0[[#This Row],[idntfn]],2),1))),RIGHT(modif0[[#This Row],[idntfn]],1),RIGHT(modif0[[#This Row],[idntfn]],2)))</f>
        <v>k</v>
      </c>
      <c r="L270" s="10">
        <f>objet!I317</f>
        <v>14179</v>
      </c>
      <c r="M270" s="11">
        <f>modif0[[#This Row],[srfc]]/10000</f>
        <v>1.4178999999999999</v>
      </c>
      <c r="N270" s="10" t="str">
        <f>objet!Z317</f>
        <v>PM</v>
      </c>
      <c r="O270" s="10" t="str">
        <f>objet!AA317</f>
        <v>PLA2013</v>
      </c>
      <c r="P270" t="str">
        <f>IF(ISNUMBER(modif0[[#This Row],[trvx]]),"",LEFT(modif0[[#This Row],[trvx]],LEN(modif0[[#This Row],[trvx]])-4))</f>
        <v>PLA</v>
      </c>
      <c r="Q270">
        <f>VALUE(RIGHT(modif0[[#This Row],[trvx]],4))</f>
        <v>2013</v>
      </c>
      <c r="R270" t="str">
        <f>_xlfn.CONCAT(modif0[[#This Row],[tp]],"-",modif0[[#This Row],[essnc]],"_",modif0[[#This Row],[anns]])</f>
        <v>PLA-PM_2013</v>
      </c>
      <c r="S270" t="b">
        <f>modif0[[#This Row],[tp]]="CR"</f>
        <v>0</v>
      </c>
      <c r="T270">
        <v>40</v>
      </c>
      <c r="U270" t="str">
        <f>IF(NOT($A270),"",
IF(AO270=-2,regle!$J$11,
IF(AO270=regle!$B$12,regle!$B$11,
IF(AO270=regle!$C$12,regle!$C$11,
IF(AO270=regle!$D$12,regle!$D$11,
IF(AO270=regle!$E$12,regle!$E$11,
IF(AO270=regle!$F$12,regle!$F$11,
IF(AO270=regle!$G$12,regle!$G$11,
IF(AO270=regle!$H$12,regle!$H$11,
IF(AO270=regle!$I$12,regle!$I$11,""))))))))))</f>
        <v/>
      </c>
      <c r="V270" t="str">
        <f>IF(NOT($A270),"",
IF(AP270=-2,regle!$J$11,
IF(AP270=regle!$B$12,regle!$B$11,
IF(AP270=regle!$C$12,regle!$C$11,
IF(AP270=regle!$D$12,regle!$D$11,
IF(AP270=regle!$E$12,regle!$E$11,
IF(AP270=regle!$F$12,regle!$F$11,
IF(AP270=regle!$G$12,regle!$G$11,
IF(AP270=regle!$H$12,regle!$H$11,
IF(AP270=regle!$I$12,regle!$I$11,""))))))))))</f>
        <v/>
      </c>
      <c r="W270" t="str">
        <f>IF(NOT($A270),"",
IF(AQ270=-2,regle!$J$11,
IF(AQ270=regle!$B$12,regle!$B$11,
IF(AQ270=regle!$C$12,regle!$C$11,
IF(AQ270=regle!$D$12,regle!$D$11,
IF(AQ270=regle!$E$12,regle!$E$11,
IF(AQ270=regle!$F$12,regle!$F$11,
IF(AQ270=regle!$G$12,regle!$G$11,
IF(AQ270=regle!$H$12,regle!$H$11,
IF(AQ270=regle!$I$12,regle!$I$11,""))))))))))</f>
        <v>EC1</v>
      </c>
      <c r="X270" t="str">
        <f>IF(NOT($A270),"",
IF(AR270=-2,regle!$J$11,
IF(AR270=regle!$B$12,regle!$B$11,
IF(AR270=regle!$C$12,regle!$C$11,
IF(AR270=regle!$D$12,regle!$D$11,
IF(AR270=regle!$E$12,regle!$E$11,
IF(AR270=regle!$F$12,regle!$F$11,
IF(AR270=regle!$G$12,regle!$G$11,
IF(AR270=regle!$H$12,regle!$H$11,
IF(AR270=regle!$I$12,regle!$I$11,""))))))))))</f>
        <v/>
      </c>
      <c r="Y270" t="str">
        <f>IF(NOT($A270),"",
IF(AS270=-2,regle!$J$11,
IF(AS270=regle!$B$12,regle!$B$11,
IF(AS270=regle!$C$12,regle!$C$11,
IF(AS270=regle!$D$12,regle!$D$11,
IF(AS270=regle!$E$12,regle!$E$11,
IF(AS270=regle!$F$12,regle!$F$11,
IF(AS270=regle!$G$12,regle!$G$11,
IF(AS270=regle!$H$12,regle!$H$11,
IF(AS270=regle!$I$12,regle!$I$11,""))))))))))</f>
        <v/>
      </c>
      <c r="Z270" t="str">
        <f>IF(NOT($A270),"",
IF(AT270=-2,regle!$J$11,
IF(AT270=regle!$B$12,regle!$B$11,
IF(AT270=regle!$C$12,regle!$C$11,
IF(AT270=regle!$D$12,regle!$D$11,
IF(AT270=regle!$E$12,regle!$E$11,
IF(AT270=regle!$F$12,regle!$F$11,
IF(AT270=regle!$G$12,regle!$G$11,
IF(AT270=regle!$H$12,regle!$H$11,
IF(AT270=regle!$I$12,regle!$I$11,""))))))))))</f>
        <v/>
      </c>
      <c r="AA270" t="str">
        <f>IF(NOT($A270),"",
IF(AU270=-2,regle!$J$11,
IF(AU270=regle!$B$12,regle!$B$11,
IF(AU270=regle!$C$12,regle!$C$11,
IF(AU270=regle!$D$12,regle!$D$11,
IF(AU270=regle!$E$12,regle!$E$11,
IF(AU270=regle!$F$12,regle!$F$11,
IF(AU270=regle!$G$12,regle!$G$11,
IF(AU270=regle!$H$12,regle!$H$11,
IF(AU270=regle!$I$12,regle!$I$11,""))))))))))</f>
        <v/>
      </c>
      <c r="AB270" t="str">
        <f>IF(NOT($A270),"",
IF(AV270=-2,regle!$J$11,
IF(AV270=regle!$B$12,regle!$B$11,
IF(AV270=regle!$C$12,regle!$C$11,
IF(AV270=regle!$D$12,regle!$D$11,
IF(AV270=regle!$E$12,regle!$E$11,
IF(AV270=regle!$F$12,regle!$F$11,
IF(AV270=regle!$G$12,regle!$G$11,
IF(AV270=regle!$H$12,regle!$H$11,
IF(AV270=regle!$I$12,regle!$I$11,""))))))))))</f>
        <v>EC2</v>
      </c>
      <c r="AC270" t="str">
        <f>IF(NOT($A270),"",
IF(AW270=-2,regle!$J$11,
IF(AW270=regle!$B$12,regle!$B$11,
IF(AW270=regle!$C$12,regle!$C$11,
IF(AW270=regle!$D$12,regle!$D$11,
IF(AW270=regle!$E$12,regle!$E$11,
IF(AW270=regle!$F$12,regle!$F$11,
IF(AW270=regle!$G$12,regle!$G$11,
IF(AW270=regle!$H$12,regle!$H$11,
IF(AW270=regle!$I$12,regle!$I$11,""))))))))))</f>
        <v/>
      </c>
      <c r="AD270" t="str">
        <f>IF(NOT($A270),"",
IF(AX270=-2,regle!$J$11,
IF(AX270=regle!$B$12,regle!$B$11,
IF(AX270=regle!$C$12,regle!$C$11,
IF(AX270=regle!$D$12,regle!$D$11,
IF(AX270=regle!$E$12,regle!$E$11,
IF(AX270=regle!$F$12,regle!$F$11,
IF(AX270=regle!$G$12,regle!$G$11,
IF(AX270=regle!$H$12,regle!$H$11,
IF(AX270=regle!$I$12,regle!$I$11,""))))))))))</f>
        <v/>
      </c>
      <c r="AE270" s="14">
        <f>IF($A270,$M270*(IF(U270=regle!$B$11,regle!$B$23,IF(U270=regle!$C$11,regle!$C$23,IF(U270=regle!$D$11,regle!$D$23,IF(U270=regle!$E$11,regle!$E$23,IF(U270=regle!$F$11,regle!$F$23,IF(U270=regle!$G$11,regle!$G$23,IF(U270=regle!$H$11,regle!$H$23,IF(U270=regle!$I$11,regle!$I$23,IF(U270=regle!$J$11,regle!$J$23,0)))))))))))</f>
        <v>0</v>
      </c>
      <c r="AF270" s="14">
        <f>IF($A270,$M270*(IF(V270=regle!$B$11,regle!$B$23,IF(V270=regle!$C$11,regle!$C$23,IF(V270=regle!$D$11,regle!$D$23,IF(V270=regle!$E$11,regle!$E$23,IF(V270=regle!$F$11,regle!$F$23,IF(V270=regle!$G$11,regle!$G$23,IF(V270=regle!$H$11,regle!$H$23,IF(V270=regle!$I$11,regle!$I$23,IF(V270=regle!$J$11,regle!$J$23,0)))))))))))</f>
        <v>0</v>
      </c>
      <c r="AG270" s="14">
        <f>IF($A270,$M270*(IF(W270=regle!$B$11,regle!$B$23,IF(W270=regle!$C$11,regle!$C$23,IF(W270=regle!$D$11,regle!$D$23,IF(W270=regle!$E$11,regle!$E$23,IF(W270=regle!$F$11,regle!$F$23,IF(W270=regle!$G$11,regle!$G$23,IF(W270=regle!$H$11,regle!$H$23,IF(W270=regle!$I$11,regle!$I$23,IF(W270=regle!$J$11,regle!$J$23,0)))))))))))</f>
        <v>816.71039999999994</v>
      </c>
      <c r="AH270" s="14">
        <f>IF($A270,$M270*(IF(X270=regle!$B$11,regle!$B$23,IF(X270=regle!$C$11,regle!$C$23,IF(X270=regle!$D$11,regle!$D$23,IF(X270=regle!$E$11,regle!$E$23,IF(X270=regle!$F$11,regle!$F$23,IF(X270=regle!$G$11,regle!$G$23,IF(X270=regle!$H$11,regle!$H$23,IF(X270=regle!$I$11,regle!$I$23,IF(X270=regle!$J$11,regle!$J$23,0)))))))))))</f>
        <v>0</v>
      </c>
      <c r="AI270" s="14">
        <f>IF($A270,$M270*(IF(Y270=regle!$B$11,regle!$B$23,IF(Y270=regle!$C$11,regle!$C$23,IF(Y270=regle!$D$11,regle!$D$23,IF(Y270=regle!$E$11,regle!$E$23,IF(Y270=regle!$F$11,regle!$F$23,IF(Y270=regle!$G$11,regle!$G$23,IF(Y270=regle!$H$11,regle!$H$23,IF(Y270=regle!$I$11,regle!$I$23,IF(Y270=regle!$J$11,regle!$J$23,0)))))))))))</f>
        <v>0</v>
      </c>
      <c r="AJ270" s="14">
        <f>IF($A270,$M270*(IF(Z270=regle!$B$11,regle!$B$23,IF(Z270=regle!$C$11,regle!$C$23,IF(Z270=regle!$D$11,regle!$D$23,IF(Z270=regle!$E$11,regle!$E$23,IF(Z270=regle!$F$11,regle!$F$23,IF(Z270=regle!$G$11,regle!$G$23,IF(Z270=regle!$H$11,regle!$H$23,IF(Z270=regle!$I$11,regle!$I$23,IF(Z270=regle!$J$11,regle!$J$23,0)))))))))))</f>
        <v>0</v>
      </c>
      <c r="AK270" s="14">
        <f>IF($A270,$M270*(IF(AA270=regle!$B$11,regle!$B$23,IF(AA270=regle!$C$11,regle!$C$23,IF(AA270=regle!$D$11,regle!$D$23,IF(AA270=regle!$E$11,regle!$E$23,IF(AA270=regle!$F$11,regle!$F$23,IF(AA270=regle!$G$11,regle!$G$23,IF(AA270=regle!$H$11,regle!$H$23,IF(AA270=regle!$I$11,regle!$I$23,IF(AA270=regle!$J$11,regle!$J$23,0)))))))))))</f>
        <v>0</v>
      </c>
      <c r="AL270" s="14">
        <f>IF($A270,$M270*(IF(AB270=regle!$B$11,regle!$B$23,IF(AB270=regle!$C$11,regle!$C$23,IF(AB270=regle!$D$11,regle!$D$23,IF(AB270=regle!$E$11,regle!$E$23,IF(AB270=regle!$F$11,regle!$F$23,IF(AB270=regle!$G$11,regle!$G$23,IF(AB270=regle!$H$11,regle!$H$23,IF(AB270=regle!$I$11,regle!$I$23,IF(AB270=regle!$J$11,regle!$J$23,0)))))))))))</f>
        <v>1191.0360000000001</v>
      </c>
      <c r="AM270" s="14">
        <f>IF($A270,$M270*(IF(AC270=regle!$B$11,regle!$B$23,IF(AC270=regle!$C$11,regle!$C$23,IF(AC270=regle!$D$11,regle!$D$23,IF(AC270=regle!$E$11,regle!$E$23,IF(AC270=regle!$F$11,regle!$F$23,IF(AC270=regle!$G$11,regle!$G$23,IF(AC270=regle!$H$11,regle!$H$23,IF(AC270=regle!$I$11,regle!$I$23,IF(AC270=regle!$J$11,regle!$J$23,0)))))))))))</f>
        <v>0</v>
      </c>
      <c r="AN270" s="14">
        <f>IF($A270,$M270*(IF(AD270=regle!$B$11,regle!$B$23,IF(AD270=regle!$C$11,regle!$C$23,IF(AD270=regle!$D$11,regle!$D$23,IF(AD270=regle!$E$11,regle!$E$23,IF(AD270=regle!$F$11,regle!$F$23,IF(AD270=regle!$G$11,regle!$G$23,IF(AD270=regle!$H$11,regle!$H$23,IF(AD270=regle!$I$11,regle!$I$23,IF(AD270=regle!$J$11,regle!$J$23,0)))))))))))</f>
        <v>0</v>
      </c>
      <c r="AO270">
        <f>IF(AO$1=$AO$1,IF(regle!B$2-$Q270&gt;=regle!$J$12,-2,IF($S270,IF(regle!$B$2-$Q270&gt;=2,0,-1),regle!B$2-$Q270)),IF(AN270+1&gt;=regle!$J$12,-2,AN270+1))</f>
        <v>11</v>
      </c>
      <c r="AP270">
        <f>IF(AP$1=$AO$1,IF(regle!C$2-$Q270&gt;=regle!$J$12,-2,IF($S270,IF(regle!$B$2-$Q270&gt;=2,0,-1),regle!C$2-$Q270)),IF(AO270+1&gt;=regle!$J$12,-2,AO270+1))</f>
        <v>12</v>
      </c>
      <c r="AQ270">
        <f>IF(AQ$1=$AO$1,IF(regle!D$2-$Q270&gt;=regle!$J$12,-2,IF($S270,IF(regle!$B$2-$Q270&gt;=2,0,-1),regle!D$2-$Q270)),IF(AP270+1&gt;=regle!$J$12,-2,AP270+1))</f>
        <v>13</v>
      </c>
      <c r="AR270">
        <f>IF(AR$1=$AO$1,IF(regle!E$2-$Q270&gt;=regle!$J$12,-2,IF($S270,IF(regle!$B$2-$Q270&gt;=2,0,-1),regle!E$2-$Q270)),IF(AQ270+1&gt;=regle!$J$12,-2,AQ270+1))</f>
        <v>14</v>
      </c>
      <c r="AS270">
        <f>IF(AS$1=$AO$1,IF(regle!F$2-$Q270&gt;=regle!$J$12,-2,IF($S270,IF(regle!$B$2-$Q270&gt;=2,0,-1),regle!F$2-$Q270)),IF(AR270+1&gt;=regle!$J$12,-2,AR270+1))</f>
        <v>15</v>
      </c>
      <c r="AT270">
        <f>IF(AT$1=$AO$1,IF(regle!G$2-$Q270&gt;=regle!$J$12,-2,IF($S270,IF(regle!$B$2-$Q270&gt;=2,0,-1),regle!G$2-$Q270)),IF(AS270+1&gt;=regle!$J$12,-2,AS270+1))</f>
        <v>16</v>
      </c>
      <c r="AU270">
        <f>IF(AU$1=$AO$1,IF(regle!H$2-$Q270&gt;=regle!$J$12,-2,IF($S270,IF(regle!$B$2-$Q270&gt;=2,0,-1),regle!H$2-$Q270)),IF(AT270+1&gt;=regle!$J$12,-2,AT270+1))</f>
        <v>17</v>
      </c>
      <c r="AV270">
        <f>IF(AV$1=$AO$1,IF(regle!I$2-$Q270&gt;=regle!$J$12,-2,IF($S270,IF(regle!$B$2-$Q270&gt;=2,0,-1),regle!I$2-$Q270)),IF(AU270+1&gt;=regle!$J$12,-2,AU270+1))</f>
        <v>18</v>
      </c>
      <c r="AW270">
        <f>IF(AW$1=$AO$1,IF(regle!J$2-$Q270&gt;=regle!$J$12,-2,IF($S270,IF(regle!$B$2-$Q270&gt;=2,0,-1),regle!J$2-$Q270)),IF(AV270+1&gt;=regle!$J$12,-2,AV270+1))</f>
        <v>19</v>
      </c>
      <c r="AX270">
        <f>IF(AX$1=$AO$1,IF(regle!K$2-$Q270&gt;=regle!$J$12,-2,IF($S270,IF(regle!$B$2-$Q270&gt;=2,0,-1),regle!K$2-$Q270)),IF(AW270+1&gt;=regle!$J$12,-2,AW270+1))</f>
        <v>20</v>
      </c>
    </row>
    <row r="271" spans="1:50" x14ac:dyDescent="0.25">
      <c r="A271" t="b">
        <f>AND(modif0[[#This Row],[cdstr]]&lt;&gt;0,OR(regle!$H$27=FALSE,modif0[[#This Row],[essnc]]="PM"))</f>
        <v>1</v>
      </c>
      <c r="B271">
        <f>ROW(objet!A318)</f>
        <v>318</v>
      </c>
      <c r="C271" s="10" t="str">
        <f>objet!D318</f>
        <v>1710000B0304</v>
      </c>
      <c r="D271" t="str">
        <f>LEFT(modif0[[#This Row],[cdstr]],3)</f>
        <v>171</v>
      </c>
      <c r="E271" s="10" t="str">
        <f>objet!G318</f>
        <v>MANO</v>
      </c>
      <c r="F271">
        <f>LEN(modif0[[#This Row],[l_dt]])</f>
        <v>17</v>
      </c>
      <c r="G271" s="10" t="str">
        <f>objet!H318</f>
        <v>LANDE DE TABARTON</v>
      </c>
      <c r="H271" s="10" t="str">
        <f>objet!C318</f>
        <v>B304j</v>
      </c>
      <c r="I271" t="str">
        <f>IF(ISNUMBER(VALUE(RIGHT(LEFT(modif0[[#This Row],[idntfn]],2),1))),_xlfn.CONCAT(0,LEFT(modif0[[#This Row],[idntfn]],1)),LEFT(modif0[[#This Row],[idntfn]],2))</f>
        <v>0B</v>
      </c>
      <c r="J271">
        <f>VALUE(LEFT(RIGHT(modif0[[#This Row],[idntfn]],LEN(modif0[[#This Row],[idntfn]])-IF(LEFT(modif0[[#This Row],[sctn]],1)="0",1,2)),LEN(modif0[[#This Row],[idntfn]])-IF(LEFT(modif0[[#This Row],[sctn]],1)="0",1,2)-LEN(modif0[[#This Row],[lttr]])))</f>
        <v>304</v>
      </c>
      <c r="K271" t="str">
        <f>IF(ISNUMBER(VALUE(RIGHT(modif0[[#This Row],[idntfn]],1))),"",IF(ISNUMBER(VALUE(LEFT(RIGHT(modif0[[#This Row],[idntfn]],2),1))),RIGHT(modif0[[#This Row],[idntfn]],1),RIGHT(modif0[[#This Row],[idntfn]],2)))</f>
        <v>j</v>
      </c>
      <c r="L271" s="10">
        <f>objet!I318</f>
        <v>9836</v>
      </c>
      <c r="M271" s="11">
        <f>modif0[[#This Row],[srfc]]/10000</f>
        <v>0.98360000000000003</v>
      </c>
      <c r="N271" s="10" t="str">
        <f>objet!Z318</f>
        <v>PM</v>
      </c>
      <c r="O271" s="10" t="str">
        <f>objet!AA318</f>
        <v>PLA2013</v>
      </c>
      <c r="P271" t="str">
        <f>IF(ISNUMBER(modif0[[#This Row],[trvx]]),"",LEFT(modif0[[#This Row],[trvx]],LEN(modif0[[#This Row],[trvx]])-4))</f>
        <v>PLA</v>
      </c>
      <c r="Q271">
        <f>VALUE(RIGHT(modif0[[#This Row],[trvx]],4))</f>
        <v>2013</v>
      </c>
      <c r="R271" t="str">
        <f>_xlfn.CONCAT(modif0[[#This Row],[tp]],"-",modif0[[#This Row],[essnc]],"_",modif0[[#This Row],[anns]])</f>
        <v>PLA-PM_2013</v>
      </c>
      <c r="S271" t="b">
        <f>modif0[[#This Row],[tp]]="CR"</f>
        <v>0</v>
      </c>
      <c r="T271">
        <v>40</v>
      </c>
      <c r="U271" t="str">
        <f>IF(NOT($A271),"",
IF(AO271=-2,regle!$J$11,
IF(AO271=regle!$B$12,regle!$B$11,
IF(AO271=regle!$C$12,regle!$C$11,
IF(AO271=regle!$D$12,regle!$D$11,
IF(AO271=regle!$E$12,regle!$E$11,
IF(AO271=regle!$F$12,regle!$F$11,
IF(AO271=regle!$G$12,regle!$G$11,
IF(AO271=regle!$H$12,regle!$H$11,
IF(AO271=regle!$I$12,regle!$I$11,""))))))))))</f>
        <v/>
      </c>
      <c r="V271" t="str">
        <f>IF(NOT($A271),"",
IF(AP271=-2,regle!$J$11,
IF(AP271=regle!$B$12,regle!$B$11,
IF(AP271=regle!$C$12,regle!$C$11,
IF(AP271=regle!$D$12,regle!$D$11,
IF(AP271=regle!$E$12,regle!$E$11,
IF(AP271=regle!$F$12,regle!$F$11,
IF(AP271=regle!$G$12,regle!$G$11,
IF(AP271=regle!$H$12,regle!$H$11,
IF(AP271=regle!$I$12,regle!$I$11,""))))))))))</f>
        <v/>
      </c>
      <c r="W271" t="str">
        <f>IF(NOT($A271),"",
IF(AQ271=-2,regle!$J$11,
IF(AQ271=regle!$B$12,regle!$B$11,
IF(AQ271=regle!$C$12,regle!$C$11,
IF(AQ271=regle!$D$12,regle!$D$11,
IF(AQ271=regle!$E$12,regle!$E$11,
IF(AQ271=regle!$F$12,regle!$F$11,
IF(AQ271=regle!$G$12,regle!$G$11,
IF(AQ271=regle!$H$12,regle!$H$11,
IF(AQ271=regle!$I$12,regle!$I$11,""))))))))))</f>
        <v>EC1</v>
      </c>
      <c r="X271" t="str">
        <f>IF(NOT($A271),"",
IF(AR271=-2,regle!$J$11,
IF(AR271=regle!$B$12,regle!$B$11,
IF(AR271=regle!$C$12,regle!$C$11,
IF(AR271=regle!$D$12,regle!$D$11,
IF(AR271=regle!$E$12,regle!$E$11,
IF(AR271=regle!$F$12,regle!$F$11,
IF(AR271=regle!$G$12,regle!$G$11,
IF(AR271=regle!$H$12,regle!$H$11,
IF(AR271=regle!$I$12,regle!$I$11,""))))))))))</f>
        <v/>
      </c>
      <c r="Y271" t="str">
        <f>IF(NOT($A271),"",
IF(AS271=-2,regle!$J$11,
IF(AS271=regle!$B$12,regle!$B$11,
IF(AS271=regle!$C$12,regle!$C$11,
IF(AS271=regle!$D$12,regle!$D$11,
IF(AS271=regle!$E$12,regle!$E$11,
IF(AS271=regle!$F$12,regle!$F$11,
IF(AS271=regle!$G$12,regle!$G$11,
IF(AS271=regle!$H$12,regle!$H$11,
IF(AS271=regle!$I$12,regle!$I$11,""))))))))))</f>
        <v/>
      </c>
      <c r="Z271" t="str">
        <f>IF(NOT($A271),"",
IF(AT271=-2,regle!$J$11,
IF(AT271=regle!$B$12,regle!$B$11,
IF(AT271=regle!$C$12,regle!$C$11,
IF(AT271=regle!$D$12,regle!$D$11,
IF(AT271=regle!$E$12,regle!$E$11,
IF(AT271=regle!$F$12,regle!$F$11,
IF(AT271=regle!$G$12,regle!$G$11,
IF(AT271=regle!$H$12,regle!$H$11,
IF(AT271=regle!$I$12,regle!$I$11,""))))))))))</f>
        <v/>
      </c>
      <c r="AA271" t="str">
        <f>IF(NOT($A271),"",
IF(AU271=-2,regle!$J$11,
IF(AU271=regle!$B$12,regle!$B$11,
IF(AU271=regle!$C$12,regle!$C$11,
IF(AU271=regle!$D$12,regle!$D$11,
IF(AU271=regle!$E$12,regle!$E$11,
IF(AU271=regle!$F$12,regle!$F$11,
IF(AU271=regle!$G$12,regle!$G$11,
IF(AU271=regle!$H$12,regle!$H$11,
IF(AU271=regle!$I$12,regle!$I$11,""))))))))))</f>
        <v/>
      </c>
      <c r="AB271" t="str">
        <f>IF(NOT($A271),"",
IF(AV271=-2,regle!$J$11,
IF(AV271=regle!$B$12,regle!$B$11,
IF(AV271=regle!$C$12,regle!$C$11,
IF(AV271=regle!$D$12,regle!$D$11,
IF(AV271=regle!$E$12,regle!$E$11,
IF(AV271=regle!$F$12,regle!$F$11,
IF(AV271=regle!$G$12,regle!$G$11,
IF(AV271=regle!$H$12,regle!$H$11,
IF(AV271=regle!$I$12,regle!$I$11,""))))))))))</f>
        <v>EC2</v>
      </c>
      <c r="AC271" t="str">
        <f>IF(NOT($A271),"",
IF(AW271=-2,regle!$J$11,
IF(AW271=regle!$B$12,regle!$B$11,
IF(AW271=regle!$C$12,regle!$C$11,
IF(AW271=regle!$D$12,regle!$D$11,
IF(AW271=regle!$E$12,regle!$E$11,
IF(AW271=regle!$F$12,regle!$F$11,
IF(AW271=regle!$G$12,regle!$G$11,
IF(AW271=regle!$H$12,regle!$H$11,
IF(AW271=regle!$I$12,regle!$I$11,""))))))))))</f>
        <v/>
      </c>
      <c r="AD271" t="str">
        <f>IF(NOT($A271),"",
IF(AX271=-2,regle!$J$11,
IF(AX271=regle!$B$12,regle!$B$11,
IF(AX271=regle!$C$12,regle!$C$11,
IF(AX271=regle!$D$12,regle!$D$11,
IF(AX271=regle!$E$12,regle!$E$11,
IF(AX271=regle!$F$12,regle!$F$11,
IF(AX271=regle!$G$12,regle!$G$11,
IF(AX271=regle!$H$12,regle!$H$11,
IF(AX271=regle!$I$12,regle!$I$11,""))))))))))</f>
        <v/>
      </c>
      <c r="AE271" s="14">
        <f>IF($A271,$M271*(IF(U271=regle!$B$11,regle!$B$23,IF(U271=regle!$C$11,regle!$C$23,IF(U271=regle!$D$11,regle!$D$23,IF(U271=regle!$E$11,regle!$E$23,IF(U271=regle!$F$11,regle!$F$23,IF(U271=regle!$G$11,regle!$G$23,IF(U271=regle!$H$11,regle!$H$23,IF(U271=regle!$I$11,regle!$I$23,IF(U271=regle!$J$11,regle!$J$23,0)))))))))))</f>
        <v>0</v>
      </c>
      <c r="AF271" s="14">
        <f>IF($A271,$M271*(IF(V271=regle!$B$11,regle!$B$23,IF(V271=regle!$C$11,regle!$C$23,IF(V271=regle!$D$11,regle!$D$23,IF(V271=regle!$E$11,regle!$E$23,IF(V271=regle!$F$11,regle!$F$23,IF(V271=regle!$G$11,regle!$G$23,IF(V271=regle!$H$11,regle!$H$23,IF(V271=regle!$I$11,regle!$I$23,IF(V271=regle!$J$11,regle!$J$23,0)))))))))))</f>
        <v>0</v>
      </c>
      <c r="AG271" s="14">
        <f>IF($A271,$M271*(IF(W271=regle!$B$11,regle!$B$23,IF(W271=regle!$C$11,regle!$C$23,IF(W271=regle!$D$11,regle!$D$23,IF(W271=regle!$E$11,regle!$E$23,IF(W271=regle!$F$11,regle!$F$23,IF(W271=regle!$G$11,regle!$G$23,IF(W271=regle!$H$11,regle!$H$23,IF(W271=regle!$I$11,regle!$I$23,IF(W271=regle!$J$11,regle!$J$23,0)))))))))))</f>
        <v>566.55359999999996</v>
      </c>
      <c r="AH271" s="14">
        <f>IF($A271,$M271*(IF(X271=regle!$B$11,regle!$B$23,IF(X271=regle!$C$11,regle!$C$23,IF(X271=regle!$D$11,regle!$D$23,IF(X271=regle!$E$11,regle!$E$23,IF(X271=regle!$F$11,regle!$F$23,IF(X271=regle!$G$11,regle!$G$23,IF(X271=regle!$H$11,regle!$H$23,IF(X271=regle!$I$11,regle!$I$23,IF(X271=regle!$J$11,regle!$J$23,0)))))))))))</f>
        <v>0</v>
      </c>
      <c r="AI271" s="14">
        <f>IF($A271,$M271*(IF(Y271=regle!$B$11,regle!$B$23,IF(Y271=regle!$C$11,regle!$C$23,IF(Y271=regle!$D$11,regle!$D$23,IF(Y271=regle!$E$11,regle!$E$23,IF(Y271=regle!$F$11,regle!$F$23,IF(Y271=regle!$G$11,regle!$G$23,IF(Y271=regle!$H$11,regle!$H$23,IF(Y271=regle!$I$11,regle!$I$23,IF(Y271=regle!$J$11,regle!$J$23,0)))))))))))</f>
        <v>0</v>
      </c>
      <c r="AJ271" s="14">
        <f>IF($A271,$M271*(IF(Z271=regle!$B$11,regle!$B$23,IF(Z271=regle!$C$11,regle!$C$23,IF(Z271=regle!$D$11,regle!$D$23,IF(Z271=regle!$E$11,regle!$E$23,IF(Z271=regle!$F$11,regle!$F$23,IF(Z271=regle!$G$11,regle!$G$23,IF(Z271=regle!$H$11,regle!$H$23,IF(Z271=regle!$I$11,regle!$I$23,IF(Z271=regle!$J$11,regle!$J$23,0)))))))))))</f>
        <v>0</v>
      </c>
      <c r="AK271" s="14">
        <f>IF($A271,$M271*(IF(AA271=regle!$B$11,regle!$B$23,IF(AA271=regle!$C$11,regle!$C$23,IF(AA271=regle!$D$11,regle!$D$23,IF(AA271=regle!$E$11,regle!$E$23,IF(AA271=regle!$F$11,regle!$F$23,IF(AA271=regle!$G$11,regle!$G$23,IF(AA271=regle!$H$11,regle!$H$23,IF(AA271=regle!$I$11,regle!$I$23,IF(AA271=regle!$J$11,regle!$J$23,0)))))))))))</f>
        <v>0</v>
      </c>
      <c r="AL271" s="14">
        <f>IF($A271,$M271*(IF(AB271=regle!$B$11,regle!$B$23,IF(AB271=regle!$C$11,regle!$C$23,IF(AB271=regle!$D$11,regle!$D$23,IF(AB271=regle!$E$11,regle!$E$23,IF(AB271=regle!$F$11,regle!$F$23,IF(AB271=regle!$G$11,regle!$G$23,IF(AB271=regle!$H$11,regle!$H$23,IF(AB271=regle!$I$11,regle!$I$23,IF(AB271=regle!$J$11,regle!$J$23,0)))))))))))</f>
        <v>826.22400000000005</v>
      </c>
      <c r="AM271" s="14">
        <f>IF($A271,$M271*(IF(AC271=regle!$B$11,regle!$B$23,IF(AC271=regle!$C$11,regle!$C$23,IF(AC271=regle!$D$11,regle!$D$23,IF(AC271=regle!$E$11,regle!$E$23,IF(AC271=regle!$F$11,regle!$F$23,IF(AC271=regle!$G$11,regle!$G$23,IF(AC271=regle!$H$11,regle!$H$23,IF(AC271=regle!$I$11,regle!$I$23,IF(AC271=regle!$J$11,regle!$J$23,0)))))))))))</f>
        <v>0</v>
      </c>
      <c r="AN271" s="14">
        <f>IF($A271,$M271*(IF(AD271=regle!$B$11,regle!$B$23,IF(AD271=regle!$C$11,regle!$C$23,IF(AD271=regle!$D$11,regle!$D$23,IF(AD271=regle!$E$11,regle!$E$23,IF(AD271=regle!$F$11,regle!$F$23,IF(AD271=regle!$G$11,regle!$G$23,IF(AD271=regle!$H$11,regle!$H$23,IF(AD271=regle!$I$11,regle!$I$23,IF(AD271=regle!$J$11,regle!$J$23,0)))))))))))</f>
        <v>0</v>
      </c>
      <c r="AO271">
        <f>IF(AO$1=$AO$1,IF(regle!B$2-$Q271&gt;=regle!$J$12,-2,IF($S271,IF(regle!$B$2-$Q271&gt;=2,0,-1),regle!B$2-$Q271)),IF(AN271+1&gt;=regle!$J$12,-2,AN271+1))</f>
        <v>11</v>
      </c>
      <c r="AP271">
        <f>IF(AP$1=$AO$1,IF(regle!C$2-$Q271&gt;=regle!$J$12,-2,IF($S271,IF(regle!$B$2-$Q271&gt;=2,0,-1),regle!C$2-$Q271)),IF(AO271+1&gt;=regle!$J$12,-2,AO271+1))</f>
        <v>12</v>
      </c>
      <c r="AQ271">
        <f>IF(AQ$1=$AO$1,IF(regle!D$2-$Q271&gt;=regle!$J$12,-2,IF($S271,IF(regle!$B$2-$Q271&gt;=2,0,-1),regle!D$2-$Q271)),IF(AP271+1&gt;=regle!$J$12,-2,AP271+1))</f>
        <v>13</v>
      </c>
      <c r="AR271">
        <f>IF(AR$1=$AO$1,IF(regle!E$2-$Q271&gt;=regle!$J$12,-2,IF($S271,IF(regle!$B$2-$Q271&gt;=2,0,-1),regle!E$2-$Q271)),IF(AQ271+1&gt;=regle!$J$12,-2,AQ271+1))</f>
        <v>14</v>
      </c>
      <c r="AS271">
        <f>IF(AS$1=$AO$1,IF(regle!F$2-$Q271&gt;=regle!$J$12,-2,IF($S271,IF(regle!$B$2-$Q271&gt;=2,0,-1),regle!F$2-$Q271)),IF(AR271+1&gt;=regle!$J$12,-2,AR271+1))</f>
        <v>15</v>
      </c>
      <c r="AT271">
        <f>IF(AT$1=$AO$1,IF(regle!G$2-$Q271&gt;=regle!$J$12,-2,IF($S271,IF(regle!$B$2-$Q271&gt;=2,0,-1),regle!G$2-$Q271)),IF(AS271+1&gt;=regle!$J$12,-2,AS271+1))</f>
        <v>16</v>
      </c>
      <c r="AU271">
        <f>IF(AU$1=$AO$1,IF(regle!H$2-$Q271&gt;=regle!$J$12,-2,IF($S271,IF(regle!$B$2-$Q271&gt;=2,0,-1),regle!H$2-$Q271)),IF(AT271+1&gt;=regle!$J$12,-2,AT271+1))</f>
        <v>17</v>
      </c>
      <c r="AV271">
        <f>IF(AV$1=$AO$1,IF(regle!I$2-$Q271&gt;=regle!$J$12,-2,IF($S271,IF(regle!$B$2-$Q271&gt;=2,0,-1),regle!I$2-$Q271)),IF(AU271+1&gt;=regle!$J$12,-2,AU271+1))</f>
        <v>18</v>
      </c>
      <c r="AW271">
        <f>IF(AW$1=$AO$1,IF(regle!J$2-$Q271&gt;=regle!$J$12,-2,IF($S271,IF(regle!$B$2-$Q271&gt;=2,0,-1),regle!J$2-$Q271)),IF(AV271+1&gt;=regle!$J$12,-2,AV271+1))</f>
        <v>19</v>
      </c>
      <c r="AX271">
        <f>IF(AX$1=$AO$1,IF(regle!K$2-$Q271&gt;=regle!$J$12,-2,IF($S271,IF(regle!$B$2-$Q271&gt;=2,0,-1),regle!K$2-$Q271)),IF(AW271+1&gt;=regle!$J$12,-2,AW271+1))</f>
        <v>20</v>
      </c>
    </row>
    <row r="272" spans="1:50" x14ac:dyDescent="0.25">
      <c r="A272" t="b">
        <f>AND(modif0[[#This Row],[cdstr]]&lt;&gt;0,OR(regle!$H$27=FALSE,modif0[[#This Row],[essnc]]="PM"))</f>
        <v>1</v>
      </c>
      <c r="B272">
        <f>ROW(objet!A319)</f>
        <v>319</v>
      </c>
      <c r="C272" s="10" t="str">
        <f>objet!D319</f>
        <v>1710000B0304</v>
      </c>
      <c r="D272" t="str">
        <f>LEFT(modif0[[#This Row],[cdstr]],3)</f>
        <v>171</v>
      </c>
      <c r="E272" s="10" t="str">
        <f>objet!G319</f>
        <v>MANO</v>
      </c>
      <c r="F272">
        <f>LEN(modif0[[#This Row],[l_dt]])</f>
        <v>17</v>
      </c>
      <c r="G272" s="10" t="str">
        <f>objet!H319</f>
        <v>LANDE DE TABARTON</v>
      </c>
      <c r="H272" s="10" t="str">
        <f>objet!C319</f>
        <v>B304k</v>
      </c>
      <c r="I272" t="str">
        <f>IF(ISNUMBER(VALUE(RIGHT(LEFT(modif0[[#This Row],[idntfn]],2),1))),_xlfn.CONCAT(0,LEFT(modif0[[#This Row],[idntfn]],1)),LEFT(modif0[[#This Row],[idntfn]],2))</f>
        <v>0B</v>
      </c>
      <c r="J272">
        <f>VALUE(LEFT(RIGHT(modif0[[#This Row],[idntfn]],LEN(modif0[[#This Row],[idntfn]])-IF(LEFT(modif0[[#This Row],[sctn]],1)="0",1,2)),LEN(modif0[[#This Row],[idntfn]])-IF(LEFT(modif0[[#This Row],[sctn]],1)="0",1,2)-LEN(modif0[[#This Row],[lttr]])))</f>
        <v>304</v>
      </c>
      <c r="K272" t="str">
        <f>IF(ISNUMBER(VALUE(RIGHT(modif0[[#This Row],[idntfn]],1))),"",IF(ISNUMBER(VALUE(LEFT(RIGHT(modif0[[#This Row],[idntfn]],2),1))),RIGHT(modif0[[#This Row],[idntfn]],1),RIGHT(modif0[[#This Row],[idntfn]],2)))</f>
        <v>k</v>
      </c>
      <c r="L272" s="10">
        <f>objet!I319</f>
        <v>4564</v>
      </c>
      <c r="M272" s="11">
        <f>modif0[[#This Row],[srfc]]/10000</f>
        <v>0.45639999999999997</v>
      </c>
      <c r="N272" s="10" t="str">
        <f>objet!Z319</f>
        <v>PM</v>
      </c>
      <c r="O272" s="10" t="str">
        <f>objet!AA319</f>
        <v>CR2022</v>
      </c>
      <c r="P272" t="str">
        <f>IF(ISNUMBER(modif0[[#This Row],[trvx]]),"",LEFT(modif0[[#This Row],[trvx]],LEN(modif0[[#This Row],[trvx]])-4))</f>
        <v>CR</v>
      </c>
      <c r="Q272">
        <f>VALUE(RIGHT(modif0[[#This Row],[trvx]],4))</f>
        <v>2022</v>
      </c>
      <c r="R272" t="str">
        <f>_xlfn.CONCAT(modif0[[#This Row],[tp]],"-",modif0[[#This Row],[essnc]],"_",modif0[[#This Row],[anns]])</f>
        <v>CR-PM_2022</v>
      </c>
      <c r="S272" t="b">
        <f>modif0[[#This Row],[tp]]="CR"</f>
        <v>1</v>
      </c>
      <c r="T272">
        <v>40</v>
      </c>
      <c r="U272" t="str">
        <f>IF(NOT($A272),"",
IF(AO272=-2,regle!$J$11,
IF(AO272=regle!$B$12,regle!$B$11,
IF(AO272=regle!$C$12,regle!$C$11,
IF(AO272=regle!$D$12,regle!$D$11,
IF(AO272=regle!$E$12,regle!$E$11,
IF(AO272=regle!$F$12,regle!$F$11,
IF(AO272=regle!$G$12,regle!$G$11,
IF(AO272=regle!$H$12,regle!$H$11,
IF(AO272=regle!$I$12,regle!$I$11,""))))))))))</f>
        <v>RBST</v>
      </c>
      <c r="V272" t="str">
        <f>IF(NOT($A272),"",
IF(AP272=-2,regle!$J$11,
IF(AP272=regle!$B$12,regle!$B$11,
IF(AP272=regle!$C$12,regle!$C$11,
IF(AP272=regle!$D$12,regle!$D$11,
IF(AP272=regle!$E$12,regle!$E$11,
IF(AP272=regle!$F$12,regle!$F$11,
IF(AP272=regle!$G$12,regle!$G$11,
IF(AP272=regle!$H$12,regle!$H$11,
IF(AP272=regle!$I$12,regle!$I$11,""))))))))))</f>
        <v/>
      </c>
      <c r="W272" t="str">
        <f>IF(NOT($A272),"",
IF(AQ272=-2,regle!$J$11,
IF(AQ272=regle!$B$12,regle!$B$11,
IF(AQ272=regle!$C$12,regle!$C$11,
IF(AQ272=regle!$D$12,regle!$D$11,
IF(AQ272=regle!$E$12,regle!$E$11,
IF(AQ272=regle!$F$12,regle!$F$11,
IF(AQ272=regle!$G$12,regle!$G$11,
IF(AQ272=regle!$H$12,regle!$H$11,
IF(AQ272=regle!$I$12,regle!$I$11,""))))))))))</f>
        <v>DGT</v>
      </c>
      <c r="X272" t="str">
        <f>IF(NOT($A272),"",
IF(AR272=-2,regle!$J$11,
IF(AR272=regle!$B$12,regle!$B$11,
IF(AR272=regle!$C$12,regle!$C$11,
IF(AR272=regle!$D$12,regle!$D$11,
IF(AR272=regle!$E$12,regle!$E$11,
IF(AR272=regle!$F$12,regle!$F$11,
IF(AR272=regle!$G$12,regle!$G$11,
IF(AR272=regle!$H$12,regle!$H$11,
IF(AR272=regle!$I$12,regle!$I$11,""))))))))))</f>
        <v/>
      </c>
      <c r="Y272" t="str">
        <f>IF(NOT($A272),"",
IF(AS272=-2,regle!$J$11,
IF(AS272=regle!$B$12,regle!$B$11,
IF(AS272=regle!$C$12,regle!$C$11,
IF(AS272=regle!$D$12,regle!$D$11,
IF(AS272=regle!$E$12,regle!$E$11,
IF(AS272=regle!$F$12,regle!$F$11,
IF(AS272=regle!$G$12,regle!$G$11,
IF(AS272=regle!$H$12,regle!$H$11,
IF(AS272=regle!$I$12,regle!$I$11,""))))))))))</f>
        <v/>
      </c>
      <c r="Z272" t="str">
        <f>IF(NOT($A272),"",
IF(AT272=-2,regle!$J$11,
IF(AT272=regle!$B$12,regle!$B$11,
IF(AT272=regle!$C$12,regle!$C$11,
IF(AT272=regle!$D$12,regle!$D$11,
IF(AT272=regle!$E$12,regle!$E$11,
IF(AT272=regle!$F$12,regle!$F$11,
IF(AT272=regle!$G$12,regle!$G$11,
IF(AT272=regle!$H$12,regle!$H$11,
IF(AT272=regle!$I$12,regle!$I$11,""))))))))))</f>
        <v>ENT1</v>
      </c>
      <c r="AA272" t="str">
        <f>IF(NOT($A272),"",
IF(AU272=-2,regle!$J$11,
IF(AU272=regle!$B$12,regle!$B$11,
IF(AU272=regle!$C$12,regle!$C$11,
IF(AU272=regle!$D$12,regle!$D$11,
IF(AU272=regle!$E$12,regle!$E$11,
IF(AU272=regle!$F$12,regle!$F$11,
IF(AU272=regle!$G$12,regle!$G$11,
IF(AU272=regle!$H$12,regle!$H$11,
IF(AU272=regle!$I$12,regle!$I$11,""))))))))))</f>
        <v/>
      </c>
      <c r="AB272" t="str">
        <f>IF(NOT($A272),"",
IF(AV272=-2,regle!$J$11,
IF(AV272=regle!$B$12,regle!$B$11,
IF(AV272=regle!$C$12,regle!$C$11,
IF(AV272=regle!$D$12,regle!$D$11,
IF(AV272=regle!$E$12,regle!$E$11,
IF(AV272=regle!$F$12,regle!$F$11,
IF(AV272=regle!$G$12,regle!$G$11,
IF(AV272=regle!$H$12,regle!$H$11,
IF(AV272=regle!$I$12,regle!$I$11,""))))))))))</f>
        <v/>
      </c>
      <c r="AC272" t="str">
        <f>IF(NOT($A272),"",
IF(AW272=-2,regle!$J$11,
IF(AW272=regle!$B$12,regle!$B$11,
IF(AW272=regle!$C$12,regle!$C$11,
IF(AW272=regle!$D$12,regle!$D$11,
IF(AW272=regle!$E$12,regle!$E$11,
IF(AW272=regle!$F$12,regle!$F$11,
IF(AW272=regle!$G$12,regle!$G$11,
IF(AW272=regle!$H$12,regle!$H$11,
IF(AW272=regle!$I$12,regle!$I$11,""))))))))))</f>
        <v>ENT2</v>
      </c>
      <c r="AD272" t="str">
        <f>IF(NOT($A272),"",
IF(AX272=-2,regle!$J$11,
IF(AX272=regle!$B$12,regle!$B$11,
IF(AX272=regle!$C$12,regle!$C$11,
IF(AX272=regle!$D$12,regle!$D$11,
IF(AX272=regle!$E$12,regle!$E$11,
IF(AX272=regle!$F$12,regle!$F$11,
IF(AX272=regle!$G$12,regle!$G$11,
IF(AX272=regle!$H$12,regle!$H$11,
IF(AX272=regle!$I$12,regle!$I$11,""))))))))))</f>
        <v/>
      </c>
      <c r="AE272" s="14">
        <f>IF($A272,$M272*(IF(U272=regle!$B$11,regle!$B$23,IF(U272=regle!$C$11,regle!$C$23,IF(U272=regle!$D$11,regle!$D$23,IF(U272=regle!$E$11,regle!$E$23,IF(U272=regle!$F$11,regle!$F$23,IF(U272=regle!$G$11,regle!$G$23,IF(U272=regle!$H$11,regle!$H$23,IF(U272=regle!$I$11,regle!$I$23,IF(U272=regle!$J$11,regle!$J$23,0)))))))))))</f>
        <v>-775.88</v>
      </c>
      <c r="AF272" s="14">
        <f>IF($A272,$M272*(IF(V272=regle!$B$11,regle!$B$23,IF(V272=regle!$C$11,regle!$C$23,IF(V272=regle!$D$11,regle!$D$23,IF(V272=regle!$E$11,regle!$E$23,IF(V272=regle!$F$11,regle!$F$23,IF(V272=regle!$G$11,regle!$G$23,IF(V272=regle!$H$11,regle!$H$23,IF(V272=regle!$I$11,regle!$I$23,IF(V272=regle!$J$11,regle!$J$23,0)))))))))))</f>
        <v>0</v>
      </c>
      <c r="AG272" s="14">
        <f>IF($A272,$M272*(IF(W272=regle!$B$11,regle!$B$23,IF(W272=regle!$C$11,regle!$C$23,IF(W272=regle!$D$11,regle!$D$23,IF(W272=regle!$E$11,regle!$E$23,IF(W272=regle!$F$11,regle!$F$23,IF(W272=regle!$G$11,regle!$G$23,IF(W272=regle!$H$11,regle!$H$23,IF(W272=regle!$I$11,regle!$I$23,IF(W272=regle!$J$11,regle!$J$23,0)))))))))))</f>
        <v>-34.229999999999997</v>
      </c>
      <c r="AH272" s="14">
        <f>IF($A272,$M272*(IF(X272=regle!$B$11,regle!$B$23,IF(X272=regle!$C$11,regle!$C$23,IF(X272=regle!$D$11,regle!$D$23,IF(X272=regle!$E$11,regle!$E$23,IF(X272=regle!$F$11,regle!$F$23,IF(X272=regle!$G$11,regle!$G$23,IF(X272=regle!$H$11,regle!$H$23,IF(X272=regle!$I$11,regle!$I$23,IF(X272=regle!$J$11,regle!$J$23,0)))))))))))</f>
        <v>0</v>
      </c>
      <c r="AI272" s="14">
        <f>IF($A272,$M272*(IF(Y272=regle!$B$11,regle!$B$23,IF(Y272=regle!$C$11,regle!$C$23,IF(Y272=regle!$D$11,regle!$D$23,IF(Y272=regle!$E$11,regle!$E$23,IF(Y272=regle!$F$11,regle!$F$23,IF(Y272=regle!$G$11,regle!$G$23,IF(Y272=regle!$H$11,regle!$H$23,IF(Y272=regle!$I$11,regle!$I$23,IF(Y272=regle!$J$11,regle!$J$23,0)))))))))))</f>
        <v>0</v>
      </c>
      <c r="AJ272" s="14">
        <f>IF($A272,$M272*(IF(Z272=regle!$B$11,regle!$B$23,IF(Z272=regle!$C$11,regle!$C$23,IF(Z272=regle!$D$11,regle!$D$23,IF(Z272=regle!$E$11,regle!$E$23,IF(Z272=regle!$F$11,regle!$F$23,IF(Z272=regle!$G$11,regle!$G$23,IF(Z272=regle!$H$11,regle!$H$23,IF(Z272=regle!$I$11,regle!$I$23,IF(Z272=regle!$J$11,regle!$J$23,0)))))))))))</f>
        <v>-41.076000000000001</v>
      </c>
      <c r="AK272" s="14">
        <f>IF($A272,$M272*(IF(AA272=regle!$B$11,regle!$B$23,IF(AA272=regle!$C$11,regle!$C$23,IF(AA272=regle!$D$11,regle!$D$23,IF(AA272=regle!$E$11,regle!$E$23,IF(AA272=regle!$F$11,regle!$F$23,IF(AA272=regle!$G$11,regle!$G$23,IF(AA272=regle!$H$11,regle!$H$23,IF(AA272=regle!$I$11,regle!$I$23,IF(AA272=regle!$J$11,regle!$J$23,0)))))))))))</f>
        <v>0</v>
      </c>
      <c r="AL272" s="14">
        <f>IF($A272,$M272*(IF(AB272=regle!$B$11,regle!$B$23,IF(AB272=regle!$C$11,regle!$C$23,IF(AB272=regle!$D$11,regle!$D$23,IF(AB272=regle!$E$11,regle!$E$23,IF(AB272=regle!$F$11,regle!$F$23,IF(AB272=regle!$G$11,regle!$G$23,IF(AB272=regle!$H$11,regle!$H$23,IF(AB272=regle!$I$11,regle!$I$23,IF(AB272=regle!$J$11,regle!$J$23,0)))))))))))</f>
        <v>0</v>
      </c>
      <c r="AM272" s="14">
        <f>IF($A272,$M272*(IF(AC272=regle!$B$11,regle!$B$23,IF(AC272=regle!$C$11,regle!$C$23,IF(AC272=regle!$D$11,regle!$D$23,IF(AC272=regle!$E$11,regle!$E$23,IF(AC272=regle!$F$11,regle!$F$23,IF(AC272=regle!$G$11,regle!$G$23,IF(AC272=regle!$H$11,regle!$H$23,IF(AC272=regle!$I$11,regle!$I$23,IF(AC272=regle!$J$11,regle!$J$23,0)))))))))))</f>
        <v>-41.076000000000001</v>
      </c>
      <c r="AN272" s="14">
        <f>IF($A272,$M272*(IF(AD272=regle!$B$11,regle!$B$23,IF(AD272=regle!$C$11,regle!$C$23,IF(AD272=regle!$D$11,regle!$D$23,IF(AD272=regle!$E$11,regle!$E$23,IF(AD272=regle!$F$11,regle!$F$23,IF(AD272=regle!$G$11,regle!$G$23,IF(AD272=regle!$H$11,regle!$H$23,IF(AD272=regle!$I$11,regle!$I$23,IF(AD272=regle!$J$11,regle!$J$23,0)))))))))))</f>
        <v>0</v>
      </c>
      <c r="AO272">
        <f>IF(AO$1=$AO$1,IF(regle!B$2-$Q272&gt;=regle!$J$12,-2,IF($S272,IF(regle!$B$2-$Q272&gt;=2,0,-1),regle!B$2-$Q272)),IF(AN272+1&gt;=regle!$J$12,-2,AN272+1))</f>
        <v>0</v>
      </c>
      <c r="AP272">
        <f>IF(AP$1=$AO$1,IF(regle!C$2-$Q272&gt;=regle!$J$12,-2,IF($S272,IF(regle!$B$2-$Q272&gt;=2,0,-1),regle!C$2-$Q272)),IF(AO272+1&gt;=regle!$J$12,-2,AO272+1))</f>
        <v>1</v>
      </c>
      <c r="AQ272">
        <f>IF(AQ$1=$AO$1,IF(regle!D$2-$Q272&gt;=regle!$J$12,-2,IF($S272,IF(regle!$B$2-$Q272&gt;=2,0,-1),regle!D$2-$Q272)),IF(AP272+1&gt;=regle!$J$12,-2,AP272+1))</f>
        <v>2</v>
      </c>
      <c r="AR272">
        <f>IF(AR$1=$AO$1,IF(regle!E$2-$Q272&gt;=regle!$J$12,-2,IF($S272,IF(regle!$B$2-$Q272&gt;=2,0,-1),regle!E$2-$Q272)),IF(AQ272+1&gt;=regle!$J$12,-2,AQ272+1))</f>
        <v>3</v>
      </c>
      <c r="AS272">
        <f>IF(AS$1=$AO$1,IF(regle!F$2-$Q272&gt;=regle!$J$12,-2,IF($S272,IF(regle!$B$2-$Q272&gt;=2,0,-1),regle!F$2-$Q272)),IF(AR272+1&gt;=regle!$J$12,-2,AR272+1))</f>
        <v>4</v>
      </c>
      <c r="AT272">
        <f>IF(AT$1=$AO$1,IF(regle!G$2-$Q272&gt;=regle!$J$12,-2,IF($S272,IF(regle!$B$2-$Q272&gt;=2,0,-1),regle!G$2-$Q272)),IF(AS272+1&gt;=regle!$J$12,-2,AS272+1))</f>
        <v>5</v>
      </c>
      <c r="AU272">
        <f>IF(AU$1=$AO$1,IF(regle!H$2-$Q272&gt;=regle!$J$12,-2,IF($S272,IF(regle!$B$2-$Q272&gt;=2,0,-1),regle!H$2-$Q272)),IF(AT272+1&gt;=regle!$J$12,-2,AT272+1))</f>
        <v>6</v>
      </c>
      <c r="AV272">
        <f>IF(AV$1=$AO$1,IF(regle!I$2-$Q272&gt;=regle!$J$12,-2,IF($S272,IF(regle!$B$2-$Q272&gt;=2,0,-1),regle!I$2-$Q272)),IF(AU272+1&gt;=regle!$J$12,-2,AU272+1))</f>
        <v>7</v>
      </c>
      <c r="AW272">
        <f>IF(AW$1=$AO$1,IF(regle!J$2-$Q272&gt;=regle!$J$12,-2,IF($S272,IF(regle!$B$2-$Q272&gt;=2,0,-1),regle!J$2-$Q272)),IF(AV272+1&gt;=regle!$J$12,-2,AV272+1))</f>
        <v>8</v>
      </c>
      <c r="AX272">
        <f>IF(AX$1=$AO$1,IF(regle!K$2-$Q272&gt;=regle!$J$12,-2,IF($S272,IF(regle!$B$2-$Q272&gt;=2,0,-1),regle!K$2-$Q272)),IF(AW272+1&gt;=regle!$J$12,-2,AW272+1))</f>
        <v>9</v>
      </c>
    </row>
    <row r="273" spans="1:50" x14ac:dyDescent="0.25">
      <c r="A273" t="b">
        <f>AND(modif0[[#This Row],[cdstr]]&lt;&gt;0,OR(regle!$H$27=FALSE,modif0[[#This Row],[essnc]]="PM"))</f>
        <v>1</v>
      </c>
      <c r="B273">
        <f>ROW(objet!A321)</f>
        <v>321</v>
      </c>
      <c r="C273" s="10" t="str">
        <f>objet!D321</f>
        <v>1710000B0306</v>
      </c>
      <c r="D273" t="str">
        <f>LEFT(modif0[[#This Row],[cdstr]],3)</f>
        <v>171</v>
      </c>
      <c r="E273" s="10" t="str">
        <f>objet!G321</f>
        <v>MANO</v>
      </c>
      <c r="F273">
        <f>LEN(modif0[[#This Row],[l_dt]])</f>
        <v>17</v>
      </c>
      <c r="G273" s="10" t="str">
        <f>objet!H321</f>
        <v>LANDE DE TABARTON</v>
      </c>
      <c r="H273" s="10" t="str">
        <f>objet!C321</f>
        <v>B306</v>
      </c>
      <c r="I273" t="str">
        <f>IF(ISNUMBER(VALUE(RIGHT(LEFT(modif0[[#This Row],[idntfn]],2),1))),_xlfn.CONCAT(0,LEFT(modif0[[#This Row],[idntfn]],1)),LEFT(modif0[[#This Row],[idntfn]],2))</f>
        <v>0B</v>
      </c>
      <c r="J273">
        <f>VALUE(LEFT(RIGHT(modif0[[#This Row],[idntfn]],LEN(modif0[[#This Row],[idntfn]])-IF(LEFT(modif0[[#This Row],[sctn]],1)="0",1,2)),LEN(modif0[[#This Row],[idntfn]])-IF(LEFT(modif0[[#This Row],[sctn]],1)="0",1,2)-LEN(modif0[[#This Row],[lttr]])))</f>
        <v>306</v>
      </c>
      <c r="K273" t="str">
        <f>IF(ISNUMBER(VALUE(RIGHT(modif0[[#This Row],[idntfn]],1))),"",IF(ISNUMBER(VALUE(LEFT(RIGHT(modif0[[#This Row],[idntfn]],2),1))),RIGHT(modif0[[#This Row],[idntfn]],1),RIGHT(modif0[[#This Row],[idntfn]],2)))</f>
        <v/>
      </c>
      <c r="L273" s="10">
        <f>objet!I321</f>
        <v>28000</v>
      </c>
      <c r="M273" s="11">
        <f>modif0[[#This Row],[srfc]]/10000</f>
        <v>2.8</v>
      </c>
      <c r="N273" s="10" t="str">
        <f>objet!Z321</f>
        <v>PM</v>
      </c>
      <c r="O273" s="10" t="str">
        <f>objet!AA321</f>
        <v>CR2022</v>
      </c>
      <c r="P273" t="str">
        <f>IF(ISNUMBER(modif0[[#This Row],[trvx]]),"",LEFT(modif0[[#This Row],[trvx]],LEN(modif0[[#This Row],[trvx]])-4))</f>
        <v>CR</v>
      </c>
      <c r="Q273">
        <f>VALUE(RIGHT(modif0[[#This Row],[trvx]],4))</f>
        <v>2022</v>
      </c>
      <c r="R273" t="str">
        <f>_xlfn.CONCAT(modif0[[#This Row],[tp]],"-",modif0[[#This Row],[essnc]],"_",modif0[[#This Row],[anns]])</f>
        <v>CR-PM_2022</v>
      </c>
      <c r="S273" t="b">
        <f>modif0[[#This Row],[tp]]="CR"</f>
        <v>1</v>
      </c>
      <c r="T273">
        <v>40</v>
      </c>
      <c r="U273" t="str">
        <f>IF(NOT($A273),"",
IF(AO273=-2,regle!$J$11,
IF(AO273=regle!$B$12,regle!$B$11,
IF(AO273=regle!$C$12,regle!$C$11,
IF(AO273=regle!$D$12,regle!$D$11,
IF(AO273=regle!$E$12,regle!$E$11,
IF(AO273=regle!$F$12,regle!$F$11,
IF(AO273=regle!$G$12,regle!$G$11,
IF(AO273=regle!$H$12,regle!$H$11,
IF(AO273=regle!$I$12,regle!$I$11,""))))))))))</f>
        <v>RBST</v>
      </c>
      <c r="V273" t="str">
        <f>IF(NOT($A273),"",
IF(AP273=-2,regle!$J$11,
IF(AP273=regle!$B$12,regle!$B$11,
IF(AP273=regle!$C$12,regle!$C$11,
IF(AP273=regle!$D$12,regle!$D$11,
IF(AP273=regle!$E$12,regle!$E$11,
IF(AP273=regle!$F$12,regle!$F$11,
IF(AP273=regle!$G$12,regle!$G$11,
IF(AP273=regle!$H$12,regle!$H$11,
IF(AP273=regle!$I$12,regle!$I$11,""))))))))))</f>
        <v/>
      </c>
      <c r="W273" t="str">
        <f>IF(NOT($A273),"",
IF(AQ273=-2,regle!$J$11,
IF(AQ273=regle!$B$12,regle!$B$11,
IF(AQ273=regle!$C$12,regle!$C$11,
IF(AQ273=regle!$D$12,regle!$D$11,
IF(AQ273=regle!$E$12,regle!$E$11,
IF(AQ273=regle!$F$12,regle!$F$11,
IF(AQ273=regle!$G$12,regle!$G$11,
IF(AQ273=regle!$H$12,regle!$H$11,
IF(AQ273=regle!$I$12,regle!$I$11,""))))))))))</f>
        <v>DGT</v>
      </c>
      <c r="X273" t="str">
        <f>IF(NOT($A273),"",
IF(AR273=-2,regle!$J$11,
IF(AR273=regle!$B$12,regle!$B$11,
IF(AR273=regle!$C$12,regle!$C$11,
IF(AR273=regle!$D$12,regle!$D$11,
IF(AR273=regle!$E$12,regle!$E$11,
IF(AR273=regle!$F$12,regle!$F$11,
IF(AR273=regle!$G$12,regle!$G$11,
IF(AR273=regle!$H$12,regle!$H$11,
IF(AR273=regle!$I$12,regle!$I$11,""))))))))))</f>
        <v/>
      </c>
      <c r="Y273" t="str">
        <f>IF(NOT($A273),"",
IF(AS273=-2,regle!$J$11,
IF(AS273=regle!$B$12,regle!$B$11,
IF(AS273=regle!$C$12,regle!$C$11,
IF(AS273=regle!$D$12,regle!$D$11,
IF(AS273=regle!$E$12,regle!$E$11,
IF(AS273=regle!$F$12,regle!$F$11,
IF(AS273=regle!$G$12,regle!$G$11,
IF(AS273=regle!$H$12,regle!$H$11,
IF(AS273=regle!$I$12,regle!$I$11,""))))))))))</f>
        <v/>
      </c>
      <c r="Z273" t="str">
        <f>IF(NOT($A273),"",
IF(AT273=-2,regle!$J$11,
IF(AT273=regle!$B$12,regle!$B$11,
IF(AT273=regle!$C$12,regle!$C$11,
IF(AT273=regle!$D$12,regle!$D$11,
IF(AT273=regle!$E$12,regle!$E$11,
IF(AT273=regle!$F$12,regle!$F$11,
IF(AT273=regle!$G$12,regle!$G$11,
IF(AT273=regle!$H$12,regle!$H$11,
IF(AT273=regle!$I$12,regle!$I$11,""))))))))))</f>
        <v>ENT1</v>
      </c>
      <c r="AA273" t="str">
        <f>IF(NOT($A273),"",
IF(AU273=-2,regle!$J$11,
IF(AU273=regle!$B$12,regle!$B$11,
IF(AU273=regle!$C$12,regle!$C$11,
IF(AU273=regle!$D$12,regle!$D$11,
IF(AU273=regle!$E$12,regle!$E$11,
IF(AU273=regle!$F$12,regle!$F$11,
IF(AU273=regle!$G$12,regle!$G$11,
IF(AU273=regle!$H$12,regle!$H$11,
IF(AU273=regle!$I$12,regle!$I$11,""))))))))))</f>
        <v/>
      </c>
      <c r="AB273" t="str">
        <f>IF(NOT($A273),"",
IF(AV273=-2,regle!$J$11,
IF(AV273=regle!$B$12,regle!$B$11,
IF(AV273=regle!$C$12,regle!$C$11,
IF(AV273=regle!$D$12,regle!$D$11,
IF(AV273=regle!$E$12,regle!$E$11,
IF(AV273=regle!$F$12,regle!$F$11,
IF(AV273=regle!$G$12,regle!$G$11,
IF(AV273=regle!$H$12,regle!$H$11,
IF(AV273=regle!$I$12,regle!$I$11,""))))))))))</f>
        <v/>
      </c>
      <c r="AC273" t="str">
        <f>IF(NOT($A273),"",
IF(AW273=-2,regle!$J$11,
IF(AW273=regle!$B$12,regle!$B$11,
IF(AW273=regle!$C$12,regle!$C$11,
IF(AW273=regle!$D$12,regle!$D$11,
IF(AW273=regle!$E$12,regle!$E$11,
IF(AW273=regle!$F$12,regle!$F$11,
IF(AW273=regle!$G$12,regle!$G$11,
IF(AW273=regle!$H$12,regle!$H$11,
IF(AW273=regle!$I$12,regle!$I$11,""))))))))))</f>
        <v>ENT2</v>
      </c>
      <c r="AD273" t="str">
        <f>IF(NOT($A273),"",
IF(AX273=-2,regle!$J$11,
IF(AX273=regle!$B$12,regle!$B$11,
IF(AX273=regle!$C$12,regle!$C$11,
IF(AX273=regle!$D$12,regle!$D$11,
IF(AX273=regle!$E$12,regle!$E$11,
IF(AX273=regle!$F$12,regle!$F$11,
IF(AX273=regle!$G$12,regle!$G$11,
IF(AX273=regle!$H$12,regle!$H$11,
IF(AX273=regle!$I$12,regle!$I$11,""))))))))))</f>
        <v/>
      </c>
      <c r="AE273" s="14">
        <f>IF($A273,$M273*(IF(U273=regle!$B$11,regle!$B$23,IF(U273=regle!$C$11,regle!$C$23,IF(U273=regle!$D$11,regle!$D$23,IF(U273=regle!$E$11,regle!$E$23,IF(U273=regle!$F$11,regle!$F$23,IF(U273=regle!$G$11,regle!$G$23,IF(U273=regle!$H$11,regle!$H$23,IF(U273=regle!$I$11,regle!$I$23,IF(U273=regle!$J$11,regle!$J$23,0)))))))))))</f>
        <v>-4760</v>
      </c>
      <c r="AF273" s="14">
        <f>IF($A273,$M273*(IF(V273=regle!$B$11,regle!$B$23,IF(V273=regle!$C$11,regle!$C$23,IF(V273=regle!$D$11,regle!$D$23,IF(V273=regle!$E$11,regle!$E$23,IF(V273=regle!$F$11,regle!$F$23,IF(V273=regle!$G$11,regle!$G$23,IF(V273=regle!$H$11,regle!$H$23,IF(V273=regle!$I$11,regle!$I$23,IF(V273=regle!$J$11,regle!$J$23,0)))))))))))</f>
        <v>0</v>
      </c>
      <c r="AG273" s="14">
        <f>IF($A273,$M273*(IF(W273=regle!$B$11,regle!$B$23,IF(W273=regle!$C$11,regle!$C$23,IF(W273=regle!$D$11,regle!$D$23,IF(W273=regle!$E$11,regle!$E$23,IF(W273=regle!$F$11,regle!$F$23,IF(W273=regle!$G$11,regle!$G$23,IF(W273=regle!$H$11,regle!$H$23,IF(W273=regle!$I$11,regle!$I$23,IF(W273=regle!$J$11,regle!$J$23,0)))))))))))</f>
        <v>-210</v>
      </c>
      <c r="AH273" s="14">
        <f>IF($A273,$M273*(IF(X273=regle!$B$11,regle!$B$23,IF(X273=regle!$C$11,regle!$C$23,IF(X273=regle!$D$11,regle!$D$23,IF(X273=regle!$E$11,regle!$E$23,IF(X273=regle!$F$11,regle!$F$23,IF(X273=regle!$G$11,regle!$G$23,IF(X273=regle!$H$11,regle!$H$23,IF(X273=regle!$I$11,regle!$I$23,IF(X273=regle!$J$11,regle!$J$23,0)))))))))))</f>
        <v>0</v>
      </c>
      <c r="AI273" s="14">
        <f>IF($A273,$M273*(IF(Y273=regle!$B$11,regle!$B$23,IF(Y273=regle!$C$11,regle!$C$23,IF(Y273=regle!$D$11,regle!$D$23,IF(Y273=regle!$E$11,regle!$E$23,IF(Y273=regle!$F$11,regle!$F$23,IF(Y273=regle!$G$11,regle!$G$23,IF(Y273=regle!$H$11,regle!$H$23,IF(Y273=regle!$I$11,regle!$I$23,IF(Y273=regle!$J$11,regle!$J$23,0)))))))))))</f>
        <v>0</v>
      </c>
      <c r="AJ273" s="14">
        <f>IF($A273,$M273*(IF(Z273=regle!$B$11,regle!$B$23,IF(Z273=regle!$C$11,regle!$C$23,IF(Z273=regle!$D$11,regle!$D$23,IF(Z273=regle!$E$11,regle!$E$23,IF(Z273=regle!$F$11,regle!$F$23,IF(Z273=regle!$G$11,regle!$G$23,IF(Z273=regle!$H$11,regle!$H$23,IF(Z273=regle!$I$11,regle!$I$23,IF(Z273=regle!$J$11,regle!$J$23,0)))))))))))</f>
        <v>-251.99999999999997</v>
      </c>
      <c r="AK273" s="14">
        <f>IF($A273,$M273*(IF(AA273=regle!$B$11,regle!$B$23,IF(AA273=regle!$C$11,regle!$C$23,IF(AA273=regle!$D$11,regle!$D$23,IF(AA273=regle!$E$11,regle!$E$23,IF(AA273=regle!$F$11,regle!$F$23,IF(AA273=regle!$G$11,regle!$G$23,IF(AA273=regle!$H$11,regle!$H$23,IF(AA273=regle!$I$11,regle!$I$23,IF(AA273=regle!$J$11,regle!$J$23,0)))))))))))</f>
        <v>0</v>
      </c>
      <c r="AL273" s="14">
        <f>IF($A273,$M273*(IF(AB273=regle!$B$11,regle!$B$23,IF(AB273=regle!$C$11,regle!$C$23,IF(AB273=regle!$D$11,regle!$D$23,IF(AB273=regle!$E$11,regle!$E$23,IF(AB273=regle!$F$11,regle!$F$23,IF(AB273=regle!$G$11,regle!$G$23,IF(AB273=regle!$H$11,regle!$H$23,IF(AB273=regle!$I$11,regle!$I$23,IF(AB273=regle!$J$11,regle!$J$23,0)))))))))))</f>
        <v>0</v>
      </c>
      <c r="AM273" s="14">
        <f>IF($A273,$M273*(IF(AC273=regle!$B$11,regle!$B$23,IF(AC273=regle!$C$11,regle!$C$23,IF(AC273=regle!$D$11,regle!$D$23,IF(AC273=regle!$E$11,regle!$E$23,IF(AC273=regle!$F$11,regle!$F$23,IF(AC273=regle!$G$11,regle!$G$23,IF(AC273=regle!$H$11,regle!$H$23,IF(AC273=regle!$I$11,regle!$I$23,IF(AC273=regle!$J$11,regle!$J$23,0)))))))))))</f>
        <v>-251.99999999999997</v>
      </c>
      <c r="AN273" s="14">
        <f>IF($A273,$M273*(IF(AD273=regle!$B$11,regle!$B$23,IF(AD273=regle!$C$11,regle!$C$23,IF(AD273=regle!$D$11,regle!$D$23,IF(AD273=regle!$E$11,regle!$E$23,IF(AD273=regle!$F$11,regle!$F$23,IF(AD273=regle!$G$11,regle!$G$23,IF(AD273=regle!$H$11,regle!$H$23,IF(AD273=regle!$I$11,regle!$I$23,IF(AD273=regle!$J$11,regle!$J$23,0)))))))))))</f>
        <v>0</v>
      </c>
      <c r="AO273">
        <f>IF(AO$1=$AO$1,IF(regle!B$2-$Q273&gt;=regle!$J$12,-2,IF($S273,IF(regle!$B$2-$Q273&gt;=2,0,-1),regle!B$2-$Q273)),IF(AN273+1&gt;=regle!$J$12,-2,AN273+1))</f>
        <v>0</v>
      </c>
      <c r="AP273">
        <f>IF(AP$1=$AO$1,IF(regle!C$2-$Q273&gt;=regle!$J$12,-2,IF($S273,IF(regle!$B$2-$Q273&gt;=2,0,-1),regle!C$2-$Q273)),IF(AO273+1&gt;=regle!$J$12,-2,AO273+1))</f>
        <v>1</v>
      </c>
      <c r="AQ273">
        <f>IF(AQ$1=$AO$1,IF(regle!D$2-$Q273&gt;=regle!$J$12,-2,IF($S273,IF(regle!$B$2-$Q273&gt;=2,0,-1),regle!D$2-$Q273)),IF(AP273+1&gt;=regle!$J$12,-2,AP273+1))</f>
        <v>2</v>
      </c>
      <c r="AR273">
        <f>IF(AR$1=$AO$1,IF(regle!E$2-$Q273&gt;=regle!$J$12,-2,IF($S273,IF(regle!$B$2-$Q273&gt;=2,0,-1),regle!E$2-$Q273)),IF(AQ273+1&gt;=regle!$J$12,-2,AQ273+1))</f>
        <v>3</v>
      </c>
      <c r="AS273">
        <f>IF(AS$1=$AO$1,IF(regle!F$2-$Q273&gt;=regle!$J$12,-2,IF($S273,IF(regle!$B$2-$Q273&gt;=2,0,-1),regle!F$2-$Q273)),IF(AR273+1&gt;=regle!$J$12,-2,AR273+1))</f>
        <v>4</v>
      </c>
      <c r="AT273">
        <f>IF(AT$1=$AO$1,IF(regle!G$2-$Q273&gt;=regle!$J$12,-2,IF($S273,IF(regle!$B$2-$Q273&gt;=2,0,-1),regle!G$2-$Q273)),IF(AS273+1&gt;=regle!$J$12,-2,AS273+1))</f>
        <v>5</v>
      </c>
      <c r="AU273">
        <f>IF(AU$1=$AO$1,IF(regle!H$2-$Q273&gt;=regle!$J$12,-2,IF($S273,IF(regle!$B$2-$Q273&gt;=2,0,-1),regle!H$2-$Q273)),IF(AT273+1&gt;=regle!$J$12,-2,AT273+1))</f>
        <v>6</v>
      </c>
      <c r="AV273">
        <f>IF(AV$1=$AO$1,IF(regle!I$2-$Q273&gt;=regle!$J$12,-2,IF($S273,IF(regle!$B$2-$Q273&gt;=2,0,-1),regle!I$2-$Q273)),IF(AU273+1&gt;=regle!$J$12,-2,AU273+1))</f>
        <v>7</v>
      </c>
      <c r="AW273">
        <f>IF(AW$1=$AO$1,IF(regle!J$2-$Q273&gt;=regle!$J$12,-2,IF($S273,IF(regle!$B$2-$Q273&gt;=2,0,-1),regle!J$2-$Q273)),IF(AV273+1&gt;=regle!$J$12,-2,AV273+1))</f>
        <v>8</v>
      </c>
      <c r="AX273">
        <f>IF(AX$1=$AO$1,IF(regle!K$2-$Q273&gt;=regle!$J$12,-2,IF($S273,IF(regle!$B$2-$Q273&gt;=2,0,-1),regle!K$2-$Q273)),IF(AW273+1&gt;=regle!$J$12,-2,AW273+1))</f>
        <v>9</v>
      </c>
    </row>
    <row r="274" spans="1:50" x14ac:dyDescent="0.25">
      <c r="A274" t="b">
        <f>AND(modif0[[#This Row],[cdstr]]&lt;&gt;0,OR(regle!$H$27=FALSE,modif0[[#This Row],[essnc]]="PM"))</f>
        <v>1</v>
      </c>
      <c r="B274">
        <f>ROW(objet!A322)</f>
        <v>322</v>
      </c>
      <c r="C274" s="10" t="str">
        <f>objet!D322</f>
        <v>1710000B0307</v>
      </c>
      <c r="D274" t="str">
        <f>LEFT(modif0[[#This Row],[cdstr]],3)</f>
        <v>171</v>
      </c>
      <c r="E274" s="10" t="str">
        <f>objet!G322</f>
        <v>MANO</v>
      </c>
      <c r="F274">
        <f>LEN(modif0[[#This Row],[l_dt]])</f>
        <v>17</v>
      </c>
      <c r="G274" s="10" t="str">
        <f>objet!H322</f>
        <v>LANDE DE TABARTON</v>
      </c>
      <c r="H274" s="10" t="str">
        <f>objet!C322</f>
        <v>B307</v>
      </c>
      <c r="I274" t="str">
        <f>IF(ISNUMBER(VALUE(RIGHT(LEFT(modif0[[#This Row],[idntfn]],2),1))),_xlfn.CONCAT(0,LEFT(modif0[[#This Row],[idntfn]],1)),LEFT(modif0[[#This Row],[idntfn]],2))</f>
        <v>0B</v>
      </c>
      <c r="J274">
        <f>VALUE(LEFT(RIGHT(modif0[[#This Row],[idntfn]],LEN(modif0[[#This Row],[idntfn]])-IF(LEFT(modif0[[#This Row],[sctn]],1)="0",1,2)),LEN(modif0[[#This Row],[idntfn]])-IF(LEFT(modif0[[#This Row],[sctn]],1)="0",1,2)-LEN(modif0[[#This Row],[lttr]])))</f>
        <v>307</v>
      </c>
      <c r="K274" t="str">
        <f>IF(ISNUMBER(VALUE(RIGHT(modif0[[#This Row],[idntfn]],1))),"",IF(ISNUMBER(VALUE(LEFT(RIGHT(modif0[[#This Row],[idntfn]],2),1))),RIGHT(modif0[[#This Row],[idntfn]],1),RIGHT(modif0[[#This Row],[idntfn]],2)))</f>
        <v/>
      </c>
      <c r="L274" s="10">
        <f>objet!I322</f>
        <v>8660</v>
      </c>
      <c r="M274" s="11">
        <f>modif0[[#This Row],[srfc]]/10000</f>
        <v>0.86599999999999999</v>
      </c>
      <c r="N274" s="10" t="str">
        <f>objet!Z322</f>
        <v>PM</v>
      </c>
      <c r="O274" s="10" t="str">
        <f>objet!AA322</f>
        <v>PLA2013</v>
      </c>
      <c r="P274" t="str">
        <f>IF(ISNUMBER(modif0[[#This Row],[trvx]]),"",LEFT(modif0[[#This Row],[trvx]],LEN(modif0[[#This Row],[trvx]])-4))</f>
        <v>PLA</v>
      </c>
      <c r="Q274">
        <f>VALUE(RIGHT(modif0[[#This Row],[trvx]],4))</f>
        <v>2013</v>
      </c>
      <c r="R274" t="str">
        <f>_xlfn.CONCAT(modif0[[#This Row],[tp]],"-",modif0[[#This Row],[essnc]],"_",modif0[[#This Row],[anns]])</f>
        <v>PLA-PM_2013</v>
      </c>
      <c r="S274" t="b">
        <f>modif0[[#This Row],[tp]]="CR"</f>
        <v>0</v>
      </c>
      <c r="T274">
        <v>40</v>
      </c>
      <c r="U274" t="str">
        <f>IF(NOT($A274),"",
IF(AO274=-2,regle!$J$11,
IF(AO274=regle!$B$12,regle!$B$11,
IF(AO274=regle!$C$12,regle!$C$11,
IF(AO274=regle!$D$12,regle!$D$11,
IF(AO274=regle!$E$12,regle!$E$11,
IF(AO274=regle!$F$12,regle!$F$11,
IF(AO274=regle!$G$12,regle!$G$11,
IF(AO274=regle!$H$12,regle!$H$11,
IF(AO274=regle!$I$12,regle!$I$11,""))))))))))</f>
        <v/>
      </c>
      <c r="V274" t="str">
        <f>IF(NOT($A274),"",
IF(AP274=-2,regle!$J$11,
IF(AP274=regle!$B$12,regle!$B$11,
IF(AP274=regle!$C$12,regle!$C$11,
IF(AP274=regle!$D$12,regle!$D$11,
IF(AP274=regle!$E$12,regle!$E$11,
IF(AP274=regle!$F$12,regle!$F$11,
IF(AP274=regle!$G$12,regle!$G$11,
IF(AP274=regle!$H$12,regle!$H$11,
IF(AP274=regle!$I$12,regle!$I$11,""))))))))))</f>
        <v/>
      </c>
      <c r="W274" t="str">
        <f>IF(NOT($A274),"",
IF(AQ274=-2,regle!$J$11,
IF(AQ274=regle!$B$12,regle!$B$11,
IF(AQ274=regle!$C$12,regle!$C$11,
IF(AQ274=regle!$D$12,regle!$D$11,
IF(AQ274=regle!$E$12,regle!$E$11,
IF(AQ274=regle!$F$12,regle!$F$11,
IF(AQ274=regle!$G$12,regle!$G$11,
IF(AQ274=regle!$H$12,regle!$H$11,
IF(AQ274=regle!$I$12,regle!$I$11,""))))))))))</f>
        <v>EC1</v>
      </c>
      <c r="X274" t="str">
        <f>IF(NOT($A274),"",
IF(AR274=-2,regle!$J$11,
IF(AR274=regle!$B$12,regle!$B$11,
IF(AR274=regle!$C$12,regle!$C$11,
IF(AR274=regle!$D$12,regle!$D$11,
IF(AR274=regle!$E$12,regle!$E$11,
IF(AR274=regle!$F$12,regle!$F$11,
IF(AR274=regle!$G$12,regle!$G$11,
IF(AR274=regle!$H$12,regle!$H$11,
IF(AR274=regle!$I$12,regle!$I$11,""))))))))))</f>
        <v/>
      </c>
      <c r="Y274" t="str">
        <f>IF(NOT($A274),"",
IF(AS274=-2,regle!$J$11,
IF(AS274=regle!$B$12,regle!$B$11,
IF(AS274=regle!$C$12,regle!$C$11,
IF(AS274=regle!$D$12,regle!$D$11,
IF(AS274=regle!$E$12,regle!$E$11,
IF(AS274=regle!$F$12,regle!$F$11,
IF(AS274=regle!$G$12,regle!$G$11,
IF(AS274=regle!$H$12,regle!$H$11,
IF(AS274=regle!$I$12,regle!$I$11,""))))))))))</f>
        <v/>
      </c>
      <c r="Z274" t="str">
        <f>IF(NOT($A274),"",
IF(AT274=-2,regle!$J$11,
IF(AT274=regle!$B$12,regle!$B$11,
IF(AT274=regle!$C$12,regle!$C$11,
IF(AT274=regle!$D$12,regle!$D$11,
IF(AT274=regle!$E$12,regle!$E$11,
IF(AT274=regle!$F$12,regle!$F$11,
IF(AT274=regle!$G$12,regle!$G$11,
IF(AT274=regle!$H$12,regle!$H$11,
IF(AT274=regle!$I$12,regle!$I$11,""))))))))))</f>
        <v/>
      </c>
      <c r="AA274" t="str">
        <f>IF(NOT($A274),"",
IF(AU274=-2,regle!$J$11,
IF(AU274=regle!$B$12,regle!$B$11,
IF(AU274=regle!$C$12,regle!$C$11,
IF(AU274=regle!$D$12,regle!$D$11,
IF(AU274=regle!$E$12,regle!$E$11,
IF(AU274=regle!$F$12,regle!$F$11,
IF(AU274=regle!$G$12,regle!$G$11,
IF(AU274=regle!$H$12,regle!$H$11,
IF(AU274=regle!$I$12,regle!$I$11,""))))))))))</f>
        <v/>
      </c>
      <c r="AB274" t="str">
        <f>IF(NOT($A274),"",
IF(AV274=-2,regle!$J$11,
IF(AV274=regle!$B$12,regle!$B$11,
IF(AV274=regle!$C$12,regle!$C$11,
IF(AV274=regle!$D$12,regle!$D$11,
IF(AV274=regle!$E$12,regle!$E$11,
IF(AV274=regle!$F$12,regle!$F$11,
IF(AV274=regle!$G$12,regle!$G$11,
IF(AV274=regle!$H$12,regle!$H$11,
IF(AV274=regle!$I$12,regle!$I$11,""))))))))))</f>
        <v>EC2</v>
      </c>
      <c r="AC274" t="str">
        <f>IF(NOT($A274),"",
IF(AW274=-2,regle!$J$11,
IF(AW274=regle!$B$12,regle!$B$11,
IF(AW274=regle!$C$12,regle!$C$11,
IF(AW274=regle!$D$12,regle!$D$11,
IF(AW274=regle!$E$12,regle!$E$11,
IF(AW274=regle!$F$12,regle!$F$11,
IF(AW274=regle!$G$12,regle!$G$11,
IF(AW274=regle!$H$12,regle!$H$11,
IF(AW274=regle!$I$12,regle!$I$11,""))))))))))</f>
        <v/>
      </c>
      <c r="AD274" t="str">
        <f>IF(NOT($A274),"",
IF(AX274=-2,regle!$J$11,
IF(AX274=regle!$B$12,regle!$B$11,
IF(AX274=regle!$C$12,regle!$C$11,
IF(AX274=regle!$D$12,regle!$D$11,
IF(AX274=regle!$E$12,regle!$E$11,
IF(AX274=regle!$F$12,regle!$F$11,
IF(AX274=regle!$G$12,regle!$G$11,
IF(AX274=regle!$H$12,regle!$H$11,
IF(AX274=regle!$I$12,regle!$I$11,""))))))))))</f>
        <v/>
      </c>
      <c r="AE274" s="14">
        <f>IF($A274,$M274*(IF(U274=regle!$B$11,regle!$B$23,IF(U274=regle!$C$11,regle!$C$23,IF(U274=regle!$D$11,regle!$D$23,IF(U274=regle!$E$11,regle!$E$23,IF(U274=regle!$F$11,regle!$F$23,IF(U274=regle!$G$11,regle!$G$23,IF(U274=regle!$H$11,regle!$H$23,IF(U274=regle!$I$11,regle!$I$23,IF(U274=regle!$J$11,regle!$J$23,0)))))))))))</f>
        <v>0</v>
      </c>
      <c r="AF274" s="14">
        <f>IF($A274,$M274*(IF(V274=regle!$B$11,regle!$B$23,IF(V274=regle!$C$11,regle!$C$23,IF(V274=regle!$D$11,regle!$D$23,IF(V274=regle!$E$11,regle!$E$23,IF(V274=regle!$F$11,regle!$F$23,IF(V274=regle!$G$11,regle!$G$23,IF(V274=regle!$H$11,regle!$H$23,IF(V274=regle!$I$11,regle!$I$23,IF(V274=regle!$J$11,regle!$J$23,0)))))))))))</f>
        <v>0</v>
      </c>
      <c r="AG274" s="14">
        <f>IF($A274,$M274*(IF(W274=regle!$B$11,regle!$B$23,IF(W274=regle!$C$11,regle!$C$23,IF(W274=regle!$D$11,regle!$D$23,IF(W274=regle!$E$11,regle!$E$23,IF(W274=regle!$F$11,regle!$F$23,IF(W274=regle!$G$11,regle!$G$23,IF(W274=regle!$H$11,regle!$H$23,IF(W274=regle!$I$11,regle!$I$23,IF(W274=regle!$J$11,regle!$J$23,0)))))))))))</f>
        <v>498.81599999999997</v>
      </c>
      <c r="AH274" s="14">
        <f>IF($A274,$M274*(IF(X274=regle!$B$11,regle!$B$23,IF(X274=regle!$C$11,regle!$C$23,IF(X274=regle!$D$11,regle!$D$23,IF(X274=regle!$E$11,regle!$E$23,IF(X274=regle!$F$11,regle!$F$23,IF(X274=regle!$G$11,regle!$G$23,IF(X274=regle!$H$11,regle!$H$23,IF(X274=regle!$I$11,regle!$I$23,IF(X274=regle!$J$11,regle!$J$23,0)))))))))))</f>
        <v>0</v>
      </c>
      <c r="AI274" s="14">
        <f>IF($A274,$M274*(IF(Y274=regle!$B$11,regle!$B$23,IF(Y274=regle!$C$11,regle!$C$23,IF(Y274=regle!$D$11,regle!$D$23,IF(Y274=regle!$E$11,regle!$E$23,IF(Y274=regle!$F$11,regle!$F$23,IF(Y274=regle!$G$11,regle!$G$23,IF(Y274=regle!$H$11,regle!$H$23,IF(Y274=regle!$I$11,regle!$I$23,IF(Y274=regle!$J$11,regle!$J$23,0)))))))))))</f>
        <v>0</v>
      </c>
      <c r="AJ274" s="14">
        <f>IF($A274,$M274*(IF(Z274=regle!$B$11,regle!$B$23,IF(Z274=regle!$C$11,regle!$C$23,IF(Z274=regle!$D$11,regle!$D$23,IF(Z274=regle!$E$11,regle!$E$23,IF(Z274=regle!$F$11,regle!$F$23,IF(Z274=regle!$G$11,regle!$G$23,IF(Z274=regle!$H$11,regle!$H$23,IF(Z274=regle!$I$11,regle!$I$23,IF(Z274=regle!$J$11,regle!$J$23,0)))))))))))</f>
        <v>0</v>
      </c>
      <c r="AK274" s="14">
        <f>IF($A274,$M274*(IF(AA274=regle!$B$11,regle!$B$23,IF(AA274=regle!$C$11,regle!$C$23,IF(AA274=regle!$D$11,regle!$D$23,IF(AA274=regle!$E$11,regle!$E$23,IF(AA274=regle!$F$11,regle!$F$23,IF(AA274=regle!$G$11,regle!$G$23,IF(AA274=regle!$H$11,regle!$H$23,IF(AA274=regle!$I$11,regle!$I$23,IF(AA274=regle!$J$11,regle!$J$23,0)))))))))))</f>
        <v>0</v>
      </c>
      <c r="AL274" s="14">
        <f>IF($A274,$M274*(IF(AB274=regle!$B$11,regle!$B$23,IF(AB274=regle!$C$11,regle!$C$23,IF(AB274=regle!$D$11,regle!$D$23,IF(AB274=regle!$E$11,regle!$E$23,IF(AB274=regle!$F$11,regle!$F$23,IF(AB274=regle!$G$11,regle!$G$23,IF(AB274=regle!$H$11,regle!$H$23,IF(AB274=regle!$I$11,regle!$I$23,IF(AB274=regle!$J$11,regle!$J$23,0)))))))))))</f>
        <v>727.43999999999994</v>
      </c>
      <c r="AM274" s="14">
        <f>IF($A274,$M274*(IF(AC274=regle!$B$11,regle!$B$23,IF(AC274=regle!$C$11,regle!$C$23,IF(AC274=regle!$D$11,regle!$D$23,IF(AC274=regle!$E$11,regle!$E$23,IF(AC274=regle!$F$11,regle!$F$23,IF(AC274=regle!$G$11,regle!$G$23,IF(AC274=regle!$H$11,regle!$H$23,IF(AC274=regle!$I$11,regle!$I$23,IF(AC274=regle!$J$11,regle!$J$23,0)))))))))))</f>
        <v>0</v>
      </c>
      <c r="AN274" s="14">
        <f>IF($A274,$M274*(IF(AD274=regle!$B$11,regle!$B$23,IF(AD274=regle!$C$11,regle!$C$23,IF(AD274=regle!$D$11,regle!$D$23,IF(AD274=regle!$E$11,regle!$E$23,IF(AD274=regle!$F$11,regle!$F$23,IF(AD274=regle!$G$11,regle!$G$23,IF(AD274=regle!$H$11,regle!$H$23,IF(AD274=regle!$I$11,regle!$I$23,IF(AD274=regle!$J$11,regle!$J$23,0)))))))))))</f>
        <v>0</v>
      </c>
      <c r="AO274">
        <f>IF(AO$1=$AO$1,IF(regle!B$2-$Q274&gt;=regle!$J$12,-2,IF($S274,IF(regle!$B$2-$Q274&gt;=2,0,-1),regle!B$2-$Q274)),IF(AN274+1&gt;=regle!$J$12,-2,AN274+1))</f>
        <v>11</v>
      </c>
      <c r="AP274">
        <f>IF(AP$1=$AO$1,IF(regle!C$2-$Q274&gt;=regle!$J$12,-2,IF($S274,IF(regle!$B$2-$Q274&gt;=2,0,-1),regle!C$2-$Q274)),IF(AO274+1&gt;=regle!$J$12,-2,AO274+1))</f>
        <v>12</v>
      </c>
      <c r="AQ274">
        <f>IF(AQ$1=$AO$1,IF(regle!D$2-$Q274&gt;=regle!$J$12,-2,IF($S274,IF(regle!$B$2-$Q274&gt;=2,0,-1),regle!D$2-$Q274)),IF(AP274+1&gt;=regle!$J$12,-2,AP274+1))</f>
        <v>13</v>
      </c>
      <c r="AR274">
        <f>IF(AR$1=$AO$1,IF(regle!E$2-$Q274&gt;=regle!$J$12,-2,IF($S274,IF(regle!$B$2-$Q274&gt;=2,0,-1),regle!E$2-$Q274)),IF(AQ274+1&gt;=regle!$J$12,-2,AQ274+1))</f>
        <v>14</v>
      </c>
      <c r="AS274">
        <f>IF(AS$1=$AO$1,IF(regle!F$2-$Q274&gt;=regle!$J$12,-2,IF($S274,IF(regle!$B$2-$Q274&gt;=2,0,-1),regle!F$2-$Q274)),IF(AR274+1&gt;=regle!$J$12,-2,AR274+1))</f>
        <v>15</v>
      </c>
      <c r="AT274">
        <f>IF(AT$1=$AO$1,IF(regle!G$2-$Q274&gt;=regle!$J$12,-2,IF($S274,IF(regle!$B$2-$Q274&gt;=2,0,-1),regle!G$2-$Q274)),IF(AS274+1&gt;=regle!$J$12,-2,AS274+1))</f>
        <v>16</v>
      </c>
      <c r="AU274">
        <f>IF(AU$1=$AO$1,IF(regle!H$2-$Q274&gt;=regle!$J$12,-2,IF($S274,IF(regle!$B$2-$Q274&gt;=2,0,-1),regle!H$2-$Q274)),IF(AT274+1&gt;=regle!$J$12,-2,AT274+1))</f>
        <v>17</v>
      </c>
      <c r="AV274">
        <f>IF(AV$1=$AO$1,IF(regle!I$2-$Q274&gt;=regle!$J$12,-2,IF($S274,IF(regle!$B$2-$Q274&gt;=2,0,-1),regle!I$2-$Q274)),IF(AU274+1&gt;=regle!$J$12,-2,AU274+1))</f>
        <v>18</v>
      </c>
      <c r="AW274">
        <f>IF(AW$1=$AO$1,IF(regle!J$2-$Q274&gt;=regle!$J$12,-2,IF($S274,IF(regle!$B$2-$Q274&gt;=2,0,-1),regle!J$2-$Q274)),IF(AV274+1&gt;=regle!$J$12,-2,AV274+1))</f>
        <v>19</v>
      </c>
      <c r="AX274">
        <f>IF(AX$1=$AO$1,IF(regle!K$2-$Q274&gt;=regle!$J$12,-2,IF($S274,IF(regle!$B$2-$Q274&gt;=2,0,-1),regle!K$2-$Q274)),IF(AW274+1&gt;=regle!$J$12,-2,AW274+1))</f>
        <v>20</v>
      </c>
    </row>
    <row r="275" spans="1:50" x14ac:dyDescent="0.25">
      <c r="A275" t="b">
        <f>AND(modif0[[#This Row],[cdstr]]&lt;&gt;0,OR(regle!$H$27=FALSE,modif0[[#This Row],[essnc]]="PM"))</f>
        <v>1</v>
      </c>
      <c r="B275">
        <f>ROW(objet!A323)</f>
        <v>323</v>
      </c>
      <c r="C275" s="10" t="str">
        <f>objet!D323</f>
        <v>1710000B0308</v>
      </c>
      <c r="D275" t="str">
        <f>LEFT(modif0[[#This Row],[cdstr]],3)</f>
        <v>171</v>
      </c>
      <c r="E275" s="10" t="str">
        <f>objet!G323</f>
        <v>MANO</v>
      </c>
      <c r="F275">
        <f>LEN(modif0[[#This Row],[l_dt]])</f>
        <v>17</v>
      </c>
      <c r="G275" s="10" t="str">
        <f>objet!H323</f>
        <v>LANDE DE TABARTON</v>
      </c>
      <c r="H275" s="10" t="str">
        <f>objet!C323</f>
        <v>B308j</v>
      </c>
      <c r="I275" t="str">
        <f>IF(ISNUMBER(VALUE(RIGHT(LEFT(modif0[[#This Row],[idntfn]],2),1))),_xlfn.CONCAT(0,LEFT(modif0[[#This Row],[idntfn]],1)),LEFT(modif0[[#This Row],[idntfn]],2))</f>
        <v>0B</v>
      </c>
      <c r="J275">
        <f>VALUE(LEFT(RIGHT(modif0[[#This Row],[idntfn]],LEN(modif0[[#This Row],[idntfn]])-IF(LEFT(modif0[[#This Row],[sctn]],1)="0",1,2)),LEN(modif0[[#This Row],[idntfn]])-IF(LEFT(modif0[[#This Row],[sctn]],1)="0",1,2)-LEN(modif0[[#This Row],[lttr]])))</f>
        <v>308</v>
      </c>
      <c r="K275" t="str">
        <f>IF(ISNUMBER(VALUE(RIGHT(modif0[[#This Row],[idntfn]],1))),"",IF(ISNUMBER(VALUE(LEFT(RIGHT(modif0[[#This Row],[idntfn]],2),1))),RIGHT(modif0[[#This Row],[idntfn]],1),RIGHT(modif0[[#This Row],[idntfn]],2)))</f>
        <v>j</v>
      </c>
      <c r="L275" s="10">
        <f>objet!I323</f>
        <v>8475</v>
      </c>
      <c r="M275" s="11">
        <f>modif0[[#This Row],[srfc]]/10000</f>
        <v>0.84750000000000003</v>
      </c>
      <c r="N275" s="10" t="str">
        <f>objet!Z323</f>
        <v>PM</v>
      </c>
      <c r="O275" s="10" t="str">
        <f>objet!AA323</f>
        <v>CR2022</v>
      </c>
      <c r="P275" t="str">
        <f>IF(ISNUMBER(modif0[[#This Row],[trvx]]),"",LEFT(modif0[[#This Row],[trvx]],LEN(modif0[[#This Row],[trvx]])-4))</f>
        <v>CR</v>
      </c>
      <c r="Q275">
        <f>VALUE(RIGHT(modif0[[#This Row],[trvx]],4))</f>
        <v>2022</v>
      </c>
      <c r="R275" t="str">
        <f>_xlfn.CONCAT(modif0[[#This Row],[tp]],"-",modif0[[#This Row],[essnc]],"_",modif0[[#This Row],[anns]])</f>
        <v>CR-PM_2022</v>
      </c>
      <c r="S275" t="b">
        <f>modif0[[#This Row],[tp]]="CR"</f>
        <v>1</v>
      </c>
      <c r="T275">
        <v>40</v>
      </c>
      <c r="U275" t="str">
        <f>IF(NOT($A275),"",
IF(AO275=-2,regle!$J$11,
IF(AO275=regle!$B$12,regle!$B$11,
IF(AO275=regle!$C$12,regle!$C$11,
IF(AO275=regle!$D$12,regle!$D$11,
IF(AO275=regle!$E$12,regle!$E$11,
IF(AO275=regle!$F$12,regle!$F$11,
IF(AO275=regle!$G$12,regle!$G$11,
IF(AO275=regle!$H$12,regle!$H$11,
IF(AO275=regle!$I$12,regle!$I$11,""))))))))))</f>
        <v>RBST</v>
      </c>
      <c r="V275" t="str">
        <f>IF(NOT($A275),"",
IF(AP275=-2,regle!$J$11,
IF(AP275=regle!$B$12,regle!$B$11,
IF(AP275=regle!$C$12,regle!$C$11,
IF(AP275=regle!$D$12,regle!$D$11,
IF(AP275=regle!$E$12,regle!$E$11,
IF(AP275=regle!$F$12,regle!$F$11,
IF(AP275=regle!$G$12,regle!$G$11,
IF(AP275=regle!$H$12,regle!$H$11,
IF(AP275=regle!$I$12,regle!$I$11,""))))))))))</f>
        <v/>
      </c>
      <c r="W275" t="str">
        <f>IF(NOT($A275),"",
IF(AQ275=-2,regle!$J$11,
IF(AQ275=regle!$B$12,regle!$B$11,
IF(AQ275=regle!$C$12,regle!$C$11,
IF(AQ275=regle!$D$12,regle!$D$11,
IF(AQ275=regle!$E$12,regle!$E$11,
IF(AQ275=regle!$F$12,regle!$F$11,
IF(AQ275=regle!$G$12,regle!$G$11,
IF(AQ275=regle!$H$12,regle!$H$11,
IF(AQ275=regle!$I$12,regle!$I$11,""))))))))))</f>
        <v>DGT</v>
      </c>
      <c r="X275" t="str">
        <f>IF(NOT($A275),"",
IF(AR275=-2,regle!$J$11,
IF(AR275=regle!$B$12,regle!$B$11,
IF(AR275=regle!$C$12,regle!$C$11,
IF(AR275=regle!$D$12,regle!$D$11,
IF(AR275=regle!$E$12,regle!$E$11,
IF(AR275=regle!$F$12,regle!$F$11,
IF(AR275=regle!$G$12,regle!$G$11,
IF(AR275=regle!$H$12,regle!$H$11,
IF(AR275=regle!$I$12,regle!$I$11,""))))))))))</f>
        <v/>
      </c>
      <c r="Y275" t="str">
        <f>IF(NOT($A275),"",
IF(AS275=-2,regle!$J$11,
IF(AS275=regle!$B$12,regle!$B$11,
IF(AS275=regle!$C$12,regle!$C$11,
IF(AS275=regle!$D$12,regle!$D$11,
IF(AS275=regle!$E$12,regle!$E$11,
IF(AS275=regle!$F$12,regle!$F$11,
IF(AS275=regle!$G$12,regle!$G$11,
IF(AS275=regle!$H$12,regle!$H$11,
IF(AS275=regle!$I$12,regle!$I$11,""))))))))))</f>
        <v/>
      </c>
      <c r="Z275" t="str">
        <f>IF(NOT($A275),"",
IF(AT275=-2,regle!$J$11,
IF(AT275=regle!$B$12,regle!$B$11,
IF(AT275=regle!$C$12,regle!$C$11,
IF(AT275=regle!$D$12,regle!$D$11,
IF(AT275=regle!$E$12,regle!$E$11,
IF(AT275=regle!$F$12,regle!$F$11,
IF(AT275=regle!$G$12,regle!$G$11,
IF(AT275=regle!$H$12,regle!$H$11,
IF(AT275=regle!$I$12,regle!$I$11,""))))))))))</f>
        <v>ENT1</v>
      </c>
      <c r="AA275" t="str">
        <f>IF(NOT($A275),"",
IF(AU275=-2,regle!$J$11,
IF(AU275=regle!$B$12,regle!$B$11,
IF(AU275=regle!$C$12,regle!$C$11,
IF(AU275=regle!$D$12,regle!$D$11,
IF(AU275=regle!$E$12,regle!$E$11,
IF(AU275=regle!$F$12,regle!$F$11,
IF(AU275=regle!$G$12,regle!$G$11,
IF(AU275=regle!$H$12,regle!$H$11,
IF(AU275=regle!$I$12,regle!$I$11,""))))))))))</f>
        <v/>
      </c>
      <c r="AB275" t="str">
        <f>IF(NOT($A275),"",
IF(AV275=-2,regle!$J$11,
IF(AV275=regle!$B$12,regle!$B$11,
IF(AV275=regle!$C$12,regle!$C$11,
IF(AV275=regle!$D$12,regle!$D$11,
IF(AV275=regle!$E$12,regle!$E$11,
IF(AV275=regle!$F$12,regle!$F$11,
IF(AV275=regle!$G$12,regle!$G$11,
IF(AV275=regle!$H$12,regle!$H$11,
IF(AV275=regle!$I$12,regle!$I$11,""))))))))))</f>
        <v/>
      </c>
      <c r="AC275" t="str">
        <f>IF(NOT($A275),"",
IF(AW275=-2,regle!$J$11,
IF(AW275=regle!$B$12,regle!$B$11,
IF(AW275=regle!$C$12,regle!$C$11,
IF(AW275=regle!$D$12,regle!$D$11,
IF(AW275=regle!$E$12,regle!$E$11,
IF(AW275=regle!$F$12,regle!$F$11,
IF(AW275=regle!$G$12,regle!$G$11,
IF(AW275=regle!$H$12,regle!$H$11,
IF(AW275=regle!$I$12,regle!$I$11,""))))))))))</f>
        <v>ENT2</v>
      </c>
      <c r="AD275" t="str">
        <f>IF(NOT($A275),"",
IF(AX275=-2,regle!$J$11,
IF(AX275=regle!$B$12,regle!$B$11,
IF(AX275=regle!$C$12,regle!$C$11,
IF(AX275=regle!$D$12,regle!$D$11,
IF(AX275=regle!$E$12,regle!$E$11,
IF(AX275=regle!$F$12,regle!$F$11,
IF(AX275=regle!$G$12,regle!$G$11,
IF(AX275=regle!$H$12,regle!$H$11,
IF(AX275=regle!$I$12,regle!$I$11,""))))))))))</f>
        <v/>
      </c>
      <c r="AE275" s="14">
        <f>IF($A275,$M275*(IF(U275=regle!$B$11,regle!$B$23,IF(U275=regle!$C$11,regle!$C$23,IF(U275=regle!$D$11,regle!$D$23,IF(U275=regle!$E$11,regle!$E$23,IF(U275=regle!$F$11,regle!$F$23,IF(U275=regle!$G$11,regle!$G$23,IF(U275=regle!$H$11,regle!$H$23,IF(U275=regle!$I$11,regle!$I$23,IF(U275=regle!$J$11,regle!$J$23,0)))))))))))</f>
        <v>-1440.75</v>
      </c>
      <c r="AF275" s="14">
        <f>IF($A275,$M275*(IF(V275=regle!$B$11,regle!$B$23,IF(V275=regle!$C$11,regle!$C$23,IF(V275=regle!$D$11,regle!$D$23,IF(V275=regle!$E$11,regle!$E$23,IF(V275=regle!$F$11,regle!$F$23,IF(V275=regle!$G$11,regle!$G$23,IF(V275=regle!$H$11,regle!$H$23,IF(V275=regle!$I$11,regle!$I$23,IF(V275=regle!$J$11,regle!$J$23,0)))))))))))</f>
        <v>0</v>
      </c>
      <c r="AG275" s="14">
        <f>IF($A275,$M275*(IF(W275=regle!$B$11,regle!$B$23,IF(W275=regle!$C$11,regle!$C$23,IF(W275=regle!$D$11,regle!$D$23,IF(W275=regle!$E$11,regle!$E$23,IF(W275=regle!$F$11,regle!$F$23,IF(W275=regle!$G$11,regle!$G$23,IF(W275=regle!$H$11,regle!$H$23,IF(W275=regle!$I$11,regle!$I$23,IF(W275=regle!$J$11,regle!$J$23,0)))))))))))</f>
        <v>-63.5625</v>
      </c>
      <c r="AH275" s="14">
        <f>IF($A275,$M275*(IF(X275=regle!$B$11,regle!$B$23,IF(X275=regle!$C$11,regle!$C$23,IF(X275=regle!$D$11,regle!$D$23,IF(X275=regle!$E$11,regle!$E$23,IF(X275=regle!$F$11,regle!$F$23,IF(X275=regle!$G$11,regle!$G$23,IF(X275=regle!$H$11,regle!$H$23,IF(X275=regle!$I$11,regle!$I$23,IF(X275=regle!$J$11,regle!$J$23,0)))))))))))</f>
        <v>0</v>
      </c>
      <c r="AI275" s="14">
        <f>IF($A275,$M275*(IF(Y275=regle!$B$11,regle!$B$23,IF(Y275=regle!$C$11,regle!$C$23,IF(Y275=regle!$D$11,regle!$D$23,IF(Y275=regle!$E$11,regle!$E$23,IF(Y275=regle!$F$11,regle!$F$23,IF(Y275=regle!$G$11,regle!$G$23,IF(Y275=regle!$H$11,regle!$H$23,IF(Y275=regle!$I$11,regle!$I$23,IF(Y275=regle!$J$11,regle!$J$23,0)))))))))))</f>
        <v>0</v>
      </c>
      <c r="AJ275" s="14">
        <f>IF($A275,$M275*(IF(Z275=regle!$B$11,regle!$B$23,IF(Z275=regle!$C$11,regle!$C$23,IF(Z275=regle!$D$11,regle!$D$23,IF(Z275=regle!$E$11,regle!$E$23,IF(Z275=regle!$F$11,regle!$F$23,IF(Z275=regle!$G$11,regle!$G$23,IF(Z275=regle!$H$11,regle!$H$23,IF(Z275=regle!$I$11,regle!$I$23,IF(Z275=regle!$J$11,regle!$J$23,0)))))))))))</f>
        <v>-76.275000000000006</v>
      </c>
      <c r="AK275" s="14">
        <f>IF($A275,$M275*(IF(AA275=regle!$B$11,regle!$B$23,IF(AA275=regle!$C$11,regle!$C$23,IF(AA275=regle!$D$11,regle!$D$23,IF(AA275=regle!$E$11,regle!$E$23,IF(AA275=regle!$F$11,regle!$F$23,IF(AA275=regle!$G$11,regle!$G$23,IF(AA275=regle!$H$11,regle!$H$23,IF(AA275=regle!$I$11,regle!$I$23,IF(AA275=regle!$J$11,regle!$J$23,0)))))))))))</f>
        <v>0</v>
      </c>
      <c r="AL275" s="14">
        <f>IF($A275,$M275*(IF(AB275=regle!$B$11,regle!$B$23,IF(AB275=regle!$C$11,regle!$C$23,IF(AB275=regle!$D$11,regle!$D$23,IF(AB275=regle!$E$11,regle!$E$23,IF(AB275=regle!$F$11,regle!$F$23,IF(AB275=regle!$G$11,regle!$G$23,IF(AB275=regle!$H$11,regle!$H$23,IF(AB275=regle!$I$11,regle!$I$23,IF(AB275=regle!$J$11,regle!$J$23,0)))))))))))</f>
        <v>0</v>
      </c>
      <c r="AM275" s="14">
        <f>IF($A275,$M275*(IF(AC275=regle!$B$11,regle!$B$23,IF(AC275=regle!$C$11,regle!$C$23,IF(AC275=regle!$D$11,regle!$D$23,IF(AC275=regle!$E$11,regle!$E$23,IF(AC275=regle!$F$11,regle!$F$23,IF(AC275=regle!$G$11,regle!$G$23,IF(AC275=regle!$H$11,regle!$H$23,IF(AC275=regle!$I$11,regle!$I$23,IF(AC275=regle!$J$11,regle!$J$23,0)))))))))))</f>
        <v>-76.275000000000006</v>
      </c>
      <c r="AN275" s="14">
        <f>IF($A275,$M275*(IF(AD275=regle!$B$11,regle!$B$23,IF(AD275=regle!$C$11,regle!$C$23,IF(AD275=regle!$D$11,regle!$D$23,IF(AD275=regle!$E$11,regle!$E$23,IF(AD275=regle!$F$11,regle!$F$23,IF(AD275=regle!$G$11,regle!$G$23,IF(AD275=regle!$H$11,regle!$H$23,IF(AD275=regle!$I$11,regle!$I$23,IF(AD275=regle!$J$11,regle!$J$23,0)))))))))))</f>
        <v>0</v>
      </c>
      <c r="AO275">
        <f>IF(AO$1=$AO$1,IF(regle!B$2-$Q275&gt;=regle!$J$12,-2,IF($S275,IF(regle!$B$2-$Q275&gt;=2,0,-1),regle!B$2-$Q275)),IF(AN275+1&gt;=regle!$J$12,-2,AN275+1))</f>
        <v>0</v>
      </c>
      <c r="AP275">
        <f>IF(AP$1=$AO$1,IF(regle!C$2-$Q275&gt;=regle!$J$12,-2,IF($S275,IF(regle!$B$2-$Q275&gt;=2,0,-1),regle!C$2-$Q275)),IF(AO275+1&gt;=regle!$J$12,-2,AO275+1))</f>
        <v>1</v>
      </c>
      <c r="AQ275">
        <f>IF(AQ$1=$AO$1,IF(regle!D$2-$Q275&gt;=regle!$J$12,-2,IF($S275,IF(regle!$B$2-$Q275&gt;=2,0,-1),regle!D$2-$Q275)),IF(AP275+1&gt;=regle!$J$12,-2,AP275+1))</f>
        <v>2</v>
      </c>
      <c r="AR275">
        <f>IF(AR$1=$AO$1,IF(regle!E$2-$Q275&gt;=regle!$J$12,-2,IF($S275,IF(regle!$B$2-$Q275&gt;=2,0,-1),regle!E$2-$Q275)),IF(AQ275+1&gt;=regle!$J$12,-2,AQ275+1))</f>
        <v>3</v>
      </c>
      <c r="AS275">
        <f>IF(AS$1=$AO$1,IF(regle!F$2-$Q275&gt;=regle!$J$12,-2,IF($S275,IF(regle!$B$2-$Q275&gt;=2,0,-1),regle!F$2-$Q275)),IF(AR275+1&gt;=regle!$J$12,-2,AR275+1))</f>
        <v>4</v>
      </c>
      <c r="AT275">
        <f>IF(AT$1=$AO$1,IF(regle!G$2-$Q275&gt;=regle!$J$12,-2,IF($S275,IF(regle!$B$2-$Q275&gt;=2,0,-1),regle!G$2-$Q275)),IF(AS275+1&gt;=regle!$J$12,-2,AS275+1))</f>
        <v>5</v>
      </c>
      <c r="AU275">
        <f>IF(AU$1=$AO$1,IF(regle!H$2-$Q275&gt;=regle!$J$12,-2,IF($S275,IF(regle!$B$2-$Q275&gt;=2,0,-1),regle!H$2-$Q275)),IF(AT275+1&gt;=regle!$J$12,-2,AT275+1))</f>
        <v>6</v>
      </c>
      <c r="AV275">
        <f>IF(AV$1=$AO$1,IF(regle!I$2-$Q275&gt;=regle!$J$12,-2,IF($S275,IF(regle!$B$2-$Q275&gt;=2,0,-1),regle!I$2-$Q275)),IF(AU275+1&gt;=regle!$J$12,-2,AU275+1))</f>
        <v>7</v>
      </c>
      <c r="AW275">
        <f>IF(AW$1=$AO$1,IF(regle!J$2-$Q275&gt;=regle!$J$12,-2,IF($S275,IF(regle!$B$2-$Q275&gt;=2,0,-1),regle!J$2-$Q275)),IF(AV275+1&gt;=regle!$J$12,-2,AV275+1))</f>
        <v>8</v>
      </c>
      <c r="AX275">
        <f>IF(AX$1=$AO$1,IF(regle!K$2-$Q275&gt;=regle!$J$12,-2,IF($S275,IF(regle!$B$2-$Q275&gt;=2,0,-1),regle!K$2-$Q275)),IF(AW275+1&gt;=regle!$J$12,-2,AW275+1))</f>
        <v>9</v>
      </c>
    </row>
    <row r="276" spans="1:50" x14ac:dyDescent="0.25">
      <c r="A276" t="b">
        <f>AND(modif0[[#This Row],[cdstr]]&lt;&gt;0,OR(regle!$H$27=FALSE,modif0[[#This Row],[essnc]]="PM"))</f>
        <v>1</v>
      </c>
      <c r="B276">
        <f>ROW(objet!A324)</f>
        <v>324</v>
      </c>
      <c r="C276" s="10" t="str">
        <f>objet!D324</f>
        <v>1710000B0308</v>
      </c>
      <c r="D276" t="str">
        <f>LEFT(modif0[[#This Row],[cdstr]],3)</f>
        <v>171</v>
      </c>
      <c r="E276" s="10" t="str">
        <f>objet!G324</f>
        <v>MANO</v>
      </c>
      <c r="F276">
        <f>LEN(modif0[[#This Row],[l_dt]])</f>
        <v>17</v>
      </c>
      <c r="G276" s="10" t="str">
        <f>objet!H324</f>
        <v>LANDE DE TABARTON</v>
      </c>
      <c r="H276" s="10" t="str">
        <f>objet!C324</f>
        <v>B308k</v>
      </c>
      <c r="I276" t="str">
        <f>IF(ISNUMBER(VALUE(RIGHT(LEFT(modif0[[#This Row],[idntfn]],2),1))),_xlfn.CONCAT(0,LEFT(modif0[[#This Row],[idntfn]],1)),LEFT(modif0[[#This Row],[idntfn]],2))</f>
        <v>0B</v>
      </c>
      <c r="J276">
        <f>VALUE(LEFT(RIGHT(modif0[[#This Row],[idntfn]],LEN(modif0[[#This Row],[idntfn]])-IF(LEFT(modif0[[#This Row],[sctn]],1)="0",1,2)),LEN(modif0[[#This Row],[idntfn]])-IF(LEFT(modif0[[#This Row],[sctn]],1)="0",1,2)-LEN(modif0[[#This Row],[lttr]])))</f>
        <v>308</v>
      </c>
      <c r="K276" t="str">
        <f>IF(ISNUMBER(VALUE(RIGHT(modif0[[#This Row],[idntfn]],1))),"",IF(ISNUMBER(VALUE(LEFT(RIGHT(modif0[[#This Row],[idntfn]],2),1))),RIGHT(modif0[[#This Row],[idntfn]],1),RIGHT(modif0[[#This Row],[idntfn]],2)))</f>
        <v>k</v>
      </c>
      <c r="L276" s="10">
        <f>objet!I324</f>
        <v>17929</v>
      </c>
      <c r="M276" s="11">
        <f>modif0[[#This Row],[srfc]]/10000</f>
        <v>1.7928999999999999</v>
      </c>
      <c r="N276" s="10" t="str">
        <f>objet!Z324</f>
        <v>PM</v>
      </c>
      <c r="O276" s="10" t="str">
        <f>objet!AA324</f>
        <v>PLA2013</v>
      </c>
      <c r="P276" t="str">
        <f>IF(ISNUMBER(modif0[[#This Row],[trvx]]),"",LEFT(modif0[[#This Row],[trvx]],LEN(modif0[[#This Row],[trvx]])-4))</f>
        <v>PLA</v>
      </c>
      <c r="Q276">
        <f>VALUE(RIGHT(modif0[[#This Row],[trvx]],4))</f>
        <v>2013</v>
      </c>
      <c r="R276" t="str">
        <f>_xlfn.CONCAT(modif0[[#This Row],[tp]],"-",modif0[[#This Row],[essnc]],"_",modif0[[#This Row],[anns]])</f>
        <v>PLA-PM_2013</v>
      </c>
      <c r="S276" t="b">
        <f>modif0[[#This Row],[tp]]="CR"</f>
        <v>0</v>
      </c>
      <c r="T276">
        <v>40</v>
      </c>
      <c r="U276" t="str">
        <f>IF(NOT($A276),"",
IF(AO276=-2,regle!$J$11,
IF(AO276=regle!$B$12,regle!$B$11,
IF(AO276=regle!$C$12,regle!$C$11,
IF(AO276=regle!$D$12,regle!$D$11,
IF(AO276=regle!$E$12,regle!$E$11,
IF(AO276=regle!$F$12,regle!$F$11,
IF(AO276=regle!$G$12,regle!$G$11,
IF(AO276=regle!$H$12,regle!$H$11,
IF(AO276=regle!$I$12,regle!$I$11,""))))))))))</f>
        <v/>
      </c>
      <c r="V276" t="str">
        <f>IF(NOT($A276),"",
IF(AP276=-2,regle!$J$11,
IF(AP276=regle!$B$12,regle!$B$11,
IF(AP276=regle!$C$12,regle!$C$11,
IF(AP276=regle!$D$12,regle!$D$11,
IF(AP276=regle!$E$12,regle!$E$11,
IF(AP276=regle!$F$12,regle!$F$11,
IF(AP276=regle!$G$12,regle!$G$11,
IF(AP276=regle!$H$12,regle!$H$11,
IF(AP276=regle!$I$12,regle!$I$11,""))))))))))</f>
        <v/>
      </c>
      <c r="W276" t="str">
        <f>IF(NOT($A276),"",
IF(AQ276=-2,regle!$J$11,
IF(AQ276=regle!$B$12,regle!$B$11,
IF(AQ276=regle!$C$12,regle!$C$11,
IF(AQ276=regle!$D$12,regle!$D$11,
IF(AQ276=regle!$E$12,regle!$E$11,
IF(AQ276=regle!$F$12,regle!$F$11,
IF(AQ276=regle!$G$12,regle!$G$11,
IF(AQ276=regle!$H$12,regle!$H$11,
IF(AQ276=regle!$I$12,regle!$I$11,""))))))))))</f>
        <v>EC1</v>
      </c>
      <c r="X276" t="str">
        <f>IF(NOT($A276),"",
IF(AR276=-2,regle!$J$11,
IF(AR276=regle!$B$12,regle!$B$11,
IF(AR276=regle!$C$12,regle!$C$11,
IF(AR276=regle!$D$12,regle!$D$11,
IF(AR276=regle!$E$12,regle!$E$11,
IF(AR276=regle!$F$12,regle!$F$11,
IF(AR276=regle!$G$12,regle!$G$11,
IF(AR276=regle!$H$12,regle!$H$11,
IF(AR276=regle!$I$12,regle!$I$11,""))))))))))</f>
        <v/>
      </c>
      <c r="Y276" t="str">
        <f>IF(NOT($A276),"",
IF(AS276=-2,regle!$J$11,
IF(AS276=regle!$B$12,regle!$B$11,
IF(AS276=regle!$C$12,regle!$C$11,
IF(AS276=regle!$D$12,regle!$D$11,
IF(AS276=regle!$E$12,regle!$E$11,
IF(AS276=regle!$F$12,regle!$F$11,
IF(AS276=regle!$G$12,regle!$G$11,
IF(AS276=regle!$H$12,regle!$H$11,
IF(AS276=regle!$I$12,regle!$I$11,""))))))))))</f>
        <v/>
      </c>
      <c r="Z276" t="str">
        <f>IF(NOT($A276),"",
IF(AT276=-2,regle!$J$11,
IF(AT276=regle!$B$12,regle!$B$11,
IF(AT276=regle!$C$12,regle!$C$11,
IF(AT276=regle!$D$12,regle!$D$11,
IF(AT276=regle!$E$12,regle!$E$11,
IF(AT276=regle!$F$12,regle!$F$11,
IF(AT276=regle!$G$12,regle!$G$11,
IF(AT276=regle!$H$12,regle!$H$11,
IF(AT276=regle!$I$12,regle!$I$11,""))))))))))</f>
        <v/>
      </c>
      <c r="AA276" t="str">
        <f>IF(NOT($A276),"",
IF(AU276=-2,regle!$J$11,
IF(AU276=regle!$B$12,regle!$B$11,
IF(AU276=regle!$C$12,regle!$C$11,
IF(AU276=regle!$D$12,regle!$D$11,
IF(AU276=regle!$E$12,regle!$E$11,
IF(AU276=regle!$F$12,regle!$F$11,
IF(AU276=regle!$G$12,regle!$G$11,
IF(AU276=regle!$H$12,regle!$H$11,
IF(AU276=regle!$I$12,regle!$I$11,""))))))))))</f>
        <v/>
      </c>
      <c r="AB276" t="str">
        <f>IF(NOT($A276),"",
IF(AV276=-2,regle!$J$11,
IF(AV276=regle!$B$12,regle!$B$11,
IF(AV276=regle!$C$12,regle!$C$11,
IF(AV276=regle!$D$12,regle!$D$11,
IF(AV276=regle!$E$12,regle!$E$11,
IF(AV276=regle!$F$12,regle!$F$11,
IF(AV276=regle!$G$12,regle!$G$11,
IF(AV276=regle!$H$12,regle!$H$11,
IF(AV276=regle!$I$12,regle!$I$11,""))))))))))</f>
        <v>EC2</v>
      </c>
      <c r="AC276" t="str">
        <f>IF(NOT($A276),"",
IF(AW276=-2,regle!$J$11,
IF(AW276=regle!$B$12,regle!$B$11,
IF(AW276=regle!$C$12,regle!$C$11,
IF(AW276=regle!$D$12,regle!$D$11,
IF(AW276=regle!$E$12,regle!$E$11,
IF(AW276=regle!$F$12,regle!$F$11,
IF(AW276=regle!$G$12,regle!$G$11,
IF(AW276=regle!$H$12,regle!$H$11,
IF(AW276=regle!$I$12,regle!$I$11,""))))))))))</f>
        <v/>
      </c>
      <c r="AD276" t="str">
        <f>IF(NOT($A276),"",
IF(AX276=-2,regle!$J$11,
IF(AX276=regle!$B$12,regle!$B$11,
IF(AX276=regle!$C$12,regle!$C$11,
IF(AX276=regle!$D$12,regle!$D$11,
IF(AX276=regle!$E$12,regle!$E$11,
IF(AX276=regle!$F$12,regle!$F$11,
IF(AX276=regle!$G$12,regle!$G$11,
IF(AX276=regle!$H$12,regle!$H$11,
IF(AX276=regle!$I$12,regle!$I$11,""))))))))))</f>
        <v/>
      </c>
      <c r="AE276" s="14">
        <f>IF($A276,$M276*(IF(U276=regle!$B$11,regle!$B$23,IF(U276=regle!$C$11,regle!$C$23,IF(U276=regle!$D$11,regle!$D$23,IF(U276=regle!$E$11,regle!$E$23,IF(U276=regle!$F$11,regle!$F$23,IF(U276=regle!$G$11,regle!$G$23,IF(U276=regle!$H$11,regle!$H$23,IF(U276=regle!$I$11,regle!$I$23,IF(U276=regle!$J$11,regle!$J$23,0)))))))))))</f>
        <v>0</v>
      </c>
      <c r="AF276" s="14">
        <f>IF($A276,$M276*(IF(V276=regle!$B$11,regle!$B$23,IF(V276=regle!$C$11,regle!$C$23,IF(V276=regle!$D$11,regle!$D$23,IF(V276=regle!$E$11,regle!$E$23,IF(V276=regle!$F$11,regle!$F$23,IF(V276=regle!$G$11,regle!$G$23,IF(V276=regle!$H$11,regle!$H$23,IF(V276=regle!$I$11,regle!$I$23,IF(V276=regle!$J$11,regle!$J$23,0)))))))))))</f>
        <v>0</v>
      </c>
      <c r="AG276" s="14">
        <f>IF($A276,$M276*(IF(W276=regle!$B$11,regle!$B$23,IF(W276=regle!$C$11,regle!$C$23,IF(W276=regle!$D$11,regle!$D$23,IF(W276=regle!$E$11,regle!$E$23,IF(W276=regle!$F$11,regle!$F$23,IF(W276=regle!$G$11,regle!$G$23,IF(W276=regle!$H$11,regle!$H$23,IF(W276=regle!$I$11,regle!$I$23,IF(W276=regle!$J$11,regle!$J$23,0)))))))))))</f>
        <v>1032.7103999999999</v>
      </c>
      <c r="AH276" s="14">
        <f>IF($A276,$M276*(IF(X276=regle!$B$11,regle!$B$23,IF(X276=regle!$C$11,regle!$C$23,IF(X276=regle!$D$11,regle!$D$23,IF(X276=regle!$E$11,regle!$E$23,IF(X276=regle!$F$11,regle!$F$23,IF(X276=regle!$G$11,regle!$G$23,IF(X276=regle!$H$11,regle!$H$23,IF(X276=regle!$I$11,regle!$I$23,IF(X276=regle!$J$11,regle!$J$23,0)))))))))))</f>
        <v>0</v>
      </c>
      <c r="AI276" s="14">
        <f>IF($A276,$M276*(IF(Y276=regle!$B$11,regle!$B$23,IF(Y276=regle!$C$11,regle!$C$23,IF(Y276=regle!$D$11,regle!$D$23,IF(Y276=regle!$E$11,regle!$E$23,IF(Y276=regle!$F$11,regle!$F$23,IF(Y276=regle!$G$11,regle!$G$23,IF(Y276=regle!$H$11,regle!$H$23,IF(Y276=regle!$I$11,regle!$I$23,IF(Y276=regle!$J$11,regle!$J$23,0)))))))))))</f>
        <v>0</v>
      </c>
      <c r="AJ276" s="14">
        <f>IF($A276,$M276*(IF(Z276=regle!$B$11,regle!$B$23,IF(Z276=regle!$C$11,regle!$C$23,IF(Z276=regle!$D$11,regle!$D$23,IF(Z276=regle!$E$11,regle!$E$23,IF(Z276=regle!$F$11,regle!$F$23,IF(Z276=regle!$G$11,regle!$G$23,IF(Z276=regle!$H$11,regle!$H$23,IF(Z276=regle!$I$11,regle!$I$23,IF(Z276=regle!$J$11,regle!$J$23,0)))))))))))</f>
        <v>0</v>
      </c>
      <c r="AK276" s="14">
        <f>IF($A276,$M276*(IF(AA276=regle!$B$11,regle!$B$23,IF(AA276=regle!$C$11,regle!$C$23,IF(AA276=regle!$D$11,regle!$D$23,IF(AA276=regle!$E$11,regle!$E$23,IF(AA276=regle!$F$11,regle!$F$23,IF(AA276=regle!$G$11,regle!$G$23,IF(AA276=regle!$H$11,regle!$H$23,IF(AA276=regle!$I$11,regle!$I$23,IF(AA276=regle!$J$11,regle!$J$23,0)))))))))))</f>
        <v>0</v>
      </c>
      <c r="AL276" s="14">
        <f>IF($A276,$M276*(IF(AB276=regle!$B$11,regle!$B$23,IF(AB276=regle!$C$11,regle!$C$23,IF(AB276=regle!$D$11,regle!$D$23,IF(AB276=regle!$E$11,regle!$E$23,IF(AB276=regle!$F$11,regle!$F$23,IF(AB276=regle!$G$11,regle!$G$23,IF(AB276=regle!$H$11,regle!$H$23,IF(AB276=regle!$I$11,regle!$I$23,IF(AB276=regle!$J$11,regle!$J$23,0)))))))))))</f>
        <v>1506.0360000000001</v>
      </c>
      <c r="AM276" s="14">
        <f>IF($A276,$M276*(IF(AC276=regle!$B$11,regle!$B$23,IF(AC276=regle!$C$11,regle!$C$23,IF(AC276=regle!$D$11,regle!$D$23,IF(AC276=regle!$E$11,regle!$E$23,IF(AC276=regle!$F$11,regle!$F$23,IF(AC276=regle!$G$11,regle!$G$23,IF(AC276=regle!$H$11,regle!$H$23,IF(AC276=regle!$I$11,regle!$I$23,IF(AC276=regle!$J$11,regle!$J$23,0)))))))))))</f>
        <v>0</v>
      </c>
      <c r="AN276" s="14">
        <f>IF($A276,$M276*(IF(AD276=regle!$B$11,regle!$B$23,IF(AD276=regle!$C$11,regle!$C$23,IF(AD276=regle!$D$11,regle!$D$23,IF(AD276=regle!$E$11,regle!$E$23,IF(AD276=regle!$F$11,regle!$F$23,IF(AD276=regle!$G$11,regle!$G$23,IF(AD276=regle!$H$11,regle!$H$23,IF(AD276=regle!$I$11,regle!$I$23,IF(AD276=regle!$J$11,regle!$J$23,0)))))))))))</f>
        <v>0</v>
      </c>
      <c r="AO276">
        <f>IF(AO$1=$AO$1,IF(regle!B$2-$Q276&gt;=regle!$J$12,-2,IF($S276,IF(regle!$B$2-$Q276&gt;=2,0,-1),regle!B$2-$Q276)),IF(AN276+1&gt;=regle!$J$12,-2,AN276+1))</f>
        <v>11</v>
      </c>
      <c r="AP276">
        <f>IF(AP$1=$AO$1,IF(regle!C$2-$Q276&gt;=regle!$J$12,-2,IF($S276,IF(regle!$B$2-$Q276&gt;=2,0,-1),regle!C$2-$Q276)),IF(AO276+1&gt;=regle!$J$12,-2,AO276+1))</f>
        <v>12</v>
      </c>
      <c r="AQ276">
        <f>IF(AQ$1=$AO$1,IF(regle!D$2-$Q276&gt;=regle!$J$12,-2,IF($S276,IF(regle!$B$2-$Q276&gt;=2,0,-1),regle!D$2-$Q276)),IF(AP276+1&gt;=regle!$J$12,-2,AP276+1))</f>
        <v>13</v>
      </c>
      <c r="AR276">
        <f>IF(AR$1=$AO$1,IF(regle!E$2-$Q276&gt;=regle!$J$12,-2,IF($S276,IF(regle!$B$2-$Q276&gt;=2,0,-1),regle!E$2-$Q276)),IF(AQ276+1&gt;=regle!$J$12,-2,AQ276+1))</f>
        <v>14</v>
      </c>
      <c r="AS276">
        <f>IF(AS$1=$AO$1,IF(regle!F$2-$Q276&gt;=regle!$J$12,-2,IF($S276,IF(regle!$B$2-$Q276&gt;=2,0,-1),regle!F$2-$Q276)),IF(AR276+1&gt;=regle!$J$12,-2,AR276+1))</f>
        <v>15</v>
      </c>
      <c r="AT276">
        <f>IF(AT$1=$AO$1,IF(regle!G$2-$Q276&gt;=regle!$J$12,-2,IF($S276,IF(regle!$B$2-$Q276&gt;=2,0,-1),regle!G$2-$Q276)),IF(AS276+1&gt;=regle!$J$12,-2,AS276+1))</f>
        <v>16</v>
      </c>
      <c r="AU276">
        <f>IF(AU$1=$AO$1,IF(regle!H$2-$Q276&gt;=regle!$J$12,-2,IF($S276,IF(regle!$B$2-$Q276&gt;=2,0,-1),regle!H$2-$Q276)),IF(AT276+1&gt;=regle!$J$12,-2,AT276+1))</f>
        <v>17</v>
      </c>
      <c r="AV276">
        <f>IF(AV$1=$AO$1,IF(regle!I$2-$Q276&gt;=regle!$J$12,-2,IF($S276,IF(regle!$B$2-$Q276&gt;=2,0,-1),regle!I$2-$Q276)),IF(AU276+1&gt;=regle!$J$12,-2,AU276+1))</f>
        <v>18</v>
      </c>
      <c r="AW276">
        <f>IF(AW$1=$AO$1,IF(regle!J$2-$Q276&gt;=regle!$J$12,-2,IF($S276,IF(regle!$B$2-$Q276&gt;=2,0,-1),regle!J$2-$Q276)),IF(AV276+1&gt;=regle!$J$12,-2,AV276+1))</f>
        <v>19</v>
      </c>
      <c r="AX276">
        <f>IF(AX$1=$AO$1,IF(regle!K$2-$Q276&gt;=regle!$J$12,-2,IF($S276,IF(regle!$B$2-$Q276&gt;=2,0,-1),regle!K$2-$Q276)),IF(AW276+1&gt;=regle!$J$12,-2,AW276+1))</f>
        <v>20</v>
      </c>
    </row>
    <row r="277" spans="1:50" x14ac:dyDescent="0.25">
      <c r="A277" t="b">
        <f>AND(modif0[[#This Row],[cdstr]]&lt;&gt;0,OR(regle!$H$27=FALSE,modif0[[#This Row],[essnc]]="PM"))</f>
        <v>1</v>
      </c>
      <c r="B277">
        <f>ROW(objet!A325)</f>
        <v>325</v>
      </c>
      <c r="C277" s="10" t="str">
        <f>objet!D325</f>
        <v>1710000B0309</v>
      </c>
      <c r="D277" t="str">
        <f>LEFT(modif0[[#This Row],[cdstr]],3)</f>
        <v>171</v>
      </c>
      <c r="E277" s="10" t="str">
        <f>objet!G325</f>
        <v>MANO</v>
      </c>
      <c r="F277">
        <f>LEN(modif0[[#This Row],[l_dt]])</f>
        <v>17</v>
      </c>
      <c r="G277" s="10" t="str">
        <f>objet!H325</f>
        <v>LANDE DE TABARTON</v>
      </c>
      <c r="H277" s="10" t="str">
        <f>objet!C325</f>
        <v>B309</v>
      </c>
      <c r="I277" t="str">
        <f>IF(ISNUMBER(VALUE(RIGHT(LEFT(modif0[[#This Row],[idntfn]],2),1))),_xlfn.CONCAT(0,LEFT(modif0[[#This Row],[idntfn]],1)),LEFT(modif0[[#This Row],[idntfn]],2))</f>
        <v>0B</v>
      </c>
      <c r="J277">
        <f>VALUE(LEFT(RIGHT(modif0[[#This Row],[idntfn]],LEN(modif0[[#This Row],[idntfn]])-IF(LEFT(modif0[[#This Row],[sctn]],1)="0",1,2)),LEN(modif0[[#This Row],[idntfn]])-IF(LEFT(modif0[[#This Row],[sctn]],1)="0",1,2)-LEN(modif0[[#This Row],[lttr]])))</f>
        <v>309</v>
      </c>
      <c r="K277" t="str">
        <f>IF(ISNUMBER(VALUE(RIGHT(modif0[[#This Row],[idntfn]],1))),"",IF(ISNUMBER(VALUE(LEFT(RIGHT(modif0[[#This Row],[idntfn]],2),1))),RIGHT(modif0[[#This Row],[idntfn]],1),RIGHT(modif0[[#This Row],[idntfn]],2)))</f>
        <v/>
      </c>
      <c r="L277" s="10">
        <f>objet!I325</f>
        <v>16930</v>
      </c>
      <c r="M277" s="11">
        <f>modif0[[#This Row],[srfc]]/10000</f>
        <v>1.6930000000000001</v>
      </c>
      <c r="N277" s="10" t="str">
        <f>objet!Z325</f>
        <v>PM</v>
      </c>
      <c r="O277" s="10" t="str">
        <f>objet!AA325</f>
        <v>CR2022</v>
      </c>
      <c r="P277" t="str">
        <f>IF(ISNUMBER(modif0[[#This Row],[trvx]]),"",LEFT(modif0[[#This Row],[trvx]],LEN(modif0[[#This Row],[trvx]])-4))</f>
        <v>CR</v>
      </c>
      <c r="Q277">
        <f>VALUE(RIGHT(modif0[[#This Row],[trvx]],4))</f>
        <v>2022</v>
      </c>
      <c r="R277" t="str">
        <f>_xlfn.CONCAT(modif0[[#This Row],[tp]],"-",modif0[[#This Row],[essnc]],"_",modif0[[#This Row],[anns]])</f>
        <v>CR-PM_2022</v>
      </c>
      <c r="S277" t="b">
        <f>modif0[[#This Row],[tp]]="CR"</f>
        <v>1</v>
      </c>
      <c r="T277">
        <v>40</v>
      </c>
      <c r="U277" t="str">
        <f>IF(NOT($A277),"",
IF(AO277=-2,regle!$J$11,
IF(AO277=regle!$B$12,regle!$B$11,
IF(AO277=regle!$C$12,regle!$C$11,
IF(AO277=regle!$D$12,regle!$D$11,
IF(AO277=regle!$E$12,regle!$E$11,
IF(AO277=regle!$F$12,regle!$F$11,
IF(AO277=regle!$G$12,regle!$G$11,
IF(AO277=regle!$H$12,regle!$H$11,
IF(AO277=regle!$I$12,regle!$I$11,""))))))))))</f>
        <v>RBST</v>
      </c>
      <c r="V277" t="str">
        <f>IF(NOT($A277),"",
IF(AP277=-2,regle!$J$11,
IF(AP277=regle!$B$12,regle!$B$11,
IF(AP277=regle!$C$12,regle!$C$11,
IF(AP277=regle!$D$12,regle!$D$11,
IF(AP277=regle!$E$12,regle!$E$11,
IF(AP277=regle!$F$12,regle!$F$11,
IF(AP277=regle!$G$12,regle!$G$11,
IF(AP277=regle!$H$12,regle!$H$11,
IF(AP277=regle!$I$12,regle!$I$11,""))))))))))</f>
        <v/>
      </c>
      <c r="W277" t="str">
        <f>IF(NOT($A277),"",
IF(AQ277=-2,regle!$J$11,
IF(AQ277=regle!$B$12,regle!$B$11,
IF(AQ277=regle!$C$12,regle!$C$11,
IF(AQ277=regle!$D$12,regle!$D$11,
IF(AQ277=regle!$E$12,regle!$E$11,
IF(AQ277=regle!$F$12,regle!$F$11,
IF(AQ277=regle!$G$12,regle!$G$11,
IF(AQ277=regle!$H$12,regle!$H$11,
IF(AQ277=regle!$I$12,regle!$I$11,""))))))))))</f>
        <v>DGT</v>
      </c>
      <c r="X277" t="str">
        <f>IF(NOT($A277),"",
IF(AR277=-2,regle!$J$11,
IF(AR277=regle!$B$12,regle!$B$11,
IF(AR277=regle!$C$12,regle!$C$11,
IF(AR277=regle!$D$12,regle!$D$11,
IF(AR277=regle!$E$12,regle!$E$11,
IF(AR277=regle!$F$12,regle!$F$11,
IF(AR277=regle!$G$12,regle!$G$11,
IF(AR277=regle!$H$12,regle!$H$11,
IF(AR277=regle!$I$12,regle!$I$11,""))))))))))</f>
        <v/>
      </c>
      <c r="Y277" t="str">
        <f>IF(NOT($A277),"",
IF(AS277=-2,regle!$J$11,
IF(AS277=regle!$B$12,regle!$B$11,
IF(AS277=regle!$C$12,regle!$C$11,
IF(AS277=regle!$D$12,regle!$D$11,
IF(AS277=regle!$E$12,regle!$E$11,
IF(AS277=regle!$F$12,regle!$F$11,
IF(AS277=regle!$G$12,regle!$G$11,
IF(AS277=regle!$H$12,regle!$H$11,
IF(AS277=regle!$I$12,regle!$I$11,""))))))))))</f>
        <v/>
      </c>
      <c r="Z277" t="str">
        <f>IF(NOT($A277),"",
IF(AT277=-2,regle!$J$11,
IF(AT277=regle!$B$12,regle!$B$11,
IF(AT277=regle!$C$12,regle!$C$11,
IF(AT277=regle!$D$12,regle!$D$11,
IF(AT277=regle!$E$12,regle!$E$11,
IF(AT277=regle!$F$12,regle!$F$11,
IF(AT277=regle!$G$12,regle!$G$11,
IF(AT277=regle!$H$12,regle!$H$11,
IF(AT277=regle!$I$12,regle!$I$11,""))))))))))</f>
        <v>ENT1</v>
      </c>
      <c r="AA277" t="str">
        <f>IF(NOT($A277),"",
IF(AU277=-2,regle!$J$11,
IF(AU277=regle!$B$12,regle!$B$11,
IF(AU277=regle!$C$12,regle!$C$11,
IF(AU277=regle!$D$12,regle!$D$11,
IF(AU277=regle!$E$12,regle!$E$11,
IF(AU277=regle!$F$12,regle!$F$11,
IF(AU277=regle!$G$12,regle!$G$11,
IF(AU277=regle!$H$12,regle!$H$11,
IF(AU277=regle!$I$12,regle!$I$11,""))))))))))</f>
        <v/>
      </c>
      <c r="AB277" t="str">
        <f>IF(NOT($A277),"",
IF(AV277=-2,regle!$J$11,
IF(AV277=regle!$B$12,regle!$B$11,
IF(AV277=regle!$C$12,regle!$C$11,
IF(AV277=regle!$D$12,regle!$D$11,
IF(AV277=regle!$E$12,regle!$E$11,
IF(AV277=regle!$F$12,regle!$F$11,
IF(AV277=regle!$G$12,regle!$G$11,
IF(AV277=regle!$H$12,regle!$H$11,
IF(AV277=regle!$I$12,regle!$I$11,""))))))))))</f>
        <v/>
      </c>
      <c r="AC277" t="str">
        <f>IF(NOT($A277),"",
IF(AW277=-2,regle!$J$11,
IF(AW277=regle!$B$12,regle!$B$11,
IF(AW277=regle!$C$12,regle!$C$11,
IF(AW277=regle!$D$12,regle!$D$11,
IF(AW277=regle!$E$12,regle!$E$11,
IF(AW277=regle!$F$12,regle!$F$11,
IF(AW277=regle!$G$12,regle!$G$11,
IF(AW277=regle!$H$12,regle!$H$11,
IF(AW277=regle!$I$12,regle!$I$11,""))))))))))</f>
        <v>ENT2</v>
      </c>
      <c r="AD277" t="str">
        <f>IF(NOT($A277),"",
IF(AX277=-2,regle!$J$11,
IF(AX277=regle!$B$12,regle!$B$11,
IF(AX277=regle!$C$12,regle!$C$11,
IF(AX277=regle!$D$12,regle!$D$11,
IF(AX277=regle!$E$12,regle!$E$11,
IF(AX277=regle!$F$12,regle!$F$11,
IF(AX277=regle!$G$12,regle!$G$11,
IF(AX277=regle!$H$12,regle!$H$11,
IF(AX277=regle!$I$12,regle!$I$11,""))))))))))</f>
        <v/>
      </c>
      <c r="AE277" s="14">
        <f>IF($A277,$M277*(IF(U277=regle!$B$11,regle!$B$23,IF(U277=regle!$C$11,regle!$C$23,IF(U277=regle!$D$11,regle!$D$23,IF(U277=regle!$E$11,regle!$E$23,IF(U277=regle!$F$11,regle!$F$23,IF(U277=regle!$G$11,regle!$G$23,IF(U277=regle!$H$11,regle!$H$23,IF(U277=regle!$I$11,regle!$I$23,IF(U277=regle!$J$11,regle!$J$23,0)))))))))))</f>
        <v>-2878.1</v>
      </c>
      <c r="AF277" s="14">
        <f>IF($A277,$M277*(IF(V277=regle!$B$11,regle!$B$23,IF(V277=regle!$C$11,regle!$C$23,IF(V277=regle!$D$11,regle!$D$23,IF(V277=regle!$E$11,regle!$E$23,IF(V277=regle!$F$11,regle!$F$23,IF(V277=regle!$G$11,regle!$G$23,IF(V277=regle!$H$11,regle!$H$23,IF(V277=regle!$I$11,regle!$I$23,IF(V277=regle!$J$11,regle!$J$23,0)))))))))))</f>
        <v>0</v>
      </c>
      <c r="AG277" s="14">
        <f>IF($A277,$M277*(IF(W277=regle!$B$11,regle!$B$23,IF(W277=regle!$C$11,regle!$C$23,IF(W277=regle!$D$11,regle!$D$23,IF(W277=regle!$E$11,regle!$E$23,IF(W277=regle!$F$11,regle!$F$23,IF(W277=regle!$G$11,regle!$G$23,IF(W277=regle!$H$11,regle!$H$23,IF(W277=regle!$I$11,regle!$I$23,IF(W277=regle!$J$11,regle!$J$23,0)))))))))))</f>
        <v>-126.97500000000001</v>
      </c>
      <c r="AH277" s="14">
        <f>IF($A277,$M277*(IF(X277=regle!$B$11,regle!$B$23,IF(X277=regle!$C$11,regle!$C$23,IF(X277=regle!$D$11,regle!$D$23,IF(X277=regle!$E$11,regle!$E$23,IF(X277=regle!$F$11,regle!$F$23,IF(X277=regle!$G$11,regle!$G$23,IF(X277=regle!$H$11,regle!$H$23,IF(X277=regle!$I$11,regle!$I$23,IF(X277=regle!$J$11,regle!$J$23,0)))))))))))</f>
        <v>0</v>
      </c>
      <c r="AI277" s="14">
        <f>IF($A277,$M277*(IF(Y277=regle!$B$11,regle!$B$23,IF(Y277=regle!$C$11,regle!$C$23,IF(Y277=regle!$D$11,regle!$D$23,IF(Y277=regle!$E$11,regle!$E$23,IF(Y277=regle!$F$11,regle!$F$23,IF(Y277=regle!$G$11,regle!$G$23,IF(Y277=regle!$H$11,regle!$H$23,IF(Y277=regle!$I$11,regle!$I$23,IF(Y277=regle!$J$11,regle!$J$23,0)))))))))))</f>
        <v>0</v>
      </c>
      <c r="AJ277" s="14">
        <f>IF($A277,$M277*(IF(Z277=regle!$B$11,regle!$B$23,IF(Z277=regle!$C$11,regle!$C$23,IF(Z277=regle!$D$11,regle!$D$23,IF(Z277=regle!$E$11,regle!$E$23,IF(Z277=regle!$F$11,regle!$F$23,IF(Z277=regle!$G$11,regle!$G$23,IF(Z277=regle!$H$11,regle!$H$23,IF(Z277=regle!$I$11,regle!$I$23,IF(Z277=regle!$J$11,regle!$J$23,0)))))))))))</f>
        <v>-152.37</v>
      </c>
      <c r="AK277" s="14">
        <f>IF($A277,$M277*(IF(AA277=regle!$B$11,regle!$B$23,IF(AA277=regle!$C$11,regle!$C$23,IF(AA277=regle!$D$11,regle!$D$23,IF(AA277=regle!$E$11,regle!$E$23,IF(AA277=regle!$F$11,regle!$F$23,IF(AA277=regle!$G$11,regle!$G$23,IF(AA277=regle!$H$11,regle!$H$23,IF(AA277=regle!$I$11,regle!$I$23,IF(AA277=regle!$J$11,regle!$J$23,0)))))))))))</f>
        <v>0</v>
      </c>
      <c r="AL277" s="14">
        <f>IF($A277,$M277*(IF(AB277=regle!$B$11,regle!$B$23,IF(AB277=regle!$C$11,regle!$C$23,IF(AB277=regle!$D$11,regle!$D$23,IF(AB277=regle!$E$11,regle!$E$23,IF(AB277=regle!$F$11,regle!$F$23,IF(AB277=regle!$G$11,regle!$G$23,IF(AB277=regle!$H$11,regle!$H$23,IF(AB277=regle!$I$11,regle!$I$23,IF(AB277=regle!$J$11,regle!$J$23,0)))))))))))</f>
        <v>0</v>
      </c>
      <c r="AM277" s="14">
        <f>IF($A277,$M277*(IF(AC277=regle!$B$11,regle!$B$23,IF(AC277=regle!$C$11,regle!$C$23,IF(AC277=regle!$D$11,regle!$D$23,IF(AC277=regle!$E$11,regle!$E$23,IF(AC277=regle!$F$11,regle!$F$23,IF(AC277=regle!$G$11,regle!$G$23,IF(AC277=regle!$H$11,regle!$H$23,IF(AC277=regle!$I$11,regle!$I$23,IF(AC277=regle!$J$11,regle!$J$23,0)))))))))))</f>
        <v>-152.37</v>
      </c>
      <c r="AN277" s="14">
        <f>IF($A277,$M277*(IF(AD277=regle!$B$11,regle!$B$23,IF(AD277=regle!$C$11,regle!$C$23,IF(AD277=regle!$D$11,regle!$D$23,IF(AD277=regle!$E$11,regle!$E$23,IF(AD277=regle!$F$11,regle!$F$23,IF(AD277=regle!$G$11,regle!$G$23,IF(AD277=regle!$H$11,regle!$H$23,IF(AD277=regle!$I$11,regle!$I$23,IF(AD277=regle!$J$11,regle!$J$23,0)))))))))))</f>
        <v>0</v>
      </c>
      <c r="AO277">
        <f>IF(AO$1=$AO$1,IF(regle!B$2-$Q277&gt;=regle!$J$12,-2,IF($S277,IF(regle!$B$2-$Q277&gt;=2,0,-1),regle!B$2-$Q277)),IF(AN277+1&gt;=regle!$J$12,-2,AN277+1))</f>
        <v>0</v>
      </c>
      <c r="AP277">
        <f>IF(AP$1=$AO$1,IF(regle!C$2-$Q277&gt;=regle!$J$12,-2,IF($S277,IF(regle!$B$2-$Q277&gt;=2,0,-1),regle!C$2-$Q277)),IF(AO277+1&gt;=regle!$J$12,-2,AO277+1))</f>
        <v>1</v>
      </c>
      <c r="AQ277">
        <f>IF(AQ$1=$AO$1,IF(regle!D$2-$Q277&gt;=regle!$J$12,-2,IF($S277,IF(regle!$B$2-$Q277&gt;=2,0,-1),regle!D$2-$Q277)),IF(AP277+1&gt;=regle!$J$12,-2,AP277+1))</f>
        <v>2</v>
      </c>
      <c r="AR277">
        <f>IF(AR$1=$AO$1,IF(regle!E$2-$Q277&gt;=regle!$J$12,-2,IF($S277,IF(regle!$B$2-$Q277&gt;=2,0,-1),regle!E$2-$Q277)),IF(AQ277+1&gt;=regle!$J$12,-2,AQ277+1))</f>
        <v>3</v>
      </c>
      <c r="AS277">
        <f>IF(AS$1=$AO$1,IF(regle!F$2-$Q277&gt;=regle!$J$12,-2,IF($S277,IF(regle!$B$2-$Q277&gt;=2,0,-1),regle!F$2-$Q277)),IF(AR277+1&gt;=regle!$J$12,-2,AR277+1))</f>
        <v>4</v>
      </c>
      <c r="AT277">
        <f>IF(AT$1=$AO$1,IF(regle!G$2-$Q277&gt;=regle!$J$12,-2,IF($S277,IF(regle!$B$2-$Q277&gt;=2,0,-1),regle!G$2-$Q277)),IF(AS277+1&gt;=regle!$J$12,-2,AS277+1))</f>
        <v>5</v>
      </c>
      <c r="AU277">
        <f>IF(AU$1=$AO$1,IF(regle!H$2-$Q277&gt;=regle!$J$12,-2,IF($S277,IF(regle!$B$2-$Q277&gt;=2,0,-1),regle!H$2-$Q277)),IF(AT277+1&gt;=regle!$J$12,-2,AT277+1))</f>
        <v>6</v>
      </c>
      <c r="AV277">
        <f>IF(AV$1=$AO$1,IF(regle!I$2-$Q277&gt;=regle!$J$12,-2,IF($S277,IF(regle!$B$2-$Q277&gt;=2,0,-1),regle!I$2-$Q277)),IF(AU277+1&gt;=regle!$J$12,-2,AU277+1))</f>
        <v>7</v>
      </c>
      <c r="AW277">
        <f>IF(AW$1=$AO$1,IF(regle!J$2-$Q277&gt;=regle!$J$12,-2,IF($S277,IF(regle!$B$2-$Q277&gt;=2,0,-1),regle!J$2-$Q277)),IF(AV277+1&gt;=regle!$J$12,-2,AV277+1))</f>
        <v>8</v>
      </c>
      <c r="AX277">
        <f>IF(AX$1=$AO$1,IF(regle!K$2-$Q277&gt;=regle!$J$12,-2,IF($S277,IF(regle!$B$2-$Q277&gt;=2,0,-1),regle!K$2-$Q277)),IF(AW277+1&gt;=regle!$J$12,-2,AW277+1))</f>
        <v>9</v>
      </c>
    </row>
    <row r="278" spans="1:50" x14ac:dyDescent="0.25">
      <c r="A278" t="b">
        <f>AND(modif0[[#This Row],[cdstr]]&lt;&gt;0,OR(regle!$H$27=FALSE,modif0[[#This Row],[essnc]]="PM"))</f>
        <v>1</v>
      </c>
      <c r="B278">
        <f>ROW(objet!A326)</f>
        <v>326</v>
      </c>
      <c r="C278" s="10" t="str">
        <f>objet!D326</f>
        <v>1710000B0310</v>
      </c>
      <c r="D278" t="str">
        <f>LEFT(modif0[[#This Row],[cdstr]],3)</f>
        <v>171</v>
      </c>
      <c r="E278" s="10" t="str">
        <f>objet!G326</f>
        <v>MANO</v>
      </c>
      <c r="F278">
        <f>LEN(modif0[[#This Row],[l_dt]])</f>
        <v>17</v>
      </c>
      <c r="G278" s="10" t="str">
        <f>objet!H326</f>
        <v>LANDE DE TABARTON</v>
      </c>
      <c r="H278" s="10" t="str">
        <f>objet!C326</f>
        <v>B310</v>
      </c>
      <c r="I278" t="str">
        <f>IF(ISNUMBER(VALUE(RIGHT(LEFT(modif0[[#This Row],[idntfn]],2),1))),_xlfn.CONCAT(0,LEFT(modif0[[#This Row],[idntfn]],1)),LEFT(modif0[[#This Row],[idntfn]],2))</f>
        <v>0B</v>
      </c>
      <c r="J278">
        <f>VALUE(LEFT(RIGHT(modif0[[#This Row],[idntfn]],LEN(modif0[[#This Row],[idntfn]])-IF(LEFT(modif0[[#This Row],[sctn]],1)="0",1,2)),LEN(modif0[[#This Row],[idntfn]])-IF(LEFT(modif0[[#This Row],[sctn]],1)="0",1,2)-LEN(modif0[[#This Row],[lttr]])))</f>
        <v>310</v>
      </c>
      <c r="K278" t="str">
        <f>IF(ISNUMBER(VALUE(RIGHT(modif0[[#This Row],[idntfn]],1))),"",IF(ISNUMBER(VALUE(LEFT(RIGHT(modif0[[#This Row],[idntfn]],2),1))),RIGHT(modif0[[#This Row],[idntfn]],1),RIGHT(modif0[[#This Row],[idntfn]],2)))</f>
        <v/>
      </c>
      <c r="L278" s="10">
        <f>objet!I326</f>
        <v>10870</v>
      </c>
      <c r="M278" s="11">
        <f>modif0[[#This Row],[srfc]]/10000</f>
        <v>1.087</v>
      </c>
      <c r="N278" s="10" t="str">
        <f>objet!Z326</f>
        <v>PM</v>
      </c>
      <c r="O278" s="10" t="str">
        <f>objet!AA326</f>
        <v>CR2022</v>
      </c>
      <c r="P278" t="str">
        <f>IF(ISNUMBER(modif0[[#This Row],[trvx]]),"",LEFT(modif0[[#This Row],[trvx]],LEN(modif0[[#This Row],[trvx]])-4))</f>
        <v>CR</v>
      </c>
      <c r="Q278">
        <f>VALUE(RIGHT(modif0[[#This Row],[trvx]],4))</f>
        <v>2022</v>
      </c>
      <c r="R278" t="str">
        <f>_xlfn.CONCAT(modif0[[#This Row],[tp]],"-",modif0[[#This Row],[essnc]],"_",modif0[[#This Row],[anns]])</f>
        <v>CR-PM_2022</v>
      </c>
      <c r="S278" t="b">
        <f>modif0[[#This Row],[tp]]="CR"</f>
        <v>1</v>
      </c>
      <c r="T278">
        <v>40</v>
      </c>
      <c r="U278" t="str">
        <f>IF(NOT($A278),"",
IF(AO278=-2,regle!$J$11,
IF(AO278=regle!$B$12,regle!$B$11,
IF(AO278=regle!$C$12,regle!$C$11,
IF(AO278=regle!$D$12,regle!$D$11,
IF(AO278=regle!$E$12,regle!$E$11,
IF(AO278=regle!$F$12,regle!$F$11,
IF(AO278=regle!$G$12,regle!$G$11,
IF(AO278=regle!$H$12,regle!$H$11,
IF(AO278=regle!$I$12,regle!$I$11,""))))))))))</f>
        <v>RBST</v>
      </c>
      <c r="V278" t="str">
        <f>IF(NOT($A278),"",
IF(AP278=-2,regle!$J$11,
IF(AP278=regle!$B$12,regle!$B$11,
IF(AP278=regle!$C$12,regle!$C$11,
IF(AP278=regle!$D$12,regle!$D$11,
IF(AP278=regle!$E$12,regle!$E$11,
IF(AP278=regle!$F$12,regle!$F$11,
IF(AP278=regle!$G$12,regle!$G$11,
IF(AP278=regle!$H$12,regle!$H$11,
IF(AP278=regle!$I$12,regle!$I$11,""))))))))))</f>
        <v/>
      </c>
      <c r="W278" t="str">
        <f>IF(NOT($A278),"",
IF(AQ278=-2,regle!$J$11,
IF(AQ278=regle!$B$12,regle!$B$11,
IF(AQ278=regle!$C$12,regle!$C$11,
IF(AQ278=regle!$D$12,regle!$D$11,
IF(AQ278=regle!$E$12,regle!$E$11,
IF(AQ278=regle!$F$12,regle!$F$11,
IF(AQ278=regle!$G$12,regle!$G$11,
IF(AQ278=regle!$H$12,regle!$H$11,
IF(AQ278=regle!$I$12,regle!$I$11,""))))))))))</f>
        <v>DGT</v>
      </c>
      <c r="X278" t="str">
        <f>IF(NOT($A278),"",
IF(AR278=-2,regle!$J$11,
IF(AR278=regle!$B$12,regle!$B$11,
IF(AR278=regle!$C$12,regle!$C$11,
IF(AR278=regle!$D$12,regle!$D$11,
IF(AR278=regle!$E$12,regle!$E$11,
IF(AR278=regle!$F$12,regle!$F$11,
IF(AR278=regle!$G$12,regle!$G$11,
IF(AR278=regle!$H$12,regle!$H$11,
IF(AR278=regle!$I$12,regle!$I$11,""))))))))))</f>
        <v/>
      </c>
      <c r="Y278" t="str">
        <f>IF(NOT($A278),"",
IF(AS278=-2,regle!$J$11,
IF(AS278=regle!$B$12,regle!$B$11,
IF(AS278=regle!$C$12,regle!$C$11,
IF(AS278=regle!$D$12,regle!$D$11,
IF(AS278=regle!$E$12,regle!$E$11,
IF(AS278=regle!$F$12,regle!$F$11,
IF(AS278=regle!$G$12,regle!$G$11,
IF(AS278=regle!$H$12,regle!$H$11,
IF(AS278=regle!$I$12,regle!$I$11,""))))))))))</f>
        <v/>
      </c>
      <c r="Z278" t="str">
        <f>IF(NOT($A278),"",
IF(AT278=-2,regle!$J$11,
IF(AT278=regle!$B$12,regle!$B$11,
IF(AT278=regle!$C$12,regle!$C$11,
IF(AT278=regle!$D$12,regle!$D$11,
IF(AT278=regle!$E$12,regle!$E$11,
IF(AT278=regle!$F$12,regle!$F$11,
IF(AT278=regle!$G$12,regle!$G$11,
IF(AT278=regle!$H$12,regle!$H$11,
IF(AT278=regle!$I$12,regle!$I$11,""))))))))))</f>
        <v>ENT1</v>
      </c>
      <c r="AA278" t="str">
        <f>IF(NOT($A278),"",
IF(AU278=-2,regle!$J$11,
IF(AU278=regle!$B$12,regle!$B$11,
IF(AU278=regle!$C$12,regle!$C$11,
IF(AU278=regle!$D$12,regle!$D$11,
IF(AU278=regle!$E$12,regle!$E$11,
IF(AU278=regle!$F$12,regle!$F$11,
IF(AU278=regle!$G$12,regle!$G$11,
IF(AU278=regle!$H$12,regle!$H$11,
IF(AU278=regle!$I$12,regle!$I$11,""))))))))))</f>
        <v/>
      </c>
      <c r="AB278" t="str">
        <f>IF(NOT($A278),"",
IF(AV278=-2,regle!$J$11,
IF(AV278=regle!$B$12,regle!$B$11,
IF(AV278=regle!$C$12,regle!$C$11,
IF(AV278=regle!$D$12,regle!$D$11,
IF(AV278=regle!$E$12,regle!$E$11,
IF(AV278=regle!$F$12,regle!$F$11,
IF(AV278=regle!$G$12,regle!$G$11,
IF(AV278=regle!$H$12,regle!$H$11,
IF(AV278=regle!$I$12,regle!$I$11,""))))))))))</f>
        <v/>
      </c>
      <c r="AC278" t="str">
        <f>IF(NOT($A278),"",
IF(AW278=-2,regle!$J$11,
IF(AW278=regle!$B$12,regle!$B$11,
IF(AW278=regle!$C$12,regle!$C$11,
IF(AW278=regle!$D$12,regle!$D$11,
IF(AW278=regle!$E$12,regle!$E$11,
IF(AW278=regle!$F$12,regle!$F$11,
IF(AW278=regle!$G$12,regle!$G$11,
IF(AW278=regle!$H$12,regle!$H$11,
IF(AW278=regle!$I$12,regle!$I$11,""))))))))))</f>
        <v>ENT2</v>
      </c>
      <c r="AD278" t="str">
        <f>IF(NOT($A278),"",
IF(AX278=-2,regle!$J$11,
IF(AX278=regle!$B$12,regle!$B$11,
IF(AX278=regle!$C$12,regle!$C$11,
IF(AX278=regle!$D$12,regle!$D$11,
IF(AX278=regle!$E$12,regle!$E$11,
IF(AX278=regle!$F$12,regle!$F$11,
IF(AX278=regle!$G$12,regle!$G$11,
IF(AX278=regle!$H$12,regle!$H$11,
IF(AX278=regle!$I$12,regle!$I$11,""))))))))))</f>
        <v/>
      </c>
      <c r="AE278" s="14">
        <f>IF($A278,$M278*(IF(U278=regle!$B$11,regle!$B$23,IF(U278=regle!$C$11,regle!$C$23,IF(U278=regle!$D$11,regle!$D$23,IF(U278=regle!$E$11,regle!$E$23,IF(U278=regle!$F$11,regle!$F$23,IF(U278=regle!$G$11,regle!$G$23,IF(U278=regle!$H$11,regle!$H$23,IF(U278=regle!$I$11,regle!$I$23,IF(U278=regle!$J$11,regle!$J$23,0)))))))))))</f>
        <v>-1847.8999999999999</v>
      </c>
      <c r="AF278" s="14">
        <f>IF($A278,$M278*(IF(V278=regle!$B$11,regle!$B$23,IF(V278=regle!$C$11,regle!$C$23,IF(V278=regle!$D$11,regle!$D$23,IF(V278=regle!$E$11,regle!$E$23,IF(V278=regle!$F$11,regle!$F$23,IF(V278=regle!$G$11,regle!$G$23,IF(V278=regle!$H$11,regle!$H$23,IF(V278=regle!$I$11,regle!$I$23,IF(V278=regle!$J$11,regle!$J$23,0)))))))))))</f>
        <v>0</v>
      </c>
      <c r="AG278" s="14">
        <f>IF($A278,$M278*(IF(W278=regle!$B$11,regle!$B$23,IF(W278=regle!$C$11,regle!$C$23,IF(W278=regle!$D$11,regle!$D$23,IF(W278=regle!$E$11,regle!$E$23,IF(W278=regle!$F$11,regle!$F$23,IF(W278=regle!$G$11,regle!$G$23,IF(W278=regle!$H$11,regle!$H$23,IF(W278=regle!$I$11,regle!$I$23,IF(W278=regle!$J$11,regle!$J$23,0)))))))))))</f>
        <v>-81.524999999999991</v>
      </c>
      <c r="AH278" s="14">
        <f>IF($A278,$M278*(IF(X278=regle!$B$11,regle!$B$23,IF(X278=regle!$C$11,regle!$C$23,IF(X278=regle!$D$11,regle!$D$23,IF(X278=regle!$E$11,regle!$E$23,IF(X278=regle!$F$11,regle!$F$23,IF(X278=regle!$G$11,regle!$G$23,IF(X278=regle!$H$11,regle!$H$23,IF(X278=regle!$I$11,regle!$I$23,IF(X278=regle!$J$11,regle!$J$23,0)))))))))))</f>
        <v>0</v>
      </c>
      <c r="AI278" s="14">
        <f>IF($A278,$M278*(IF(Y278=regle!$B$11,regle!$B$23,IF(Y278=regle!$C$11,regle!$C$23,IF(Y278=regle!$D$11,regle!$D$23,IF(Y278=regle!$E$11,regle!$E$23,IF(Y278=regle!$F$11,regle!$F$23,IF(Y278=regle!$G$11,regle!$G$23,IF(Y278=regle!$H$11,regle!$H$23,IF(Y278=regle!$I$11,regle!$I$23,IF(Y278=regle!$J$11,regle!$J$23,0)))))))))))</f>
        <v>0</v>
      </c>
      <c r="AJ278" s="14">
        <f>IF($A278,$M278*(IF(Z278=regle!$B$11,regle!$B$23,IF(Z278=regle!$C$11,regle!$C$23,IF(Z278=regle!$D$11,regle!$D$23,IF(Z278=regle!$E$11,regle!$E$23,IF(Z278=regle!$F$11,regle!$F$23,IF(Z278=regle!$G$11,regle!$G$23,IF(Z278=regle!$H$11,regle!$H$23,IF(Z278=regle!$I$11,regle!$I$23,IF(Z278=regle!$J$11,regle!$J$23,0)))))))))))</f>
        <v>-97.83</v>
      </c>
      <c r="AK278" s="14">
        <f>IF($A278,$M278*(IF(AA278=regle!$B$11,regle!$B$23,IF(AA278=regle!$C$11,regle!$C$23,IF(AA278=regle!$D$11,regle!$D$23,IF(AA278=regle!$E$11,regle!$E$23,IF(AA278=regle!$F$11,regle!$F$23,IF(AA278=regle!$G$11,regle!$G$23,IF(AA278=regle!$H$11,regle!$H$23,IF(AA278=regle!$I$11,regle!$I$23,IF(AA278=regle!$J$11,regle!$J$23,0)))))))))))</f>
        <v>0</v>
      </c>
      <c r="AL278" s="14">
        <f>IF($A278,$M278*(IF(AB278=regle!$B$11,regle!$B$23,IF(AB278=regle!$C$11,regle!$C$23,IF(AB278=regle!$D$11,regle!$D$23,IF(AB278=regle!$E$11,regle!$E$23,IF(AB278=regle!$F$11,regle!$F$23,IF(AB278=regle!$G$11,regle!$G$23,IF(AB278=regle!$H$11,regle!$H$23,IF(AB278=regle!$I$11,regle!$I$23,IF(AB278=regle!$J$11,regle!$J$23,0)))))))))))</f>
        <v>0</v>
      </c>
      <c r="AM278" s="14">
        <f>IF($A278,$M278*(IF(AC278=regle!$B$11,regle!$B$23,IF(AC278=regle!$C$11,regle!$C$23,IF(AC278=regle!$D$11,regle!$D$23,IF(AC278=regle!$E$11,regle!$E$23,IF(AC278=regle!$F$11,regle!$F$23,IF(AC278=regle!$G$11,regle!$G$23,IF(AC278=regle!$H$11,regle!$H$23,IF(AC278=regle!$I$11,regle!$I$23,IF(AC278=regle!$J$11,regle!$J$23,0)))))))))))</f>
        <v>-97.83</v>
      </c>
      <c r="AN278" s="14">
        <f>IF($A278,$M278*(IF(AD278=regle!$B$11,regle!$B$23,IF(AD278=regle!$C$11,regle!$C$23,IF(AD278=regle!$D$11,regle!$D$23,IF(AD278=regle!$E$11,regle!$E$23,IF(AD278=regle!$F$11,regle!$F$23,IF(AD278=regle!$G$11,regle!$G$23,IF(AD278=regle!$H$11,regle!$H$23,IF(AD278=regle!$I$11,regle!$I$23,IF(AD278=regle!$J$11,regle!$J$23,0)))))))))))</f>
        <v>0</v>
      </c>
      <c r="AO278">
        <f>IF(AO$1=$AO$1,IF(regle!B$2-$Q278&gt;=regle!$J$12,-2,IF($S278,IF(regle!$B$2-$Q278&gt;=2,0,-1),regle!B$2-$Q278)),IF(AN278+1&gt;=regle!$J$12,-2,AN278+1))</f>
        <v>0</v>
      </c>
      <c r="AP278">
        <f>IF(AP$1=$AO$1,IF(regle!C$2-$Q278&gt;=regle!$J$12,-2,IF($S278,IF(regle!$B$2-$Q278&gt;=2,0,-1),regle!C$2-$Q278)),IF(AO278+1&gt;=regle!$J$12,-2,AO278+1))</f>
        <v>1</v>
      </c>
      <c r="AQ278">
        <f>IF(AQ$1=$AO$1,IF(regle!D$2-$Q278&gt;=regle!$J$12,-2,IF($S278,IF(regle!$B$2-$Q278&gt;=2,0,-1),regle!D$2-$Q278)),IF(AP278+1&gt;=regle!$J$12,-2,AP278+1))</f>
        <v>2</v>
      </c>
      <c r="AR278">
        <f>IF(AR$1=$AO$1,IF(regle!E$2-$Q278&gt;=regle!$J$12,-2,IF($S278,IF(regle!$B$2-$Q278&gt;=2,0,-1),regle!E$2-$Q278)),IF(AQ278+1&gt;=regle!$J$12,-2,AQ278+1))</f>
        <v>3</v>
      </c>
      <c r="AS278">
        <f>IF(AS$1=$AO$1,IF(regle!F$2-$Q278&gt;=regle!$J$12,-2,IF($S278,IF(regle!$B$2-$Q278&gt;=2,0,-1),regle!F$2-$Q278)),IF(AR278+1&gt;=regle!$J$12,-2,AR278+1))</f>
        <v>4</v>
      </c>
      <c r="AT278">
        <f>IF(AT$1=$AO$1,IF(regle!G$2-$Q278&gt;=regle!$J$12,-2,IF($S278,IF(regle!$B$2-$Q278&gt;=2,0,-1),regle!G$2-$Q278)),IF(AS278+1&gt;=regle!$J$12,-2,AS278+1))</f>
        <v>5</v>
      </c>
      <c r="AU278">
        <f>IF(AU$1=$AO$1,IF(regle!H$2-$Q278&gt;=regle!$J$12,-2,IF($S278,IF(regle!$B$2-$Q278&gt;=2,0,-1),regle!H$2-$Q278)),IF(AT278+1&gt;=regle!$J$12,-2,AT278+1))</f>
        <v>6</v>
      </c>
      <c r="AV278">
        <f>IF(AV$1=$AO$1,IF(regle!I$2-$Q278&gt;=regle!$J$12,-2,IF($S278,IF(regle!$B$2-$Q278&gt;=2,0,-1),regle!I$2-$Q278)),IF(AU278+1&gt;=regle!$J$12,-2,AU278+1))</f>
        <v>7</v>
      </c>
      <c r="AW278">
        <f>IF(AW$1=$AO$1,IF(regle!J$2-$Q278&gt;=regle!$J$12,-2,IF($S278,IF(regle!$B$2-$Q278&gt;=2,0,-1),regle!J$2-$Q278)),IF(AV278+1&gt;=regle!$J$12,-2,AV278+1))</f>
        <v>8</v>
      </c>
      <c r="AX278">
        <f>IF(AX$1=$AO$1,IF(regle!K$2-$Q278&gt;=regle!$J$12,-2,IF($S278,IF(regle!$B$2-$Q278&gt;=2,0,-1),regle!K$2-$Q278)),IF(AW278+1&gt;=regle!$J$12,-2,AW278+1))</f>
        <v>9</v>
      </c>
    </row>
    <row r="279" spans="1:50" x14ac:dyDescent="0.25">
      <c r="A279" t="b">
        <f>AND(modif0[[#This Row],[cdstr]]&lt;&gt;0,OR(regle!$H$27=FALSE,modif0[[#This Row],[essnc]]="PM"))</f>
        <v>1</v>
      </c>
      <c r="B279">
        <f>ROW(objet!A327)</f>
        <v>327</v>
      </c>
      <c r="C279" s="10" t="str">
        <f>objet!D327</f>
        <v>1710000B0311</v>
      </c>
      <c r="D279" t="str">
        <f>LEFT(modif0[[#This Row],[cdstr]],3)</f>
        <v>171</v>
      </c>
      <c r="E279" s="10" t="str">
        <f>objet!G327</f>
        <v>MANO</v>
      </c>
      <c r="F279">
        <f>LEN(modif0[[#This Row],[l_dt]])</f>
        <v>17</v>
      </c>
      <c r="G279" s="10" t="str">
        <f>objet!H327</f>
        <v>LANDE DE TABARTON</v>
      </c>
      <c r="H279" s="10" t="str">
        <f>objet!C327</f>
        <v>B311</v>
      </c>
      <c r="I279" t="str">
        <f>IF(ISNUMBER(VALUE(RIGHT(LEFT(modif0[[#This Row],[idntfn]],2),1))),_xlfn.CONCAT(0,LEFT(modif0[[#This Row],[idntfn]],1)),LEFT(modif0[[#This Row],[idntfn]],2))</f>
        <v>0B</v>
      </c>
      <c r="J279">
        <f>VALUE(LEFT(RIGHT(modif0[[#This Row],[idntfn]],LEN(modif0[[#This Row],[idntfn]])-IF(LEFT(modif0[[#This Row],[sctn]],1)="0",1,2)),LEN(modif0[[#This Row],[idntfn]])-IF(LEFT(modif0[[#This Row],[sctn]],1)="0",1,2)-LEN(modif0[[#This Row],[lttr]])))</f>
        <v>311</v>
      </c>
      <c r="K279" t="str">
        <f>IF(ISNUMBER(VALUE(RIGHT(modif0[[#This Row],[idntfn]],1))),"",IF(ISNUMBER(VALUE(LEFT(RIGHT(modif0[[#This Row],[idntfn]],2),1))),RIGHT(modif0[[#This Row],[idntfn]],1),RIGHT(modif0[[#This Row],[idntfn]],2)))</f>
        <v/>
      </c>
      <c r="L279" s="10">
        <f>objet!I327</f>
        <v>5140</v>
      </c>
      <c r="M279" s="11">
        <f>modif0[[#This Row],[srfc]]/10000</f>
        <v>0.51400000000000001</v>
      </c>
      <c r="N279" s="10" t="str">
        <f>objet!Z327</f>
        <v>PM</v>
      </c>
      <c r="O279" s="10" t="str">
        <f>objet!AA327</f>
        <v>CR2022</v>
      </c>
      <c r="P279" t="str">
        <f>IF(ISNUMBER(modif0[[#This Row],[trvx]]),"",LEFT(modif0[[#This Row],[trvx]],LEN(modif0[[#This Row],[trvx]])-4))</f>
        <v>CR</v>
      </c>
      <c r="Q279">
        <f>VALUE(RIGHT(modif0[[#This Row],[trvx]],4))</f>
        <v>2022</v>
      </c>
      <c r="R279" t="str">
        <f>_xlfn.CONCAT(modif0[[#This Row],[tp]],"-",modif0[[#This Row],[essnc]],"_",modif0[[#This Row],[anns]])</f>
        <v>CR-PM_2022</v>
      </c>
      <c r="S279" t="b">
        <f>modif0[[#This Row],[tp]]="CR"</f>
        <v>1</v>
      </c>
      <c r="T279">
        <v>40</v>
      </c>
      <c r="U279" t="str">
        <f>IF(NOT($A279),"",
IF(AO279=-2,regle!$J$11,
IF(AO279=regle!$B$12,regle!$B$11,
IF(AO279=regle!$C$12,regle!$C$11,
IF(AO279=regle!$D$12,regle!$D$11,
IF(AO279=regle!$E$12,regle!$E$11,
IF(AO279=regle!$F$12,regle!$F$11,
IF(AO279=regle!$G$12,regle!$G$11,
IF(AO279=regle!$H$12,regle!$H$11,
IF(AO279=regle!$I$12,regle!$I$11,""))))))))))</f>
        <v>RBST</v>
      </c>
      <c r="V279" t="str">
        <f>IF(NOT($A279),"",
IF(AP279=-2,regle!$J$11,
IF(AP279=regle!$B$12,regle!$B$11,
IF(AP279=regle!$C$12,regle!$C$11,
IF(AP279=regle!$D$12,regle!$D$11,
IF(AP279=regle!$E$12,regle!$E$11,
IF(AP279=regle!$F$12,regle!$F$11,
IF(AP279=regle!$G$12,regle!$G$11,
IF(AP279=regle!$H$12,regle!$H$11,
IF(AP279=regle!$I$12,regle!$I$11,""))))))))))</f>
        <v/>
      </c>
      <c r="W279" t="str">
        <f>IF(NOT($A279),"",
IF(AQ279=-2,regle!$J$11,
IF(AQ279=regle!$B$12,regle!$B$11,
IF(AQ279=regle!$C$12,regle!$C$11,
IF(AQ279=regle!$D$12,regle!$D$11,
IF(AQ279=regle!$E$12,regle!$E$11,
IF(AQ279=regle!$F$12,regle!$F$11,
IF(AQ279=regle!$G$12,regle!$G$11,
IF(AQ279=regle!$H$12,regle!$H$11,
IF(AQ279=regle!$I$12,regle!$I$11,""))))))))))</f>
        <v>DGT</v>
      </c>
      <c r="X279" t="str">
        <f>IF(NOT($A279),"",
IF(AR279=-2,regle!$J$11,
IF(AR279=regle!$B$12,regle!$B$11,
IF(AR279=regle!$C$12,regle!$C$11,
IF(AR279=regle!$D$12,regle!$D$11,
IF(AR279=regle!$E$12,regle!$E$11,
IF(AR279=regle!$F$12,regle!$F$11,
IF(AR279=regle!$G$12,regle!$G$11,
IF(AR279=regle!$H$12,regle!$H$11,
IF(AR279=regle!$I$12,regle!$I$11,""))))))))))</f>
        <v/>
      </c>
      <c r="Y279" t="str">
        <f>IF(NOT($A279),"",
IF(AS279=-2,regle!$J$11,
IF(AS279=regle!$B$12,regle!$B$11,
IF(AS279=regle!$C$12,regle!$C$11,
IF(AS279=regle!$D$12,regle!$D$11,
IF(AS279=regle!$E$12,regle!$E$11,
IF(AS279=regle!$F$12,regle!$F$11,
IF(AS279=regle!$G$12,regle!$G$11,
IF(AS279=regle!$H$12,regle!$H$11,
IF(AS279=regle!$I$12,regle!$I$11,""))))))))))</f>
        <v/>
      </c>
      <c r="Z279" t="str">
        <f>IF(NOT($A279),"",
IF(AT279=-2,regle!$J$11,
IF(AT279=regle!$B$12,regle!$B$11,
IF(AT279=regle!$C$12,regle!$C$11,
IF(AT279=regle!$D$12,regle!$D$11,
IF(AT279=regle!$E$12,regle!$E$11,
IF(AT279=regle!$F$12,regle!$F$11,
IF(AT279=regle!$G$12,regle!$G$11,
IF(AT279=regle!$H$12,regle!$H$11,
IF(AT279=regle!$I$12,regle!$I$11,""))))))))))</f>
        <v>ENT1</v>
      </c>
      <c r="AA279" t="str">
        <f>IF(NOT($A279),"",
IF(AU279=-2,regle!$J$11,
IF(AU279=regle!$B$12,regle!$B$11,
IF(AU279=regle!$C$12,regle!$C$11,
IF(AU279=regle!$D$12,regle!$D$11,
IF(AU279=regle!$E$12,regle!$E$11,
IF(AU279=regle!$F$12,regle!$F$11,
IF(AU279=regle!$G$12,regle!$G$11,
IF(AU279=regle!$H$12,regle!$H$11,
IF(AU279=regle!$I$12,regle!$I$11,""))))))))))</f>
        <v/>
      </c>
      <c r="AB279" t="str">
        <f>IF(NOT($A279),"",
IF(AV279=-2,regle!$J$11,
IF(AV279=regle!$B$12,regle!$B$11,
IF(AV279=regle!$C$12,regle!$C$11,
IF(AV279=regle!$D$12,regle!$D$11,
IF(AV279=regle!$E$12,regle!$E$11,
IF(AV279=regle!$F$12,regle!$F$11,
IF(AV279=regle!$G$12,regle!$G$11,
IF(AV279=regle!$H$12,regle!$H$11,
IF(AV279=regle!$I$12,regle!$I$11,""))))))))))</f>
        <v/>
      </c>
      <c r="AC279" t="str">
        <f>IF(NOT($A279),"",
IF(AW279=-2,regle!$J$11,
IF(AW279=regle!$B$12,regle!$B$11,
IF(AW279=regle!$C$12,regle!$C$11,
IF(AW279=regle!$D$12,regle!$D$11,
IF(AW279=regle!$E$12,regle!$E$11,
IF(AW279=regle!$F$12,regle!$F$11,
IF(AW279=regle!$G$12,regle!$G$11,
IF(AW279=regle!$H$12,regle!$H$11,
IF(AW279=regle!$I$12,regle!$I$11,""))))))))))</f>
        <v>ENT2</v>
      </c>
      <c r="AD279" t="str">
        <f>IF(NOT($A279),"",
IF(AX279=-2,regle!$J$11,
IF(AX279=regle!$B$12,regle!$B$11,
IF(AX279=regle!$C$12,regle!$C$11,
IF(AX279=regle!$D$12,regle!$D$11,
IF(AX279=regle!$E$12,regle!$E$11,
IF(AX279=regle!$F$12,regle!$F$11,
IF(AX279=regle!$G$12,regle!$G$11,
IF(AX279=regle!$H$12,regle!$H$11,
IF(AX279=regle!$I$12,regle!$I$11,""))))))))))</f>
        <v/>
      </c>
      <c r="AE279" s="14">
        <f>IF($A279,$M279*(IF(U279=regle!$B$11,regle!$B$23,IF(U279=regle!$C$11,regle!$C$23,IF(U279=regle!$D$11,regle!$D$23,IF(U279=regle!$E$11,regle!$E$23,IF(U279=regle!$F$11,regle!$F$23,IF(U279=regle!$G$11,regle!$G$23,IF(U279=regle!$H$11,regle!$H$23,IF(U279=regle!$I$11,regle!$I$23,IF(U279=regle!$J$11,regle!$J$23,0)))))))))))</f>
        <v>-873.80000000000007</v>
      </c>
      <c r="AF279" s="14">
        <f>IF($A279,$M279*(IF(V279=regle!$B$11,regle!$B$23,IF(V279=regle!$C$11,regle!$C$23,IF(V279=regle!$D$11,regle!$D$23,IF(V279=regle!$E$11,regle!$E$23,IF(V279=regle!$F$11,regle!$F$23,IF(V279=regle!$G$11,regle!$G$23,IF(V279=regle!$H$11,regle!$H$23,IF(V279=regle!$I$11,regle!$I$23,IF(V279=regle!$J$11,regle!$J$23,0)))))))))))</f>
        <v>0</v>
      </c>
      <c r="AG279" s="14">
        <f>IF($A279,$M279*(IF(W279=regle!$B$11,regle!$B$23,IF(W279=regle!$C$11,regle!$C$23,IF(W279=regle!$D$11,regle!$D$23,IF(W279=regle!$E$11,regle!$E$23,IF(W279=regle!$F$11,regle!$F$23,IF(W279=regle!$G$11,regle!$G$23,IF(W279=regle!$H$11,regle!$H$23,IF(W279=regle!$I$11,regle!$I$23,IF(W279=regle!$J$11,regle!$J$23,0)))))))))))</f>
        <v>-38.550000000000004</v>
      </c>
      <c r="AH279" s="14">
        <f>IF($A279,$M279*(IF(X279=regle!$B$11,regle!$B$23,IF(X279=regle!$C$11,regle!$C$23,IF(X279=regle!$D$11,regle!$D$23,IF(X279=regle!$E$11,regle!$E$23,IF(X279=regle!$F$11,regle!$F$23,IF(X279=regle!$G$11,regle!$G$23,IF(X279=regle!$H$11,regle!$H$23,IF(X279=regle!$I$11,regle!$I$23,IF(X279=regle!$J$11,regle!$J$23,0)))))))))))</f>
        <v>0</v>
      </c>
      <c r="AI279" s="14">
        <f>IF($A279,$M279*(IF(Y279=regle!$B$11,regle!$B$23,IF(Y279=regle!$C$11,regle!$C$23,IF(Y279=regle!$D$11,regle!$D$23,IF(Y279=regle!$E$11,regle!$E$23,IF(Y279=regle!$F$11,regle!$F$23,IF(Y279=regle!$G$11,regle!$G$23,IF(Y279=regle!$H$11,regle!$H$23,IF(Y279=regle!$I$11,regle!$I$23,IF(Y279=regle!$J$11,regle!$J$23,0)))))))))))</f>
        <v>0</v>
      </c>
      <c r="AJ279" s="14">
        <f>IF($A279,$M279*(IF(Z279=regle!$B$11,regle!$B$23,IF(Z279=regle!$C$11,regle!$C$23,IF(Z279=regle!$D$11,regle!$D$23,IF(Z279=regle!$E$11,regle!$E$23,IF(Z279=regle!$F$11,regle!$F$23,IF(Z279=regle!$G$11,regle!$G$23,IF(Z279=regle!$H$11,regle!$H$23,IF(Z279=regle!$I$11,regle!$I$23,IF(Z279=regle!$J$11,regle!$J$23,0)))))))))))</f>
        <v>-46.26</v>
      </c>
      <c r="AK279" s="14">
        <f>IF($A279,$M279*(IF(AA279=regle!$B$11,regle!$B$23,IF(AA279=regle!$C$11,regle!$C$23,IF(AA279=regle!$D$11,regle!$D$23,IF(AA279=regle!$E$11,regle!$E$23,IF(AA279=regle!$F$11,regle!$F$23,IF(AA279=regle!$G$11,regle!$G$23,IF(AA279=regle!$H$11,regle!$H$23,IF(AA279=regle!$I$11,regle!$I$23,IF(AA279=regle!$J$11,regle!$J$23,0)))))))))))</f>
        <v>0</v>
      </c>
      <c r="AL279" s="14">
        <f>IF($A279,$M279*(IF(AB279=regle!$B$11,regle!$B$23,IF(AB279=regle!$C$11,regle!$C$23,IF(AB279=regle!$D$11,regle!$D$23,IF(AB279=regle!$E$11,regle!$E$23,IF(AB279=regle!$F$11,regle!$F$23,IF(AB279=regle!$G$11,regle!$G$23,IF(AB279=regle!$H$11,regle!$H$23,IF(AB279=regle!$I$11,regle!$I$23,IF(AB279=regle!$J$11,regle!$J$23,0)))))))))))</f>
        <v>0</v>
      </c>
      <c r="AM279" s="14">
        <f>IF($A279,$M279*(IF(AC279=regle!$B$11,regle!$B$23,IF(AC279=regle!$C$11,regle!$C$23,IF(AC279=regle!$D$11,regle!$D$23,IF(AC279=regle!$E$11,regle!$E$23,IF(AC279=regle!$F$11,regle!$F$23,IF(AC279=regle!$G$11,regle!$G$23,IF(AC279=regle!$H$11,regle!$H$23,IF(AC279=regle!$I$11,regle!$I$23,IF(AC279=regle!$J$11,regle!$J$23,0)))))))))))</f>
        <v>-46.26</v>
      </c>
      <c r="AN279" s="14">
        <f>IF($A279,$M279*(IF(AD279=regle!$B$11,regle!$B$23,IF(AD279=regle!$C$11,regle!$C$23,IF(AD279=regle!$D$11,regle!$D$23,IF(AD279=regle!$E$11,regle!$E$23,IF(AD279=regle!$F$11,regle!$F$23,IF(AD279=regle!$G$11,regle!$G$23,IF(AD279=regle!$H$11,regle!$H$23,IF(AD279=regle!$I$11,regle!$I$23,IF(AD279=regle!$J$11,regle!$J$23,0)))))))))))</f>
        <v>0</v>
      </c>
      <c r="AO279">
        <f>IF(AO$1=$AO$1,IF(regle!B$2-$Q279&gt;=regle!$J$12,-2,IF($S279,IF(regle!$B$2-$Q279&gt;=2,0,-1),regle!B$2-$Q279)),IF(AN279+1&gt;=regle!$J$12,-2,AN279+1))</f>
        <v>0</v>
      </c>
      <c r="AP279">
        <f>IF(AP$1=$AO$1,IF(regle!C$2-$Q279&gt;=regle!$J$12,-2,IF($S279,IF(regle!$B$2-$Q279&gt;=2,0,-1),regle!C$2-$Q279)),IF(AO279+1&gt;=regle!$J$12,-2,AO279+1))</f>
        <v>1</v>
      </c>
      <c r="AQ279">
        <f>IF(AQ$1=$AO$1,IF(regle!D$2-$Q279&gt;=regle!$J$12,-2,IF($S279,IF(regle!$B$2-$Q279&gt;=2,0,-1),regle!D$2-$Q279)),IF(AP279+1&gt;=regle!$J$12,-2,AP279+1))</f>
        <v>2</v>
      </c>
      <c r="AR279">
        <f>IF(AR$1=$AO$1,IF(regle!E$2-$Q279&gt;=regle!$J$12,-2,IF($S279,IF(regle!$B$2-$Q279&gt;=2,0,-1),regle!E$2-$Q279)),IF(AQ279+1&gt;=regle!$J$12,-2,AQ279+1))</f>
        <v>3</v>
      </c>
      <c r="AS279">
        <f>IF(AS$1=$AO$1,IF(regle!F$2-$Q279&gt;=regle!$J$12,-2,IF($S279,IF(regle!$B$2-$Q279&gt;=2,0,-1),regle!F$2-$Q279)),IF(AR279+1&gt;=regle!$J$12,-2,AR279+1))</f>
        <v>4</v>
      </c>
      <c r="AT279">
        <f>IF(AT$1=$AO$1,IF(regle!G$2-$Q279&gt;=regle!$J$12,-2,IF($S279,IF(regle!$B$2-$Q279&gt;=2,0,-1),regle!G$2-$Q279)),IF(AS279+1&gt;=regle!$J$12,-2,AS279+1))</f>
        <v>5</v>
      </c>
      <c r="AU279">
        <f>IF(AU$1=$AO$1,IF(regle!H$2-$Q279&gt;=regle!$J$12,-2,IF($S279,IF(regle!$B$2-$Q279&gt;=2,0,-1),regle!H$2-$Q279)),IF(AT279+1&gt;=regle!$J$12,-2,AT279+1))</f>
        <v>6</v>
      </c>
      <c r="AV279">
        <f>IF(AV$1=$AO$1,IF(regle!I$2-$Q279&gt;=regle!$J$12,-2,IF($S279,IF(regle!$B$2-$Q279&gt;=2,0,-1),regle!I$2-$Q279)),IF(AU279+1&gt;=regle!$J$12,-2,AU279+1))</f>
        <v>7</v>
      </c>
      <c r="AW279">
        <f>IF(AW$1=$AO$1,IF(regle!J$2-$Q279&gt;=regle!$J$12,-2,IF($S279,IF(regle!$B$2-$Q279&gt;=2,0,-1),regle!J$2-$Q279)),IF(AV279+1&gt;=regle!$J$12,-2,AV279+1))</f>
        <v>8</v>
      </c>
      <c r="AX279">
        <f>IF(AX$1=$AO$1,IF(regle!K$2-$Q279&gt;=regle!$J$12,-2,IF($S279,IF(regle!$B$2-$Q279&gt;=2,0,-1),regle!K$2-$Q279)),IF(AW279+1&gt;=regle!$J$12,-2,AW279+1))</f>
        <v>9</v>
      </c>
    </row>
    <row r="280" spans="1:50" x14ac:dyDescent="0.25">
      <c r="A280" t="b">
        <f>AND(modif0[[#This Row],[cdstr]]&lt;&gt;0,OR(regle!$H$27=FALSE,modif0[[#This Row],[essnc]]="PM"))</f>
        <v>1</v>
      </c>
      <c r="B280">
        <f>ROW(objet!A328)</f>
        <v>328</v>
      </c>
      <c r="C280" s="10" t="str">
        <f>objet!D328</f>
        <v>1710000B0312</v>
      </c>
      <c r="D280" t="str">
        <f>LEFT(modif0[[#This Row],[cdstr]],3)</f>
        <v>171</v>
      </c>
      <c r="E280" s="10" t="str">
        <f>objet!G328</f>
        <v>MANO</v>
      </c>
      <c r="F280">
        <f>LEN(modif0[[#This Row],[l_dt]])</f>
        <v>17</v>
      </c>
      <c r="G280" s="10" t="str">
        <f>objet!H328</f>
        <v>LANDE DE TABARTON</v>
      </c>
      <c r="H280" s="10" t="str">
        <f>objet!C328</f>
        <v>B312</v>
      </c>
      <c r="I280" t="str">
        <f>IF(ISNUMBER(VALUE(RIGHT(LEFT(modif0[[#This Row],[idntfn]],2),1))),_xlfn.CONCAT(0,LEFT(modif0[[#This Row],[idntfn]],1)),LEFT(modif0[[#This Row],[idntfn]],2))</f>
        <v>0B</v>
      </c>
      <c r="J280">
        <f>VALUE(LEFT(RIGHT(modif0[[#This Row],[idntfn]],LEN(modif0[[#This Row],[idntfn]])-IF(LEFT(modif0[[#This Row],[sctn]],1)="0",1,2)),LEN(modif0[[#This Row],[idntfn]])-IF(LEFT(modif0[[#This Row],[sctn]],1)="0",1,2)-LEN(modif0[[#This Row],[lttr]])))</f>
        <v>312</v>
      </c>
      <c r="K280" t="str">
        <f>IF(ISNUMBER(VALUE(RIGHT(modif0[[#This Row],[idntfn]],1))),"",IF(ISNUMBER(VALUE(LEFT(RIGHT(modif0[[#This Row],[idntfn]],2),1))),RIGHT(modif0[[#This Row],[idntfn]],1),RIGHT(modif0[[#This Row],[idntfn]],2)))</f>
        <v/>
      </c>
      <c r="L280" s="10">
        <f>objet!I328</f>
        <v>22625</v>
      </c>
      <c r="M280" s="11">
        <f>modif0[[#This Row],[srfc]]/10000</f>
        <v>2.2625000000000002</v>
      </c>
      <c r="N280" s="10" t="str">
        <f>objet!Z328</f>
        <v>PM</v>
      </c>
      <c r="O280" s="10" t="str">
        <f>objet!AA328</f>
        <v>CR2022</v>
      </c>
      <c r="P280" t="str">
        <f>IF(ISNUMBER(modif0[[#This Row],[trvx]]),"",LEFT(modif0[[#This Row],[trvx]],LEN(modif0[[#This Row],[trvx]])-4))</f>
        <v>CR</v>
      </c>
      <c r="Q280">
        <f>VALUE(RIGHT(modif0[[#This Row],[trvx]],4))</f>
        <v>2022</v>
      </c>
      <c r="R280" t="str">
        <f>_xlfn.CONCAT(modif0[[#This Row],[tp]],"-",modif0[[#This Row],[essnc]],"_",modif0[[#This Row],[anns]])</f>
        <v>CR-PM_2022</v>
      </c>
      <c r="S280" t="b">
        <f>modif0[[#This Row],[tp]]="CR"</f>
        <v>1</v>
      </c>
      <c r="T280">
        <v>40</v>
      </c>
      <c r="U280" t="str">
        <f>IF(NOT($A280),"",
IF(AO280=-2,regle!$J$11,
IF(AO280=regle!$B$12,regle!$B$11,
IF(AO280=regle!$C$12,regle!$C$11,
IF(AO280=regle!$D$12,regle!$D$11,
IF(AO280=regle!$E$12,regle!$E$11,
IF(AO280=regle!$F$12,regle!$F$11,
IF(AO280=regle!$G$12,regle!$G$11,
IF(AO280=regle!$H$12,regle!$H$11,
IF(AO280=regle!$I$12,regle!$I$11,""))))))))))</f>
        <v>RBST</v>
      </c>
      <c r="V280" t="str">
        <f>IF(NOT($A280),"",
IF(AP280=-2,regle!$J$11,
IF(AP280=regle!$B$12,regle!$B$11,
IF(AP280=regle!$C$12,regle!$C$11,
IF(AP280=regle!$D$12,regle!$D$11,
IF(AP280=regle!$E$12,regle!$E$11,
IF(AP280=regle!$F$12,regle!$F$11,
IF(AP280=regle!$G$12,regle!$G$11,
IF(AP280=regle!$H$12,regle!$H$11,
IF(AP280=regle!$I$12,regle!$I$11,""))))))))))</f>
        <v/>
      </c>
      <c r="W280" t="str">
        <f>IF(NOT($A280),"",
IF(AQ280=-2,regle!$J$11,
IF(AQ280=regle!$B$12,regle!$B$11,
IF(AQ280=regle!$C$12,regle!$C$11,
IF(AQ280=regle!$D$12,regle!$D$11,
IF(AQ280=regle!$E$12,regle!$E$11,
IF(AQ280=regle!$F$12,regle!$F$11,
IF(AQ280=regle!$G$12,regle!$G$11,
IF(AQ280=regle!$H$12,regle!$H$11,
IF(AQ280=regle!$I$12,regle!$I$11,""))))))))))</f>
        <v>DGT</v>
      </c>
      <c r="X280" t="str">
        <f>IF(NOT($A280),"",
IF(AR280=-2,regle!$J$11,
IF(AR280=regle!$B$12,regle!$B$11,
IF(AR280=regle!$C$12,regle!$C$11,
IF(AR280=regle!$D$12,regle!$D$11,
IF(AR280=regle!$E$12,regle!$E$11,
IF(AR280=regle!$F$12,regle!$F$11,
IF(AR280=regle!$G$12,regle!$G$11,
IF(AR280=regle!$H$12,regle!$H$11,
IF(AR280=regle!$I$12,regle!$I$11,""))))))))))</f>
        <v/>
      </c>
      <c r="Y280" t="str">
        <f>IF(NOT($A280),"",
IF(AS280=-2,regle!$J$11,
IF(AS280=regle!$B$12,regle!$B$11,
IF(AS280=regle!$C$12,regle!$C$11,
IF(AS280=regle!$D$12,regle!$D$11,
IF(AS280=regle!$E$12,regle!$E$11,
IF(AS280=regle!$F$12,regle!$F$11,
IF(AS280=regle!$G$12,regle!$G$11,
IF(AS280=regle!$H$12,regle!$H$11,
IF(AS280=regle!$I$12,regle!$I$11,""))))))))))</f>
        <v/>
      </c>
      <c r="Z280" t="str">
        <f>IF(NOT($A280),"",
IF(AT280=-2,regle!$J$11,
IF(AT280=regle!$B$12,regle!$B$11,
IF(AT280=regle!$C$12,regle!$C$11,
IF(AT280=regle!$D$12,regle!$D$11,
IF(AT280=regle!$E$12,regle!$E$11,
IF(AT280=regle!$F$12,regle!$F$11,
IF(AT280=regle!$G$12,regle!$G$11,
IF(AT280=regle!$H$12,regle!$H$11,
IF(AT280=regle!$I$12,regle!$I$11,""))))))))))</f>
        <v>ENT1</v>
      </c>
      <c r="AA280" t="str">
        <f>IF(NOT($A280),"",
IF(AU280=-2,regle!$J$11,
IF(AU280=regle!$B$12,regle!$B$11,
IF(AU280=regle!$C$12,regle!$C$11,
IF(AU280=regle!$D$12,regle!$D$11,
IF(AU280=regle!$E$12,regle!$E$11,
IF(AU280=regle!$F$12,regle!$F$11,
IF(AU280=regle!$G$12,regle!$G$11,
IF(AU280=regle!$H$12,regle!$H$11,
IF(AU280=regle!$I$12,regle!$I$11,""))))))))))</f>
        <v/>
      </c>
      <c r="AB280" t="str">
        <f>IF(NOT($A280),"",
IF(AV280=-2,regle!$J$11,
IF(AV280=regle!$B$12,regle!$B$11,
IF(AV280=regle!$C$12,regle!$C$11,
IF(AV280=regle!$D$12,regle!$D$11,
IF(AV280=regle!$E$12,regle!$E$11,
IF(AV280=regle!$F$12,regle!$F$11,
IF(AV280=regle!$G$12,regle!$G$11,
IF(AV280=regle!$H$12,regle!$H$11,
IF(AV280=regle!$I$12,regle!$I$11,""))))))))))</f>
        <v/>
      </c>
      <c r="AC280" t="str">
        <f>IF(NOT($A280),"",
IF(AW280=-2,regle!$J$11,
IF(AW280=regle!$B$12,regle!$B$11,
IF(AW280=regle!$C$12,regle!$C$11,
IF(AW280=regle!$D$12,regle!$D$11,
IF(AW280=regle!$E$12,regle!$E$11,
IF(AW280=regle!$F$12,regle!$F$11,
IF(AW280=regle!$G$12,regle!$G$11,
IF(AW280=regle!$H$12,regle!$H$11,
IF(AW280=regle!$I$12,regle!$I$11,""))))))))))</f>
        <v>ENT2</v>
      </c>
      <c r="AD280" t="str">
        <f>IF(NOT($A280),"",
IF(AX280=-2,regle!$J$11,
IF(AX280=regle!$B$12,regle!$B$11,
IF(AX280=regle!$C$12,regle!$C$11,
IF(AX280=regle!$D$12,regle!$D$11,
IF(AX280=regle!$E$12,regle!$E$11,
IF(AX280=regle!$F$12,regle!$F$11,
IF(AX280=regle!$G$12,regle!$G$11,
IF(AX280=regle!$H$12,regle!$H$11,
IF(AX280=regle!$I$12,regle!$I$11,""))))))))))</f>
        <v/>
      </c>
      <c r="AE280" s="14">
        <f>IF($A280,$M280*(IF(U280=regle!$B$11,regle!$B$23,IF(U280=regle!$C$11,regle!$C$23,IF(U280=regle!$D$11,regle!$D$23,IF(U280=regle!$E$11,regle!$E$23,IF(U280=regle!$F$11,regle!$F$23,IF(U280=regle!$G$11,regle!$G$23,IF(U280=regle!$H$11,regle!$H$23,IF(U280=regle!$I$11,regle!$I$23,IF(U280=regle!$J$11,regle!$J$23,0)))))))))))</f>
        <v>-3846.2500000000005</v>
      </c>
      <c r="AF280" s="14">
        <f>IF($A280,$M280*(IF(V280=regle!$B$11,regle!$B$23,IF(V280=regle!$C$11,regle!$C$23,IF(V280=regle!$D$11,regle!$D$23,IF(V280=regle!$E$11,regle!$E$23,IF(V280=regle!$F$11,regle!$F$23,IF(V280=regle!$G$11,regle!$G$23,IF(V280=regle!$H$11,regle!$H$23,IF(V280=regle!$I$11,regle!$I$23,IF(V280=regle!$J$11,regle!$J$23,0)))))))))))</f>
        <v>0</v>
      </c>
      <c r="AG280" s="14">
        <f>IF($A280,$M280*(IF(W280=regle!$B$11,regle!$B$23,IF(W280=regle!$C$11,regle!$C$23,IF(W280=regle!$D$11,regle!$D$23,IF(W280=regle!$E$11,regle!$E$23,IF(W280=regle!$F$11,regle!$F$23,IF(W280=regle!$G$11,regle!$G$23,IF(W280=regle!$H$11,regle!$H$23,IF(W280=regle!$I$11,regle!$I$23,IF(W280=regle!$J$11,regle!$J$23,0)))))))))))</f>
        <v>-169.6875</v>
      </c>
      <c r="AH280" s="14">
        <f>IF($A280,$M280*(IF(X280=regle!$B$11,regle!$B$23,IF(X280=regle!$C$11,regle!$C$23,IF(X280=regle!$D$11,regle!$D$23,IF(X280=regle!$E$11,regle!$E$23,IF(X280=regle!$F$11,regle!$F$23,IF(X280=regle!$G$11,regle!$G$23,IF(X280=regle!$H$11,regle!$H$23,IF(X280=regle!$I$11,regle!$I$23,IF(X280=regle!$J$11,regle!$J$23,0)))))))))))</f>
        <v>0</v>
      </c>
      <c r="AI280" s="14">
        <f>IF($A280,$M280*(IF(Y280=regle!$B$11,regle!$B$23,IF(Y280=regle!$C$11,regle!$C$23,IF(Y280=regle!$D$11,regle!$D$23,IF(Y280=regle!$E$11,regle!$E$23,IF(Y280=regle!$F$11,regle!$F$23,IF(Y280=regle!$G$11,regle!$G$23,IF(Y280=regle!$H$11,regle!$H$23,IF(Y280=regle!$I$11,regle!$I$23,IF(Y280=regle!$J$11,regle!$J$23,0)))))))))))</f>
        <v>0</v>
      </c>
      <c r="AJ280" s="14">
        <f>IF($A280,$M280*(IF(Z280=regle!$B$11,regle!$B$23,IF(Z280=regle!$C$11,regle!$C$23,IF(Z280=regle!$D$11,regle!$D$23,IF(Z280=regle!$E$11,regle!$E$23,IF(Z280=regle!$F$11,regle!$F$23,IF(Z280=regle!$G$11,regle!$G$23,IF(Z280=regle!$H$11,regle!$H$23,IF(Z280=regle!$I$11,regle!$I$23,IF(Z280=regle!$J$11,regle!$J$23,0)))))))))))</f>
        <v>-203.62500000000003</v>
      </c>
      <c r="AK280" s="14">
        <f>IF($A280,$M280*(IF(AA280=regle!$B$11,regle!$B$23,IF(AA280=regle!$C$11,regle!$C$23,IF(AA280=regle!$D$11,regle!$D$23,IF(AA280=regle!$E$11,regle!$E$23,IF(AA280=regle!$F$11,regle!$F$23,IF(AA280=regle!$G$11,regle!$G$23,IF(AA280=regle!$H$11,regle!$H$23,IF(AA280=regle!$I$11,regle!$I$23,IF(AA280=regle!$J$11,regle!$J$23,0)))))))))))</f>
        <v>0</v>
      </c>
      <c r="AL280" s="14">
        <f>IF($A280,$M280*(IF(AB280=regle!$B$11,regle!$B$23,IF(AB280=regle!$C$11,regle!$C$23,IF(AB280=regle!$D$11,regle!$D$23,IF(AB280=regle!$E$11,regle!$E$23,IF(AB280=regle!$F$11,regle!$F$23,IF(AB280=regle!$G$11,regle!$G$23,IF(AB280=regle!$H$11,regle!$H$23,IF(AB280=regle!$I$11,regle!$I$23,IF(AB280=regle!$J$11,regle!$J$23,0)))))))))))</f>
        <v>0</v>
      </c>
      <c r="AM280" s="14">
        <f>IF($A280,$M280*(IF(AC280=regle!$B$11,regle!$B$23,IF(AC280=regle!$C$11,regle!$C$23,IF(AC280=regle!$D$11,regle!$D$23,IF(AC280=regle!$E$11,regle!$E$23,IF(AC280=regle!$F$11,regle!$F$23,IF(AC280=regle!$G$11,regle!$G$23,IF(AC280=regle!$H$11,regle!$H$23,IF(AC280=regle!$I$11,regle!$I$23,IF(AC280=regle!$J$11,regle!$J$23,0)))))))))))</f>
        <v>-203.62500000000003</v>
      </c>
      <c r="AN280" s="14">
        <f>IF($A280,$M280*(IF(AD280=regle!$B$11,regle!$B$23,IF(AD280=regle!$C$11,regle!$C$23,IF(AD280=regle!$D$11,regle!$D$23,IF(AD280=regle!$E$11,regle!$E$23,IF(AD280=regle!$F$11,regle!$F$23,IF(AD280=regle!$G$11,regle!$G$23,IF(AD280=regle!$H$11,regle!$H$23,IF(AD280=regle!$I$11,regle!$I$23,IF(AD280=regle!$J$11,regle!$J$23,0)))))))))))</f>
        <v>0</v>
      </c>
      <c r="AO280">
        <f>IF(AO$1=$AO$1,IF(regle!B$2-$Q280&gt;=regle!$J$12,-2,IF($S280,IF(regle!$B$2-$Q280&gt;=2,0,-1),regle!B$2-$Q280)),IF(AN280+1&gt;=regle!$J$12,-2,AN280+1))</f>
        <v>0</v>
      </c>
      <c r="AP280">
        <f>IF(AP$1=$AO$1,IF(regle!C$2-$Q280&gt;=regle!$J$12,-2,IF($S280,IF(regle!$B$2-$Q280&gt;=2,0,-1),regle!C$2-$Q280)),IF(AO280+1&gt;=regle!$J$12,-2,AO280+1))</f>
        <v>1</v>
      </c>
      <c r="AQ280">
        <f>IF(AQ$1=$AO$1,IF(regle!D$2-$Q280&gt;=regle!$J$12,-2,IF($S280,IF(regle!$B$2-$Q280&gt;=2,0,-1),regle!D$2-$Q280)),IF(AP280+1&gt;=regle!$J$12,-2,AP280+1))</f>
        <v>2</v>
      </c>
      <c r="AR280">
        <f>IF(AR$1=$AO$1,IF(regle!E$2-$Q280&gt;=regle!$J$12,-2,IF($S280,IF(regle!$B$2-$Q280&gt;=2,0,-1),regle!E$2-$Q280)),IF(AQ280+1&gt;=regle!$J$12,-2,AQ280+1))</f>
        <v>3</v>
      </c>
      <c r="AS280">
        <f>IF(AS$1=$AO$1,IF(regle!F$2-$Q280&gt;=regle!$J$12,-2,IF($S280,IF(regle!$B$2-$Q280&gt;=2,0,-1),regle!F$2-$Q280)),IF(AR280+1&gt;=regle!$J$12,-2,AR280+1))</f>
        <v>4</v>
      </c>
      <c r="AT280">
        <f>IF(AT$1=$AO$1,IF(regle!G$2-$Q280&gt;=regle!$J$12,-2,IF($S280,IF(regle!$B$2-$Q280&gt;=2,0,-1),regle!G$2-$Q280)),IF(AS280+1&gt;=regle!$J$12,-2,AS280+1))</f>
        <v>5</v>
      </c>
      <c r="AU280">
        <f>IF(AU$1=$AO$1,IF(regle!H$2-$Q280&gt;=regle!$J$12,-2,IF($S280,IF(regle!$B$2-$Q280&gt;=2,0,-1),regle!H$2-$Q280)),IF(AT280+1&gt;=regle!$J$12,-2,AT280+1))</f>
        <v>6</v>
      </c>
      <c r="AV280">
        <f>IF(AV$1=$AO$1,IF(regle!I$2-$Q280&gt;=regle!$J$12,-2,IF($S280,IF(regle!$B$2-$Q280&gt;=2,0,-1),regle!I$2-$Q280)),IF(AU280+1&gt;=regle!$J$12,-2,AU280+1))</f>
        <v>7</v>
      </c>
      <c r="AW280">
        <f>IF(AW$1=$AO$1,IF(regle!J$2-$Q280&gt;=regle!$J$12,-2,IF($S280,IF(regle!$B$2-$Q280&gt;=2,0,-1),regle!J$2-$Q280)),IF(AV280+1&gt;=regle!$J$12,-2,AV280+1))</f>
        <v>8</v>
      </c>
      <c r="AX280">
        <f>IF(AX$1=$AO$1,IF(regle!K$2-$Q280&gt;=regle!$J$12,-2,IF($S280,IF(regle!$B$2-$Q280&gt;=2,0,-1),regle!K$2-$Q280)),IF(AW280+1&gt;=regle!$J$12,-2,AW280+1))</f>
        <v>9</v>
      </c>
    </row>
    <row r="281" spans="1:50" x14ac:dyDescent="0.25">
      <c r="A281" t="b">
        <f>AND(modif0[[#This Row],[cdstr]]&lt;&gt;0,OR(regle!$H$27=FALSE,modif0[[#This Row],[essnc]]="PM"))</f>
        <v>1</v>
      </c>
      <c r="B281">
        <f>ROW(objet!A329)</f>
        <v>329</v>
      </c>
      <c r="C281" s="10" t="str">
        <f>objet!D329</f>
        <v>1710000B0313</v>
      </c>
      <c r="D281" t="str">
        <f>LEFT(modif0[[#This Row],[cdstr]],3)</f>
        <v>171</v>
      </c>
      <c r="E281" s="10" t="str">
        <f>objet!G329</f>
        <v>MANO</v>
      </c>
      <c r="F281">
        <f>LEN(modif0[[#This Row],[l_dt]])</f>
        <v>17</v>
      </c>
      <c r="G281" s="10" t="str">
        <f>objet!H329</f>
        <v>LANDE DE TABARTON</v>
      </c>
      <c r="H281" s="10" t="str">
        <f>objet!C329</f>
        <v>B313</v>
      </c>
      <c r="I281" t="str">
        <f>IF(ISNUMBER(VALUE(RIGHT(LEFT(modif0[[#This Row],[idntfn]],2),1))),_xlfn.CONCAT(0,LEFT(modif0[[#This Row],[idntfn]],1)),LEFT(modif0[[#This Row],[idntfn]],2))</f>
        <v>0B</v>
      </c>
      <c r="J281">
        <f>VALUE(LEFT(RIGHT(modif0[[#This Row],[idntfn]],LEN(modif0[[#This Row],[idntfn]])-IF(LEFT(modif0[[#This Row],[sctn]],1)="0",1,2)),LEN(modif0[[#This Row],[idntfn]])-IF(LEFT(modif0[[#This Row],[sctn]],1)="0",1,2)-LEN(modif0[[#This Row],[lttr]])))</f>
        <v>313</v>
      </c>
      <c r="K281" t="str">
        <f>IF(ISNUMBER(VALUE(RIGHT(modif0[[#This Row],[idntfn]],1))),"",IF(ISNUMBER(VALUE(LEFT(RIGHT(modif0[[#This Row],[idntfn]],2),1))),RIGHT(modif0[[#This Row],[idntfn]],1),RIGHT(modif0[[#This Row],[idntfn]],2)))</f>
        <v/>
      </c>
      <c r="L281" s="10">
        <f>objet!I329</f>
        <v>5922</v>
      </c>
      <c r="M281" s="11">
        <f>modif0[[#This Row],[srfc]]/10000</f>
        <v>0.59219999999999995</v>
      </c>
      <c r="N281" s="10" t="str">
        <f>objet!Z329</f>
        <v>PM</v>
      </c>
      <c r="O281" s="10" t="str">
        <f>objet!AA329</f>
        <v>CR2022</v>
      </c>
      <c r="P281" t="str">
        <f>IF(ISNUMBER(modif0[[#This Row],[trvx]]),"",LEFT(modif0[[#This Row],[trvx]],LEN(modif0[[#This Row],[trvx]])-4))</f>
        <v>CR</v>
      </c>
      <c r="Q281">
        <f>VALUE(RIGHT(modif0[[#This Row],[trvx]],4))</f>
        <v>2022</v>
      </c>
      <c r="R281" t="str">
        <f>_xlfn.CONCAT(modif0[[#This Row],[tp]],"-",modif0[[#This Row],[essnc]],"_",modif0[[#This Row],[anns]])</f>
        <v>CR-PM_2022</v>
      </c>
      <c r="S281" t="b">
        <f>modif0[[#This Row],[tp]]="CR"</f>
        <v>1</v>
      </c>
      <c r="T281">
        <v>40</v>
      </c>
      <c r="U281" t="str">
        <f>IF(NOT($A281),"",
IF(AO281=-2,regle!$J$11,
IF(AO281=regle!$B$12,regle!$B$11,
IF(AO281=regle!$C$12,regle!$C$11,
IF(AO281=regle!$D$12,regle!$D$11,
IF(AO281=regle!$E$12,regle!$E$11,
IF(AO281=regle!$F$12,regle!$F$11,
IF(AO281=regle!$G$12,regle!$G$11,
IF(AO281=regle!$H$12,regle!$H$11,
IF(AO281=regle!$I$12,regle!$I$11,""))))))))))</f>
        <v>RBST</v>
      </c>
      <c r="V281" t="str">
        <f>IF(NOT($A281),"",
IF(AP281=-2,regle!$J$11,
IF(AP281=regle!$B$12,regle!$B$11,
IF(AP281=regle!$C$12,regle!$C$11,
IF(AP281=regle!$D$12,regle!$D$11,
IF(AP281=regle!$E$12,regle!$E$11,
IF(AP281=regle!$F$12,regle!$F$11,
IF(AP281=regle!$G$12,regle!$G$11,
IF(AP281=regle!$H$12,regle!$H$11,
IF(AP281=regle!$I$12,regle!$I$11,""))))))))))</f>
        <v/>
      </c>
      <c r="W281" t="str">
        <f>IF(NOT($A281),"",
IF(AQ281=-2,regle!$J$11,
IF(AQ281=regle!$B$12,regle!$B$11,
IF(AQ281=regle!$C$12,regle!$C$11,
IF(AQ281=regle!$D$12,regle!$D$11,
IF(AQ281=regle!$E$12,regle!$E$11,
IF(AQ281=regle!$F$12,regle!$F$11,
IF(AQ281=regle!$G$12,regle!$G$11,
IF(AQ281=regle!$H$12,regle!$H$11,
IF(AQ281=regle!$I$12,regle!$I$11,""))))))))))</f>
        <v>DGT</v>
      </c>
      <c r="X281" t="str">
        <f>IF(NOT($A281),"",
IF(AR281=-2,regle!$J$11,
IF(AR281=regle!$B$12,regle!$B$11,
IF(AR281=regle!$C$12,regle!$C$11,
IF(AR281=regle!$D$12,regle!$D$11,
IF(AR281=regle!$E$12,regle!$E$11,
IF(AR281=regle!$F$12,regle!$F$11,
IF(AR281=regle!$G$12,regle!$G$11,
IF(AR281=regle!$H$12,regle!$H$11,
IF(AR281=regle!$I$12,regle!$I$11,""))))))))))</f>
        <v/>
      </c>
      <c r="Y281" t="str">
        <f>IF(NOT($A281),"",
IF(AS281=-2,regle!$J$11,
IF(AS281=regle!$B$12,regle!$B$11,
IF(AS281=regle!$C$12,regle!$C$11,
IF(AS281=regle!$D$12,regle!$D$11,
IF(AS281=regle!$E$12,regle!$E$11,
IF(AS281=regle!$F$12,regle!$F$11,
IF(AS281=regle!$G$12,regle!$G$11,
IF(AS281=regle!$H$12,regle!$H$11,
IF(AS281=regle!$I$12,regle!$I$11,""))))))))))</f>
        <v/>
      </c>
      <c r="Z281" t="str">
        <f>IF(NOT($A281),"",
IF(AT281=-2,regle!$J$11,
IF(AT281=regle!$B$12,regle!$B$11,
IF(AT281=regle!$C$12,regle!$C$11,
IF(AT281=regle!$D$12,regle!$D$11,
IF(AT281=regle!$E$12,regle!$E$11,
IF(AT281=regle!$F$12,regle!$F$11,
IF(AT281=regle!$G$12,regle!$G$11,
IF(AT281=regle!$H$12,regle!$H$11,
IF(AT281=regle!$I$12,regle!$I$11,""))))))))))</f>
        <v>ENT1</v>
      </c>
      <c r="AA281" t="str">
        <f>IF(NOT($A281),"",
IF(AU281=-2,regle!$J$11,
IF(AU281=regle!$B$12,regle!$B$11,
IF(AU281=regle!$C$12,regle!$C$11,
IF(AU281=regle!$D$12,regle!$D$11,
IF(AU281=regle!$E$12,regle!$E$11,
IF(AU281=regle!$F$12,regle!$F$11,
IF(AU281=regle!$G$12,regle!$G$11,
IF(AU281=regle!$H$12,regle!$H$11,
IF(AU281=regle!$I$12,regle!$I$11,""))))))))))</f>
        <v/>
      </c>
      <c r="AB281" t="str">
        <f>IF(NOT($A281),"",
IF(AV281=-2,regle!$J$11,
IF(AV281=regle!$B$12,regle!$B$11,
IF(AV281=regle!$C$12,regle!$C$11,
IF(AV281=regle!$D$12,regle!$D$11,
IF(AV281=regle!$E$12,regle!$E$11,
IF(AV281=regle!$F$12,regle!$F$11,
IF(AV281=regle!$G$12,regle!$G$11,
IF(AV281=regle!$H$12,regle!$H$11,
IF(AV281=regle!$I$12,regle!$I$11,""))))))))))</f>
        <v/>
      </c>
      <c r="AC281" t="str">
        <f>IF(NOT($A281),"",
IF(AW281=-2,regle!$J$11,
IF(AW281=regle!$B$12,regle!$B$11,
IF(AW281=regle!$C$12,regle!$C$11,
IF(AW281=regle!$D$12,regle!$D$11,
IF(AW281=regle!$E$12,regle!$E$11,
IF(AW281=regle!$F$12,regle!$F$11,
IF(AW281=regle!$G$12,regle!$G$11,
IF(AW281=regle!$H$12,regle!$H$11,
IF(AW281=regle!$I$12,regle!$I$11,""))))))))))</f>
        <v>ENT2</v>
      </c>
      <c r="AD281" t="str">
        <f>IF(NOT($A281),"",
IF(AX281=-2,regle!$J$11,
IF(AX281=regle!$B$12,regle!$B$11,
IF(AX281=regle!$C$12,regle!$C$11,
IF(AX281=regle!$D$12,regle!$D$11,
IF(AX281=regle!$E$12,regle!$E$11,
IF(AX281=regle!$F$12,regle!$F$11,
IF(AX281=regle!$G$12,regle!$G$11,
IF(AX281=regle!$H$12,regle!$H$11,
IF(AX281=regle!$I$12,regle!$I$11,""))))))))))</f>
        <v/>
      </c>
      <c r="AE281" s="14">
        <f>IF($A281,$M281*(IF(U281=regle!$B$11,regle!$B$23,IF(U281=regle!$C$11,regle!$C$23,IF(U281=regle!$D$11,regle!$D$23,IF(U281=regle!$E$11,regle!$E$23,IF(U281=regle!$F$11,regle!$F$23,IF(U281=regle!$G$11,regle!$G$23,IF(U281=regle!$H$11,regle!$H$23,IF(U281=regle!$I$11,regle!$I$23,IF(U281=regle!$J$11,regle!$J$23,0)))))))))))</f>
        <v>-1006.7399999999999</v>
      </c>
      <c r="AF281" s="14">
        <f>IF($A281,$M281*(IF(V281=regle!$B$11,regle!$B$23,IF(V281=regle!$C$11,regle!$C$23,IF(V281=regle!$D$11,regle!$D$23,IF(V281=regle!$E$11,regle!$E$23,IF(V281=regle!$F$11,regle!$F$23,IF(V281=regle!$G$11,regle!$G$23,IF(V281=regle!$H$11,regle!$H$23,IF(V281=regle!$I$11,regle!$I$23,IF(V281=regle!$J$11,regle!$J$23,0)))))))))))</f>
        <v>0</v>
      </c>
      <c r="AG281" s="14">
        <f>IF($A281,$M281*(IF(W281=regle!$B$11,regle!$B$23,IF(W281=regle!$C$11,regle!$C$23,IF(W281=regle!$D$11,regle!$D$23,IF(W281=regle!$E$11,regle!$E$23,IF(W281=regle!$F$11,regle!$F$23,IF(W281=regle!$G$11,regle!$G$23,IF(W281=regle!$H$11,regle!$H$23,IF(W281=regle!$I$11,regle!$I$23,IF(W281=regle!$J$11,regle!$J$23,0)))))))))))</f>
        <v>-44.414999999999999</v>
      </c>
      <c r="AH281" s="14">
        <f>IF($A281,$M281*(IF(X281=regle!$B$11,regle!$B$23,IF(X281=regle!$C$11,regle!$C$23,IF(X281=regle!$D$11,regle!$D$23,IF(X281=regle!$E$11,regle!$E$23,IF(X281=regle!$F$11,regle!$F$23,IF(X281=regle!$G$11,regle!$G$23,IF(X281=regle!$H$11,regle!$H$23,IF(X281=regle!$I$11,regle!$I$23,IF(X281=regle!$J$11,regle!$J$23,0)))))))))))</f>
        <v>0</v>
      </c>
      <c r="AI281" s="14">
        <f>IF($A281,$M281*(IF(Y281=regle!$B$11,regle!$B$23,IF(Y281=regle!$C$11,regle!$C$23,IF(Y281=regle!$D$11,regle!$D$23,IF(Y281=regle!$E$11,regle!$E$23,IF(Y281=regle!$F$11,regle!$F$23,IF(Y281=regle!$G$11,regle!$G$23,IF(Y281=regle!$H$11,regle!$H$23,IF(Y281=regle!$I$11,regle!$I$23,IF(Y281=regle!$J$11,regle!$J$23,0)))))))))))</f>
        <v>0</v>
      </c>
      <c r="AJ281" s="14">
        <f>IF($A281,$M281*(IF(Z281=regle!$B$11,regle!$B$23,IF(Z281=regle!$C$11,regle!$C$23,IF(Z281=regle!$D$11,regle!$D$23,IF(Z281=regle!$E$11,regle!$E$23,IF(Z281=regle!$F$11,regle!$F$23,IF(Z281=regle!$G$11,regle!$G$23,IF(Z281=regle!$H$11,regle!$H$23,IF(Z281=regle!$I$11,regle!$I$23,IF(Z281=regle!$J$11,regle!$J$23,0)))))))))))</f>
        <v>-53.297999999999995</v>
      </c>
      <c r="AK281" s="14">
        <f>IF($A281,$M281*(IF(AA281=regle!$B$11,regle!$B$23,IF(AA281=regle!$C$11,regle!$C$23,IF(AA281=regle!$D$11,regle!$D$23,IF(AA281=regle!$E$11,regle!$E$23,IF(AA281=regle!$F$11,regle!$F$23,IF(AA281=regle!$G$11,regle!$G$23,IF(AA281=regle!$H$11,regle!$H$23,IF(AA281=regle!$I$11,regle!$I$23,IF(AA281=regle!$J$11,regle!$J$23,0)))))))))))</f>
        <v>0</v>
      </c>
      <c r="AL281" s="14">
        <f>IF($A281,$M281*(IF(AB281=regle!$B$11,regle!$B$23,IF(AB281=regle!$C$11,regle!$C$23,IF(AB281=regle!$D$11,regle!$D$23,IF(AB281=regle!$E$11,regle!$E$23,IF(AB281=regle!$F$11,regle!$F$23,IF(AB281=regle!$G$11,regle!$G$23,IF(AB281=regle!$H$11,regle!$H$23,IF(AB281=regle!$I$11,regle!$I$23,IF(AB281=regle!$J$11,regle!$J$23,0)))))))))))</f>
        <v>0</v>
      </c>
      <c r="AM281" s="14">
        <f>IF($A281,$M281*(IF(AC281=regle!$B$11,regle!$B$23,IF(AC281=regle!$C$11,regle!$C$23,IF(AC281=regle!$D$11,regle!$D$23,IF(AC281=regle!$E$11,regle!$E$23,IF(AC281=regle!$F$11,regle!$F$23,IF(AC281=regle!$G$11,regle!$G$23,IF(AC281=regle!$H$11,regle!$H$23,IF(AC281=regle!$I$11,regle!$I$23,IF(AC281=regle!$J$11,regle!$J$23,0)))))))))))</f>
        <v>-53.297999999999995</v>
      </c>
      <c r="AN281" s="14">
        <f>IF($A281,$M281*(IF(AD281=regle!$B$11,regle!$B$23,IF(AD281=regle!$C$11,regle!$C$23,IF(AD281=regle!$D$11,regle!$D$23,IF(AD281=regle!$E$11,regle!$E$23,IF(AD281=regle!$F$11,regle!$F$23,IF(AD281=regle!$G$11,regle!$G$23,IF(AD281=regle!$H$11,regle!$H$23,IF(AD281=regle!$I$11,regle!$I$23,IF(AD281=regle!$J$11,regle!$J$23,0)))))))))))</f>
        <v>0</v>
      </c>
      <c r="AO281">
        <f>IF(AO$1=$AO$1,IF(regle!B$2-$Q281&gt;=regle!$J$12,-2,IF($S281,IF(regle!$B$2-$Q281&gt;=2,0,-1),regle!B$2-$Q281)),IF(AN281+1&gt;=regle!$J$12,-2,AN281+1))</f>
        <v>0</v>
      </c>
      <c r="AP281">
        <f>IF(AP$1=$AO$1,IF(regle!C$2-$Q281&gt;=regle!$J$12,-2,IF($S281,IF(regle!$B$2-$Q281&gt;=2,0,-1),regle!C$2-$Q281)),IF(AO281+1&gt;=regle!$J$12,-2,AO281+1))</f>
        <v>1</v>
      </c>
      <c r="AQ281">
        <f>IF(AQ$1=$AO$1,IF(regle!D$2-$Q281&gt;=regle!$J$12,-2,IF($S281,IF(regle!$B$2-$Q281&gt;=2,0,-1),regle!D$2-$Q281)),IF(AP281+1&gt;=regle!$J$12,-2,AP281+1))</f>
        <v>2</v>
      </c>
      <c r="AR281">
        <f>IF(AR$1=$AO$1,IF(regle!E$2-$Q281&gt;=regle!$J$12,-2,IF($S281,IF(regle!$B$2-$Q281&gt;=2,0,-1),regle!E$2-$Q281)),IF(AQ281+1&gt;=regle!$J$12,-2,AQ281+1))</f>
        <v>3</v>
      </c>
      <c r="AS281">
        <f>IF(AS$1=$AO$1,IF(regle!F$2-$Q281&gt;=regle!$J$12,-2,IF($S281,IF(regle!$B$2-$Q281&gt;=2,0,-1),regle!F$2-$Q281)),IF(AR281+1&gt;=regle!$J$12,-2,AR281+1))</f>
        <v>4</v>
      </c>
      <c r="AT281">
        <f>IF(AT$1=$AO$1,IF(regle!G$2-$Q281&gt;=regle!$J$12,-2,IF($S281,IF(regle!$B$2-$Q281&gt;=2,0,-1),regle!G$2-$Q281)),IF(AS281+1&gt;=regle!$J$12,-2,AS281+1))</f>
        <v>5</v>
      </c>
      <c r="AU281">
        <f>IF(AU$1=$AO$1,IF(regle!H$2-$Q281&gt;=regle!$J$12,-2,IF($S281,IF(regle!$B$2-$Q281&gt;=2,0,-1),regle!H$2-$Q281)),IF(AT281+1&gt;=regle!$J$12,-2,AT281+1))</f>
        <v>6</v>
      </c>
      <c r="AV281">
        <f>IF(AV$1=$AO$1,IF(regle!I$2-$Q281&gt;=regle!$J$12,-2,IF($S281,IF(regle!$B$2-$Q281&gt;=2,0,-1),regle!I$2-$Q281)),IF(AU281+1&gt;=regle!$J$12,-2,AU281+1))</f>
        <v>7</v>
      </c>
      <c r="AW281">
        <f>IF(AW$1=$AO$1,IF(regle!J$2-$Q281&gt;=regle!$J$12,-2,IF($S281,IF(regle!$B$2-$Q281&gt;=2,0,-1),regle!J$2-$Q281)),IF(AV281+1&gt;=regle!$J$12,-2,AV281+1))</f>
        <v>8</v>
      </c>
      <c r="AX281">
        <f>IF(AX$1=$AO$1,IF(regle!K$2-$Q281&gt;=regle!$J$12,-2,IF($S281,IF(regle!$B$2-$Q281&gt;=2,0,-1),regle!K$2-$Q281)),IF(AW281+1&gt;=regle!$J$12,-2,AW281+1))</f>
        <v>9</v>
      </c>
    </row>
    <row r="282" spans="1:50" x14ac:dyDescent="0.25">
      <c r="A282" t="b">
        <f>AND(modif0[[#This Row],[cdstr]]&lt;&gt;0,OR(regle!$H$27=FALSE,modif0[[#This Row],[essnc]]="PM"))</f>
        <v>1</v>
      </c>
      <c r="B282">
        <f>ROW(objet!A330)</f>
        <v>330</v>
      </c>
      <c r="C282" s="10" t="str">
        <f>objet!D330</f>
        <v>1710000B0315</v>
      </c>
      <c r="D282" t="str">
        <f>LEFT(modif0[[#This Row],[cdstr]],3)</f>
        <v>171</v>
      </c>
      <c r="E282" s="10" t="str">
        <f>objet!G330</f>
        <v>MANO</v>
      </c>
      <c r="F282">
        <f>LEN(modif0[[#This Row],[l_dt]])</f>
        <v>17</v>
      </c>
      <c r="G282" s="10" t="str">
        <f>objet!H330</f>
        <v>LANDE DE TABARTON</v>
      </c>
      <c r="H282" s="10" t="str">
        <f>objet!C330</f>
        <v>B315</v>
      </c>
      <c r="I282" t="str">
        <f>IF(ISNUMBER(VALUE(RIGHT(LEFT(modif0[[#This Row],[idntfn]],2),1))),_xlfn.CONCAT(0,LEFT(modif0[[#This Row],[idntfn]],1)),LEFT(modif0[[#This Row],[idntfn]],2))</f>
        <v>0B</v>
      </c>
      <c r="J282">
        <f>VALUE(LEFT(RIGHT(modif0[[#This Row],[idntfn]],LEN(modif0[[#This Row],[idntfn]])-IF(LEFT(modif0[[#This Row],[sctn]],1)="0",1,2)),LEN(modif0[[#This Row],[idntfn]])-IF(LEFT(modif0[[#This Row],[sctn]],1)="0",1,2)-LEN(modif0[[#This Row],[lttr]])))</f>
        <v>315</v>
      </c>
      <c r="K282" t="str">
        <f>IF(ISNUMBER(VALUE(RIGHT(modif0[[#This Row],[idntfn]],1))),"",IF(ISNUMBER(VALUE(LEFT(RIGHT(modif0[[#This Row],[idntfn]],2),1))),RIGHT(modif0[[#This Row],[idntfn]],1),RIGHT(modif0[[#This Row],[idntfn]],2)))</f>
        <v/>
      </c>
      <c r="L282" s="10">
        <f>objet!I330</f>
        <v>1250</v>
      </c>
      <c r="M282" s="11">
        <f>modif0[[#This Row],[srfc]]/10000</f>
        <v>0.125</v>
      </c>
      <c r="N282" s="10" t="str">
        <f>objet!Z330</f>
        <v>PM</v>
      </c>
      <c r="O282" s="10" t="str">
        <f>objet!AA330</f>
        <v>CR2022</v>
      </c>
      <c r="P282" t="str">
        <f>IF(ISNUMBER(modif0[[#This Row],[trvx]]),"",LEFT(modif0[[#This Row],[trvx]],LEN(modif0[[#This Row],[trvx]])-4))</f>
        <v>CR</v>
      </c>
      <c r="Q282">
        <f>VALUE(RIGHT(modif0[[#This Row],[trvx]],4))</f>
        <v>2022</v>
      </c>
      <c r="R282" t="str">
        <f>_xlfn.CONCAT(modif0[[#This Row],[tp]],"-",modif0[[#This Row],[essnc]],"_",modif0[[#This Row],[anns]])</f>
        <v>CR-PM_2022</v>
      </c>
      <c r="S282" t="b">
        <f>modif0[[#This Row],[tp]]="CR"</f>
        <v>1</v>
      </c>
      <c r="T282">
        <v>40</v>
      </c>
      <c r="U282" t="str">
        <f>IF(NOT($A282),"",
IF(AO282=-2,regle!$J$11,
IF(AO282=regle!$B$12,regle!$B$11,
IF(AO282=regle!$C$12,regle!$C$11,
IF(AO282=regle!$D$12,regle!$D$11,
IF(AO282=regle!$E$12,regle!$E$11,
IF(AO282=regle!$F$12,regle!$F$11,
IF(AO282=regle!$G$12,regle!$G$11,
IF(AO282=regle!$H$12,regle!$H$11,
IF(AO282=regle!$I$12,regle!$I$11,""))))))))))</f>
        <v>RBST</v>
      </c>
      <c r="V282" t="str">
        <f>IF(NOT($A282),"",
IF(AP282=-2,regle!$J$11,
IF(AP282=regle!$B$12,regle!$B$11,
IF(AP282=regle!$C$12,regle!$C$11,
IF(AP282=regle!$D$12,regle!$D$11,
IF(AP282=regle!$E$12,regle!$E$11,
IF(AP282=regle!$F$12,regle!$F$11,
IF(AP282=regle!$G$12,regle!$G$11,
IF(AP282=regle!$H$12,regle!$H$11,
IF(AP282=regle!$I$12,regle!$I$11,""))))))))))</f>
        <v/>
      </c>
      <c r="W282" t="str">
        <f>IF(NOT($A282),"",
IF(AQ282=-2,regle!$J$11,
IF(AQ282=regle!$B$12,regle!$B$11,
IF(AQ282=regle!$C$12,regle!$C$11,
IF(AQ282=regle!$D$12,regle!$D$11,
IF(AQ282=regle!$E$12,regle!$E$11,
IF(AQ282=regle!$F$12,regle!$F$11,
IF(AQ282=regle!$G$12,regle!$G$11,
IF(AQ282=regle!$H$12,regle!$H$11,
IF(AQ282=regle!$I$12,regle!$I$11,""))))))))))</f>
        <v>DGT</v>
      </c>
      <c r="X282" t="str">
        <f>IF(NOT($A282),"",
IF(AR282=-2,regle!$J$11,
IF(AR282=regle!$B$12,regle!$B$11,
IF(AR282=regle!$C$12,regle!$C$11,
IF(AR282=regle!$D$12,regle!$D$11,
IF(AR282=regle!$E$12,regle!$E$11,
IF(AR282=regle!$F$12,regle!$F$11,
IF(AR282=regle!$G$12,regle!$G$11,
IF(AR282=regle!$H$12,regle!$H$11,
IF(AR282=regle!$I$12,regle!$I$11,""))))))))))</f>
        <v/>
      </c>
      <c r="Y282" t="str">
        <f>IF(NOT($A282),"",
IF(AS282=-2,regle!$J$11,
IF(AS282=regle!$B$12,regle!$B$11,
IF(AS282=regle!$C$12,regle!$C$11,
IF(AS282=regle!$D$12,regle!$D$11,
IF(AS282=regle!$E$12,regle!$E$11,
IF(AS282=regle!$F$12,regle!$F$11,
IF(AS282=regle!$G$12,regle!$G$11,
IF(AS282=regle!$H$12,regle!$H$11,
IF(AS282=regle!$I$12,regle!$I$11,""))))))))))</f>
        <v/>
      </c>
      <c r="Z282" t="str">
        <f>IF(NOT($A282),"",
IF(AT282=-2,regle!$J$11,
IF(AT282=regle!$B$12,regle!$B$11,
IF(AT282=regle!$C$12,regle!$C$11,
IF(AT282=regle!$D$12,regle!$D$11,
IF(AT282=regle!$E$12,regle!$E$11,
IF(AT282=regle!$F$12,regle!$F$11,
IF(AT282=regle!$G$12,regle!$G$11,
IF(AT282=regle!$H$12,regle!$H$11,
IF(AT282=regle!$I$12,regle!$I$11,""))))))))))</f>
        <v>ENT1</v>
      </c>
      <c r="AA282" t="str">
        <f>IF(NOT($A282),"",
IF(AU282=-2,regle!$J$11,
IF(AU282=regle!$B$12,regle!$B$11,
IF(AU282=regle!$C$12,regle!$C$11,
IF(AU282=regle!$D$12,regle!$D$11,
IF(AU282=regle!$E$12,regle!$E$11,
IF(AU282=regle!$F$12,regle!$F$11,
IF(AU282=regle!$G$12,regle!$G$11,
IF(AU282=regle!$H$12,regle!$H$11,
IF(AU282=regle!$I$12,regle!$I$11,""))))))))))</f>
        <v/>
      </c>
      <c r="AB282" t="str">
        <f>IF(NOT($A282),"",
IF(AV282=-2,regle!$J$11,
IF(AV282=regle!$B$12,regle!$B$11,
IF(AV282=regle!$C$12,regle!$C$11,
IF(AV282=regle!$D$12,regle!$D$11,
IF(AV282=regle!$E$12,regle!$E$11,
IF(AV282=regle!$F$12,regle!$F$11,
IF(AV282=regle!$G$12,regle!$G$11,
IF(AV282=regle!$H$12,regle!$H$11,
IF(AV282=regle!$I$12,regle!$I$11,""))))))))))</f>
        <v/>
      </c>
      <c r="AC282" t="str">
        <f>IF(NOT($A282),"",
IF(AW282=-2,regle!$J$11,
IF(AW282=regle!$B$12,regle!$B$11,
IF(AW282=regle!$C$12,regle!$C$11,
IF(AW282=regle!$D$12,regle!$D$11,
IF(AW282=regle!$E$12,regle!$E$11,
IF(AW282=regle!$F$12,regle!$F$11,
IF(AW282=regle!$G$12,regle!$G$11,
IF(AW282=regle!$H$12,regle!$H$11,
IF(AW282=regle!$I$12,regle!$I$11,""))))))))))</f>
        <v>ENT2</v>
      </c>
      <c r="AD282" t="str">
        <f>IF(NOT($A282),"",
IF(AX282=-2,regle!$J$11,
IF(AX282=regle!$B$12,regle!$B$11,
IF(AX282=regle!$C$12,regle!$C$11,
IF(AX282=regle!$D$12,regle!$D$11,
IF(AX282=regle!$E$12,regle!$E$11,
IF(AX282=regle!$F$12,regle!$F$11,
IF(AX282=regle!$G$12,regle!$G$11,
IF(AX282=regle!$H$12,regle!$H$11,
IF(AX282=regle!$I$12,regle!$I$11,""))))))))))</f>
        <v/>
      </c>
      <c r="AE282" s="14">
        <f>IF($A282,$M282*(IF(U282=regle!$B$11,regle!$B$23,IF(U282=regle!$C$11,regle!$C$23,IF(U282=regle!$D$11,regle!$D$23,IF(U282=regle!$E$11,regle!$E$23,IF(U282=regle!$F$11,regle!$F$23,IF(U282=regle!$G$11,regle!$G$23,IF(U282=regle!$H$11,regle!$H$23,IF(U282=regle!$I$11,regle!$I$23,IF(U282=regle!$J$11,regle!$J$23,0)))))))))))</f>
        <v>-212.5</v>
      </c>
      <c r="AF282" s="14">
        <f>IF($A282,$M282*(IF(V282=regle!$B$11,regle!$B$23,IF(V282=regle!$C$11,regle!$C$23,IF(V282=regle!$D$11,regle!$D$23,IF(V282=regle!$E$11,regle!$E$23,IF(V282=regle!$F$11,regle!$F$23,IF(V282=regle!$G$11,regle!$G$23,IF(V282=regle!$H$11,regle!$H$23,IF(V282=regle!$I$11,regle!$I$23,IF(V282=regle!$J$11,regle!$J$23,0)))))))))))</f>
        <v>0</v>
      </c>
      <c r="AG282" s="14">
        <f>IF($A282,$M282*(IF(W282=regle!$B$11,regle!$B$23,IF(W282=regle!$C$11,regle!$C$23,IF(W282=regle!$D$11,regle!$D$23,IF(W282=regle!$E$11,regle!$E$23,IF(W282=regle!$F$11,regle!$F$23,IF(W282=regle!$G$11,regle!$G$23,IF(W282=regle!$H$11,regle!$H$23,IF(W282=regle!$I$11,regle!$I$23,IF(W282=regle!$J$11,regle!$J$23,0)))))))))))</f>
        <v>-9.375</v>
      </c>
      <c r="AH282" s="14">
        <f>IF($A282,$M282*(IF(X282=regle!$B$11,regle!$B$23,IF(X282=regle!$C$11,regle!$C$23,IF(X282=regle!$D$11,regle!$D$23,IF(X282=regle!$E$11,regle!$E$23,IF(X282=regle!$F$11,regle!$F$23,IF(X282=regle!$G$11,regle!$G$23,IF(X282=regle!$H$11,regle!$H$23,IF(X282=regle!$I$11,regle!$I$23,IF(X282=regle!$J$11,regle!$J$23,0)))))))))))</f>
        <v>0</v>
      </c>
      <c r="AI282" s="14">
        <f>IF($A282,$M282*(IF(Y282=regle!$B$11,regle!$B$23,IF(Y282=regle!$C$11,regle!$C$23,IF(Y282=regle!$D$11,regle!$D$23,IF(Y282=regle!$E$11,regle!$E$23,IF(Y282=regle!$F$11,regle!$F$23,IF(Y282=regle!$G$11,regle!$G$23,IF(Y282=regle!$H$11,regle!$H$23,IF(Y282=regle!$I$11,regle!$I$23,IF(Y282=regle!$J$11,regle!$J$23,0)))))))))))</f>
        <v>0</v>
      </c>
      <c r="AJ282" s="14">
        <f>IF($A282,$M282*(IF(Z282=regle!$B$11,regle!$B$23,IF(Z282=regle!$C$11,regle!$C$23,IF(Z282=regle!$D$11,regle!$D$23,IF(Z282=regle!$E$11,regle!$E$23,IF(Z282=regle!$F$11,regle!$F$23,IF(Z282=regle!$G$11,regle!$G$23,IF(Z282=regle!$H$11,regle!$H$23,IF(Z282=regle!$I$11,regle!$I$23,IF(Z282=regle!$J$11,regle!$J$23,0)))))))))))</f>
        <v>-11.25</v>
      </c>
      <c r="AK282" s="14">
        <f>IF($A282,$M282*(IF(AA282=regle!$B$11,regle!$B$23,IF(AA282=regle!$C$11,regle!$C$23,IF(AA282=regle!$D$11,regle!$D$23,IF(AA282=regle!$E$11,regle!$E$23,IF(AA282=regle!$F$11,regle!$F$23,IF(AA282=regle!$G$11,regle!$G$23,IF(AA282=regle!$H$11,regle!$H$23,IF(AA282=regle!$I$11,regle!$I$23,IF(AA282=regle!$J$11,regle!$J$23,0)))))))))))</f>
        <v>0</v>
      </c>
      <c r="AL282" s="14">
        <f>IF($A282,$M282*(IF(AB282=regle!$B$11,regle!$B$23,IF(AB282=regle!$C$11,regle!$C$23,IF(AB282=regle!$D$11,regle!$D$23,IF(AB282=regle!$E$11,regle!$E$23,IF(AB282=regle!$F$11,regle!$F$23,IF(AB282=regle!$G$11,regle!$G$23,IF(AB282=regle!$H$11,regle!$H$23,IF(AB282=regle!$I$11,regle!$I$23,IF(AB282=regle!$J$11,regle!$J$23,0)))))))))))</f>
        <v>0</v>
      </c>
      <c r="AM282" s="14">
        <f>IF($A282,$M282*(IF(AC282=regle!$B$11,regle!$B$23,IF(AC282=regle!$C$11,regle!$C$23,IF(AC282=regle!$D$11,regle!$D$23,IF(AC282=regle!$E$11,regle!$E$23,IF(AC282=regle!$F$11,regle!$F$23,IF(AC282=regle!$G$11,regle!$G$23,IF(AC282=regle!$H$11,regle!$H$23,IF(AC282=regle!$I$11,regle!$I$23,IF(AC282=regle!$J$11,regle!$J$23,0)))))))))))</f>
        <v>-11.25</v>
      </c>
      <c r="AN282" s="14">
        <f>IF($A282,$M282*(IF(AD282=regle!$B$11,regle!$B$23,IF(AD282=regle!$C$11,regle!$C$23,IF(AD282=regle!$D$11,regle!$D$23,IF(AD282=regle!$E$11,regle!$E$23,IF(AD282=regle!$F$11,regle!$F$23,IF(AD282=regle!$G$11,regle!$G$23,IF(AD282=regle!$H$11,regle!$H$23,IF(AD282=regle!$I$11,regle!$I$23,IF(AD282=regle!$J$11,regle!$J$23,0)))))))))))</f>
        <v>0</v>
      </c>
      <c r="AO282">
        <f>IF(AO$1=$AO$1,IF(regle!B$2-$Q282&gt;=regle!$J$12,-2,IF($S282,IF(regle!$B$2-$Q282&gt;=2,0,-1),regle!B$2-$Q282)),IF(AN282+1&gt;=regle!$J$12,-2,AN282+1))</f>
        <v>0</v>
      </c>
      <c r="AP282">
        <f>IF(AP$1=$AO$1,IF(regle!C$2-$Q282&gt;=regle!$J$12,-2,IF($S282,IF(regle!$B$2-$Q282&gt;=2,0,-1),regle!C$2-$Q282)),IF(AO282+1&gt;=regle!$J$12,-2,AO282+1))</f>
        <v>1</v>
      </c>
      <c r="AQ282">
        <f>IF(AQ$1=$AO$1,IF(regle!D$2-$Q282&gt;=regle!$J$12,-2,IF($S282,IF(regle!$B$2-$Q282&gt;=2,0,-1),regle!D$2-$Q282)),IF(AP282+1&gt;=regle!$J$12,-2,AP282+1))</f>
        <v>2</v>
      </c>
      <c r="AR282">
        <f>IF(AR$1=$AO$1,IF(regle!E$2-$Q282&gt;=regle!$J$12,-2,IF($S282,IF(regle!$B$2-$Q282&gt;=2,0,-1),regle!E$2-$Q282)),IF(AQ282+1&gt;=regle!$J$12,-2,AQ282+1))</f>
        <v>3</v>
      </c>
      <c r="AS282">
        <f>IF(AS$1=$AO$1,IF(regle!F$2-$Q282&gt;=regle!$J$12,-2,IF($S282,IF(regle!$B$2-$Q282&gt;=2,0,-1),regle!F$2-$Q282)),IF(AR282+1&gt;=regle!$J$12,-2,AR282+1))</f>
        <v>4</v>
      </c>
      <c r="AT282">
        <f>IF(AT$1=$AO$1,IF(regle!G$2-$Q282&gt;=regle!$J$12,-2,IF($S282,IF(regle!$B$2-$Q282&gt;=2,0,-1),regle!G$2-$Q282)),IF(AS282+1&gt;=regle!$J$12,-2,AS282+1))</f>
        <v>5</v>
      </c>
      <c r="AU282">
        <f>IF(AU$1=$AO$1,IF(regle!H$2-$Q282&gt;=regle!$J$12,-2,IF($S282,IF(regle!$B$2-$Q282&gt;=2,0,-1),regle!H$2-$Q282)),IF(AT282+1&gt;=regle!$J$12,-2,AT282+1))</f>
        <v>6</v>
      </c>
      <c r="AV282">
        <f>IF(AV$1=$AO$1,IF(regle!I$2-$Q282&gt;=regle!$J$12,-2,IF($S282,IF(regle!$B$2-$Q282&gt;=2,0,-1),regle!I$2-$Q282)),IF(AU282+1&gt;=regle!$J$12,-2,AU282+1))</f>
        <v>7</v>
      </c>
      <c r="AW282">
        <f>IF(AW$1=$AO$1,IF(regle!J$2-$Q282&gt;=regle!$J$12,-2,IF($S282,IF(regle!$B$2-$Q282&gt;=2,0,-1),regle!J$2-$Q282)),IF(AV282+1&gt;=regle!$J$12,-2,AV282+1))</f>
        <v>8</v>
      </c>
      <c r="AX282">
        <f>IF(AX$1=$AO$1,IF(regle!K$2-$Q282&gt;=regle!$J$12,-2,IF($S282,IF(regle!$B$2-$Q282&gt;=2,0,-1),regle!K$2-$Q282)),IF(AW282+1&gt;=regle!$J$12,-2,AW282+1))</f>
        <v>9</v>
      </c>
    </row>
    <row r="283" spans="1:50" x14ac:dyDescent="0.25">
      <c r="A283" t="b">
        <f>AND(modif0[[#This Row],[cdstr]]&lt;&gt;0,OR(regle!$H$27=FALSE,modif0[[#This Row],[essnc]]="PM"))</f>
        <v>1</v>
      </c>
      <c r="B283">
        <f>ROW(objet!A331)</f>
        <v>331</v>
      </c>
      <c r="C283" s="10" t="str">
        <f>objet!D331</f>
        <v>1710000B0320</v>
      </c>
      <c r="D283" t="str">
        <f>LEFT(modif0[[#This Row],[cdstr]],3)</f>
        <v>171</v>
      </c>
      <c r="E283" s="10" t="str">
        <f>objet!G331</f>
        <v>MANO</v>
      </c>
      <c r="F283">
        <f>LEN(modif0[[#This Row],[l_dt]])</f>
        <v>17</v>
      </c>
      <c r="G283" s="10" t="str">
        <f>objet!H331</f>
        <v>LANDE DE TABARTON</v>
      </c>
      <c r="H283" s="10" t="str">
        <f>objet!C331</f>
        <v>B320</v>
      </c>
      <c r="I283" t="str">
        <f>IF(ISNUMBER(VALUE(RIGHT(LEFT(modif0[[#This Row],[idntfn]],2),1))),_xlfn.CONCAT(0,LEFT(modif0[[#This Row],[idntfn]],1)),LEFT(modif0[[#This Row],[idntfn]],2))</f>
        <v>0B</v>
      </c>
      <c r="J283">
        <f>VALUE(LEFT(RIGHT(modif0[[#This Row],[idntfn]],LEN(modif0[[#This Row],[idntfn]])-IF(LEFT(modif0[[#This Row],[sctn]],1)="0",1,2)),LEN(modif0[[#This Row],[idntfn]])-IF(LEFT(modif0[[#This Row],[sctn]],1)="0",1,2)-LEN(modif0[[#This Row],[lttr]])))</f>
        <v>320</v>
      </c>
      <c r="K283" t="str">
        <f>IF(ISNUMBER(VALUE(RIGHT(modif0[[#This Row],[idntfn]],1))),"",IF(ISNUMBER(VALUE(LEFT(RIGHT(modif0[[#This Row],[idntfn]],2),1))),RIGHT(modif0[[#This Row],[idntfn]],1),RIGHT(modif0[[#This Row],[idntfn]],2)))</f>
        <v/>
      </c>
      <c r="L283" s="10">
        <f>objet!I331</f>
        <v>17027</v>
      </c>
      <c r="M283" s="11">
        <f>modif0[[#This Row],[srfc]]/10000</f>
        <v>1.7027000000000001</v>
      </c>
      <c r="N283" s="10" t="str">
        <f>objet!Z331</f>
        <v>PM</v>
      </c>
      <c r="O283" s="10" t="str">
        <f>objet!AA331</f>
        <v>CR2022</v>
      </c>
      <c r="P283" t="str">
        <f>IF(ISNUMBER(modif0[[#This Row],[trvx]]),"",LEFT(modif0[[#This Row],[trvx]],LEN(modif0[[#This Row],[trvx]])-4))</f>
        <v>CR</v>
      </c>
      <c r="Q283">
        <f>VALUE(RIGHT(modif0[[#This Row],[trvx]],4))</f>
        <v>2022</v>
      </c>
      <c r="R283" t="str">
        <f>_xlfn.CONCAT(modif0[[#This Row],[tp]],"-",modif0[[#This Row],[essnc]],"_",modif0[[#This Row],[anns]])</f>
        <v>CR-PM_2022</v>
      </c>
      <c r="S283" t="b">
        <f>modif0[[#This Row],[tp]]="CR"</f>
        <v>1</v>
      </c>
      <c r="T283">
        <v>40</v>
      </c>
      <c r="U283" t="str">
        <f>IF(NOT($A283),"",
IF(AO283=-2,regle!$J$11,
IF(AO283=regle!$B$12,regle!$B$11,
IF(AO283=regle!$C$12,regle!$C$11,
IF(AO283=regle!$D$12,regle!$D$11,
IF(AO283=regle!$E$12,regle!$E$11,
IF(AO283=regle!$F$12,regle!$F$11,
IF(AO283=regle!$G$12,regle!$G$11,
IF(AO283=regle!$H$12,regle!$H$11,
IF(AO283=regle!$I$12,regle!$I$11,""))))))))))</f>
        <v>RBST</v>
      </c>
      <c r="V283" t="str">
        <f>IF(NOT($A283),"",
IF(AP283=-2,regle!$J$11,
IF(AP283=regle!$B$12,regle!$B$11,
IF(AP283=regle!$C$12,regle!$C$11,
IF(AP283=regle!$D$12,regle!$D$11,
IF(AP283=regle!$E$12,regle!$E$11,
IF(AP283=regle!$F$12,regle!$F$11,
IF(AP283=regle!$G$12,regle!$G$11,
IF(AP283=regle!$H$12,regle!$H$11,
IF(AP283=regle!$I$12,regle!$I$11,""))))))))))</f>
        <v/>
      </c>
      <c r="W283" t="str">
        <f>IF(NOT($A283),"",
IF(AQ283=-2,regle!$J$11,
IF(AQ283=regle!$B$12,regle!$B$11,
IF(AQ283=regle!$C$12,regle!$C$11,
IF(AQ283=regle!$D$12,regle!$D$11,
IF(AQ283=regle!$E$12,regle!$E$11,
IF(AQ283=regle!$F$12,regle!$F$11,
IF(AQ283=regle!$G$12,regle!$G$11,
IF(AQ283=regle!$H$12,regle!$H$11,
IF(AQ283=regle!$I$12,regle!$I$11,""))))))))))</f>
        <v>DGT</v>
      </c>
      <c r="X283" t="str">
        <f>IF(NOT($A283),"",
IF(AR283=-2,regle!$J$11,
IF(AR283=regle!$B$12,regle!$B$11,
IF(AR283=regle!$C$12,regle!$C$11,
IF(AR283=regle!$D$12,regle!$D$11,
IF(AR283=regle!$E$12,regle!$E$11,
IF(AR283=regle!$F$12,regle!$F$11,
IF(AR283=regle!$G$12,regle!$G$11,
IF(AR283=regle!$H$12,regle!$H$11,
IF(AR283=regle!$I$12,regle!$I$11,""))))))))))</f>
        <v/>
      </c>
      <c r="Y283" t="str">
        <f>IF(NOT($A283),"",
IF(AS283=-2,regle!$J$11,
IF(AS283=regle!$B$12,regle!$B$11,
IF(AS283=regle!$C$12,regle!$C$11,
IF(AS283=regle!$D$12,regle!$D$11,
IF(AS283=regle!$E$12,regle!$E$11,
IF(AS283=regle!$F$12,regle!$F$11,
IF(AS283=regle!$G$12,regle!$G$11,
IF(AS283=regle!$H$12,regle!$H$11,
IF(AS283=regle!$I$12,regle!$I$11,""))))))))))</f>
        <v/>
      </c>
      <c r="Z283" t="str">
        <f>IF(NOT($A283),"",
IF(AT283=-2,regle!$J$11,
IF(AT283=regle!$B$12,regle!$B$11,
IF(AT283=regle!$C$12,regle!$C$11,
IF(AT283=regle!$D$12,regle!$D$11,
IF(AT283=regle!$E$12,regle!$E$11,
IF(AT283=regle!$F$12,regle!$F$11,
IF(AT283=regle!$G$12,regle!$G$11,
IF(AT283=regle!$H$12,regle!$H$11,
IF(AT283=regle!$I$12,regle!$I$11,""))))))))))</f>
        <v>ENT1</v>
      </c>
      <c r="AA283" t="str">
        <f>IF(NOT($A283),"",
IF(AU283=-2,regle!$J$11,
IF(AU283=regle!$B$12,regle!$B$11,
IF(AU283=regle!$C$12,regle!$C$11,
IF(AU283=regle!$D$12,regle!$D$11,
IF(AU283=regle!$E$12,regle!$E$11,
IF(AU283=regle!$F$12,regle!$F$11,
IF(AU283=regle!$G$12,regle!$G$11,
IF(AU283=regle!$H$12,regle!$H$11,
IF(AU283=regle!$I$12,regle!$I$11,""))))))))))</f>
        <v/>
      </c>
      <c r="AB283" t="str">
        <f>IF(NOT($A283),"",
IF(AV283=-2,regle!$J$11,
IF(AV283=regle!$B$12,regle!$B$11,
IF(AV283=regle!$C$12,regle!$C$11,
IF(AV283=regle!$D$12,regle!$D$11,
IF(AV283=regle!$E$12,regle!$E$11,
IF(AV283=regle!$F$12,regle!$F$11,
IF(AV283=regle!$G$12,regle!$G$11,
IF(AV283=regle!$H$12,regle!$H$11,
IF(AV283=regle!$I$12,regle!$I$11,""))))))))))</f>
        <v/>
      </c>
      <c r="AC283" t="str">
        <f>IF(NOT($A283),"",
IF(AW283=-2,regle!$J$11,
IF(AW283=regle!$B$12,regle!$B$11,
IF(AW283=regle!$C$12,regle!$C$11,
IF(AW283=regle!$D$12,regle!$D$11,
IF(AW283=regle!$E$12,regle!$E$11,
IF(AW283=regle!$F$12,regle!$F$11,
IF(AW283=regle!$G$12,regle!$G$11,
IF(AW283=regle!$H$12,regle!$H$11,
IF(AW283=regle!$I$12,regle!$I$11,""))))))))))</f>
        <v>ENT2</v>
      </c>
      <c r="AD283" t="str">
        <f>IF(NOT($A283),"",
IF(AX283=-2,regle!$J$11,
IF(AX283=regle!$B$12,regle!$B$11,
IF(AX283=regle!$C$12,regle!$C$11,
IF(AX283=regle!$D$12,regle!$D$11,
IF(AX283=regle!$E$12,regle!$E$11,
IF(AX283=regle!$F$12,regle!$F$11,
IF(AX283=regle!$G$12,regle!$G$11,
IF(AX283=regle!$H$12,regle!$H$11,
IF(AX283=regle!$I$12,regle!$I$11,""))))))))))</f>
        <v/>
      </c>
      <c r="AE283" s="14">
        <f>IF($A283,$M283*(IF(U283=regle!$B$11,regle!$B$23,IF(U283=regle!$C$11,regle!$C$23,IF(U283=regle!$D$11,regle!$D$23,IF(U283=regle!$E$11,regle!$E$23,IF(U283=regle!$F$11,regle!$F$23,IF(U283=regle!$G$11,regle!$G$23,IF(U283=regle!$H$11,regle!$H$23,IF(U283=regle!$I$11,regle!$I$23,IF(U283=regle!$J$11,regle!$J$23,0)))))))))))</f>
        <v>-2894.59</v>
      </c>
      <c r="AF283" s="14">
        <f>IF($A283,$M283*(IF(V283=regle!$B$11,regle!$B$23,IF(V283=regle!$C$11,regle!$C$23,IF(V283=regle!$D$11,regle!$D$23,IF(V283=regle!$E$11,regle!$E$23,IF(V283=regle!$F$11,regle!$F$23,IF(V283=regle!$G$11,regle!$G$23,IF(V283=regle!$H$11,regle!$H$23,IF(V283=regle!$I$11,regle!$I$23,IF(V283=regle!$J$11,regle!$J$23,0)))))))))))</f>
        <v>0</v>
      </c>
      <c r="AG283" s="14">
        <f>IF($A283,$M283*(IF(W283=regle!$B$11,regle!$B$23,IF(W283=regle!$C$11,regle!$C$23,IF(W283=regle!$D$11,regle!$D$23,IF(W283=regle!$E$11,regle!$E$23,IF(W283=regle!$F$11,regle!$F$23,IF(W283=regle!$G$11,regle!$G$23,IF(W283=regle!$H$11,regle!$H$23,IF(W283=regle!$I$11,regle!$I$23,IF(W283=regle!$J$11,regle!$J$23,0)))))))))))</f>
        <v>-127.70250000000001</v>
      </c>
      <c r="AH283" s="14">
        <f>IF($A283,$M283*(IF(X283=regle!$B$11,regle!$B$23,IF(X283=regle!$C$11,regle!$C$23,IF(X283=regle!$D$11,regle!$D$23,IF(X283=regle!$E$11,regle!$E$23,IF(X283=regle!$F$11,regle!$F$23,IF(X283=regle!$G$11,regle!$G$23,IF(X283=regle!$H$11,regle!$H$23,IF(X283=regle!$I$11,regle!$I$23,IF(X283=regle!$J$11,regle!$J$23,0)))))))))))</f>
        <v>0</v>
      </c>
      <c r="AI283" s="14">
        <f>IF($A283,$M283*(IF(Y283=regle!$B$11,regle!$B$23,IF(Y283=regle!$C$11,regle!$C$23,IF(Y283=regle!$D$11,regle!$D$23,IF(Y283=regle!$E$11,regle!$E$23,IF(Y283=regle!$F$11,regle!$F$23,IF(Y283=regle!$G$11,regle!$G$23,IF(Y283=regle!$H$11,regle!$H$23,IF(Y283=regle!$I$11,regle!$I$23,IF(Y283=regle!$J$11,regle!$J$23,0)))))))))))</f>
        <v>0</v>
      </c>
      <c r="AJ283" s="14">
        <f>IF($A283,$M283*(IF(Z283=regle!$B$11,regle!$B$23,IF(Z283=regle!$C$11,regle!$C$23,IF(Z283=regle!$D$11,regle!$D$23,IF(Z283=regle!$E$11,regle!$E$23,IF(Z283=regle!$F$11,regle!$F$23,IF(Z283=regle!$G$11,regle!$G$23,IF(Z283=regle!$H$11,regle!$H$23,IF(Z283=regle!$I$11,regle!$I$23,IF(Z283=regle!$J$11,regle!$J$23,0)))))))))))</f>
        <v>-153.24299999999999</v>
      </c>
      <c r="AK283" s="14">
        <f>IF($A283,$M283*(IF(AA283=regle!$B$11,regle!$B$23,IF(AA283=regle!$C$11,regle!$C$23,IF(AA283=regle!$D$11,regle!$D$23,IF(AA283=regle!$E$11,regle!$E$23,IF(AA283=regle!$F$11,regle!$F$23,IF(AA283=regle!$G$11,regle!$G$23,IF(AA283=regle!$H$11,regle!$H$23,IF(AA283=regle!$I$11,regle!$I$23,IF(AA283=regle!$J$11,regle!$J$23,0)))))))))))</f>
        <v>0</v>
      </c>
      <c r="AL283" s="14">
        <f>IF($A283,$M283*(IF(AB283=regle!$B$11,regle!$B$23,IF(AB283=regle!$C$11,regle!$C$23,IF(AB283=regle!$D$11,regle!$D$23,IF(AB283=regle!$E$11,regle!$E$23,IF(AB283=regle!$F$11,regle!$F$23,IF(AB283=regle!$G$11,regle!$G$23,IF(AB283=regle!$H$11,regle!$H$23,IF(AB283=regle!$I$11,regle!$I$23,IF(AB283=regle!$J$11,regle!$J$23,0)))))))))))</f>
        <v>0</v>
      </c>
      <c r="AM283" s="14">
        <f>IF($A283,$M283*(IF(AC283=regle!$B$11,regle!$B$23,IF(AC283=regle!$C$11,regle!$C$23,IF(AC283=regle!$D$11,regle!$D$23,IF(AC283=regle!$E$11,regle!$E$23,IF(AC283=regle!$F$11,regle!$F$23,IF(AC283=regle!$G$11,regle!$G$23,IF(AC283=regle!$H$11,regle!$H$23,IF(AC283=regle!$I$11,regle!$I$23,IF(AC283=regle!$J$11,regle!$J$23,0)))))))))))</f>
        <v>-153.24299999999999</v>
      </c>
      <c r="AN283" s="14">
        <f>IF($A283,$M283*(IF(AD283=regle!$B$11,regle!$B$23,IF(AD283=regle!$C$11,regle!$C$23,IF(AD283=regle!$D$11,regle!$D$23,IF(AD283=regle!$E$11,regle!$E$23,IF(AD283=regle!$F$11,regle!$F$23,IF(AD283=regle!$G$11,regle!$G$23,IF(AD283=regle!$H$11,regle!$H$23,IF(AD283=regle!$I$11,regle!$I$23,IF(AD283=regle!$J$11,regle!$J$23,0)))))))))))</f>
        <v>0</v>
      </c>
      <c r="AO283">
        <f>IF(AO$1=$AO$1,IF(regle!B$2-$Q283&gt;=regle!$J$12,-2,IF($S283,IF(regle!$B$2-$Q283&gt;=2,0,-1),regle!B$2-$Q283)),IF(AN283+1&gt;=regle!$J$12,-2,AN283+1))</f>
        <v>0</v>
      </c>
      <c r="AP283">
        <f>IF(AP$1=$AO$1,IF(regle!C$2-$Q283&gt;=regle!$J$12,-2,IF($S283,IF(regle!$B$2-$Q283&gt;=2,0,-1),regle!C$2-$Q283)),IF(AO283+1&gt;=regle!$J$12,-2,AO283+1))</f>
        <v>1</v>
      </c>
      <c r="AQ283">
        <f>IF(AQ$1=$AO$1,IF(regle!D$2-$Q283&gt;=regle!$J$12,-2,IF($S283,IF(regle!$B$2-$Q283&gt;=2,0,-1),regle!D$2-$Q283)),IF(AP283+1&gt;=regle!$J$12,-2,AP283+1))</f>
        <v>2</v>
      </c>
      <c r="AR283">
        <f>IF(AR$1=$AO$1,IF(regle!E$2-$Q283&gt;=regle!$J$12,-2,IF($S283,IF(regle!$B$2-$Q283&gt;=2,0,-1),regle!E$2-$Q283)),IF(AQ283+1&gt;=regle!$J$12,-2,AQ283+1))</f>
        <v>3</v>
      </c>
      <c r="AS283">
        <f>IF(AS$1=$AO$1,IF(regle!F$2-$Q283&gt;=regle!$J$12,-2,IF($S283,IF(regle!$B$2-$Q283&gt;=2,0,-1),regle!F$2-$Q283)),IF(AR283+1&gt;=regle!$J$12,-2,AR283+1))</f>
        <v>4</v>
      </c>
      <c r="AT283">
        <f>IF(AT$1=$AO$1,IF(regle!G$2-$Q283&gt;=regle!$J$12,-2,IF($S283,IF(regle!$B$2-$Q283&gt;=2,0,-1),regle!G$2-$Q283)),IF(AS283+1&gt;=regle!$J$12,-2,AS283+1))</f>
        <v>5</v>
      </c>
      <c r="AU283">
        <f>IF(AU$1=$AO$1,IF(regle!H$2-$Q283&gt;=regle!$J$12,-2,IF($S283,IF(regle!$B$2-$Q283&gt;=2,0,-1),regle!H$2-$Q283)),IF(AT283+1&gt;=regle!$J$12,-2,AT283+1))</f>
        <v>6</v>
      </c>
      <c r="AV283">
        <f>IF(AV$1=$AO$1,IF(regle!I$2-$Q283&gt;=regle!$J$12,-2,IF($S283,IF(regle!$B$2-$Q283&gt;=2,0,-1),regle!I$2-$Q283)),IF(AU283+1&gt;=regle!$J$12,-2,AU283+1))</f>
        <v>7</v>
      </c>
      <c r="AW283">
        <f>IF(AW$1=$AO$1,IF(regle!J$2-$Q283&gt;=regle!$J$12,-2,IF($S283,IF(regle!$B$2-$Q283&gt;=2,0,-1),regle!J$2-$Q283)),IF(AV283+1&gt;=regle!$J$12,-2,AV283+1))</f>
        <v>8</v>
      </c>
      <c r="AX283">
        <f>IF(AX$1=$AO$1,IF(regle!K$2-$Q283&gt;=regle!$J$12,-2,IF($S283,IF(regle!$B$2-$Q283&gt;=2,0,-1),regle!K$2-$Q283)),IF(AW283+1&gt;=regle!$J$12,-2,AW283+1))</f>
        <v>9</v>
      </c>
    </row>
    <row r="284" spans="1:50" x14ac:dyDescent="0.25">
      <c r="A284" t="b">
        <f>AND(modif0[[#This Row],[cdstr]]&lt;&gt;0,OR(regle!$H$27=FALSE,modif0[[#This Row],[essnc]]="PM"))</f>
        <v>1</v>
      </c>
      <c r="B284">
        <f>ROW(objet!A332)</f>
        <v>332</v>
      </c>
      <c r="C284" s="10" t="str">
        <f>objet!D332</f>
        <v>1710000B0409</v>
      </c>
      <c r="D284" t="str">
        <f>LEFT(modif0[[#This Row],[cdstr]],3)</f>
        <v>171</v>
      </c>
      <c r="E284" s="10" t="str">
        <f>objet!G332</f>
        <v>MANO</v>
      </c>
      <c r="F284">
        <f>LEN(modif0[[#This Row],[l_dt]])</f>
        <v>17</v>
      </c>
      <c r="G284" s="10" t="str">
        <f>objet!H332</f>
        <v>LANDE DE TABARTON</v>
      </c>
      <c r="H284" s="10" t="str">
        <f>objet!C332</f>
        <v>B409</v>
      </c>
      <c r="I284" t="str">
        <f>IF(ISNUMBER(VALUE(RIGHT(LEFT(modif0[[#This Row],[idntfn]],2),1))),_xlfn.CONCAT(0,LEFT(modif0[[#This Row],[idntfn]],1)),LEFT(modif0[[#This Row],[idntfn]],2))</f>
        <v>0B</v>
      </c>
      <c r="J284">
        <f>VALUE(LEFT(RIGHT(modif0[[#This Row],[idntfn]],LEN(modif0[[#This Row],[idntfn]])-IF(LEFT(modif0[[#This Row],[sctn]],1)="0",1,2)),LEN(modif0[[#This Row],[idntfn]])-IF(LEFT(modif0[[#This Row],[sctn]],1)="0",1,2)-LEN(modif0[[#This Row],[lttr]])))</f>
        <v>409</v>
      </c>
      <c r="K284" t="str">
        <f>IF(ISNUMBER(VALUE(RIGHT(modif0[[#This Row],[idntfn]],1))),"",IF(ISNUMBER(VALUE(LEFT(RIGHT(modif0[[#This Row],[idntfn]],2),1))),RIGHT(modif0[[#This Row],[idntfn]],1),RIGHT(modif0[[#This Row],[idntfn]],2)))</f>
        <v/>
      </c>
      <c r="L284" s="10">
        <f>objet!I332</f>
        <v>6859</v>
      </c>
      <c r="M284" s="11">
        <f>modif0[[#This Row],[srfc]]/10000</f>
        <v>0.68589999999999995</v>
      </c>
      <c r="N284" s="10" t="str">
        <f>objet!Z332</f>
        <v>PM</v>
      </c>
      <c r="O284" s="10" t="str">
        <f>objet!AA332</f>
        <v>CR2016</v>
      </c>
      <c r="P284" t="str">
        <f>IF(ISNUMBER(modif0[[#This Row],[trvx]]),"",LEFT(modif0[[#This Row],[trvx]],LEN(modif0[[#This Row],[trvx]])-4))</f>
        <v>CR</v>
      </c>
      <c r="Q284">
        <f>VALUE(RIGHT(modif0[[#This Row],[trvx]],4))</f>
        <v>2016</v>
      </c>
      <c r="R284" t="str">
        <f>_xlfn.CONCAT(modif0[[#This Row],[tp]],"-",modif0[[#This Row],[essnc]],"_",modif0[[#This Row],[anns]])</f>
        <v>CR-PM_2016</v>
      </c>
      <c r="S284" t="b">
        <f>modif0[[#This Row],[tp]]="CR"</f>
        <v>1</v>
      </c>
      <c r="T284">
        <v>40</v>
      </c>
      <c r="U284" t="str">
        <f>IF(NOT($A284),"",
IF(AO284=-2,regle!$J$11,
IF(AO284=regle!$B$12,regle!$B$11,
IF(AO284=regle!$C$12,regle!$C$11,
IF(AO284=regle!$D$12,regle!$D$11,
IF(AO284=regle!$E$12,regle!$E$11,
IF(AO284=regle!$F$12,regle!$F$11,
IF(AO284=regle!$G$12,regle!$G$11,
IF(AO284=regle!$H$12,regle!$H$11,
IF(AO284=regle!$I$12,regle!$I$11,""))))))))))</f>
        <v>RBST</v>
      </c>
      <c r="V284" t="str">
        <f>IF(NOT($A284),"",
IF(AP284=-2,regle!$J$11,
IF(AP284=regle!$B$12,regle!$B$11,
IF(AP284=regle!$C$12,regle!$C$11,
IF(AP284=regle!$D$12,regle!$D$11,
IF(AP284=regle!$E$12,regle!$E$11,
IF(AP284=regle!$F$12,regle!$F$11,
IF(AP284=regle!$G$12,regle!$G$11,
IF(AP284=regle!$H$12,regle!$H$11,
IF(AP284=regle!$I$12,regle!$I$11,""))))))))))</f>
        <v/>
      </c>
      <c r="W284" t="str">
        <f>IF(NOT($A284),"",
IF(AQ284=-2,regle!$J$11,
IF(AQ284=regle!$B$12,regle!$B$11,
IF(AQ284=regle!$C$12,regle!$C$11,
IF(AQ284=regle!$D$12,regle!$D$11,
IF(AQ284=regle!$E$12,regle!$E$11,
IF(AQ284=regle!$F$12,regle!$F$11,
IF(AQ284=regle!$G$12,regle!$G$11,
IF(AQ284=regle!$H$12,regle!$H$11,
IF(AQ284=regle!$I$12,regle!$I$11,""))))))))))</f>
        <v>DGT</v>
      </c>
      <c r="X284" t="str">
        <f>IF(NOT($A284),"",
IF(AR284=-2,regle!$J$11,
IF(AR284=regle!$B$12,regle!$B$11,
IF(AR284=regle!$C$12,regle!$C$11,
IF(AR284=regle!$D$12,regle!$D$11,
IF(AR284=regle!$E$12,regle!$E$11,
IF(AR284=regle!$F$12,regle!$F$11,
IF(AR284=regle!$G$12,regle!$G$11,
IF(AR284=regle!$H$12,regle!$H$11,
IF(AR284=regle!$I$12,regle!$I$11,""))))))))))</f>
        <v/>
      </c>
      <c r="Y284" t="str">
        <f>IF(NOT($A284),"",
IF(AS284=-2,regle!$J$11,
IF(AS284=regle!$B$12,regle!$B$11,
IF(AS284=regle!$C$12,regle!$C$11,
IF(AS284=regle!$D$12,regle!$D$11,
IF(AS284=regle!$E$12,regle!$E$11,
IF(AS284=regle!$F$12,regle!$F$11,
IF(AS284=regle!$G$12,regle!$G$11,
IF(AS284=regle!$H$12,regle!$H$11,
IF(AS284=regle!$I$12,regle!$I$11,""))))))))))</f>
        <v/>
      </c>
      <c r="Z284" t="str">
        <f>IF(NOT($A284),"",
IF(AT284=-2,regle!$J$11,
IF(AT284=regle!$B$12,regle!$B$11,
IF(AT284=regle!$C$12,regle!$C$11,
IF(AT284=regle!$D$12,regle!$D$11,
IF(AT284=regle!$E$12,regle!$E$11,
IF(AT284=regle!$F$12,regle!$F$11,
IF(AT284=regle!$G$12,regle!$G$11,
IF(AT284=regle!$H$12,regle!$H$11,
IF(AT284=regle!$I$12,regle!$I$11,""))))))))))</f>
        <v>ENT1</v>
      </c>
      <c r="AA284" t="str">
        <f>IF(NOT($A284),"",
IF(AU284=-2,regle!$J$11,
IF(AU284=regle!$B$12,regle!$B$11,
IF(AU284=regle!$C$12,regle!$C$11,
IF(AU284=regle!$D$12,regle!$D$11,
IF(AU284=regle!$E$12,regle!$E$11,
IF(AU284=regle!$F$12,regle!$F$11,
IF(AU284=regle!$G$12,regle!$G$11,
IF(AU284=regle!$H$12,regle!$H$11,
IF(AU284=regle!$I$12,regle!$I$11,""))))))))))</f>
        <v/>
      </c>
      <c r="AB284" t="str">
        <f>IF(NOT($A284),"",
IF(AV284=-2,regle!$J$11,
IF(AV284=regle!$B$12,regle!$B$11,
IF(AV284=regle!$C$12,regle!$C$11,
IF(AV284=regle!$D$12,regle!$D$11,
IF(AV284=regle!$E$12,regle!$E$11,
IF(AV284=regle!$F$12,regle!$F$11,
IF(AV284=regle!$G$12,regle!$G$11,
IF(AV284=regle!$H$12,regle!$H$11,
IF(AV284=regle!$I$12,regle!$I$11,""))))))))))</f>
        <v/>
      </c>
      <c r="AC284" t="str">
        <f>IF(NOT($A284),"",
IF(AW284=-2,regle!$J$11,
IF(AW284=regle!$B$12,regle!$B$11,
IF(AW284=regle!$C$12,regle!$C$11,
IF(AW284=regle!$D$12,regle!$D$11,
IF(AW284=regle!$E$12,regle!$E$11,
IF(AW284=regle!$F$12,regle!$F$11,
IF(AW284=regle!$G$12,regle!$G$11,
IF(AW284=regle!$H$12,regle!$H$11,
IF(AW284=regle!$I$12,regle!$I$11,""))))))))))</f>
        <v>ENT2</v>
      </c>
      <c r="AD284" t="str">
        <f>IF(NOT($A284),"",
IF(AX284=-2,regle!$J$11,
IF(AX284=regle!$B$12,regle!$B$11,
IF(AX284=regle!$C$12,regle!$C$11,
IF(AX284=regle!$D$12,regle!$D$11,
IF(AX284=regle!$E$12,regle!$E$11,
IF(AX284=regle!$F$12,regle!$F$11,
IF(AX284=regle!$G$12,regle!$G$11,
IF(AX284=regle!$H$12,regle!$H$11,
IF(AX284=regle!$I$12,regle!$I$11,""))))))))))</f>
        <v/>
      </c>
      <c r="AE284" s="14">
        <f>IF($A284,$M284*(IF(U284=regle!$B$11,regle!$B$23,IF(U284=regle!$C$11,regle!$C$23,IF(U284=regle!$D$11,regle!$D$23,IF(U284=regle!$E$11,regle!$E$23,IF(U284=regle!$F$11,regle!$F$23,IF(U284=regle!$G$11,regle!$G$23,IF(U284=regle!$H$11,regle!$H$23,IF(U284=regle!$I$11,regle!$I$23,IF(U284=regle!$J$11,regle!$J$23,0)))))))))))</f>
        <v>-1166.03</v>
      </c>
      <c r="AF284" s="14">
        <f>IF($A284,$M284*(IF(V284=regle!$B$11,regle!$B$23,IF(V284=regle!$C$11,regle!$C$23,IF(V284=regle!$D$11,regle!$D$23,IF(V284=regle!$E$11,regle!$E$23,IF(V284=regle!$F$11,regle!$F$23,IF(V284=regle!$G$11,regle!$G$23,IF(V284=regle!$H$11,regle!$H$23,IF(V284=regle!$I$11,regle!$I$23,IF(V284=regle!$J$11,regle!$J$23,0)))))))))))</f>
        <v>0</v>
      </c>
      <c r="AG284" s="14">
        <f>IF($A284,$M284*(IF(W284=regle!$B$11,regle!$B$23,IF(W284=regle!$C$11,regle!$C$23,IF(W284=regle!$D$11,regle!$D$23,IF(W284=regle!$E$11,regle!$E$23,IF(W284=regle!$F$11,regle!$F$23,IF(W284=regle!$G$11,regle!$G$23,IF(W284=regle!$H$11,regle!$H$23,IF(W284=regle!$I$11,regle!$I$23,IF(W284=regle!$J$11,regle!$J$23,0)))))))))))</f>
        <v>-51.442499999999995</v>
      </c>
      <c r="AH284" s="14">
        <f>IF($A284,$M284*(IF(X284=regle!$B$11,regle!$B$23,IF(X284=regle!$C$11,regle!$C$23,IF(X284=regle!$D$11,regle!$D$23,IF(X284=regle!$E$11,regle!$E$23,IF(X284=regle!$F$11,regle!$F$23,IF(X284=regle!$G$11,regle!$G$23,IF(X284=regle!$H$11,regle!$H$23,IF(X284=regle!$I$11,regle!$I$23,IF(X284=regle!$J$11,regle!$J$23,0)))))))))))</f>
        <v>0</v>
      </c>
      <c r="AI284" s="14">
        <f>IF($A284,$M284*(IF(Y284=regle!$B$11,regle!$B$23,IF(Y284=regle!$C$11,regle!$C$23,IF(Y284=regle!$D$11,regle!$D$23,IF(Y284=regle!$E$11,regle!$E$23,IF(Y284=regle!$F$11,regle!$F$23,IF(Y284=regle!$G$11,regle!$G$23,IF(Y284=regle!$H$11,regle!$H$23,IF(Y284=regle!$I$11,regle!$I$23,IF(Y284=regle!$J$11,regle!$J$23,0)))))))))))</f>
        <v>0</v>
      </c>
      <c r="AJ284" s="14">
        <f>IF($A284,$M284*(IF(Z284=regle!$B$11,regle!$B$23,IF(Z284=regle!$C$11,regle!$C$23,IF(Z284=regle!$D$11,regle!$D$23,IF(Z284=regle!$E$11,regle!$E$23,IF(Z284=regle!$F$11,regle!$F$23,IF(Z284=regle!$G$11,regle!$G$23,IF(Z284=regle!$H$11,regle!$H$23,IF(Z284=regle!$I$11,regle!$I$23,IF(Z284=regle!$J$11,regle!$J$23,0)))))))))))</f>
        <v>-61.730999999999995</v>
      </c>
      <c r="AK284" s="14">
        <f>IF($A284,$M284*(IF(AA284=regle!$B$11,regle!$B$23,IF(AA284=regle!$C$11,regle!$C$23,IF(AA284=regle!$D$11,regle!$D$23,IF(AA284=regle!$E$11,regle!$E$23,IF(AA284=regle!$F$11,regle!$F$23,IF(AA284=regle!$G$11,regle!$G$23,IF(AA284=regle!$H$11,regle!$H$23,IF(AA284=regle!$I$11,regle!$I$23,IF(AA284=regle!$J$11,regle!$J$23,0)))))))))))</f>
        <v>0</v>
      </c>
      <c r="AL284" s="14">
        <f>IF($A284,$M284*(IF(AB284=regle!$B$11,regle!$B$23,IF(AB284=regle!$C$11,regle!$C$23,IF(AB284=regle!$D$11,regle!$D$23,IF(AB284=regle!$E$11,regle!$E$23,IF(AB284=regle!$F$11,regle!$F$23,IF(AB284=regle!$G$11,regle!$G$23,IF(AB284=regle!$H$11,regle!$H$23,IF(AB284=regle!$I$11,regle!$I$23,IF(AB284=regle!$J$11,regle!$J$23,0)))))))))))</f>
        <v>0</v>
      </c>
      <c r="AM284" s="14">
        <f>IF($A284,$M284*(IF(AC284=regle!$B$11,regle!$B$23,IF(AC284=regle!$C$11,regle!$C$23,IF(AC284=regle!$D$11,regle!$D$23,IF(AC284=regle!$E$11,regle!$E$23,IF(AC284=regle!$F$11,regle!$F$23,IF(AC284=regle!$G$11,regle!$G$23,IF(AC284=regle!$H$11,regle!$H$23,IF(AC284=regle!$I$11,regle!$I$23,IF(AC284=regle!$J$11,regle!$J$23,0)))))))))))</f>
        <v>-61.730999999999995</v>
      </c>
      <c r="AN284" s="14">
        <f>IF($A284,$M284*(IF(AD284=regle!$B$11,regle!$B$23,IF(AD284=regle!$C$11,regle!$C$23,IF(AD284=regle!$D$11,regle!$D$23,IF(AD284=regle!$E$11,regle!$E$23,IF(AD284=regle!$F$11,regle!$F$23,IF(AD284=regle!$G$11,regle!$G$23,IF(AD284=regle!$H$11,regle!$H$23,IF(AD284=regle!$I$11,regle!$I$23,IF(AD284=regle!$J$11,regle!$J$23,0)))))))))))</f>
        <v>0</v>
      </c>
      <c r="AO284">
        <f>IF(AO$1=$AO$1,IF(regle!B$2-$Q284&gt;=regle!$J$12,-2,IF($S284,IF(regle!$B$2-$Q284&gt;=2,0,-1),regle!B$2-$Q284)),IF(AN284+1&gt;=regle!$J$12,-2,AN284+1))</f>
        <v>0</v>
      </c>
      <c r="AP284">
        <f>IF(AP$1=$AO$1,IF(regle!C$2-$Q284&gt;=regle!$J$12,-2,IF($S284,IF(regle!$B$2-$Q284&gt;=2,0,-1),regle!C$2-$Q284)),IF(AO284+1&gt;=regle!$J$12,-2,AO284+1))</f>
        <v>1</v>
      </c>
      <c r="AQ284">
        <f>IF(AQ$1=$AO$1,IF(regle!D$2-$Q284&gt;=regle!$J$12,-2,IF($S284,IF(regle!$B$2-$Q284&gt;=2,0,-1),regle!D$2-$Q284)),IF(AP284+1&gt;=regle!$J$12,-2,AP284+1))</f>
        <v>2</v>
      </c>
      <c r="AR284">
        <f>IF(AR$1=$AO$1,IF(regle!E$2-$Q284&gt;=regle!$J$12,-2,IF($S284,IF(regle!$B$2-$Q284&gt;=2,0,-1),regle!E$2-$Q284)),IF(AQ284+1&gt;=regle!$J$12,-2,AQ284+1))</f>
        <v>3</v>
      </c>
      <c r="AS284">
        <f>IF(AS$1=$AO$1,IF(regle!F$2-$Q284&gt;=regle!$J$12,-2,IF($S284,IF(regle!$B$2-$Q284&gt;=2,0,-1),regle!F$2-$Q284)),IF(AR284+1&gt;=regle!$J$12,-2,AR284+1))</f>
        <v>4</v>
      </c>
      <c r="AT284">
        <f>IF(AT$1=$AO$1,IF(regle!G$2-$Q284&gt;=regle!$J$12,-2,IF($S284,IF(regle!$B$2-$Q284&gt;=2,0,-1),regle!G$2-$Q284)),IF(AS284+1&gt;=regle!$J$12,-2,AS284+1))</f>
        <v>5</v>
      </c>
      <c r="AU284">
        <f>IF(AU$1=$AO$1,IF(regle!H$2-$Q284&gt;=regle!$J$12,-2,IF($S284,IF(regle!$B$2-$Q284&gt;=2,0,-1),regle!H$2-$Q284)),IF(AT284+1&gt;=regle!$J$12,-2,AT284+1))</f>
        <v>6</v>
      </c>
      <c r="AV284">
        <f>IF(AV$1=$AO$1,IF(regle!I$2-$Q284&gt;=regle!$J$12,-2,IF($S284,IF(regle!$B$2-$Q284&gt;=2,0,-1),regle!I$2-$Q284)),IF(AU284+1&gt;=regle!$J$12,-2,AU284+1))</f>
        <v>7</v>
      </c>
      <c r="AW284">
        <f>IF(AW$1=$AO$1,IF(regle!J$2-$Q284&gt;=regle!$J$12,-2,IF($S284,IF(regle!$B$2-$Q284&gt;=2,0,-1),regle!J$2-$Q284)),IF(AV284+1&gt;=regle!$J$12,-2,AV284+1))</f>
        <v>8</v>
      </c>
      <c r="AX284">
        <f>IF(AX$1=$AO$1,IF(regle!K$2-$Q284&gt;=regle!$J$12,-2,IF($S284,IF(regle!$B$2-$Q284&gt;=2,0,-1),regle!K$2-$Q284)),IF(AW284+1&gt;=regle!$J$12,-2,AW284+1))</f>
        <v>9</v>
      </c>
    </row>
    <row r="285" spans="1:50" x14ac:dyDescent="0.25">
      <c r="A285" t="b">
        <f>AND(modif0[[#This Row],[cdstr]]&lt;&gt;0,OR(regle!$H$27=FALSE,modif0[[#This Row],[essnc]]="PM"))</f>
        <v>1</v>
      </c>
      <c r="B285">
        <f>ROW(objet!A333)</f>
        <v>333</v>
      </c>
      <c r="C285" s="10" t="str">
        <f>objet!D333</f>
        <v>1710000B0410</v>
      </c>
      <c r="D285" t="str">
        <f>LEFT(modif0[[#This Row],[cdstr]],3)</f>
        <v>171</v>
      </c>
      <c r="E285" s="10" t="str">
        <f>objet!G333</f>
        <v>MANO</v>
      </c>
      <c r="F285">
        <f>LEN(modif0[[#This Row],[l_dt]])</f>
        <v>17</v>
      </c>
      <c r="G285" s="10" t="str">
        <f>objet!H333</f>
        <v>LANDE DE TABARTON</v>
      </c>
      <c r="H285" s="10" t="str">
        <f>objet!C333</f>
        <v>B410</v>
      </c>
      <c r="I285" t="str">
        <f>IF(ISNUMBER(VALUE(RIGHT(LEFT(modif0[[#This Row],[idntfn]],2),1))),_xlfn.CONCAT(0,LEFT(modif0[[#This Row],[idntfn]],1)),LEFT(modif0[[#This Row],[idntfn]],2))</f>
        <v>0B</v>
      </c>
      <c r="J285">
        <f>VALUE(LEFT(RIGHT(modif0[[#This Row],[idntfn]],LEN(modif0[[#This Row],[idntfn]])-IF(LEFT(modif0[[#This Row],[sctn]],1)="0",1,2)),LEN(modif0[[#This Row],[idntfn]])-IF(LEFT(modif0[[#This Row],[sctn]],1)="0",1,2)-LEN(modif0[[#This Row],[lttr]])))</f>
        <v>410</v>
      </c>
      <c r="K285" t="str">
        <f>IF(ISNUMBER(VALUE(RIGHT(modif0[[#This Row],[idntfn]],1))),"",IF(ISNUMBER(VALUE(LEFT(RIGHT(modif0[[#This Row],[idntfn]],2),1))),RIGHT(modif0[[#This Row],[idntfn]],1),RIGHT(modif0[[#This Row],[idntfn]],2)))</f>
        <v/>
      </c>
      <c r="L285" s="10">
        <f>objet!I333</f>
        <v>1610</v>
      </c>
      <c r="M285" s="11">
        <f>modif0[[#This Row],[srfc]]/10000</f>
        <v>0.161</v>
      </c>
      <c r="N285" s="10" t="str">
        <f>objet!Z333</f>
        <v>PM</v>
      </c>
      <c r="O285" s="10" t="str">
        <f>objet!AA333</f>
        <v>CR2016</v>
      </c>
      <c r="P285" t="str">
        <f>IF(ISNUMBER(modif0[[#This Row],[trvx]]),"",LEFT(modif0[[#This Row],[trvx]],LEN(modif0[[#This Row],[trvx]])-4))</f>
        <v>CR</v>
      </c>
      <c r="Q285">
        <f>VALUE(RIGHT(modif0[[#This Row],[trvx]],4))</f>
        <v>2016</v>
      </c>
      <c r="R285" t="str">
        <f>_xlfn.CONCAT(modif0[[#This Row],[tp]],"-",modif0[[#This Row],[essnc]],"_",modif0[[#This Row],[anns]])</f>
        <v>CR-PM_2016</v>
      </c>
      <c r="S285" t="b">
        <f>modif0[[#This Row],[tp]]="CR"</f>
        <v>1</v>
      </c>
      <c r="T285">
        <v>40</v>
      </c>
      <c r="U285" t="str">
        <f>IF(NOT($A285),"",
IF(AO285=-2,regle!$J$11,
IF(AO285=regle!$B$12,regle!$B$11,
IF(AO285=regle!$C$12,regle!$C$11,
IF(AO285=regle!$D$12,regle!$D$11,
IF(AO285=regle!$E$12,regle!$E$11,
IF(AO285=regle!$F$12,regle!$F$11,
IF(AO285=regle!$G$12,regle!$G$11,
IF(AO285=regle!$H$12,regle!$H$11,
IF(AO285=regle!$I$12,regle!$I$11,""))))))))))</f>
        <v>RBST</v>
      </c>
      <c r="V285" t="str">
        <f>IF(NOT($A285),"",
IF(AP285=-2,regle!$J$11,
IF(AP285=regle!$B$12,regle!$B$11,
IF(AP285=regle!$C$12,regle!$C$11,
IF(AP285=regle!$D$12,regle!$D$11,
IF(AP285=regle!$E$12,regle!$E$11,
IF(AP285=regle!$F$12,regle!$F$11,
IF(AP285=regle!$G$12,regle!$G$11,
IF(AP285=regle!$H$12,regle!$H$11,
IF(AP285=regle!$I$12,regle!$I$11,""))))))))))</f>
        <v/>
      </c>
      <c r="W285" t="str">
        <f>IF(NOT($A285),"",
IF(AQ285=-2,regle!$J$11,
IF(AQ285=regle!$B$12,regle!$B$11,
IF(AQ285=regle!$C$12,regle!$C$11,
IF(AQ285=regle!$D$12,regle!$D$11,
IF(AQ285=regle!$E$12,regle!$E$11,
IF(AQ285=regle!$F$12,regle!$F$11,
IF(AQ285=regle!$G$12,regle!$G$11,
IF(AQ285=regle!$H$12,regle!$H$11,
IF(AQ285=regle!$I$12,regle!$I$11,""))))))))))</f>
        <v>DGT</v>
      </c>
      <c r="X285" t="str">
        <f>IF(NOT($A285),"",
IF(AR285=-2,regle!$J$11,
IF(AR285=regle!$B$12,regle!$B$11,
IF(AR285=regle!$C$12,regle!$C$11,
IF(AR285=regle!$D$12,regle!$D$11,
IF(AR285=regle!$E$12,regle!$E$11,
IF(AR285=regle!$F$12,regle!$F$11,
IF(AR285=regle!$G$12,regle!$G$11,
IF(AR285=regle!$H$12,regle!$H$11,
IF(AR285=regle!$I$12,regle!$I$11,""))))))))))</f>
        <v/>
      </c>
      <c r="Y285" t="str">
        <f>IF(NOT($A285),"",
IF(AS285=-2,regle!$J$11,
IF(AS285=regle!$B$12,regle!$B$11,
IF(AS285=regle!$C$12,regle!$C$11,
IF(AS285=regle!$D$12,regle!$D$11,
IF(AS285=regle!$E$12,regle!$E$11,
IF(AS285=regle!$F$12,regle!$F$11,
IF(AS285=regle!$G$12,regle!$G$11,
IF(AS285=regle!$H$12,regle!$H$11,
IF(AS285=regle!$I$12,regle!$I$11,""))))))))))</f>
        <v/>
      </c>
      <c r="Z285" t="str">
        <f>IF(NOT($A285),"",
IF(AT285=-2,regle!$J$11,
IF(AT285=regle!$B$12,regle!$B$11,
IF(AT285=regle!$C$12,regle!$C$11,
IF(AT285=regle!$D$12,regle!$D$11,
IF(AT285=regle!$E$12,regle!$E$11,
IF(AT285=regle!$F$12,regle!$F$11,
IF(AT285=regle!$G$12,regle!$G$11,
IF(AT285=regle!$H$12,regle!$H$11,
IF(AT285=regle!$I$12,regle!$I$11,""))))))))))</f>
        <v>ENT1</v>
      </c>
      <c r="AA285" t="str">
        <f>IF(NOT($A285),"",
IF(AU285=-2,regle!$J$11,
IF(AU285=regle!$B$12,regle!$B$11,
IF(AU285=regle!$C$12,regle!$C$11,
IF(AU285=regle!$D$12,regle!$D$11,
IF(AU285=regle!$E$12,regle!$E$11,
IF(AU285=regle!$F$12,regle!$F$11,
IF(AU285=regle!$G$12,regle!$G$11,
IF(AU285=regle!$H$12,regle!$H$11,
IF(AU285=regle!$I$12,regle!$I$11,""))))))))))</f>
        <v/>
      </c>
      <c r="AB285" t="str">
        <f>IF(NOT($A285),"",
IF(AV285=-2,regle!$J$11,
IF(AV285=regle!$B$12,regle!$B$11,
IF(AV285=regle!$C$12,regle!$C$11,
IF(AV285=regle!$D$12,regle!$D$11,
IF(AV285=regle!$E$12,regle!$E$11,
IF(AV285=regle!$F$12,regle!$F$11,
IF(AV285=regle!$G$12,regle!$G$11,
IF(AV285=regle!$H$12,regle!$H$11,
IF(AV285=regle!$I$12,regle!$I$11,""))))))))))</f>
        <v/>
      </c>
      <c r="AC285" t="str">
        <f>IF(NOT($A285),"",
IF(AW285=-2,regle!$J$11,
IF(AW285=regle!$B$12,regle!$B$11,
IF(AW285=regle!$C$12,regle!$C$11,
IF(AW285=regle!$D$12,regle!$D$11,
IF(AW285=regle!$E$12,regle!$E$11,
IF(AW285=regle!$F$12,regle!$F$11,
IF(AW285=regle!$G$12,regle!$G$11,
IF(AW285=regle!$H$12,regle!$H$11,
IF(AW285=regle!$I$12,regle!$I$11,""))))))))))</f>
        <v>ENT2</v>
      </c>
      <c r="AD285" t="str">
        <f>IF(NOT($A285),"",
IF(AX285=-2,regle!$J$11,
IF(AX285=regle!$B$12,regle!$B$11,
IF(AX285=regle!$C$12,regle!$C$11,
IF(AX285=regle!$D$12,regle!$D$11,
IF(AX285=regle!$E$12,regle!$E$11,
IF(AX285=regle!$F$12,regle!$F$11,
IF(AX285=regle!$G$12,regle!$G$11,
IF(AX285=regle!$H$12,regle!$H$11,
IF(AX285=regle!$I$12,regle!$I$11,""))))))))))</f>
        <v/>
      </c>
      <c r="AE285" s="14">
        <f>IF($A285,$M285*(IF(U285=regle!$B$11,regle!$B$23,IF(U285=regle!$C$11,regle!$C$23,IF(U285=regle!$D$11,regle!$D$23,IF(U285=regle!$E$11,regle!$E$23,IF(U285=regle!$F$11,regle!$F$23,IF(U285=regle!$G$11,regle!$G$23,IF(U285=regle!$H$11,regle!$H$23,IF(U285=regle!$I$11,regle!$I$23,IF(U285=regle!$J$11,regle!$J$23,0)))))))))))</f>
        <v>-273.7</v>
      </c>
      <c r="AF285" s="14">
        <f>IF($A285,$M285*(IF(V285=regle!$B$11,regle!$B$23,IF(V285=regle!$C$11,regle!$C$23,IF(V285=regle!$D$11,regle!$D$23,IF(V285=regle!$E$11,regle!$E$23,IF(V285=regle!$F$11,regle!$F$23,IF(V285=regle!$G$11,regle!$G$23,IF(V285=regle!$H$11,regle!$H$23,IF(V285=regle!$I$11,regle!$I$23,IF(V285=regle!$J$11,regle!$J$23,0)))))))))))</f>
        <v>0</v>
      </c>
      <c r="AG285" s="14">
        <f>IF($A285,$M285*(IF(W285=regle!$B$11,regle!$B$23,IF(W285=regle!$C$11,regle!$C$23,IF(W285=regle!$D$11,regle!$D$23,IF(W285=regle!$E$11,regle!$E$23,IF(W285=regle!$F$11,regle!$F$23,IF(W285=regle!$G$11,regle!$G$23,IF(W285=regle!$H$11,regle!$H$23,IF(W285=regle!$I$11,regle!$I$23,IF(W285=regle!$J$11,regle!$J$23,0)))))))))))</f>
        <v>-12.075000000000001</v>
      </c>
      <c r="AH285" s="14">
        <f>IF($A285,$M285*(IF(X285=regle!$B$11,regle!$B$23,IF(X285=regle!$C$11,regle!$C$23,IF(X285=regle!$D$11,regle!$D$23,IF(X285=regle!$E$11,regle!$E$23,IF(X285=regle!$F$11,regle!$F$23,IF(X285=regle!$G$11,regle!$G$23,IF(X285=regle!$H$11,regle!$H$23,IF(X285=regle!$I$11,regle!$I$23,IF(X285=regle!$J$11,regle!$J$23,0)))))))))))</f>
        <v>0</v>
      </c>
      <c r="AI285" s="14">
        <f>IF($A285,$M285*(IF(Y285=regle!$B$11,regle!$B$23,IF(Y285=regle!$C$11,regle!$C$23,IF(Y285=regle!$D$11,regle!$D$23,IF(Y285=regle!$E$11,regle!$E$23,IF(Y285=regle!$F$11,regle!$F$23,IF(Y285=regle!$G$11,regle!$G$23,IF(Y285=regle!$H$11,regle!$H$23,IF(Y285=regle!$I$11,regle!$I$23,IF(Y285=regle!$J$11,regle!$J$23,0)))))))))))</f>
        <v>0</v>
      </c>
      <c r="AJ285" s="14">
        <f>IF($A285,$M285*(IF(Z285=regle!$B$11,regle!$B$23,IF(Z285=regle!$C$11,regle!$C$23,IF(Z285=regle!$D$11,regle!$D$23,IF(Z285=regle!$E$11,regle!$E$23,IF(Z285=regle!$F$11,regle!$F$23,IF(Z285=regle!$G$11,regle!$G$23,IF(Z285=regle!$H$11,regle!$H$23,IF(Z285=regle!$I$11,regle!$I$23,IF(Z285=regle!$J$11,regle!$J$23,0)))))))))))</f>
        <v>-14.49</v>
      </c>
      <c r="AK285" s="14">
        <f>IF($A285,$M285*(IF(AA285=regle!$B$11,regle!$B$23,IF(AA285=regle!$C$11,regle!$C$23,IF(AA285=regle!$D$11,regle!$D$23,IF(AA285=regle!$E$11,regle!$E$23,IF(AA285=regle!$F$11,regle!$F$23,IF(AA285=regle!$G$11,regle!$G$23,IF(AA285=regle!$H$11,regle!$H$23,IF(AA285=regle!$I$11,regle!$I$23,IF(AA285=regle!$J$11,regle!$J$23,0)))))))))))</f>
        <v>0</v>
      </c>
      <c r="AL285" s="14">
        <f>IF($A285,$M285*(IF(AB285=regle!$B$11,regle!$B$23,IF(AB285=regle!$C$11,regle!$C$23,IF(AB285=regle!$D$11,regle!$D$23,IF(AB285=regle!$E$11,regle!$E$23,IF(AB285=regle!$F$11,regle!$F$23,IF(AB285=regle!$G$11,regle!$G$23,IF(AB285=regle!$H$11,regle!$H$23,IF(AB285=regle!$I$11,regle!$I$23,IF(AB285=regle!$J$11,regle!$J$23,0)))))))))))</f>
        <v>0</v>
      </c>
      <c r="AM285" s="14">
        <f>IF($A285,$M285*(IF(AC285=regle!$B$11,regle!$B$23,IF(AC285=regle!$C$11,regle!$C$23,IF(AC285=regle!$D$11,regle!$D$23,IF(AC285=regle!$E$11,regle!$E$23,IF(AC285=regle!$F$11,regle!$F$23,IF(AC285=regle!$G$11,regle!$G$23,IF(AC285=regle!$H$11,regle!$H$23,IF(AC285=regle!$I$11,regle!$I$23,IF(AC285=regle!$J$11,regle!$J$23,0)))))))))))</f>
        <v>-14.49</v>
      </c>
      <c r="AN285" s="14">
        <f>IF($A285,$M285*(IF(AD285=regle!$B$11,regle!$B$23,IF(AD285=regle!$C$11,regle!$C$23,IF(AD285=regle!$D$11,regle!$D$23,IF(AD285=regle!$E$11,regle!$E$23,IF(AD285=regle!$F$11,regle!$F$23,IF(AD285=regle!$G$11,regle!$G$23,IF(AD285=regle!$H$11,regle!$H$23,IF(AD285=regle!$I$11,regle!$I$23,IF(AD285=regle!$J$11,regle!$J$23,0)))))))))))</f>
        <v>0</v>
      </c>
      <c r="AO285">
        <f>IF(AO$1=$AO$1,IF(regle!B$2-$Q285&gt;=regle!$J$12,-2,IF($S285,IF(regle!$B$2-$Q285&gt;=2,0,-1),regle!B$2-$Q285)),IF(AN285+1&gt;=regle!$J$12,-2,AN285+1))</f>
        <v>0</v>
      </c>
      <c r="AP285">
        <f>IF(AP$1=$AO$1,IF(regle!C$2-$Q285&gt;=regle!$J$12,-2,IF($S285,IF(regle!$B$2-$Q285&gt;=2,0,-1),regle!C$2-$Q285)),IF(AO285+1&gt;=regle!$J$12,-2,AO285+1))</f>
        <v>1</v>
      </c>
      <c r="AQ285">
        <f>IF(AQ$1=$AO$1,IF(regle!D$2-$Q285&gt;=regle!$J$12,-2,IF($S285,IF(regle!$B$2-$Q285&gt;=2,0,-1),regle!D$2-$Q285)),IF(AP285+1&gt;=regle!$J$12,-2,AP285+1))</f>
        <v>2</v>
      </c>
      <c r="AR285">
        <f>IF(AR$1=$AO$1,IF(regle!E$2-$Q285&gt;=regle!$J$12,-2,IF($S285,IF(regle!$B$2-$Q285&gt;=2,0,-1),regle!E$2-$Q285)),IF(AQ285+1&gt;=regle!$J$12,-2,AQ285+1))</f>
        <v>3</v>
      </c>
      <c r="AS285">
        <f>IF(AS$1=$AO$1,IF(regle!F$2-$Q285&gt;=regle!$J$12,-2,IF($S285,IF(regle!$B$2-$Q285&gt;=2,0,-1),regle!F$2-$Q285)),IF(AR285+1&gt;=regle!$J$12,-2,AR285+1))</f>
        <v>4</v>
      </c>
      <c r="AT285">
        <f>IF(AT$1=$AO$1,IF(regle!G$2-$Q285&gt;=regle!$J$12,-2,IF($S285,IF(regle!$B$2-$Q285&gt;=2,0,-1),regle!G$2-$Q285)),IF(AS285+1&gt;=regle!$J$12,-2,AS285+1))</f>
        <v>5</v>
      </c>
      <c r="AU285">
        <f>IF(AU$1=$AO$1,IF(regle!H$2-$Q285&gt;=regle!$J$12,-2,IF($S285,IF(regle!$B$2-$Q285&gt;=2,0,-1),regle!H$2-$Q285)),IF(AT285+1&gt;=regle!$J$12,-2,AT285+1))</f>
        <v>6</v>
      </c>
      <c r="AV285">
        <f>IF(AV$1=$AO$1,IF(regle!I$2-$Q285&gt;=regle!$J$12,-2,IF($S285,IF(regle!$B$2-$Q285&gt;=2,0,-1),regle!I$2-$Q285)),IF(AU285+1&gt;=regle!$J$12,-2,AU285+1))</f>
        <v>7</v>
      </c>
      <c r="AW285">
        <f>IF(AW$1=$AO$1,IF(regle!J$2-$Q285&gt;=regle!$J$12,-2,IF($S285,IF(regle!$B$2-$Q285&gt;=2,0,-1),regle!J$2-$Q285)),IF(AV285+1&gt;=regle!$J$12,-2,AV285+1))</f>
        <v>8</v>
      </c>
      <c r="AX285">
        <f>IF(AX$1=$AO$1,IF(regle!K$2-$Q285&gt;=regle!$J$12,-2,IF($S285,IF(regle!$B$2-$Q285&gt;=2,0,-1),regle!K$2-$Q285)),IF(AW285+1&gt;=regle!$J$12,-2,AW285+1))</f>
        <v>9</v>
      </c>
    </row>
    <row r="286" spans="1:50" x14ac:dyDescent="0.25">
      <c r="A286" t="b">
        <f>AND(modif0[[#This Row],[cdstr]]&lt;&gt;0,OR(regle!$H$27=FALSE,modif0[[#This Row],[essnc]]="PM"))</f>
        <v>1</v>
      </c>
      <c r="B286">
        <f>ROW(objet!A334)</f>
        <v>334</v>
      </c>
      <c r="C286" s="10" t="str">
        <f>objet!D334</f>
        <v>1710000B0418</v>
      </c>
      <c r="D286" t="str">
        <f>LEFT(modif0[[#This Row],[cdstr]],3)</f>
        <v>171</v>
      </c>
      <c r="E286" s="10" t="str">
        <f>objet!G334</f>
        <v>MANO</v>
      </c>
      <c r="F286">
        <f>LEN(modif0[[#This Row],[l_dt]])</f>
        <v>17</v>
      </c>
      <c r="G286" s="10" t="str">
        <f>objet!H334</f>
        <v>LANDE DE TABARTON</v>
      </c>
      <c r="H286" s="10" t="str">
        <f>objet!C334</f>
        <v>B418</v>
      </c>
      <c r="I286" t="str">
        <f>IF(ISNUMBER(VALUE(RIGHT(LEFT(modif0[[#This Row],[idntfn]],2),1))),_xlfn.CONCAT(0,LEFT(modif0[[#This Row],[idntfn]],1)),LEFT(modif0[[#This Row],[idntfn]],2))</f>
        <v>0B</v>
      </c>
      <c r="J286">
        <f>VALUE(LEFT(RIGHT(modif0[[#This Row],[idntfn]],LEN(modif0[[#This Row],[idntfn]])-IF(LEFT(modif0[[#This Row],[sctn]],1)="0",1,2)),LEN(modif0[[#This Row],[idntfn]])-IF(LEFT(modif0[[#This Row],[sctn]],1)="0",1,2)-LEN(modif0[[#This Row],[lttr]])))</f>
        <v>418</v>
      </c>
      <c r="K286" t="str">
        <f>IF(ISNUMBER(VALUE(RIGHT(modif0[[#This Row],[idntfn]],1))),"",IF(ISNUMBER(VALUE(LEFT(RIGHT(modif0[[#This Row],[idntfn]],2),1))),RIGHT(modif0[[#This Row],[idntfn]],1),RIGHT(modif0[[#This Row],[idntfn]],2)))</f>
        <v/>
      </c>
      <c r="L286" s="10">
        <f>objet!I334</f>
        <v>3396</v>
      </c>
      <c r="M286" s="11">
        <f>modif0[[#This Row],[srfc]]/10000</f>
        <v>0.33960000000000001</v>
      </c>
      <c r="N286" s="10" t="str">
        <f>objet!Z334</f>
        <v>PM</v>
      </c>
      <c r="O286" s="10" t="str">
        <f>objet!AA334</f>
        <v>CR2022</v>
      </c>
      <c r="P286" t="str">
        <f>IF(ISNUMBER(modif0[[#This Row],[trvx]]),"",LEFT(modif0[[#This Row],[trvx]],LEN(modif0[[#This Row],[trvx]])-4))</f>
        <v>CR</v>
      </c>
      <c r="Q286">
        <f>VALUE(RIGHT(modif0[[#This Row],[trvx]],4))</f>
        <v>2022</v>
      </c>
      <c r="R286" t="str">
        <f>_xlfn.CONCAT(modif0[[#This Row],[tp]],"-",modif0[[#This Row],[essnc]],"_",modif0[[#This Row],[anns]])</f>
        <v>CR-PM_2022</v>
      </c>
      <c r="S286" t="b">
        <f>modif0[[#This Row],[tp]]="CR"</f>
        <v>1</v>
      </c>
      <c r="T286">
        <v>40</v>
      </c>
      <c r="U286" t="str">
        <f>IF(NOT($A286),"",
IF(AO286=-2,regle!$J$11,
IF(AO286=regle!$B$12,regle!$B$11,
IF(AO286=regle!$C$12,regle!$C$11,
IF(AO286=regle!$D$12,regle!$D$11,
IF(AO286=regle!$E$12,regle!$E$11,
IF(AO286=regle!$F$12,regle!$F$11,
IF(AO286=regle!$G$12,regle!$G$11,
IF(AO286=regle!$H$12,regle!$H$11,
IF(AO286=regle!$I$12,regle!$I$11,""))))))))))</f>
        <v>RBST</v>
      </c>
      <c r="V286" t="str">
        <f>IF(NOT($A286),"",
IF(AP286=-2,regle!$J$11,
IF(AP286=regle!$B$12,regle!$B$11,
IF(AP286=regle!$C$12,regle!$C$11,
IF(AP286=regle!$D$12,regle!$D$11,
IF(AP286=regle!$E$12,regle!$E$11,
IF(AP286=regle!$F$12,regle!$F$11,
IF(AP286=regle!$G$12,regle!$G$11,
IF(AP286=regle!$H$12,regle!$H$11,
IF(AP286=regle!$I$12,regle!$I$11,""))))))))))</f>
        <v/>
      </c>
      <c r="W286" t="str">
        <f>IF(NOT($A286),"",
IF(AQ286=-2,regle!$J$11,
IF(AQ286=regle!$B$12,regle!$B$11,
IF(AQ286=regle!$C$12,regle!$C$11,
IF(AQ286=regle!$D$12,regle!$D$11,
IF(AQ286=regle!$E$12,regle!$E$11,
IF(AQ286=regle!$F$12,regle!$F$11,
IF(AQ286=regle!$G$12,regle!$G$11,
IF(AQ286=regle!$H$12,regle!$H$11,
IF(AQ286=regle!$I$12,regle!$I$11,""))))))))))</f>
        <v>DGT</v>
      </c>
      <c r="X286" t="str">
        <f>IF(NOT($A286),"",
IF(AR286=-2,regle!$J$11,
IF(AR286=regle!$B$12,regle!$B$11,
IF(AR286=regle!$C$12,regle!$C$11,
IF(AR286=regle!$D$12,regle!$D$11,
IF(AR286=regle!$E$12,regle!$E$11,
IF(AR286=regle!$F$12,regle!$F$11,
IF(AR286=regle!$G$12,regle!$G$11,
IF(AR286=regle!$H$12,regle!$H$11,
IF(AR286=regle!$I$12,regle!$I$11,""))))))))))</f>
        <v/>
      </c>
      <c r="Y286" t="str">
        <f>IF(NOT($A286),"",
IF(AS286=-2,regle!$J$11,
IF(AS286=regle!$B$12,regle!$B$11,
IF(AS286=regle!$C$12,regle!$C$11,
IF(AS286=regle!$D$12,regle!$D$11,
IF(AS286=regle!$E$12,regle!$E$11,
IF(AS286=regle!$F$12,regle!$F$11,
IF(AS286=regle!$G$12,regle!$G$11,
IF(AS286=regle!$H$12,regle!$H$11,
IF(AS286=regle!$I$12,regle!$I$11,""))))))))))</f>
        <v/>
      </c>
      <c r="Z286" t="str">
        <f>IF(NOT($A286),"",
IF(AT286=-2,regle!$J$11,
IF(AT286=regle!$B$12,regle!$B$11,
IF(AT286=regle!$C$12,regle!$C$11,
IF(AT286=regle!$D$12,regle!$D$11,
IF(AT286=regle!$E$12,regle!$E$11,
IF(AT286=regle!$F$12,regle!$F$11,
IF(AT286=regle!$G$12,regle!$G$11,
IF(AT286=regle!$H$12,regle!$H$11,
IF(AT286=regle!$I$12,regle!$I$11,""))))))))))</f>
        <v>ENT1</v>
      </c>
      <c r="AA286" t="str">
        <f>IF(NOT($A286),"",
IF(AU286=-2,regle!$J$11,
IF(AU286=regle!$B$12,regle!$B$11,
IF(AU286=regle!$C$12,regle!$C$11,
IF(AU286=regle!$D$12,regle!$D$11,
IF(AU286=regle!$E$12,regle!$E$11,
IF(AU286=regle!$F$12,regle!$F$11,
IF(AU286=regle!$G$12,regle!$G$11,
IF(AU286=regle!$H$12,regle!$H$11,
IF(AU286=regle!$I$12,regle!$I$11,""))))))))))</f>
        <v/>
      </c>
      <c r="AB286" t="str">
        <f>IF(NOT($A286),"",
IF(AV286=-2,regle!$J$11,
IF(AV286=regle!$B$12,regle!$B$11,
IF(AV286=regle!$C$12,regle!$C$11,
IF(AV286=regle!$D$12,regle!$D$11,
IF(AV286=regle!$E$12,regle!$E$11,
IF(AV286=regle!$F$12,regle!$F$11,
IF(AV286=regle!$G$12,regle!$G$11,
IF(AV286=regle!$H$12,regle!$H$11,
IF(AV286=regle!$I$12,regle!$I$11,""))))))))))</f>
        <v/>
      </c>
      <c r="AC286" t="str">
        <f>IF(NOT($A286),"",
IF(AW286=-2,regle!$J$11,
IF(AW286=regle!$B$12,regle!$B$11,
IF(AW286=regle!$C$12,regle!$C$11,
IF(AW286=regle!$D$12,regle!$D$11,
IF(AW286=regle!$E$12,regle!$E$11,
IF(AW286=regle!$F$12,regle!$F$11,
IF(AW286=regle!$G$12,regle!$G$11,
IF(AW286=regle!$H$12,regle!$H$11,
IF(AW286=regle!$I$12,regle!$I$11,""))))))))))</f>
        <v>ENT2</v>
      </c>
      <c r="AD286" t="str">
        <f>IF(NOT($A286),"",
IF(AX286=-2,regle!$J$11,
IF(AX286=regle!$B$12,regle!$B$11,
IF(AX286=regle!$C$12,regle!$C$11,
IF(AX286=regle!$D$12,regle!$D$11,
IF(AX286=regle!$E$12,regle!$E$11,
IF(AX286=regle!$F$12,regle!$F$11,
IF(AX286=regle!$G$12,regle!$G$11,
IF(AX286=regle!$H$12,regle!$H$11,
IF(AX286=regle!$I$12,regle!$I$11,""))))))))))</f>
        <v/>
      </c>
      <c r="AE286" s="14">
        <f>IF($A286,$M286*(IF(U286=regle!$B$11,regle!$B$23,IF(U286=regle!$C$11,regle!$C$23,IF(U286=regle!$D$11,regle!$D$23,IF(U286=regle!$E$11,regle!$E$23,IF(U286=regle!$F$11,regle!$F$23,IF(U286=regle!$G$11,regle!$G$23,IF(U286=regle!$H$11,regle!$H$23,IF(U286=regle!$I$11,regle!$I$23,IF(U286=regle!$J$11,regle!$J$23,0)))))))))))</f>
        <v>-577.32000000000005</v>
      </c>
      <c r="AF286" s="14">
        <f>IF($A286,$M286*(IF(V286=regle!$B$11,regle!$B$23,IF(V286=regle!$C$11,regle!$C$23,IF(V286=regle!$D$11,regle!$D$23,IF(V286=regle!$E$11,regle!$E$23,IF(V286=regle!$F$11,regle!$F$23,IF(V286=regle!$G$11,regle!$G$23,IF(V286=regle!$H$11,regle!$H$23,IF(V286=regle!$I$11,regle!$I$23,IF(V286=regle!$J$11,regle!$J$23,0)))))))))))</f>
        <v>0</v>
      </c>
      <c r="AG286" s="14">
        <f>IF($A286,$M286*(IF(W286=regle!$B$11,regle!$B$23,IF(W286=regle!$C$11,regle!$C$23,IF(W286=regle!$D$11,regle!$D$23,IF(W286=regle!$E$11,regle!$E$23,IF(W286=regle!$F$11,regle!$F$23,IF(W286=regle!$G$11,regle!$G$23,IF(W286=regle!$H$11,regle!$H$23,IF(W286=regle!$I$11,regle!$I$23,IF(W286=regle!$J$11,regle!$J$23,0)))))))))))</f>
        <v>-25.470000000000002</v>
      </c>
      <c r="AH286" s="14">
        <f>IF($A286,$M286*(IF(X286=regle!$B$11,regle!$B$23,IF(X286=regle!$C$11,regle!$C$23,IF(X286=regle!$D$11,regle!$D$23,IF(X286=regle!$E$11,regle!$E$23,IF(X286=regle!$F$11,regle!$F$23,IF(X286=regle!$G$11,regle!$G$23,IF(X286=regle!$H$11,regle!$H$23,IF(X286=regle!$I$11,regle!$I$23,IF(X286=regle!$J$11,regle!$J$23,0)))))))))))</f>
        <v>0</v>
      </c>
      <c r="AI286" s="14">
        <f>IF($A286,$M286*(IF(Y286=regle!$B$11,regle!$B$23,IF(Y286=regle!$C$11,regle!$C$23,IF(Y286=regle!$D$11,regle!$D$23,IF(Y286=regle!$E$11,regle!$E$23,IF(Y286=regle!$F$11,regle!$F$23,IF(Y286=regle!$G$11,regle!$G$23,IF(Y286=regle!$H$11,regle!$H$23,IF(Y286=regle!$I$11,regle!$I$23,IF(Y286=regle!$J$11,regle!$J$23,0)))))))))))</f>
        <v>0</v>
      </c>
      <c r="AJ286" s="14">
        <f>IF($A286,$M286*(IF(Z286=regle!$B$11,regle!$B$23,IF(Z286=regle!$C$11,regle!$C$23,IF(Z286=regle!$D$11,regle!$D$23,IF(Z286=regle!$E$11,regle!$E$23,IF(Z286=regle!$F$11,regle!$F$23,IF(Z286=regle!$G$11,regle!$G$23,IF(Z286=regle!$H$11,regle!$H$23,IF(Z286=regle!$I$11,regle!$I$23,IF(Z286=regle!$J$11,regle!$J$23,0)))))))))))</f>
        <v>-30.564</v>
      </c>
      <c r="AK286" s="14">
        <f>IF($A286,$M286*(IF(AA286=regle!$B$11,regle!$B$23,IF(AA286=regle!$C$11,regle!$C$23,IF(AA286=regle!$D$11,regle!$D$23,IF(AA286=regle!$E$11,regle!$E$23,IF(AA286=regle!$F$11,regle!$F$23,IF(AA286=regle!$G$11,regle!$G$23,IF(AA286=regle!$H$11,regle!$H$23,IF(AA286=regle!$I$11,regle!$I$23,IF(AA286=regle!$J$11,regle!$J$23,0)))))))))))</f>
        <v>0</v>
      </c>
      <c r="AL286" s="14">
        <f>IF($A286,$M286*(IF(AB286=regle!$B$11,regle!$B$23,IF(AB286=regle!$C$11,regle!$C$23,IF(AB286=regle!$D$11,regle!$D$23,IF(AB286=regle!$E$11,regle!$E$23,IF(AB286=regle!$F$11,regle!$F$23,IF(AB286=regle!$G$11,regle!$G$23,IF(AB286=regle!$H$11,regle!$H$23,IF(AB286=regle!$I$11,regle!$I$23,IF(AB286=regle!$J$11,regle!$J$23,0)))))))))))</f>
        <v>0</v>
      </c>
      <c r="AM286" s="14">
        <f>IF($A286,$M286*(IF(AC286=regle!$B$11,regle!$B$23,IF(AC286=regle!$C$11,regle!$C$23,IF(AC286=regle!$D$11,regle!$D$23,IF(AC286=regle!$E$11,regle!$E$23,IF(AC286=regle!$F$11,regle!$F$23,IF(AC286=regle!$G$11,regle!$G$23,IF(AC286=regle!$H$11,regle!$H$23,IF(AC286=regle!$I$11,regle!$I$23,IF(AC286=regle!$J$11,regle!$J$23,0)))))))))))</f>
        <v>-30.564</v>
      </c>
      <c r="AN286" s="14">
        <f>IF($A286,$M286*(IF(AD286=regle!$B$11,regle!$B$23,IF(AD286=regle!$C$11,regle!$C$23,IF(AD286=regle!$D$11,regle!$D$23,IF(AD286=regle!$E$11,regle!$E$23,IF(AD286=regle!$F$11,regle!$F$23,IF(AD286=regle!$G$11,regle!$G$23,IF(AD286=regle!$H$11,regle!$H$23,IF(AD286=regle!$I$11,regle!$I$23,IF(AD286=regle!$J$11,regle!$J$23,0)))))))))))</f>
        <v>0</v>
      </c>
      <c r="AO286">
        <f>IF(AO$1=$AO$1,IF(regle!B$2-$Q286&gt;=regle!$J$12,-2,IF($S286,IF(regle!$B$2-$Q286&gt;=2,0,-1),regle!B$2-$Q286)),IF(AN286+1&gt;=regle!$J$12,-2,AN286+1))</f>
        <v>0</v>
      </c>
      <c r="AP286">
        <f>IF(AP$1=$AO$1,IF(regle!C$2-$Q286&gt;=regle!$J$12,-2,IF($S286,IF(regle!$B$2-$Q286&gt;=2,0,-1),regle!C$2-$Q286)),IF(AO286+1&gt;=regle!$J$12,-2,AO286+1))</f>
        <v>1</v>
      </c>
      <c r="AQ286">
        <f>IF(AQ$1=$AO$1,IF(regle!D$2-$Q286&gt;=regle!$J$12,-2,IF($S286,IF(regle!$B$2-$Q286&gt;=2,0,-1),regle!D$2-$Q286)),IF(AP286+1&gt;=regle!$J$12,-2,AP286+1))</f>
        <v>2</v>
      </c>
      <c r="AR286">
        <f>IF(AR$1=$AO$1,IF(regle!E$2-$Q286&gt;=regle!$J$12,-2,IF($S286,IF(regle!$B$2-$Q286&gt;=2,0,-1),regle!E$2-$Q286)),IF(AQ286+1&gt;=regle!$J$12,-2,AQ286+1))</f>
        <v>3</v>
      </c>
      <c r="AS286">
        <f>IF(AS$1=$AO$1,IF(regle!F$2-$Q286&gt;=regle!$J$12,-2,IF($S286,IF(regle!$B$2-$Q286&gt;=2,0,-1),regle!F$2-$Q286)),IF(AR286+1&gt;=regle!$J$12,-2,AR286+1))</f>
        <v>4</v>
      </c>
      <c r="AT286">
        <f>IF(AT$1=$AO$1,IF(regle!G$2-$Q286&gt;=regle!$J$12,-2,IF($S286,IF(regle!$B$2-$Q286&gt;=2,0,-1),regle!G$2-$Q286)),IF(AS286+1&gt;=regle!$J$12,-2,AS286+1))</f>
        <v>5</v>
      </c>
      <c r="AU286">
        <f>IF(AU$1=$AO$1,IF(regle!H$2-$Q286&gt;=regle!$J$12,-2,IF($S286,IF(regle!$B$2-$Q286&gt;=2,0,-1),regle!H$2-$Q286)),IF(AT286+1&gt;=regle!$J$12,-2,AT286+1))</f>
        <v>6</v>
      </c>
      <c r="AV286">
        <f>IF(AV$1=$AO$1,IF(regle!I$2-$Q286&gt;=regle!$J$12,-2,IF($S286,IF(regle!$B$2-$Q286&gt;=2,0,-1),regle!I$2-$Q286)),IF(AU286+1&gt;=regle!$J$12,-2,AU286+1))</f>
        <v>7</v>
      </c>
      <c r="AW286">
        <f>IF(AW$1=$AO$1,IF(regle!J$2-$Q286&gt;=regle!$J$12,-2,IF($S286,IF(regle!$B$2-$Q286&gt;=2,0,-1),regle!J$2-$Q286)),IF(AV286+1&gt;=regle!$J$12,-2,AV286+1))</f>
        <v>8</v>
      </c>
      <c r="AX286">
        <f>IF(AX$1=$AO$1,IF(regle!K$2-$Q286&gt;=regle!$J$12,-2,IF($S286,IF(regle!$B$2-$Q286&gt;=2,0,-1),regle!K$2-$Q286)),IF(AW286+1&gt;=regle!$J$12,-2,AW286+1))</f>
        <v>9</v>
      </c>
    </row>
    <row r="287" spans="1:50" x14ac:dyDescent="0.25">
      <c r="A287" t="b">
        <f>AND(modif0[[#This Row],[cdstr]]&lt;&gt;0,OR(regle!$H$27=FALSE,modif0[[#This Row],[essnc]]="PM"))</f>
        <v>1</v>
      </c>
      <c r="B287">
        <f>ROW(objet!A335)</f>
        <v>335</v>
      </c>
      <c r="C287" s="10" t="str">
        <f>objet!D335</f>
        <v>1710000B0420</v>
      </c>
      <c r="D287" t="str">
        <f>LEFT(modif0[[#This Row],[cdstr]],3)</f>
        <v>171</v>
      </c>
      <c r="E287" s="10" t="str">
        <f>objet!G335</f>
        <v>MANO</v>
      </c>
      <c r="F287">
        <f>LEN(modif0[[#This Row],[l_dt]])</f>
        <v>16</v>
      </c>
      <c r="G287" s="10" t="str">
        <f>objet!H335</f>
        <v>BAS DE TOURNICON</v>
      </c>
      <c r="H287" s="10" t="str">
        <f>objet!C335</f>
        <v>B420</v>
      </c>
      <c r="I287" t="str">
        <f>IF(ISNUMBER(VALUE(RIGHT(LEFT(modif0[[#This Row],[idntfn]],2),1))),_xlfn.CONCAT(0,LEFT(modif0[[#This Row],[idntfn]],1)),LEFT(modif0[[#This Row],[idntfn]],2))</f>
        <v>0B</v>
      </c>
      <c r="J287">
        <f>VALUE(LEFT(RIGHT(modif0[[#This Row],[idntfn]],LEN(modif0[[#This Row],[idntfn]])-IF(LEFT(modif0[[#This Row],[sctn]],1)="0",1,2)),LEN(modif0[[#This Row],[idntfn]])-IF(LEFT(modif0[[#This Row],[sctn]],1)="0",1,2)-LEN(modif0[[#This Row],[lttr]])))</f>
        <v>420</v>
      </c>
      <c r="K287" t="str">
        <f>IF(ISNUMBER(VALUE(RIGHT(modif0[[#This Row],[idntfn]],1))),"",IF(ISNUMBER(VALUE(LEFT(RIGHT(modif0[[#This Row],[idntfn]],2),1))),RIGHT(modif0[[#This Row],[idntfn]],1),RIGHT(modif0[[#This Row],[idntfn]],2)))</f>
        <v/>
      </c>
      <c r="L287" s="10">
        <f>objet!I335</f>
        <v>3490</v>
      </c>
      <c r="M287" s="11">
        <f>modif0[[#This Row],[srfc]]/10000</f>
        <v>0.34899999999999998</v>
      </c>
      <c r="N287" s="10" t="str">
        <f>objet!Z335</f>
        <v>PM</v>
      </c>
      <c r="O287" s="10" t="str">
        <f>objet!AA335</f>
        <v>CR2022</v>
      </c>
      <c r="P287" t="str">
        <f>IF(ISNUMBER(modif0[[#This Row],[trvx]]),"",LEFT(modif0[[#This Row],[trvx]],LEN(modif0[[#This Row],[trvx]])-4))</f>
        <v>CR</v>
      </c>
      <c r="Q287">
        <f>VALUE(RIGHT(modif0[[#This Row],[trvx]],4))</f>
        <v>2022</v>
      </c>
      <c r="R287" t="str">
        <f>_xlfn.CONCAT(modif0[[#This Row],[tp]],"-",modif0[[#This Row],[essnc]],"_",modif0[[#This Row],[anns]])</f>
        <v>CR-PM_2022</v>
      </c>
      <c r="S287" t="b">
        <f>modif0[[#This Row],[tp]]="CR"</f>
        <v>1</v>
      </c>
      <c r="T287">
        <v>40</v>
      </c>
      <c r="U287" t="str">
        <f>IF(NOT($A287),"",
IF(AO287=-2,regle!$J$11,
IF(AO287=regle!$B$12,regle!$B$11,
IF(AO287=regle!$C$12,regle!$C$11,
IF(AO287=regle!$D$12,regle!$D$11,
IF(AO287=regle!$E$12,regle!$E$11,
IF(AO287=regle!$F$12,regle!$F$11,
IF(AO287=regle!$G$12,regle!$G$11,
IF(AO287=regle!$H$12,regle!$H$11,
IF(AO287=regle!$I$12,regle!$I$11,""))))))))))</f>
        <v>RBST</v>
      </c>
      <c r="V287" t="str">
        <f>IF(NOT($A287),"",
IF(AP287=-2,regle!$J$11,
IF(AP287=regle!$B$12,regle!$B$11,
IF(AP287=regle!$C$12,regle!$C$11,
IF(AP287=regle!$D$12,regle!$D$11,
IF(AP287=regle!$E$12,regle!$E$11,
IF(AP287=regle!$F$12,regle!$F$11,
IF(AP287=regle!$G$12,regle!$G$11,
IF(AP287=regle!$H$12,regle!$H$11,
IF(AP287=regle!$I$12,regle!$I$11,""))))))))))</f>
        <v/>
      </c>
      <c r="W287" t="str">
        <f>IF(NOT($A287),"",
IF(AQ287=-2,regle!$J$11,
IF(AQ287=regle!$B$12,regle!$B$11,
IF(AQ287=regle!$C$12,regle!$C$11,
IF(AQ287=regle!$D$12,regle!$D$11,
IF(AQ287=regle!$E$12,regle!$E$11,
IF(AQ287=regle!$F$12,regle!$F$11,
IF(AQ287=regle!$G$12,regle!$G$11,
IF(AQ287=regle!$H$12,regle!$H$11,
IF(AQ287=regle!$I$12,regle!$I$11,""))))))))))</f>
        <v>DGT</v>
      </c>
      <c r="X287" t="str">
        <f>IF(NOT($A287),"",
IF(AR287=-2,regle!$J$11,
IF(AR287=regle!$B$12,regle!$B$11,
IF(AR287=regle!$C$12,regle!$C$11,
IF(AR287=regle!$D$12,regle!$D$11,
IF(AR287=regle!$E$12,regle!$E$11,
IF(AR287=regle!$F$12,regle!$F$11,
IF(AR287=regle!$G$12,regle!$G$11,
IF(AR287=regle!$H$12,regle!$H$11,
IF(AR287=regle!$I$12,regle!$I$11,""))))))))))</f>
        <v/>
      </c>
      <c r="Y287" t="str">
        <f>IF(NOT($A287),"",
IF(AS287=-2,regle!$J$11,
IF(AS287=regle!$B$12,regle!$B$11,
IF(AS287=regle!$C$12,regle!$C$11,
IF(AS287=regle!$D$12,regle!$D$11,
IF(AS287=regle!$E$12,regle!$E$11,
IF(AS287=regle!$F$12,regle!$F$11,
IF(AS287=regle!$G$12,regle!$G$11,
IF(AS287=regle!$H$12,regle!$H$11,
IF(AS287=regle!$I$12,regle!$I$11,""))))))))))</f>
        <v/>
      </c>
      <c r="Z287" t="str">
        <f>IF(NOT($A287),"",
IF(AT287=-2,regle!$J$11,
IF(AT287=regle!$B$12,regle!$B$11,
IF(AT287=regle!$C$12,regle!$C$11,
IF(AT287=regle!$D$12,regle!$D$11,
IF(AT287=regle!$E$12,regle!$E$11,
IF(AT287=regle!$F$12,regle!$F$11,
IF(AT287=regle!$G$12,regle!$G$11,
IF(AT287=regle!$H$12,regle!$H$11,
IF(AT287=regle!$I$12,regle!$I$11,""))))))))))</f>
        <v>ENT1</v>
      </c>
      <c r="AA287" t="str">
        <f>IF(NOT($A287),"",
IF(AU287=-2,regle!$J$11,
IF(AU287=regle!$B$12,regle!$B$11,
IF(AU287=regle!$C$12,regle!$C$11,
IF(AU287=regle!$D$12,regle!$D$11,
IF(AU287=regle!$E$12,regle!$E$11,
IF(AU287=regle!$F$12,regle!$F$11,
IF(AU287=regle!$G$12,regle!$G$11,
IF(AU287=regle!$H$12,regle!$H$11,
IF(AU287=regle!$I$12,regle!$I$11,""))))))))))</f>
        <v/>
      </c>
      <c r="AB287" t="str">
        <f>IF(NOT($A287),"",
IF(AV287=-2,regle!$J$11,
IF(AV287=regle!$B$12,regle!$B$11,
IF(AV287=regle!$C$12,regle!$C$11,
IF(AV287=regle!$D$12,regle!$D$11,
IF(AV287=regle!$E$12,regle!$E$11,
IF(AV287=regle!$F$12,regle!$F$11,
IF(AV287=regle!$G$12,regle!$G$11,
IF(AV287=regle!$H$12,regle!$H$11,
IF(AV287=regle!$I$12,regle!$I$11,""))))))))))</f>
        <v/>
      </c>
      <c r="AC287" t="str">
        <f>IF(NOT($A287),"",
IF(AW287=-2,regle!$J$11,
IF(AW287=regle!$B$12,regle!$B$11,
IF(AW287=regle!$C$12,regle!$C$11,
IF(AW287=regle!$D$12,regle!$D$11,
IF(AW287=regle!$E$12,regle!$E$11,
IF(AW287=regle!$F$12,regle!$F$11,
IF(AW287=regle!$G$12,regle!$G$11,
IF(AW287=regle!$H$12,regle!$H$11,
IF(AW287=regle!$I$12,regle!$I$11,""))))))))))</f>
        <v>ENT2</v>
      </c>
      <c r="AD287" t="str">
        <f>IF(NOT($A287),"",
IF(AX287=-2,regle!$J$11,
IF(AX287=regle!$B$12,regle!$B$11,
IF(AX287=regle!$C$12,regle!$C$11,
IF(AX287=regle!$D$12,regle!$D$11,
IF(AX287=regle!$E$12,regle!$E$11,
IF(AX287=regle!$F$12,regle!$F$11,
IF(AX287=regle!$G$12,regle!$G$11,
IF(AX287=regle!$H$12,regle!$H$11,
IF(AX287=regle!$I$12,regle!$I$11,""))))))))))</f>
        <v/>
      </c>
      <c r="AE287" s="14">
        <f>IF($A287,$M287*(IF(U287=regle!$B$11,regle!$B$23,IF(U287=regle!$C$11,regle!$C$23,IF(U287=regle!$D$11,regle!$D$23,IF(U287=regle!$E$11,regle!$E$23,IF(U287=regle!$F$11,regle!$F$23,IF(U287=regle!$G$11,regle!$G$23,IF(U287=regle!$H$11,regle!$H$23,IF(U287=regle!$I$11,regle!$I$23,IF(U287=regle!$J$11,regle!$J$23,0)))))))))))</f>
        <v>-593.29999999999995</v>
      </c>
      <c r="AF287" s="14">
        <f>IF($A287,$M287*(IF(V287=regle!$B$11,regle!$B$23,IF(V287=regle!$C$11,regle!$C$23,IF(V287=regle!$D$11,regle!$D$23,IF(V287=regle!$E$11,regle!$E$23,IF(V287=regle!$F$11,regle!$F$23,IF(V287=regle!$G$11,regle!$G$23,IF(V287=regle!$H$11,regle!$H$23,IF(V287=regle!$I$11,regle!$I$23,IF(V287=regle!$J$11,regle!$J$23,0)))))))))))</f>
        <v>0</v>
      </c>
      <c r="AG287" s="14">
        <f>IF($A287,$M287*(IF(W287=regle!$B$11,regle!$B$23,IF(W287=regle!$C$11,regle!$C$23,IF(W287=regle!$D$11,regle!$D$23,IF(W287=regle!$E$11,regle!$E$23,IF(W287=regle!$F$11,regle!$F$23,IF(W287=regle!$G$11,regle!$G$23,IF(W287=regle!$H$11,regle!$H$23,IF(W287=regle!$I$11,regle!$I$23,IF(W287=regle!$J$11,regle!$J$23,0)))))))))))</f>
        <v>-26.174999999999997</v>
      </c>
      <c r="AH287" s="14">
        <f>IF($A287,$M287*(IF(X287=regle!$B$11,regle!$B$23,IF(X287=regle!$C$11,regle!$C$23,IF(X287=regle!$D$11,regle!$D$23,IF(X287=regle!$E$11,regle!$E$23,IF(X287=regle!$F$11,regle!$F$23,IF(X287=regle!$G$11,regle!$G$23,IF(X287=regle!$H$11,regle!$H$23,IF(X287=regle!$I$11,regle!$I$23,IF(X287=regle!$J$11,regle!$J$23,0)))))))))))</f>
        <v>0</v>
      </c>
      <c r="AI287" s="14">
        <f>IF($A287,$M287*(IF(Y287=regle!$B$11,regle!$B$23,IF(Y287=regle!$C$11,regle!$C$23,IF(Y287=regle!$D$11,regle!$D$23,IF(Y287=regle!$E$11,regle!$E$23,IF(Y287=regle!$F$11,regle!$F$23,IF(Y287=regle!$G$11,regle!$G$23,IF(Y287=regle!$H$11,regle!$H$23,IF(Y287=regle!$I$11,regle!$I$23,IF(Y287=regle!$J$11,regle!$J$23,0)))))))))))</f>
        <v>0</v>
      </c>
      <c r="AJ287" s="14">
        <f>IF($A287,$M287*(IF(Z287=regle!$B$11,regle!$B$23,IF(Z287=regle!$C$11,regle!$C$23,IF(Z287=regle!$D$11,regle!$D$23,IF(Z287=regle!$E$11,regle!$E$23,IF(Z287=regle!$F$11,regle!$F$23,IF(Z287=regle!$G$11,regle!$G$23,IF(Z287=regle!$H$11,regle!$H$23,IF(Z287=regle!$I$11,regle!$I$23,IF(Z287=regle!$J$11,regle!$J$23,0)))))))))))</f>
        <v>-31.409999999999997</v>
      </c>
      <c r="AK287" s="14">
        <f>IF($A287,$M287*(IF(AA287=regle!$B$11,regle!$B$23,IF(AA287=regle!$C$11,regle!$C$23,IF(AA287=regle!$D$11,regle!$D$23,IF(AA287=regle!$E$11,regle!$E$23,IF(AA287=regle!$F$11,regle!$F$23,IF(AA287=regle!$G$11,regle!$G$23,IF(AA287=regle!$H$11,regle!$H$23,IF(AA287=regle!$I$11,regle!$I$23,IF(AA287=regle!$J$11,regle!$J$23,0)))))))))))</f>
        <v>0</v>
      </c>
      <c r="AL287" s="14">
        <f>IF($A287,$M287*(IF(AB287=regle!$B$11,regle!$B$23,IF(AB287=regle!$C$11,regle!$C$23,IF(AB287=regle!$D$11,regle!$D$23,IF(AB287=regle!$E$11,regle!$E$23,IF(AB287=regle!$F$11,regle!$F$23,IF(AB287=regle!$G$11,regle!$G$23,IF(AB287=regle!$H$11,regle!$H$23,IF(AB287=regle!$I$11,regle!$I$23,IF(AB287=regle!$J$11,regle!$J$23,0)))))))))))</f>
        <v>0</v>
      </c>
      <c r="AM287" s="14">
        <f>IF($A287,$M287*(IF(AC287=regle!$B$11,regle!$B$23,IF(AC287=regle!$C$11,regle!$C$23,IF(AC287=regle!$D$11,regle!$D$23,IF(AC287=regle!$E$11,regle!$E$23,IF(AC287=regle!$F$11,regle!$F$23,IF(AC287=regle!$G$11,regle!$G$23,IF(AC287=regle!$H$11,regle!$H$23,IF(AC287=regle!$I$11,regle!$I$23,IF(AC287=regle!$J$11,regle!$J$23,0)))))))))))</f>
        <v>-31.409999999999997</v>
      </c>
      <c r="AN287" s="14">
        <f>IF($A287,$M287*(IF(AD287=regle!$B$11,regle!$B$23,IF(AD287=regle!$C$11,regle!$C$23,IF(AD287=regle!$D$11,regle!$D$23,IF(AD287=regle!$E$11,regle!$E$23,IF(AD287=regle!$F$11,regle!$F$23,IF(AD287=regle!$G$11,regle!$G$23,IF(AD287=regle!$H$11,regle!$H$23,IF(AD287=regle!$I$11,regle!$I$23,IF(AD287=regle!$J$11,regle!$J$23,0)))))))))))</f>
        <v>0</v>
      </c>
      <c r="AO287">
        <f>IF(AO$1=$AO$1,IF(regle!B$2-$Q287&gt;=regle!$J$12,-2,IF($S287,IF(regle!$B$2-$Q287&gt;=2,0,-1),regle!B$2-$Q287)),IF(AN287+1&gt;=regle!$J$12,-2,AN287+1))</f>
        <v>0</v>
      </c>
      <c r="AP287">
        <f>IF(AP$1=$AO$1,IF(regle!C$2-$Q287&gt;=regle!$J$12,-2,IF($S287,IF(regle!$B$2-$Q287&gt;=2,0,-1),regle!C$2-$Q287)),IF(AO287+1&gt;=regle!$J$12,-2,AO287+1))</f>
        <v>1</v>
      </c>
      <c r="AQ287">
        <f>IF(AQ$1=$AO$1,IF(regle!D$2-$Q287&gt;=regle!$J$12,-2,IF($S287,IF(regle!$B$2-$Q287&gt;=2,0,-1),regle!D$2-$Q287)),IF(AP287+1&gt;=regle!$J$12,-2,AP287+1))</f>
        <v>2</v>
      </c>
      <c r="AR287">
        <f>IF(AR$1=$AO$1,IF(regle!E$2-$Q287&gt;=regle!$J$12,-2,IF($S287,IF(regle!$B$2-$Q287&gt;=2,0,-1),regle!E$2-$Q287)),IF(AQ287+1&gt;=regle!$J$12,-2,AQ287+1))</f>
        <v>3</v>
      </c>
      <c r="AS287">
        <f>IF(AS$1=$AO$1,IF(regle!F$2-$Q287&gt;=regle!$J$12,-2,IF($S287,IF(regle!$B$2-$Q287&gt;=2,0,-1),regle!F$2-$Q287)),IF(AR287+1&gt;=regle!$J$12,-2,AR287+1))</f>
        <v>4</v>
      </c>
      <c r="AT287">
        <f>IF(AT$1=$AO$1,IF(regle!G$2-$Q287&gt;=regle!$J$12,-2,IF($S287,IF(regle!$B$2-$Q287&gt;=2,0,-1),regle!G$2-$Q287)),IF(AS287+1&gt;=regle!$J$12,-2,AS287+1))</f>
        <v>5</v>
      </c>
      <c r="AU287">
        <f>IF(AU$1=$AO$1,IF(regle!H$2-$Q287&gt;=regle!$J$12,-2,IF($S287,IF(regle!$B$2-$Q287&gt;=2,0,-1),regle!H$2-$Q287)),IF(AT287+1&gt;=regle!$J$12,-2,AT287+1))</f>
        <v>6</v>
      </c>
      <c r="AV287">
        <f>IF(AV$1=$AO$1,IF(regle!I$2-$Q287&gt;=regle!$J$12,-2,IF($S287,IF(regle!$B$2-$Q287&gt;=2,0,-1),regle!I$2-$Q287)),IF(AU287+1&gt;=regle!$J$12,-2,AU287+1))</f>
        <v>7</v>
      </c>
      <c r="AW287">
        <f>IF(AW$1=$AO$1,IF(regle!J$2-$Q287&gt;=regle!$J$12,-2,IF($S287,IF(regle!$B$2-$Q287&gt;=2,0,-1),regle!J$2-$Q287)),IF(AV287+1&gt;=regle!$J$12,-2,AV287+1))</f>
        <v>8</v>
      </c>
      <c r="AX287">
        <f>IF(AX$1=$AO$1,IF(regle!K$2-$Q287&gt;=regle!$J$12,-2,IF($S287,IF(regle!$B$2-$Q287&gt;=2,0,-1),regle!K$2-$Q287)),IF(AW287+1&gt;=regle!$J$12,-2,AW287+1))</f>
        <v>9</v>
      </c>
    </row>
    <row r="288" spans="1:50" x14ac:dyDescent="0.25">
      <c r="A288" t="b">
        <f>AND(modif0[[#This Row],[cdstr]]&lt;&gt;0,OR(regle!$H$27=FALSE,modif0[[#This Row],[essnc]]="PM"))</f>
        <v>1</v>
      </c>
      <c r="B288">
        <f>ROW(objet!A336)</f>
        <v>336</v>
      </c>
      <c r="C288" s="10" t="str">
        <f>objet!D336</f>
        <v>1710000B0487</v>
      </c>
      <c r="D288" t="str">
        <f>LEFT(modif0[[#This Row],[cdstr]],3)</f>
        <v>171</v>
      </c>
      <c r="E288" s="10" t="str">
        <f>objet!G336</f>
        <v>MANO</v>
      </c>
      <c r="F288">
        <f>LEN(modif0[[#This Row],[l_dt]])</f>
        <v>17</v>
      </c>
      <c r="G288" s="10" t="str">
        <f>objet!H336</f>
        <v>LANDE DE TABARTON</v>
      </c>
      <c r="H288" s="10" t="str">
        <f>objet!C336</f>
        <v>B487j</v>
      </c>
      <c r="I288" t="str">
        <f>IF(ISNUMBER(VALUE(RIGHT(LEFT(modif0[[#This Row],[idntfn]],2),1))),_xlfn.CONCAT(0,LEFT(modif0[[#This Row],[idntfn]],1)),LEFT(modif0[[#This Row],[idntfn]],2))</f>
        <v>0B</v>
      </c>
      <c r="J288">
        <f>VALUE(LEFT(RIGHT(modif0[[#This Row],[idntfn]],LEN(modif0[[#This Row],[idntfn]])-IF(LEFT(modif0[[#This Row],[sctn]],1)="0",1,2)),LEN(modif0[[#This Row],[idntfn]])-IF(LEFT(modif0[[#This Row],[sctn]],1)="0",1,2)-LEN(modif0[[#This Row],[lttr]])))</f>
        <v>487</v>
      </c>
      <c r="K288" t="str">
        <f>IF(ISNUMBER(VALUE(RIGHT(modif0[[#This Row],[idntfn]],1))),"",IF(ISNUMBER(VALUE(LEFT(RIGHT(modif0[[#This Row],[idntfn]],2),1))),RIGHT(modif0[[#This Row],[idntfn]],1),RIGHT(modif0[[#This Row],[idntfn]],2)))</f>
        <v>j</v>
      </c>
      <c r="L288" s="10">
        <f>objet!I336</f>
        <v>3401</v>
      </c>
      <c r="M288" s="11">
        <f>modif0[[#This Row],[srfc]]/10000</f>
        <v>0.34010000000000001</v>
      </c>
      <c r="N288" s="10" t="str">
        <f>objet!Z336</f>
        <v>PM</v>
      </c>
      <c r="O288" s="10" t="str">
        <f>objet!AA336</f>
        <v>CR2022</v>
      </c>
      <c r="P288" t="str">
        <f>IF(ISNUMBER(modif0[[#This Row],[trvx]]),"",LEFT(modif0[[#This Row],[trvx]],LEN(modif0[[#This Row],[trvx]])-4))</f>
        <v>CR</v>
      </c>
      <c r="Q288">
        <f>VALUE(RIGHT(modif0[[#This Row],[trvx]],4))</f>
        <v>2022</v>
      </c>
      <c r="R288" t="str">
        <f>_xlfn.CONCAT(modif0[[#This Row],[tp]],"-",modif0[[#This Row],[essnc]],"_",modif0[[#This Row],[anns]])</f>
        <v>CR-PM_2022</v>
      </c>
      <c r="S288" t="b">
        <f>modif0[[#This Row],[tp]]="CR"</f>
        <v>1</v>
      </c>
      <c r="T288">
        <v>40</v>
      </c>
      <c r="U288" t="str">
        <f>IF(NOT($A288),"",
IF(AO288=-2,regle!$J$11,
IF(AO288=regle!$B$12,regle!$B$11,
IF(AO288=regle!$C$12,regle!$C$11,
IF(AO288=regle!$D$12,regle!$D$11,
IF(AO288=regle!$E$12,regle!$E$11,
IF(AO288=regle!$F$12,regle!$F$11,
IF(AO288=regle!$G$12,regle!$G$11,
IF(AO288=regle!$H$12,regle!$H$11,
IF(AO288=regle!$I$12,regle!$I$11,""))))))))))</f>
        <v>RBST</v>
      </c>
      <c r="V288" t="str">
        <f>IF(NOT($A288),"",
IF(AP288=-2,regle!$J$11,
IF(AP288=regle!$B$12,regle!$B$11,
IF(AP288=regle!$C$12,regle!$C$11,
IF(AP288=regle!$D$12,regle!$D$11,
IF(AP288=regle!$E$12,regle!$E$11,
IF(AP288=regle!$F$12,regle!$F$11,
IF(AP288=regle!$G$12,regle!$G$11,
IF(AP288=regle!$H$12,regle!$H$11,
IF(AP288=regle!$I$12,regle!$I$11,""))))))))))</f>
        <v/>
      </c>
      <c r="W288" t="str">
        <f>IF(NOT($A288),"",
IF(AQ288=-2,regle!$J$11,
IF(AQ288=regle!$B$12,regle!$B$11,
IF(AQ288=regle!$C$12,regle!$C$11,
IF(AQ288=regle!$D$12,regle!$D$11,
IF(AQ288=regle!$E$12,regle!$E$11,
IF(AQ288=regle!$F$12,regle!$F$11,
IF(AQ288=regle!$G$12,regle!$G$11,
IF(AQ288=regle!$H$12,regle!$H$11,
IF(AQ288=regle!$I$12,regle!$I$11,""))))))))))</f>
        <v>DGT</v>
      </c>
      <c r="X288" t="str">
        <f>IF(NOT($A288),"",
IF(AR288=-2,regle!$J$11,
IF(AR288=regle!$B$12,regle!$B$11,
IF(AR288=regle!$C$12,regle!$C$11,
IF(AR288=regle!$D$12,regle!$D$11,
IF(AR288=regle!$E$12,regle!$E$11,
IF(AR288=regle!$F$12,regle!$F$11,
IF(AR288=regle!$G$12,regle!$G$11,
IF(AR288=regle!$H$12,regle!$H$11,
IF(AR288=regle!$I$12,regle!$I$11,""))))))))))</f>
        <v/>
      </c>
      <c r="Y288" t="str">
        <f>IF(NOT($A288),"",
IF(AS288=-2,regle!$J$11,
IF(AS288=regle!$B$12,regle!$B$11,
IF(AS288=regle!$C$12,regle!$C$11,
IF(AS288=regle!$D$12,regle!$D$11,
IF(AS288=regle!$E$12,regle!$E$11,
IF(AS288=regle!$F$12,regle!$F$11,
IF(AS288=regle!$G$12,regle!$G$11,
IF(AS288=regle!$H$12,regle!$H$11,
IF(AS288=regle!$I$12,regle!$I$11,""))))))))))</f>
        <v/>
      </c>
      <c r="Z288" t="str">
        <f>IF(NOT($A288),"",
IF(AT288=-2,regle!$J$11,
IF(AT288=regle!$B$12,regle!$B$11,
IF(AT288=regle!$C$12,regle!$C$11,
IF(AT288=regle!$D$12,regle!$D$11,
IF(AT288=regle!$E$12,regle!$E$11,
IF(AT288=regle!$F$12,regle!$F$11,
IF(AT288=regle!$G$12,regle!$G$11,
IF(AT288=regle!$H$12,regle!$H$11,
IF(AT288=regle!$I$12,regle!$I$11,""))))))))))</f>
        <v>ENT1</v>
      </c>
      <c r="AA288" t="str">
        <f>IF(NOT($A288),"",
IF(AU288=-2,regle!$J$11,
IF(AU288=regle!$B$12,regle!$B$11,
IF(AU288=regle!$C$12,regle!$C$11,
IF(AU288=regle!$D$12,regle!$D$11,
IF(AU288=regle!$E$12,regle!$E$11,
IF(AU288=regle!$F$12,regle!$F$11,
IF(AU288=regle!$G$12,regle!$G$11,
IF(AU288=regle!$H$12,regle!$H$11,
IF(AU288=regle!$I$12,regle!$I$11,""))))))))))</f>
        <v/>
      </c>
      <c r="AB288" t="str">
        <f>IF(NOT($A288),"",
IF(AV288=-2,regle!$J$11,
IF(AV288=regle!$B$12,regle!$B$11,
IF(AV288=regle!$C$12,regle!$C$11,
IF(AV288=regle!$D$12,regle!$D$11,
IF(AV288=regle!$E$12,regle!$E$11,
IF(AV288=regle!$F$12,regle!$F$11,
IF(AV288=regle!$G$12,regle!$G$11,
IF(AV288=regle!$H$12,regle!$H$11,
IF(AV288=regle!$I$12,regle!$I$11,""))))))))))</f>
        <v/>
      </c>
      <c r="AC288" t="str">
        <f>IF(NOT($A288),"",
IF(AW288=-2,regle!$J$11,
IF(AW288=regle!$B$12,regle!$B$11,
IF(AW288=regle!$C$12,regle!$C$11,
IF(AW288=regle!$D$12,regle!$D$11,
IF(AW288=regle!$E$12,regle!$E$11,
IF(AW288=regle!$F$12,regle!$F$11,
IF(AW288=regle!$G$12,regle!$G$11,
IF(AW288=regle!$H$12,regle!$H$11,
IF(AW288=regle!$I$12,regle!$I$11,""))))))))))</f>
        <v>ENT2</v>
      </c>
      <c r="AD288" t="str">
        <f>IF(NOT($A288),"",
IF(AX288=-2,regle!$J$11,
IF(AX288=regle!$B$12,regle!$B$11,
IF(AX288=regle!$C$12,regle!$C$11,
IF(AX288=regle!$D$12,regle!$D$11,
IF(AX288=regle!$E$12,regle!$E$11,
IF(AX288=regle!$F$12,regle!$F$11,
IF(AX288=regle!$G$12,regle!$G$11,
IF(AX288=regle!$H$12,regle!$H$11,
IF(AX288=regle!$I$12,regle!$I$11,""))))))))))</f>
        <v/>
      </c>
      <c r="AE288" s="14">
        <f>IF($A288,$M288*(IF(U288=regle!$B$11,regle!$B$23,IF(U288=regle!$C$11,regle!$C$23,IF(U288=regle!$D$11,regle!$D$23,IF(U288=regle!$E$11,regle!$E$23,IF(U288=regle!$F$11,regle!$F$23,IF(U288=regle!$G$11,regle!$G$23,IF(U288=regle!$H$11,regle!$H$23,IF(U288=regle!$I$11,regle!$I$23,IF(U288=regle!$J$11,regle!$J$23,0)))))))))))</f>
        <v>-578.17000000000007</v>
      </c>
      <c r="AF288" s="14">
        <f>IF($A288,$M288*(IF(V288=regle!$B$11,regle!$B$23,IF(V288=regle!$C$11,regle!$C$23,IF(V288=regle!$D$11,regle!$D$23,IF(V288=regle!$E$11,regle!$E$23,IF(V288=regle!$F$11,regle!$F$23,IF(V288=regle!$G$11,regle!$G$23,IF(V288=regle!$H$11,regle!$H$23,IF(V288=regle!$I$11,regle!$I$23,IF(V288=regle!$J$11,regle!$J$23,0)))))))))))</f>
        <v>0</v>
      </c>
      <c r="AG288" s="14">
        <f>IF($A288,$M288*(IF(W288=regle!$B$11,regle!$B$23,IF(W288=regle!$C$11,regle!$C$23,IF(W288=regle!$D$11,regle!$D$23,IF(W288=regle!$E$11,regle!$E$23,IF(W288=regle!$F$11,regle!$F$23,IF(W288=regle!$G$11,regle!$G$23,IF(W288=regle!$H$11,regle!$H$23,IF(W288=regle!$I$11,regle!$I$23,IF(W288=regle!$J$11,regle!$J$23,0)))))))))))</f>
        <v>-25.5075</v>
      </c>
      <c r="AH288" s="14">
        <f>IF($A288,$M288*(IF(X288=regle!$B$11,regle!$B$23,IF(X288=regle!$C$11,regle!$C$23,IF(X288=regle!$D$11,regle!$D$23,IF(X288=regle!$E$11,regle!$E$23,IF(X288=regle!$F$11,regle!$F$23,IF(X288=regle!$G$11,regle!$G$23,IF(X288=regle!$H$11,regle!$H$23,IF(X288=regle!$I$11,regle!$I$23,IF(X288=regle!$J$11,regle!$J$23,0)))))))))))</f>
        <v>0</v>
      </c>
      <c r="AI288" s="14">
        <f>IF($A288,$M288*(IF(Y288=regle!$B$11,regle!$B$23,IF(Y288=regle!$C$11,regle!$C$23,IF(Y288=regle!$D$11,regle!$D$23,IF(Y288=regle!$E$11,regle!$E$23,IF(Y288=regle!$F$11,regle!$F$23,IF(Y288=regle!$G$11,regle!$G$23,IF(Y288=regle!$H$11,regle!$H$23,IF(Y288=regle!$I$11,regle!$I$23,IF(Y288=regle!$J$11,regle!$J$23,0)))))))))))</f>
        <v>0</v>
      </c>
      <c r="AJ288" s="14">
        <f>IF($A288,$M288*(IF(Z288=regle!$B$11,regle!$B$23,IF(Z288=regle!$C$11,regle!$C$23,IF(Z288=regle!$D$11,regle!$D$23,IF(Z288=regle!$E$11,regle!$E$23,IF(Z288=regle!$F$11,regle!$F$23,IF(Z288=regle!$G$11,regle!$G$23,IF(Z288=regle!$H$11,regle!$H$23,IF(Z288=regle!$I$11,regle!$I$23,IF(Z288=regle!$J$11,regle!$J$23,0)))))))))))</f>
        <v>-30.609000000000002</v>
      </c>
      <c r="AK288" s="14">
        <f>IF($A288,$M288*(IF(AA288=regle!$B$11,regle!$B$23,IF(AA288=regle!$C$11,regle!$C$23,IF(AA288=regle!$D$11,regle!$D$23,IF(AA288=regle!$E$11,regle!$E$23,IF(AA288=regle!$F$11,regle!$F$23,IF(AA288=regle!$G$11,regle!$G$23,IF(AA288=regle!$H$11,regle!$H$23,IF(AA288=regle!$I$11,regle!$I$23,IF(AA288=regle!$J$11,regle!$J$23,0)))))))))))</f>
        <v>0</v>
      </c>
      <c r="AL288" s="14">
        <f>IF($A288,$M288*(IF(AB288=regle!$B$11,regle!$B$23,IF(AB288=regle!$C$11,regle!$C$23,IF(AB288=regle!$D$11,regle!$D$23,IF(AB288=regle!$E$11,regle!$E$23,IF(AB288=regle!$F$11,regle!$F$23,IF(AB288=regle!$G$11,regle!$G$23,IF(AB288=regle!$H$11,regle!$H$23,IF(AB288=regle!$I$11,regle!$I$23,IF(AB288=regle!$J$11,regle!$J$23,0)))))))))))</f>
        <v>0</v>
      </c>
      <c r="AM288" s="14">
        <f>IF($A288,$M288*(IF(AC288=regle!$B$11,regle!$B$23,IF(AC288=regle!$C$11,regle!$C$23,IF(AC288=regle!$D$11,regle!$D$23,IF(AC288=regle!$E$11,regle!$E$23,IF(AC288=regle!$F$11,regle!$F$23,IF(AC288=regle!$G$11,regle!$G$23,IF(AC288=regle!$H$11,regle!$H$23,IF(AC288=regle!$I$11,regle!$I$23,IF(AC288=regle!$J$11,regle!$J$23,0)))))))))))</f>
        <v>-30.609000000000002</v>
      </c>
      <c r="AN288" s="14">
        <f>IF($A288,$M288*(IF(AD288=regle!$B$11,regle!$B$23,IF(AD288=regle!$C$11,regle!$C$23,IF(AD288=regle!$D$11,regle!$D$23,IF(AD288=regle!$E$11,regle!$E$23,IF(AD288=regle!$F$11,regle!$F$23,IF(AD288=regle!$G$11,regle!$G$23,IF(AD288=regle!$H$11,regle!$H$23,IF(AD288=regle!$I$11,regle!$I$23,IF(AD288=regle!$J$11,regle!$J$23,0)))))))))))</f>
        <v>0</v>
      </c>
      <c r="AO288">
        <f>IF(AO$1=$AO$1,IF(regle!B$2-$Q288&gt;=regle!$J$12,-2,IF($S288,IF(regle!$B$2-$Q288&gt;=2,0,-1),regle!B$2-$Q288)),IF(AN288+1&gt;=regle!$J$12,-2,AN288+1))</f>
        <v>0</v>
      </c>
      <c r="AP288">
        <f>IF(AP$1=$AO$1,IF(regle!C$2-$Q288&gt;=regle!$J$12,-2,IF($S288,IF(regle!$B$2-$Q288&gt;=2,0,-1),regle!C$2-$Q288)),IF(AO288+1&gt;=regle!$J$12,-2,AO288+1))</f>
        <v>1</v>
      </c>
      <c r="AQ288">
        <f>IF(AQ$1=$AO$1,IF(regle!D$2-$Q288&gt;=regle!$J$12,-2,IF($S288,IF(regle!$B$2-$Q288&gt;=2,0,-1),regle!D$2-$Q288)),IF(AP288+1&gt;=regle!$J$12,-2,AP288+1))</f>
        <v>2</v>
      </c>
      <c r="AR288">
        <f>IF(AR$1=$AO$1,IF(regle!E$2-$Q288&gt;=regle!$J$12,-2,IF($S288,IF(regle!$B$2-$Q288&gt;=2,0,-1),regle!E$2-$Q288)),IF(AQ288+1&gt;=regle!$J$12,-2,AQ288+1))</f>
        <v>3</v>
      </c>
      <c r="AS288">
        <f>IF(AS$1=$AO$1,IF(regle!F$2-$Q288&gt;=regle!$J$12,-2,IF($S288,IF(regle!$B$2-$Q288&gt;=2,0,-1),regle!F$2-$Q288)),IF(AR288+1&gt;=regle!$J$12,-2,AR288+1))</f>
        <v>4</v>
      </c>
      <c r="AT288">
        <f>IF(AT$1=$AO$1,IF(regle!G$2-$Q288&gt;=regle!$J$12,-2,IF($S288,IF(regle!$B$2-$Q288&gt;=2,0,-1),regle!G$2-$Q288)),IF(AS288+1&gt;=regle!$J$12,-2,AS288+1))</f>
        <v>5</v>
      </c>
      <c r="AU288">
        <f>IF(AU$1=$AO$1,IF(regle!H$2-$Q288&gt;=regle!$J$12,-2,IF($S288,IF(regle!$B$2-$Q288&gt;=2,0,-1),regle!H$2-$Q288)),IF(AT288+1&gt;=regle!$J$12,-2,AT288+1))</f>
        <v>6</v>
      </c>
      <c r="AV288">
        <f>IF(AV$1=$AO$1,IF(regle!I$2-$Q288&gt;=regle!$J$12,-2,IF($S288,IF(regle!$B$2-$Q288&gt;=2,0,-1),regle!I$2-$Q288)),IF(AU288+1&gt;=regle!$J$12,-2,AU288+1))</f>
        <v>7</v>
      </c>
      <c r="AW288">
        <f>IF(AW$1=$AO$1,IF(regle!J$2-$Q288&gt;=regle!$J$12,-2,IF($S288,IF(regle!$B$2-$Q288&gt;=2,0,-1),regle!J$2-$Q288)),IF(AV288+1&gt;=regle!$J$12,-2,AV288+1))</f>
        <v>8</v>
      </c>
      <c r="AX288">
        <f>IF(AX$1=$AO$1,IF(regle!K$2-$Q288&gt;=regle!$J$12,-2,IF($S288,IF(regle!$B$2-$Q288&gt;=2,0,-1),regle!K$2-$Q288)),IF(AW288+1&gt;=regle!$J$12,-2,AW288+1))</f>
        <v>9</v>
      </c>
    </row>
    <row r="289" spans="1:50" x14ac:dyDescent="0.25">
      <c r="A289" t="b">
        <f>AND(modif0[[#This Row],[cdstr]]&lt;&gt;0,OR(regle!$H$27=FALSE,modif0[[#This Row],[essnc]]="PM"))</f>
        <v>1</v>
      </c>
      <c r="B289">
        <f>ROW(objet!A337)</f>
        <v>337</v>
      </c>
      <c r="C289" s="10" t="str">
        <f>objet!D337</f>
        <v>1710000B0489</v>
      </c>
      <c r="D289" t="str">
        <f>LEFT(modif0[[#This Row],[cdstr]],3)</f>
        <v>171</v>
      </c>
      <c r="E289" s="10" t="str">
        <f>objet!G337</f>
        <v>MANO</v>
      </c>
      <c r="F289">
        <f>LEN(modif0[[#This Row],[l_dt]])</f>
        <v>17</v>
      </c>
      <c r="G289" s="10" t="str">
        <f>objet!H337</f>
        <v>LANDE DE TABARTON</v>
      </c>
      <c r="H289" s="10" t="str">
        <f>objet!C337</f>
        <v>B489j</v>
      </c>
      <c r="I289" t="str">
        <f>IF(ISNUMBER(VALUE(RIGHT(LEFT(modif0[[#This Row],[idntfn]],2),1))),_xlfn.CONCAT(0,LEFT(modif0[[#This Row],[idntfn]],1)),LEFT(modif0[[#This Row],[idntfn]],2))</f>
        <v>0B</v>
      </c>
      <c r="J289">
        <f>VALUE(LEFT(RIGHT(modif0[[#This Row],[idntfn]],LEN(modif0[[#This Row],[idntfn]])-IF(LEFT(modif0[[#This Row],[sctn]],1)="0",1,2)),LEN(modif0[[#This Row],[idntfn]])-IF(LEFT(modif0[[#This Row],[sctn]],1)="0",1,2)-LEN(modif0[[#This Row],[lttr]])))</f>
        <v>489</v>
      </c>
      <c r="K289" t="str">
        <f>IF(ISNUMBER(VALUE(RIGHT(modif0[[#This Row],[idntfn]],1))),"",IF(ISNUMBER(VALUE(LEFT(RIGHT(modif0[[#This Row],[idntfn]],2),1))),RIGHT(modif0[[#This Row],[idntfn]],1),RIGHT(modif0[[#This Row],[idntfn]],2)))</f>
        <v>j</v>
      </c>
      <c r="L289" s="10">
        <f>objet!I337</f>
        <v>5405</v>
      </c>
      <c r="M289" s="11">
        <f>modif0[[#This Row],[srfc]]/10000</f>
        <v>0.54049999999999998</v>
      </c>
      <c r="N289" s="10" t="str">
        <f>objet!Z337</f>
        <v>PM</v>
      </c>
      <c r="O289" s="10" t="str">
        <f>objet!AA337</f>
        <v>CR2022</v>
      </c>
      <c r="P289" t="str">
        <f>IF(ISNUMBER(modif0[[#This Row],[trvx]]),"",LEFT(modif0[[#This Row],[trvx]],LEN(modif0[[#This Row],[trvx]])-4))</f>
        <v>CR</v>
      </c>
      <c r="Q289">
        <f>VALUE(RIGHT(modif0[[#This Row],[trvx]],4))</f>
        <v>2022</v>
      </c>
      <c r="R289" t="str">
        <f>_xlfn.CONCAT(modif0[[#This Row],[tp]],"-",modif0[[#This Row],[essnc]],"_",modif0[[#This Row],[anns]])</f>
        <v>CR-PM_2022</v>
      </c>
      <c r="S289" t="b">
        <f>modif0[[#This Row],[tp]]="CR"</f>
        <v>1</v>
      </c>
      <c r="T289">
        <v>40</v>
      </c>
      <c r="U289" t="str">
        <f>IF(NOT($A289),"",
IF(AO289=-2,regle!$J$11,
IF(AO289=regle!$B$12,regle!$B$11,
IF(AO289=regle!$C$12,regle!$C$11,
IF(AO289=regle!$D$12,regle!$D$11,
IF(AO289=regle!$E$12,regle!$E$11,
IF(AO289=regle!$F$12,regle!$F$11,
IF(AO289=regle!$G$12,regle!$G$11,
IF(AO289=regle!$H$12,regle!$H$11,
IF(AO289=regle!$I$12,regle!$I$11,""))))))))))</f>
        <v>RBST</v>
      </c>
      <c r="V289" t="str">
        <f>IF(NOT($A289),"",
IF(AP289=-2,regle!$J$11,
IF(AP289=regle!$B$12,regle!$B$11,
IF(AP289=regle!$C$12,regle!$C$11,
IF(AP289=regle!$D$12,regle!$D$11,
IF(AP289=regle!$E$12,regle!$E$11,
IF(AP289=regle!$F$12,regle!$F$11,
IF(AP289=regle!$G$12,regle!$G$11,
IF(AP289=regle!$H$12,regle!$H$11,
IF(AP289=regle!$I$12,regle!$I$11,""))))))))))</f>
        <v/>
      </c>
      <c r="W289" t="str">
        <f>IF(NOT($A289),"",
IF(AQ289=-2,regle!$J$11,
IF(AQ289=regle!$B$12,regle!$B$11,
IF(AQ289=regle!$C$12,regle!$C$11,
IF(AQ289=regle!$D$12,regle!$D$11,
IF(AQ289=regle!$E$12,regle!$E$11,
IF(AQ289=regle!$F$12,regle!$F$11,
IF(AQ289=regle!$G$12,regle!$G$11,
IF(AQ289=regle!$H$12,regle!$H$11,
IF(AQ289=regle!$I$12,regle!$I$11,""))))))))))</f>
        <v>DGT</v>
      </c>
      <c r="X289" t="str">
        <f>IF(NOT($A289),"",
IF(AR289=-2,regle!$J$11,
IF(AR289=regle!$B$12,regle!$B$11,
IF(AR289=regle!$C$12,regle!$C$11,
IF(AR289=regle!$D$12,regle!$D$11,
IF(AR289=regle!$E$12,regle!$E$11,
IF(AR289=regle!$F$12,regle!$F$11,
IF(AR289=regle!$G$12,regle!$G$11,
IF(AR289=regle!$H$12,regle!$H$11,
IF(AR289=regle!$I$12,regle!$I$11,""))))))))))</f>
        <v/>
      </c>
      <c r="Y289" t="str">
        <f>IF(NOT($A289),"",
IF(AS289=-2,regle!$J$11,
IF(AS289=regle!$B$12,regle!$B$11,
IF(AS289=regle!$C$12,regle!$C$11,
IF(AS289=regle!$D$12,regle!$D$11,
IF(AS289=regle!$E$12,regle!$E$11,
IF(AS289=regle!$F$12,regle!$F$11,
IF(AS289=regle!$G$12,regle!$G$11,
IF(AS289=regle!$H$12,regle!$H$11,
IF(AS289=regle!$I$12,regle!$I$11,""))))))))))</f>
        <v/>
      </c>
      <c r="Z289" t="str">
        <f>IF(NOT($A289),"",
IF(AT289=-2,regle!$J$11,
IF(AT289=regle!$B$12,regle!$B$11,
IF(AT289=regle!$C$12,regle!$C$11,
IF(AT289=regle!$D$12,regle!$D$11,
IF(AT289=regle!$E$12,regle!$E$11,
IF(AT289=regle!$F$12,regle!$F$11,
IF(AT289=regle!$G$12,regle!$G$11,
IF(AT289=regle!$H$12,regle!$H$11,
IF(AT289=regle!$I$12,regle!$I$11,""))))))))))</f>
        <v>ENT1</v>
      </c>
      <c r="AA289" t="str">
        <f>IF(NOT($A289),"",
IF(AU289=-2,regle!$J$11,
IF(AU289=regle!$B$12,regle!$B$11,
IF(AU289=regle!$C$12,regle!$C$11,
IF(AU289=regle!$D$12,regle!$D$11,
IF(AU289=regle!$E$12,regle!$E$11,
IF(AU289=regle!$F$12,regle!$F$11,
IF(AU289=regle!$G$12,regle!$G$11,
IF(AU289=regle!$H$12,regle!$H$11,
IF(AU289=regle!$I$12,regle!$I$11,""))))))))))</f>
        <v/>
      </c>
      <c r="AB289" t="str">
        <f>IF(NOT($A289),"",
IF(AV289=-2,regle!$J$11,
IF(AV289=regle!$B$12,regle!$B$11,
IF(AV289=regle!$C$12,regle!$C$11,
IF(AV289=regle!$D$12,regle!$D$11,
IF(AV289=regle!$E$12,regle!$E$11,
IF(AV289=regle!$F$12,regle!$F$11,
IF(AV289=regle!$G$12,regle!$G$11,
IF(AV289=regle!$H$12,regle!$H$11,
IF(AV289=regle!$I$12,regle!$I$11,""))))))))))</f>
        <v/>
      </c>
      <c r="AC289" t="str">
        <f>IF(NOT($A289),"",
IF(AW289=-2,regle!$J$11,
IF(AW289=regle!$B$12,regle!$B$11,
IF(AW289=regle!$C$12,regle!$C$11,
IF(AW289=regle!$D$12,regle!$D$11,
IF(AW289=regle!$E$12,regle!$E$11,
IF(AW289=regle!$F$12,regle!$F$11,
IF(AW289=regle!$G$12,regle!$G$11,
IF(AW289=regle!$H$12,regle!$H$11,
IF(AW289=regle!$I$12,regle!$I$11,""))))))))))</f>
        <v>ENT2</v>
      </c>
      <c r="AD289" t="str">
        <f>IF(NOT($A289),"",
IF(AX289=-2,regle!$J$11,
IF(AX289=regle!$B$12,regle!$B$11,
IF(AX289=regle!$C$12,regle!$C$11,
IF(AX289=regle!$D$12,regle!$D$11,
IF(AX289=regle!$E$12,regle!$E$11,
IF(AX289=regle!$F$12,regle!$F$11,
IF(AX289=regle!$G$12,regle!$G$11,
IF(AX289=regle!$H$12,regle!$H$11,
IF(AX289=regle!$I$12,regle!$I$11,""))))))))))</f>
        <v/>
      </c>
      <c r="AE289" s="14">
        <f>IF($A289,$M289*(IF(U289=regle!$B$11,regle!$B$23,IF(U289=regle!$C$11,regle!$C$23,IF(U289=regle!$D$11,regle!$D$23,IF(U289=regle!$E$11,regle!$E$23,IF(U289=regle!$F$11,regle!$F$23,IF(U289=regle!$G$11,regle!$G$23,IF(U289=regle!$H$11,regle!$H$23,IF(U289=regle!$I$11,regle!$I$23,IF(U289=regle!$J$11,regle!$J$23,0)))))))))))</f>
        <v>-918.85</v>
      </c>
      <c r="AF289" s="14">
        <f>IF($A289,$M289*(IF(V289=regle!$B$11,regle!$B$23,IF(V289=regle!$C$11,regle!$C$23,IF(V289=regle!$D$11,regle!$D$23,IF(V289=regle!$E$11,regle!$E$23,IF(V289=regle!$F$11,regle!$F$23,IF(V289=regle!$G$11,regle!$G$23,IF(V289=regle!$H$11,regle!$H$23,IF(V289=regle!$I$11,regle!$I$23,IF(V289=regle!$J$11,regle!$J$23,0)))))))))))</f>
        <v>0</v>
      </c>
      <c r="AG289" s="14">
        <f>IF($A289,$M289*(IF(W289=regle!$B$11,regle!$B$23,IF(W289=regle!$C$11,regle!$C$23,IF(W289=regle!$D$11,regle!$D$23,IF(W289=regle!$E$11,regle!$E$23,IF(W289=regle!$F$11,regle!$F$23,IF(W289=regle!$G$11,regle!$G$23,IF(W289=regle!$H$11,regle!$H$23,IF(W289=regle!$I$11,regle!$I$23,IF(W289=regle!$J$11,regle!$J$23,0)))))))))))</f>
        <v>-40.537500000000001</v>
      </c>
      <c r="AH289" s="14">
        <f>IF($A289,$M289*(IF(X289=regle!$B$11,regle!$B$23,IF(X289=regle!$C$11,regle!$C$23,IF(X289=regle!$D$11,regle!$D$23,IF(X289=regle!$E$11,regle!$E$23,IF(X289=regle!$F$11,regle!$F$23,IF(X289=regle!$G$11,regle!$G$23,IF(X289=regle!$H$11,regle!$H$23,IF(X289=regle!$I$11,regle!$I$23,IF(X289=regle!$J$11,regle!$J$23,0)))))))))))</f>
        <v>0</v>
      </c>
      <c r="AI289" s="14">
        <f>IF($A289,$M289*(IF(Y289=regle!$B$11,regle!$B$23,IF(Y289=regle!$C$11,regle!$C$23,IF(Y289=regle!$D$11,regle!$D$23,IF(Y289=regle!$E$11,regle!$E$23,IF(Y289=regle!$F$11,regle!$F$23,IF(Y289=regle!$G$11,regle!$G$23,IF(Y289=regle!$H$11,regle!$H$23,IF(Y289=regle!$I$11,regle!$I$23,IF(Y289=regle!$J$11,regle!$J$23,0)))))))))))</f>
        <v>0</v>
      </c>
      <c r="AJ289" s="14">
        <f>IF($A289,$M289*(IF(Z289=regle!$B$11,regle!$B$23,IF(Z289=regle!$C$11,regle!$C$23,IF(Z289=regle!$D$11,regle!$D$23,IF(Z289=regle!$E$11,regle!$E$23,IF(Z289=regle!$F$11,regle!$F$23,IF(Z289=regle!$G$11,regle!$G$23,IF(Z289=regle!$H$11,regle!$H$23,IF(Z289=regle!$I$11,regle!$I$23,IF(Z289=regle!$J$11,regle!$J$23,0)))))))))))</f>
        <v>-48.644999999999996</v>
      </c>
      <c r="AK289" s="14">
        <f>IF($A289,$M289*(IF(AA289=regle!$B$11,regle!$B$23,IF(AA289=regle!$C$11,regle!$C$23,IF(AA289=regle!$D$11,regle!$D$23,IF(AA289=regle!$E$11,regle!$E$23,IF(AA289=regle!$F$11,regle!$F$23,IF(AA289=regle!$G$11,regle!$G$23,IF(AA289=regle!$H$11,regle!$H$23,IF(AA289=regle!$I$11,regle!$I$23,IF(AA289=regle!$J$11,regle!$J$23,0)))))))))))</f>
        <v>0</v>
      </c>
      <c r="AL289" s="14">
        <f>IF($A289,$M289*(IF(AB289=regle!$B$11,regle!$B$23,IF(AB289=regle!$C$11,regle!$C$23,IF(AB289=regle!$D$11,regle!$D$23,IF(AB289=regle!$E$11,regle!$E$23,IF(AB289=regle!$F$11,regle!$F$23,IF(AB289=regle!$G$11,regle!$G$23,IF(AB289=regle!$H$11,regle!$H$23,IF(AB289=regle!$I$11,regle!$I$23,IF(AB289=regle!$J$11,regle!$J$23,0)))))))))))</f>
        <v>0</v>
      </c>
      <c r="AM289" s="14">
        <f>IF($A289,$M289*(IF(AC289=regle!$B$11,regle!$B$23,IF(AC289=regle!$C$11,regle!$C$23,IF(AC289=regle!$D$11,regle!$D$23,IF(AC289=regle!$E$11,regle!$E$23,IF(AC289=regle!$F$11,regle!$F$23,IF(AC289=regle!$G$11,regle!$G$23,IF(AC289=regle!$H$11,regle!$H$23,IF(AC289=regle!$I$11,regle!$I$23,IF(AC289=regle!$J$11,regle!$J$23,0)))))))))))</f>
        <v>-48.644999999999996</v>
      </c>
      <c r="AN289" s="14">
        <f>IF($A289,$M289*(IF(AD289=regle!$B$11,regle!$B$23,IF(AD289=regle!$C$11,regle!$C$23,IF(AD289=regle!$D$11,regle!$D$23,IF(AD289=regle!$E$11,regle!$E$23,IF(AD289=regle!$F$11,regle!$F$23,IF(AD289=regle!$G$11,regle!$G$23,IF(AD289=regle!$H$11,regle!$H$23,IF(AD289=regle!$I$11,regle!$I$23,IF(AD289=regle!$J$11,regle!$J$23,0)))))))))))</f>
        <v>0</v>
      </c>
      <c r="AO289">
        <f>IF(AO$1=$AO$1,IF(regle!B$2-$Q289&gt;=regle!$J$12,-2,IF($S289,IF(regle!$B$2-$Q289&gt;=2,0,-1),regle!B$2-$Q289)),IF(AN289+1&gt;=regle!$J$12,-2,AN289+1))</f>
        <v>0</v>
      </c>
      <c r="AP289">
        <f>IF(AP$1=$AO$1,IF(regle!C$2-$Q289&gt;=regle!$J$12,-2,IF($S289,IF(regle!$B$2-$Q289&gt;=2,0,-1),regle!C$2-$Q289)),IF(AO289+1&gt;=regle!$J$12,-2,AO289+1))</f>
        <v>1</v>
      </c>
      <c r="AQ289">
        <f>IF(AQ$1=$AO$1,IF(regle!D$2-$Q289&gt;=regle!$J$12,-2,IF($S289,IF(regle!$B$2-$Q289&gt;=2,0,-1),regle!D$2-$Q289)),IF(AP289+1&gt;=regle!$J$12,-2,AP289+1))</f>
        <v>2</v>
      </c>
      <c r="AR289">
        <f>IF(AR$1=$AO$1,IF(regle!E$2-$Q289&gt;=regle!$J$12,-2,IF($S289,IF(regle!$B$2-$Q289&gt;=2,0,-1),regle!E$2-$Q289)),IF(AQ289+1&gt;=regle!$J$12,-2,AQ289+1))</f>
        <v>3</v>
      </c>
      <c r="AS289">
        <f>IF(AS$1=$AO$1,IF(regle!F$2-$Q289&gt;=regle!$J$12,-2,IF($S289,IF(regle!$B$2-$Q289&gt;=2,0,-1),regle!F$2-$Q289)),IF(AR289+1&gt;=regle!$J$12,-2,AR289+1))</f>
        <v>4</v>
      </c>
      <c r="AT289">
        <f>IF(AT$1=$AO$1,IF(regle!G$2-$Q289&gt;=regle!$J$12,-2,IF($S289,IF(regle!$B$2-$Q289&gt;=2,0,-1),regle!G$2-$Q289)),IF(AS289+1&gt;=regle!$J$12,-2,AS289+1))</f>
        <v>5</v>
      </c>
      <c r="AU289">
        <f>IF(AU$1=$AO$1,IF(regle!H$2-$Q289&gt;=regle!$J$12,-2,IF($S289,IF(regle!$B$2-$Q289&gt;=2,0,-1),regle!H$2-$Q289)),IF(AT289+1&gt;=regle!$J$12,-2,AT289+1))</f>
        <v>6</v>
      </c>
      <c r="AV289">
        <f>IF(AV$1=$AO$1,IF(regle!I$2-$Q289&gt;=regle!$J$12,-2,IF($S289,IF(regle!$B$2-$Q289&gt;=2,0,-1),regle!I$2-$Q289)),IF(AU289+1&gt;=regle!$J$12,-2,AU289+1))</f>
        <v>7</v>
      </c>
      <c r="AW289">
        <f>IF(AW$1=$AO$1,IF(regle!J$2-$Q289&gt;=regle!$J$12,-2,IF($S289,IF(regle!$B$2-$Q289&gt;=2,0,-1),regle!J$2-$Q289)),IF(AV289+1&gt;=regle!$J$12,-2,AV289+1))</f>
        <v>8</v>
      </c>
      <c r="AX289">
        <f>IF(AX$1=$AO$1,IF(regle!K$2-$Q289&gt;=regle!$J$12,-2,IF($S289,IF(regle!$B$2-$Q289&gt;=2,0,-1),regle!K$2-$Q289)),IF(AW289+1&gt;=regle!$J$12,-2,AW289+1))</f>
        <v>9</v>
      </c>
    </row>
    <row r="290" spans="1:50" x14ac:dyDescent="0.25">
      <c r="A290" t="b">
        <f>AND(modif0[[#This Row],[cdstr]]&lt;&gt;0,OR(regle!$H$27=FALSE,modif0[[#This Row],[essnc]]="PM"))</f>
        <v>1</v>
      </c>
      <c r="B290">
        <f>ROW(objet!A338)</f>
        <v>338</v>
      </c>
      <c r="C290" s="10" t="str">
        <f>objet!D338</f>
        <v>1710000B0491</v>
      </c>
      <c r="D290" t="str">
        <f>LEFT(modif0[[#This Row],[cdstr]],3)</f>
        <v>171</v>
      </c>
      <c r="E290" s="10" t="str">
        <f>objet!G338</f>
        <v>MANO</v>
      </c>
      <c r="F290">
        <f>LEN(modif0[[#This Row],[l_dt]])</f>
        <v>17</v>
      </c>
      <c r="G290" s="10" t="str">
        <f>objet!H338</f>
        <v>LANDE DE TABARTON</v>
      </c>
      <c r="H290" s="10" t="str">
        <f>objet!C338</f>
        <v>B491j</v>
      </c>
      <c r="I290" t="str">
        <f>IF(ISNUMBER(VALUE(RIGHT(LEFT(modif0[[#This Row],[idntfn]],2),1))),_xlfn.CONCAT(0,LEFT(modif0[[#This Row],[idntfn]],1)),LEFT(modif0[[#This Row],[idntfn]],2))</f>
        <v>0B</v>
      </c>
      <c r="J290">
        <f>VALUE(LEFT(RIGHT(modif0[[#This Row],[idntfn]],LEN(modif0[[#This Row],[idntfn]])-IF(LEFT(modif0[[#This Row],[sctn]],1)="0",1,2)),LEN(modif0[[#This Row],[idntfn]])-IF(LEFT(modif0[[#This Row],[sctn]],1)="0",1,2)-LEN(modif0[[#This Row],[lttr]])))</f>
        <v>491</v>
      </c>
      <c r="K290" t="str">
        <f>IF(ISNUMBER(VALUE(RIGHT(modif0[[#This Row],[idntfn]],1))),"",IF(ISNUMBER(VALUE(LEFT(RIGHT(modif0[[#This Row],[idntfn]],2),1))),RIGHT(modif0[[#This Row],[idntfn]],1),RIGHT(modif0[[#This Row],[idntfn]],2)))</f>
        <v>j</v>
      </c>
      <c r="L290" s="10">
        <f>objet!I338</f>
        <v>701</v>
      </c>
      <c r="M290" s="11">
        <f>modif0[[#This Row],[srfc]]/10000</f>
        <v>7.0099999999999996E-2</v>
      </c>
      <c r="N290" s="10" t="str">
        <f>objet!Z338</f>
        <v>PM</v>
      </c>
      <c r="O290" s="10" t="str">
        <f>objet!AA338</f>
        <v>CR2022</v>
      </c>
      <c r="P290" t="str">
        <f>IF(ISNUMBER(modif0[[#This Row],[trvx]]),"",LEFT(modif0[[#This Row],[trvx]],LEN(modif0[[#This Row],[trvx]])-4))</f>
        <v>CR</v>
      </c>
      <c r="Q290">
        <f>VALUE(RIGHT(modif0[[#This Row],[trvx]],4))</f>
        <v>2022</v>
      </c>
      <c r="R290" t="str">
        <f>_xlfn.CONCAT(modif0[[#This Row],[tp]],"-",modif0[[#This Row],[essnc]],"_",modif0[[#This Row],[anns]])</f>
        <v>CR-PM_2022</v>
      </c>
      <c r="S290" t="b">
        <f>modif0[[#This Row],[tp]]="CR"</f>
        <v>1</v>
      </c>
      <c r="T290">
        <v>40</v>
      </c>
      <c r="U290" t="str">
        <f>IF(NOT($A290),"",
IF(AO290=-2,regle!$J$11,
IF(AO290=regle!$B$12,regle!$B$11,
IF(AO290=regle!$C$12,regle!$C$11,
IF(AO290=regle!$D$12,regle!$D$11,
IF(AO290=regle!$E$12,regle!$E$11,
IF(AO290=regle!$F$12,regle!$F$11,
IF(AO290=regle!$G$12,regle!$G$11,
IF(AO290=regle!$H$12,regle!$H$11,
IF(AO290=regle!$I$12,regle!$I$11,""))))))))))</f>
        <v>RBST</v>
      </c>
      <c r="V290" t="str">
        <f>IF(NOT($A290),"",
IF(AP290=-2,regle!$J$11,
IF(AP290=regle!$B$12,regle!$B$11,
IF(AP290=regle!$C$12,regle!$C$11,
IF(AP290=regle!$D$12,regle!$D$11,
IF(AP290=regle!$E$12,regle!$E$11,
IF(AP290=regle!$F$12,regle!$F$11,
IF(AP290=regle!$G$12,regle!$G$11,
IF(AP290=regle!$H$12,regle!$H$11,
IF(AP290=regle!$I$12,regle!$I$11,""))))))))))</f>
        <v/>
      </c>
      <c r="W290" t="str">
        <f>IF(NOT($A290),"",
IF(AQ290=-2,regle!$J$11,
IF(AQ290=regle!$B$12,regle!$B$11,
IF(AQ290=regle!$C$12,regle!$C$11,
IF(AQ290=regle!$D$12,regle!$D$11,
IF(AQ290=regle!$E$12,regle!$E$11,
IF(AQ290=regle!$F$12,regle!$F$11,
IF(AQ290=regle!$G$12,regle!$G$11,
IF(AQ290=regle!$H$12,regle!$H$11,
IF(AQ290=regle!$I$12,regle!$I$11,""))))))))))</f>
        <v>DGT</v>
      </c>
      <c r="X290" t="str">
        <f>IF(NOT($A290),"",
IF(AR290=-2,regle!$J$11,
IF(AR290=regle!$B$12,regle!$B$11,
IF(AR290=regle!$C$12,regle!$C$11,
IF(AR290=regle!$D$12,regle!$D$11,
IF(AR290=regle!$E$12,regle!$E$11,
IF(AR290=regle!$F$12,regle!$F$11,
IF(AR290=regle!$G$12,regle!$G$11,
IF(AR290=regle!$H$12,regle!$H$11,
IF(AR290=regle!$I$12,regle!$I$11,""))))))))))</f>
        <v/>
      </c>
      <c r="Y290" t="str">
        <f>IF(NOT($A290),"",
IF(AS290=-2,regle!$J$11,
IF(AS290=regle!$B$12,regle!$B$11,
IF(AS290=regle!$C$12,regle!$C$11,
IF(AS290=regle!$D$12,regle!$D$11,
IF(AS290=regle!$E$12,regle!$E$11,
IF(AS290=regle!$F$12,regle!$F$11,
IF(AS290=regle!$G$12,regle!$G$11,
IF(AS290=regle!$H$12,regle!$H$11,
IF(AS290=regle!$I$12,regle!$I$11,""))))))))))</f>
        <v/>
      </c>
      <c r="Z290" t="str">
        <f>IF(NOT($A290),"",
IF(AT290=-2,regle!$J$11,
IF(AT290=regle!$B$12,regle!$B$11,
IF(AT290=regle!$C$12,regle!$C$11,
IF(AT290=regle!$D$12,regle!$D$11,
IF(AT290=regle!$E$12,regle!$E$11,
IF(AT290=regle!$F$12,regle!$F$11,
IF(AT290=regle!$G$12,regle!$G$11,
IF(AT290=regle!$H$12,regle!$H$11,
IF(AT290=regle!$I$12,regle!$I$11,""))))))))))</f>
        <v>ENT1</v>
      </c>
      <c r="AA290" t="str">
        <f>IF(NOT($A290),"",
IF(AU290=-2,regle!$J$11,
IF(AU290=regle!$B$12,regle!$B$11,
IF(AU290=regle!$C$12,regle!$C$11,
IF(AU290=regle!$D$12,regle!$D$11,
IF(AU290=regle!$E$12,regle!$E$11,
IF(AU290=regle!$F$12,regle!$F$11,
IF(AU290=regle!$G$12,regle!$G$11,
IF(AU290=regle!$H$12,regle!$H$11,
IF(AU290=regle!$I$12,regle!$I$11,""))))))))))</f>
        <v/>
      </c>
      <c r="AB290" t="str">
        <f>IF(NOT($A290),"",
IF(AV290=-2,regle!$J$11,
IF(AV290=regle!$B$12,regle!$B$11,
IF(AV290=regle!$C$12,regle!$C$11,
IF(AV290=regle!$D$12,regle!$D$11,
IF(AV290=regle!$E$12,regle!$E$11,
IF(AV290=regle!$F$12,regle!$F$11,
IF(AV290=regle!$G$12,regle!$G$11,
IF(AV290=regle!$H$12,regle!$H$11,
IF(AV290=regle!$I$12,regle!$I$11,""))))))))))</f>
        <v/>
      </c>
      <c r="AC290" t="str">
        <f>IF(NOT($A290),"",
IF(AW290=-2,regle!$J$11,
IF(AW290=regle!$B$12,regle!$B$11,
IF(AW290=regle!$C$12,regle!$C$11,
IF(AW290=regle!$D$12,regle!$D$11,
IF(AW290=regle!$E$12,regle!$E$11,
IF(AW290=regle!$F$12,regle!$F$11,
IF(AW290=regle!$G$12,regle!$G$11,
IF(AW290=regle!$H$12,regle!$H$11,
IF(AW290=regle!$I$12,regle!$I$11,""))))))))))</f>
        <v>ENT2</v>
      </c>
      <c r="AD290" t="str">
        <f>IF(NOT($A290),"",
IF(AX290=-2,regle!$J$11,
IF(AX290=regle!$B$12,regle!$B$11,
IF(AX290=regle!$C$12,regle!$C$11,
IF(AX290=regle!$D$12,regle!$D$11,
IF(AX290=regle!$E$12,regle!$E$11,
IF(AX290=regle!$F$12,regle!$F$11,
IF(AX290=regle!$G$12,regle!$G$11,
IF(AX290=regle!$H$12,regle!$H$11,
IF(AX290=regle!$I$12,regle!$I$11,""))))))))))</f>
        <v/>
      </c>
      <c r="AE290" s="14">
        <f>IF($A290,$M290*(IF(U290=regle!$B$11,regle!$B$23,IF(U290=regle!$C$11,regle!$C$23,IF(U290=regle!$D$11,regle!$D$23,IF(U290=regle!$E$11,regle!$E$23,IF(U290=regle!$F$11,regle!$F$23,IF(U290=regle!$G$11,regle!$G$23,IF(U290=regle!$H$11,regle!$H$23,IF(U290=regle!$I$11,regle!$I$23,IF(U290=regle!$J$11,regle!$J$23,0)))))))))))</f>
        <v>-119.16999999999999</v>
      </c>
      <c r="AF290" s="14">
        <f>IF($A290,$M290*(IF(V290=regle!$B$11,regle!$B$23,IF(V290=regle!$C$11,regle!$C$23,IF(V290=regle!$D$11,regle!$D$23,IF(V290=regle!$E$11,regle!$E$23,IF(V290=regle!$F$11,regle!$F$23,IF(V290=regle!$G$11,regle!$G$23,IF(V290=regle!$H$11,regle!$H$23,IF(V290=regle!$I$11,regle!$I$23,IF(V290=regle!$J$11,regle!$J$23,0)))))))))))</f>
        <v>0</v>
      </c>
      <c r="AG290" s="14">
        <f>IF($A290,$M290*(IF(W290=regle!$B$11,regle!$B$23,IF(W290=regle!$C$11,regle!$C$23,IF(W290=regle!$D$11,regle!$D$23,IF(W290=regle!$E$11,regle!$E$23,IF(W290=regle!$F$11,regle!$F$23,IF(W290=regle!$G$11,regle!$G$23,IF(W290=regle!$H$11,regle!$H$23,IF(W290=regle!$I$11,regle!$I$23,IF(W290=regle!$J$11,regle!$J$23,0)))))))))))</f>
        <v>-5.2574999999999994</v>
      </c>
      <c r="AH290" s="14">
        <f>IF($A290,$M290*(IF(X290=regle!$B$11,regle!$B$23,IF(X290=regle!$C$11,regle!$C$23,IF(X290=regle!$D$11,regle!$D$23,IF(X290=regle!$E$11,regle!$E$23,IF(X290=regle!$F$11,regle!$F$23,IF(X290=regle!$G$11,regle!$G$23,IF(X290=regle!$H$11,regle!$H$23,IF(X290=regle!$I$11,regle!$I$23,IF(X290=regle!$J$11,regle!$J$23,0)))))))))))</f>
        <v>0</v>
      </c>
      <c r="AI290" s="14">
        <f>IF($A290,$M290*(IF(Y290=regle!$B$11,regle!$B$23,IF(Y290=regle!$C$11,regle!$C$23,IF(Y290=regle!$D$11,regle!$D$23,IF(Y290=regle!$E$11,regle!$E$23,IF(Y290=regle!$F$11,regle!$F$23,IF(Y290=regle!$G$11,regle!$G$23,IF(Y290=regle!$H$11,regle!$H$23,IF(Y290=regle!$I$11,regle!$I$23,IF(Y290=regle!$J$11,regle!$J$23,0)))))))))))</f>
        <v>0</v>
      </c>
      <c r="AJ290" s="14">
        <f>IF($A290,$M290*(IF(Z290=regle!$B$11,regle!$B$23,IF(Z290=regle!$C$11,regle!$C$23,IF(Z290=regle!$D$11,regle!$D$23,IF(Z290=regle!$E$11,regle!$E$23,IF(Z290=regle!$F$11,regle!$F$23,IF(Z290=regle!$G$11,regle!$G$23,IF(Z290=regle!$H$11,regle!$H$23,IF(Z290=regle!$I$11,regle!$I$23,IF(Z290=regle!$J$11,regle!$J$23,0)))))))))))</f>
        <v>-6.3089999999999993</v>
      </c>
      <c r="AK290" s="14">
        <f>IF($A290,$M290*(IF(AA290=regle!$B$11,regle!$B$23,IF(AA290=regle!$C$11,regle!$C$23,IF(AA290=regle!$D$11,regle!$D$23,IF(AA290=regle!$E$11,regle!$E$23,IF(AA290=regle!$F$11,regle!$F$23,IF(AA290=regle!$G$11,regle!$G$23,IF(AA290=regle!$H$11,regle!$H$23,IF(AA290=regle!$I$11,regle!$I$23,IF(AA290=regle!$J$11,regle!$J$23,0)))))))))))</f>
        <v>0</v>
      </c>
      <c r="AL290" s="14">
        <f>IF($A290,$M290*(IF(AB290=regle!$B$11,regle!$B$23,IF(AB290=regle!$C$11,regle!$C$23,IF(AB290=regle!$D$11,regle!$D$23,IF(AB290=regle!$E$11,regle!$E$23,IF(AB290=regle!$F$11,regle!$F$23,IF(AB290=regle!$G$11,regle!$G$23,IF(AB290=regle!$H$11,regle!$H$23,IF(AB290=regle!$I$11,regle!$I$23,IF(AB290=regle!$J$11,regle!$J$23,0)))))))))))</f>
        <v>0</v>
      </c>
      <c r="AM290" s="14">
        <f>IF($A290,$M290*(IF(AC290=regle!$B$11,regle!$B$23,IF(AC290=regle!$C$11,regle!$C$23,IF(AC290=regle!$D$11,regle!$D$23,IF(AC290=regle!$E$11,regle!$E$23,IF(AC290=regle!$F$11,regle!$F$23,IF(AC290=regle!$G$11,regle!$G$23,IF(AC290=regle!$H$11,regle!$H$23,IF(AC290=regle!$I$11,regle!$I$23,IF(AC290=regle!$J$11,regle!$J$23,0)))))))))))</f>
        <v>-6.3089999999999993</v>
      </c>
      <c r="AN290" s="14">
        <f>IF($A290,$M290*(IF(AD290=regle!$B$11,regle!$B$23,IF(AD290=regle!$C$11,regle!$C$23,IF(AD290=regle!$D$11,regle!$D$23,IF(AD290=regle!$E$11,regle!$E$23,IF(AD290=regle!$F$11,regle!$F$23,IF(AD290=regle!$G$11,regle!$G$23,IF(AD290=regle!$H$11,regle!$H$23,IF(AD290=regle!$I$11,regle!$I$23,IF(AD290=regle!$J$11,regle!$J$23,0)))))))))))</f>
        <v>0</v>
      </c>
      <c r="AO290">
        <f>IF(AO$1=$AO$1,IF(regle!B$2-$Q290&gt;=regle!$J$12,-2,IF($S290,IF(regle!$B$2-$Q290&gt;=2,0,-1),regle!B$2-$Q290)),IF(AN290+1&gt;=regle!$J$12,-2,AN290+1))</f>
        <v>0</v>
      </c>
      <c r="AP290">
        <f>IF(AP$1=$AO$1,IF(regle!C$2-$Q290&gt;=regle!$J$12,-2,IF($S290,IF(regle!$B$2-$Q290&gt;=2,0,-1),regle!C$2-$Q290)),IF(AO290+1&gt;=regle!$J$12,-2,AO290+1))</f>
        <v>1</v>
      </c>
      <c r="AQ290">
        <f>IF(AQ$1=$AO$1,IF(regle!D$2-$Q290&gt;=regle!$J$12,-2,IF($S290,IF(regle!$B$2-$Q290&gt;=2,0,-1),regle!D$2-$Q290)),IF(AP290+1&gt;=regle!$J$12,-2,AP290+1))</f>
        <v>2</v>
      </c>
      <c r="AR290">
        <f>IF(AR$1=$AO$1,IF(regle!E$2-$Q290&gt;=regle!$J$12,-2,IF($S290,IF(regle!$B$2-$Q290&gt;=2,0,-1),regle!E$2-$Q290)),IF(AQ290+1&gt;=regle!$J$12,-2,AQ290+1))</f>
        <v>3</v>
      </c>
      <c r="AS290">
        <f>IF(AS$1=$AO$1,IF(regle!F$2-$Q290&gt;=regle!$J$12,-2,IF($S290,IF(regle!$B$2-$Q290&gt;=2,0,-1),regle!F$2-$Q290)),IF(AR290+1&gt;=regle!$J$12,-2,AR290+1))</f>
        <v>4</v>
      </c>
      <c r="AT290">
        <f>IF(AT$1=$AO$1,IF(regle!G$2-$Q290&gt;=regle!$J$12,-2,IF($S290,IF(regle!$B$2-$Q290&gt;=2,0,-1),regle!G$2-$Q290)),IF(AS290+1&gt;=regle!$J$12,-2,AS290+1))</f>
        <v>5</v>
      </c>
      <c r="AU290">
        <f>IF(AU$1=$AO$1,IF(regle!H$2-$Q290&gt;=regle!$J$12,-2,IF($S290,IF(regle!$B$2-$Q290&gt;=2,0,-1),regle!H$2-$Q290)),IF(AT290+1&gt;=regle!$J$12,-2,AT290+1))</f>
        <v>6</v>
      </c>
      <c r="AV290">
        <f>IF(AV$1=$AO$1,IF(regle!I$2-$Q290&gt;=regle!$J$12,-2,IF($S290,IF(regle!$B$2-$Q290&gt;=2,0,-1),regle!I$2-$Q290)),IF(AU290+1&gt;=regle!$J$12,-2,AU290+1))</f>
        <v>7</v>
      </c>
      <c r="AW290">
        <f>IF(AW$1=$AO$1,IF(regle!J$2-$Q290&gt;=regle!$J$12,-2,IF($S290,IF(regle!$B$2-$Q290&gt;=2,0,-1),regle!J$2-$Q290)),IF(AV290+1&gt;=regle!$J$12,-2,AV290+1))</f>
        <v>8</v>
      </c>
      <c r="AX290">
        <f>IF(AX$1=$AO$1,IF(regle!K$2-$Q290&gt;=regle!$J$12,-2,IF($S290,IF(regle!$B$2-$Q290&gt;=2,0,-1),regle!K$2-$Q290)),IF(AW290+1&gt;=regle!$J$12,-2,AW290+1))</f>
        <v>9</v>
      </c>
    </row>
    <row r="291" spans="1:50" x14ac:dyDescent="0.25">
      <c r="A291" t="b">
        <f>AND(modif0[[#This Row],[cdstr]]&lt;&gt;0,OR(regle!$H$27=FALSE,modif0[[#This Row],[essnc]]="PM"))</f>
        <v>1</v>
      </c>
      <c r="B291">
        <f>ROW(objet!A340)</f>
        <v>340</v>
      </c>
      <c r="C291" s="10" t="str">
        <f>objet!D340</f>
        <v>5360000B0658</v>
      </c>
      <c r="D291" t="str">
        <f>LEFT(modif0[[#This Row],[cdstr]],3)</f>
        <v>536</v>
      </c>
      <c r="E291" s="10" t="str">
        <f>objet!G340</f>
        <v>LE TUZAN</v>
      </c>
      <c r="F291">
        <f>LEN(modif0[[#This Row],[l_dt]])</f>
        <v>14</v>
      </c>
      <c r="G291" s="10" t="str">
        <f>objet!H340</f>
        <v>TABARTON-OUEST</v>
      </c>
      <c r="H291" s="10" t="str">
        <f>objet!C340</f>
        <v>B658k</v>
      </c>
      <c r="I291" t="str">
        <f>IF(ISNUMBER(VALUE(RIGHT(LEFT(modif0[[#This Row],[idntfn]],2),1))),_xlfn.CONCAT(0,LEFT(modif0[[#This Row],[idntfn]],1)),LEFT(modif0[[#This Row],[idntfn]],2))</f>
        <v>0B</v>
      </c>
      <c r="J291">
        <f>VALUE(LEFT(RIGHT(modif0[[#This Row],[idntfn]],LEN(modif0[[#This Row],[idntfn]])-IF(LEFT(modif0[[#This Row],[sctn]],1)="0",1,2)),LEN(modif0[[#This Row],[idntfn]])-IF(LEFT(modif0[[#This Row],[sctn]],1)="0",1,2)-LEN(modif0[[#This Row],[lttr]])))</f>
        <v>658</v>
      </c>
      <c r="K291" t="str">
        <f>IF(ISNUMBER(VALUE(RIGHT(modif0[[#This Row],[idntfn]],1))),"",IF(ISNUMBER(VALUE(LEFT(RIGHT(modif0[[#This Row],[idntfn]],2),1))),RIGHT(modif0[[#This Row],[idntfn]],1),RIGHT(modif0[[#This Row],[idntfn]],2)))</f>
        <v>k</v>
      </c>
      <c r="L291" s="10">
        <f>objet!I340</f>
        <v>26316</v>
      </c>
      <c r="M291" s="11">
        <f>modif0[[#This Row],[srfc]]/10000</f>
        <v>2.6316000000000002</v>
      </c>
      <c r="N291" s="10" t="str">
        <f>objet!Z340</f>
        <v>PM</v>
      </c>
      <c r="O291" s="10" t="str">
        <f>objet!AA340</f>
        <v>CR2022</v>
      </c>
      <c r="P291" t="str">
        <f>IF(ISNUMBER(modif0[[#This Row],[trvx]]),"",LEFT(modif0[[#This Row],[trvx]],LEN(modif0[[#This Row],[trvx]])-4))</f>
        <v>CR</v>
      </c>
      <c r="Q291">
        <f>VALUE(RIGHT(modif0[[#This Row],[trvx]],4))</f>
        <v>2022</v>
      </c>
      <c r="R291" t="str">
        <f>_xlfn.CONCAT(modif0[[#This Row],[tp]],"-",modif0[[#This Row],[essnc]],"_",modif0[[#This Row],[anns]])</f>
        <v>CR-PM_2022</v>
      </c>
      <c r="S291" t="b">
        <f>modif0[[#This Row],[tp]]="CR"</f>
        <v>1</v>
      </c>
      <c r="T291">
        <v>40</v>
      </c>
      <c r="U291" t="str">
        <f>IF(NOT($A291),"",
IF(AO291=-2,regle!$J$11,
IF(AO291=regle!$B$12,regle!$B$11,
IF(AO291=regle!$C$12,regle!$C$11,
IF(AO291=regle!$D$12,regle!$D$11,
IF(AO291=regle!$E$12,regle!$E$11,
IF(AO291=regle!$F$12,regle!$F$11,
IF(AO291=regle!$G$12,regle!$G$11,
IF(AO291=regle!$H$12,regle!$H$11,
IF(AO291=regle!$I$12,regle!$I$11,""))))))))))</f>
        <v>RBST</v>
      </c>
      <c r="V291" t="str">
        <f>IF(NOT($A291),"",
IF(AP291=-2,regle!$J$11,
IF(AP291=regle!$B$12,regle!$B$11,
IF(AP291=regle!$C$12,regle!$C$11,
IF(AP291=regle!$D$12,regle!$D$11,
IF(AP291=regle!$E$12,regle!$E$11,
IF(AP291=regle!$F$12,regle!$F$11,
IF(AP291=regle!$G$12,regle!$G$11,
IF(AP291=regle!$H$12,regle!$H$11,
IF(AP291=regle!$I$12,regle!$I$11,""))))))))))</f>
        <v/>
      </c>
      <c r="W291" t="str">
        <f>IF(NOT($A291),"",
IF(AQ291=-2,regle!$J$11,
IF(AQ291=regle!$B$12,regle!$B$11,
IF(AQ291=regle!$C$12,regle!$C$11,
IF(AQ291=regle!$D$12,regle!$D$11,
IF(AQ291=regle!$E$12,regle!$E$11,
IF(AQ291=regle!$F$12,regle!$F$11,
IF(AQ291=regle!$G$12,regle!$G$11,
IF(AQ291=regle!$H$12,regle!$H$11,
IF(AQ291=regle!$I$12,regle!$I$11,""))))))))))</f>
        <v>DGT</v>
      </c>
      <c r="X291" t="str">
        <f>IF(NOT($A291),"",
IF(AR291=-2,regle!$J$11,
IF(AR291=regle!$B$12,regle!$B$11,
IF(AR291=regle!$C$12,regle!$C$11,
IF(AR291=regle!$D$12,regle!$D$11,
IF(AR291=regle!$E$12,regle!$E$11,
IF(AR291=regle!$F$12,regle!$F$11,
IF(AR291=regle!$G$12,regle!$G$11,
IF(AR291=regle!$H$12,regle!$H$11,
IF(AR291=regle!$I$12,regle!$I$11,""))))))))))</f>
        <v/>
      </c>
      <c r="Y291" t="str">
        <f>IF(NOT($A291),"",
IF(AS291=-2,regle!$J$11,
IF(AS291=regle!$B$12,regle!$B$11,
IF(AS291=regle!$C$12,regle!$C$11,
IF(AS291=regle!$D$12,regle!$D$11,
IF(AS291=regle!$E$12,regle!$E$11,
IF(AS291=regle!$F$12,regle!$F$11,
IF(AS291=regle!$G$12,regle!$G$11,
IF(AS291=regle!$H$12,regle!$H$11,
IF(AS291=regle!$I$12,regle!$I$11,""))))))))))</f>
        <v/>
      </c>
      <c r="Z291" t="str">
        <f>IF(NOT($A291),"",
IF(AT291=-2,regle!$J$11,
IF(AT291=regle!$B$12,regle!$B$11,
IF(AT291=regle!$C$12,regle!$C$11,
IF(AT291=regle!$D$12,regle!$D$11,
IF(AT291=regle!$E$12,regle!$E$11,
IF(AT291=regle!$F$12,regle!$F$11,
IF(AT291=regle!$G$12,regle!$G$11,
IF(AT291=regle!$H$12,regle!$H$11,
IF(AT291=regle!$I$12,regle!$I$11,""))))))))))</f>
        <v>ENT1</v>
      </c>
      <c r="AA291" t="str">
        <f>IF(NOT($A291),"",
IF(AU291=-2,regle!$J$11,
IF(AU291=regle!$B$12,regle!$B$11,
IF(AU291=regle!$C$12,regle!$C$11,
IF(AU291=regle!$D$12,regle!$D$11,
IF(AU291=regle!$E$12,regle!$E$11,
IF(AU291=regle!$F$12,regle!$F$11,
IF(AU291=regle!$G$12,regle!$G$11,
IF(AU291=regle!$H$12,regle!$H$11,
IF(AU291=regle!$I$12,regle!$I$11,""))))))))))</f>
        <v/>
      </c>
      <c r="AB291" t="str">
        <f>IF(NOT($A291),"",
IF(AV291=-2,regle!$J$11,
IF(AV291=regle!$B$12,regle!$B$11,
IF(AV291=regle!$C$12,regle!$C$11,
IF(AV291=regle!$D$12,regle!$D$11,
IF(AV291=regle!$E$12,regle!$E$11,
IF(AV291=regle!$F$12,regle!$F$11,
IF(AV291=regle!$G$12,regle!$G$11,
IF(AV291=regle!$H$12,regle!$H$11,
IF(AV291=regle!$I$12,regle!$I$11,""))))))))))</f>
        <v/>
      </c>
      <c r="AC291" t="str">
        <f>IF(NOT($A291),"",
IF(AW291=-2,regle!$J$11,
IF(AW291=regle!$B$12,regle!$B$11,
IF(AW291=regle!$C$12,regle!$C$11,
IF(AW291=regle!$D$12,regle!$D$11,
IF(AW291=regle!$E$12,regle!$E$11,
IF(AW291=regle!$F$12,regle!$F$11,
IF(AW291=regle!$G$12,regle!$G$11,
IF(AW291=regle!$H$12,regle!$H$11,
IF(AW291=regle!$I$12,regle!$I$11,""))))))))))</f>
        <v>ENT2</v>
      </c>
      <c r="AD291" t="str">
        <f>IF(NOT($A291),"",
IF(AX291=-2,regle!$J$11,
IF(AX291=regle!$B$12,regle!$B$11,
IF(AX291=regle!$C$12,regle!$C$11,
IF(AX291=regle!$D$12,regle!$D$11,
IF(AX291=regle!$E$12,regle!$E$11,
IF(AX291=regle!$F$12,regle!$F$11,
IF(AX291=regle!$G$12,regle!$G$11,
IF(AX291=regle!$H$12,regle!$H$11,
IF(AX291=regle!$I$12,regle!$I$11,""))))))))))</f>
        <v/>
      </c>
      <c r="AE291" s="14">
        <f>IF($A291,$M291*(IF(U291=regle!$B$11,regle!$B$23,IF(U291=regle!$C$11,regle!$C$23,IF(U291=regle!$D$11,regle!$D$23,IF(U291=regle!$E$11,regle!$E$23,IF(U291=regle!$F$11,regle!$F$23,IF(U291=regle!$G$11,regle!$G$23,IF(U291=regle!$H$11,regle!$H$23,IF(U291=regle!$I$11,regle!$I$23,IF(U291=regle!$J$11,regle!$J$23,0)))))))))))</f>
        <v>-4473.72</v>
      </c>
      <c r="AF291" s="14">
        <f>IF($A291,$M291*(IF(V291=regle!$B$11,regle!$B$23,IF(V291=regle!$C$11,regle!$C$23,IF(V291=regle!$D$11,regle!$D$23,IF(V291=regle!$E$11,regle!$E$23,IF(V291=regle!$F$11,regle!$F$23,IF(V291=regle!$G$11,regle!$G$23,IF(V291=regle!$H$11,regle!$H$23,IF(V291=regle!$I$11,regle!$I$23,IF(V291=regle!$J$11,regle!$J$23,0)))))))))))</f>
        <v>0</v>
      </c>
      <c r="AG291" s="14">
        <f>IF($A291,$M291*(IF(W291=regle!$B$11,regle!$B$23,IF(W291=regle!$C$11,regle!$C$23,IF(W291=regle!$D$11,regle!$D$23,IF(W291=regle!$E$11,regle!$E$23,IF(W291=regle!$F$11,regle!$F$23,IF(W291=regle!$G$11,regle!$G$23,IF(W291=regle!$H$11,regle!$H$23,IF(W291=regle!$I$11,regle!$I$23,IF(W291=regle!$J$11,regle!$J$23,0)))))))))))</f>
        <v>-197.37</v>
      </c>
      <c r="AH291" s="14">
        <f>IF($A291,$M291*(IF(X291=regle!$B$11,regle!$B$23,IF(X291=regle!$C$11,regle!$C$23,IF(X291=regle!$D$11,regle!$D$23,IF(X291=regle!$E$11,regle!$E$23,IF(X291=regle!$F$11,regle!$F$23,IF(X291=regle!$G$11,regle!$G$23,IF(X291=regle!$H$11,regle!$H$23,IF(X291=regle!$I$11,regle!$I$23,IF(X291=regle!$J$11,regle!$J$23,0)))))))))))</f>
        <v>0</v>
      </c>
      <c r="AI291" s="14">
        <f>IF($A291,$M291*(IF(Y291=regle!$B$11,regle!$B$23,IF(Y291=regle!$C$11,regle!$C$23,IF(Y291=regle!$D$11,regle!$D$23,IF(Y291=regle!$E$11,regle!$E$23,IF(Y291=regle!$F$11,regle!$F$23,IF(Y291=regle!$G$11,regle!$G$23,IF(Y291=regle!$H$11,regle!$H$23,IF(Y291=regle!$I$11,regle!$I$23,IF(Y291=regle!$J$11,regle!$J$23,0)))))))))))</f>
        <v>0</v>
      </c>
      <c r="AJ291" s="14">
        <f>IF($A291,$M291*(IF(Z291=regle!$B$11,regle!$B$23,IF(Z291=regle!$C$11,regle!$C$23,IF(Z291=regle!$D$11,regle!$D$23,IF(Z291=regle!$E$11,regle!$E$23,IF(Z291=regle!$F$11,regle!$F$23,IF(Z291=regle!$G$11,regle!$G$23,IF(Z291=regle!$H$11,regle!$H$23,IF(Z291=regle!$I$11,regle!$I$23,IF(Z291=regle!$J$11,regle!$J$23,0)))))))))))</f>
        <v>-236.84400000000002</v>
      </c>
      <c r="AK291" s="14">
        <f>IF($A291,$M291*(IF(AA291=regle!$B$11,regle!$B$23,IF(AA291=regle!$C$11,regle!$C$23,IF(AA291=regle!$D$11,regle!$D$23,IF(AA291=regle!$E$11,regle!$E$23,IF(AA291=regle!$F$11,regle!$F$23,IF(AA291=regle!$G$11,regle!$G$23,IF(AA291=regle!$H$11,regle!$H$23,IF(AA291=regle!$I$11,regle!$I$23,IF(AA291=regle!$J$11,regle!$J$23,0)))))))))))</f>
        <v>0</v>
      </c>
      <c r="AL291" s="14">
        <f>IF($A291,$M291*(IF(AB291=regle!$B$11,regle!$B$23,IF(AB291=regle!$C$11,regle!$C$23,IF(AB291=regle!$D$11,regle!$D$23,IF(AB291=regle!$E$11,regle!$E$23,IF(AB291=regle!$F$11,regle!$F$23,IF(AB291=regle!$G$11,regle!$G$23,IF(AB291=regle!$H$11,regle!$H$23,IF(AB291=regle!$I$11,regle!$I$23,IF(AB291=regle!$J$11,regle!$J$23,0)))))))))))</f>
        <v>0</v>
      </c>
      <c r="AM291" s="14">
        <f>IF($A291,$M291*(IF(AC291=regle!$B$11,regle!$B$23,IF(AC291=regle!$C$11,regle!$C$23,IF(AC291=regle!$D$11,regle!$D$23,IF(AC291=regle!$E$11,regle!$E$23,IF(AC291=regle!$F$11,regle!$F$23,IF(AC291=regle!$G$11,regle!$G$23,IF(AC291=regle!$H$11,regle!$H$23,IF(AC291=regle!$I$11,regle!$I$23,IF(AC291=regle!$J$11,regle!$J$23,0)))))))))))</f>
        <v>-236.84400000000002</v>
      </c>
      <c r="AN291" s="14">
        <f>IF($A291,$M291*(IF(AD291=regle!$B$11,regle!$B$23,IF(AD291=regle!$C$11,regle!$C$23,IF(AD291=regle!$D$11,regle!$D$23,IF(AD291=regle!$E$11,regle!$E$23,IF(AD291=regle!$F$11,regle!$F$23,IF(AD291=regle!$G$11,regle!$G$23,IF(AD291=regle!$H$11,regle!$H$23,IF(AD291=regle!$I$11,regle!$I$23,IF(AD291=regle!$J$11,regle!$J$23,0)))))))))))</f>
        <v>0</v>
      </c>
      <c r="AO291">
        <f>IF(AO$1=$AO$1,IF(regle!B$2-$Q291&gt;=regle!$J$12,-2,IF($S291,IF(regle!$B$2-$Q291&gt;=2,0,-1),regle!B$2-$Q291)),IF(AN291+1&gt;=regle!$J$12,-2,AN291+1))</f>
        <v>0</v>
      </c>
      <c r="AP291">
        <f>IF(AP$1=$AO$1,IF(regle!C$2-$Q291&gt;=regle!$J$12,-2,IF($S291,IF(regle!$B$2-$Q291&gt;=2,0,-1),regle!C$2-$Q291)),IF(AO291+1&gt;=regle!$J$12,-2,AO291+1))</f>
        <v>1</v>
      </c>
      <c r="AQ291">
        <f>IF(AQ$1=$AO$1,IF(regle!D$2-$Q291&gt;=regle!$J$12,-2,IF($S291,IF(regle!$B$2-$Q291&gt;=2,0,-1),regle!D$2-$Q291)),IF(AP291+1&gt;=regle!$J$12,-2,AP291+1))</f>
        <v>2</v>
      </c>
      <c r="AR291">
        <f>IF(AR$1=$AO$1,IF(regle!E$2-$Q291&gt;=regle!$J$12,-2,IF($S291,IF(regle!$B$2-$Q291&gt;=2,0,-1),regle!E$2-$Q291)),IF(AQ291+1&gt;=regle!$J$12,-2,AQ291+1))</f>
        <v>3</v>
      </c>
      <c r="AS291">
        <f>IF(AS$1=$AO$1,IF(regle!F$2-$Q291&gt;=regle!$J$12,-2,IF($S291,IF(regle!$B$2-$Q291&gt;=2,0,-1),regle!F$2-$Q291)),IF(AR291+1&gt;=regle!$J$12,-2,AR291+1))</f>
        <v>4</v>
      </c>
      <c r="AT291">
        <f>IF(AT$1=$AO$1,IF(regle!G$2-$Q291&gt;=regle!$J$12,-2,IF($S291,IF(regle!$B$2-$Q291&gt;=2,0,-1),regle!G$2-$Q291)),IF(AS291+1&gt;=regle!$J$12,-2,AS291+1))</f>
        <v>5</v>
      </c>
      <c r="AU291">
        <f>IF(AU$1=$AO$1,IF(regle!H$2-$Q291&gt;=regle!$J$12,-2,IF($S291,IF(regle!$B$2-$Q291&gt;=2,0,-1),regle!H$2-$Q291)),IF(AT291+1&gt;=regle!$J$12,-2,AT291+1))</f>
        <v>6</v>
      </c>
      <c r="AV291">
        <f>IF(AV$1=$AO$1,IF(regle!I$2-$Q291&gt;=regle!$J$12,-2,IF($S291,IF(regle!$B$2-$Q291&gt;=2,0,-1),regle!I$2-$Q291)),IF(AU291+1&gt;=regle!$J$12,-2,AU291+1))</f>
        <v>7</v>
      </c>
      <c r="AW291">
        <f>IF(AW$1=$AO$1,IF(regle!J$2-$Q291&gt;=regle!$J$12,-2,IF($S291,IF(regle!$B$2-$Q291&gt;=2,0,-1),regle!J$2-$Q291)),IF(AV291+1&gt;=regle!$J$12,-2,AV291+1))</f>
        <v>8</v>
      </c>
      <c r="AX291">
        <f>IF(AX$1=$AO$1,IF(regle!K$2-$Q291&gt;=regle!$J$12,-2,IF($S291,IF(regle!$B$2-$Q291&gt;=2,0,-1),regle!K$2-$Q291)),IF(AW291+1&gt;=regle!$J$12,-2,AW291+1))</f>
        <v>9</v>
      </c>
    </row>
    <row r="292" spans="1:50" x14ac:dyDescent="0.25">
      <c r="A292" t="b">
        <f>AND(modif0[[#This Row],[cdstr]]&lt;&gt;0,OR(regle!$H$27=FALSE,modif0[[#This Row],[essnc]]="PM"))</f>
        <v>1</v>
      </c>
      <c r="B292">
        <f>ROW(objet!A341)</f>
        <v>341</v>
      </c>
      <c r="C292" s="10" t="str">
        <f>objet!D341</f>
        <v>5360000B0659</v>
      </c>
      <c r="D292" t="str">
        <f>LEFT(modif0[[#This Row],[cdstr]],3)</f>
        <v>536</v>
      </c>
      <c r="E292" s="10" t="str">
        <f>objet!G341</f>
        <v>LE TUZAN</v>
      </c>
      <c r="F292">
        <f>LEN(modif0[[#This Row],[l_dt]])</f>
        <v>14</v>
      </c>
      <c r="G292" s="10" t="str">
        <f>objet!H341</f>
        <v>TABARTON-OUEST</v>
      </c>
      <c r="H292" s="10" t="str">
        <f>objet!C341</f>
        <v>B659j</v>
      </c>
      <c r="I292" t="str">
        <f>IF(ISNUMBER(VALUE(RIGHT(LEFT(modif0[[#This Row],[idntfn]],2),1))),_xlfn.CONCAT(0,LEFT(modif0[[#This Row],[idntfn]],1)),LEFT(modif0[[#This Row],[idntfn]],2))</f>
        <v>0B</v>
      </c>
      <c r="J292">
        <f>VALUE(LEFT(RIGHT(modif0[[#This Row],[idntfn]],LEN(modif0[[#This Row],[idntfn]])-IF(LEFT(modif0[[#This Row],[sctn]],1)="0",1,2)),LEN(modif0[[#This Row],[idntfn]])-IF(LEFT(modif0[[#This Row],[sctn]],1)="0",1,2)-LEN(modif0[[#This Row],[lttr]])))</f>
        <v>659</v>
      </c>
      <c r="K292" t="str">
        <f>IF(ISNUMBER(VALUE(RIGHT(modif0[[#This Row],[idntfn]],1))),"",IF(ISNUMBER(VALUE(LEFT(RIGHT(modif0[[#This Row],[idntfn]],2),1))),RIGHT(modif0[[#This Row],[idntfn]],1),RIGHT(modif0[[#This Row],[idntfn]],2)))</f>
        <v>j</v>
      </c>
      <c r="L292" s="10">
        <f>objet!I341</f>
        <v>94685</v>
      </c>
      <c r="M292" s="11">
        <f>modif0[[#This Row],[srfc]]/10000</f>
        <v>9.4685000000000006</v>
      </c>
      <c r="N292" s="10" t="str">
        <f>objet!Z341</f>
        <v>PM</v>
      </c>
      <c r="O292" s="10" t="str">
        <f>objet!AA341</f>
        <v>PLA2005</v>
      </c>
      <c r="P292" t="str">
        <f>IF(ISNUMBER(modif0[[#This Row],[trvx]]),"",LEFT(modif0[[#This Row],[trvx]],LEN(modif0[[#This Row],[trvx]])-4))</f>
        <v>PLA</v>
      </c>
      <c r="Q292">
        <f>VALUE(RIGHT(modif0[[#This Row],[trvx]],4))</f>
        <v>2005</v>
      </c>
      <c r="R292" t="str">
        <f>_xlfn.CONCAT(modif0[[#This Row],[tp]],"-",modif0[[#This Row],[essnc]],"_",modif0[[#This Row],[anns]])</f>
        <v>PLA-PM_2005</v>
      </c>
      <c r="S292" t="b">
        <f>modif0[[#This Row],[tp]]="CR"</f>
        <v>0</v>
      </c>
      <c r="T292">
        <v>40</v>
      </c>
      <c r="U292" t="str">
        <f>IF(NOT($A292),"",
IF(AO292=-2,regle!$J$11,
IF(AO292=regle!$B$12,regle!$B$11,
IF(AO292=regle!$C$12,regle!$C$11,
IF(AO292=regle!$D$12,regle!$D$11,
IF(AO292=regle!$E$12,regle!$E$11,
IF(AO292=regle!$F$12,regle!$F$11,
IF(AO292=regle!$G$12,regle!$G$11,
IF(AO292=regle!$H$12,regle!$H$11,
IF(AO292=regle!$I$12,regle!$I$11,""))))))))))</f>
        <v/>
      </c>
      <c r="V292" t="str">
        <f>IF(NOT($A292),"",
IF(AP292=-2,regle!$J$11,
IF(AP292=regle!$B$12,regle!$B$11,
IF(AP292=regle!$C$12,regle!$C$11,
IF(AP292=regle!$D$12,regle!$D$11,
IF(AP292=regle!$E$12,regle!$E$11,
IF(AP292=regle!$F$12,regle!$F$11,
IF(AP292=regle!$G$12,regle!$G$11,
IF(AP292=regle!$H$12,regle!$H$11,
IF(AP292=regle!$I$12,regle!$I$11,""))))))))))</f>
        <v/>
      </c>
      <c r="W292" t="str">
        <f>IF(NOT($A292),"",
IF(AQ292=-2,regle!$J$11,
IF(AQ292=regle!$B$12,regle!$B$11,
IF(AQ292=regle!$C$12,regle!$C$11,
IF(AQ292=regle!$D$12,regle!$D$11,
IF(AQ292=regle!$E$12,regle!$E$11,
IF(AQ292=regle!$F$12,regle!$F$11,
IF(AQ292=regle!$G$12,regle!$G$11,
IF(AQ292=regle!$H$12,regle!$H$11,
IF(AQ292=regle!$I$12,regle!$I$11,""))))))))))</f>
        <v/>
      </c>
      <c r="X292" t="str">
        <f>IF(NOT($A292),"",
IF(AR292=-2,regle!$J$11,
IF(AR292=regle!$B$12,regle!$B$11,
IF(AR292=regle!$C$12,regle!$C$11,
IF(AR292=regle!$D$12,regle!$D$11,
IF(AR292=regle!$E$12,regle!$E$11,
IF(AR292=regle!$F$12,regle!$F$11,
IF(AR292=regle!$G$12,regle!$G$11,
IF(AR292=regle!$H$12,regle!$H$11,
IF(AR292=regle!$I$12,regle!$I$11,""))))))))))</f>
        <v/>
      </c>
      <c r="Y292" t="str">
        <f>IF(NOT($A292),"",
IF(AS292=-2,regle!$J$11,
IF(AS292=regle!$B$12,regle!$B$11,
IF(AS292=regle!$C$12,regle!$C$11,
IF(AS292=regle!$D$12,regle!$D$11,
IF(AS292=regle!$E$12,regle!$E$11,
IF(AS292=regle!$F$12,regle!$F$11,
IF(AS292=regle!$G$12,regle!$G$11,
IF(AS292=regle!$H$12,regle!$H$11,
IF(AS292=regle!$I$12,regle!$I$11,""))))))))))</f>
        <v>EC3</v>
      </c>
      <c r="Z292" t="str">
        <f>IF(NOT($A292),"",
IF(AT292=-2,regle!$J$11,
IF(AT292=regle!$B$12,regle!$B$11,
IF(AT292=regle!$C$12,regle!$C$11,
IF(AT292=regle!$D$12,regle!$D$11,
IF(AT292=regle!$E$12,regle!$E$11,
IF(AT292=regle!$F$12,regle!$F$11,
IF(AT292=regle!$G$12,regle!$G$11,
IF(AT292=regle!$H$12,regle!$H$11,
IF(AT292=regle!$I$12,regle!$I$11,""))))))))))</f>
        <v/>
      </c>
      <c r="AA292" t="str">
        <f>IF(NOT($A292),"",
IF(AU292=-2,regle!$J$11,
IF(AU292=regle!$B$12,regle!$B$11,
IF(AU292=regle!$C$12,regle!$C$11,
IF(AU292=regle!$D$12,regle!$D$11,
IF(AU292=regle!$E$12,regle!$E$11,
IF(AU292=regle!$F$12,regle!$F$11,
IF(AU292=regle!$G$12,regle!$G$11,
IF(AU292=regle!$H$12,regle!$H$11,
IF(AU292=regle!$I$12,regle!$I$11,""))))))))))</f>
        <v/>
      </c>
      <c r="AB292" t="str">
        <f>IF(NOT($A292),"",
IF(AV292=-2,regle!$J$11,
IF(AV292=regle!$B$12,regle!$B$11,
IF(AV292=regle!$C$12,regle!$C$11,
IF(AV292=regle!$D$12,regle!$D$11,
IF(AV292=regle!$E$12,regle!$E$11,
IF(AV292=regle!$F$12,regle!$F$11,
IF(AV292=regle!$G$12,regle!$G$11,
IF(AV292=regle!$H$12,regle!$H$11,
IF(AV292=regle!$I$12,regle!$I$11,""))))))))))</f>
        <v/>
      </c>
      <c r="AC292" t="str">
        <f>IF(NOT($A292),"",
IF(AW292=-2,regle!$J$11,
IF(AW292=regle!$B$12,regle!$B$11,
IF(AW292=regle!$C$12,regle!$C$11,
IF(AW292=regle!$D$12,regle!$D$11,
IF(AW292=regle!$E$12,regle!$E$11,
IF(AW292=regle!$F$12,regle!$F$11,
IF(AW292=regle!$G$12,regle!$G$11,
IF(AW292=regle!$H$12,regle!$H$11,
IF(AW292=regle!$I$12,regle!$I$11,""))))))))))</f>
        <v/>
      </c>
      <c r="AD292" t="str">
        <f>IF(NOT($A292),"",
IF(AX292=-2,regle!$J$11,
IF(AX292=regle!$B$12,regle!$B$11,
IF(AX292=regle!$C$12,regle!$C$11,
IF(AX292=regle!$D$12,regle!$D$11,
IF(AX292=regle!$E$12,regle!$E$11,
IF(AX292=regle!$F$12,regle!$F$11,
IF(AX292=regle!$G$12,regle!$G$11,
IF(AX292=regle!$H$12,regle!$H$11,
IF(AX292=regle!$I$12,regle!$I$11,""))))))))))</f>
        <v>EC4</v>
      </c>
      <c r="AE292" s="14">
        <f>IF($A292,$M292*(IF(U292=regle!$B$11,regle!$B$23,IF(U292=regle!$C$11,regle!$C$23,IF(U292=regle!$D$11,regle!$D$23,IF(U292=regle!$E$11,regle!$E$23,IF(U292=regle!$F$11,regle!$F$23,IF(U292=regle!$G$11,regle!$G$23,IF(U292=regle!$H$11,regle!$H$23,IF(U292=regle!$I$11,regle!$I$23,IF(U292=regle!$J$11,regle!$J$23,0)))))))))))</f>
        <v>0</v>
      </c>
      <c r="AF292" s="14">
        <f>IF($A292,$M292*(IF(V292=regle!$B$11,regle!$B$23,IF(V292=regle!$C$11,regle!$C$23,IF(V292=regle!$D$11,regle!$D$23,IF(V292=regle!$E$11,regle!$E$23,IF(V292=regle!$F$11,regle!$F$23,IF(V292=regle!$G$11,regle!$G$23,IF(V292=regle!$H$11,regle!$H$23,IF(V292=regle!$I$11,regle!$I$23,IF(V292=regle!$J$11,regle!$J$23,0)))))))))))</f>
        <v>0</v>
      </c>
      <c r="AG292" s="14">
        <f>IF($A292,$M292*(IF(W292=regle!$B$11,regle!$B$23,IF(W292=regle!$C$11,regle!$C$23,IF(W292=regle!$D$11,regle!$D$23,IF(W292=regle!$E$11,regle!$E$23,IF(W292=regle!$F$11,regle!$F$23,IF(W292=regle!$G$11,regle!$G$23,IF(W292=regle!$H$11,regle!$H$23,IF(W292=regle!$I$11,regle!$I$23,IF(W292=regle!$J$11,regle!$J$23,0)))))))))))</f>
        <v>0</v>
      </c>
      <c r="AH292" s="14">
        <f>IF($A292,$M292*(IF(X292=regle!$B$11,regle!$B$23,IF(X292=regle!$C$11,regle!$C$23,IF(X292=regle!$D$11,regle!$D$23,IF(X292=regle!$E$11,regle!$E$23,IF(X292=regle!$F$11,regle!$F$23,IF(X292=regle!$G$11,regle!$G$23,IF(X292=regle!$H$11,regle!$H$23,IF(X292=regle!$I$11,regle!$I$23,IF(X292=regle!$J$11,regle!$J$23,0)))))))))))</f>
        <v>0</v>
      </c>
      <c r="AI292" s="14">
        <f>IF($A292,$M292*(IF(Y292=regle!$B$11,regle!$B$23,IF(Y292=regle!$C$11,regle!$C$23,IF(Y292=regle!$D$11,regle!$D$23,IF(Y292=regle!$E$11,regle!$E$23,IF(Y292=regle!$F$11,regle!$F$23,IF(Y292=regle!$G$11,regle!$G$23,IF(Y292=regle!$H$11,regle!$H$23,IF(Y292=regle!$I$11,regle!$I$23,IF(Y292=regle!$J$11,regle!$J$23,0)))))))))))</f>
        <v>13331.648000000001</v>
      </c>
      <c r="AJ292" s="14">
        <f>IF($A292,$M292*(IF(Z292=regle!$B$11,regle!$B$23,IF(Z292=regle!$C$11,regle!$C$23,IF(Z292=regle!$D$11,regle!$D$23,IF(Z292=regle!$E$11,regle!$E$23,IF(Z292=regle!$F$11,regle!$F$23,IF(Z292=regle!$G$11,regle!$G$23,IF(Z292=regle!$H$11,regle!$H$23,IF(Z292=regle!$I$11,regle!$I$23,IF(Z292=regle!$J$11,regle!$J$23,0)))))))))))</f>
        <v>0</v>
      </c>
      <c r="AK292" s="14">
        <f>IF($A292,$M292*(IF(AA292=regle!$B$11,regle!$B$23,IF(AA292=regle!$C$11,regle!$C$23,IF(AA292=regle!$D$11,regle!$D$23,IF(AA292=regle!$E$11,regle!$E$23,IF(AA292=regle!$F$11,regle!$F$23,IF(AA292=regle!$G$11,regle!$G$23,IF(AA292=regle!$H$11,regle!$H$23,IF(AA292=regle!$I$11,regle!$I$23,IF(AA292=regle!$J$11,regle!$J$23,0)))))))))))</f>
        <v>0</v>
      </c>
      <c r="AL292" s="14">
        <f>IF($A292,$M292*(IF(AB292=regle!$B$11,regle!$B$23,IF(AB292=regle!$C$11,regle!$C$23,IF(AB292=regle!$D$11,regle!$D$23,IF(AB292=regle!$E$11,regle!$E$23,IF(AB292=regle!$F$11,regle!$F$23,IF(AB292=regle!$G$11,regle!$G$23,IF(AB292=regle!$H$11,regle!$H$23,IF(AB292=regle!$I$11,regle!$I$23,IF(AB292=regle!$J$11,regle!$J$23,0)))))))))))</f>
        <v>0</v>
      </c>
      <c r="AM292" s="14">
        <f>IF($A292,$M292*(IF(AC292=regle!$B$11,regle!$B$23,IF(AC292=regle!$C$11,regle!$C$23,IF(AC292=regle!$D$11,regle!$D$23,IF(AC292=regle!$E$11,regle!$E$23,IF(AC292=regle!$F$11,regle!$F$23,IF(AC292=regle!$G$11,regle!$G$23,IF(AC292=regle!$H$11,regle!$H$23,IF(AC292=regle!$I$11,regle!$I$23,IF(AC292=regle!$J$11,regle!$J$23,0)))))))))))</f>
        <v>0</v>
      </c>
      <c r="AN292" s="14">
        <f>IF($A292,$M292*(IF(AD292=regle!$B$11,regle!$B$23,IF(AD292=regle!$C$11,regle!$C$23,IF(AD292=regle!$D$11,regle!$D$23,IF(AD292=regle!$E$11,regle!$E$23,IF(AD292=regle!$F$11,regle!$F$23,IF(AD292=regle!$G$11,regle!$G$23,IF(AD292=regle!$H$11,regle!$H$23,IF(AD292=regle!$I$11,regle!$I$23,IF(AD292=regle!$J$11,regle!$J$23,0)))))))))))</f>
        <v>12119.68</v>
      </c>
      <c r="AO292">
        <f>IF(AO$1=$AO$1,IF(regle!B$2-$Q292&gt;=regle!$J$12,-2,IF($S292,IF(regle!$B$2-$Q292&gt;=2,0,-1),regle!B$2-$Q292)),IF(AN292+1&gt;=regle!$J$12,-2,AN292+1))</f>
        <v>19</v>
      </c>
      <c r="AP292">
        <f>IF(AP$1=$AO$1,IF(regle!C$2-$Q292&gt;=regle!$J$12,-2,IF($S292,IF(regle!$B$2-$Q292&gt;=2,0,-1),regle!C$2-$Q292)),IF(AO292+1&gt;=regle!$J$12,-2,AO292+1))</f>
        <v>20</v>
      </c>
      <c r="AQ292">
        <f>IF(AQ$1=$AO$1,IF(regle!D$2-$Q292&gt;=regle!$J$12,-2,IF($S292,IF(regle!$B$2-$Q292&gt;=2,0,-1),regle!D$2-$Q292)),IF(AP292+1&gt;=regle!$J$12,-2,AP292+1))</f>
        <v>21</v>
      </c>
      <c r="AR292">
        <f>IF(AR$1=$AO$1,IF(regle!E$2-$Q292&gt;=regle!$J$12,-2,IF($S292,IF(regle!$B$2-$Q292&gt;=2,0,-1),regle!E$2-$Q292)),IF(AQ292+1&gt;=regle!$J$12,-2,AQ292+1))</f>
        <v>22</v>
      </c>
      <c r="AS292">
        <f>IF(AS$1=$AO$1,IF(regle!F$2-$Q292&gt;=regle!$J$12,-2,IF($S292,IF(regle!$B$2-$Q292&gt;=2,0,-1),regle!F$2-$Q292)),IF(AR292+1&gt;=regle!$J$12,-2,AR292+1))</f>
        <v>23</v>
      </c>
      <c r="AT292">
        <f>IF(AT$1=$AO$1,IF(regle!G$2-$Q292&gt;=regle!$J$12,-2,IF($S292,IF(regle!$B$2-$Q292&gt;=2,0,-1),regle!G$2-$Q292)),IF(AS292+1&gt;=regle!$J$12,-2,AS292+1))</f>
        <v>24</v>
      </c>
      <c r="AU292">
        <f>IF(AU$1=$AO$1,IF(regle!H$2-$Q292&gt;=regle!$J$12,-2,IF($S292,IF(regle!$B$2-$Q292&gt;=2,0,-1),regle!H$2-$Q292)),IF(AT292+1&gt;=regle!$J$12,-2,AT292+1))</f>
        <v>25</v>
      </c>
      <c r="AV292">
        <f>IF(AV$1=$AO$1,IF(regle!I$2-$Q292&gt;=regle!$J$12,-2,IF($S292,IF(regle!$B$2-$Q292&gt;=2,0,-1),regle!I$2-$Q292)),IF(AU292+1&gt;=regle!$J$12,-2,AU292+1))</f>
        <v>26</v>
      </c>
      <c r="AW292">
        <f>IF(AW$1=$AO$1,IF(regle!J$2-$Q292&gt;=regle!$J$12,-2,IF($S292,IF(regle!$B$2-$Q292&gt;=2,0,-1),regle!J$2-$Q292)),IF(AV292+1&gt;=regle!$J$12,-2,AV292+1))</f>
        <v>27</v>
      </c>
      <c r="AX292">
        <f>IF(AX$1=$AO$1,IF(regle!K$2-$Q292&gt;=regle!$J$12,-2,IF($S292,IF(regle!$B$2-$Q292&gt;=2,0,-1),regle!K$2-$Q292)),IF(AW292+1&gt;=regle!$J$12,-2,AW292+1))</f>
        <v>28</v>
      </c>
    </row>
    <row r="293" spans="1:50" x14ac:dyDescent="0.25">
      <c r="A293" t="b">
        <f>AND(modif0[[#This Row],[cdstr]]&lt;&gt;0,OR(regle!$H$27=FALSE,modif0[[#This Row],[essnc]]="PM"))</f>
        <v>1</v>
      </c>
      <c r="B293">
        <f>ROW(objet!A342)</f>
        <v>342</v>
      </c>
      <c r="C293" s="10" t="str">
        <f>objet!D342</f>
        <v>5360000B0659</v>
      </c>
      <c r="D293" t="str">
        <f>LEFT(modif0[[#This Row],[cdstr]],3)</f>
        <v>536</v>
      </c>
      <c r="E293" s="10" t="str">
        <f>objet!G342</f>
        <v>LE TUZAN</v>
      </c>
      <c r="F293">
        <f>LEN(modif0[[#This Row],[l_dt]])</f>
        <v>14</v>
      </c>
      <c r="G293" s="10" t="str">
        <f>objet!H342</f>
        <v>TABARTON-OUEST</v>
      </c>
      <c r="H293" s="10" t="str">
        <f>objet!C342</f>
        <v>B659l</v>
      </c>
      <c r="I293" t="str">
        <f>IF(ISNUMBER(VALUE(RIGHT(LEFT(modif0[[#This Row],[idntfn]],2),1))),_xlfn.CONCAT(0,LEFT(modif0[[#This Row],[idntfn]],1)),LEFT(modif0[[#This Row],[idntfn]],2))</f>
        <v>0B</v>
      </c>
      <c r="J293">
        <f>VALUE(LEFT(RIGHT(modif0[[#This Row],[idntfn]],LEN(modif0[[#This Row],[idntfn]])-IF(LEFT(modif0[[#This Row],[sctn]],1)="0",1,2)),LEN(modif0[[#This Row],[idntfn]])-IF(LEFT(modif0[[#This Row],[sctn]],1)="0",1,2)-LEN(modif0[[#This Row],[lttr]])))</f>
        <v>659</v>
      </c>
      <c r="K293" t="str">
        <f>IF(ISNUMBER(VALUE(RIGHT(modif0[[#This Row],[idntfn]],1))),"",IF(ISNUMBER(VALUE(LEFT(RIGHT(modif0[[#This Row],[idntfn]],2),1))),RIGHT(modif0[[#This Row],[idntfn]],1),RIGHT(modif0[[#This Row],[idntfn]],2)))</f>
        <v>l</v>
      </c>
      <c r="L293" s="10">
        <f>objet!I342</f>
        <v>10181</v>
      </c>
      <c r="M293" s="11">
        <f>modif0[[#This Row],[srfc]]/10000</f>
        <v>1.0181</v>
      </c>
      <c r="N293" s="10" t="str">
        <f>objet!Z342</f>
        <v>PM</v>
      </c>
      <c r="O293" s="10" t="str">
        <f>objet!AA342</f>
        <v>PLA2005</v>
      </c>
      <c r="P293" t="str">
        <f>IF(ISNUMBER(modif0[[#This Row],[trvx]]),"",LEFT(modif0[[#This Row],[trvx]],LEN(modif0[[#This Row],[trvx]])-4))</f>
        <v>PLA</v>
      </c>
      <c r="Q293">
        <f>VALUE(RIGHT(modif0[[#This Row],[trvx]],4))</f>
        <v>2005</v>
      </c>
      <c r="R293" t="str">
        <f>_xlfn.CONCAT(modif0[[#This Row],[tp]],"-",modif0[[#This Row],[essnc]],"_",modif0[[#This Row],[anns]])</f>
        <v>PLA-PM_2005</v>
      </c>
      <c r="S293" t="b">
        <f>modif0[[#This Row],[tp]]="CR"</f>
        <v>0</v>
      </c>
      <c r="T293">
        <v>40</v>
      </c>
      <c r="U293" t="str">
        <f>IF(NOT($A293),"",
IF(AO293=-2,regle!$J$11,
IF(AO293=regle!$B$12,regle!$B$11,
IF(AO293=regle!$C$12,regle!$C$11,
IF(AO293=regle!$D$12,regle!$D$11,
IF(AO293=regle!$E$12,regle!$E$11,
IF(AO293=regle!$F$12,regle!$F$11,
IF(AO293=regle!$G$12,regle!$G$11,
IF(AO293=regle!$H$12,regle!$H$11,
IF(AO293=regle!$I$12,regle!$I$11,""))))))))))</f>
        <v/>
      </c>
      <c r="V293" t="str">
        <f>IF(NOT($A293),"",
IF(AP293=-2,regle!$J$11,
IF(AP293=regle!$B$12,regle!$B$11,
IF(AP293=regle!$C$12,regle!$C$11,
IF(AP293=regle!$D$12,regle!$D$11,
IF(AP293=regle!$E$12,regle!$E$11,
IF(AP293=regle!$F$12,regle!$F$11,
IF(AP293=regle!$G$12,regle!$G$11,
IF(AP293=regle!$H$12,regle!$H$11,
IF(AP293=regle!$I$12,regle!$I$11,""))))))))))</f>
        <v/>
      </c>
      <c r="W293" t="str">
        <f>IF(NOT($A293),"",
IF(AQ293=-2,regle!$J$11,
IF(AQ293=regle!$B$12,regle!$B$11,
IF(AQ293=regle!$C$12,regle!$C$11,
IF(AQ293=regle!$D$12,regle!$D$11,
IF(AQ293=regle!$E$12,regle!$E$11,
IF(AQ293=regle!$F$12,regle!$F$11,
IF(AQ293=regle!$G$12,regle!$G$11,
IF(AQ293=regle!$H$12,regle!$H$11,
IF(AQ293=regle!$I$12,regle!$I$11,""))))))))))</f>
        <v/>
      </c>
      <c r="X293" t="str">
        <f>IF(NOT($A293),"",
IF(AR293=-2,regle!$J$11,
IF(AR293=regle!$B$12,regle!$B$11,
IF(AR293=regle!$C$12,regle!$C$11,
IF(AR293=regle!$D$12,regle!$D$11,
IF(AR293=regle!$E$12,regle!$E$11,
IF(AR293=regle!$F$12,regle!$F$11,
IF(AR293=regle!$G$12,regle!$G$11,
IF(AR293=regle!$H$12,regle!$H$11,
IF(AR293=regle!$I$12,regle!$I$11,""))))))))))</f>
        <v/>
      </c>
      <c r="Y293" t="str">
        <f>IF(NOT($A293),"",
IF(AS293=-2,regle!$J$11,
IF(AS293=regle!$B$12,regle!$B$11,
IF(AS293=regle!$C$12,regle!$C$11,
IF(AS293=regle!$D$12,regle!$D$11,
IF(AS293=regle!$E$12,regle!$E$11,
IF(AS293=regle!$F$12,regle!$F$11,
IF(AS293=regle!$G$12,regle!$G$11,
IF(AS293=regle!$H$12,regle!$H$11,
IF(AS293=regle!$I$12,regle!$I$11,""))))))))))</f>
        <v>EC3</v>
      </c>
      <c r="Z293" t="str">
        <f>IF(NOT($A293),"",
IF(AT293=-2,regle!$J$11,
IF(AT293=regle!$B$12,regle!$B$11,
IF(AT293=regle!$C$12,regle!$C$11,
IF(AT293=regle!$D$12,regle!$D$11,
IF(AT293=regle!$E$12,regle!$E$11,
IF(AT293=regle!$F$12,regle!$F$11,
IF(AT293=regle!$G$12,regle!$G$11,
IF(AT293=regle!$H$12,regle!$H$11,
IF(AT293=regle!$I$12,regle!$I$11,""))))))))))</f>
        <v/>
      </c>
      <c r="AA293" t="str">
        <f>IF(NOT($A293),"",
IF(AU293=-2,regle!$J$11,
IF(AU293=regle!$B$12,regle!$B$11,
IF(AU293=regle!$C$12,regle!$C$11,
IF(AU293=regle!$D$12,regle!$D$11,
IF(AU293=regle!$E$12,regle!$E$11,
IF(AU293=regle!$F$12,regle!$F$11,
IF(AU293=regle!$G$12,regle!$G$11,
IF(AU293=regle!$H$12,regle!$H$11,
IF(AU293=regle!$I$12,regle!$I$11,""))))))))))</f>
        <v/>
      </c>
      <c r="AB293" t="str">
        <f>IF(NOT($A293),"",
IF(AV293=-2,regle!$J$11,
IF(AV293=regle!$B$12,regle!$B$11,
IF(AV293=regle!$C$12,regle!$C$11,
IF(AV293=regle!$D$12,regle!$D$11,
IF(AV293=regle!$E$12,regle!$E$11,
IF(AV293=regle!$F$12,regle!$F$11,
IF(AV293=regle!$G$12,regle!$G$11,
IF(AV293=regle!$H$12,regle!$H$11,
IF(AV293=regle!$I$12,regle!$I$11,""))))))))))</f>
        <v/>
      </c>
      <c r="AC293" t="str">
        <f>IF(NOT($A293),"",
IF(AW293=-2,regle!$J$11,
IF(AW293=regle!$B$12,regle!$B$11,
IF(AW293=regle!$C$12,regle!$C$11,
IF(AW293=regle!$D$12,regle!$D$11,
IF(AW293=regle!$E$12,regle!$E$11,
IF(AW293=regle!$F$12,regle!$F$11,
IF(AW293=regle!$G$12,regle!$G$11,
IF(AW293=regle!$H$12,regle!$H$11,
IF(AW293=regle!$I$12,regle!$I$11,""))))))))))</f>
        <v/>
      </c>
      <c r="AD293" t="str">
        <f>IF(NOT($A293),"",
IF(AX293=-2,regle!$J$11,
IF(AX293=regle!$B$12,regle!$B$11,
IF(AX293=regle!$C$12,regle!$C$11,
IF(AX293=regle!$D$12,regle!$D$11,
IF(AX293=regle!$E$12,regle!$E$11,
IF(AX293=regle!$F$12,regle!$F$11,
IF(AX293=regle!$G$12,regle!$G$11,
IF(AX293=regle!$H$12,regle!$H$11,
IF(AX293=regle!$I$12,regle!$I$11,""))))))))))</f>
        <v>EC4</v>
      </c>
      <c r="AE293" s="14">
        <f>IF($A293,$M293*(IF(U293=regle!$B$11,regle!$B$23,IF(U293=regle!$C$11,regle!$C$23,IF(U293=regle!$D$11,regle!$D$23,IF(U293=regle!$E$11,regle!$E$23,IF(U293=regle!$F$11,regle!$F$23,IF(U293=regle!$G$11,regle!$G$23,IF(U293=regle!$H$11,regle!$H$23,IF(U293=regle!$I$11,regle!$I$23,IF(U293=regle!$J$11,regle!$J$23,0)))))))))))</f>
        <v>0</v>
      </c>
      <c r="AF293" s="14">
        <f>IF($A293,$M293*(IF(V293=regle!$B$11,regle!$B$23,IF(V293=regle!$C$11,regle!$C$23,IF(V293=regle!$D$11,regle!$D$23,IF(V293=regle!$E$11,regle!$E$23,IF(V293=regle!$F$11,regle!$F$23,IF(V293=regle!$G$11,regle!$G$23,IF(V293=regle!$H$11,regle!$H$23,IF(V293=regle!$I$11,regle!$I$23,IF(V293=regle!$J$11,regle!$J$23,0)))))))))))</f>
        <v>0</v>
      </c>
      <c r="AG293" s="14">
        <f>IF($A293,$M293*(IF(W293=regle!$B$11,regle!$B$23,IF(W293=regle!$C$11,regle!$C$23,IF(W293=regle!$D$11,regle!$D$23,IF(W293=regle!$E$11,regle!$E$23,IF(W293=regle!$F$11,regle!$F$23,IF(W293=regle!$G$11,regle!$G$23,IF(W293=regle!$H$11,regle!$H$23,IF(W293=regle!$I$11,regle!$I$23,IF(W293=regle!$J$11,regle!$J$23,0)))))))))))</f>
        <v>0</v>
      </c>
      <c r="AH293" s="14">
        <f>IF($A293,$M293*(IF(X293=regle!$B$11,regle!$B$23,IF(X293=regle!$C$11,regle!$C$23,IF(X293=regle!$D$11,regle!$D$23,IF(X293=regle!$E$11,regle!$E$23,IF(X293=regle!$F$11,regle!$F$23,IF(X293=regle!$G$11,regle!$G$23,IF(X293=regle!$H$11,regle!$H$23,IF(X293=regle!$I$11,regle!$I$23,IF(X293=regle!$J$11,regle!$J$23,0)))))))))))</f>
        <v>0</v>
      </c>
      <c r="AI293" s="14">
        <f>IF($A293,$M293*(IF(Y293=regle!$B$11,regle!$B$23,IF(Y293=regle!$C$11,regle!$C$23,IF(Y293=regle!$D$11,regle!$D$23,IF(Y293=regle!$E$11,regle!$E$23,IF(Y293=regle!$F$11,regle!$F$23,IF(Y293=regle!$G$11,regle!$G$23,IF(Y293=regle!$H$11,regle!$H$23,IF(Y293=regle!$I$11,regle!$I$23,IF(Y293=regle!$J$11,regle!$J$23,0)))))))))))</f>
        <v>1433.4848</v>
      </c>
      <c r="AJ293" s="14">
        <f>IF($A293,$M293*(IF(Z293=regle!$B$11,regle!$B$23,IF(Z293=regle!$C$11,regle!$C$23,IF(Z293=regle!$D$11,regle!$D$23,IF(Z293=regle!$E$11,regle!$E$23,IF(Z293=regle!$F$11,regle!$F$23,IF(Z293=regle!$G$11,regle!$G$23,IF(Z293=regle!$H$11,regle!$H$23,IF(Z293=regle!$I$11,regle!$I$23,IF(Z293=regle!$J$11,regle!$J$23,0)))))))))))</f>
        <v>0</v>
      </c>
      <c r="AK293" s="14">
        <f>IF($A293,$M293*(IF(AA293=regle!$B$11,regle!$B$23,IF(AA293=regle!$C$11,regle!$C$23,IF(AA293=regle!$D$11,regle!$D$23,IF(AA293=regle!$E$11,regle!$E$23,IF(AA293=regle!$F$11,regle!$F$23,IF(AA293=regle!$G$11,regle!$G$23,IF(AA293=regle!$H$11,regle!$H$23,IF(AA293=regle!$I$11,regle!$I$23,IF(AA293=regle!$J$11,regle!$J$23,0)))))))))))</f>
        <v>0</v>
      </c>
      <c r="AL293" s="14">
        <f>IF($A293,$M293*(IF(AB293=regle!$B$11,regle!$B$23,IF(AB293=regle!$C$11,regle!$C$23,IF(AB293=regle!$D$11,regle!$D$23,IF(AB293=regle!$E$11,regle!$E$23,IF(AB293=regle!$F$11,regle!$F$23,IF(AB293=regle!$G$11,regle!$G$23,IF(AB293=regle!$H$11,regle!$H$23,IF(AB293=regle!$I$11,regle!$I$23,IF(AB293=regle!$J$11,regle!$J$23,0)))))))))))</f>
        <v>0</v>
      </c>
      <c r="AM293" s="14">
        <f>IF($A293,$M293*(IF(AC293=regle!$B$11,regle!$B$23,IF(AC293=regle!$C$11,regle!$C$23,IF(AC293=regle!$D$11,regle!$D$23,IF(AC293=regle!$E$11,regle!$E$23,IF(AC293=regle!$F$11,regle!$F$23,IF(AC293=regle!$G$11,regle!$G$23,IF(AC293=regle!$H$11,regle!$H$23,IF(AC293=regle!$I$11,regle!$I$23,IF(AC293=regle!$J$11,regle!$J$23,0)))))))))))</f>
        <v>0</v>
      </c>
      <c r="AN293" s="14">
        <f>IF($A293,$M293*(IF(AD293=regle!$B$11,regle!$B$23,IF(AD293=regle!$C$11,regle!$C$23,IF(AD293=regle!$D$11,regle!$D$23,IF(AD293=regle!$E$11,regle!$E$23,IF(AD293=regle!$F$11,regle!$F$23,IF(AD293=regle!$G$11,regle!$G$23,IF(AD293=regle!$H$11,regle!$H$23,IF(AD293=regle!$I$11,regle!$I$23,IF(AD293=regle!$J$11,regle!$J$23,0)))))))))))</f>
        <v>1303.1680000000001</v>
      </c>
      <c r="AO293">
        <f>IF(AO$1=$AO$1,IF(regle!B$2-$Q293&gt;=regle!$J$12,-2,IF($S293,IF(regle!$B$2-$Q293&gt;=2,0,-1),regle!B$2-$Q293)),IF(AN293+1&gt;=regle!$J$12,-2,AN293+1))</f>
        <v>19</v>
      </c>
      <c r="AP293">
        <f>IF(AP$1=$AO$1,IF(regle!C$2-$Q293&gt;=regle!$J$12,-2,IF($S293,IF(regle!$B$2-$Q293&gt;=2,0,-1),regle!C$2-$Q293)),IF(AO293+1&gt;=regle!$J$12,-2,AO293+1))</f>
        <v>20</v>
      </c>
      <c r="AQ293">
        <f>IF(AQ$1=$AO$1,IF(regle!D$2-$Q293&gt;=regle!$J$12,-2,IF($S293,IF(regle!$B$2-$Q293&gt;=2,0,-1),regle!D$2-$Q293)),IF(AP293+1&gt;=regle!$J$12,-2,AP293+1))</f>
        <v>21</v>
      </c>
      <c r="AR293">
        <f>IF(AR$1=$AO$1,IF(regle!E$2-$Q293&gt;=regle!$J$12,-2,IF($S293,IF(regle!$B$2-$Q293&gt;=2,0,-1),regle!E$2-$Q293)),IF(AQ293+1&gt;=regle!$J$12,-2,AQ293+1))</f>
        <v>22</v>
      </c>
      <c r="AS293">
        <f>IF(AS$1=$AO$1,IF(regle!F$2-$Q293&gt;=regle!$J$12,-2,IF($S293,IF(regle!$B$2-$Q293&gt;=2,0,-1),regle!F$2-$Q293)),IF(AR293+1&gt;=regle!$J$12,-2,AR293+1))</f>
        <v>23</v>
      </c>
      <c r="AT293">
        <f>IF(AT$1=$AO$1,IF(regle!G$2-$Q293&gt;=regle!$J$12,-2,IF($S293,IF(regle!$B$2-$Q293&gt;=2,0,-1),regle!G$2-$Q293)),IF(AS293+1&gt;=regle!$J$12,-2,AS293+1))</f>
        <v>24</v>
      </c>
      <c r="AU293">
        <f>IF(AU$1=$AO$1,IF(regle!H$2-$Q293&gt;=regle!$J$12,-2,IF($S293,IF(regle!$B$2-$Q293&gt;=2,0,-1),regle!H$2-$Q293)),IF(AT293+1&gt;=regle!$J$12,-2,AT293+1))</f>
        <v>25</v>
      </c>
      <c r="AV293">
        <f>IF(AV$1=$AO$1,IF(regle!I$2-$Q293&gt;=regle!$J$12,-2,IF($S293,IF(regle!$B$2-$Q293&gt;=2,0,-1),regle!I$2-$Q293)),IF(AU293+1&gt;=regle!$J$12,-2,AU293+1))</f>
        <v>26</v>
      </c>
      <c r="AW293">
        <f>IF(AW$1=$AO$1,IF(regle!J$2-$Q293&gt;=regle!$J$12,-2,IF($S293,IF(regle!$B$2-$Q293&gt;=2,0,-1),regle!J$2-$Q293)),IF(AV293+1&gt;=regle!$J$12,-2,AV293+1))</f>
        <v>27</v>
      </c>
      <c r="AX293">
        <f>IF(AX$1=$AO$1,IF(regle!K$2-$Q293&gt;=regle!$J$12,-2,IF($S293,IF(regle!$B$2-$Q293&gt;=2,0,-1),regle!K$2-$Q293)),IF(AW293+1&gt;=regle!$J$12,-2,AW293+1))</f>
        <v>28</v>
      </c>
    </row>
    <row r="294" spans="1:50" x14ac:dyDescent="0.25">
      <c r="A294" t="b">
        <f>AND(modif0[[#This Row],[cdstr]]&lt;&gt;0,OR(regle!$H$27=FALSE,modif0[[#This Row],[essnc]]="PM"))</f>
        <v>1</v>
      </c>
      <c r="B294">
        <f>ROW(objet!A343)</f>
        <v>343</v>
      </c>
      <c r="C294" s="10" t="str">
        <f>objet!D343</f>
        <v>5360000B0659</v>
      </c>
      <c r="D294" t="str">
        <f>LEFT(modif0[[#This Row],[cdstr]],3)</f>
        <v>536</v>
      </c>
      <c r="E294" s="10" t="str">
        <f>objet!G343</f>
        <v>LE TUZAN</v>
      </c>
      <c r="F294">
        <f>LEN(modif0[[#This Row],[l_dt]])</f>
        <v>14</v>
      </c>
      <c r="G294" s="10" t="str">
        <f>objet!H343</f>
        <v>TABARTON-OUEST</v>
      </c>
      <c r="H294" s="10" t="str">
        <f>objet!C343</f>
        <v>B659m</v>
      </c>
      <c r="I294" t="str">
        <f>IF(ISNUMBER(VALUE(RIGHT(LEFT(modif0[[#This Row],[idntfn]],2),1))),_xlfn.CONCAT(0,LEFT(modif0[[#This Row],[idntfn]],1)),LEFT(modif0[[#This Row],[idntfn]],2))</f>
        <v>0B</v>
      </c>
      <c r="J294">
        <f>VALUE(LEFT(RIGHT(modif0[[#This Row],[idntfn]],LEN(modif0[[#This Row],[idntfn]])-IF(LEFT(modif0[[#This Row],[sctn]],1)="0",1,2)),LEN(modif0[[#This Row],[idntfn]])-IF(LEFT(modif0[[#This Row],[sctn]],1)="0",1,2)-LEN(modif0[[#This Row],[lttr]])))</f>
        <v>659</v>
      </c>
      <c r="K294" t="str">
        <f>IF(ISNUMBER(VALUE(RIGHT(modif0[[#This Row],[idntfn]],1))),"",IF(ISNUMBER(VALUE(LEFT(RIGHT(modif0[[#This Row],[idntfn]],2),1))),RIGHT(modif0[[#This Row],[idntfn]],1),RIGHT(modif0[[#This Row],[idntfn]],2)))</f>
        <v>m</v>
      </c>
      <c r="L294" s="10">
        <f>objet!I343</f>
        <v>198888</v>
      </c>
      <c r="M294" s="11">
        <f>modif0[[#This Row],[srfc]]/10000</f>
        <v>19.8888</v>
      </c>
      <c r="N294" s="10" t="str">
        <f>objet!Z343</f>
        <v>PM</v>
      </c>
      <c r="O294" s="10" t="str">
        <f>objet!AA343</f>
        <v>PLA2014</v>
      </c>
      <c r="P294" t="str">
        <f>IF(ISNUMBER(modif0[[#This Row],[trvx]]),"",LEFT(modif0[[#This Row],[trvx]],LEN(modif0[[#This Row],[trvx]])-4))</f>
        <v>PLA</v>
      </c>
      <c r="Q294">
        <f>VALUE(RIGHT(modif0[[#This Row],[trvx]],4))</f>
        <v>2014</v>
      </c>
      <c r="R294" t="str">
        <f>_xlfn.CONCAT(modif0[[#This Row],[tp]],"-",modif0[[#This Row],[essnc]],"_",modif0[[#This Row],[anns]])</f>
        <v>PLA-PM_2014</v>
      </c>
      <c r="S294" t="b">
        <f>modif0[[#This Row],[tp]]="CR"</f>
        <v>0</v>
      </c>
      <c r="T294">
        <v>40</v>
      </c>
      <c r="U294" t="str">
        <f>IF(NOT($A294),"",
IF(AO294=-2,regle!$J$11,
IF(AO294=regle!$B$12,regle!$B$11,
IF(AO294=regle!$C$12,regle!$C$11,
IF(AO294=regle!$D$12,regle!$D$11,
IF(AO294=regle!$E$12,regle!$E$11,
IF(AO294=regle!$F$12,regle!$F$11,
IF(AO294=regle!$G$12,regle!$G$11,
IF(AO294=regle!$H$12,regle!$H$11,
IF(AO294=regle!$I$12,regle!$I$11,""))))))))))</f>
        <v/>
      </c>
      <c r="V294" t="str">
        <f>IF(NOT($A294),"",
IF(AP294=-2,regle!$J$11,
IF(AP294=regle!$B$12,regle!$B$11,
IF(AP294=regle!$C$12,regle!$C$11,
IF(AP294=regle!$D$12,regle!$D$11,
IF(AP294=regle!$E$12,regle!$E$11,
IF(AP294=regle!$F$12,regle!$F$11,
IF(AP294=regle!$G$12,regle!$G$11,
IF(AP294=regle!$H$12,regle!$H$11,
IF(AP294=regle!$I$12,regle!$I$11,""))))))))))</f>
        <v/>
      </c>
      <c r="W294" t="str">
        <f>IF(NOT($A294),"",
IF(AQ294=-2,regle!$J$11,
IF(AQ294=regle!$B$12,regle!$B$11,
IF(AQ294=regle!$C$12,regle!$C$11,
IF(AQ294=regle!$D$12,regle!$D$11,
IF(AQ294=regle!$E$12,regle!$E$11,
IF(AQ294=regle!$F$12,regle!$F$11,
IF(AQ294=regle!$G$12,regle!$G$11,
IF(AQ294=regle!$H$12,regle!$H$11,
IF(AQ294=regle!$I$12,regle!$I$11,""))))))))))</f>
        <v/>
      </c>
      <c r="X294" t="str">
        <f>IF(NOT($A294),"",
IF(AR294=-2,regle!$J$11,
IF(AR294=regle!$B$12,regle!$B$11,
IF(AR294=regle!$C$12,regle!$C$11,
IF(AR294=regle!$D$12,regle!$D$11,
IF(AR294=regle!$E$12,regle!$E$11,
IF(AR294=regle!$F$12,regle!$F$11,
IF(AR294=regle!$G$12,regle!$G$11,
IF(AR294=regle!$H$12,regle!$H$11,
IF(AR294=regle!$I$12,regle!$I$11,""))))))))))</f>
        <v>EC1</v>
      </c>
      <c r="Y294" t="str">
        <f>IF(NOT($A294),"",
IF(AS294=-2,regle!$J$11,
IF(AS294=regle!$B$12,regle!$B$11,
IF(AS294=regle!$C$12,regle!$C$11,
IF(AS294=regle!$D$12,regle!$D$11,
IF(AS294=regle!$E$12,regle!$E$11,
IF(AS294=regle!$F$12,regle!$F$11,
IF(AS294=regle!$G$12,regle!$G$11,
IF(AS294=regle!$H$12,regle!$H$11,
IF(AS294=regle!$I$12,regle!$I$11,""))))))))))</f>
        <v/>
      </c>
      <c r="Z294" t="str">
        <f>IF(NOT($A294),"",
IF(AT294=-2,regle!$J$11,
IF(AT294=regle!$B$12,regle!$B$11,
IF(AT294=regle!$C$12,regle!$C$11,
IF(AT294=regle!$D$12,regle!$D$11,
IF(AT294=regle!$E$12,regle!$E$11,
IF(AT294=regle!$F$12,regle!$F$11,
IF(AT294=regle!$G$12,regle!$G$11,
IF(AT294=regle!$H$12,regle!$H$11,
IF(AT294=regle!$I$12,regle!$I$11,""))))))))))</f>
        <v/>
      </c>
      <c r="AA294" t="str">
        <f>IF(NOT($A294),"",
IF(AU294=-2,regle!$J$11,
IF(AU294=regle!$B$12,regle!$B$11,
IF(AU294=regle!$C$12,regle!$C$11,
IF(AU294=regle!$D$12,regle!$D$11,
IF(AU294=regle!$E$12,regle!$E$11,
IF(AU294=regle!$F$12,regle!$F$11,
IF(AU294=regle!$G$12,regle!$G$11,
IF(AU294=regle!$H$12,regle!$H$11,
IF(AU294=regle!$I$12,regle!$I$11,""))))))))))</f>
        <v/>
      </c>
      <c r="AB294" t="str">
        <f>IF(NOT($A294),"",
IF(AV294=-2,regle!$J$11,
IF(AV294=regle!$B$12,regle!$B$11,
IF(AV294=regle!$C$12,regle!$C$11,
IF(AV294=regle!$D$12,regle!$D$11,
IF(AV294=regle!$E$12,regle!$E$11,
IF(AV294=regle!$F$12,regle!$F$11,
IF(AV294=regle!$G$12,regle!$G$11,
IF(AV294=regle!$H$12,regle!$H$11,
IF(AV294=regle!$I$12,regle!$I$11,""))))))))))</f>
        <v/>
      </c>
      <c r="AC294" t="str">
        <f>IF(NOT($A294),"",
IF(AW294=-2,regle!$J$11,
IF(AW294=regle!$B$12,regle!$B$11,
IF(AW294=regle!$C$12,regle!$C$11,
IF(AW294=regle!$D$12,regle!$D$11,
IF(AW294=regle!$E$12,regle!$E$11,
IF(AW294=regle!$F$12,regle!$F$11,
IF(AW294=regle!$G$12,regle!$G$11,
IF(AW294=regle!$H$12,regle!$H$11,
IF(AW294=regle!$I$12,regle!$I$11,""))))))))))</f>
        <v>EC2</v>
      </c>
      <c r="AD294" t="str">
        <f>IF(NOT($A294),"",
IF(AX294=-2,regle!$J$11,
IF(AX294=regle!$B$12,regle!$B$11,
IF(AX294=regle!$C$12,regle!$C$11,
IF(AX294=regle!$D$12,regle!$D$11,
IF(AX294=regle!$E$12,regle!$E$11,
IF(AX294=regle!$F$12,regle!$F$11,
IF(AX294=regle!$G$12,regle!$G$11,
IF(AX294=regle!$H$12,regle!$H$11,
IF(AX294=regle!$I$12,regle!$I$11,""))))))))))</f>
        <v/>
      </c>
      <c r="AE294" s="14">
        <f>IF($A294,$M294*(IF(U294=regle!$B$11,regle!$B$23,IF(U294=regle!$C$11,regle!$C$23,IF(U294=regle!$D$11,regle!$D$23,IF(U294=regle!$E$11,regle!$E$23,IF(U294=regle!$F$11,regle!$F$23,IF(U294=regle!$G$11,regle!$G$23,IF(U294=regle!$H$11,regle!$H$23,IF(U294=regle!$I$11,regle!$I$23,IF(U294=regle!$J$11,regle!$J$23,0)))))))))))</f>
        <v>0</v>
      </c>
      <c r="AF294" s="14">
        <f>IF($A294,$M294*(IF(V294=regle!$B$11,regle!$B$23,IF(V294=regle!$C$11,regle!$C$23,IF(V294=regle!$D$11,regle!$D$23,IF(V294=regle!$E$11,regle!$E$23,IF(V294=regle!$F$11,regle!$F$23,IF(V294=regle!$G$11,regle!$G$23,IF(V294=regle!$H$11,regle!$H$23,IF(V294=regle!$I$11,regle!$I$23,IF(V294=regle!$J$11,regle!$J$23,0)))))))))))</f>
        <v>0</v>
      </c>
      <c r="AG294" s="14">
        <f>IF($A294,$M294*(IF(W294=regle!$B$11,regle!$B$23,IF(W294=regle!$C$11,regle!$C$23,IF(W294=regle!$D$11,regle!$D$23,IF(W294=regle!$E$11,regle!$E$23,IF(W294=regle!$F$11,regle!$F$23,IF(W294=regle!$G$11,regle!$G$23,IF(W294=regle!$H$11,regle!$H$23,IF(W294=regle!$I$11,regle!$I$23,IF(W294=regle!$J$11,regle!$J$23,0)))))))))))</f>
        <v>0</v>
      </c>
      <c r="AH294" s="14">
        <f>IF($A294,$M294*(IF(X294=regle!$B$11,regle!$B$23,IF(X294=regle!$C$11,regle!$C$23,IF(X294=regle!$D$11,regle!$D$23,IF(X294=regle!$E$11,regle!$E$23,IF(X294=regle!$F$11,regle!$F$23,IF(X294=regle!$G$11,regle!$G$23,IF(X294=regle!$H$11,regle!$H$23,IF(X294=regle!$I$11,regle!$I$23,IF(X294=regle!$J$11,regle!$J$23,0)))))))))))</f>
        <v>11455.9488</v>
      </c>
      <c r="AI294" s="14">
        <f>IF($A294,$M294*(IF(Y294=regle!$B$11,regle!$B$23,IF(Y294=regle!$C$11,regle!$C$23,IF(Y294=regle!$D$11,regle!$D$23,IF(Y294=regle!$E$11,regle!$E$23,IF(Y294=regle!$F$11,regle!$F$23,IF(Y294=regle!$G$11,regle!$G$23,IF(Y294=regle!$H$11,regle!$H$23,IF(Y294=regle!$I$11,regle!$I$23,IF(Y294=regle!$J$11,regle!$J$23,0)))))))))))</f>
        <v>0</v>
      </c>
      <c r="AJ294" s="14">
        <f>IF($A294,$M294*(IF(Z294=regle!$B$11,regle!$B$23,IF(Z294=regle!$C$11,regle!$C$23,IF(Z294=regle!$D$11,regle!$D$23,IF(Z294=regle!$E$11,regle!$E$23,IF(Z294=regle!$F$11,regle!$F$23,IF(Z294=regle!$G$11,regle!$G$23,IF(Z294=regle!$H$11,regle!$H$23,IF(Z294=regle!$I$11,regle!$I$23,IF(Z294=regle!$J$11,regle!$J$23,0)))))))))))</f>
        <v>0</v>
      </c>
      <c r="AK294" s="14">
        <f>IF($A294,$M294*(IF(AA294=regle!$B$11,regle!$B$23,IF(AA294=regle!$C$11,regle!$C$23,IF(AA294=regle!$D$11,regle!$D$23,IF(AA294=regle!$E$11,regle!$E$23,IF(AA294=regle!$F$11,regle!$F$23,IF(AA294=regle!$G$11,regle!$G$23,IF(AA294=regle!$H$11,regle!$H$23,IF(AA294=regle!$I$11,regle!$I$23,IF(AA294=regle!$J$11,regle!$J$23,0)))))))))))</f>
        <v>0</v>
      </c>
      <c r="AL294" s="14">
        <f>IF($A294,$M294*(IF(AB294=regle!$B$11,regle!$B$23,IF(AB294=regle!$C$11,regle!$C$23,IF(AB294=regle!$D$11,regle!$D$23,IF(AB294=regle!$E$11,regle!$E$23,IF(AB294=regle!$F$11,regle!$F$23,IF(AB294=regle!$G$11,regle!$G$23,IF(AB294=regle!$H$11,regle!$H$23,IF(AB294=regle!$I$11,regle!$I$23,IF(AB294=regle!$J$11,regle!$J$23,0)))))))))))</f>
        <v>0</v>
      </c>
      <c r="AM294" s="14">
        <f>IF($A294,$M294*(IF(AC294=regle!$B$11,regle!$B$23,IF(AC294=regle!$C$11,regle!$C$23,IF(AC294=regle!$D$11,regle!$D$23,IF(AC294=regle!$E$11,regle!$E$23,IF(AC294=regle!$F$11,regle!$F$23,IF(AC294=regle!$G$11,regle!$G$23,IF(AC294=regle!$H$11,regle!$H$23,IF(AC294=regle!$I$11,regle!$I$23,IF(AC294=regle!$J$11,regle!$J$23,0)))))))))))</f>
        <v>16706.592000000001</v>
      </c>
      <c r="AN294" s="14">
        <f>IF($A294,$M294*(IF(AD294=regle!$B$11,regle!$B$23,IF(AD294=regle!$C$11,regle!$C$23,IF(AD294=regle!$D$11,regle!$D$23,IF(AD294=regle!$E$11,regle!$E$23,IF(AD294=regle!$F$11,regle!$F$23,IF(AD294=regle!$G$11,regle!$G$23,IF(AD294=regle!$H$11,regle!$H$23,IF(AD294=regle!$I$11,regle!$I$23,IF(AD294=regle!$J$11,regle!$J$23,0)))))))))))</f>
        <v>0</v>
      </c>
      <c r="AO294">
        <f>IF(AO$1=$AO$1,IF(regle!B$2-$Q294&gt;=regle!$J$12,-2,IF($S294,IF(regle!$B$2-$Q294&gt;=2,0,-1),regle!B$2-$Q294)),IF(AN294+1&gt;=regle!$J$12,-2,AN294+1))</f>
        <v>10</v>
      </c>
      <c r="AP294">
        <f>IF(AP$1=$AO$1,IF(regle!C$2-$Q294&gt;=regle!$J$12,-2,IF($S294,IF(regle!$B$2-$Q294&gt;=2,0,-1),regle!C$2-$Q294)),IF(AO294+1&gt;=regle!$J$12,-2,AO294+1))</f>
        <v>11</v>
      </c>
      <c r="AQ294">
        <f>IF(AQ$1=$AO$1,IF(regle!D$2-$Q294&gt;=regle!$J$12,-2,IF($S294,IF(regle!$B$2-$Q294&gt;=2,0,-1),regle!D$2-$Q294)),IF(AP294+1&gt;=regle!$J$12,-2,AP294+1))</f>
        <v>12</v>
      </c>
      <c r="AR294">
        <f>IF(AR$1=$AO$1,IF(regle!E$2-$Q294&gt;=regle!$J$12,-2,IF($S294,IF(regle!$B$2-$Q294&gt;=2,0,-1),regle!E$2-$Q294)),IF(AQ294+1&gt;=regle!$J$12,-2,AQ294+1))</f>
        <v>13</v>
      </c>
      <c r="AS294">
        <f>IF(AS$1=$AO$1,IF(regle!F$2-$Q294&gt;=regle!$J$12,-2,IF($S294,IF(regle!$B$2-$Q294&gt;=2,0,-1),regle!F$2-$Q294)),IF(AR294+1&gt;=regle!$J$12,-2,AR294+1))</f>
        <v>14</v>
      </c>
      <c r="AT294">
        <f>IF(AT$1=$AO$1,IF(regle!G$2-$Q294&gt;=regle!$J$12,-2,IF($S294,IF(regle!$B$2-$Q294&gt;=2,0,-1),regle!G$2-$Q294)),IF(AS294+1&gt;=regle!$J$12,-2,AS294+1))</f>
        <v>15</v>
      </c>
      <c r="AU294">
        <f>IF(AU$1=$AO$1,IF(regle!H$2-$Q294&gt;=regle!$J$12,-2,IF($S294,IF(regle!$B$2-$Q294&gt;=2,0,-1),regle!H$2-$Q294)),IF(AT294+1&gt;=regle!$J$12,-2,AT294+1))</f>
        <v>16</v>
      </c>
      <c r="AV294">
        <f>IF(AV$1=$AO$1,IF(regle!I$2-$Q294&gt;=regle!$J$12,-2,IF($S294,IF(regle!$B$2-$Q294&gt;=2,0,-1),regle!I$2-$Q294)),IF(AU294+1&gt;=regle!$J$12,-2,AU294+1))</f>
        <v>17</v>
      </c>
      <c r="AW294">
        <f>IF(AW$1=$AO$1,IF(regle!J$2-$Q294&gt;=regle!$J$12,-2,IF($S294,IF(regle!$B$2-$Q294&gt;=2,0,-1),regle!J$2-$Q294)),IF(AV294+1&gt;=regle!$J$12,-2,AV294+1))</f>
        <v>18</v>
      </c>
      <c r="AX294">
        <f>IF(AX$1=$AO$1,IF(regle!K$2-$Q294&gt;=regle!$J$12,-2,IF($S294,IF(regle!$B$2-$Q294&gt;=2,0,-1),regle!K$2-$Q294)),IF(AW294+1&gt;=regle!$J$12,-2,AW294+1))</f>
        <v>19</v>
      </c>
    </row>
    <row r="295" spans="1:50" x14ac:dyDescent="0.25">
      <c r="A295" t="b">
        <f>AND(modif0[[#This Row],[cdstr]]&lt;&gt;0,OR(regle!$H$27=FALSE,modif0[[#This Row],[essnc]]="PM"))</f>
        <v>1</v>
      </c>
      <c r="B295">
        <f>ROW(objet!A344)</f>
        <v>344</v>
      </c>
      <c r="C295" s="10" t="str">
        <f>objet!D344</f>
        <v>5360000B0659</v>
      </c>
      <c r="D295" t="str">
        <f>LEFT(modif0[[#This Row],[cdstr]],3)</f>
        <v>536</v>
      </c>
      <c r="E295" s="10" t="str">
        <f>objet!G344</f>
        <v>LE TUZAN</v>
      </c>
      <c r="F295">
        <f>LEN(modif0[[#This Row],[l_dt]])</f>
        <v>14</v>
      </c>
      <c r="G295" s="10" t="str">
        <f>objet!H344</f>
        <v>TABARTON-OUEST</v>
      </c>
      <c r="H295" s="10" t="str">
        <f>objet!C344</f>
        <v>B659n</v>
      </c>
      <c r="I295" t="str">
        <f>IF(ISNUMBER(VALUE(RIGHT(LEFT(modif0[[#This Row],[idntfn]],2),1))),_xlfn.CONCAT(0,LEFT(modif0[[#This Row],[idntfn]],1)),LEFT(modif0[[#This Row],[idntfn]],2))</f>
        <v>0B</v>
      </c>
      <c r="J295">
        <f>VALUE(LEFT(RIGHT(modif0[[#This Row],[idntfn]],LEN(modif0[[#This Row],[idntfn]])-IF(LEFT(modif0[[#This Row],[sctn]],1)="0",1,2)),LEN(modif0[[#This Row],[idntfn]])-IF(LEFT(modif0[[#This Row],[sctn]],1)="0",1,2)-LEN(modif0[[#This Row],[lttr]])))</f>
        <v>659</v>
      </c>
      <c r="K295" t="str">
        <f>IF(ISNUMBER(VALUE(RIGHT(modif0[[#This Row],[idntfn]],1))),"",IF(ISNUMBER(VALUE(LEFT(RIGHT(modif0[[#This Row],[idntfn]],2),1))),RIGHT(modif0[[#This Row],[idntfn]],1),RIGHT(modif0[[#This Row],[idntfn]],2)))</f>
        <v>n</v>
      </c>
      <c r="L295" s="10">
        <f>objet!I344</f>
        <v>5327</v>
      </c>
      <c r="M295" s="11">
        <f>modif0[[#This Row],[srfc]]/10000</f>
        <v>0.53269999999999995</v>
      </c>
      <c r="N295" s="10" t="str">
        <f>objet!Z344</f>
        <v>PM</v>
      </c>
      <c r="O295" s="10" t="str">
        <f>objet!AA344</f>
        <v>PLA2003</v>
      </c>
      <c r="P295" t="str">
        <f>IF(ISNUMBER(modif0[[#This Row],[trvx]]),"",LEFT(modif0[[#This Row],[trvx]],LEN(modif0[[#This Row],[trvx]])-4))</f>
        <v>PLA</v>
      </c>
      <c r="Q295">
        <f>VALUE(RIGHT(modif0[[#This Row],[trvx]],4))</f>
        <v>2003</v>
      </c>
      <c r="R295" t="str">
        <f>_xlfn.CONCAT(modif0[[#This Row],[tp]],"-",modif0[[#This Row],[essnc]],"_",modif0[[#This Row],[anns]])</f>
        <v>PLA-PM_2003</v>
      </c>
      <c r="S295" t="b">
        <f>modif0[[#This Row],[tp]]="CR"</f>
        <v>0</v>
      </c>
      <c r="T295">
        <v>40</v>
      </c>
      <c r="U295" t="str">
        <f>IF(NOT($A295),"",
IF(AO295=-2,regle!$J$11,
IF(AO295=regle!$B$12,regle!$B$11,
IF(AO295=regle!$C$12,regle!$C$11,
IF(AO295=regle!$D$12,regle!$D$11,
IF(AO295=regle!$E$12,regle!$E$11,
IF(AO295=regle!$F$12,regle!$F$11,
IF(AO295=regle!$G$12,regle!$G$11,
IF(AO295=regle!$H$12,regle!$H$11,
IF(AO295=regle!$I$12,regle!$I$11,""))))))))))</f>
        <v/>
      </c>
      <c r="V295" t="str">
        <f>IF(NOT($A295),"",
IF(AP295=-2,regle!$J$11,
IF(AP295=regle!$B$12,regle!$B$11,
IF(AP295=regle!$C$12,regle!$C$11,
IF(AP295=regle!$D$12,regle!$D$11,
IF(AP295=regle!$E$12,regle!$E$11,
IF(AP295=regle!$F$12,regle!$F$11,
IF(AP295=regle!$G$12,regle!$G$11,
IF(AP295=regle!$H$12,regle!$H$11,
IF(AP295=regle!$I$12,regle!$I$11,""))))))))))</f>
        <v/>
      </c>
      <c r="W295" t="str">
        <f>IF(NOT($A295),"",
IF(AQ295=-2,regle!$J$11,
IF(AQ295=regle!$B$12,regle!$B$11,
IF(AQ295=regle!$C$12,regle!$C$11,
IF(AQ295=regle!$D$12,regle!$D$11,
IF(AQ295=regle!$E$12,regle!$E$11,
IF(AQ295=regle!$F$12,regle!$F$11,
IF(AQ295=regle!$G$12,regle!$G$11,
IF(AQ295=regle!$H$12,regle!$H$11,
IF(AQ295=regle!$I$12,regle!$I$11,""))))))))))</f>
        <v>EC3</v>
      </c>
      <c r="X295" t="str">
        <f>IF(NOT($A295),"",
IF(AR295=-2,regle!$J$11,
IF(AR295=regle!$B$12,regle!$B$11,
IF(AR295=regle!$C$12,regle!$C$11,
IF(AR295=regle!$D$12,regle!$D$11,
IF(AR295=regle!$E$12,regle!$E$11,
IF(AR295=regle!$F$12,regle!$F$11,
IF(AR295=regle!$G$12,regle!$G$11,
IF(AR295=regle!$H$12,regle!$H$11,
IF(AR295=regle!$I$12,regle!$I$11,""))))))))))</f>
        <v/>
      </c>
      <c r="Y295" t="str">
        <f>IF(NOT($A295),"",
IF(AS295=-2,regle!$J$11,
IF(AS295=regle!$B$12,regle!$B$11,
IF(AS295=regle!$C$12,regle!$C$11,
IF(AS295=regle!$D$12,regle!$D$11,
IF(AS295=regle!$E$12,regle!$E$11,
IF(AS295=regle!$F$12,regle!$F$11,
IF(AS295=regle!$G$12,regle!$G$11,
IF(AS295=regle!$H$12,regle!$H$11,
IF(AS295=regle!$I$12,regle!$I$11,""))))))))))</f>
        <v/>
      </c>
      <c r="Z295" t="str">
        <f>IF(NOT($A295),"",
IF(AT295=-2,regle!$J$11,
IF(AT295=regle!$B$12,regle!$B$11,
IF(AT295=regle!$C$12,regle!$C$11,
IF(AT295=regle!$D$12,regle!$D$11,
IF(AT295=regle!$E$12,regle!$E$11,
IF(AT295=regle!$F$12,regle!$F$11,
IF(AT295=regle!$G$12,regle!$G$11,
IF(AT295=regle!$H$12,regle!$H$11,
IF(AT295=regle!$I$12,regle!$I$11,""))))))))))</f>
        <v/>
      </c>
      <c r="AA295" t="str">
        <f>IF(NOT($A295),"",
IF(AU295=-2,regle!$J$11,
IF(AU295=regle!$B$12,regle!$B$11,
IF(AU295=regle!$C$12,regle!$C$11,
IF(AU295=regle!$D$12,regle!$D$11,
IF(AU295=regle!$E$12,regle!$E$11,
IF(AU295=regle!$F$12,regle!$F$11,
IF(AU295=regle!$G$12,regle!$G$11,
IF(AU295=regle!$H$12,regle!$H$11,
IF(AU295=regle!$I$12,regle!$I$11,""))))))))))</f>
        <v/>
      </c>
      <c r="AB295" t="str">
        <f>IF(NOT($A295),"",
IF(AV295=-2,regle!$J$11,
IF(AV295=regle!$B$12,regle!$B$11,
IF(AV295=regle!$C$12,regle!$C$11,
IF(AV295=regle!$D$12,regle!$D$11,
IF(AV295=regle!$E$12,regle!$E$11,
IF(AV295=regle!$F$12,regle!$F$11,
IF(AV295=regle!$G$12,regle!$G$11,
IF(AV295=regle!$H$12,regle!$H$11,
IF(AV295=regle!$I$12,regle!$I$11,""))))))))))</f>
        <v>EC4</v>
      </c>
      <c r="AC295" t="str">
        <f>IF(NOT($A295),"",
IF(AW295=-2,regle!$J$11,
IF(AW295=regle!$B$12,regle!$B$11,
IF(AW295=regle!$C$12,regle!$C$11,
IF(AW295=regle!$D$12,regle!$D$11,
IF(AW295=regle!$E$12,regle!$E$11,
IF(AW295=regle!$F$12,regle!$F$11,
IF(AW295=regle!$G$12,regle!$G$11,
IF(AW295=regle!$H$12,regle!$H$11,
IF(AW295=regle!$I$12,regle!$I$11,""))))))))))</f>
        <v/>
      </c>
      <c r="AD295" t="str">
        <f>IF(NOT($A295),"",
IF(AX295=-2,regle!$J$11,
IF(AX295=regle!$B$12,regle!$B$11,
IF(AX295=regle!$C$12,regle!$C$11,
IF(AX295=regle!$D$12,regle!$D$11,
IF(AX295=regle!$E$12,regle!$E$11,
IF(AX295=regle!$F$12,regle!$F$11,
IF(AX295=regle!$G$12,regle!$G$11,
IF(AX295=regle!$H$12,regle!$H$11,
IF(AX295=regle!$I$12,regle!$I$11,""))))))))))</f>
        <v/>
      </c>
      <c r="AE295" s="14">
        <f>IF($A295,$M295*(IF(U295=regle!$B$11,regle!$B$23,IF(U295=regle!$C$11,regle!$C$23,IF(U295=regle!$D$11,regle!$D$23,IF(U295=regle!$E$11,regle!$E$23,IF(U295=regle!$F$11,regle!$F$23,IF(U295=regle!$G$11,regle!$G$23,IF(U295=regle!$H$11,regle!$H$23,IF(U295=regle!$I$11,regle!$I$23,IF(U295=regle!$J$11,regle!$J$23,0)))))))))))</f>
        <v>0</v>
      </c>
      <c r="AF295" s="14">
        <f>IF($A295,$M295*(IF(V295=regle!$B$11,regle!$B$23,IF(V295=regle!$C$11,regle!$C$23,IF(V295=regle!$D$11,regle!$D$23,IF(V295=regle!$E$11,regle!$E$23,IF(V295=regle!$F$11,regle!$F$23,IF(V295=regle!$G$11,regle!$G$23,IF(V295=regle!$H$11,regle!$H$23,IF(V295=regle!$I$11,regle!$I$23,IF(V295=regle!$J$11,regle!$J$23,0)))))))))))</f>
        <v>0</v>
      </c>
      <c r="AG295" s="14">
        <f>IF($A295,$M295*(IF(W295=regle!$B$11,regle!$B$23,IF(W295=regle!$C$11,regle!$C$23,IF(W295=regle!$D$11,regle!$D$23,IF(W295=regle!$E$11,regle!$E$23,IF(W295=regle!$F$11,regle!$F$23,IF(W295=regle!$G$11,regle!$G$23,IF(W295=regle!$H$11,regle!$H$23,IF(W295=regle!$I$11,regle!$I$23,IF(W295=regle!$J$11,regle!$J$23,0)))))))))))</f>
        <v>750.0415999999999</v>
      </c>
      <c r="AH295" s="14">
        <f>IF($A295,$M295*(IF(X295=regle!$B$11,regle!$B$23,IF(X295=regle!$C$11,regle!$C$23,IF(X295=regle!$D$11,regle!$D$23,IF(X295=regle!$E$11,regle!$E$23,IF(X295=regle!$F$11,regle!$F$23,IF(X295=regle!$G$11,regle!$G$23,IF(X295=regle!$H$11,regle!$H$23,IF(X295=regle!$I$11,regle!$I$23,IF(X295=regle!$J$11,regle!$J$23,0)))))))))))</f>
        <v>0</v>
      </c>
      <c r="AI295" s="14">
        <f>IF($A295,$M295*(IF(Y295=regle!$B$11,regle!$B$23,IF(Y295=regle!$C$11,regle!$C$23,IF(Y295=regle!$D$11,regle!$D$23,IF(Y295=regle!$E$11,regle!$E$23,IF(Y295=regle!$F$11,regle!$F$23,IF(Y295=regle!$G$11,regle!$G$23,IF(Y295=regle!$H$11,regle!$H$23,IF(Y295=regle!$I$11,regle!$I$23,IF(Y295=regle!$J$11,regle!$J$23,0)))))))))))</f>
        <v>0</v>
      </c>
      <c r="AJ295" s="14">
        <f>IF($A295,$M295*(IF(Z295=regle!$B$11,regle!$B$23,IF(Z295=regle!$C$11,regle!$C$23,IF(Z295=regle!$D$11,regle!$D$23,IF(Z295=regle!$E$11,regle!$E$23,IF(Z295=regle!$F$11,regle!$F$23,IF(Z295=regle!$G$11,regle!$G$23,IF(Z295=regle!$H$11,regle!$H$23,IF(Z295=regle!$I$11,regle!$I$23,IF(Z295=regle!$J$11,regle!$J$23,0)))))))))))</f>
        <v>0</v>
      </c>
      <c r="AK295" s="14">
        <f>IF($A295,$M295*(IF(AA295=regle!$B$11,regle!$B$23,IF(AA295=regle!$C$11,regle!$C$23,IF(AA295=regle!$D$11,regle!$D$23,IF(AA295=regle!$E$11,regle!$E$23,IF(AA295=regle!$F$11,regle!$F$23,IF(AA295=regle!$G$11,regle!$G$23,IF(AA295=regle!$H$11,regle!$H$23,IF(AA295=regle!$I$11,regle!$I$23,IF(AA295=regle!$J$11,regle!$J$23,0)))))))))))</f>
        <v>0</v>
      </c>
      <c r="AL295" s="14">
        <f>IF($A295,$M295*(IF(AB295=regle!$B$11,regle!$B$23,IF(AB295=regle!$C$11,regle!$C$23,IF(AB295=regle!$D$11,regle!$D$23,IF(AB295=regle!$E$11,regle!$E$23,IF(AB295=regle!$F$11,regle!$F$23,IF(AB295=regle!$G$11,regle!$G$23,IF(AB295=regle!$H$11,regle!$H$23,IF(AB295=regle!$I$11,regle!$I$23,IF(AB295=regle!$J$11,regle!$J$23,0)))))))))))</f>
        <v>681.85599999999999</v>
      </c>
      <c r="AM295" s="14">
        <f>IF($A295,$M295*(IF(AC295=regle!$B$11,regle!$B$23,IF(AC295=regle!$C$11,regle!$C$23,IF(AC295=regle!$D$11,regle!$D$23,IF(AC295=regle!$E$11,regle!$E$23,IF(AC295=regle!$F$11,regle!$F$23,IF(AC295=regle!$G$11,regle!$G$23,IF(AC295=regle!$H$11,regle!$H$23,IF(AC295=regle!$I$11,regle!$I$23,IF(AC295=regle!$J$11,regle!$J$23,0)))))))))))</f>
        <v>0</v>
      </c>
      <c r="AN295" s="14">
        <f>IF($A295,$M295*(IF(AD295=regle!$B$11,regle!$B$23,IF(AD295=regle!$C$11,regle!$C$23,IF(AD295=regle!$D$11,regle!$D$23,IF(AD295=regle!$E$11,regle!$E$23,IF(AD295=regle!$F$11,regle!$F$23,IF(AD295=regle!$G$11,regle!$G$23,IF(AD295=regle!$H$11,regle!$H$23,IF(AD295=regle!$I$11,regle!$I$23,IF(AD295=regle!$J$11,regle!$J$23,0)))))))))))</f>
        <v>0</v>
      </c>
      <c r="AO295">
        <f>IF(AO$1=$AO$1,IF(regle!B$2-$Q295&gt;=regle!$J$12,-2,IF($S295,IF(regle!$B$2-$Q295&gt;=2,0,-1),regle!B$2-$Q295)),IF(AN295+1&gt;=regle!$J$12,-2,AN295+1))</f>
        <v>21</v>
      </c>
      <c r="AP295">
        <f>IF(AP$1=$AO$1,IF(regle!C$2-$Q295&gt;=regle!$J$12,-2,IF($S295,IF(regle!$B$2-$Q295&gt;=2,0,-1),regle!C$2-$Q295)),IF(AO295+1&gt;=regle!$J$12,-2,AO295+1))</f>
        <v>22</v>
      </c>
      <c r="AQ295">
        <f>IF(AQ$1=$AO$1,IF(regle!D$2-$Q295&gt;=regle!$J$12,-2,IF($S295,IF(regle!$B$2-$Q295&gt;=2,0,-1),regle!D$2-$Q295)),IF(AP295+1&gt;=regle!$J$12,-2,AP295+1))</f>
        <v>23</v>
      </c>
      <c r="AR295">
        <f>IF(AR$1=$AO$1,IF(regle!E$2-$Q295&gt;=regle!$J$12,-2,IF($S295,IF(regle!$B$2-$Q295&gt;=2,0,-1),regle!E$2-$Q295)),IF(AQ295+1&gt;=regle!$J$12,-2,AQ295+1))</f>
        <v>24</v>
      </c>
      <c r="AS295">
        <f>IF(AS$1=$AO$1,IF(regle!F$2-$Q295&gt;=regle!$J$12,-2,IF($S295,IF(regle!$B$2-$Q295&gt;=2,0,-1),regle!F$2-$Q295)),IF(AR295+1&gt;=regle!$J$12,-2,AR295+1))</f>
        <v>25</v>
      </c>
      <c r="AT295">
        <f>IF(AT$1=$AO$1,IF(regle!G$2-$Q295&gt;=regle!$J$12,-2,IF($S295,IF(regle!$B$2-$Q295&gt;=2,0,-1),regle!G$2-$Q295)),IF(AS295+1&gt;=regle!$J$12,-2,AS295+1))</f>
        <v>26</v>
      </c>
      <c r="AU295">
        <f>IF(AU$1=$AO$1,IF(regle!H$2-$Q295&gt;=regle!$J$12,-2,IF($S295,IF(regle!$B$2-$Q295&gt;=2,0,-1),regle!H$2-$Q295)),IF(AT295+1&gt;=regle!$J$12,-2,AT295+1))</f>
        <v>27</v>
      </c>
      <c r="AV295">
        <f>IF(AV$1=$AO$1,IF(regle!I$2-$Q295&gt;=regle!$J$12,-2,IF($S295,IF(regle!$B$2-$Q295&gt;=2,0,-1),regle!I$2-$Q295)),IF(AU295+1&gt;=regle!$J$12,-2,AU295+1))</f>
        <v>28</v>
      </c>
      <c r="AW295">
        <f>IF(AW$1=$AO$1,IF(regle!J$2-$Q295&gt;=regle!$J$12,-2,IF($S295,IF(regle!$B$2-$Q295&gt;=2,0,-1),regle!J$2-$Q295)),IF(AV295+1&gt;=regle!$J$12,-2,AV295+1))</f>
        <v>29</v>
      </c>
      <c r="AX295">
        <f>IF(AX$1=$AO$1,IF(regle!K$2-$Q295&gt;=regle!$J$12,-2,IF($S295,IF(regle!$B$2-$Q295&gt;=2,0,-1),regle!K$2-$Q295)),IF(AW295+1&gt;=regle!$J$12,-2,AW295+1))</f>
        <v>30</v>
      </c>
    </row>
    <row r="296" spans="1:50" x14ac:dyDescent="0.25">
      <c r="A296" t="b">
        <f>AND(modif0[[#This Row],[cdstr]]&lt;&gt;0,OR(regle!$H$27=FALSE,modif0[[#This Row],[essnc]]="PM"))</f>
        <v>1</v>
      </c>
      <c r="B296">
        <f>ROW(objet!A346)</f>
        <v>346</v>
      </c>
      <c r="C296" s="10" t="str">
        <f>objet!D346</f>
        <v>1710000C0155</v>
      </c>
      <c r="D296" t="str">
        <f>LEFT(modif0[[#This Row],[cdstr]],3)</f>
        <v>171</v>
      </c>
      <c r="E296" s="10" t="str">
        <f>objet!G346</f>
        <v>MANO</v>
      </c>
      <c r="F296">
        <f>LEN(modif0[[#This Row],[l_dt]])</f>
        <v>6</v>
      </c>
      <c r="G296" s="10" t="str">
        <f>objet!H346</f>
        <v>BARRAT</v>
      </c>
      <c r="H296" s="10" t="str">
        <f>objet!C346</f>
        <v>C155</v>
      </c>
      <c r="I296" t="str">
        <f>IF(ISNUMBER(VALUE(RIGHT(LEFT(modif0[[#This Row],[idntfn]],2),1))),_xlfn.CONCAT(0,LEFT(modif0[[#This Row],[idntfn]],1)),LEFT(modif0[[#This Row],[idntfn]],2))</f>
        <v>0C</v>
      </c>
      <c r="J296">
        <f>VALUE(LEFT(RIGHT(modif0[[#This Row],[idntfn]],LEN(modif0[[#This Row],[idntfn]])-IF(LEFT(modif0[[#This Row],[sctn]],1)="0",1,2)),LEN(modif0[[#This Row],[idntfn]])-IF(LEFT(modif0[[#This Row],[sctn]],1)="0",1,2)-LEN(modif0[[#This Row],[lttr]])))</f>
        <v>155</v>
      </c>
      <c r="K296" t="str">
        <f>IF(ISNUMBER(VALUE(RIGHT(modif0[[#This Row],[idntfn]],1))),"",IF(ISNUMBER(VALUE(LEFT(RIGHT(modif0[[#This Row],[idntfn]],2),1))),RIGHT(modif0[[#This Row],[idntfn]],1),RIGHT(modif0[[#This Row],[idntfn]],2)))</f>
        <v/>
      </c>
      <c r="L296" s="10">
        <f>objet!I346</f>
        <v>7848</v>
      </c>
      <c r="M296" s="11">
        <f>modif0[[#This Row],[srfc]]/10000</f>
        <v>0.78480000000000005</v>
      </c>
      <c r="N296" s="10" t="str">
        <f>objet!Z346</f>
        <v>PM</v>
      </c>
      <c r="O296" s="10" t="str">
        <f>objet!AA346</f>
        <v>CR2022</v>
      </c>
      <c r="P296" t="str">
        <f>IF(ISNUMBER(modif0[[#This Row],[trvx]]),"",LEFT(modif0[[#This Row],[trvx]],LEN(modif0[[#This Row],[trvx]])-4))</f>
        <v>CR</v>
      </c>
      <c r="Q296">
        <f>VALUE(RIGHT(modif0[[#This Row],[trvx]],4))</f>
        <v>2022</v>
      </c>
      <c r="R296" t="str">
        <f>_xlfn.CONCAT(modif0[[#This Row],[tp]],"-",modif0[[#This Row],[essnc]],"_",modif0[[#This Row],[anns]])</f>
        <v>CR-PM_2022</v>
      </c>
      <c r="S296" t="b">
        <f>modif0[[#This Row],[tp]]="CR"</f>
        <v>1</v>
      </c>
      <c r="T296">
        <v>40</v>
      </c>
      <c r="U296" t="str">
        <f>IF(NOT($A296),"",
IF(AO296=-2,regle!$J$11,
IF(AO296=regle!$B$12,regle!$B$11,
IF(AO296=regle!$C$12,regle!$C$11,
IF(AO296=regle!$D$12,regle!$D$11,
IF(AO296=regle!$E$12,regle!$E$11,
IF(AO296=regle!$F$12,regle!$F$11,
IF(AO296=regle!$G$12,regle!$G$11,
IF(AO296=regle!$H$12,regle!$H$11,
IF(AO296=regle!$I$12,regle!$I$11,""))))))))))</f>
        <v>RBST</v>
      </c>
      <c r="V296" t="str">
        <f>IF(NOT($A296),"",
IF(AP296=-2,regle!$J$11,
IF(AP296=regle!$B$12,regle!$B$11,
IF(AP296=regle!$C$12,regle!$C$11,
IF(AP296=regle!$D$12,regle!$D$11,
IF(AP296=regle!$E$12,regle!$E$11,
IF(AP296=regle!$F$12,regle!$F$11,
IF(AP296=regle!$G$12,regle!$G$11,
IF(AP296=regle!$H$12,regle!$H$11,
IF(AP296=regle!$I$12,regle!$I$11,""))))))))))</f>
        <v/>
      </c>
      <c r="W296" t="str">
        <f>IF(NOT($A296),"",
IF(AQ296=-2,regle!$J$11,
IF(AQ296=regle!$B$12,regle!$B$11,
IF(AQ296=regle!$C$12,regle!$C$11,
IF(AQ296=regle!$D$12,regle!$D$11,
IF(AQ296=regle!$E$12,regle!$E$11,
IF(AQ296=regle!$F$12,regle!$F$11,
IF(AQ296=regle!$G$12,regle!$G$11,
IF(AQ296=regle!$H$12,regle!$H$11,
IF(AQ296=regle!$I$12,regle!$I$11,""))))))))))</f>
        <v>DGT</v>
      </c>
      <c r="X296" t="str">
        <f>IF(NOT($A296),"",
IF(AR296=-2,regle!$J$11,
IF(AR296=regle!$B$12,regle!$B$11,
IF(AR296=regle!$C$12,regle!$C$11,
IF(AR296=regle!$D$12,regle!$D$11,
IF(AR296=regle!$E$12,regle!$E$11,
IF(AR296=regle!$F$12,regle!$F$11,
IF(AR296=regle!$G$12,regle!$G$11,
IF(AR296=regle!$H$12,regle!$H$11,
IF(AR296=regle!$I$12,regle!$I$11,""))))))))))</f>
        <v/>
      </c>
      <c r="Y296" t="str">
        <f>IF(NOT($A296),"",
IF(AS296=-2,regle!$J$11,
IF(AS296=regle!$B$12,regle!$B$11,
IF(AS296=regle!$C$12,regle!$C$11,
IF(AS296=regle!$D$12,regle!$D$11,
IF(AS296=regle!$E$12,regle!$E$11,
IF(AS296=regle!$F$12,regle!$F$11,
IF(AS296=regle!$G$12,regle!$G$11,
IF(AS296=regle!$H$12,regle!$H$11,
IF(AS296=regle!$I$12,regle!$I$11,""))))))))))</f>
        <v/>
      </c>
      <c r="Z296" t="str">
        <f>IF(NOT($A296),"",
IF(AT296=-2,regle!$J$11,
IF(AT296=regle!$B$12,regle!$B$11,
IF(AT296=regle!$C$12,regle!$C$11,
IF(AT296=regle!$D$12,regle!$D$11,
IF(AT296=regle!$E$12,regle!$E$11,
IF(AT296=regle!$F$12,regle!$F$11,
IF(AT296=regle!$G$12,regle!$G$11,
IF(AT296=regle!$H$12,regle!$H$11,
IF(AT296=regle!$I$12,regle!$I$11,""))))))))))</f>
        <v>ENT1</v>
      </c>
      <c r="AA296" t="str">
        <f>IF(NOT($A296),"",
IF(AU296=-2,regle!$J$11,
IF(AU296=regle!$B$12,regle!$B$11,
IF(AU296=regle!$C$12,regle!$C$11,
IF(AU296=regle!$D$12,regle!$D$11,
IF(AU296=regle!$E$12,regle!$E$11,
IF(AU296=regle!$F$12,regle!$F$11,
IF(AU296=regle!$G$12,regle!$G$11,
IF(AU296=regle!$H$12,regle!$H$11,
IF(AU296=regle!$I$12,regle!$I$11,""))))))))))</f>
        <v/>
      </c>
      <c r="AB296" t="str">
        <f>IF(NOT($A296),"",
IF(AV296=-2,regle!$J$11,
IF(AV296=regle!$B$12,regle!$B$11,
IF(AV296=regle!$C$12,regle!$C$11,
IF(AV296=regle!$D$12,regle!$D$11,
IF(AV296=regle!$E$12,regle!$E$11,
IF(AV296=regle!$F$12,regle!$F$11,
IF(AV296=regle!$G$12,regle!$G$11,
IF(AV296=regle!$H$12,regle!$H$11,
IF(AV296=regle!$I$12,regle!$I$11,""))))))))))</f>
        <v/>
      </c>
      <c r="AC296" t="str">
        <f>IF(NOT($A296),"",
IF(AW296=-2,regle!$J$11,
IF(AW296=regle!$B$12,regle!$B$11,
IF(AW296=regle!$C$12,regle!$C$11,
IF(AW296=regle!$D$12,regle!$D$11,
IF(AW296=regle!$E$12,regle!$E$11,
IF(AW296=regle!$F$12,regle!$F$11,
IF(AW296=regle!$G$12,regle!$G$11,
IF(AW296=regle!$H$12,regle!$H$11,
IF(AW296=regle!$I$12,regle!$I$11,""))))))))))</f>
        <v>ENT2</v>
      </c>
      <c r="AD296" t="str">
        <f>IF(NOT($A296),"",
IF(AX296=-2,regle!$J$11,
IF(AX296=regle!$B$12,regle!$B$11,
IF(AX296=regle!$C$12,regle!$C$11,
IF(AX296=regle!$D$12,regle!$D$11,
IF(AX296=regle!$E$12,regle!$E$11,
IF(AX296=regle!$F$12,regle!$F$11,
IF(AX296=regle!$G$12,regle!$G$11,
IF(AX296=regle!$H$12,regle!$H$11,
IF(AX296=regle!$I$12,regle!$I$11,""))))))))))</f>
        <v/>
      </c>
      <c r="AE296" s="14">
        <f>IF($A296,$M296*(IF(U296=regle!$B$11,regle!$B$23,IF(U296=regle!$C$11,regle!$C$23,IF(U296=regle!$D$11,regle!$D$23,IF(U296=regle!$E$11,regle!$E$23,IF(U296=regle!$F$11,regle!$F$23,IF(U296=regle!$G$11,regle!$G$23,IF(U296=regle!$H$11,regle!$H$23,IF(U296=regle!$I$11,regle!$I$23,IF(U296=regle!$J$11,regle!$J$23,0)))))))))))</f>
        <v>-1334.16</v>
      </c>
      <c r="AF296" s="14">
        <f>IF($A296,$M296*(IF(V296=regle!$B$11,regle!$B$23,IF(V296=regle!$C$11,regle!$C$23,IF(V296=regle!$D$11,regle!$D$23,IF(V296=regle!$E$11,regle!$E$23,IF(V296=regle!$F$11,regle!$F$23,IF(V296=regle!$G$11,regle!$G$23,IF(V296=regle!$H$11,regle!$H$23,IF(V296=regle!$I$11,regle!$I$23,IF(V296=regle!$J$11,regle!$J$23,0)))))))))))</f>
        <v>0</v>
      </c>
      <c r="AG296" s="14">
        <f>IF($A296,$M296*(IF(W296=regle!$B$11,regle!$B$23,IF(W296=regle!$C$11,regle!$C$23,IF(W296=regle!$D$11,regle!$D$23,IF(W296=regle!$E$11,regle!$E$23,IF(W296=regle!$F$11,regle!$F$23,IF(W296=regle!$G$11,regle!$G$23,IF(W296=regle!$H$11,regle!$H$23,IF(W296=regle!$I$11,regle!$I$23,IF(W296=regle!$J$11,regle!$J$23,0)))))))))))</f>
        <v>-58.860000000000007</v>
      </c>
      <c r="AH296" s="14">
        <f>IF($A296,$M296*(IF(X296=regle!$B$11,regle!$B$23,IF(X296=regle!$C$11,regle!$C$23,IF(X296=regle!$D$11,regle!$D$23,IF(X296=regle!$E$11,regle!$E$23,IF(X296=regle!$F$11,regle!$F$23,IF(X296=regle!$G$11,regle!$G$23,IF(X296=regle!$H$11,regle!$H$23,IF(X296=regle!$I$11,regle!$I$23,IF(X296=regle!$J$11,regle!$J$23,0)))))))))))</f>
        <v>0</v>
      </c>
      <c r="AI296" s="14">
        <f>IF($A296,$M296*(IF(Y296=regle!$B$11,regle!$B$23,IF(Y296=regle!$C$11,regle!$C$23,IF(Y296=regle!$D$11,regle!$D$23,IF(Y296=regle!$E$11,regle!$E$23,IF(Y296=regle!$F$11,regle!$F$23,IF(Y296=regle!$G$11,regle!$G$23,IF(Y296=regle!$H$11,regle!$H$23,IF(Y296=regle!$I$11,regle!$I$23,IF(Y296=regle!$J$11,regle!$J$23,0)))))))))))</f>
        <v>0</v>
      </c>
      <c r="AJ296" s="14">
        <f>IF($A296,$M296*(IF(Z296=regle!$B$11,regle!$B$23,IF(Z296=regle!$C$11,regle!$C$23,IF(Z296=regle!$D$11,regle!$D$23,IF(Z296=regle!$E$11,regle!$E$23,IF(Z296=regle!$F$11,regle!$F$23,IF(Z296=regle!$G$11,regle!$G$23,IF(Z296=regle!$H$11,regle!$H$23,IF(Z296=regle!$I$11,regle!$I$23,IF(Z296=regle!$J$11,regle!$J$23,0)))))))))))</f>
        <v>-70.632000000000005</v>
      </c>
      <c r="AK296" s="14">
        <f>IF($A296,$M296*(IF(AA296=regle!$B$11,regle!$B$23,IF(AA296=regle!$C$11,regle!$C$23,IF(AA296=regle!$D$11,regle!$D$23,IF(AA296=regle!$E$11,regle!$E$23,IF(AA296=regle!$F$11,regle!$F$23,IF(AA296=regle!$G$11,regle!$G$23,IF(AA296=regle!$H$11,regle!$H$23,IF(AA296=regle!$I$11,regle!$I$23,IF(AA296=regle!$J$11,regle!$J$23,0)))))))))))</f>
        <v>0</v>
      </c>
      <c r="AL296" s="14">
        <f>IF($A296,$M296*(IF(AB296=regle!$B$11,regle!$B$23,IF(AB296=regle!$C$11,regle!$C$23,IF(AB296=regle!$D$11,regle!$D$23,IF(AB296=regle!$E$11,regle!$E$23,IF(AB296=regle!$F$11,regle!$F$23,IF(AB296=regle!$G$11,regle!$G$23,IF(AB296=regle!$H$11,regle!$H$23,IF(AB296=regle!$I$11,regle!$I$23,IF(AB296=regle!$J$11,regle!$J$23,0)))))))))))</f>
        <v>0</v>
      </c>
      <c r="AM296" s="14">
        <f>IF($A296,$M296*(IF(AC296=regle!$B$11,regle!$B$23,IF(AC296=regle!$C$11,regle!$C$23,IF(AC296=regle!$D$11,regle!$D$23,IF(AC296=regle!$E$11,regle!$E$23,IF(AC296=regle!$F$11,regle!$F$23,IF(AC296=regle!$G$11,regle!$G$23,IF(AC296=regle!$H$11,regle!$H$23,IF(AC296=regle!$I$11,regle!$I$23,IF(AC296=regle!$J$11,regle!$J$23,0)))))))))))</f>
        <v>-70.632000000000005</v>
      </c>
      <c r="AN296" s="14">
        <f>IF($A296,$M296*(IF(AD296=regle!$B$11,regle!$B$23,IF(AD296=regle!$C$11,regle!$C$23,IF(AD296=regle!$D$11,regle!$D$23,IF(AD296=regle!$E$11,regle!$E$23,IF(AD296=regle!$F$11,regle!$F$23,IF(AD296=regle!$G$11,regle!$G$23,IF(AD296=regle!$H$11,regle!$H$23,IF(AD296=regle!$I$11,regle!$I$23,IF(AD296=regle!$J$11,regle!$J$23,0)))))))))))</f>
        <v>0</v>
      </c>
      <c r="AO296">
        <f>IF(AO$1=$AO$1,IF(regle!B$2-$Q296&gt;=regle!$J$12,-2,IF($S296,IF(regle!$B$2-$Q296&gt;=2,0,-1),regle!B$2-$Q296)),IF(AN296+1&gt;=regle!$J$12,-2,AN296+1))</f>
        <v>0</v>
      </c>
      <c r="AP296">
        <f>IF(AP$1=$AO$1,IF(regle!C$2-$Q296&gt;=regle!$J$12,-2,IF($S296,IF(regle!$B$2-$Q296&gt;=2,0,-1),regle!C$2-$Q296)),IF(AO296+1&gt;=regle!$J$12,-2,AO296+1))</f>
        <v>1</v>
      </c>
      <c r="AQ296">
        <f>IF(AQ$1=$AO$1,IF(regle!D$2-$Q296&gt;=regle!$J$12,-2,IF($S296,IF(regle!$B$2-$Q296&gt;=2,0,-1),regle!D$2-$Q296)),IF(AP296+1&gt;=regle!$J$12,-2,AP296+1))</f>
        <v>2</v>
      </c>
      <c r="AR296">
        <f>IF(AR$1=$AO$1,IF(regle!E$2-$Q296&gt;=regle!$J$12,-2,IF($S296,IF(regle!$B$2-$Q296&gt;=2,0,-1),regle!E$2-$Q296)),IF(AQ296+1&gt;=regle!$J$12,-2,AQ296+1))</f>
        <v>3</v>
      </c>
      <c r="AS296">
        <f>IF(AS$1=$AO$1,IF(regle!F$2-$Q296&gt;=regle!$J$12,-2,IF($S296,IF(regle!$B$2-$Q296&gt;=2,0,-1),regle!F$2-$Q296)),IF(AR296+1&gt;=regle!$J$12,-2,AR296+1))</f>
        <v>4</v>
      </c>
      <c r="AT296">
        <f>IF(AT$1=$AO$1,IF(regle!G$2-$Q296&gt;=regle!$J$12,-2,IF($S296,IF(regle!$B$2-$Q296&gt;=2,0,-1),regle!G$2-$Q296)),IF(AS296+1&gt;=regle!$J$12,-2,AS296+1))</f>
        <v>5</v>
      </c>
      <c r="AU296">
        <f>IF(AU$1=$AO$1,IF(regle!H$2-$Q296&gt;=regle!$J$12,-2,IF($S296,IF(regle!$B$2-$Q296&gt;=2,0,-1),regle!H$2-$Q296)),IF(AT296+1&gt;=regle!$J$12,-2,AT296+1))</f>
        <v>6</v>
      </c>
      <c r="AV296">
        <f>IF(AV$1=$AO$1,IF(regle!I$2-$Q296&gt;=regle!$J$12,-2,IF($S296,IF(regle!$B$2-$Q296&gt;=2,0,-1),regle!I$2-$Q296)),IF(AU296+1&gt;=regle!$J$12,-2,AU296+1))</f>
        <v>7</v>
      </c>
      <c r="AW296">
        <f>IF(AW$1=$AO$1,IF(regle!J$2-$Q296&gt;=regle!$J$12,-2,IF($S296,IF(regle!$B$2-$Q296&gt;=2,0,-1),regle!J$2-$Q296)),IF(AV296+1&gt;=regle!$J$12,-2,AV296+1))</f>
        <v>8</v>
      </c>
      <c r="AX296">
        <f>IF(AX$1=$AO$1,IF(regle!K$2-$Q296&gt;=regle!$J$12,-2,IF($S296,IF(regle!$B$2-$Q296&gt;=2,0,-1),regle!K$2-$Q296)),IF(AW296+1&gt;=regle!$J$12,-2,AW296+1))</f>
        <v>9</v>
      </c>
    </row>
    <row r="297" spans="1:50" x14ac:dyDescent="0.25">
      <c r="A297" t="b">
        <f>AND(modif0[[#This Row],[cdstr]]&lt;&gt;0,OR(regle!$H$27=FALSE,modif0[[#This Row],[essnc]]="PM"))</f>
        <v>1</v>
      </c>
      <c r="B297">
        <f>ROW(objet!A347)</f>
        <v>347</v>
      </c>
      <c r="C297" s="10" t="str">
        <f>objet!D347</f>
        <v>1710000C0172</v>
      </c>
      <c r="D297" t="str">
        <f>LEFT(modif0[[#This Row],[cdstr]],3)</f>
        <v>171</v>
      </c>
      <c r="E297" s="10" t="str">
        <f>objet!G347</f>
        <v>MANO</v>
      </c>
      <c r="F297">
        <f>LEN(modif0[[#This Row],[l_dt]])</f>
        <v>6</v>
      </c>
      <c r="G297" s="10" t="str">
        <f>objet!H347</f>
        <v>BARRAT</v>
      </c>
      <c r="H297" s="10" t="str">
        <f>objet!C347</f>
        <v>C172j</v>
      </c>
      <c r="I297" t="str">
        <f>IF(ISNUMBER(VALUE(RIGHT(LEFT(modif0[[#This Row],[idntfn]],2),1))),_xlfn.CONCAT(0,LEFT(modif0[[#This Row],[idntfn]],1)),LEFT(modif0[[#This Row],[idntfn]],2))</f>
        <v>0C</v>
      </c>
      <c r="J297">
        <f>VALUE(LEFT(RIGHT(modif0[[#This Row],[idntfn]],LEN(modif0[[#This Row],[idntfn]])-IF(LEFT(modif0[[#This Row],[sctn]],1)="0",1,2)),LEN(modif0[[#This Row],[idntfn]])-IF(LEFT(modif0[[#This Row],[sctn]],1)="0",1,2)-LEN(modif0[[#This Row],[lttr]])))</f>
        <v>172</v>
      </c>
      <c r="K297" t="str">
        <f>IF(ISNUMBER(VALUE(RIGHT(modif0[[#This Row],[idntfn]],1))),"",IF(ISNUMBER(VALUE(LEFT(RIGHT(modif0[[#This Row],[idntfn]],2),1))),RIGHT(modif0[[#This Row],[idntfn]],1),RIGHT(modif0[[#This Row],[idntfn]],2)))</f>
        <v>j</v>
      </c>
      <c r="L297" s="10">
        <f>objet!I347</f>
        <v>22059</v>
      </c>
      <c r="M297" s="11">
        <f>modif0[[#This Row],[srfc]]/10000</f>
        <v>2.2059000000000002</v>
      </c>
      <c r="N297" s="10" t="str">
        <f>objet!Z347</f>
        <v>PM</v>
      </c>
      <c r="O297" s="10" t="str">
        <f>objet!AA347</f>
        <v>PLA1997</v>
      </c>
      <c r="P297" t="str">
        <f>IF(ISNUMBER(modif0[[#This Row],[trvx]]),"",LEFT(modif0[[#This Row],[trvx]],LEN(modif0[[#This Row],[trvx]])-4))</f>
        <v>PLA</v>
      </c>
      <c r="Q297">
        <f>VALUE(RIGHT(modif0[[#This Row],[trvx]],4))</f>
        <v>1997</v>
      </c>
      <c r="R297" t="str">
        <f>_xlfn.CONCAT(modif0[[#This Row],[tp]],"-",modif0[[#This Row],[essnc]],"_",modif0[[#This Row],[anns]])</f>
        <v>PLA-PM_1997</v>
      </c>
      <c r="S297" t="b">
        <f>modif0[[#This Row],[tp]]="CR"</f>
        <v>0</v>
      </c>
      <c r="T297">
        <v>40</v>
      </c>
      <c r="U297" t="str">
        <f>IF(NOT($A297),"",
IF(AO297=-2,regle!$J$11,
IF(AO297=regle!$B$12,regle!$B$11,
IF(AO297=regle!$C$12,regle!$C$11,
IF(AO297=regle!$D$12,regle!$D$11,
IF(AO297=regle!$E$12,regle!$E$11,
IF(AO297=regle!$F$12,regle!$F$11,
IF(AO297=regle!$G$12,regle!$G$11,
IF(AO297=regle!$H$12,regle!$H$11,
IF(AO297=regle!$I$12,regle!$I$11,""))))))))))</f>
        <v/>
      </c>
      <c r="V297" t="str">
        <f>IF(NOT($A297),"",
IF(AP297=-2,regle!$J$11,
IF(AP297=regle!$B$12,regle!$B$11,
IF(AP297=regle!$C$12,regle!$C$11,
IF(AP297=regle!$D$12,regle!$D$11,
IF(AP297=regle!$E$12,regle!$E$11,
IF(AP297=regle!$F$12,regle!$F$11,
IF(AP297=regle!$G$12,regle!$G$11,
IF(AP297=regle!$H$12,regle!$H$11,
IF(AP297=regle!$I$12,regle!$I$11,""))))))))))</f>
        <v>EC4</v>
      </c>
      <c r="W297" t="str">
        <f>IF(NOT($A297),"",
IF(AQ297=-2,regle!$J$11,
IF(AQ297=regle!$B$12,regle!$B$11,
IF(AQ297=regle!$C$12,regle!$C$11,
IF(AQ297=regle!$D$12,regle!$D$11,
IF(AQ297=regle!$E$12,regle!$E$11,
IF(AQ297=regle!$F$12,regle!$F$11,
IF(AQ297=regle!$G$12,regle!$G$11,
IF(AQ297=regle!$H$12,regle!$H$11,
IF(AQ297=regle!$I$12,regle!$I$11,""))))))))))</f>
        <v/>
      </c>
      <c r="X297" t="str">
        <f>IF(NOT($A297),"",
IF(AR297=-2,regle!$J$11,
IF(AR297=regle!$B$12,regle!$B$11,
IF(AR297=regle!$C$12,regle!$C$11,
IF(AR297=regle!$D$12,regle!$D$11,
IF(AR297=regle!$E$12,regle!$E$11,
IF(AR297=regle!$F$12,regle!$F$11,
IF(AR297=regle!$G$12,regle!$G$11,
IF(AR297=regle!$H$12,regle!$H$11,
IF(AR297=regle!$I$12,regle!$I$11,""))))))))))</f>
        <v/>
      </c>
      <c r="Y297" t="str">
        <f>IF(NOT($A297),"",
IF(AS297=-2,regle!$J$11,
IF(AS297=regle!$B$12,regle!$B$11,
IF(AS297=regle!$C$12,regle!$C$11,
IF(AS297=regle!$D$12,regle!$D$11,
IF(AS297=regle!$E$12,regle!$E$11,
IF(AS297=regle!$F$12,regle!$F$11,
IF(AS297=regle!$G$12,regle!$G$11,
IF(AS297=regle!$H$12,regle!$H$11,
IF(AS297=regle!$I$12,regle!$I$11,""))))))))))</f>
        <v/>
      </c>
      <c r="Z297" t="str">
        <f>IF(NOT($A297),"",
IF(AT297=-2,regle!$J$11,
IF(AT297=regle!$B$12,regle!$B$11,
IF(AT297=regle!$C$12,regle!$C$11,
IF(AT297=regle!$D$12,regle!$D$11,
IF(AT297=regle!$E$12,regle!$E$11,
IF(AT297=regle!$F$12,regle!$F$11,
IF(AT297=regle!$G$12,regle!$G$11,
IF(AT297=regle!$H$12,regle!$H$11,
IF(AT297=regle!$I$12,regle!$I$11,""))))))))))</f>
        <v/>
      </c>
      <c r="AA297" t="str">
        <f>IF(NOT($A297),"",
IF(AU297=-2,regle!$J$11,
IF(AU297=regle!$B$12,regle!$B$11,
IF(AU297=regle!$C$12,regle!$C$11,
IF(AU297=regle!$D$12,regle!$D$11,
IF(AU297=regle!$E$12,regle!$E$11,
IF(AU297=regle!$F$12,regle!$F$11,
IF(AU297=regle!$G$12,regle!$G$11,
IF(AU297=regle!$H$12,regle!$H$11,
IF(AU297=regle!$I$12,regle!$I$11,""))))))))))</f>
        <v/>
      </c>
      <c r="AB297" t="str">
        <f>IF(NOT($A297),"",
IF(AV297=-2,regle!$J$11,
IF(AV297=regle!$B$12,regle!$B$11,
IF(AV297=regle!$C$12,regle!$C$11,
IF(AV297=regle!$D$12,regle!$D$11,
IF(AV297=regle!$E$12,regle!$E$11,
IF(AV297=regle!$F$12,regle!$F$11,
IF(AV297=regle!$G$12,regle!$G$11,
IF(AV297=regle!$H$12,regle!$H$11,
IF(AV297=regle!$I$12,regle!$I$11,""))))))))))</f>
        <v/>
      </c>
      <c r="AC297" t="str">
        <f>IF(NOT($A297),"",
IF(AW297=-2,regle!$J$11,
IF(AW297=regle!$B$12,regle!$B$11,
IF(AW297=regle!$C$12,regle!$C$11,
IF(AW297=regle!$D$12,regle!$D$11,
IF(AW297=regle!$E$12,regle!$E$11,
IF(AW297=regle!$F$12,regle!$F$11,
IF(AW297=regle!$G$12,regle!$G$11,
IF(AW297=regle!$H$12,regle!$H$11,
IF(AW297=regle!$I$12,regle!$I$11,""))))))))))</f>
        <v/>
      </c>
      <c r="AD297" t="str">
        <f>IF(NOT($A297),"",
IF(AX297=-2,regle!$J$11,
IF(AX297=regle!$B$12,regle!$B$11,
IF(AX297=regle!$C$12,regle!$C$11,
IF(AX297=regle!$D$12,regle!$D$11,
IF(AX297=regle!$E$12,regle!$E$11,
IF(AX297=regle!$F$12,regle!$F$11,
IF(AX297=regle!$G$12,regle!$G$11,
IF(AX297=regle!$H$12,regle!$H$11,
IF(AX297=regle!$I$12,regle!$I$11,""))))))))))</f>
        <v/>
      </c>
      <c r="AE297" s="14">
        <f>IF($A297,$M297*(IF(U297=regle!$B$11,regle!$B$23,IF(U297=regle!$C$11,regle!$C$23,IF(U297=regle!$D$11,regle!$D$23,IF(U297=regle!$E$11,regle!$E$23,IF(U297=regle!$F$11,regle!$F$23,IF(U297=regle!$G$11,regle!$G$23,IF(U297=regle!$H$11,regle!$H$23,IF(U297=regle!$I$11,regle!$I$23,IF(U297=regle!$J$11,regle!$J$23,0)))))))))))</f>
        <v>0</v>
      </c>
      <c r="AF297" s="14">
        <f>IF($A297,$M297*(IF(V297=regle!$B$11,regle!$B$23,IF(V297=regle!$C$11,regle!$C$23,IF(V297=regle!$D$11,regle!$D$23,IF(V297=regle!$E$11,regle!$E$23,IF(V297=regle!$F$11,regle!$F$23,IF(V297=regle!$G$11,regle!$G$23,IF(V297=regle!$H$11,regle!$H$23,IF(V297=regle!$I$11,regle!$I$23,IF(V297=regle!$J$11,regle!$J$23,0)))))))))))</f>
        <v>2823.5520000000001</v>
      </c>
      <c r="AG297" s="14">
        <f>IF($A297,$M297*(IF(W297=regle!$B$11,regle!$B$23,IF(W297=regle!$C$11,regle!$C$23,IF(W297=regle!$D$11,regle!$D$23,IF(W297=regle!$E$11,regle!$E$23,IF(W297=regle!$F$11,regle!$F$23,IF(W297=regle!$G$11,regle!$G$23,IF(W297=regle!$H$11,regle!$H$23,IF(W297=regle!$I$11,regle!$I$23,IF(W297=regle!$J$11,regle!$J$23,0)))))))))))</f>
        <v>0</v>
      </c>
      <c r="AH297" s="14">
        <f>IF($A297,$M297*(IF(X297=regle!$B$11,regle!$B$23,IF(X297=regle!$C$11,regle!$C$23,IF(X297=regle!$D$11,regle!$D$23,IF(X297=regle!$E$11,regle!$E$23,IF(X297=regle!$F$11,regle!$F$23,IF(X297=regle!$G$11,regle!$G$23,IF(X297=regle!$H$11,regle!$H$23,IF(X297=regle!$I$11,regle!$I$23,IF(X297=regle!$J$11,regle!$J$23,0)))))))))))</f>
        <v>0</v>
      </c>
      <c r="AI297" s="14">
        <f>IF($A297,$M297*(IF(Y297=regle!$B$11,regle!$B$23,IF(Y297=regle!$C$11,regle!$C$23,IF(Y297=regle!$D$11,regle!$D$23,IF(Y297=regle!$E$11,regle!$E$23,IF(Y297=regle!$F$11,regle!$F$23,IF(Y297=regle!$G$11,regle!$G$23,IF(Y297=regle!$H$11,regle!$H$23,IF(Y297=regle!$I$11,regle!$I$23,IF(Y297=regle!$J$11,regle!$J$23,0)))))))))))</f>
        <v>0</v>
      </c>
      <c r="AJ297" s="14">
        <f>IF($A297,$M297*(IF(Z297=regle!$B$11,regle!$B$23,IF(Z297=regle!$C$11,regle!$C$23,IF(Z297=regle!$D$11,regle!$D$23,IF(Z297=regle!$E$11,regle!$E$23,IF(Z297=regle!$F$11,regle!$F$23,IF(Z297=regle!$G$11,regle!$G$23,IF(Z297=regle!$H$11,regle!$H$23,IF(Z297=regle!$I$11,regle!$I$23,IF(Z297=regle!$J$11,regle!$J$23,0)))))))))))</f>
        <v>0</v>
      </c>
      <c r="AK297" s="14">
        <f>IF($A297,$M297*(IF(AA297=regle!$B$11,regle!$B$23,IF(AA297=regle!$C$11,regle!$C$23,IF(AA297=regle!$D$11,regle!$D$23,IF(AA297=regle!$E$11,regle!$E$23,IF(AA297=regle!$F$11,regle!$F$23,IF(AA297=regle!$G$11,regle!$G$23,IF(AA297=regle!$H$11,regle!$H$23,IF(AA297=regle!$I$11,regle!$I$23,IF(AA297=regle!$J$11,regle!$J$23,0)))))))))))</f>
        <v>0</v>
      </c>
      <c r="AL297" s="14">
        <f>IF($A297,$M297*(IF(AB297=regle!$B$11,regle!$B$23,IF(AB297=regle!$C$11,regle!$C$23,IF(AB297=regle!$D$11,regle!$D$23,IF(AB297=regle!$E$11,regle!$E$23,IF(AB297=regle!$F$11,regle!$F$23,IF(AB297=regle!$G$11,regle!$G$23,IF(AB297=regle!$H$11,regle!$H$23,IF(AB297=regle!$I$11,regle!$I$23,IF(AB297=regle!$J$11,regle!$J$23,0)))))))))))</f>
        <v>0</v>
      </c>
      <c r="AM297" s="14">
        <f>IF($A297,$M297*(IF(AC297=regle!$B$11,regle!$B$23,IF(AC297=regle!$C$11,regle!$C$23,IF(AC297=regle!$D$11,regle!$D$23,IF(AC297=regle!$E$11,regle!$E$23,IF(AC297=regle!$F$11,regle!$F$23,IF(AC297=regle!$G$11,regle!$G$23,IF(AC297=regle!$H$11,regle!$H$23,IF(AC297=regle!$I$11,regle!$I$23,IF(AC297=regle!$J$11,regle!$J$23,0)))))))))))</f>
        <v>0</v>
      </c>
      <c r="AN297" s="14">
        <f>IF($A297,$M297*(IF(AD297=regle!$B$11,regle!$B$23,IF(AD297=regle!$C$11,regle!$C$23,IF(AD297=regle!$D$11,regle!$D$23,IF(AD297=regle!$E$11,regle!$E$23,IF(AD297=regle!$F$11,regle!$F$23,IF(AD297=regle!$G$11,regle!$G$23,IF(AD297=regle!$H$11,regle!$H$23,IF(AD297=regle!$I$11,regle!$I$23,IF(AD297=regle!$J$11,regle!$J$23,0)))))))))))</f>
        <v>0</v>
      </c>
      <c r="AO297">
        <f>IF(AO$1=$AO$1,IF(regle!B$2-$Q297&gt;=regle!$J$12,-2,IF($S297,IF(regle!$B$2-$Q297&gt;=2,0,-1),regle!B$2-$Q297)),IF(AN297+1&gt;=regle!$J$12,-2,AN297+1))</f>
        <v>27</v>
      </c>
      <c r="AP297">
        <f>IF(AP$1=$AO$1,IF(regle!C$2-$Q297&gt;=regle!$J$12,-2,IF($S297,IF(regle!$B$2-$Q297&gt;=2,0,-1),regle!C$2-$Q297)),IF(AO297+1&gt;=regle!$J$12,-2,AO297+1))</f>
        <v>28</v>
      </c>
      <c r="AQ297">
        <f>IF(AQ$1=$AO$1,IF(regle!D$2-$Q297&gt;=regle!$J$12,-2,IF($S297,IF(regle!$B$2-$Q297&gt;=2,0,-1),regle!D$2-$Q297)),IF(AP297+1&gt;=regle!$J$12,-2,AP297+1))</f>
        <v>29</v>
      </c>
      <c r="AR297">
        <f>IF(AR$1=$AO$1,IF(regle!E$2-$Q297&gt;=regle!$J$12,-2,IF($S297,IF(regle!$B$2-$Q297&gt;=2,0,-1),regle!E$2-$Q297)),IF(AQ297+1&gt;=regle!$J$12,-2,AQ297+1))</f>
        <v>30</v>
      </c>
      <c r="AS297">
        <f>IF(AS$1=$AO$1,IF(regle!F$2-$Q297&gt;=regle!$J$12,-2,IF($S297,IF(regle!$B$2-$Q297&gt;=2,0,-1),regle!F$2-$Q297)),IF(AR297+1&gt;=regle!$J$12,-2,AR297+1))</f>
        <v>31</v>
      </c>
      <c r="AT297">
        <f>IF(AT$1=$AO$1,IF(regle!G$2-$Q297&gt;=regle!$J$12,-2,IF($S297,IF(regle!$B$2-$Q297&gt;=2,0,-1),regle!G$2-$Q297)),IF(AS297+1&gt;=regle!$J$12,-2,AS297+1))</f>
        <v>32</v>
      </c>
      <c r="AU297">
        <f>IF(AU$1=$AO$1,IF(regle!H$2-$Q297&gt;=regle!$J$12,-2,IF($S297,IF(regle!$B$2-$Q297&gt;=2,0,-1),regle!H$2-$Q297)),IF(AT297+1&gt;=regle!$J$12,-2,AT297+1))</f>
        <v>33</v>
      </c>
      <c r="AV297">
        <f>IF(AV$1=$AO$1,IF(regle!I$2-$Q297&gt;=regle!$J$12,-2,IF($S297,IF(regle!$B$2-$Q297&gt;=2,0,-1),regle!I$2-$Q297)),IF(AU297+1&gt;=regle!$J$12,-2,AU297+1))</f>
        <v>34</v>
      </c>
      <c r="AW297">
        <f>IF(AW$1=$AO$1,IF(regle!J$2-$Q297&gt;=regle!$J$12,-2,IF($S297,IF(regle!$B$2-$Q297&gt;=2,0,-1),regle!J$2-$Q297)),IF(AV297+1&gt;=regle!$J$12,-2,AV297+1))</f>
        <v>35</v>
      </c>
      <c r="AX297">
        <f>IF(AX$1=$AO$1,IF(regle!K$2-$Q297&gt;=regle!$J$12,-2,IF($S297,IF(regle!$B$2-$Q297&gt;=2,0,-1),regle!K$2-$Q297)),IF(AW297+1&gt;=regle!$J$12,-2,AW297+1))</f>
        <v>36</v>
      </c>
    </row>
    <row r="298" spans="1:50" x14ac:dyDescent="0.25">
      <c r="A298" t="b">
        <f>AND(modif0[[#This Row],[cdstr]]&lt;&gt;0,OR(regle!$H$27=FALSE,modif0[[#This Row],[essnc]]="PM"))</f>
        <v>1</v>
      </c>
      <c r="B298">
        <f>ROW(objet!A348)</f>
        <v>348</v>
      </c>
      <c r="C298" s="10" t="str">
        <f>objet!D348</f>
        <v>1710000C0172</v>
      </c>
      <c r="D298" t="str">
        <f>LEFT(modif0[[#This Row],[cdstr]],3)</f>
        <v>171</v>
      </c>
      <c r="E298" s="10" t="str">
        <f>objet!G348</f>
        <v>MANO</v>
      </c>
      <c r="F298">
        <f>LEN(modif0[[#This Row],[l_dt]])</f>
        <v>6</v>
      </c>
      <c r="G298" s="10" t="str">
        <f>objet!H348</f>
        <v>BARRAT</v>
      </c>
      <c r="H298" s="10" t="str">
        <f>objet!C348</f>
        <v>C172k</v>
      </c>
      <c r="I298" t="str">
        <f>IF(ISNUMBER(VALUE(RIGHT(LEFT(modif0[[#This Row],[idntfn]],2),1))),_xlfn.CONCAT(0,LEFT(modif0[[#This Row],[idntfn]],1)),LEFT(modif0[[#This Row],[idntfn]],2))</f>
        <v>0C</v>
      </c>
      <c r="J298">
        <f>VALUE(LEFT(RIGHT(modif0[[#This Row],[idntfn]],LEN(modif0[[#This Row],[idntfn]])-IF(LEFT(modif0[[#This Row],[sctn]],1)="0",1,2)),LEN(modif0[[#This Row],[idntfn]])-IF(LEFT(modif0[[#This Row],[sctn]],1)="0",1,2)-LEN(modif0[[#This Row],[lttr]])))</f>
        <v>172</v>
      </c>
      <c r="K298" t="str">
        <f>IF(ISNUMBER(VALUE(RIGHT(modif0[[#This Row],[idntfn]],1))),"",IF(ISNUMBER(VALUE(LEFT(RIGHT(modif0[[#This Row],[idntfn]],2),1))),RIGHT(modif0[[#This Row],[idntfn]],1),RIGHT(modif0[[#This Row],[idntfn]],2)))</f>
        <v>k</v>
      </c>
      <c r="L298" s="10">
        <f>objet!I348</f>
        <v>57865</v>
      </c>
      <c r="M298" s="11">
        <f>modif0[[#This Row],[srfc]]/10000</f>
        <v>5.7865000000000002</v>
      </c>
      <c r="N298" s="10" t="str">
        <f>objet!Z348</f>
        <v>PM</v>
      </c>
      <c r="O298" s="10" t="str">
        <f>objet!AA348</f>
        <v>CR2022</v>
      </c>
      <c r="P298" t="str">
        <f>IF(ISNUMBER(modif0[[#This Row],[trvx]]),"",LEFT(modif0[[#This Row],[trvx]],LEN(modif0[[#This Row],[trvx]])-4))</f>
        <v>CR</v>
      </c>
      <c r="Q298">
        <f>VALUE(RIGHT(modif0[[#This Row],[trvx]],4))</f>
        <v>2022</v>
      </c>
      <c r="R298" t="str">
        <f>_xlfn.CONCAT(modif0[[#This Row],[tp]],"-",modif0[[#This Row],[essnc]],"_",modif0[[#This Row],[anns]])</f>
        <v>CR-PM_2022</v>
      </c>
      <c r="S298" t="b">
        <f>modif0[[#This Row],[tp]]="CR"</f>
        <v>1</v>
      </c>
      <c r="T298">
        <v>40</v>
      </c>
      <c r="U298" t="str">
        <f>IF(NOT($A298),"",
IF(AO298=-2,regle!$J$11,
IF(AO298=regle!$B$12,regle!$B$11,
IF(AO298=regle!$C$12,regle!$C$11,
IF(AO298=regle!$D$12,regle!$D$11,
IF(AO298=regle!$E$12,regle!$E$11,
IF(AO298=regle!$F$12,regle!$F$11,
IF(AO298=regle!$G$12,regle!$G$11,
IF(AO298=regle!$H$12,regle!$H$11,
IF(AO298=regle!$I$12,regle!$I$11,""))))))))))</f>
        <v>RBST</v>
      </c>
      <c r="V298" t="str">
        <f>IF(NOT($A298),"",
IF(AP298=-2,regle!$J$11,
IF(AP298=regle!$B$12,regle!$B$11,
IF(AP298=regle!$C$12,regle!$C$11,
IF(AP298=regle!$D$12,regle!$D$11,
IF(AP298=regle!$E$12,regle!$E$11,
IF(AP298=regle!$F$12,regle!$F$11,
IF(AP298=regle!$G$12,regle!$G$11,
IF(AP298=regle!$H$12,regle!$H$11,
IF(AP298=regle!$I$12,regle!$I$11,""))))))))))</f>
        <v/>
      </c>
      <c r="W298" t="str">
        <f>IF(NOT($A298),"",
IF(AQ298=-2,regle!$J$11,
IF(AQ298=regle!$B$12,regle!$B$11,
IF(AQ298=regle!$C$12,regle!$C$11,
IF(AQ298=regle!$D$12,regle!$D$11,
IF(AQ298=regle!$E$12,regle!$E$11,
IF(AQ298=regle!$F$12,regle!$F$11,
IF(AQ298=regle!$G$12,regle!$G$11,
IF(AQ298=regle!$H$12,regle!$H$11,
IF(AQ298=regle!$I$12,regle!$I$11,""))))))))))</f>
        <v>DGT</v>
      </c>
      <c r="X298" t="str">
        <f>IF(NOT($A298),"",
IF(AR298=-2,regle!$J$11,
IF(AR298=regle!$B$12,regle!$B$11,
IF(AR298=regle!$C$12,regle!$C$11,
IF(AR298=regle!$D$12,regle!$D$11,
IF(AR298=regle!$E$12,regle!$E$11,
IF(AR298=regle!$F$12,regle!$F$11,
IF(AR298=regle!$G$12,regle!$G$11,
IF(AR298=regle!$H$12,regle!$H$11,
IF(AR298=regle!$I$12,regle!$I$11,""))))))))))</f>
        <v/>
      </c>
      <c r="Y298" t="str">
        <f>IF(NOT($A298),"",
IF(AS298=-2,regle!$J$11,
IF(AS298=regle!$B$12,regle!$B$11,
IF(AS298=regle!$C$12,regle!$C$11,
IF(AS298=regle!$D$12,regle!$D$11,
IF(AS298=regle!$E$12,regle!$E$11,
IF(AS298=regle!$F$12,regle!$F$11,
IF(AS298=regle!$G$12,regle!$G$11,
IF(AS298=regle!$H$12,regle!$H$11,
IF(AS298=regle!$I$12,regle!$I$11,""))))))))))</f>
        <v/>
      </c>
      <c r="Z298" t="str">
        <f>IF(NOT($A298),"",
IF(AT298=-2,regle!$J$11,
IF(AT298=regle!$B$12,regle!$B$11,
IF(AT298=regle!$C$12,regle!$C$11,
IF(AT298=regle!$D$12,regle!$D$11,
IF(AT298=regle!$E$12,regle!$E$11,
IF(AT298=regle!$F$12,regle!$F$11,
IF(AT298=regle!$G$12,regle!$G$11,
IF(AT298=regle!$H$12,regle!$H$11,
IF(AT298=regle!$I$12,regle!$I$11,""))))))))))</f>
        <v>ENT1</v>
      </c>
      <c r="AA298" t="str">
        <f>IF(NOT($A298),"",
IF(AU298=-2,regle!$J$11,
IF(AU298=regle!$B$12,regle!$B$11,
IF(AU298=regle!$C$12,regle!$C$11,
IF(AU298=regle!$D$12,regle!$D$11,
IF(AU298=regle!$E$12,regle!$E$11,
IF(AU298=regle!$F$12,regle!$F$11,
IF(AU298=regle!$G$12,regle!$G$11,
IF(AU298=regle!$H$12,regle!$H$11,
IF(AU298=regle!$I$12,regle!$I$11,""))))))))))</f>
        <v/>
      </c>
      <c r="AB298" t="str">
        <f>IF(NOT($A298),"",
IF(AV298=-2,regle!$J$11,
IF(AV298=regle!$B$12,regle!$B$11,
IF(AV298=regle!$C$12,regle!$C$11,
IF(AV298=regle!$D$12,regle!$D$11,
IF(AV298=regle!$E$12,regle!$E$11,
IF(AV298=regle!$F$12,regle!$F$11,
IF(AV298=regle!$G$12,regle!$G$11,
IF(AV298=regle!$H$12,regle!$H$11,
IF(AV298=regle!$I$12,regle!$I$11,""))))))))))</f>
        <v/>
      </c>
      <c r="AC298" t="str">
        <f>IF(NOT($A298),"",
IF(AW298=-2,regle!$J$11,
IF(AW298=regle!$B$12,regle!$B$11,
IF(AW298=regle!$C$12,regle!$C$11,
IF(AW298=regle!$D$12,regle!$D$11,
IF(AW298=regle!$E$12,regle!$E$11,
IF(AW298=regle!$F$12,regle!$F$11,
IF(AW298=regle!$G$12,regle!$G$11,
IF(AW298=regle!$H$12,regle!$H$11,
IF(AW298=regle!$I$12,regle!$I$11,""))))))))))</f>
        <v>ENT2</v>
      </c>
      <c r="AD298" t="str">
        <f>IF(NOT($A298),"",
IF(AX298=-2,regle!$J$11,
IF(AX298=regle!$B$12,regle!$B$11,
IF(AX298=regle!$C$12,regle!$C$11,
IF(AX298=regle!$D$12,regle!$D$11,
IF(AX298=regle!$E$12,regle!$E$11,
IF(AX298=regle!$F$12,regle!$F$11,
IF(AX298=regle!$G$12,regle!$G$11,
IF(AX298=regle!$H$12,regle!$H$11,
IF(AX298=regle!$I$12,regle!$I$11,""))))))))))</f>
        <v/>
      </c>
      <c r="AE298" s="14">
        <f>IF($A298,$M298*(IF(U298=regle!$B$11,regle!$B$23,IF(U298=regle!$C$11,regle!$C$23,IF(U298=regle!$D$11,regle!$D$23,IF(U298=regle!$E$11,regle!$E$23,IF(U298=regle!$F$11,regle!$F$23,IF(U298=regle!$G$11,regle!$G$23,IF(U298=regle!$H$11,regle!$H$23,IF(U298=regle!$I$11,regle!$I$23,IF(U298=regle!$J$11,regle!$J$23,0)))))))))))</f>
        <v>-9837.0500000000011</v>
      </c>
      <c r="AF298" s="14">
        <f>IF($A298,$M298*(IF(V298=regle!$B$11,regle!$B$23,IF(V298=regle!$C$11,regle!$C$23,IF(V298=regle!$D$11,regle!$D$23,IF(V298=regle!$E$11,regle!$E$23,IF(V298=regle!$F$11,regle!$F$23,IF(V298=regle!$G$11,regle!$G$23,IF(V298=regle!$H$11,regle!$H$23,IF(V298=regle!$I$11,regle!$I$23,IF(V298=regle!$J$11,regle!$J$23,0)))))))))))</f>
        <v>0</v>
      </c>
      <c r="AG298" s="14">
        <f>IF($A298,$M298*(IF(W298=regle!$B$11,regle!$B$23,IF(W298=regle!$C$11,regle!$C$23,IF(W298=regle!$D$11,regle!$D$23,IF(W298=regle!$E$11,regle!$E$23,IF(W298=regle!$F$11,regle!$F$23,IF(W298=regle!$G$11,regle!$G$23,IF(W298=regle!$H$11,regle!$H$23,IF(W298=regle!$I$11,regle!$I$23,IF(W298=regle!$J$11,regle!$J$23,0)))))))))))</f>
        <v>-433.98750000000001</v>
      </c>
      <c r="AH298" s="14">
        <f>IF($A298,$M298*(IF(X298=regle!$B$11,regle!$B$23,IF(X298=regle!$C$11,regle!$C$23,IF(X298=regle!$D$11,regle!$D$23,IF(X298=regle!$E$11,regle!$E$23,IF(X298=regle!$F$11,regle!$F$23,IF(X298=regle!$G$11,regle!$G$23,IF(X298=regle!$H$11,regle!$H$23,IF(X298=regle!$I$11,regle!$I$23,IF(X298=regle!$J$11,regle!$J$23,0)))))))))))</f>
        <v>0</v>
      </c>
      <c r="AI298" s="14">
        <f>IF($A298,$M298*(IF(Y298=regle!$B$11,regle!$B$23,IF(Y298=regle!$C$11,regle!$C$23,IF(Y298=regle!$D$11,regle!$D$23,IF(Y298=regle!$E$11,regle!$E$23,IF(Y298=regle!$F$11,regle!$F$23,IF(Y298=regle!$G$11,regle!$G$23,IF(Y298=regle!$H$11,regle!$H$23,IF(Y298=regle!$I$11,regle!$I$23,IF(Y298=regle!$J$11,regle!$J$23,0)))))))))))</f>
        <v>0</v>
      </c>
      <c r="AJ298" s="14">
        <f>IF($A298,$M298*(IF(Z298=regle!$B$11,regle!$B$23,IF(Z298=regle!$C$11,regle!$C$23,IF(Z298=regle!$D$11,regle!$D$23,IF(Z298=regle!$E$11,regle!$E$23,IF(Z298=regle!$F$11,regle!$F$23,IF(Z298=regle!$G$11,regle!$G$23,IF(Z298=regle!$H$11,regle!$H$23,IF(Z298=regle!$I$11,regle!$I$23,IF(Z298=regle!$J$11,regle!$J$23,0)))))))))))</f>
        <v>-520.78499999999997</v>
      </c>
      <c r="AK298" s="14">
        <f>IF($A298,$M298*(IF(AA298=regle!$B$11,regle!$B$23,IF(AA298=regle!$C$11,regle!$C$23,IF(AA298=regle!$D$11,regle!$D$23,IF(AA298=regle!$E$11,regle!$E$23,IF(AA298=regle!$F$11,regle!$F$23,IF(AA298=regle!$G$11,regle!$G$23,IF(AA298=regle!$H$11,regle!$H$23,IF(AA298=regle!$I$11,regle!$I$23,IF(AA298=regle!$J$11,regle!$J$23,0)))))))))))</f>
        <v>0</v>
      </c>
      <c r="AL298" s="14">
        <f>IF($A298,$M298*(IF(AB298=regle!$B$11,regle!$B$23,IF(AB298=regle!$C$11,regle!$C$23,IF(AB298=regle!$D$11,regle!$D$23,IF(AB298=regle!$E$11,regle!$E$23,IF(AB298=regle!$F$11,regle!$F$23,IF(AB298=regle!$G$11,regle!$G$23,IF(AB298=regle!$H$11,regle!$H$23,IF(AB298=regle!$I$11,regle!$I$23,IF(AB298=regle!$J$11,regle!$J$23,0)))))))))))</f>
        <v>0</v>
      </c>
      <c r="AM298" s="14">
        <f>IF($A298,$M298*(IF(AC298=regle!$B$11,regle!$B$23,IF(AC298=regle!$C$11,regle!$C$23,IF(AC298=regle!$D$11,regle!$D$23,IF(AC298=regle!$E$11,regle!$E$23,IF(AC298=regle!$F$11,regle!$F$23,IF(AC298=regle!$G$11,regle!$G$23,IF(AC298=regle!$H$11,regle!$H$23,IF(AC298=regle!$I$11,regle!$I$23,IF(AC298=regle!$J$11,regle!$J$23,0)))))))))))</f>
        <v>-520.78499999999997</v>
      </c>
      <c r="AN298" s="14">
        <f>IF($A298,$M298*(IF(AD298=regle!$B$11,regle!$B$23,IF(AD298=regle!$C$11,regle!$C$23,IF(AD298=regle!$D$11,regle!$D$23,IF(AD298=regle!$E$11,regle!$E$23,IF(AD298=regle!$F$11,regle!$F$23,IF(AD298=regle!$G$11,regle!$G$23,IF(AD298=regle!$H$11,regle!$H$23,IF(AD298=regle!$I$11,regle!$I$23,IF(AD298=regle!$J$11,regle!$J$23,0)))))))))))</f>
        <v>0</v>
      </c>
      <c r="AO298">
        <f>IF(AO$1=$AO$1,IF(regle!B$2-$Q298&gt;=regle!$J$12,-2,IF($S298,IF(regle!$B$2-$Q298&gt;=2,0,-1),regle!B$2-$Q298)),IF(AN298+1&gt;=regle!$J$12,-2,AN298+1))</f>
        <v>0</v>
      </c>
      <c r="AP298">
        <f>IF(AP$1=$AO$1,IF(regle!C$2-$Q298&gt;=regle!$J$12,-2,IF($S298,IF(regle!$B$2-$Q298&gt;=2,0,-1),regle!C$2-$Q298)),IF(AO298+1&gt;=regle!$J$12,-2,AO298+1))</f>
        <v>1</v>
      </c>
      <c r="AQ298">
        <f>IF(AQ$1=$AO$1,IF(regle!D$2-$Q298&gt;=regle!$J$12,-2,IF($S298,IF(regle!$B$2-$Q298&gt;=2,0,-1),regle!D$2-$Q298)),IF(AP298+1&gt;=regle!$J$12,-2,AP298+1))</f>
        <v>2</v>
      </c>
      <c r="AR298">
        <f>IF(AR$1=$AO$1,IF(regle!E$2-$Q298&gt;=regle!$J$12,-2,IF($S298,IF(regle!$B$2-$Q298&gt;=2,0,-1),regle!E$2-$Q298)),IF(AQ298+1&gt;=regle!$J$12,-2,AQ298+1))</f>
        <v>3</v>
      </c>
      <c r="AS298">
        <f>IF(AS$1=$AO$1,IF(regle!F$2-$Q298&gt;=regle!$J$12,-2,IF($S298,IF(regle!$B$2-$Q298&gt;=2,0,-1),regle!F$2-$Q298)),IF(AR298+1&gt;=regle!$J$12,-2,AR298+1))</f>
        <v>4</v>
      </c>
      <c r="AT298">
        <f>IF(AT$1=$AO$1,IF(regle!G$2-$Q298&gt;=regle!$J$12,-2,IF($S298,IF(regle!$B$2-$Q298&gt;=2,0,-1),regle!G$2-$Q298)),IF(AS298+1&gt;=regle!$J$12,-2,AS298+1))</f>
        <v>5</v>
      </c>
      <c r="AU298">
        <f>IF(AU$1=$AO$1,IF(regle!H$2-$Q298&gt;=regle!$J$12,-2,IF($S298,IF(regle!$B$2-$Q298&gt;=2,0,-1),regle!H$2-$Q298)),IF(AT298+1&gt;=regle!$J$12,-2,AT298+1))</f>
        <v>6</v>
      </c>
      <c r="AV298">
        <f>IF(AV$1=$AO$1,IF(regle!I$2-$Q298&gt;=regle!$J$12,-2,IF($S298,IF(regle!$B$2-$Q298&gt;=2,0,-1),regle!I$2-$Q298)),IF(AU298+1&gt;=regle!$J$12,-2,AU298+1))</f>
        <v>7</v>
      </c>
      <c r="AW298">
        <f>IF(AW$1=$AO$1,IF(regle!J$2-$Q298&gt;=regle!$J$12,-2,IF($S298,IF(regle!$B$2-$Q298&gt;=2,0,-1),regle!J$2-$Q298)),IF(AV298+1&gt;=regle!$J$12,-2,AV298+1))</f>
        <v>8</v>
      </c>
      <c r="AX298">
        <f>IF(AX$1=$AO$1,IF(regle!K$2-$Q298&gt;=regle!$J$12,-2,IF($S298,IF(regle!$B$2-$Q298&gt;=2,0,-1),regle!K$2-$Q298)),IF(AW298+1&gt;=regle!$J$12,-2,AW298+1))</f>
        <v>9</v>
      </c>
    </row>
    <row r="299" spans="1:50" x14ac:dyDescent="0.25">
      <c r="A299" t="b">
        <f>AND(modif0[[#This Row],[cdstr]]&lt;&gt;0,OR(regle!$H$27=FALSE,modif0[[#This Row],[essnc]]="PM"))</f>
        <v>1</v>
      </c>
      <c r="B299">
        <f>ROW(objet!A349)</f>
        <v>349</v>
      </c>
      <c r="C299" s="10" t="str">
        <f>objet!D349</f>
        <v>1710000C0173</v>
      </c>
      <c r="D299" t="str">
        <f>LEFT(modif0[[#This Row],[cdstr]],3)</f>
        <v>171</v>
      </c>
      <c r="E299" s="10" t="str">
        <f>objet!G349</f>
        <v>MANO</v>
      </c>
      <c r="F299">
        <f>LEN(modif0[[#This Row],[l_dt]])</f>
        <v>6</v>
      </c>
      <c r="G299" s="10" t="str">
        <f>objet!H349</f>
        <v>BARRAT</v>
      </c>
      <c r="H299" s="10" t="str">
        <f>objet!C349</f>
        <v>C173</v>
      </c>
      <c r="I299" t="str">
        <f>IF(ISNUMBER(VALUE(RIGHT(LEFT(modif0[[#This Row],[idntfn]],2),1))),_xlfn.CONCAT(0,LEFT(modif0[[#This Row],[idntfn]],1)),LEFT(modif0[[#This Row],[idntfn]],2))</f>
        <v>0C</v>
      </c>
      <c r="J299">
        <f>VALUE(LEFT(RIGHT(modif0[[#This Row],[idntfn]],LEN(modif0[[#This Row],[idntfn]])-IF(LEFT(modif0[[#This Row],[sctn]],1)="0",1,2)),LEN(modif0[[#This Row],[idntfn]])-IF(LEFT(modif0[[#This Row],[sctn]],1)="0",1,2)-LEN(modif0[[#This Row],[lttr]])))</f>
        <v>173</v>
      </c>
      <c r="K299" t="str">
        <f>IF(ISNUMBER(VALUE(RIGHT(modif0[[#This Row],[idntfn]],1))),"",IF(ISNUMBER(VALUE(LEFT(RIGHT(modif0[[#This Row],[idntfn]],2),1))),RIGHT(modif0[[#This Row],[idntfn]],1),RIGHT(modif0[[#This Row],[idntfn]],2)))</f>
        <v/>
      </c>
      <c r="L299" s="10">
        <f>objet!I349</f>
        <v>22122</v>
      </c>
      <c r="M299" s="11">
        <f>modif0[[#This Row],[srfc]]/10000</f>
        <v>2.2122000000000002</v>
      </c>
      <c r="N299" s="10" t="str">
        <f>objet!Z349</f>
        <v>PM</v>
      </c>
      <c r="O299" s="10" t="str">
        <f>objet!AA349</f>
        <v>CR2022</v>
      </c>
      <c r="P299" t="str">
        <f>IF(ISNUMBER(modif0[[#This Row],[trvx]]),"",LEFT(modif0[[#This Row],[trvx]],LEN(modif0[[#This Row],[trvx]])-4))</f>
        <v>CR</v>
      </c>
      <c r="Q299">
        <f>VALUE(RIGHT(modif0[[#This Row],[trvx]],4))</f>
        <v>2022</v>
      </c>
      <c r="R299" t="str">
        <f>_xlfn.CONCAT(modif0[[#This Row],[tp]],"-",modif0[[#This Row],[essnc]],"_",modif0[[#This Row],[anns]])</f>
        <v>CR-PM_2022</v>
      </c>
      <c r="S299" t="b">
        <f>modif0[[#This Row],[tp]]="CR"</f>
        <v>1</v>
      </c>
      <c r="T299">
        <v>40</v>
      </c>
      <c r="U299" t="str">
        <f>IF(NOT($A299),"",
IF(AO299=-2,regle!$J$11,
IF(AO299=regle!$B$12,regle!$B$11,
IF(AO299=regle!$C$12,regle!$C$11,
IF(AO299=regle!$D$12,regle!$D$11,
IF(AO299=regle!$E$12,regle!$E$11,
IF(AO299=regle!$F$12,regle!$F$11,
IF(AO299=regle!$G$12,regle!$G$11,
IF(AO299=regle!$H$12,regle!$H$11,
IF(AO299=regle!$I$12,regle!$I$11,""))))))))))</f>
        <v>RBST</v>
      </c>
      <c r="V299" t="str">
        <f>IF(NOT($A299),"",
IF(AP299=-2,regle!$J$11,
IF(AP299=regle!$B$12,regle!$B$11,
IF(AP299=regle!$C$12,regle!$C$11,
IF(AP299=regle!$D$12,regle!$D$11,
IF(AP299=regle!$E$12,regle!$E$11,
IF(AP299=regle!$F$12,regle!$F$11,
IF(AP299=regle!$G$12,regle!$G$11,
IF(AP299=regle!$H$12,regle!$H$11,
IF(AP299=regle!$I$12,regle!$I$11,""))))))))))</f>
        <v/>
      </c>
      <c r="W299" t="str">
        <f>IF(NOT($A299),"",
IF(AQ299=-2,regle!$J$11,
IF(AQ299=regle!$B$12,regle!$B$11,
IF(AQ299=regle!$C$12,regle!$C$11,
IF(AQ299=regle!$D$12,regle!$D$11,
IF(AQ299=regle!$E$12,regle!$E$11,
IF(AQ299=regle!$F$12,regle!$F$11,
IF(AQ299=regle!$G$12,regle!$G$11,
IF(AQ299=regle!$H$12,regle!$H$11,
IF(AQ299=regle!$I$12,regle!$I$11,""))))))))))</f>
        <v>DGT</v>
      </c>
      <c r="X299" t="str">
        <f>IF(NOT($A299),"",
IF(AR299=-2,regle!$J$11,
IF(AR299=regle!$B$12,regle!$B$11,
IF(AR299=regle!$C$12,regle!$C$11,
IF(AR299=regle!$D$12,regle!$D$11,
IF(AR299=regle!$E$12,regle!$E$11,
IF(AR299=regle!$F$12,regle!$F$11,
IF(AR299=regle!$G$12,regle!$G$11,
IF(AR299=regle!$H$12,regle!$H$11,
IF(AR299=regle!$I$12,regle!$I$11,""))))))))))</f>
        <v/>
      </c>
      <c r="Y299" t="str">
        <f>IF(NOT($A299),"",
IF(AS299=-2,regle!$J$11,
IF(AS299=regle!$B$12,regle!$B$11,
IF(AS299=regle!$C$12,regle!$C$11,
IF(AS299=regle!$D$12,regle!$D$11,
IF(AS299=regle!$E$12,regle!$E$11,
IF(AS299=regle!$F$12,regle!$F$11,
IF(AS299=regle!$G$12,regle!$G$11,
IF(AS299=regle!$H$12,regle!$H$11,
IF(AS299=regle!$I$12,regle!$I$11,""))))))))))</f>
        <v/>
      </c>
      <c r="Z299" t="str">
        <f>IF(NOT($A299),"",
IF(AT299=-2,regle!$J$11,
IF(AT299=regle!$B$12,regle!$B$11,
IF(AT299=regle!$C$12,regle!$C$11,
IF(AT299=regle!$D$12,regle!$D$11,
IF(AT299=regle!$E$12,regle!$E$11,
IF(AT299=regle!$F$12,regle!$F$11,
IF(AT299=regle!$G$12,regle!$G$11,
IF(AT299=regle!$H$12,regle!$H$11,
IF(AT299=regle!$I$12,regle!$I$11,""))))))))))</f>
        <v>ENT1</v>
      </c>
      <c r="AA299" t="str">
        <f>IF(NOT($A299),"",
IF(AU299=-2,regle!$J$11,
IF(AU299=regle!$B$12,regle!$B$11,
IF(AU299=regle!$C$12,regle!$C$11,
IF(AU299=regle!$D$12,regle!$D$11,
IF(AU299=regle!$E$12,regle!$E$11,
IF(AU299=regle!$F$12,regle!$F$11,
IF(AU299=regle!$G$12,regle!$G$11,
IF(AU299=regle!$H$12,regle!$H$11,
IF(AU299=regle!$I$12,regle!$I$11,""))))))))))</f>
        <v/>
      </c>
      <c r="AB299" t="str">
        <f>IF(NOT($A299),"",
IF(AV299=-2,regle!$J$11,
IF(AV299=regle!$B$12,regle!$B$11,
IF(AV299=regle!$C$12,regle!$C$11,
IF(AV299=regle!$D$12,regle!$D$11,
IF(AV299=regle!$E$12,regle!$E$11,
IF(AV299=regle!$F$12,regle!$F$11,
IF(AV299=regle!$G$12,regle!$G$11,
IF(AV299=regle!$H$12,regle!$H$11,
IF(AV299=regle!$I$12,regle!$I$11,""))))))))))</f>
        <v/>
      </c>
      <c r="AC299" t="str">
        <f>IF(NOT($A299),"",
IF(AW299=-2,regle!$J$11,
IF(AW299=regle!$B$12,regle!$B$11,
IF(AW299=regle!$C$12,regle!$C$11,
IF(AW299=regle!$D$12,regle!$D$11,
IF(AW299=regle!$E$12,regle!$E$11,
IF(AW299=regle!$F$12,regle!$F$11,
IF(AW299=regle!$G$12,regle!$G$11,
IF(AW299=regle!$H$12,regle!$H$11,
IF(AW299=regle!$I$12,regle!$I$11,""))))))))))</f>
        <v>ENT2</v>
      </c>
      <c r="AD299" t="str">
        <f>IF(NOT($A299),"",
IF(AX299=-2,regle!$J$11,
IF(AX299=regle!$B$12,regle!$B$11,
IF(AX299=regle!$C$12,regle!$C$11,
IF(AX299=regle!$D$12,regle!$D$11,
IF(AX299=regle!$E$12,regle!$E$11,
IF(AX299=regle!$F$12,regle!$F$11,
IF(AX299=regle!$G$12,regle!$G$11,
IF(AX299=regle!$H$12,regle!$H$11,
IF(AX299=regle!$I$12,regle!$I$11,""))))))))))</f>
        <v/>
      </c>
      <c r="AE299" s="14">
        <f>IF($A299,$M299*(IF(U299=regle!$B$11,regle!$B$23,IF(U299=regle!$C$11,regle!$C$23,IF(U299=regle!$D$11,regle!$D$23,IF(U299=regle!$E$11,regle!$E$23,IF(U299=regle!$F$11,regle!$F$23,IF(U299=regle!$G$11,regle!$G$23,IF(U299=regle!$H$11,regle!$H$23,IF(U299=regle!$I$11,regle!$I$23,IF(U299=regle!$J$11,regle!$J$23,0)))))))))))</f>
        <v>-3760.7400000000002</v>
      </c>
      <c r="AF299" s="14">
        <f>IF($A299,$M299*(IF(V299=regle!$B$11,regle!$B$23,IF(V299=regle!$C$11,regle!$C$23,IF(V299=regle!$D$11,regle!$D$23,IF(V299=regle!$E$11,regle!$E$23,IF(V299=regle!$F$11,regle!$F$23,IF(V299=regle!$G$11,regle!$G$23,IF(V299=regle!$H$11,regle!$H$23,IF(V299=regle!$I$11,regle!$I$23,IF(V299=regle!$J$11,regle!$J$23,0)))))))))))</f>
        <v>0</v>
      </c>
      <c r="AG299" s="14">
        <f>IF($A299,$M299*(IF(W299=regle!$B$11,regle!$B$23,IF(W299=regle!$C$11,regle!$C$23,IF(W299=regle!$D$11,regle!$D$23,IF(W299=regle!$E$11,regle!$E$23,IF(W299=regle!$F$11,regle!$F$23,IF(W299=regle!$G$11,regle!$G$23,IF(W299=regle!$H$11,regle!$H$23,IF(W299=regle!$I$11,regle!$I$23,IF(W299=regle!$J$11,regle!$J$23,0)))))))))))</f>
        <v>-165.91500000000002</v>
      </c>
      <c r="AH299" s="14">
        <f>IF($A299,$M299*(IF(X299=regle!$B$11,regle!$B$23,IF(X299=regle!$C$11,regle!$C$23,IF(X299=regle!$D$11,regle!$D$23,IF(X299=regle!$E$11,regle!$E$23,IF(X299=regle!$F$11,regle!$F$23,IF(X299=regle!$G$11,regle!$G$23,IF(X299=regle!$H$11,regle!$H$23,IF(X299=regle!$I$11,regle!$I$23,IF(X299=regle!$J$11,regle!$J$23,0)))))))))))</f>
        <v>0</v>
      </c>
      <c r="AI299" s="14">
        <f>IF($A299,$M299*(IF(Y299=regle!$B$11,regle!$B$23,IF(Y299=regle!$C$11,regle!$C$23,IF(Y299=regle!$D$11,regle!$D$23,IF(Y299=regle!$E$11,regle!$E$23,IF(Y299=regle!$F$11,regle!$F$23,IF(Y299=regle!$G$11,regle!$G$23,IF(Y299=regle!$H$11,regle!$H$23,IF(Y299=regle!$I$11,regle!$I$23,IF(Y299=regle!$J$11,regle!$J$23,0)))))))))))</f>
        <v>0</v>
      </c>
      <c r="AJ299" s="14">
        <f>IF($A299,$M299*(IF(Z299=regle!$B$11,regle!$B$23,IF(Z299=regle!$C$11,regle!$C$23,IF(Z299=regle!$D$11,regle!$D$23,IF(Z299=regle!$E$11,regle!$E$23,IF(Z299=regle!$F$11,regle!$F$23,IF(Z299=regle!$G$11,regle!$G$23,IF(Z299=regle!$H$11,regle!$H$23,IF(Z299=regle!$I$11,regle!$I$23,IF(Z299=regle!$J$11,regle!$J$23,0)))))))))))</f>
        <v>-199.09800000000001</v>
      </c>
      <c r="AK299" s="14">
        <f>IF($A299,$M299*(IF(AA299=regle!$B$11,regle!$B$23,IF(AA299=regle!$C$11,regle!$C$23,IF(AA299=regle!$D$11,regle!$D$23,IF(AA299=regle!$E$11,regle!$E$23,IF(AA299=regle!$F$11,regle!$F$23,IF(AA299=regle!$G$11,regle!$G$23,IF(AA299=regle!$H$11,regle!$H$23,IF(AA299=regle!$I$11,regle!$I$23,IF(AA299=regle!$J$11,regle!$J$23,0)))))))))))</f>
        <v>0</v>
      </c>
      <c r="AL299" s="14">
        <f>IF($A299,$M299*(IF(AB299=regle!$B$11,regle!$B$23,IF(AB299=regle!$C$11,regle!$C$23,IF(AB299=regle!$D$11,regle!$D$23,IF(AB299=regle!$E$11,regle!$E$23,IF(AB299=regle!$F$11,regle!$F$23,IF(AB299=regle!$G$11,regle!$G$23,IF(AB299=regle!$H$11,regle!$H$23,IF(AB299=regle!$I$11,regle!$I$23,IF(AB299=regle!$J$11,regle!$J$23,0)))))))))))</f>
        <v>0</v>
      </c>
      <c r="AM299" s="14">
        <f>IF($A299,$M299*(IF(AC299=regle!$B$11,regle!$B$23,IF(AC299=regle!$C$11,regle!$C$23,IF(AC299=regle!$D$11,regle!$D$23,IF(AC299=regle!$E$11,regle!$E$23,IF(AC299=regle!$F$11,regle!$F$23,IF(AC299=regle!$G$11,regle!$G$23,IF(AC299=regle!$H$11,regle!$H$23,IF(AC299=regle!$I$11,regle!$I$23,IF(AC299=regle!$J$11,regle!$J$23,0)))))))))))</f>
        <v>-199.09800000000001</v>
      </c>
      <c r="AN299" s="14">
        <f>IF($A299,$M299*(IF(AD299=regle!$B$11,regle!$B$23,IF(AD299=regle!$C$11,regle!$C$23,IF(AD299=regle!$D$11,regle!$D$23,IF(AD299=regle!$E$11,regle!$E$23,IF(AD299=regle!$F$11,regle!$F$23,IF(AD299=regle!$G$11,regle!$G$23,IF(AD299=regle!$H$11,regle!$H$23,IF(AD299=regle!$I$11,regle!$I$23,IF(AD299=regle!$J$11,regle!$J$23,0)))))))))))</f>
        <v>0</v>
      </c>
      <c r="AO299">
        <f>IF(AO$1=$AO$1,IF(regle!B$2-$Q299&gt;=regle!$J$12,-2,IF($S299,IF(regle!$B$2-$Q299&gt;=2,0,-1),regle!B$2-$Q299)),IF(AN299+1&gt;=regle!$J$12,-2,AN299+1))</f>
        <v>0</v>
      </c>
      <c r="AP299">
        <f>IF(AP$1=$AO$1,IF(regle!C$2-$Q299&gt;=regle!$J$12,-2,IF($S299,IF(regle!$B$2-$Q299&gt;=2,0,-1),regle!C$2-$Q299)),IF(AO299+1&gt;=regle!$J$12,-2,AO299+1))</f>
        <v>1</v>
      </c>
      <c r="AQ299">
        <f>IF(AQ$1=$AO$1,IF(regle!D$2-$Q299&gt;=regle!$J$12,-2,IF($S299,IF(regle!$B$2-$Q299&gt;=2,0,-1),regle!D$2-$Q299)),IF(AP299+1&gt;=regle!$J$12,-2,AP299+1))</f>
        <v>2</v>
      </c>
      <c r="AR299">
        <f>IF(AR$1=$AO$1,IF(regle!E$2-$Q299&gt;=regle!$J$12,-2,IF($S299,IF(regle!$B$2-$Q299&gt;=2,0,-1),regle!E$2-$Q299)),IF(AQ299+1&gt;=regle!$J$12,-2,AQ299+1))</f>
        <v>3</v>
      </c>
      <c r="AS299">
        <f>IF(AS$1=$AO$1,IF(regle!F$2-$Q299&gt;=regle!$J$12,-2,IF($S299,IF(regle!$B$2-$Q299&gt;=2,0,-1),regle!F$2-$Q299)),IF(AR299+1&gt;=regle!$J$12,-2,AR299+1))</f>
        <v>4</v>
      </c>
      <c r="AT299">
        <f>IF(AT$1=$AO$1,IF(regle!G$2-$Q299&gt;=regle!$J$12,-2,IF($S299,IF(regle!$B$2-$Q299&gt;=2,0,-1),regle!G$2-$Q299)),IF(AS299+1&gt;=regle!$J$12,-2,AS299+1))</f>
        <v>5</v>
      </c>
      <c r="AU299">
        <f>IF(AU$1=$AO$1,IF(regle!H$2-$Q299&gt;=regle!$J$12,-2,IF($S299,IF(regle!$B$2-$Q299&gt;=2,0,-1),regle!H$2-$Q299)),IF(AT299+1&gt;=regle!$J$12,-2,AT299+1))</f>
        <v>6</v>
      </c>
      <c r="AV299">
        <f>IF(AV$1=$AO$1,IF(regle!I$2-$Q299&gt;=regle!$J$12,-2,IF($S299,IF(regle!$B$2-$Q299&gt;=2,0,-1),regle!I$2-$Q299)),IF(AU299+1&gt;=regle!$J$12,-2,AU299+1))</f>
        <v>7</v>
      </c>
      <c r="AW299">
        <f>IF(AW$1=$AO$1,IF(regle!J$2-$Q299&gt;=regle!$J$12,-2,IF($S299,IF(regle!$B$2-$Q299&gt;=2,0,-1),regle!J$2-$Q299)),IF(AV299+1&gt;=regle!$J$12,-2,AV299+1))</f>
        <v>8</v>
      </c>
      <c r="AX299">
        <f>IF(AX$1=$AO$1,IF(regle!K$2-$Q299&gt;=regle!$J$12,-2,IF($S299,IF(regle!$B$2-$Q299&gt;=2,0,-1),regle!K$2-$Q299)),IF(AW299+1&gt;=regle!$J$12,-2,AW299+1))</f>
        <v>9</v>
      </c>
    </row>
    <row r="300" spans="1:50" x14ac:dyDescent="0.25">
      <c r="A300" t="b">
        <f>AND(modif0[[#This Row],[cdstr]]&lt;&gt;0,OR(regle!$H$27=FALSE,modif0[[#This Row],[essnc]]="PM"))</f>
        <v>1</v>
      </c>
      <c r="B300">
        <f>ROW(objet!A350)</f>
        <v>350</v>
      </c>
      <c r="C300" s="10" t="str">
        <f>objet!D350</f>
        <v>1710000C0174</v>
      </c>
      <c r="D300" t="str">
        <f>LEFT(modif0[[#This Row],[cdstr]],3)</f>
        <v>171</v>
      </c>
      <c r="E300" s="10" t="str">
        <f>objet!G350</f>
        <v>MANO</v>
      </c>
      <c r="F300">
        <f>LEN(modif0[[#This Row],[l_dt]])</f>
        <v>6</v>
      </c>
      <c r="G300" s="10" t="str">
        <f>objet!H350</f>
        <v>BARRAT</v>
      </c>
      <c r="H300" s="10" t="str">
        <f>objet!C350</f>
        <v>C174</v>
      </c>
      <c r="I300" t="str">
        <f>IF(ISNUMBER(VALUE(RIGHT(LEFT(modif0[[#This Row],[idntfn]],2),1))),_xlfn.CONCAT(0,LEFT(modif0[[#This Row],[idntfn]],1)),LEFT(modif0[[#This Row],[idntfn]],2))</f>
        <v>0C</v>
      </c>
      <c r="J300">
        <f>VALUE(LEFT(RIGHT(modif0[[#This Row],[idntfn]],LEN(modif0[[#This Row],[idntfn]])-IF(LEFT(modif0[[#This Row],[sctn]],1)="0",1,2)),LEN(modif0[[#This Row],[idntfn]])-IF(LEFT(modif0[[#This Row],[sctn]],1)="0",1,2)-LEN(modif0[[#This Row],[lttr]])))</f>
        <v>174</v>
      </c>
      <c r="K300" t="str">
        <f>IF(ISNUMBER(VALUE(RIGHT(modif0[[#This Row],[idntfn]],1))),"",IF(ISNUMBER(VALUE(LEFT(RIGHT(modif0[[#This Row],[idntfn]],2),1))),RIGHT(modif0[[#This Row],[idntfn]],1),RIGHT(modif0[[#This Row],[idntfn]],2)))</f>
        <v/>
      </c>
      <c r="L300" s="10">
        <f>objet!I350</f>
        <v>5586</v>
      </c>
      <c r="M300" s="11">
        <f>modif0[[#This Row],[srfc]]/10000</f>
        <v>0.55859999999999999</v>
      </c>
      <c r="N300" s="10" t="str">
        <f>objet!Z350</f>
        <v>PM</v>
      </c>
      <c r="O300" s="10" t="str">
        <f>objet!AA350</f>
        <v>CR2022</v>
      </c>
      <c r="P300" t="str">
        <f>IF(ISNUMBER(modif0[[#This Row],[trvx]]),"",LEFT(modif0[[#This Row],[trvx]],LEN(modif0[[#This Row],[trvx]])-4))</f>
        <v>CR</v>
      </c>
      <c r="Q300">
        <f>VALUE(RIGHT(modif0[[#This Row],[trvx]],4))</f>
        <v>2022</v>
      </c>
      <c r="R300" t="str">
        <f>_xlfn.CONCAT(modif0[[#This Row],[tp]],"-",modif0[[#This Row],[essnc]],"_",modif0[[#This Row],[anns]])</f>
        <v>CR-PM_2022</v>
      </c>
      <c r="S300" t="b">
        <f>modif0[[#This Row],[tp]]="CR"</f>
        <v>1</v>
      </c>
      <c r="T300">
        <v>40</v>
      </c>
      <c r="U300" t="str">
        <f>IF(NOT($A300),"",
IF(AO300=-2,regle!$J$11,
IF(AO300=regle!$B$12,regle!$B$11,
IF(AO300=regle!$C$12,regle!$C$11,
IF(AO300=regle!$D$12,regle!$D$11,
IF(AO300=regle!$E$12,regle!$E$11,
IF(AO300=regle!$F$12,regle!$F$11,
IF(AO300=regle!$G$12,regle!$G$11,
IF(AO300=regle!$H$12,regle!$H$11,
IF(AO300=regle!$I$12,regle!$I$11,""))))))))))</f>
        <v>RBST</v>
      </c>
      <c r="V300" t="str">
        <f>IF(NOT($A300),"",
IF(AP300=-2,regle!$J$11,
IF(AP300=regle!$B$12,regle!$B$11,
IF(AP300=regle!$C$12,regle!$C$11,
IF(AP300=regle!$D$12,regle!$D$11,
IF(AP300=regle!$E$12,regle!$E$11,
IF(AP300=regle!$F$12,regle!$F$11,
IF(AP300=regle!$G$12,regle!$G$11,
IF(AP300=regle!$H$12,regle!$H$11,
IF(AP300=regle!$I$12,regle!$I$11,""))))))))))</f>
        <v/>
      </c>
      <c r="W300" t="str">
        <f>IF(NOT($A300),"",
IF(AQ300=-2,regle!$J$11,
IF(AQ300=regle!$B$12,regle!$B$11,
IF(AQ300=regle!$C$12,regle!$C$11,
IF(AQ300=regle!$D$12,regle!$D$11,
IF(AQ300=regle!$E$12,regle!$E$11,
IF(AQ300=regle!$F$12,regle!$F$11,
IF(AQ300=regle!$G$12,regle!$G$11,
IF(AQ300=regle!$H$12,regle!$H$11,
IF(AQ300=regle!$I$12,regle!$I$11,""))))))))))</f>
        <v>DGT</v>
      </c>
      <c r="X300" t="str">
        <f>IF(NOT($A300),"",
IF(AR300=-2,regle!$J$11,
IF(AR300=regle!$B$12,regle!$B$11,
IF(AR300=regle!$C$12,regle!$C$11,
IF(AR300=regle!$D$12,regle!$D$11,
IF(AR300=regle!$E$12,regle!$E$11,
IF(AR300=regle!$F$12,regle!$F$11,
IF(AR300=regle!$G$12,regle!$G$11,
IF(AR300=regle!$H$12,regle!$H$11,
IF(AR300=regle!$I$12,regle!$I$11,""))))))))))</f>
        <v/>
      </c>
      <c r="Y300" t="str">
        <f>IF(NOT($A300),"",
IF(AS300=-2,regle!$J$11,
IF(AS300=regle!$B$12,regle!$B$11,
IF(AS300=regle!$C$12,regle!$C$11,
IF(AS300=regle!$D$12,regle!$D$11,
IF(AS300=regle!$E$12,regle!$E$11,
IF(AS300=regle!$F$12,regle!$F$11,
IF(AS300=regle!$G$12,regle!$G$11,
IF(AS300=regle!$H$12,regle!$H$11,
IF(AS300=regle!$I$12,regle!$I$11,""))))))))))</f>
        <v/>
      </c>
      <c r="Z300" t="str">
        <f>IF(NOT($A300),"",
IF(AT300=-2,regle!$J$11,
IF(AT300=regle!$B$12,regle!$B$11,
IF(AT300=regle!$C$12,regle!$C$11,
IF(AT300=regle!$D$12,regle!$D$11,
IF(AT300=regle!$E$12,regle!$E$11,
IF(AT300=regle!$F$12,regle!$F$11,
IF(AT300=regle!$G$12,regle!$G$11,
IF(AT300=regle!$H$12,regle!$H$11,
IF(AT300=regle!$I$12,regle!$I$11,""))))))))))</f>
        <v>ENT1</v>
      </c>
      <c r="AA300" t="str">
        <f>IF(NOT($A300),"",
IF(AU300=-2,regle!$J$11,
IF(AU300=regle!$B$12,regle!$B$11,
IF(AU300=regle!$C$12,regle!$C$11,
IF(AU300=regle!$D$12,regle!$D$11,
IF(AU300=regle!$E$12,regle!$E$11,
IF(AU300=regle!$F$12,regle!$F$11,
IF(AU300=regle!$G$12,regle!$G$11,
IF(AU300=regle!$H$12,regle!$H$11,
IF(AU300=regle!$I$12,regle!$I$11,""))))))))))</f>
        <v/>
      </c>
      <c r="AB300" t="str">
        <f>IF(NOT($A300),"",
IF(AV300=-2,regle!$J$11,
IF(AV300=regle!$B$12,regle!$B$11,
IF(AV300=regle!$C$12,regle!$C$11,
IF(AV300=regle!$D$12,regle!$D$11,
IF(AV300=regle!$E$12,regle!$E$11,
IF(AV300=regle!$F$12,regle!$F$11,
IF(AV300=regle!$G$12,regle!$G$11,
IF(AV300=regle!$H$12,regle!$H$11,
IF(AV300=regle!$I$12,regle!$I$11,""))))))))))</f>
        <v/>
      </c>
      <c r="AC300" t="str">
        <f>IF(NOT($A300),"",
IF(AW300=-2,regle!$J$11,
IF(AW300=regle!$B$12,regle!$B$11,
IF(AW300=regle!$C$12,regle!$C$11,
IF(AW300=regle!$D$12,regle!$D$11,
IF(AW300=regle!$E$12,regle!$E$11,
IF(AW300=regle!$F$12,regle!$F$11,
IF(AW300=regle!$G$12,regle!$G$11,
IF(AW300=regle!$H$12,regle!$H$11,
IF(AW300=regle!$I$12,regle!$I$11,""))))))))))</f>
        <v>ENT2</v>
      </c>
      <c r="AD300" t="str">
        <f>IF(NOT($A300),"",
IF(AX300=-2,regle!$J$11,
IF(AX300=regle!$B$12,regle!$B$11,
IF(AX300=regle!$C$12,regle!$C$11,
IF(AX300=regle!$D$12,regle!$D$11,
IF(AX300=regle!$E$12,regle!$E$11,
IF(AX300=regle!$F$12,regle!$F$11,
IF(AX300=regle!$G$12,regle!$G$11,
IF(AX300=regle!$H$12,regle!$H$11,
IF(AX300=regle!$I$12,regle!$I$11,""))))))))))</f>
        <v/>
      </c>
      <c r="AE300" s="14">
        <f>IF($A300,$M300*(IF(U300=regle!$B$11,regle!$B$23,IF(U300=regle!$C$11,regle!$C$23,IF(U300=regle!$D$11,regle!$D$23,IF(U300=regle!$E$11,regle!$E$23,IF(U300=regle!$F$11,regle!$F$23,IF(U300=regle!$G$11,regle!$G$23,IF(U300=regle!$H$11,regle!$H$23,IF(U300=regle!$I$11,regle!$I$23,IF(U300=regle!$J$11,regle!$J$23,0)))))))))))</f>
        <v>-949.62</v>
      </c>
      <c r="AF300" s="14">
        <f>IF($A300,$M300*(IF(V300=regle!$B$11,regle!$B$23,IF(V300=regle!$C$11,regle!$C$23,IF(V300=regle!$D$11,regle!$D$23,IF(V300=regle!$E$11,regle!$E$23,IF(V300=regle!$F$11,regle!$F$23,IF(V300=regle!$G$11,regle!$G$23,IF(V300=regle!$H$11,regle!$H$23,IF(V300=regle!$I$11,regle!$I$23,IF(V300=regle!$J$11,regle!$J$23,0)))))))))))</f>
        <v>0</v>
      </c>
      <c r="AG300" s="14">
        <f>IF($A300,$M300*(IF(W300=regle!$B$11,regle!$B$23,IF(W300=regle!$C$11,regle!$C$23,IF(W300=regle!$D$11,regle!$D$23,IF(W300=regle!$E$11,regle!$E$23,IF(W300=regle!$F$11,regle!$F$23,IF(W300=regle!$G$11,regle!$G$23,IF(W300=regle!$H$11,regle!$H$23,IF(W300=regle!$I$11,regle!$I$23,IF(W300=regle!$J$11,regle!$J$23,0)))))))))))</f>
        <v>-41.894999999999996</v>
      </c>
      <c r="AH300" s="14">
        <f>IF($A300,$M300*(IF(X300=regle!$B$11,regle!$B$23,IF(X300=regle!$C$11,regle!$C$23,IF(X300=regle!$D$11,regle!$D$23,IF(X300=regle!$E$11,regle!$E$23,IF(X300=regle!$F$11,regle!$F$23,IF(X300=regle!$G$11,regle!$G$23,IF(X300=regle!$H$11,regle!$H$23,IF(X300=regle!$I$11,regle!$I$23,IF(X300=regle!$J$11,regle!$J$23,0)))))))))))</f>
        <v>0</v>
      </c>
      <c r="AI300" s="14">
        <f>IF($A300,$M300*(IF(Y300=regle!$B$11,regle!$B$23,IF(Y300=regle!$C$11,regle!$C$23,IF(Y300=regle!$D$11,regle!$D$23,IF(Y300=regle!$E$11,regle!$E$23,IF(Y300=regle!$F$11,regle!$F$23,IF(Y300=regle!$G$11,regle!$G$23,IF(Y300=regle!$H$11,regle!$H$23,IF(Y300=regle!$I$11,regle!$I$23,IF(Y300=regle!$J$11,regle!$J$23,0)))))))))))</f>
        <v>0</v>
      </c>
      <c r="AJ300" s="14">
        <f>IF($A300,$M300*(IF(Z300=regle!$B$11,regle!$B$23,IF(Z300=regle!$C$11,regle!$C$23,IF(Z300=regle!$D$11,regle!$D$23,IF(Z300=regle!$E$11,regle!$E$23,IF(Z300=regle!$F$11,regle!$F$23,IF(Z300=regle!$G$11,regle!$G$23,IF(Z300=regle!$H$11,regle!$H$23,IF(Z300=regle!$I$11,regle!$I$23,IF(Z300=regle!$J$11,regle!$J$23,0)))))))))))</f>
        <v>-50.274000000000001</v>
      </c>
      <c r="AK300" s="14">
        <f>IF($A300,$M300*(IF(AA300=regle!$B$11,regle!$B$23,IF(AA300=regle!$C$11,regle!$C$23,IF(AA300=regle!$D$11,regle!$D$23,IF(AA300=regle!$E$11,regle!$E$23,IF(AA300=regle!$F$11,regle!$F$23,IF(AA300=regle!$G$11,regle!$G$23,IF(AA300=regle!$H$11,regle!$H$23,IF(AA300=regle!$I$11,regle!$I$23,IF(AA300=regle!$J$11,regle!$J$23,0)))))))))))</f>
        <v>0</v>
      </c>
      <c r="AL300" s="14">
        <f>IF($A300,$M300*(IF(AB300=regle!$B$11,regle!$B$23,IF(AB300=regle!$C$11,regle!$C$23,IF(AB300=regle!$D$11,regle!$D$23,IF(AB300=regle!$E$11,regle!$E$23,IF(AB300=regle!$F$11,regle!$F$23,IF(AB300=regle!$G$11,regle!$G$23,IF(AB300=regle!$H$11,regle!$H$23,IF(AB300=regle!$I$11,regle!$I$23,IF(AB300=regle!$J$11,regle!$J$23,0)))))))))))</f>
        <v>0</v>
      </c>
      <c r="AM300" s="14">
        <f>IF($A300,$M300*(IF(AC300=regle!$B$11,regle!$B$23,IF(AC300=regle!$C$11,regle!$C$23,IF(AC300=regle!$D$11,regle!$D$23,IF(AC300=regle!$E$11,regle!$E$23,IF(AC300=regle!$F$11,regle!$F$23,IF(AC300=regle!$G$11,regle!$G$23,IF(AC300=regle!$H$11,regle!$H$23,IF(AC300=regle!$I$11,regle!$I$23,IF(AC300=regle!$J$11,regle!$J$23,0)))))))))))</f>
        <v>-50.274000000000001</v>
      </c>
      <c r="AN300" s="14">
        <f>IF($A300,$M300*(IF(AD300=regle!$B$11,regle!$B$23,IF(AD300=regle!$C$11,regle!$C$23,IF(AD300=regle!$D$11,regle!$D$23,IF(AD300=regle!$E$11,regle!$E$23,IF(AD300=regle!$F$11,regle!$F$23,IF(AD300=regle!$G$11,regle!$G$23,IF(AD300=regle!$H$11,regle!$H$23,IF(AD300=regle!$I$11,regle!$I$23,IF(AD300=regle!$J$11,regle!$J$23,0)))))))))))</f>
        <v>0</v>
      </c>
      <c r="AO300">
        <f>IF(AO$1=$AO$1,IF(regle!B$2-$Q300&gt;=regle!$J$12,-2,IF($S300,IF(regle!$B$2-$Q300&gt;=2,0,-1),regle!B$2-$Q300)),IF(AN300+1&gt;=regle!$J$12,-2,AN300+1))</f>
        <v>0</v>
      </c>
      <c r="AP300">
        <f>IF(AP$1=$AO$1,IF(regle!C$2-$Q300&gt;=regle!$J$12,-2,IF($S300,IF(regle!$B$2-$Q300&gt;=2,0,-1),regle!C$2-$Q300)),IF(AO300+1&gt;=regle!$J$12,-2,AO300+1))</f>
        <v>1</v>
      </c>
      <c r="AQ300">
        <f>IF(AQ$1=$AO$1,IF(regle!D$2-$Q300&gt;=regle!$J$12,-2,IF($S300,IF(regle!$B$2-$Q300&gt;=2,0,-1),regle!D$2-$Q300)),IF(AP300+1&gt;=regle!$J$12,-2,AP300+1))</f>
        <v>2</v>
      </c>
      <c r="AR300">
        <f>IF(AR$1=$AO$1,IF(regle!E$2-$Q300&gt;=regle!$J$12,-2,IF($S300,IF(regle!$B$2-$Q300&gt;=2,0,-1),regle!E$2-$Q300)),IF(AQ300+1&gt;=regle!$J$12,-2,AQ300+1))</f>
        <v>3</v>
      </c>
      <c r="AS300">
        <f>IF(AS$1=$AO$1,IF(regle!F$2-$Q300&gt;=regle!$J$12,-2,IF($S300,IF(regle!$B$2-$Q300&gt;=2,0,-1),regle!F$2-$Q300)),IF(AR300+1&gt;=regle!$J$12,-2,AR300+1))</f>
        <v>4</v>
      </c>
      <c r="AT300">
        <f>IF(AT$1=$AO$1,IF(regle!G$2-$Q300&gt;=regle!$J$12,-2,IF($S300,IF(regle!$B$2-$Q300&gt;=2,0,-1),regle!G$2-$Q300)),IF(AS300+1&gt;=regle!$J$12,-2,AS300+1))</f>
        <v>5</v>
      </c>
      <c r="AU300">
        <f>IF(AU$1=$AO$1,IF(regle!H$2-$Q300&gt;=regle!$J$12,-2,IF($S300,IF(regle!$B$2-$Q300&gt;=2,0,-1),regle!H$2-$Q300)),IF(AT300+1&gt;=regle!$J$12,-2,AT300+1))</f>
        <v>6</v>
      </c>
      <c r="AV300">
        <f>IF(AV$1=$AO$1,IF(regle!I$2-$Q300&gt;=regle!$J$12,-2,IF($S300,IF(regle!$B$2-$Q300&gt;=2,0,-1),regle!I$2-$Q300)),IF(AU300+1&gt;=regle!$J$12,-2,AU300+1))</f>
        <v>7</v>
      </c>
      <c r="AW300">
        <f>IF(AW$1=$AO$1,IF(regle!J$2-$Q300&gt;=regle!$J$12,-2,IF($S300,IF(regle!$B$2-$Q300&gt;=2,0,-1),regle!J$2-$Q300)),IF(AV300+1&gt;=regle!$J$12,-2,AV300+1))</f>
        <v>8</v>
      </c>
      <c r="AX300">
        <f>IF(AX$1=$AO$1,IF(regle!K$2-$Q300&gt;=regle!$J$12,-2,IF($S300,IF(regle!$B$2-$Q300&gt;=2,0,-1),regle!K$2-$Q300)),IF(AW300+1&gt;=regle!$J$12,-2,AW300+1))</f>
        <v>9</v>
      </c>
    </row>
    <row r="301" spans="1:50" x14ac:dyDescent="0.25">
      <c r="A301" t="b">
        <f>AND(modif0[[#This Row],[cdstr]]&lt;&gt;0,OR(regle!$H$27=FALSE,modif0[[#This Row],[essnc]]="PM"))</f>
        <v>1</v>
      </c>
      <c r="B301">
        <f>ROW(objet!A351)</f>
        <v>351</v>
      </c>
      <c r="C301" s="10" t="str">
        <f>objet!D351</f>
        <v>1710000C0175</v>
      </c>
      <c r="D301" t="str">
        <f>LEFT(modif0[[#This Row],[cdstr]],3)</f>
        <v>171</v>
      </c>
      <c r="E301" s="10" t="str">
        <f>objet!G351</f>
        <v>MANO</v>
      </c>
      <c r="F301">
        <f>LEN(modif0[[#This Row],[l_dt]])</f>
        <v>6</v>
      </c>
      <c r="G301" s="10" t="str">
        <f>objet!H351</f>
        <v>BARRAT</v>
      </c>
      <c r="H301" s="10" t="str">
        <f>objet!C351</f>
        <v>C175j</v>
      </c>
      <c r="I301" t="str">
        <f>IF(ISNUMBER(VALUE(RIGHT(LEFT(modif0[[#This Row],[idntfn]],2),1))),_xlfn.CONCAT(0,LEFT(modif0[[#This Row],[idntfn]],1)),LEFT(modif0[[#This Row],[idntfn]],2))</f>
        <v>0C</v>
      </c>
      <c r="J301">
        <f>VALUE(LEFT(RIGHT(modif0[[#This Row],[idntfn]],LEN(modif0[[#This Row],[idntfn]])-IF(LEFT(modif0[[#This Row],[sctn]],1)="0",1,2)),LEN(modif0[[#This Row],[idntfn]])-IF(LEFT(modif0[[#This Row],[sctn]],1)="0",1,2)-LEN(modif0[[#This Row],[lttr]])))</f>
        <v>175</v>
      </c>
      <c r="K301" t="str">
        <f>IF(ISNUMBER(VALUE(RIGHT(modif0[[#This Row],[idntfn]],1))),"",IF(ISNUMBER(VALUE(LEFT(RIGHT(modif0[[#This Row],[idntfn]],2),1))),RIGHT(modif0[[#This Row],[idntfn]],1),RIGHT(modif0[[#This Row],[idntfn]],2)))</f>
        <v>j</v>
      </c>
      <c r="L301" s="10">
        <f>objet!I351</f>
        <v>9654</v>
      </c>
      <c r="M301" s="11">
        <f>modif0[[#This Row],[srfc]]/10000</f>
        <v>0.96540000000000004</v>
      </c>
      <c r="N301" s="10" t="str">
        <f>objet!Z351</f>
        <v>PM</v>
      </c>
      <c r="O301" s="10" t="str">
        <f>objet!AA351</f>
        <v>PLA1997</v>
      </c>
      <c r="P301" t="str">
        <f>IF(ISNUMBER(modif0[[#This Row],[trvx]]),"",LEFT(modif0[[#This Row],[trvx]],LEN(modif0[[#This Row],[trvx]])-4))</f>
        <v>PLA</v>
      </c>
      <c r="Q301">
        <f>VALUE(RIGHT(modif0[[#This Row],[trvx]],4))</f>
        <v>1997</v>
      </c>
      <c r="R301" t="str">
        <f>_xlfn.CONCAT(modif0[[#This Row],[tp]],"-",modif0[[#This Row],[essnc]],"_",modif0[[#This Row],[anns]])</f>
        <v>PLA-PM_1997</v>
      </c>
      <c r="S301" t="b">
        <f>modif0[[#This Row],[tp]]="CR"</f>
        <v>0</v>
      </c>
      <c r="T301">
        <v>40</v>
      </c>
      <c r="U301" t="str">
        <f>IF(NOT($A301),"",
IF(AO301=-2,regle!$J$11,
IF(AO301=regle!$B$12,regle!$B$11,
IF(AO301=regle!$C$12,regle!$C$11,
IF(AO301=regle!$D$12,regle!$D$11,
IF(AO301=regle!$E$12,regle!$E$11,
IF(AO301=regle!$F$12,regle!$F$11,
IF(AO301=regle!$G$12,regle!$G$11,
IF(AO301=regle!$H$12,regle!$H$11,
IF(AO301=regle!$I$12,regle!$I$11,""))))))))))</f>
        <v/>
      </c>
      <c r="V301" t="str">
        <f>IF(NOT($A301),"",
IF(AP301=-2,regle!$J$11,
IF(AP301=regle!$B$12,regle!$B$11,
IF(AP301=regle!$C$12,regle!$C$11,
IF(AP301=regle!$D$12,regle!$D$11,
IF(AP301=regle!$E$12,regle!$E$11,
IF(AP301=regle!$F$12,regle!$F$11,
IF(AP301=regle!$G$12,regle!$G$11,
IF(AP301=regle!$H$12,regle!$H$11,
IF(AP301=regle!$I$12,regle!$I$11,""))))))))))</f>
        <v>EC4</v>
      </c>
      <c r="W301" t="str">
        <f>IF(NOT($A301),"",
IF(AQ301=-2,regle!$J$11,
IF(AQ301=regle!$B$12,regle!$B$11,
IF(AQ301=regle!$C$12,regle!$C$11,
IF(AQ301=regle!$D$12,regle!$D$11,
IF(AQ301=regle!$E$12,regle!$E$11,
IF(AQ301=regle!$F$12,regle!$F$11,
IF(AQ301=regle!$G$12,regle!$G$11,
IF(AQ301=regle!$H$12,regle!$H$11,
IF(AQ301=regle!$I$12,regle!$I$11,""))))))))))</f>
        <v/>
      </c>
      <c r="X301" t="str">
        <f>IF(NOT($A301),"",
IF(AR301=-2,regle!$J$11,
IF(AR301=regle!$B$12,regle!$B$11,
IF(AR301=regle!$C$12,regle!$C$11,
IF(AR301=regle!$D$12,regle!$D$11,
IF(AR301=regle!$E$12,regle!$E$11,
IF(AR301=regle!$F$12,regle!$F$11,
IF(AR301=regle!$G$12,regle!$G$11,
IF(AR301=regle!$H$12,regle!$H$11,
IF(AR301=regle!$I$12,regle!$I$11,""))))))))))</f>
        <v/>
      </c>
      <c r="Y301" t="str">
        <f>IF(NOT($A301),"",
IF(AS301=-2,regle!$J$11,
IF(AS301=regle!$B$12,regle!$B$11,
IF(AS301=regle!$C$12,regle!$C$11,
IF(AS301=regle!$D$12,regle!$D$11,
IF(AS301=regle!$E$12,regle!$E$11,
IF(AS301=regle!$F$12,regle!$F$11,
IF(AS301=regle!$G$12,regle!$G$11,
IF(AS301=regle!$H$12,regle!$H$11,
IF(AS301=regle!$I$12,regle!$I$11,""))))))))))</f>
        <v/>
      </c>
      <c r="Z301" t="str">
        <f>IF(NOT($A301),"",
IF(AT301=-2,regle!$J$11,
IF(AT301=regle!$B$12,regle!$B$11,
IF(AT301=regle!$C$12,regle!$C$11,
IF(AT301=regle!$D$12,regle!$D$11,
IF(AT301=regle!$E$12,regle!$E$11,
IF(AT301=regle!$F$12,regle!$F$11,
IF(AT301=regle!$G$12,regle!$G$11,
IF(AT301=regle!$H$12,regle!$H$11,
IF(AT301=regle!$I$12,regle!$I$11,""))))))))))</f>
        <v/>
      </c>
      <c r="AA301" t="str">
        <f>IF(NOT($A301),"",
IF(AU301=-2,regle!$J$11,
IF(AU301=regle!$B$12,regle!$B$11,
IF(AU301=regle!$C$12,regle!$C$11,
IF(AU301=regle!$D$12,regle!$D$11,
IF(AU301=regle!$E$12,regle!$E$11,
IF(AU301=regle!$F$12,regle!$F$11,
IF(AU301=regle!$G$12,regle!$G$11,
IF(AU301=regle!$H$12,regle!$H$11,
IF(AU301=regle!$I$12,regle!$I$11,""))))))))))</f>
        <v/>
      </c>
      <c r="AB301" t="str">
        <f>IF(NOT($A301),"",
IF(AV301=-2,regle!$J$11,
IF(AV301=regle!$B$12,regle!$B$11,
IF(AV301=regle!$C$12,regle!$C$11,
IF(AV301=regle!$D$12,regle!$D$11,
IF(AV301=regle!$E$12,regle!$E$11,
IF(AV301=regle!$F$12,regle!$F$11,
IF(AV301=regle!$G$12,regle!$G$11,
IF(AV301=regle!$H$12,regle!$H$11,
IF(AV301=regle!$I$12,regle!$I$11,""))))))))))</f>
        <v/>
      </c>
      <c r="AC301" t="str">
        <f>IF(NOT($A301),"",
IF(AW301=-2,regle!$J$11,
IF(AW301=regle!$B$12,regle!$B$11,
IF(AW301=regle!$C$12,regle!$C$11,
IF(AW301=regle!$D$12,regle!$D$11,
IF(AW301=regle!$E$12,regle!$E$11,
IF(AW301=regle!$F$12,regle!$F$11,
IF(AW301=regle!$G$12,regle!$G$11,
IF(AW301=regle!$H$12,regle!$H$11,
IF(AW301=regle!$I$12,regle!$I$11,""))))))))))</f>
        <v/>
      </c>
      <c r="AD301" t="str">
        <f>IF(NOT($A301),"",
IF(AX301=-2,regle!$J$11,
IF(AX301=regle!$B$12,regle!$B$11,
IF(AX301=regle!$C$12,regle!$C$11,
IF(AX301=regle!$D$12,regle!$D$11,
IF(AX301=regle!$E$12,regle!$E$11,
IF(AX301=regle!$F$12,regle!$F$11,
IF(AX301=regle!$G$12,regle!$G$11,
IF(AX301=regle!$H$12,regle!$H$11,
IF(AX301=regle!$I$12,regle!$I$11,""))))))))))</f>
        <v/>
      </c>
      <c r="AE301" s="14">
        <f>IF($A301,$M301*(IF(U301=regle!$B$11,regle!$B$23,IF(U301=regle!$C$11,regle!$C$23,IF(U301=regle!$D$11,regle!$D$23,IF(U301=regle!$E$11,regle!$E$23,IF(U301=regle!$F$11,regle!$F$23,IF(U301=regle!$G$11,regle!$G$23,IF(U301=regle!$H$11,regle!$H$23,IF(U301=regle!$I$11,regle!$I$23,IF(U301=regle!$J$11,regle!$J$23,0)))))))))))</f>
        <v>0</v>
      </c>
      <c r="AF301" s="14">
        <f>IF($A301,$M301*(IF(V301=regle!$B$11,regle!$B$23,IF(V301=regle!$C$11,regle!$C$23,IF(V301=regle!$D$11,regle!$D$23,IF(V301=regle!$E$11,regle!$E$23,IF(V301=regle!$F$11,regle!$F$23,IF(V301=regle!$G$11,regle!$G$23,IF(V301=regle!$H$11,regle!$H$23,IF(V301=regle!$I$11,regle!$I$23,IF(V301=regle!$J$11,regle!$J$23,0)))))))))))</f>
        <v>1235.712</v>
      </c>
      <c r="AG301" s="14">
        <f>IF($A301,$M301*(IF(W301=regle!$B$11,regle!$B$23,IF(W301=regle!$C$11,regle!$C$23,IF(W301=regle!$D$11,regle!$D$23,IF(W301=regle!$E$11,regle!$E$23,IF(W301=regle!$F$11,regle!$F$23,IF(W301=regle!$G$11,regle!$G$23,IF(W301=regle!$H$11,regle!$H$23,IF(W301=regle!$I$11,regle!$I$23,IF(W301=regle!$J$11,regle!$J$23,0)))))))))))</f>
        <v>0</v>
      </c>
      <c r="AH301" s="14">
        <f>IF($A301,$M301*(IF(X301=regle!$B$11,regle!$B$23,IF(X301=regle!$C$11,regle!$C$23,IF(X301=regle!$D$11,regle!$D$23,IF(X301=regle!$E$11,regle!$E$23,IF(X301=regle!$F$11,regle!$F$23,IF(X301=regle!$G$11,regle!$G$23,IF(X301=regle!$H$11,regle!$H$23,IF(X301=regle!$I$11,regle!$I$23,IF(X301=regle!$J$11,regle!$J$23,0)))))))))))</f>
        <v>0</v>
      </c>
      <c r="AI301" s="14">
        <f>IF($A301,$M301*(IF(Y301=regle!$B$11,regle!$B$23,IF(Y301=regle!$C$11,regle!$C$23,IF(Y301=regle!$D$11,regle!$D$23,IF(Y301=regle!$E$11,regle!$E$23,IF(Y301=regle!$F$11,regle!$F$23,IF(Y301=regle!$G$11,regle!$G$23,IF(Y301=regle!$H$11,regle!$H$23,IF(Y301=regle!$I$11,regle!$I$23,IF(Y301=regle!$J$11,regle!$J$23,0)))))))))))</f>
        <v>0</v>
      </c>
      <c r="AJ301" s="14">
        <f>IF($A301,$M301*(IF(Z301=regle!$B$11,regle!$B$23,IF(Z301=regle!$C$11,regle!$C$23,IF(Z301=regle!$D$11,regle!$D$23,IF(Z301=regle!$E$11,regle!$E$23,IF(Z301=regle!$F$11,regle!$F$23,IF(Z301=regle!$G$11,regle!$G$23,IF(Z301=regle!$H$11,regle!$H$23,IF(Z301=regle!$I$11,regle!$I$23,IF(Z301=regle!$J$11,regle!$J$23,0)))))))))))</f>
        <v>0</v>
      </c>
      <c r="AK301" s="14">
        <f>IF($A301,$M301*(IF(AA301=regle!$B$11,regle!$B$23,IF(AA301=regle!$C$11,regle!$C$23,IF(AA301=regle!$D$11,regle!$D$23,IF(AA301=regle!$E$11,regle!$E$23,IF(AA301=regle!$F$11,regle!$F$23,IF(AA301=regle!$G$11,regle!$G$23,IF(AA301=regle!$H$11,regle!$H$23,IF(AA301=regle!$I$11,regle!$I$23,IF(AA301=regle!$J$11,regle!$J$23,0)))))))))))</f>
        <v>0</v>
      </c>
      <c r="AL301" s="14">
        <f>IF($A301,$M301*(IF(AB301=regle!$B$11,regle!$B$23,IF(AB301=regle!$C$11,regle!$C$23,IF(AB301=regle!$D$11,regle!$D$23,IF(AB301=regle!$E$11,regle!$E$23,IF(AB301=regle!$F$11,regle!$F$23,IF(AB301=regle!$G$11,regle!$G$23,IF(AB301=regle!$H$11,regle!$H$23,IF(AB301=regle!$I$11,regle!$I$23,IF(AB301=regle!$J$11,regle!$J$23,0)))))))))))</f>
        <v>0</v>
      </c>
      <c r="AM301" s="14">
        <f>IF($A301,$M301*(IF(AC301=regle!$B$11,regle!$B$23,IF(AC301=regle!$C$11,regle!$C$23,IF(AC301=regle!$D$11,regle!$D$23,IF(AC301=regle!$E$11,regle!$E$23,IF(AC301=regle!$F$11,regle!$F$23,IF(AC301=regle!$G$11,regle!$G$23,IF(AC301=regle!$H$11,regle!$H$23,IF(AC301=regle!$I$11,regle!$I$23,IF(AC301=regle!$J$11,regle!$J$23,0)))))))))))</f>
        <v>0</v>
      </c>
      <c r="AN301" s="14">
        <f>IF($A301,$M301*(IF(AD301=regle!$B$11,regle!$B$23,IF(AD301=regle!$C$11,regle!$C$23,IF(AD301=regle!$D$11,regle!$D$23,IF(AD301=regle!$E$11,regle!$E$23,IF(AD301=regle!$F$11,regle!$F$23,IF(AD301=regle!$G$11,regle!$G$23,IF(AD301=regle!$H$11,regle!$H$23,IF(AD301=regle!$I$11,regle!$I$23,IF(AD301=regle!$J$11,regle!$J$23,0)))))))))))</f>
        <v>0</v>
      </c>
      <c r="AO301">
        <f>IF(AO$1=$AO$1,IF(regle!B$2-$Q301&gt;=regle!$J$12,-2,IF($S301,IF(regle!$B$2-$Q301&gt;=2,0,-1),regle!B$2-$Q301)),IF(AN301+1&gt;=regle!$J$12,-2,AN301+1))</f>
        <v>27</v>
      </c>
      <c r="AP301">
        <f>IF(AP$1=$AO$1,IF(regle!C$2-$Q301&gt;=regle!$J$12,-2,IF($S301,IF(regle!$B$2-$Q301&gt;=2,0,-1),regle!C$2-$Q301)),IF(AO301+1&gt;=regle!$J$12,-2,AO301+1))</f>
        <v>28</v>
      </c>
      <c r="AQ301">
        <f>IF(AQ$1=$AO$1,IF(regle!D$2-$Q301&gt;=regle!$J$12,-2,IF($S301,IF(regle!$B$2-$Q301&gt;=2,0,-1),regle!D$2-$Q301)),IF(AP301+1&gt;=regle!$J$12,-2,AP301+1))</f>
        <v>29</v>
      </c>
      <c r="AR301">
        <f>IF(AR$1=$AO$1,IF(regle!E$2-$Q301&gt;=regle!$J$12,-2,IF($S301,IF(regle!$B$2-$Q301&gt;=2,0,-1),regle!E$2-$Q301)),IF(AQ301+1&gt;=regle!$J$12,-2,AQ301+1))</f>
        <v>30</v>
      </c>
      <c r="AS301">
        <f>IF(AS$1=$AO$1,IF(regle!F$2-$Q301&gt;=regle!$J$12,-2,IF($S301,IF(regle!$B$2-$Q301&gt;=2,0,-1),regle!F$2-$Q301)),IF(AR301+1&gt;=regle!$J$12,-2,AR301+1))</f>
        <v>31</v>
      </c>
      <c r="AT301">
        <f>IF(AT$1=$AO$1,IF(regle!G$2-$Q301&gt;=regle!$J$12,-2,IF($S301,IF(regle!$B$2-$Q301&gt;=2,0,-1),regle!G$2-$Q301)),IF(AS301+1&gt;=regle!$J$12,-2,AS301+1))</f>
        <v>32</v>
      </c>
      <c r="AU301">
        <f>IF(AU$1=$AO$1,IF(regle!H$2-$Q301&gt;=regle!$J$12,-2,IF($S301,IF(regle!$B$2-$Q301&gt;=2,0,-1),regle!H$2-$Q301)),IF(AT301+1&gt;=regle!$J$12,-2,AT301+1))</f>
        <v>33</v>
      </c>
      <c r="AV301">
        <f>IF(AV$1=$AO$1,IF(regle!I$2-$Q301&gt;=regle!$J$12,-2,IF($S301,IF(regle!$B$2-$Q301&gt;=2,0,-1),regle!I$2-$Q301)),IF(AU301+1&gt;=regle!$J$12,-2,AU301+1))</f>
        <v>34</v>
      </c>
      <c r="AW301">
        <f>IF(AW$1=$AO$1,IF(regle!J$2-$Q301&gt;=regle!$J$12,-2,IF($S301,IF(regle!$B$2-$Q301&gt;=2,0,-1),regle!J$2-$Q301)),IF(AV301+1&gt;=regle!$J$12,-2,AV301+1))</f>
        <v>35</v>
      </c>
      <c r="AX301">
        <f>IF(AX$1=$AO$1,IF(regle!K$2-$Q301&gt;=regle!$J$12,-2,IF($S301,IF(regle!$B$2-$Q301&gt;=2,0,-1),regle!K$2-$Q301)),IF(AW301+1&gt;=regle!$J$12,-2,AW301+1))</f>
        <v>36</v>
      </c>
    </row>
    <row r="302" spans="1:50" x14ac:dyDescent="0.25">
      <c r="A302" t="b">
        <f>AND(modif0[[#This Row],[cdstr]]&lt;&gt;0,OR(regle!$H$27=FALSE,modif0[[#This Row],[essnc]]="PM"))</f>
        <v>1</v>
      </c>
      <c r="B302">
        <f>ROW(objet!A352)</f>
        <v>352</v>
      </c>
      <c r="C302" s="10" t="str">
        <f>objet!D352</f>
        <v>1710000C0175</v>
      </c>
      <c r="D302" t="str">
        <f>LEFT(modif0[[#This Row],[cdstr]],3)</f>
        <v>171</v>
      </c>
      <c r="E302" s="10" t="str">
        <f>objet!G352</f>
        <v>MANO</v>
      </c>
      <c r="F302">
        <f>LEN(modif0[[#This Row],[l_dt]])</f>
        <v>6</v>
      </c>
      <c r="G302" s="10" t="str">
        <f>objet!H352</f>
        <v>BARRAT</v>
      </c>
      <c r="H302" s="10" t="str">
        <f>objet!C352</f>
        <v>C175k</v>
      </c>
      <c r="I302" t="str">
        <f>IF(ISNUMBER(VALUE(RIGHT(LEFT(modif0[[#This Row],[idntfn]],2),1))),_xlfn.CONCAT(0,LEFT(modif0[[#This Row],[idntfn]],1)),LEFT(modif0[[#This Row],[idntfn]],2))</f>
        <v>0C</v>
      </c>
      <c r="J302">
        <f>VALUE(LEFT(RIGHT(modif0[[#This Row],[idntfn]],LEN(modif0[[#This Row],[idntfn]])-IF(LEFT(modif0[[#This Row],[sctn]],1)="0",1,2)),LEN(modif0[[#This Row],[idntfn]])-IF(LEFT(modif0[[#This Row],[sctn]],1)="0",1,2)-LEN(modif0[[#This Row],[lttr]])))</f>
        <v>175</v>
      </c>
      <c r="K302" t="str">
        <f>IF(ISNUMBER(VALUE(RIGHT(modif0[[#This Row],[idntfn]],1))),"",IF(ISNUMBER(VALUE(LEFT(RIGHT(modif0[[#This Row],[idntfn]],2),1))),RIGHT(modif0[[#This Row],[idntfn]],1),RIGHT(modif0[[#This Row],[idntfn]],2)))</f>
        <v>k</v>
      </c>
      <c r="L302" s="10">
        <f>objet!I352</f>
        <v>17464</v>
      </c>
      <c r="M302" s="11">
        <f>modif0[[#This Row],[srfc]]/10000</f>
        <v>1.7464</v>
      </c>
      <c r="N302" s="10" t="str">
        <f>objet!Z352</f>
        <v>PM</v>
      </c>
      <c r="O302" s="10" t="str">
        <f>objet!AA352</f>
        <v>CR2022</v>
      </c>
      <c r="P302" t="str">
        <f>IF(ISNUMBER(modif0[[#This Row],[trvx]]),"",LEFT(modif0[[#This Row],[trvx]],LEN(modif0[[#This Row],[trvx]])-4))</f>
        <v>CR</v>
      </c>
      <c r="Q302">
        <f>VALUE(RIGHT(modif0[[#This Row],[trvx]],4))</f>
        <v>2022</v>
      </c>
      <c r="R302" t="str">
        <f>_xlfn.CONCAT(modif0[[#This Row],[tp]],"-",modif0[[#This Row],[essnc]],"_",modif0[[#This Row],[anns]])</f>
        <v>CR-PM_2022</v>
      </c>
      <c r="S302" t="b">
        <f>modif0[[#This Row],[tp]]="CR"</f>
        <v>1</v>
      </c>
      <c r="T302">
        <v>40</v>
      </c>
      <c r="U302" t="str">
        <f>IF(NOT($A302),"",
IF(AO302=-2,regle!$J$11,
IF(AO302=regle!$B$12,regle!$B$11,
IF(AO302=regle!$C$12,regle!$C$11,
IF(AO302=regle!$D$12,regle!$D$11,
IF(AO302=regle!$E$12,regle!$E$11,
IF(AO302=regle!$F$12,regle!$F$11,
IF(AO302=regle!$G$12,regle!$G$11,
IF(AO302=regle!$H$12,regle!$H$11,
IF(AO302=regle!$I$12,regle!$I$11,""))))))))))</f>
        <v>RBST</v>
      </c>
      <c r="V302" t="str">
        <f>IF(NOT($A302),"",
IF(AP302=-2,regle!$J$11,
IF(AP302=regle!$B$12,regle!$B$11,
IF(AP302=regle!$C$12,regle!$C$11,
IF(AP302=regle!$D$12,regle!$D$11,
IF(AP302=regle!$E$12,regle!$E$11,
IF(AP302=regle!$F$12,regle!$F$11,
IF(AP302=regle!$G$12,regle!$G$11,
IF(AP302=regle!$H$12,regle!$H$11,
IF(AP302=regle!$I$12,regle!$I$11,""))))))))))</f>
        <v/>
      </c>
      <c r="W302" t="str">
        <f>IF(NOT($A302),"",
IF(AQ302=-2,regle!$J$11,
IF(AQ302=regle!$B$12,regle!$B$11,
IF(AQ302=regle!$C$12,regle!$C$11,
IF(AQ302=regle!$D$12,regle!$D$11,
IF(AQ302=regle!$E$12,regle!$E$11,
IF(AQ302=regle!$F$12,regle!$F$11,
IF(AQ302=regle!$G$12,regle!$G$11,
IF(AQ302=regle!$H$12,regle!$H$11,
IF(AQ302=regle!$I$12,regle!$I$11,""))))))))))</f>
        <v>DGT</v>
      </c>
      <c r="X302" t="str">
        <f>IF(NOT($A302),"",
IF(AR302=-2,regle!$J$11,
IF(AR302=regle!$B$12,regle!$B$11,
IF(AR302=regle!$C$12,regle!$C$11,
IF(AR302=regle!$D$12,regle!$D$11,
IF(AR302=regle!$E$12,regle!$E$11,
IF(AR302=regle!$F$12,regle!$F$11,
IF(AR302=regle!$G$12,regle!$G$11,
IF(AR302=regle!$H$12,regle!$H$11,
IF(AR302=regle!$I$12,regle!$I$11,""))))))))))</f>
        <v/>
      </c>
      <c r="Y302" t="str">
        <f>IF(NOT($A302),"",
IF(AS302=-2,regle!$J$11,
IF(AS302=regle!$B$12,regle!$B$11,
IF(AS302=regle!$C$12,regle!$C$11,
IF(AS302=regle!$D$12,regle!$D$11,
IF(AS302=regle!$E$12,regle!$E$11,
IF(AS302=regle!$F$12,regle!$F$11,
IF(AS302=regle!$G$12,regle!$G$11,
IF(AS302=regle!$H$12,regle!$H$11,
IF(AS302=regle!$I$12,regle!$I$11,""))))))))))</f>
        <v/>
      </c>
      <c r="Z302" t="str">
        <f>IF(NOT($A302),"",
IF(AT302=-2,regle!$J$11,
IF(AT302=regle!$B$12,regle!$B$11,
IF(AT302=regle!$C$12,regle!$C$11,
IF(AT302=regle!$D$12,regle!$D$11,
IF(AT302=regle!$E$12,regle!$E$11,
IF(AT302=regle!$F$12,regle!$F$11,
IF(AT302=regle!$G$12,regle!$G$11,
IF(AT302=regle!$H$12,regle!$H$11,
IF(AT302=regle!$I$12,regle!$I$11,""))))))))))</f>
        <v>ENT1</v>
      </c>
      <c r="AA302" t="str">
        <f>IF(NOT($A302),"",
IF(AU302=-2,regle!$J$11,
IF(AU302=regle!$B$12,regle!$B$11,
IF(AU302=regle!$C$12,regle!$C$11,
IF(AU302=regle!$D$12,regle!$D$11,
IF(AU302=regle!$E$12,regle!$E$11,
IF(AU302=regle!$F$12,regle!$F$11,
IF(AU302=regle!$G$12,regle!$G$11,
IF(AU302=regle!$H$12,regle!$H$11,
IF(AU302=regle!$I$12,regle!$I$11,""))))))))))</f>
        <v/>
      </c>
      <c r="AB302" t="str">
        <f>IF(NOT($A302),"",
IF(AV302=-2,regle!$J$11,
IF(AV302=regle!$B$12,regle!$B$11,
IF(AV302=regle!$C$12,regle!$C$11,
IF(AV302=regle!$D$12,regle!$D$11,
IF(AV302=regle!$E$12,regle!$E$11,
IF(AV302=regle!$F$12,regle!$F$11,
IF(AV302=regle!$G$12,regle!$G$11,
IF(AV302=regle!$H$12,regle!$H$11,
IF(AV302=regle!$I$12,regle!$I$11,""))))))))))</f>
        <v/>
      </c>
      <c r="AC302" t="str">
        <f>IF(NOT($A302),"",
IF(AW302=-2,regle!$J$11,
IF(AW302=regle!$B$12,regle!$B$11,
IF(AW302=regle!$C$12,regle!$C$11,
IF(AW302=regle!$D$12,regle!$D$11,
IF(AW302=regle!$E$12,regle!$E$11,
IF(AW302=regle!$F$12,regle!$F$11,
IF(AW302=regle!$G$12,regle!$G$11,
IF(AW302=regle!$H$12,regle!$H$11,
IF(AW302=regle!$I$12,regle!$I$11,""))))))))))</f>
        <v>ENT2</v>
      </c>
      <c r="AD302" t="str">
        <f>IF(NOT($A302),"",
IF(AX302=-2,regle!$J$11,
IF(AX302=regle!$B$12,regle!$B$11,
IF(AX302=regle!$C$12,regle!$C$11,
IF(AX302=regle!$D$12,regle!$D$11,
IF(AX302=regle!$E$12,regle!$E$11,
IF(AX302=regle!$F$12,regle!$F$11,
IF(AX302=regle!$G$12,regle!$G$11,
IF(AX302=regle!$H$12,regle!$H$11,
IF(AX302=regle!$I$12,regle!$I$11,""))))))))))</f>
        <v/>
      </c>
      <c r="AE302" s="14">
        <f>IF($A302,$M302*(IF(U302=regle!$B$11,regle!$B$23,IF(U302=regle!$C$11,regle!$C$23,IF(U302=regle!$D$11,regle!$D$23,IF(U302=regle!$E$11,regle!$E$23,IF(U302=regle!$F$11,regle!$F$23,IF(U302=regle!$G$11,regle!$G$23,IF(U302=regle!$H$11,regle!$H$23,IF(U302=regle!$I$11,regle!$I$23,IF(U302=regle!$J$11,regle!$J$23,0)))))))))))</f>
        <v>-2968.88</v>
      </c>
      <c r="AF302" s="14">
        <f>IF($A302,$M302*(IF(V302=regle!$B$11,regle!$B$23,IF(V302=regle!$C$11,regle!$C$23,IF(V302=regle!$D$11,regle!$D$23,IF(V302=regle!$E$11,regle!$E$23,IF(V302=regle!$F$11,regle!$F$23,IF(V302=regle!$G$11,regle!$G$23,IF(V302=regle!$H$11,regle!$H$23,IF(V302=regle!$I$11,regle!$I$23,IF(V302=regle!$J$11,regle!$J$23,0)))))))))))</f>
        <v>0</v>
      </c>
      <c r="AG302" s="14">
        <f>IF($A302,$M302*(IF(W302=regle!$B$11,regle!$B$23,IF(W302=regle!$C$11,regle!$C$23,IF(W302=regle!$D$11,regle!$D$23,IF(W302=regle!$E$11,regle!$E$23,IF(W302=regle!$F$11,regle!$F$23,IF(W302=regle!$G$11,regle!$G$23,IF(W302=regle!$H$11,regle!$H$23,IF(W302=regle!$I$11,regle!$I$23,IF(W302=regle!$J$11,regle!$J$23,0)))))))))))</f>
        <v>-130.97999999999999</v>
      </c>
      <c r="AH302" s="14">
        <f>IF($A302,$M302*(IF(X302=regle!$B$11,regle!$B$23,IF(X302=regle!$C$11,regle!$C$23,IF(X302=regle!$D$11,regle!$D$23,IF(X302=regle!$E$11,regle!$E$23,IF(X302=regle!$F$11,regle!$F$23,IF(X302=regle!$G$11,regle!$G$23,IF(X302=regle!$H$11,regle!$H$23,IF(X302=regle!$I$11,regle!$I$23,IF(X302=regle!$J$11,regle!$J$23,0)))))))))))</f>
        <v>0</v>
      </c>
      <c r="AI302" s="14">
        <f>IF($A302,$M302*(IF(Y302=regle!$B$11,regle!$B$23,IF(Y302=regle!$C$11,regle!$C$23,IF(Y302=regle!$D$11,regle!$D$23,IF(Y302=regle!$E$11,regle!$E$23,IF(Y302=regle!$F$11,regle!$F$23,IF(Y302=regle!$G$11,regle!$G$23,IF(Y302=regle!$H$11,regle!$H$23,IF(Y302=regle!$I$11,regle!$I$23,IF(Y302=regle!$J$11,regle!$J$23,0)))))))))))</f>
        <v>0</v>
      </c>
      <c r="AJ302" s="14">
        <f>IF($A302,$M302*(IF(Z302=regle!$B$11,regle!$B$23,IF(Z302=regle!$C$11,regle!$C$23,IF(Z302=regle!$D$11,regle!$D$23,IF(Z302=regle!$E$11,regle!$E$23,IF(Z302=regle!$F$11,regle!$F$23,IF(Z302=regle!$G$11,regle!$G$23,IF(Z302=regle!$H$11,regle!$H$23,IF(Z302=regle!$I$11,regle!$I$23,IF(Z302=regle!$J$11,regle!$J$23,0)))))))))))</f>
        <v>-157.17599999999999</v>
      </c>
      <c r="AK302" s="14">
        <f>IF($A302,$M302*(IF(AA302=regle!$B$11,regle!$B$23,IF(AA302=regle!$C$11,regle!$C$23,IF(AA302=regle!$D$11,regle!$D$23,IF(AA302=regle!$E$11,regle!$E$23,IF(AA302=regle!$F$11,regle!$F$23,IF(AA302=regle!$G$11,regle!$G$23,IF(AA302=regle!$H$11,regle!$H$23,IF(AA302=regle!$I$11,regle!$I$23,IF(AA302=regle!$J$11,regle!$J$23,0)))))))))))</f>
        <v>0</v>
      </c>
      <c r="AL302" s="14">
        <f>IF($A302,$M302*(IF(AB302=regle!$B$11,regle!$B$23,IF(AB302=regle!$C$11,regle!$C$23,IF(AB302=regle!$D$11,regle!$D$23,IF(AB302=regle!$E$11,regle!$E$23,IF(AB302=regle!$F$11,regle!$F$23,IF(AB302=regle!$G$11,regle!$G$23,IF(AB302=regle!$H$11,regle!$H$23,IF(AB302=regle!$I$11,regle!$I$23,IF(AB302=regle!$J$11,regle!$J$23,0)))))))))))</f>
        <v>0</v>
      </c>
      <c r="AM302" s="14">
        <f>IF($A302,$M302*(IF(AC302=regle!$B$11,regle!$B$23,IF(AC302=regle!$C$11,regle!$C$23,IF(AC302=regle!$D$11,regle!$D$23,IF(AC302=regle!$E$11,regle!$E$23,IF(AC302=regle!$F$11,regle!$F$23,IF(AC302=regle!$G$11,regle!$G$23,IF(AC302=regle!$H$11,regle!$H$23,IF(AC302=regle!$I$11,regle!$I$23,IF(AC302=regle!$J$11,regle!$J$23,0)))))))))))</f>
        <v>-157.17599999999999</v>
      </c>
      <c r="AN302" s="14">
        <f>IF($A302,$M302*(IF(AD302=regle!$B$11,regle!$B$23,IF(AD302=regle!$C$11,regle!$C$23,IF(AD302=regle!$D$11,regle!$D$23,IF(AD302=regle!$E$11,regle!$E$23,IF(AD302=regle!$F$11,regle!$F$23,IF(AD302=regle!$G$11,regle!$G$23,IF(AD302=regle!$H$11,regle!$H$23,IF(AD302=regle!$I$11,regle!$I$23,IF(AD302=regle!$J$11,regle!$J$23,0)))))))))))</f>
        <v>0</v>
      </c>
      <c r="AO302">
        <f>IF(AO$1=$AO$1,IF(regle!B$2-$Q302&gt;=regle!$J$12,-2,IF($S302,IF(regle!$B$2-$Q302&gt;=2,0,-1),regle!B$2-$Q302)),IF(AN302+1&gt;=regle!$J$12,-2,AN302+1))</f>
        <v>0</v>
      </c>
      <c r="AP302">
        <f>IF(AP$1=$AO$1,IF(regle!C$2-$Q302&gt;=regle!$J$12,-2,IF($S302,IF(regle!$B$2-$Q302&gt;=2,0,-1),regle!C$2-$Q302)),IF(AO302+1&gt;=regle!$J$12,-2,AO302+1))</f>
        <v>1</v>
      </c>
      <c r="AQ302">
        <f>IF(AQ$1=$AO$1,IF(regle!D$2-$Q302&gt;=regle!$J$12,-2,IF($S302,IF(regle!$B$2-$Q302&gt;=2,0,-1),regle!D$2-$Q302)),IF(AP302+1&gt;=regle!$J$12,-2,AP302+1))</f>
        <v>2</v>
      </c>
      <c r="AR302">
        <f>IF(AR$1=$AO$1,IF(regle!E$2-$Q302&gt;=regle!$J$12,-2,IF($S302,IF(regle!$B$2-$Q302&gt;=2,0,-1),regle!E$2-$Q302)),IF(AQ302+1&gt;=regle!$J$12,-2,AQ302+1))</f>
        <v>3</v>
      </c>
      <c r="AS302">
        <f>IF(AS$1=$AO$1,IF(regle!F$2-$Q302&gt;=regle!$J$12,-2,IF($S302,IF(regle!$B$2-$Q302&gt;=2,0,-1),regle!F$2-$Q302)),IF(AR302+1&gt;=regle!$J$12,-2,AR302+1))</f>
        <v>4</v>
      </c>
      <c r="AT302">
        <f>IF(AT$1=$AO$1,IF(regle!G$2-$Q302&gt;=regle!$J$12,-2,IF($S302,IF(regle!$B$2-$Q302&gt;=2,0,-1),regle!G$2-$Q302)),IF(AS302+1&gt;=regle!$J$12,-2,AS302+1))</f>
        <v>5</v>
      </c>
      <c r="AU302">
        <f>IF(AU$1=$AO$1,IF(regle!H$2-$Q302&gt;=regle!$J$12,-2,IF($S302,IF(regle!$B$2-$Q302&gt;=2,0,-1),regle!H$2-$Q302)),IF(AT302+1&gt;=regle!$J$12,-2,AT302+1))</f>
        <v>6</v>
      </c>
      <c r="AV302">
        <f>IF(AV$1=$AO$1,IF(regle!I$2-$Q302&gt;=regle!$J$12,-2,IF($S302,IF(regle!$B$2-$Q302&gt;=2,0,-1),regle!I$2-$Q302)),IF(AU302+1&gt;=regle!$J$12,-2,AU302+1))</f>
        <v>7</v>
      </c>
      <c r="AW302">
        <f>IF(AW$1=$AO$1,IF(regle!J$2-$Q302&gt;=regle!$J$12,-2,IF($S302,IF(regle!$B$2-$Q302&gt;=2,0,-1),regle!J$2-$Q302)),IF(AV302+1&gt;=regle!$J$12,-2,AV302+1))</f>
        <v>8</v>
      </c>
      <c r="AX302">
        <f>IF(AX$1=$AO$1,IF(regle!K$2-$Q302&gt;=regle!$J$12,-2,IF($S302,IF(regle!$B$2-$Q302&gt;=2,0,-1),regle!K$2-$Q302)),IF(AW302+1&gt;=regle!$J$12,-2,AW302+1))</f>
        <v>9</v>
      </c>
    </row>
    <row r="303" spans="1:50" x14ac:dyDescent="0.25">
      <c r="A303" t="b">
        <f>AND(modif0[[#This Row],[cdstr]]&lt;&gt;0,OR(regle!$H$27=FALSE,modif0[[#This Row],[essnc]]="PM"))</f>
        <v>1</v>
      </c>
      <c r="B303">
        <f>ROW(objet!A353)</f>
        <v>353</v>
      </c>
      <c r="C303" s="10" t="str">
        <f>objet!D353</f>
        <v>1710000C0176</v>
      </c>
      <c r="D303" t="str">
        <f>LEFT(modif0[[#This Row],[cdstr]],3)</f>
        <v>171</v>
      </c>
      <c r="E303" s="10" t="str">
        <f>objet!G353</f>
        <v>MANO</v>
      </c>
      <c r="F303">
        <f>LEN(modif0[[#This Row],[l_dt]])</f>
        <v>10</v>
      </c>
      <c r="G303" s="10" t="str">
        <f>objet!H353</f>
        <v>LA PEYRERE</v>
      </c>
      <c r="H303" s="10" t="str">
        <f>objet!C353</f>
        <v>C176</v>
      </c>
      <c r="I303" t="str">
        <f>IF(ISNUMBER(VALUE(RIGHT(LEFT(modif0[[#This Row],[idntfn]],2),1))),_xlfn.CONCAT(0,LEFT(modif0[[#This Row],[idntfn]],1)),LEFT(modif0[[#This Row],[idntfn]],2))</f>
        <v>0C</v>
      </c>
      <c r="J303">
        <f>VALUE(LEFT(RIGHT(modif0[[#This Row],[idntfn]],LEN(modif0[[#This Row],[idntfn]])-IF(LEFT(modif0[[#This Row],[sctn]],1)="0",1,2)),LEN(modif0[[#This Row],[idntfn]])-IF(LEFT(modif0[[#This Row],[sctn]],1)="0",1,2)-LEN(modif0[[#This Row],[lttr]])))</f>
        <v>176</v>
      </c>
      <c r="K303" t="str">
        <f>IF(ISNUMBER(VALUE(RIGHT(modif0[[#This Row],[idntfn]],1))),"",IF(ISNUMBER(VALUE(LEFT(RIGHT(modif0[[#This Row],[idntfn]],2),1))),RIGHT(modif0[[#This Row],[idntfn]],1),RIGHT(modif0[[#This Row],[idntfn]],2)))</f>
        <v/>
      </c>
      <c r="L303" s="10">
        <f>objet!I353</f>
        <v>161</v>
      </c>
      <c r="M303" s="11">
        <f>modif0[[#This Row],[srfc]]/10000</f>
        <v>1.61E-2</v>
      </c>
      <c r="N303" s="10" t="str">
        <f>objet!Z353</f>
        <v>PM</v>
      </c>
      <c r="O303" s="10" t="str">
        <f>objet!AA353</f>
        <v>CR2022</v>
      </c>
      <c r="P303" t="str">
        <f>IF(ISNUMBER(modif0[[#This Row],[trvx]]),"",LEFT(modif0[[#This Row],[trvx]],LEN(modif0[[#This Row],[trvx]])-4))</f>
        <v>CR</v>
      </c>
      <c r="Q303">
        <f>VALUE(RIGHT(modif0[[#This Row],[trvx]],4))</f>
        <v>2022</v>
      </c>
      <c r="R303" t="str">
        <f>_xlfn.CONCAT(modif0[[#This Row],[tp]],"-",modif0[[#This Row],[essnc]],"_",modif0[[#This Row],[anns]])</f>
        <v>CR-PM_2022</v>
      </c>
      <c r="S303" t="b">
        <f>modif0[[#This Row],[tp]]="CR"</f>
        <v>1</v>
      </c>
      <c r="T303">
        <v>40</v>
      </c>
      <c r="U303" t="str">
        <f>IF(NOT($A303),"",
IF(AO303=-2,regle!$J$11,
IF(AO303=regle!$B$12,regle!$B$11,
IF(AO303=regle!$C$12,regle!$C$11,
IF(AO303=regle!$D$12,regle!$D$11,
IF(AO303=regle!$E$12,regle!$E$11,
IF(AO303=regle!$F$12,regle!$F$11,
IF(AO303=regle!$G$12,regle!$G$11,
IF(AO303=regle!$H$12,regle!$H$11,
IF(AO303=regle!$I$12,regle!$I$11,""))))))))))</f>
        <v>RBST</v>
      </c>
      <c r="V303" t="str">
        <f>IF(NOT($A303),"",
IF(AP303=-2,regle!$J$11,
IF(AP303=regle!$B$12,regle!$B$11,
IF(AP303=regle!$C$12,regle!$C$11,
IF(AP303=regle!$D$12,regle!$D$11,
IF(AP303=regle!$E$12,regle!$E$11,
IF(AP303=regle!$F$12,regle!$F$11,
IF(AP303=regle!$G$12,regle!$G$11,
IF(AP303=regle!$H$12,regle!$H$11,
IF(AP303=regle!$I$12,regle!$I$11,""))))))))))</f>
        <v/>
      </c>
      <c r="W303" t="str">
        <f>IF(NOT($A303),"",
IF(AQ303=-2,regle!$J$11,
IF(AQ303=regle!$B$12,regle!$B$11,
IF(AQ303=regle!$C$12,regle!$C$11,
IF(AQ303=regle!$D$12,regle!$D$11,
IF(AQ303=regle!$E$12,regle!$E$11,
IF(AQ303=regle!$F$12,regle!$F$11,
IF(AQ303=regle!$G$12,regle!$G$11,
IF(AQ303=regle!$H$12,regle!$H$11,
IF(AQ303=regle!$I$12,regle!$I$11,""))))))))))</f>
        <v>DGT</v>
      </c>
      <c r="X303" t="str">
        <f>IF(NOT($A303),"",
IF(AR303=-2,regle!$J$11,
IF(AR303=regle!$B$12,regle!$B$11,
IF(AR303=regle!$C$12,regle!$C$11,
IF(AR303=regle!$D$12,regle!$D$11,
IF(AR303=regle!$E$12,regle!$E$11,
IF(AR303=regle!$F$12,regle!$F$11,
IF(AR303=regle!$G$12,regle!$G$11,
IF(AR303=regle!$H$12,regle!$H$11,
IF(AR303=regle!$I$12,regle!$I$11,""))))))))))</f>
        <v/>
      </c>
      <c r="Y303" t="str">
        <f>IF(NOT($A303),"",
IF(AS303=-2,regle!$J$11,
IF(AS303=regle!$B$12,regle!$B$11,
IF(AS303=regle!$C$12,regle!$C$11,
IF(AS303=regle!$D$12,regle!$D$11,
IF(AS303=regle!$E$12,regle!$E$11,
IF(AS303=regle!$F$12,regle!$F$11,
IF(AS303=regle!$G$12,regle!$G$11,
IF(AS303=regle!$H$12,regle!$H$11,
IF(AS303=regle!$I$12,regle!$I$11,""))))))))))</f>
        <v/>
      </c>
      <c r="Z303" t="str">
        <f>IF(NOT($A303),"",
IF(AT303=-2,regle!$J$11,
IF(AT303=regle!$B$12,regle!$B$11,
IF(AT303=regle!$C$12,regle!$C$11,
IF(AT303=regle!$D$12,regle!$D$11,
IF(AT303=regle!$E$12,regle!$E$11,
IF(AT303=regle!$F$12,regle!$F$11,
IF(AT303=regle!$G$12,regle!$G$11,
IF(AT303=regle!$H$12,regle!$H$11,
IF(AT303=regle!$I$12,regle!$I$11,""))))))))))</f>
        <v>ENT1</v>
      </c>
      <c r="AA303" t="str">
        <f>IF(NOT($A303),"",
IF(AU303=-2,regle!$J$11,
IF(AU303=regle!$B$12,regle!$B$11,
IF(AU303=regle!$C$12,regle!$C$11,
IF(AU303=regle!$D$12,regle!$D$11,
IF(AU303=regle!$E$12,regle!$E$11,
IF(AU303=regle!$F$12,regle!$F$11,
IF(AU303=regle!$G$12,regle!$G$11,
IF(AU303=regle!$H$12,regle!$H$11,
IF(AU303=regle!$I$12,regle!$I$11,""))))))))))</f>
        <v/>
      </c>
      <c r="AB303" t="str">
        <f>IF(NOT($A303),"",
IF(AV303=-2,regle!$J$11,
IF(AV303=regle!$B$12,regle!$B$11,
IF(AV303=regle!$C$12,regle!$C$11,
IF(AV303=regle!$D$12,regle!$D$11,
IF(AV303=regle!$E$12,regle!$E$11,
IF(AV303=regle!$F$12,regle!$F$11,
IF(AV303=regle!$G$12,regle!$G$11,
IF(AV303=regle!$H$12,regle!$H$11,
IF(AV303=regle!$I$12,regle!$I$11,""))))))))))</f>
        <v/>
      </c>
      <c r="AC303" t="str">
        <f>IF(NOT($A303),"",
IF(AW303=-2,regle!$J$11,
IF(AW303=regle!$B$12,regle!$B$11,
IF(AW303=regle!$C$12,regle!$C$11,
IF(AW303=regle!$D$12,regle!$D$11,
IF(AW303=regle!$E$12,regle!$E$11,
IF(AW303=regle!$F$12,regle!$F$11,
IF(AW303=regle!$G$12,regle!$G$11,
IF(AW303=regle!$H$12,regle!$H$11,
IF(AW303=regle!$I$12,regle!$I$11,""))))))))))</f>
        <v>ENT2</v>
      </c>
      <c r="AD303" t="str">
        <f>IF(NOT($A303),"",
IF(AX303=-2,regle!$J$11,
IF(AX303=regle!$B$12,regle!$B$11,
IF(AX303=regle!$C$12,regle!$C$11,
IF(AX303=regle!$D$12,regle!$D$11,
IF(AX303=regle!$E$12,regle!$E$11,
IF(AX303=regle!$F$12,regle!$F$11,
IF(AX303=regle!$G$12,regle!$G$11,
IF(AX303=regle!$H$12,regle!$H$11,
IF(AX303=regle!$I$12,regle!$I$11,""))))))))))</f>
        <v/>
      </c>
      <c r="AE303" s="14">
        <f>IF($A303,$M303*(IF(U303=regle!$B$11,regle!$B$23,IF(U303=regle!$C$11,regle!$C$23,IF(U303=regle!$D$11,regle!$D$23,IF(U303=regle!$E$11,regle!$E$23,IF(U303=regle!$F$11,regle!$F$23,IF(U303=regle!$G$11,regle!$G$23,IF(U303=regle!$H$11,regle!$H$23,IF(U303=regle!$I$11,regle!$I$23,IF(U303=regle!$J$11,regle!$J$23,0)))))))))))</f>
        <v>-27.37</v>
      </c>
      <c r="AF303" s="14">
        <f>IF($A303,$M303*(IF(V303=regle!$B$11,regle!$B$23,IF(V303=regle!$C$11,regle!$C$23,IF(V303=regle!$D$11,regle!$D$23,IF(V303=regle!$E$11,regle!$E$23,IF(V303=regle!$F$11,regle!$F$23,IF(V303=regle!$G$11,regle!$G$23,IF(V303=regle!$H$11,regle!$H$23,IF(V303=regle!$I$11,regle!$I$23,IF(V303=regle!$J$11,regle!$J$23,0)))))))))))</f>
        <v>0</v>
      </c>
      <c r="AG303" s="14">
        <f>IF($A303,$M303*(IF(W303=regle!$B$11,regle!$B$23,IF(W303=regle!$C$11,regle!$C$23,IF(W303=regle!$D$11,regle!$D$23,IF(W303=regle!$E$11,regle!$E$23,IF(W303=regle!$F$11,regle!$F$23,IF(W303=regle!$G$11,regle!$G$23,IF(W303=regle!$H$11,regle!$H$23,IF(W303=regle!$I$11,regle!$I$23,IF(W303=regle!$J$11,regle!$J$23,0)))))))))))</f>
        <v>-1.2075</v>
      </c>
      <c r="AH303" s="14">
        <f>IF($A303,$M303*(IF(X303=regle!$B$11,regle!$B$23,IF(X303=regle!$C$11,regle!$C$23,IF(X303=regle!$D$11,regle!$D$23,IF(X303=regle!$E$11,regle!$E$23,IF(X303=regle!$F$11,regle!$F$23,IF(X303=regle!$G$11,regle!$G$23,IF(X303=regle!$H$11,regle!$H$23,IF(X303=regle!$I$11,regle!$I$23,IF(X303=regle!$J$11,regle!$J$23,0)))))))))))</f>
        <v>0</v>
      </c>
      <c r="AI303" s="14">
        <f>IF($A303,$M303*(IF(Y303=regle!$B$11,regle!$B$23,IF(Y303=regle!$C$11,regle!$C$23,IF(Y303=regle!$D$11,regle!$D$23,IF(Y303=regle!$E$11,regle!$E$23,IF(Y303=regle!$F$11,regle!$F$23,IF(Y303=regle!$G$11,regle!$G$23,IF(Y303=regle!$H$11,regle!$H$23,IF(Y303=regle!$I$11,regle!$I$23,IF(Y303=regle!$J$11,regle!$J$23,0)))))))))))</f>
        <v>0</v>
      </c>
      <c r="AJ303" s="14">
        <f>IF($A303,$M303*(IF(Z303=regle!$B$11,regle!$B$23,IF(Z303=regle!$C$11,regle!$C$23,IF(Z303=regle!$D$11,regle!$D$23,IF(Z303=regle!$E$11,regle!$E$23,IF(Z303=regle!$F$11,regle!$F$23,IF(Z303=regle!$G$11,regle!$G$23,IF(Z303=regle!$H$11,regle!$H$23,IF(Z303=regle!$I$11,regle!$I$23,IF(Z303=regle!$J$11,regle!$J$23,0)))))))))))</f>
        <v>-1.4490000000000001</v>
      </c>
      <c r="AK303" s="14">
        <f>IF($A303,$M303*(IF(AA303=regle!$B$11,regle!$B$23,IF(AA303=regle!$C$11,regle!$C$23,IF(AA303=regle!$D$11,regle!$D$23,IF(AA303=regle!$E$11,regle!$E$23,IF(AA303=regle!$F$11,regle!$F$23,IF(AA303=regle!$G$11,regle!$G$23,IF(AA303=regle!$H$11,regle!$H$23,IF(AA303=regle!$I$11,regle!$I$23,IF(AA303=regle!$J$11,regle!$J$23,0)))))))))))</f>
        <v>0</v>
      </c>
      <c r="AL303" s="14">
        <f>IF($A303,$M303*(IF(AB303=regle!$B$11,regle!$B$23,IF(AB303=regle!$C$11,regle!$C$23,IF(AB303=regle!$D$11,regle!$D$23,IF(AB303=regle!$E$11,regle!$E$23,IF(AB303=regle!$F$11,regle!$F$23,IF(AB303=regle!$G$11,regle!$G$23,IF(AB303=regle!$H$11,regle!$H$23,IF(AB303=regle!$I$11,regle!$I$23,IF(AB303=regle!$J$11,regle!$J$23,0)))))))))))</f>
        <v>0</v>
      </c>
      <c r="AM303" s="14">
        <f>IF($A303,$M303*(IF(AC303=regle!$B$11,regle!$B$23,IF(AC303=regle!$C$11,regle!$C$23,IF(AC303=regle!$D$11,regle!$D$23,IF(AC303=regle!$E$11,regle!$E$23,IF(AC303=regle!$F$11,regle!$F$23,IF(AC303=regle!$G$11,regle!$G$23,IF(AC303=regle!$H$11,regle!$H$23,IF(AC303=regle!$I$11,regle!$I$23,IF(AC303=regle!$J$11,regle!$J$23,0)))))))))))</f>
        <v>-1.4490000000000001</v>
      </c>
      <c r="AN303" s="14">
        <f>IF($A303,$M303*(IF(AD303=regle!$B$11,regle!$B$23,IF(AD303=regle!$C$11,regle!$C$23,IF(AD303=regle!$D$11,regle!$D$23,IF(AD303=regle!$E$11,regle!$E$23,IF(AD303=regle!$F$11,regle!$F$23,IF(AD303=regle!$G$11,regle!$G$23,IF(AD303=regle!$H$11,regle!$H$23,IF(AD303=regle!$I$11,regle!$I$23,IF(AD303=regle!$J$11,regle!$J$23,0)))))))))))</f>
        <v>0</v>
      </c>
      <c r="AO303">
        <f>IF(AO$1=$AO$1,IF(regle!B$2-$Q303&gt;=regle!$J$12,-2,IF($S303,IF(regle!$B$2-$Q303&gt;=2,0,-1),regle!B$2-$Q303)),IF(AN303+1&gt;=regle!$J$12,-2,AN303+1))</f>
        <v>0</v>
      </c>
      <c r="AP303">
        <f>IF(AP$1=$AO$1,IF(regle!C$2-$Q303&gt;=regle!$J$12,-2,IF($S303,IF(regle!$B$2-$Q303&gt;=2,0,-1),regle!C$2-$Q303)),IF(AO303+1&gt;=regle!$J$12,-2,AO303+1))</f>
        <v>1</v>
      </c>
      <c r="AQ303">
        <f>IF(AQ$1=$AO$1,IF(regle!D$2-$Q303&gt;=regle!$J$12,-2,IF($S303,IF(regle!$B$2-$Q303&gt;=2,0,-1),regle!D$2-$Q303)),IF(AP303+1&gt;=regle!$J$12,-2,AP303+1))</f>
        <v>2</v>
      </c>
      <c r="AR303">
        <f>IF(AR$1=$AO$1,IF(regle!E$2-$Q303&gt;=regle!$J$12,-2,IF($S303,IF(regle!$B$2-$Q303&gt;=2,0,-1),regle!E$2-$Q303)),IF(AQ303+1&gt;=regle!$J$12,-2,AQ303+1))</f>
        <v>3</v>
      </c>
      <c r="AS303">
        <f>IF(AS$1=$AO$1,IF(regle!F$2-$Q303&gt;=regle!$J$12,-2,IF($S303,IF(regle!$B$2-$Q303&gt;=2,0,-1),regle!F$2-$Q303)),IF(AR303+1&gt;=regle!$J$12,-2,AR303+1))</f>
        <v>4</v>
      </c>
      <c r="AT303">
        <f>IF(AT$1=$AO$1,IF(regle!G$2-$Q303&gt;=regle!$J$12,-2,IF($S303,IF(regle!$B$2-$Q303&gt;=2,0,-1),regle!G$2-$Q303)),IF(AS303+1&gt;=regle!$J$12,-2,AS303+1))</f>
        <v>5</v>
      </c>
      <c r="AU303">
        <f>IF(AU$1=$AO$1,IF(regle!H$2-$Q303&gt;=regle!$J$12,-2,IF($S303,IF(regle!$B$2-$Q303&gt;=2,0,-1),regle!H$2-$Q303)),IF(AT303+1&gt;=regle!$J$12,-2,AT303+1))</f>
        <v>6</v>
      </c>
      <c r="AV303">
        <f>IF(AV$1=$AO$1,IF(regle!I$2-$Q303&gt;=regle!$J$12,-2,IF($S303,IF(regle!$B$2-$Q303&gt;=2,0,-1),regle!I$2-$Q303)),IF(AU303+1&gt;=regle!$J$12,-2,AU303+1))</f>
        <v>7</v>
      </c>
      <c r="AW303">
        <f>IF(AW$1=$AO$1,IF(regle!J$2-$Q303&gt;=regle!$J$12,-2,IF($S303,IF(regle!$B$2-$Q303&gt;=2,0,-1),regle!J$2-$Q303)),IF(AV303+1&gt;=regle!$J$12,-2,AV303+1))</f>
        <v>8</v>
      </c>
      <c r="AX303">
        <f>IF(AX$1=$AO$1,IF(regle!K$2-$Q303&gt;=regle!$J$12,-2,IF($S303,IF(regle!$B$2-$Q303&gt;=2,0,-1),regle!K$2-$Q303)),IF(AW303+1&gt;=regle!$J$12,-2,AW303+1))</f>
        <v>9</v>
      </c>
    </row>
    <row r="304" spans="1:50" x14ac:dyDescent="0.25">
      <c r="A304" t="b">
        <f>AND(modif0[[#This Row],[cdstr]]&lt;&gt;0,OR(regle!$H$27=FALSE,modif0[[#This Row],[essnc]]="PM"))</f>
        <v>1</v>
      </c>
      <c r="B304">
        <f>ROW(objet!A354)</f>
        <v>354</v>
      </c>
      <c r="C304" s="10" t="str">
        <f>objet!D354</f>
        <v>1710000C0188</v>
      </c>
      <c r="D304" t="str">
        <f>LEFT(modif0[[#This Row],[cdstr]],3)</f>
        <v>171</v>
      </c>
      <c r="E304" s="10" t="str">
        <f>objet!G354</f>
        <v>MANO</v>
      </c>
      <c r="F304">
        <f>LEN(modif0[[#This Row],[l_dt]])</f>
        <v>6</v>
      </c>
      <c r="G304" s="10" t="str">
        <f>objet!H354</f>
        <v>BARRAT</v>
      </c>
      <c r="H304" s="10" t="str">
        <f>objet!C354</f>
        <v>C188</v>
      </c>
      <c r="I304" t="str">
        <f>IF(ISNUMBER(VALUE(RIGHT(LEFT(modif0[[#This Row],[idntfn]],2),1))),_xlfn.CONCAT(0,LEFT(modif0[[#This Row],[idntfn]],1)),LEFT(modif0[[#This Row],[idntfn]],2))</f>
        <v>0C</v>
      </c>
      <c r="J304">
        <f>VALUE(LEFT(RIGHT(modif0[[#This Row],[idntfn]],LEN(modif0[[#This Row],[idntfn]])-IF(LEFT(modif0[[#This Row],[sctn]],1)="0",1,2)),LEN(modif0[[#This Row],[idntfn]])-IF(LEFT(modif0[[#This Row],[sctn]],1)="0",1,2)-LEN(modif0[[#This Row],[lttr]])))</f>
        <v>188</v>
      </c>
      <c r="K304" t="str">
        <f>IF(ISNUMBER(VALUE(RIGHT(modif0[[#This Row],[idntfn]],1))),"",IF(ISNUMBER(VALUE(LEFT(RIGHT(modif0[[#This Row],[idntfn]],2),1))),RIGHT(modif0[[#This Row],[idntfn]],1),RIGHT(modif0[[#This Row],[idntfn]],2)))</f>
        <v/>
      </c>
      <c r="L304" s="10">
        <f>objet!I354</f>
        <v>2979</v>
      </c>
      <c r="M304" s="11">
        <f>modif0[[#This Row],[srfc]]/10000</f>
        <v>0.2979</v>
      </c>
      <c r="N304" s="10" t="str">
        <f>objet!Z354</f>
        <v>PM</v>
      </c>
      <c r="O304" s="10" t="str">
        <f>objet!AA354</f>
        <v>CR2022</v>
      </c>
      <c r="P304" t="str">
        <f>IF(ISNUMBER(modif0[[#This Row],[trvx]]),"",LEFT(modif0[[#This Row],[trvx]],LEN(modif0[[#This Row],[trvx]])-4))</f>
        <v>CR</v>
      </c>
      <c r="Q304">
        <f>VALUE(RIGHT(modif0[[#This Row],[trvx]],4))</f>
        <v>2022</v>
      </c>
      <c r="R304" t="str">
        <f>_xlfn.CONCAT(modif0[[#This Row],[tp]],"-",modif0[[#This Row],[essnc]],"_",modif0[[#This Row],[anns]])</f>
        <v>CR-PM_2022</v>
      </c>
      <c r="S304" t="b">
        <f>modif0[[#This Row],[tp]]="CR"</f>
        <v>1</v>
      </c>
      <c r="T304">
        <v>40</v>
      </c>
      <c r="U304" t="str">
        <f>IF(NOT($A304),"",
IF(AO304=-2,regle!$J$11,
IF(AO304=regle!$B$12,regle!$B$11,
IF(AO304=regle!$C$12,regle!$C$11,
IF(AO304=regle!$D$12,regle!$D$11,
IF(AO304=regle!$E$12,regle!$E$11,
IF(AO304=regle!$F$12,regle!$F$11,
IF(AO304=regle!$G$12,regle!$G$11,
IF(AO304=regle!$H$12,regle!$H$11,
IF(AO304=regle!$I$12,regle!$I$11,""))))))))))</f>
        <v>RBST</v>
      </c>
      <c r="V304" t="str">
        <f>IF(NOT($A304),"",
IF(AP304=-2,regle!$J$11,
IF(AP304=regle!$B$12,regle!$B$11,
IF(AP304=regle!$C$12,regle!$C$11,
IF(AP304=regle!$D$12,regle!$D$11,
IF(AP304=regle!$E$12,regle!$E$11,
IF(AP304=regle!$F$12,regle!$F$11,
IF(AP304=regle!$G$12,regle!$G$11,
IF(AP304=regle!$H$12,regle!$H$11,
IF(AP304=regle!$I$12,regle!$I$11,""))))))))))</f>
        <v/>
      </c>
      <c r="W304" t="str">
        <f>IF(NOT($A304),"",
IF(AQ304=-2,regle!$J$11,
IF(AQ304=regle!$B$12,regle!$B$11,
IF(AQ304=regle!$C$12,regle!$C$11,
IF(AQ304=regle!$D$12,regle!$D$11,
IF(AQ304=regle!$E$12,regle!$E$11,
IF(AQ304=regle!$F$12,regle!$F$11,
IF(AQ304=regle!$G$12,regle!$G$11,
IF(AQ304=regle!$H$12,regle!$H$11,
IF(AQ304=regle!$I$12,regle!$I$11,""))))))))))</f>
        <v>DGT</v>
      </c>
      <c r="X304" t="str">
        <f>IF(NOT($A304),"",
IF(AR304=-2,regle!$J$11,
IF(AR304=regle!$B$12,regle!$B$11,
IF(AR304=regle!$C$12,regle!$C$11,
IF(AR304=regle!$D$12,regle!$D$11,
IF(AR304=regle!$E$12,regle!$E$11,
IF(AR304=regle!$F$12,regle!$F$11,
IF(AR304=regle!$G$12,regle!$G$11,
IF(AR304=regle!$H$12,regle!$H$11,
IF(AR304=regle!$I$12,regle!$I$11,""))))))))))</f>
        <v/>
      </c>
      <c r="Y304" t="str">
        <f>IF(NOT($A304),"",
IF(AS304=-2,regle!$J$11,
IF(AS304=regle!$B$12,regle!$B$11,
IF(AS304=regle!$C$12,regle!$C$11,
IF(AS304=regle!$D$12,regle!$D$11,
IF(AS304=regle!$E$12,regle!$E$11,
IF(AS304=regle!$F$12,regle!$F$11,
IF(AS304=regle!$G$12,regle!$G$11,
IF(AS304=regle!$H$12,regle!$H$11,
IF(AS304=regle!$I$12,regle!$I$11,""))))))))))</f>
        <v/>
      </c>
      <c r="Z304" t="str">
        <f>IF(NOT($A304),"",
IF(AT304=-2,regle!$J$11,
IF(AT304=regle!$B$12,regle!$B$11,
IF(AT304=regle!$C$12,regle!$C$11,
IF(AT304=regle!$D$12,regle!$D$11,
IF(AT304=regle!$E$12,regle!$E$11,
IF(AT304=regle!$F$12,regle!$F$11,
IF(AT304=regle!$G$12,regle!$G$11,
IF(AT304=regle!$H$12,regle!$H$11,
IF(AT304=regle!$I$12,regle!$I$11,""))))))))))</f>
        <v>ENT1</v>
      </c>
      <c r="AA304" t="str">
        <f>IF(NOT($A304),"",
IF(AU304=-2,regle!$J$11,
IF(AU304=regle!$B$12,regle!$B$11,
IF(AU304=regle!$C$12,regle!$C$11,
IF(AU304=regle!$D$12,regle!$D$11,
IF(AU304=regle!$E$12,regle!$E$11,
IF(AU304=regle!$F$12,regle!$F$11,
IF(AU304=regle!$G$12,regle!$G$11,
IF(AU304=regle!$H$12,regle!$H$11,
IF(AU304=regle!$I$12,regle!$I$11,""))))))))))</f>
        <v/>
      </c>
      <c r="AB304" t="str">
        <f>IF(NOT($A304),"",
IF(AV304=-2,regle!$J$11,
IF(AV304=regle!$B$12,regle!$B$11,
IF(AV304=regle!$C$12,regle!$C$11,
IF(AV304=regle!$D$12,regle!$D$11,
IF(AV304=regle!$E$12,regle!$E$11,
IF(AV304=regle!$F$12,regle!$F$11,
IF(AV304=regle!$G$12,regle!$G$11,
IF(AV304=regle!$H$12,regle!$H$11,
IF(AV304=regle!$I$12,regle!$I$11,""))))))))))</f>
        <v/>
      </c>
      <c r="AC304" t="str">
        <f>IF(NOT($A304),"",
IF(AW304=-2,regle!$J$11,
IF(AW304=regle!$B$12,regle!$B$11,
IF(AW304=regle!$C$12,regle!$C$11,
IF(AW304=regle!$D$12,regle!$D$11,
IF(AW304=regle!$E$12,regle!$E$11,
IF(AW304=regle!$F$12,regle!$F$11,
IF(AW304=regle!$G$12,regle!$G$11,
IF(AW304=regle!$H$12,regle!$H$11,
IF(AW304=regle!$I$12,regle!$I$11,""))))))))))</f>
        <v>ENT2</v>
      </c>
      <c r="AD304" t="str">
        <f>IF(NOT($A304),"",
IF(AX304=-2,regle!$J$11,
IF(AX304=regle!$B$12,regle!$B$11,
IF(AX304=regle!$C$12,regle!$C$11,
IF(AX304=regle!$D$12,regle!$D$11,
IF(AX304=regle!$E$12,regle!$E$11,
IF(AX304=regle!$F$12,regle!$F$11,
IF(AX304=regle!$G$12,regle!$G$11,
IF(AX304=regle!$H$12,regle!$H$11,
IF(AX304=regle!$I$12,regle!$I$11,""))))))))))</f>
        <v/>
      </c>
      <c r="AE304" s="14">
        <f>IF($A304,$M304*(IF(U304=regle!$B$11,regle!$B$23,IF(U304=regle!$C$11,regle!$C$23,IF(U304=regle!$D$11,regle!$D$23,IF(U304=regle!$E$11,regle!$E$23,IF(U304=regle!$F$11,regle!$F$23,IF(U304=regle!$G$11,regle!$G$23,IF(U304=regle!$H$11,regle!$H$23,IF(U304=regle!$I$11,regle!$I$23,IF(U304=regle!$J$11,regle!$J$23,0)))))))))))</f>
        <v>-506.43</v>
      </c>
      <c r="AF304" s="14">
        <f>IF($A304,$M304*(IF(V304=regle!$B$11,regle!$B$23,IF(V304=regle!$C$11,regle!$C$23,IF(V304=regle!$D$11,regle!$D$23,IF(V304=regle!$E$11,regle!$E$23,IF(V304=regle!$F$11,regle!$F$23,IF(V304=regle!$G$11,regle!$G$23,IF(V304=regle!$H$11,regle!$H$23,IF(V304=regle!$I$11,regle!$I$23,IF(V304=regle!$J$11,regle!$J$23,0)))))))))))</f>
        <v>0</v>
      </c>
      <c r="AG304" s="14">
        <f>IF($A304,$M304*(IF(W304=regle!$B$11,regle!$B$23,IF(W304=regle!$C$11,regle!$C$23,IF(W304=regle!$D$11,regle!$D$23,IF(W304=regle!$E$11,regle!$E$23,IF(W304=regle!$F$11,regle!$F$23,IF(W304=regle!$G$11,regle!$G$23,IF(W304=regle!$H$11,regle!$H$23,IF(W304=regle!$I$11,regle!$I$23,IF(W304=regle!$J$11,regle!$J$23,0)))))))))))</f>
        <v>-22.342500000000001</v>
      </c>
      <c r="AH304" s="14">
        <f>IF($A304,$M304*(IF(X304=regle!$B$11,regle!$B$23,IF(X304=regle!$C$11,regle!$C$23,IF(X304=regle!$D$11,regle!$D$23,IF(X304=regle!$E$11,regle!$E$23,IF(X304=regle!$F$11,regle!$F$23,IF(X304=regle!$G$11,regle!$G$23,IF(X304=regle!$H$11,regle!$H$23,IF(X304=regle!$I$11,regle!$I$23,IF(X304=regle!$J$11,regle!$J$23,0)))))))))))</f>
        <v>0</v>
      </c>
      <c r="AI304" s="14">
        <f>IF($A304,$M304*(IF(Y304=regle!$B$11,regle!$B$23,IF(Y304=regle!$C$11,regle!$C$23,IF(Y304=regle!$D$11,regle!$D$23,IF(Y304=regle!$E$11,regle!$E$23,IF(Y304=regle!$F$11,regle!$F$23,IF(Y304=regle!$G$11,regle!$G$23,IF(Y304=regle!$H$11,regle!$H$23,IF(Y304=regle!$I$11,regle!$I$23,IF(Y304=regle!$J$11,regle!$J$23,0)))))))))))</f>
        <v>0</v>
      </c>
      <c r="AJ304" s="14">
        <f>IF($A304,$M304*(IF(Z304=regle!$B$11,regle!$B$23,IF(Z304=regle!$C$11,regle!$C$23,IF(Z304=regle!$D$11,regle!$D$23,IF(Z304=regle!$E$11,regle!$E$23,IF(Z304=regle!$F$11,regle!$F$23,IF(Z304=regle!$G$11,regle!$G$23,IF(Z304=regle!$H$11,regle!$H$23,IF(Z304=regle!$I$11,regle!$I$23,IF(Z304=regle!$J$11,regle!$J$23,0)))))))))))</f>
        <v>-26.811</v>
      </c>
      <c r="AK304" s="14">
        <f>IF($A304,$M304*(IF(AA304=regle!$B$11,regle!$B$23,IF(AA304=regle!$C$11,regle!$C$23,IF(AA304=regle!$D$11,regle!$D$23,IF(AA304=regle!$E$11,regle!$E$23,IF(AA304=regle!$F$11,regle!$F$23,IF(AA304=regle!$G$11,regle!$G$23,IF(AA304=regle!$H$11,regle!$H$23,IF(AA304=regle!$I$11,regle!$I$23,IF(AA304=regle!$J$11,regle!$J$23,0)))))))))))</f>
        <v>0</v>
      </c>
      <c r="AL304" s="14">
        <f>IF($A304,$M304*(IF(AB304=regle!$B$11,regle!$B$23,IF(AB304=regle!$C$11,regle!$C$23,IF(AB304=regle!$D$11,regle!$D$23,IF(AB304=regle!$E$11,regle!$E$23,IF(AB304=regle!$F$11,regle!$F$23,IF(AB304=regle!$G$11,regle!$G$23,IF(AB304=regle!$H$11,regle!$H$23,IF(AB304=regle!$I$11,regle!$I$23,IF(AB304=regle!$J$11,regle!$J$23,0)))))))))))</f>
        <v>0</v>
      </c>
      <c r="AM304" s="14">
        <f>IF($A304,$M304*(IF(AC304=regle!$B$11,regle!$B$23,IF(AC304=regle!$C$11,regle!$C$23,IF(AC304=regle!$D$11,regle!$D$23,IF(AC304=regle!$E$11,regle!$E$23,IF(AC304=regle!$F$11,regle!$F$23,IF(AC304=regle!$G$11,regle!$G$23,IF(AC304=regle!$H$11,regle!$H$23,IF(AC304=regle!$I$11,regle!$I$23,IF(AC304=regle!$J$11,regle!$J$23,0)))))))))))</f>
        <v>-26.811</v>
      </c>
      <c r="AN304" s="14">
        <f>IF($A304,$M304*(IF(AD304=regle!$B$11,regle!$B$23,IF(AD304=regle!$C$11,regle!$C$23,IF(AD304=regle!$D$11,regle!$D$23,IF(AD304=regle!$E$11,regle!$E$23,IF(AD304=regle!$F$11,regle!$F$23,IF(AD304=regle!$G$11,regle!$G$23,IF(AD304=regle!$H$11,regle!$H$23,IF(AD304=regle!$I$11,regle!$I$23,IF(AD304=regle!$J$11,regle!$J$23,0)))))))))))</f>
        <v>0</v>
      </c>
      <c r="AO304">
        <f>IF(AO$1=$AO$1,IF(regle!B$2-$Q304&gt;=regle!$J$12,-2,IF($S304,IF(regle!$B$2-$Q304&gt;=2,0,-1),regle!B$2-$Q304)),IF(AN304+1&gt;=regle!$J$12,-2,AN304+1))</f>
        <v>0</v>
      </c>
      <c r="AP304">
        <f>IF(AP$1=$AO$1,IF(regle!C$2-$Q304&gt;=regle!$J$12,-2,IF($S304,IF(regle!$B$2-$Q304&gt;=2,0,-1),regle!C$2-$Q304)),IF(AO304+1&gt;=regle!$J$12,-2,AO304+1))</f>
        <v>1</v>
      </c>
      <c r="AQ304">
        <f>IF(AQ$1=$AO$1,IF(regle!D$2-$Q304&gt;=regle!$J$12,-2,IF($S304,IF(regle!$B$2-$Q304&gt;=2,0,-1),regle!D$2-$Q304)),IF(AP304+1&gt;=regle!$J$12,-2,AP304+1))</f>
        <v>2</v>
      </c>
      <c r="AR304">
        <f>IF(AR$1=$AO$1,IF(regle!E$2-$Q304&gt;=regle!$J$12,-2,IF($S304,IF(regle!$B$2-$Q304&gt;=2,0,-1),regle!E$2-$Q304)),IF(AQ304+1&gt;=regle!$J$12,-2,AQ304+1))</f>
        <v>3</v>
      </c>
      <c r="AS304">
        <f>IF(AS$1=$AO$1,IF(regle!F$2-$Q304&gt;=regle!$J$12,-2,IF($S304,IF(regle!$B$2-$Q304&gt;=2,0,-1),regle!F$2-$Q304)),IF(AR304+1&gt;=regle!$J$12,-2,AR304+1))</f>
        <v>4</v>
      </c>
      <c r="AT304">
        <f>IF(AT$1=$AO$1,IF(regle!G$2-$Q304&gt;=regle!$J$12,-2,IF($S304,IF(regle!$B$2-$Q304&gt;=2,0,-1),regle!G$2-$Q304)),IF(AS304+1&gt;=regle!$J$12,-2,AS304+1))</f>
        <v>5</v>
      </c>
      <c r="AU304">
        <f>IF(AU$1=$AO$1,IF(regle!H$2-$Q304&gt;=regle!$J$12,-2,IF($S304,IF(regle!$B$2-$Q304&gt;=2,0,-1),regle!H$2-$Q304)),IF(AT304+1&gt;=regle!$J$12,-2,AT304+1))</f>
        <v>6</v>
      </c>
      <c r="AV304">
        <f>IF(AV$1=$AO$1,IF(regle!I$2-$Q304&gt;=regle!$J$12,-2,IF($S304,IF(regle!$B$2-$Q304&gt;=2,0,-1),regle!I$2-$Q304)),IF(AU304+1&gt;=regle!$J$12,-2,AU304+1))</f>
        <v>7</v>
      </c>
      <c r="AW304">
        <f>IF(AW$1=$AO$1,IF(regle!J$2-$Q304&gt;=regle!$J$12,-2,IF($S304,IF(regle!$B$2-$Q304&gt;=2,0,-1),regle!J$2-$Q304)),IF(AV304+1&gt;=regle!$J$12,-2,AV304+1))</f>
        <v>8</v>
      </c>
      <c r="AX304">
        <f>IF(AX$1=$AO$1,IF(regle!K$2-$Q304&gt;=regle!$J$12,-2,IF($S304,IF(regle!$B$2-$Q304&gt;=2,0,-1),regle!K$2-$Q304)),IF(AW304+1&gt;=regle!$J$12,-2,AW304+1))</f>
        <v>9</v>
      </c>
    </row>
    <row r="305" spans="1:50" x14ac:dyDescent="0.25">
      <c r="A305" t="b">
        <f>AND(modif0[[#This Row],[cdstr]]&lt;&gt;0,OR(regle!$H$27=FALSE,modif0[[#This Row],[essnc]]="PM"))</f>
        <v>1</v>
      </c>
      <c r="B305">
        <f>ROW(objet!A355)</f>
        <v>355</v>
      </c>
      <c r="C305" s="10" t="str">
        <f>objet!D355</f>
        <v>1710000C0189</v>
      </c>
      <c r="D305" t="str">
        <f>LEFT(modif0[[#This Row],[cdstr]],3)</f>
        <v>171</v>
      </c>
      <c r="E305" s="10" t="str">
        <f>objet!G355</f>
        <v>MANO</v>
      </c>
      <c r="F305">
        <f>LEN(modif0[[#This Row],[l_dt]])</f>
        <v>6</v>
      </c>
      <c r="G305" s="10" t="str">
        <f>objet!H355</f>
        <v>BARRAT</v>
      </c>
      <c r="H305" s="10" t="str">
        <f>objet!C355</f>
        <v>C189</v>
      </c>
      <c r="I305" t="str">
        <f>IF(ISNUMBER(VALUE(RIGHT(LEFT(modif0[[#This Row],[idntfn]],2),1))),_xlfn.CONCAT(0,LEFT(modif0[[#This Row],[idntfn]],1)),LEFT(modif0[[#This Row],[idntfn]],2))</f>
        <v>0C</v>
      </c>
      <c r="J305">
        <f>VALUE(LEFT(RIGHT(modif0[[#This Row],[idntfn]],LEN(modif0[[#This Row],[idntfn]])-IF(LEFT(modif0[[#This Row],[sctn]],1)="0",1,2)),LEN(modif0[[#This Row],[idntfn]])-IF(LEFT(modif0[[#This Row],[sctn]],1)="0",1,2)-LEN(modif0[[#This Row],[lttr]])))</f>
        <v>189</v>
      </c>
      <c r="K305" t="str">
        <f>IF(ISNUMBER(VALUE(RIGHT(modif0[[#This Row],[idntfn]],1))),"",IF(ISNUMBER(VALUE(LEFT(RIGHT(modif0[[#This Row],[idntfn]],2),1))),RIGHT(modif0[[#This Row],[idntfn]],1),RIGHT(modif0[[#This Row],[idntfn]],2)))</f>
        <v/>
      </c>
      <c r="L305" s="10">
        <f>objet!I355</f>
        <v>3656</v>
      </c>
      <c r="M305" s="11">
        <f>modif0[[#This Row],[srfc]]/10000</f>
        <v>0.36559999999999998</v>
      </c>
      <c r="N305" s="10" t="str">
        <f>objet!Z355</f>
        <v>PM</v>
      </c>
      <c r="O305" s="10" t="str">
        <f>objet!AA355</f>
        <v>CR2022</v>
      </c>
      <c r="P305" t="str">
        <f>IF(ISNUMBER(modif0[[#This Row],[trvx]]),"",LEFT(modif0[[#This Row],[trvx]],LEN(modif0[[#This Row],[trvx]])-4))</f>
        <v>CR</v>
      </c>
      <c r="Q305">
        <f>VALUE(RIGHT(modif0[[#This Row],[trvx]],4))</f>
        <v>2022</v>
      </c>
      <c r="R305" t="str">
        <f>_xlfn.CONCAT(modif0[[#This Row],[tp]],"-",modif0[[#This Row],[essnc]],"_",modif0[[#This Row],[anns]])</f>
        <v>CR-PM_2022</v>
      </c>
      <c r="S305" t="b">
        <f>modif0[[#This Row],[tp]]="CR"</f>
        <v>1</v>
      </c>
      <c r="T305">
        <v>40</v>
      </c>
      <c r="U305" t="str">
        <f>IF(NOT($A305),"",
IF(AO305=-2,regle!$J$11,
IF(AO305=regle!$B$12,regle!$B$11,
IF(AO305=regle!$C$12,regle!$C$11,
IF(AO305=regle!$D$12,regle!$D$11,
IF(AO305=regle!$E$12,regle!$E$11,
IF(AO305=regle!$F$12,regle!$F$11,
IF(AO305=regle!$G$12,regle!$G$11,
IF(AO305=regle!$H$12,regle!$H$11,
IF(AO305=regle!$I$12,regle!$I$11,""))))))))))</f>
        <v>RBST</v>
      </c>
      <c r="V305" t="str">
        <f>IF(NOT($A305),"",
IF(AP305=-2,regle!$J$11,
IF(AP305=regle!$B$12,regle!$B$11,
IF(AP305=regle!$C$12,regle!$C$11,
IF(AP305=regle!$D$12,regle!$D$11,
IF(AP305=regle!$E$12,regle!$E$11,
IF(AP305=regle!$F$12,regle!$F$11,
IF(AP305=regle!$G$12,regle!$G$11,
IF(AP305=regle!$H$12,regle!$H$11,
IF(AP305=regle!$I$12,regle!$I$11,""))))))))))</f>
        <v/>
      </c>
      <c r="W305" t="str">
        <f>IF(NOT($A305),"",
IF(AQ305=-2,regle!$J$11,
IF(AQ305=regle!$B$12,regle!$B$11,
IF(AQ305=regle!$C$12,regle!$C$11,
IF(AQ305=regle!$D$12,regle!$D$11,
IF(AQ305=regle!$E$12,regle!$E$11,
IF(AQ305=regle!$F$12,regle!$F$11,
IF(AQ305=regle!$G$12,regle!$G$11,
IF(AQ305=regle!$H$12,regle!$H$11,
IF(AQ305=regle!$I$12,regle!$I$11,""))))))))))</f>
        <v>DGT</v>
      </c>
      <c r="X305" t="str">
        <f>IF(NOT($A305),"",
IF(AR305=-2,regle!$J$11,
IF(AR305=regle!$B$12,regle!$B$11,
IF(AR305=regle!$C$12,regle!$C$11,
IF(AR305=regle!$D$12,regle!$D$11,
IF(AR305=regle!$E$12,regle!$E$11,
IF(AR305=regle!$F$12,regle!$F$11,
IF(AR305=regle!$G$12,regle!$G$11,
IF(AR305=regle!$H$12,regle!$H$11,
IF(AR305=regle!$I$12,regle!$I$11,""))))))))))</f>
        <v/>
      </c>
      <c r="Y305" t="str">
        <f>IF(NOT($A305),"",
IF(AS305=-2,regle!$J$11,
IF(AS305=regle!$B$12,regle!$B$11,
IF(AS305=regle!$C$12,regle!$C$11,
IF(AS305=regle!$D$12,regle!$D$11,
IF(AS305=regle!$E$12,regle!$E$11,
IF(AS305=regle!$F$12,regle!$F$11,
IF(AS305=regle!$G$12,regle!$G$11,
IF(AS305=regle!$H$12,regle!$H$11,
IF(AS305=regle!$I$12,regle!$I$11,""))))))))))</f>
        <v/>
      </c>
      <c r="Z305" t="str">
        <f>IF(NOT($A305),"",
IF(AT305=-2,regle!$J$11,
IF(AT305=regle!$B$12,regle!$B$11,
IF(AT305=regle!$C$12,regle!$C$11,
IF(AT305=regle!$D$12,regle!$D$11,
IF(AT305=regle!$E$12,regle!$E$11,
IF(AT305=regle!$F$12,regle!$F$11,
IF(AT305=regle!$G$12,regle!$G$11,
IF(AT305=regle!$H$12,regle!$H$11,
IF(AT305=regle!$I$12,regle!$I$11,""))))))))))</f>
        <v>ENT1</v>
      </c>
      <c r="AA305" t="str">
        <f>IF(NOT($A305),"",
IF(AU305=-2,regle!$J$11,
IF(AU305=regle!$B$12,regle!$B$11,
IF(AU305=regle!$C$12,regle!$C$11,
IF(AU305=regle!$D$12,regle!$D$11,
IF(AU305=regle!$E$12,regle!$E$11,
IF(AU305=regle!$F$12,regle!$F$11,
IF(AU305=regle!$G$12,regle!$G$11,
IF(AU305=regle!$H$12,regle!$H$11,
IF(AU305=regle!$I$12,regle!$I$11,""))))))))))</f>
        <v/>
      </c>
      <c r="AB305" t="str">
        <f>IF(NOT($A305),"",
IF(AV305=-2,regle!$J$11,
IF(AV305=regle!$B$12,regle!$B$11,
IF(AV305=regle!$C$12,regle!$C$11,
IF(AV305=regle!$D$12,regle!$D$11,
IF(AV305=regle!$E$12,regle!$E$11,
IF(AV305=regle!$F$12,regle!$F$11,
IF(AV305=regle!$G$12,regle!$G$11,
IF(AV305=regle!$H$12,regle!$H$11,
IF(AV305=regle!$I$12,regle!$I$11,""))))))))))</f>
        <v/>
      </c>
      <c r="AC305" t="str">
        <f>IF(NOT($A305),"",
IF(AW305=-2,regle!$J$11,
IF(AW305=regle!$B$12,regle!$B$11,
IF(AW305=regle!$C$12,regle!$C$11,
IF(AW305=regle!$D$12,regle!$D$11,
IF(AW305=regle!$E$12,regle!$E$11,
IF(AW305=regle!$F$12,regle!$F$11,
IF(AW305=regle!$G$12,regle!$G$11,
IF(AW305=regle!$H$12,regle!$H$11,
IF(AW305=regle!$I$12,regle!$I$11,""))))))))))</f>
        <v>ENT2</v>
      </c>
      <c r="AD305" t="str">
        <f>IF(NOT($A305),"",
IF(AX305=-2,regle!$J$11,
IF(AX305=regle!$B$12,regle!$B$11,
IF(AX305=regle!$C$12,regle!$C$11,
IF(AX305=regle!$D$12,regle!$D$11,
IF(AX305=regle!$E$12,regle!$E$11,
IF(AX305=regle!$F$12,regle!$F$11,
IF(AX305=regle!$G$12,regle!$G$11,
IF(AX305=regle!$H$12,regle!$H$11,
IF(AX305=regle!$I$12,regle!$I$11,""))))))))))</f>
        <v/>
      </c>
      <c r="AE305" s="14">
        <f>IF($A305,$M305*(IF(U305=regle!$B$11,regle!$B$23,IF(U305=regle!$C$11,regle!$C$23,IF(U305=regle!$D$11,regle!$D$23,IF(U305=regle!$E$11,regle!$E$23,IF(U305=regle!$F$11,regle!$F$23,IF(U305=regle!$G$11,regle!$G$23,IF(U305=regle!$H$11,regle!$H$23,IF(U305=regle!$I$11,regle!$I$23,IF(U305=regle!$J$11,regle!$J$23,0)))))))))))</f>
        <v>-621.52</v>
      </c>
      <c r="AF305" s="14">
        <f>IF($A305,$M305*(IF(V305=regle!$B$11,regle!$B$23,IF(V305=regle!$C$11,regle!$C$23,IF(V305=regle!$D$11,regle!$D$23,IF(V305=regle!$E$11,regle!$E$23,IF(V305=regle!$F$11,regle!$F$23,IF(V305=regle!$G$11,regle!$G$23,IF(V305=regle!$H$11,regle!$H$23,IF(V305=regle!$I$11,regle!$I$23,IF(V305=regle!$J$11,regle!$J$23,0)))))))))))</f>
        <v>0</v>
      </c>
      <c r="AG305" s="14">
        <f>IF($A305,$M305*(IF(W305=regle!$B$11,regle!$B$23,IF(W305=regle!$C$11,regle!$C$23,IF(W305=regle!$D$11,regle!$D$23,IF(W305=regle!$E$11,regle!$E$23,IF(W305=regle!$F$11,regle!$F$23,IF(W305=regle!$G$11,regle!$G$23,IF(W305=regle!$H$11,regle!$H$23,IF(W305=regle!$I$11,regle!$I$23,IF(W305=regle!$J$11,regle!$J$23,0)))))))))))</f>
        <v>-27.419999999999998</v>
      </c>
      <c r="AH305" s="14">
        <f>IF($A305,$M305*(IF(X305=regle!$B$11,regle!$B$23,IF(X305=regle!$C$11,regle!$C$23,IF(X305=regle!$D$11,regle!$D$23,IF(X305=regle!$E$11,regle!$E$23,IF(X305=regle!$F$11,regle!$F$23,IF(X305=regle!$G$11,regle!$G$23,IF(X305=regle!$H$11,regle!$H$23,IF(X305=regle!$I$11,regle!$I$23,IF(X305=regle!$J$11,regle!$J$23,0)))))))))))</f>
        <v>0</v>
      </c>
      <c r="AI305" s="14">
        <f>IF($A305,$M305*(IF(Y305=regle!$B$11,regle!$B$23,IF(Y305=regle!$C$11,regle!$C$23,IF(Y305=regle!$D$11,regle!$D$23,IF(Y305=regle!$E$11,regle!$E$23,IF(Y305=regle!$F$11,regle!$F$23,IF(Y305=regle!$G$11,regle!$G$23,IF(Y305=regle!$H$11,regle!$H$23,IF(Y305=regle!$I$11,regle!$I$23,IF(Y305=regle!$J$11,regle!$J$23,0)))))))))))</f>
        <v>0</v>
      </c>
      <c r="AJ305" s="14">
        <f>IF($A305,$M305*(IF(Z305=regle!$B$11,regle!$B$23,IF(Z305=regle!$C$11,regle!$C$23,IF(Z305=regle!$D$11,regle!$D$23,IF(Z305=regle!$E$11,regle!$E$23,IF(Z305=regle!$F$11,regle!$F$23,IF(Z305=regle!$G$11,regle!$G$23,IF(Z305=regle!$H$11,regle!$H$23,IF(Z305=regle!$I$11,regle!$I$23,IF(Z305=regle!$J$11,regle!$J$23,0)))))))))))</f>
        <v>-32.903999999999996</v>
      </c>
      <c r="AK305" s="14">
        <f>IF($A305,$M305*(IF(AA305=regle!$B$11,regle!$B$23,IF(AA305=regle!$C$11,regle!$C$23,IF(AA305=regle!$D$11,regle!$D$23,IF(AA305=regle!$E$11,regle!$E$23,IF(AA305=regle!$F$11,regle!$F$23,IF(AA305=regle!$G$11,regle!$G$23,IF(AA305=regle!$H$11,regle!$H$23,IF(AA305=regle!$I$11,regle!$I$23,IF(AA305=regle!$J$11,regle!$J$23,0)))))))))))</f>
        <v>0</v>
      </c>
      <c r="AL305" s="14">
        <f>IF($A305,$M305*(IF(AB305=regle!$B$11,regle!$B$23,IF(AB305=regle!$C$11,regle!$C$23,IF(AB305=regle!$D$11,regle!$D$23,IF(AB305=regle!$E$11,regle!$E$23,IF(AB305=regle!$F$11,regle!$F$23,IF(AB305=regle!$G$11,regle!$G$23,IF(AB305=regle!$H$11,regle!$H$23,IF(AB305=regle!$I$11,regle!$I$23,IF(AB305=regle!$J$11,regle!$J$23,0)))))))))))</f>
        <v>0</v>
      </c>
      <c r="AM305" s="14">
        <f>IF($A305,$M305*(IF(AC305=regle!$B$11,regle!$B$23,IF(AC305=regle!$C$11,regle!$C$23,IF(AC305=regle!$D$11,regle!$D$23,IF(AC305=regle!$E$11,regle!$E$23,IF(AC305=regle!$F$11,regle!$F$23,IF(AC305=regle!$G$11,regle!$G$23,IF(AC305=regle!$H$11,regle!$H$23,IF(AC305=regle!$I$11,regle!$I$23,IF(AC305=regle!$J$11,regle!$J$23,0)))))))))))</f>
        <v>-32.903999999999996</v>
      </c>
      <c r="AN305" s="14">
        <f>IF($A305,$M305*(IF(AD305=regle!$B$11,regle!$B$23,IF(AD305=regle!$C$11,regle!$C$23,IF(AD305=regle!$D$11,regle!$D$23,IF(AD305=regle!$E$11,regle!$E$23,IF(AD305=regle!$F$11,regle!$F$23,IF(AD305=regle!$G$11,regle!$G$23,IF(AD305=regle!$H$11,regle!$H$23,IF(AD305=regle!$I$11,regle!$I$23,IF(AD305=regle!$J$11,regle!$J$23,0)))))))))))</f>
        <v>0</v>
      </c>
      <c r="AO305">
        <f>IF(AO$1=$AO$1,IF(regle!B$2-$Q305&gt;=regle!$J$12,-2,IF($S305,IF(regle!$B$2-$Q305&gt;=2,0,-1),regle!B$2-$Q305)),IF(AN305+1&gt;=regle!$J$12,-2,AN305+1))</f>
        <v>0</v>
      </c>
      <c r="AP305">
        <f>IF(AP$1=$AO$1,IF(regle!C$2-$Q305&gt;=regle!$J$12,-2,IF($S305,IF(regle!$B$2-$Q305&gt;=2,0,-1),regle!C$2-$Q305)),IF(AO305+1&gt;=regle!$J$12,-2,AO305+1))</f>
        <v>1</v>
      </c>
      <c r="AQ305">
        <f>IF(AQ$1=$AO$1,IF(regle!D$2-$Q305&gt;=regle!$J$12,-2,IF($S305,IF(regle!$B$2-$Q305&gt;=2,0,-1),regle!D$2-$Q305)),IF(AP305+1&gt;=regle!$J$12,-2,AP305+1))</f>
        <v>2</v>
      </c>
      <c r="AR305">
        <f>IF(AR$1=$AO$1,IF(regle!E$2-$Q305&gt;=regle!$J$12,-2,IF($S305,IF(regle!$B$2-$Q305&gt;=2,0,-1),regle!E$2-$Q305)),IF(AQ305+1&gt;=regle!$J$12,-2,AQ305+1))</f>
        <v>3</v>
      </c>
      <c r="AS305">
        <f>IF(AS$1=$AO$1,IF(regle!F$2-$Q305&gt;=regle!$J$12,-2,IF($S305,IF(regle!$B$2-$Q305&gt;=2,0,-1),regle!F$2-$Q305)),IF(AR305+1&gt;=regle!$J$12,-2,AR305+1))</f>
        <v>4</v>
      </c>
      <c r="AT305">
        <f>IF(AT$1=$AO$1,IF(regle!G$2-$Q305&gt;=regle!$J$12,-2,IF($S305,IF(regle!$B$2-$Q305&gt;=2,0,-1),regle!G$2-$Q305)),IF(AS305+1&gt;=regle!$J$12,-2,AS305+1))</f>
        <v>5</v>
      </c>
      <c r="AU305">
        <f>IF(AU$1=$AO$1,IF(regle!H$2-$Q305&gt;=regle!$J$12,-2,IF($S305,IF(regle!$B$2-$Q305&gt;=2,0,-1),regle!H$2-$Q305)),IF(AT305+1&gt;=regle!$J$12,-2,AT305+1))</f>
        <v>6</v>
      </c>
      <c r="AV305">
        <f>IF(AV$1=$AO$1,IF(regle!I$2-$Q305&gt;=regle!$J$12,-2,IF($S305,IF(regle!$B$2-$Q305&gt;=2,0,-1),regle!I$2-$Q305)),IF(AU305+1&gt;=regle!$J$12,-2,AU305+1))</f>
        <v>7</v>
      </c>
      <c r="AW305">
        <f>IF(AW$1=$AO$1,IF(regle!J$2-$Q305&gt;=regle!$J$12,-2,IF($S305,IF(regle!$B$2-$Q305&gt;=2,0,-1),regle!J$2-$Q305)),IF(AV305+1&gt;=regle!$J$12,-2,AV305+1))</f>
        <v>8</v>
      </c>
      <c r="AX305">
        <f>IF(AX$1=$AO$1,IF(regle!K$2-$Q305&gt;=regle!$J$12,-2,IF($S305,IF(regle!$B$2-$Q305&gt;=2,0,-1),regle!K$2-$Q305)),IF(AW305+1&gt;=regle!$J$12,-2,AW305+1))</f>
        <v>9</v>
      </c>
    </row>
    <row r="306" spans="1:50" x14ac:dyDescent="0.25">
      <c r="A306" t="b">
        <f>AND(modif0[[#This Row],[cdstr]]&lt;&gt;0,OR(regle!$H$27=FALSE,modif0[[#This Row],[essnc]]="PM"))</f>
        <v>1</v>
      </c>
      <c r="B306">
        <f>ROW(objet!A356)</f>
        <v>356</v>
      </c>
      <c r="C306" s="10" t="str">
        <f>objet!D356</f>
        <v>1710000C0190</v>
      </c>
      <c r="D306" t="str">
        <f>LEFT(modif0[[#This Row],[cdstr]],3)</f>
        <v>171</v>
      </c>
      <c r="E306" s="10" t="str">
        <f>objet!G356</f>
        <v>MANO</v>
      </c>
      <c r="F306">
        <f>LEN(modif0[[#This Row],[l_dt]])</f>
        <v>6</v>
      </c>
      <c r="G306" s="10" t="str">
        <f>objet!H356</f>
        <v>BARRAT</v>
      </c>
      <c r="H306" s="10" t="str">
        <f>objet!C356</f>
        <v>C190</v>
      </c>
      <c r="I306" t="str">
        <f>IF(ISNUMBER(VALUE(RIGHT(LEFT(modif0[[#This Row],[idntfn]],2),1))),_xlfn.CONCAT(0,LEFT(modif0[[#This Row],[idntfn]],1)),LEFT(modif0[[#This Row],[idntfn]],2))</f>
        <v>0C</v>
      </c>
      <c r="J306">
        <f>VALUE(LEFT(RIGHT(modif0[[#This Row],[idntfn]],LEN(modif0[[#This Row],[idntfn]])-IF(LEFT(modif0[[#This Row],[sctn]],1)="0",1,2)),LEN(modif0[[#This Row],[idntfn]])-IF(LEFT(modif0[[#This Row],[sctn]],1)="0",1,2)-LEN(modif0[[#This Row],[lttr]])))</f>
        <v>190</v>
      </c>
      <c r="K306" t="str">
        <f>IF(ISNUMBER(VALUE(RIGHT(modif0[[#This Row],[idntfn]],1))),"",IF(ISNUMBER(VALUE(LEFT(RIGHT(modif0[[#This Row],[idntfn]],2),1))),RIGHT(modif0[[#This Row],[idntfn]],1),RIGHT(modif0[[#This Row],[idntfn]],2)))</f>
        <v/>
      </c>
      <c r="L306" s="10">
        <f>objet!I356</f>
        <v>4876</v>
      </c>
      <c r="M306" s="11">
        <f>modif0[[#This Row],[srfc]]/10000</f>
        <v>0.48759999999999998</v>
      </c>
      <c r="N306" s="10" t="str">
        <f>objet!Z356</f>
        <v>PM</v>
      </c>
      <c r="O306" s="10" t="str">
        <f>objet!AA356</f>
        <v>CR2022</v>
      </c>
      <c r="P306" t="str">
        <f>IF(ISNUMBER(modif0[[#This Row],[trvx]]),"",LEFT(modif0[[#This Row],[trvx]],LEN(modif0[[#This Row],[trvx]])-4))</f>
        <v>CR</v>
      </c>
      <c r="Q306">
        <f>VALUE(RIGHT(modif0[[#This Row],[trvx]],4))</f>
        <v>2022</v>
      </c>
      <c r="R306" t="str">
        <f>_xlfn.CONCAT(modif0[[#This Row],[tp]],"-",modif0[[#This Row],[essnc]],"_",modif0[[#This Row],[anns]])</f>
        <v>CR-PM_2022</v>
      </c>
      <c r="S306" t="b">
        <f>modif0[[#This Row],[tp]]="CR"</f>
        <v>1</v>
      </c>
      <c r="T306">
        <v>40</v>
      </c>
      <c r="U306" t="str">
        <f>IF(NOT($A306),"",
IF(AO306=-2,regle!$J$11,
IF(AO306=regle!$B$12,regle!$B$11,
IF(AO306=regle!$C$12,regle!$C$11,
IF(AO306=regle!$D$12,regle!$D$11,
IF(AO306=regle!$E$12,regle!$E$11,
IF(AO306=regle!$F$12,regle!$F$11,
IF(AO306=regle!$G$12,regle!$G$11,
IF(AO306=regle!$H$12,regle!$H$11,
IF(AO306=regle!$I$12,regle!$I$11,""))))))))))</f>
        <v>RBST</v>
      </c>
      <c r="V306" t="str">
        <f>IF(NOT($A306),"",
IF(AP306=-2,regle!$J$11,
IF(AP306=regle!$B$12,regle!$B$11,
IF(AP306=regle!$C$12,regle!$C$11,
IF(AP306=regle!$D$12,regle!$D$11,
IF(AP306=regle!$E$12,regle!$E$11,
IF(AP306=regle!$F$12,regle!$F$11,
IF(AP306=regle!$G$12,regle!$G$11,
IF(AP306=regle!$H$12,regle!$H$11,
IF(AP306=regle!$I$12,regle!$I$11,""))))))))))</f>
        <v/>
      </c>
      <c r="W306" t="str">
        <f>IF(NOT($A306),"",
IF(AQ306=-2,regle!$J$11,
IF(AQ306=regle!$B$12,regle!$B$11,
IF(AQ306=regle!$C$12,regle!$C$11,
IF(AQ306=regle!$D$12,regle!$D$11,
IF(AQ306=regle!$E$12,regle!$E$11,
IF(AQ306=regle!$F$12,regle!$F$11,
IF(AQ306=regle!$G$12,regle!$G$11,
IF(AQ306=regle!$H$12,regle!$H$11,
IF(AQ306=regle!$I$12,regle!$I$11,""))))))))))</f>
        <v>DGT</v>
      </c>
      <c r="X306" t="str">
        <f>IF(NOT($A306),"",
IF(AR306=-2,regle!$J$11,
IF(AR306=regle!$B$12,regle!$B$11,
IF(AR306=regle!$C$12,regle!$C$11,
IF(AR306=regle!$D$12,regle!$D$11,
IF(AR306=regle!$E$12,regle!$E$11,
IF(AR306=regle!$F$12,regle!$F$11,
IF(AR306=regle!$G$12,regle!$G$11,
IF(AR306=regle!$H$12,regle!$H$11,
IF(AR306=regle!$I$12,regle!$I$11,""))))))))))</f>
        <v/>
      </c>
      <c r="Y306" t="str">
        <f>IF(NOT($A306),"",
IF(AS306=-2,regle!$J$11,
IF(AS306=regle!$B$12,regle!$B$11,
IF(AS306=regle!$C$12,regle!$C$11,
IF(AS306=regle!$D$12,regle!$D$11,
IF(AS306=regle!$E$12,regle!$E$11,
IF(AS306=regle!$F$12,regle!$F$11,
IF(AS306=regle!$G$12,regle!$G$11,
IF(AS306=regle!$H$12,regle!$H$11,
IF(AS306=regle!$I$12,regle!$I$11,""))))))))))</f>
        <v/>
      </c>
      <c r="Z306" t="str">
        <f>IF(NOT($A306),"",
IF(AT306=-2,regle!$J$11,
IF(AT306=regle!$B$12,regle!$B$11,
IF(AT306=regle!$C$12,regle!$C$11,
IF(AT306=regle!$D$12,regle!$D$11,
IF(AT306=regle!$E$12,regle!$E$11,
IF(AT306=regle!$F$12,regle!$F$11,
IF(AT306=regle!$G$12,regle!$G$11,
IF(AT306=regle!$H$12,regle!$H$11,
IF(AT306=regle!$I$12,regle!$I$11,""))))))))))</f>
        <v>ENT1</v>
      </c>
      <c r="AA306" t="str">
        <f>IF(NOT($A306),"",
IF(AU306=-2,regle!$J$11,
IF(AU306=regle!$B$12,regle!$B$11,
IF(AU306=regle!$C$12,regle!$C$11,
IF(AU306=regle!$D$12,regle!$D$11,
IF(AU306=regle!$E$12,regle!$E$11,
IF(AU306=regle!$F$12,regle!$F$11,
IF(AU306=regle!$G$12,regle!$G$11,
IF(AU306=regle!$H$12,regle!$H$11,
IF(AU306=regle!$I$12,regle!$I$11,""))))))))))</f>
        <v/>
      </c>
      <c r="AB306" t="str">
        <f>IF(NOT($A306),"",
IF(AV306=-2,regle!$J$11,
IF(AV306=regle!$B$12,regle!$B$11,
IF(AV306=regle!$C$12,regle!$C$11,
IF(AV306=regle!$D$12,regle!$D$11,
IF(AV306=regle!$E$12,regle!$E$11,
IF(AV306=regle!$F$12,regle!$F$11,
IF(AV306=regle!$G$12,regle!$G$11,
IF(AV306=regle!$H$12,regle!$H$11,
IF(AV306=regle!$I$12,regle!$I$11,""))))))))))</f>
        <v/>
      </c>
      <c r="AC306" t="str">
        <f>IF(NOT($A306),"",
IF(AW306=-2,regle!$J$11,
IF(AW306=regle!$B$12,regle!$B$11,
IF(AW306=regle!$C$12,regle!$C$11,
IF(AW306=regle!$D$12,regle!$D$11,
IF(AW306=regle!$E$12,regle!$E$11,
IF(AW306=regle!$F$12,regle!$F$11,
IF(AW306=regle!$G$12,regle!$G$11,
IF(AW306=regle!$H$12,regle!$H$11,
IF(AW306=regle!$I$12,regle!$I$11,""))))))))))</f>
        <v>ENT2</v>
      </c>
      <c r="AD306" t="str">
        <f>IF(NOT($A306),"",
IF(AX306=-2,regle!$J$11,
IF(AX306=regle!$B$12,regle!$B$11,
IF(AX306=regle!$C$12,regle!$C$11,
IF(AX306=regle!$D$12,regle!$D$11,
IF(AX306=regle!$E$12,regle!$E$11,
IF(AX306=regle!$F$12,regle!$F$11,
IF(AX306=regle!$G$12,regle!$G$11,
IF(AX306=regle!$H$12,regle!$H$11,
IF(AX306=regle!$I$12,regle!$I$11,""))))))))))</f>
        <v/>
      </c>
      <c r="AE306" s="14">
        <f>IF($A306,$M306*(IF(U306=regle!$B$11,regle!$B$23,IF(U306=regle!$C$11,regle!$C$23,IF(U306=regle!$D$11,regle!$D$23,IF(U306=regle!$E$11,regle!$E$23,IF(U306=regle!$F$11,regle!$F$23,IF(U306=regle!$G$11,regle!$G$23,IF(U306=regle!$H$11,regle!$H$23,IF(U306=regle!$I$11,regle!$I$23,IF(U306=regle!$J$11,regle!$J$23,0)))))))))))</f>
        <v>-828.92</v>
      </c>
      <c r="AF306" s="14">
        <f>IF($A306,$M306*(IF(V306=regle!$B$11,regle!$B$23,IF(V306=regle!$C$11,regle!$C$23,IF(V306=regle!$D$11,regle!$D$23,IF(V306=regle!$E$11,regle!$E$23,IF(V306=regle!$F$11,regle!$F$23,IF(V306=regle!$G$11,regle!$G$23,IF(V306=regle!$H$11,regle!$H$23,IF(V306=regle!$I$11,regle!$I$23,IF(V306=regle!$J$11,regle!$J$23,0)))))))))))</f>
        <v>0</v>
      </c>
      <c r="AG306" s="14">
        <f>IF($A306,$M306*(IF(W306=regle!$B$11,regle!$B$23,IF(W306=regle!$C$11,regle!$C$23,IF(W306=regle!$D$11,regle!$D$23,IF(W306=regle!$E$11,regle!$E$23,IF(W306=regle!$F$11,regle!$F$23,IF(W306=regle!$G$11,regle!$G$23,IF(W306=regle!$H$11,regle!$H$23,IF(W306=regle!$I$11,regle!$I$23,IF(W306=regle!$J$11,regle!$J$23,0)))))))))))</f>
        <v>-36.57</v>
      </c>
      <c r="AH306" s="14">
        <f>IF($A306,$M306*(IF(X306=regle!$B$11,regle!$B$23,IF(X306=regle!$C$11,regle!$C$23,IF(X306=regle!$D$11,regle!$D$23,IF(X306=regle!$E$11,regle!$E$23,IF(X306=regle!$F$11,regle!$F$23,IF(X306=regle!$G$11,regle!$G$23,IF(X306=regle!$H$11,regle!$H$23,IF(X306=regle!$I$11,regle!$I$23,IF(X306=regle!$J$11,regle!$J$23,0)))))))))))</f>
        <v>0</v>
      </c>
      <c r="AI306" s="14">
        <f>IF($A306,$M306*(IF(Y306=regle!$B$11,regle!$B$23,IF(Y306=regle!$C$11,regle!$C$23,IF(Y306=regle!$D$11,regle!$D$23,IF(Y306=regle!$E$11,regle!$E$23,IF(Y306=regle!$F$11,regle!$F$23,IF(Y306=regle!$G$11,regle!$G$23,IF(Y306=regle!$H$11,regle!$H$23,IF(Y306=regle!$I$11,regle!$I$23,IF(Y306=regle!$J$11,regle!$J$23,0)))))))))))</f>
        <v>0</v>
      </c>
      <c r="AJ306" s="14">
        <f>IF($A306,$M306*(IF(Z306=regle!$B$11,regle!$B$23,IF(Z306=regle!$C$11,regle!$C$23,IF(Z306=regle!$D$11,regle!$D$23,IF(Z306=regle!$E$11,regle!$E$23,IF(Z306=regle!$F$11,regle!$F$23,IF(Z306=regle!$G$11,regle!$G$23,IF(Z306=regle!$H$11,regle!$H$23,IF(Z306=regle!$I$11,regle!$I$23,IF(Z306=regle!$J$11,regle!$J$23,0)))))))))))</f>
        <v>-43.884</v>
      </c>
      <c r="AK306" s="14">
        <f>IF($A306,$M306*(IF(AA306=regle!$B$11,regle!$B$23,IF(AA306=regle!$C$11,regle!$C$23,IF(AA306=regle!$D$11,regle!$D$23,IF(AA306=regle!$E$11,regle!$E$23,IF(AA306=regle!$F$11,regle!$F$23,IF(AA306=regle!$G$11,regle!$G$23,IF(AA306=regle!$H$11,regle!$H$23,IF(AA306=regle!$I$11,regle!$I$23,IF(AA306=regle!$J$11,regle!$J$23,0)))))))))))</f>
        <v>0</v>
      </c>
      <c r="AL306" s="14">
        <f>IF($A306,$M306*(IF(AB306=regle!$B$11,regle!$B$23,IF(AB306=regle!$C$11,regle!$C$23,IF(AB306=regle!$D$11,regle!$D$23,IF(AB306=regle!$E$11,regle!$E$23,IF(AB306=regle!$F$11,regle!$F$23,IF(AB306=regle!$G$11,regle!$G$23,IF(AB306=regle!$H$11,regle!$H$23,IF(AB306=regle!$I$11,regle!$I$23,IF(AB306=regle!$J$11,regle!$J$23,0)))))))))))</f>
        <v>0</v>
      </c>
      <c r="AM306" s="14">
        <f>IF($A306,$M306*(IF(AC306=regle!$B$11,regle!$B$23,IF(AC306=regle!$C$11,regle!$C$23,IF(AC306=regle!$D$11,regle!$D$23,IF(AC306=regle!$E$11,regle!$E$23,IF(AC306=regle!$F$11,regle!$F$23,IF(AC306=regle!$G$11,regle!$G$23,IF(AC306=regle!$H$11,regle!$H$23,IF(AC306=regle!$I$11,regle!$I$23,IF(AC306=regle!$J$11,regle!$J$23,0)))))))))))</f>
        <v>-43.884</v>
      </c>
      <c r="AN306" s="14">
        <f>IF($A306,$M306*(IF(AD306=regle!$B$11,regle!$B$23,IF(AD306=regle!$C$11,regle!$C$23,IF(AD306=regle!$D$11,regle!$D$23,IF(AD306=regle!$E$11,regle!$E$23,IF(AD306=regle!$F$11,regle!$F$23,IF(AD306=regle!$G$11,regle!$G$23,IF(AD306=regle!$H$11,regle!$H$23,IF(AD306=regle!$I$11,regle!$I$23,IF(AD306=regle!$J$11,regle!$J$23,0)))))))))))</f>
        <v>0</v>
      </c>
      <c r="AO306">
        <f>IF(AO$1=$AO$1,IF(regle!B$2-$Q306&gt;=regle!$J$12,-2,IF($S306,IF(regle!$B$2-$Q306&gt;=2,0,-1),regle!B$2-$Q306)),IF(AN306+1&gt;=regle!$J$12,-2,AN306+1))</f>
        <v>0</v>
      </c>
      <c r="AP306">
        <f>IF(AP$1=$AO$1,IF(regle!C$2-$Q306&gt;=regle!$J$12,-2,IF($S306,IF(regle!$B$2-$Q306&gt;=2,0,-1),regle!C$2-$Q306)),IF(AO306+1&gt;=regle!$J$12,-2,AO306+1))</f>
        <v>1</v>
      </c>
      <c r="AQ306">
        <f>IF(AQ$1=$AO$1,IF(regle!D$2-$Q306&gt;=regle!$J$12,-2,IF($S306,IF(regle!$B$2-$Q306&gt;=2,0,-1),regle!D$2-$Q306)),IF(AP306+1&gt;=regle!$J$12,-2,AP306+1))</f>
        <v>2</v>
      </c>
      <c r="AR306">
        <f>IF(AR$1=$AO$1,IF(regle!E$2-$Q306&gt;=regle!$J$12,-2,IF($S306,IF(regle!$B$2-$Q306&gt;=2,0,-1),regle!E$2-$Q306)),IF(AQ306+1&gt;=regle!$J$12,-2,AQ306+1))</f>
        <v>3</v>
      </c>
      <c r="AS306">
        <f>IF(AS$1=$AO$1,IF(regle!F$2-$Q306&gt;=regle!$J$12,-2,IF($S306,IF(regle!$B$2-$Q306&gt;=2,0,-1),regle!F$2-$Q306)),IF(AR306+1&gt;=regle!$J$12,-2,AR306+1))</f>
        <v>4</v>
      </c>
      <c r="AT306">
        <f>IF(AT$1=$AO$1,IF(regle!G$2-$Q306&gt;=regle!$J$12,-2,IF($S306,IF(regle!$B$2-$Q306&gt;=2,0,-1),regle!G$2-$Q306)),IF(AS306+1&gt;=regle!$J$12,-2,AS306+1))</f>
        <v>5</v>
      </c>
      <c r="AU306">
        <f>IF(AU$1=$AO$1,IF(regle!H$2-$Q306&gt;=regle!$J$12,-2,IF($S306,IF(regle!$B$2-$Q306&gt;=2,0,-1),regle!H$2-$Q306)),IF(AT306+1&gt;=regle!$J$12,-2,AT306+1))</f>
        <v>6</v>
      </c>
      <c r="AV306">
        <f>IF(AV$1=$AO$1,IF(regle!I$2-$Q306&gt;=regle!$J$12,-2,IF($S306,IF(regle!$B$2-$Q306&gt;=2,0,-1),regle!I$2-$Q306)),IF(AU306+1&gt;=regle!$J$12,-2,AU306+1))</f>
        <v>7</v>
      </c>
      <c r="AW306">
        <f>IF(AW$1=$AO$1,IF(regle!J$2-$Q306&gt;=regle!$J$12,-2,IF($S306,IF(regle!$B$2-$Q306&gt;=2,0,-1),regle!J$2-$Q306)),IF(AV306+1&gt;=regle!$J$12,-2,AV306+1))</f>
        <v>8</v>
      </c>
      <c r="AX306">
        <f>IF(AX$1=$AO$1,IF(regle!K$2-$Q306&gt;=regle!$J$12,-2,IF($S306,IF(regle!$B$2-$Q306&gt;=2,0,-1),regle!K$2-$Q306)),IF(AW306+1&gt;=regle!$J$12,-2,AW306+1))</f>
        <v>9</v>
      </c>
    </row>
    <row r="307" spans="1:50" x14ac:dyDescent="0.25">
      <c r="A307" t="b">
        <f>AND(modif0[[#This Row],[cdstr]]&lt;&gt;0,OR(regle!$H$27=FALSE,modif0[[#This Row],[essnc]]="PM"))</f>
        <v>1</v>
      </c>
      <c r="B307">
        <f>ROW(objet!A357)</f>
        <v>357</v>
      </c>
      <c r="C307" s="10" t="str">
        <f>objet!D357</f>
        <v>1710000C0192</v>
      </c>
      <c r="D307" t="str">
        <f>LEFT(modif0[[#This Row],[cdstr]],3)</f>
        <v>171</v>
      </c>
      <c r="E307" s="10" t="str">
        <f>objet!G357</f>
        <v>MANO</v>
      </c>
      <c r="F307">
        <f>LEN(modif0[[#This Row],[l_dt]])</f>
        <v>6</v>
      </c>
      <c r="G307" s="10" t="str">
        <f>objet!H357</f>
        <v>BARRAT</v>
      </c>
      <c r="H307" s="10" t="str">
        <f>objet!C357</f>
        <v>C192</v>
      </c>
      <c r="I307" t="str">
        <f>IF(ISNUMBER(VALUE(RIGHT(LEFT(modif0[[#This Row],[idntfn]],2),1))),_xlfn.CONCAT(0,LEFT(modif0[[#This Row],[idntfn]],1)),LEFT(modif0[[#This Row],[idntfn]],2))</f>
        <v>0C</v>
      </c>
      <c r="J307">
        <f>VALUE(LEFT(RIGHT(modif0[[#This Row],[idntfn]],LEN(modif0[[#This Row],[idntfn]])-IF(LEFT(modif0[[#This Row],[sctn]],1)="0",1,2)),LEN(modif0[[#This Row],[idntfn]])-IF(LEFT(modif0[[#This Row],[sctn]],1)="0",1,2)-LEN(modif0[[#This Row],[lttr]])))</f>
        <v>192</v>
      </c>
      <c r="K307" t="str">
        <f>IF(ISNUMBER(VALUE(RIGHT(modif0[[#This Row],[idntfn]],1))),"",IF(ISNUMBER(VALUE(LEFT(RIGHT(modif0[[#This Row],[idntfn]],2),1))),RIGHT(modif0[[#This Row],[idntfn]],1),RIGHT(modif0[[#This Row],[idntfn]],2)))</f>
        <v/>
      </c>
      <c r="L307" s="10">
        <f>objet!I357</f>
        <v>3996</v>
      </c>
      <c r="M307" s="11">
        <f>modif0[[#This Row],[srfc]]/10000</f>
        <v>0.39960000000000001</v>
      </c>
      <c r="N307" s="10" t="str">
        <f>objet!Z357</f>
        <v>PM</v>
      </c>
      <c r="O307" s="10" t="str">
        <f>objet!AA357</f>
        <v>CR2022</v>
      </c>
      <c r="P307" t="str">
        <f>IF(ISNUMBER(modif0[[#This Row],[trvx]]),"",LEFT(modif0[[#This Row],[trvx]],LEN(modif0[[#This Row],[trvx]])-4))</f>
        <v>CR</v>
      </c>
      <c r="Q307">
        <f>VALUE(RIGHT(modif0[[#This Row],[trvx]],4))</f>
        <v>2022</v>
      </c>
      <c r="R307" t="str">
        <f>_xlfn.CONCAT(modif0[[#This Row],[tp]],"-",modif0[[#This Row],[essnc]],"_",modif0[[#This Row],[anns]])</f>
        <v>CR-PM_2022</v>
      </c>
      <c r="S307" t="b">
        <f>modif0[[#This Row],[tp]]="CR"</f>
        <v>1</v>
      </c>
      <c r="T307">
        <v>40</v>
      </c>
      <c r="U307" t="str">
        <f>IF(NOT($A307),"",
IF(AO307=-2,regle!$J$11,
IF(AO307=regle!$B$12,regle!$B$11,
IF(AO307=regle!$C$12,regle!$C$11,
IF(AO307=regle!$D$12,regle!$D$11,
IF(AO307=regle!$E$12,regle!$E$11,
IF(AO307=regle!$F$12,regle!$F$11,
IF(AO307=regle!$G$12,regle!$G$11,
IF(AO307=regle!$H$12,regle!$H$11,
IF(AO307=regle!$I$12,regle!$I$11,""))))))))))</f>
        <v>RBST</v>
      </c>
      <c r="V307" t="str">
        <f>IF(NOT($A307),"",
IF(AP307=-2,regle!$J$11,
IF(AP307=regle!$B$12,regle!$B$11,
IF(AP307=regle!$C$12,regle!$C$11,
IF(AP307=regle!$D$12,regle!$D$11,
IF(AP307=regle!$E$12,regle!$E$11,
IF(AP307=regle!$F$12,regle!$F$11,
IF(AP307=regle!$G$12,regle!$G$11,
IF(AP307=regle!$H$12,regle!$H$11,
IF(AP307=regle!$I$12,regle!$I$11,""))))))))))</f>
        <v/>
      </c>
      <c r="W307" t="str">
        <f>IF(NOT($A307),"",
IF(AQ307=-2,regle!$J$11,
IF(AQ307=regle!$B$12,regle!$B$11,
IF(AQ307=regle!$C$12,regle!$C$11,
IF(AQ307=regle!$D$12,regle!$D$11,
IF(AQ307=regle!$E$12,regle!$E$11,
IF(AQ307=regle!$F$12,regle!$F$11,
IF(AQ307=regle!$G$12,regle!$G$11,
IF(AQ307=regle!$H$12,regle!$H$11,
IF(AQ307=regle!$I$12,regle!$I$11,""))))))))))</f>
        <v>DGT</v>
      </c>
      <c r="X307" t="str">
        <f>IF(NOT($A307),"",
IF(AR307=-2,regle!$J$11,
IF(AR307=regle!$B$12,regle!$B$11,
IF(AR307=regle!$C$12,regle!$C$11,
IF(AR307=regle!$D$12,regle!$D$11,
IF(AR307=regle!$E$12,regle!$E$11,
IF(AR307=regle!$F$12,regle!$F$11,
IF(AR307=regle!$G$12,regle!$G$11,
IF(AR307=regle!$H$12,regle!$H$11,
IF(AR307=regle!$I$12,regle!$I$11,""))))))))))</f>
        <v/>
      </c>
      <c r="Y307" t="str">
        <f>IF(NOT($A307),"",
IF(AS307=-2,regle!$J$11,
IF(AS307=regle!$B$12,regle!$B$11,
IF(AS307=regle!$C$12,regle!$C$11,
IF(AS307=regle!$D$12,regle!$D$11,
IF(AS307=regle!$E$12,regle!$E$11,
IF(AS307=regle!$F$12,regle!$F$11,
IF(AS307=regle!$G$12,regle!$G$11,
IF(AS307=regle!$H$12,regle!$H$11,
IF(AS307=regle!$I$12,regle!$I$11,""))))))))))</f>
        <v/>
      </c>
      <c r="Z307" t="str">
        <f>IF(NOT($A307),"",
IF(AT307=-2,regle!$J$11,
IF(AT307=regle!$B$12,regle!$B$11,
IF(AT307=regle!$C$12,regle!$C$11,
IF(AT307=regle!$D$12,regle!$D$11,
IF(AT307=regle!$E$12,regle!$E$11,
IF(AT307=regle!$F$12,regle!$F$11,
IF(AT307=regle!$G$12,regle!$G$11,
IF(AT307=regle!$H$12,regle!$H$11,
IF(AT307=regle!$I$12,regle!$I$11,""))))))))))</f>
        <v>ENT1</v>
      </c>
      <c r="AA307" t="str">
        <f>IF(NOT($A307),"",
IF(AU307=-2,regle!$J$11,
IF(AU307=regle!$B$12,regle!$B$11,
IF(AU307=regle!$C$12,regle!$C$11,
IF(AU307=regle!$D$12,regle!$D$11,
IF(AU307=regle!$E$12,regle!$E$11,
IF(AU307=regle!$F$12,regle!$F$11,
IF(AU307=regle!$G$12,regle!$G$11,
IF(AU307=regle!$H$12,regle!$H$11,
IF(AU307=regle!$I$12,regle!$I$11,""))))))))))</f>
        <v/>
      </c>
      <c r="AB307" t="str">
        <f>IF(NOT($A307),"",
IF(AV307=-2,regle!$J$11,
IF(AV307=regle!$B$12,regle!$B$11,
IF(AV307=regle!$C$12,regle!$C$11,
IF(AV307=regle!$D$12,regle!$D$11,
IF(AV307=regle!$E$12,regle!$E$11,
IF(AV307=regle!$F$12,regle!$F$11,
IF(AV307=regle!$G$12,regle!$G$11,
IF(AV307=regle!$H$12,regle!$H$11,
IF(AV307=regle!$I$12,regle!$I$11,""))))))))))</f>
        <v/>
      </c>
      <c r="AC307" t="str">
        <f>IF(NOT($A307),"",
IF(AW307=-2,regle!$J$11,
IF(AW307=regle!$B$12,regle!$B$11,
IF(AW307=regle!$C$12,regle!$C$11,
IF(AW307=regle!$D$12,regle!$D$11,
IF(AW307=regle!$E$12,regle!$E$11,
IF(AW307=regle!$F$12,regle!$F$11,
IF(AW307=regle!$G$12,regle!$G$11,
IF(AW307=regle!$H$12,regle!$H$11,
IF(AW307=regle!$I$12,regle!$I$11,""))))))))))</f>
        <v>ENT2</v>
      </c>
      <c r="AD307" t="str">
        <f>IF(NOT($A307),"",
IF(AX307=-2,regle!$J$11,
IF(AX307=regle!$B$12,regle!$B$11,
IF(AX307=regle!$C$12,regle!$C$11,
IF(AX307=regle!$D$12,regle!$D$11,
IF(AX307=regle!$E$12,regle!$E$11,
IF(AX307=regle!$F$12,regle!$F$11,
IF(AX307=regle!$G$12,regle!$G$11,
IF(AX307=regle!$H$12,regle!$H$11,
IF(AX307=regle!$I$12,regle!$I$11,""))))))))))</f>
        <v/>
      </c>
      <c r="AE307" s="14">
        <f>IF($A307,$M307*(IF(U307=regle!$B$11,regle!$B$23,IF(U307=regle!$C$11,regle!$C$23,IF(U307=regle!$D$11,regle!$D$23,IF(U307=regle!$E$11,regle!$E$23,IF(U307=regle!$F$11,regle!$F$23,IF(U307=regle!$G$11,regle!$G$23,IF(U307=regle!$H$11,regle!$H$23,IF(U307=regle!$I$11,regle!$I$23,IF(U307=regle!$J$11,regle!$J$23,0)))))))))))</f>
        <v>-679.32</v>
      </c>
      <c r="AF307" s="14">
        <f>IF($A307,$M307*(IF(V307=regle!$B$11,regle!$B$23,IF(V307=regle!$C$11,regle!$C$23,IF(V307=regle!$D$11,regle!$D$23,IF(V307=regle!$E$11,regle!$E$23,IF(V307=regle!$F$11,regle!$F$23,IF(V307=regle!$G$11,regle!$G$23,IF(V307=regle!$H$11,regle!$H$23,IF(V307=regle!$I$11,regle!$I$23,IF(V307=regle!$J$11,regle!$J$23,0)))))))))))</f>
        <v>0</v>
      </c>
      <c r="AG307" s="14">
        <f>IF($A307,$M307*(IF(W307=regle!$B$11,regle!$B$23,IF(W307=regle!$C$11,regle!$C$23,IF(W307=regle!$D$11,regle!$D$23,IF(W307=regle!$E$11,regle!$E$23,IF(W307=regle!$F$11,regle!$F$23,IF(W307=regle!$G$11,regle!$G$23,IF(W307=regle!$H$11,regle!$H$23,IF(W307=regle!$I$11,regle!$I$23,IF(W307=regle!$J$11,regle!$J$23,0)))))))))))</f>
        <v>-29.970000000000002</v>
      </c>
      <c r="AH307" s="14">
        <f>IF($A307,$M307*(IF(X307=regle!$B$11,regle!$B$23,IF(X307=regle!$C$11,regle!$C$23,IF(X307=regle!$D$11,regle!$D$23,IF(X307=regle!$E$11,regle!$E$23,IF(X307=regle!$F$11,regle!$F$23,IF(X307=regle!$G$11,regle!$G$23,IF(X307=regle!$H$11,regle!$H$23,IF(X307=regle!$I$11,regle!$I$23,IF(X307=regle!$J$11,regle!$J$23,0)))))))))))</f>
        <v>0</v>
      </c>
      <c r="AI307" s="14">
        <f>IF($A307,$M307*(IF(Y307=regle!$B$11,regle!$B$23,IF(Y307=regle!$C$11,regle!$C$23,IF(Y307=regle!$D$11,regle!$D$23,IF(Y307=regle!$E$11,regle!$E$23,IF(Y307=regle!$F$11,regle!$F$23,IF(Y307=regle!$G$11,regle!$G$23,IF(Y307=regle!$H$11,regle!$H$23,IF(Y307=regle!$I$11,regle!$I$23,IF(Y307=regle!$J$11,regle!$J$23,0)))))))))))</f>
        <v>0</v>
      </c>
      <c r="AJ307" s="14">
        <f>IF($A307,$M307*(IF(Z307=regle!$B$11,regle!$B$23,IF(Z307=regle!$C$11,regle!$C$23,IF(Z307=regle!$D$11,regle!$D$23,IF(Z307=regle!$E$11,regle!$E$23,IF(Z307=regle!$F$11,regle!$F$23,IF(Z307=regle!$G$11,regle!$G$23,IF(Z307=regle!$H$11,regle!$H$23,IF(Z307=regle!$I$11,regle!$I$23,IF(Z307=regle!$J$11,regle!$J$23,0)))))))))))</f>
        <v>-35.963999999999999</v>
      </c>
      <c r="AK307" s="14">
        <f>IF($A307,$M307*(IF(AA307=regle!$B$11,regle!$B$23,IF(AA307=regle!$C$11,regle!$C$23,IF(AA307=regle!$D$11,regle!$D$23,IF(AA307=regle!$E$11,regle!$E$23,IF(AA307=regle!$F$11,regle!$F$23,IF(AA307=regle!$G$11,regle!$G$23,IF(AA307=regle!$H$11,regle!$H$23,IF(AA307=regle!$I$11,regle!$I$23,IF(AA307=regle!$J$11,regle!$J$23,0)))))))))))</f>
        <v>0</v>
      </c>
      <c r="AL307" s="14">
        <f>IF($A307,$M307*(IF(AB307=regle!$B$11,regle!$B$23,IF(AB307=regle!$C$11,regle!$C$23,IF(AB307=regle!$D$11,regle!$D$23,IF(AB307=regle!$E$11,regle!$E$23,IF(AB307=regle!$F$11,regle!$F$23,IF(AB307=regle!$G$11,regle!$G$23,IF(AB307=regle!$H$11,regle!$H$23,IF(AB307=regle!$I$11,regle!$I$23,IF(AB307=regle!$J$11,regle!$J$23,0)))))))))))</f>
        <v>0</v>
      </c>
      <c r="AM307" s="14">
        <f>IF($A307,$M307*(IF(AC307=regle!$B$11,regle!$B$23,IF(AC307=regle!$C$11,regle!$C$23,IF(AC307=regle!$D$11,regle!$D$23,IF(AC307=regle!$E$11,regle!$E$23,IF(AC307=regle!$F$11,regle!$F$23,IF(AC307=regle!$G$11,regle!$G$23,IF(AC307=regle!$H$11,regle!$H$23,IF(AC307=regle!$I$11,regle!$I$23,IF(AC307=regle!$J$11,regle!$J$23,0)))))))))))</f>
        <v>-35.963999999999999</v>
      </c>
      <c r="AN307" s="14">
        <f>IF($A307,$M307*(IF(AD307=regle!$B$11,regle!$B$23,IF(AD307=regle!$C$11,regle!$C$23,IF(AD307=regle!$D$11,regle!$D$23,IF(AD307=regle!$E$11,regle!$E$23,IF(AD307=regle!$F$11,regle!$F$23,IF(AD307=regle!$G$11,regle!$G$23,IF(AD307=regle!$H$11,regle!$H$23,IF(AD307=regle!$I$11,regle!$I$23,IF(AD307=regle!$J$11,regle!$J$23,0)))))))))))</f>
        <v>0</v>
      </c>
      <c r="AO307">
        <f>IF(AO$1=$AO$1,IF(regle!B$2-$Q307&gt;=regle!$J$12,-2,IF($S307,IF(regle!$B$2-$Q307&gt;=2,0,-1),regle!B$2-$Q307)),IF(AN307+1&gt;=regle!$J$12,-2,AN307+1))</f>
        <v>0</v>
      </c>
      <c r="AP307">
        <f>IF(AP$1=$AO$1,IF(regle!C$2-$Q307&gt;=regle!$J$12,-2,IF($S307,IF(regle!$B$2-$Q307&gt;=2,0,-1),regle!C$2-$Q307)),IF(AO307+1&gt;=regle!$J$12,-2,AO307+1))</f>
        <v>1</v>
      </c>
      <c r="AQ307">
        <f>IF(AQ$1=$AO$1,IF(regle!D$2-$Q307&gt;=regle!$J$12,-2,IF($S307,IF(regle!$B$2-$Q307&gt;=2,0,-1),regle!D$2-$Q307)),IF(AP307+1&gt;=regle!$J$12,-2,AP307+1))</f>
        <v>2</v>
      </c>
      <c r="AR307">
        <f>IF(AR$1=$AO$1,IF(regle!E$2-$Q307&gt;=regle!$J$12,-2,IF($S307,IF(regle!$B$2-$Q307&gt;=2,0,-1),regle!E$2-$Q307)),IF(AQ307+1&gt;=regle!$J$12,-2,AQ307+1))</f>
        <v>3</v>
      </c>
      <c r="AS307">
        <f>IF(AS$1=$AO$1,IF(regle!F$2-$Q307&gt;=regle!$J$12,-2,IF($S307,IF(regle!$B$2-$Q307&gt;=2,0,-1),regle!F$2-$Q307)),IF(AR307+1&gt;=regle!$J$12,-2,AR307+1))</f>
        <v>4</v>
      </c>
      <c r="AT307">
        <f>IF(AT$1=$AO$1,IF(regle!G$2-$Q307&gt;=regle!$J$12,-2,IF($S307,IF(regle!$B$2-$Q307&gt;=2,0,-1),regle!G$2-$Q307)),IF(AS307+1&gt;=regle!$J$12,-2,AS307+1))</f>
        <v>5</v>
      </c>
      <c r="AU307">
        <f>IF(AU$1=$AO$1,IF(regle!H$2-$Q307&gt;=regle!$J$12,-2,IF($S307,IF(regle!$B$2-$Q307&gt;=2,0,-1),regle!H$2-$Q307)),IF(AT307+1&gt;=regle!$J$12,-2,AT307+1))</f>
        <v>6</v>
      </c>
      <c r="AV307">
        <f>IF(AV$1=$AO$1,IF(regle!I$2-$Q307&gt;=regle!$J$12,-2,IF($S307,IF(regle!$B$2-$Q307&gt;=2,0,-1),regle!I$2-$Q307)),IF(AU307+1&gt;=regle!$J$12,-2,AU307+1))</f>
        <v>7</v>
      </c>
      <c r="AW307">
        <f>IF(AW$1=$AO$1,IF(regle!J$2-$Q307&gt;=regle!$J$12,-2,IF($S307,IF(regle!$B$2-$Q307&gt;=2,0,-1),regle!J$2-$Q307)),IF(AV307+1&gt;=regle!$J$12,-2,AV307+1))</f>
        <v>8</v>
      </c>
      <c r="AX307">
        <f>IF(AX$1=$AO$1,IF(regle!K$2-$Q307&gt;=regle!$J$12,-2,IF($S307,IF(regle!$B$2-$Q307&gt;=2,0,-1),regle!K$2-$Q307)),IF(AW307+1&gt;=regle!$J$12,-2,AW307+1))</f>
        <v>9</v>
      </c>
    </row>
    <row r="308" spans="1:50" x14ac:dyDescent="0.25">
      <c r="A308" t="b">
        <f>AND(modif0[[#This Row],[cdstr]]&lt;&gt;0,OR(regle!$H$27=FALSE,modif0[[#This Row],[essnc]]="PM"))</f>
        <v>1</v>
      </c>
      <c r="B308">
        <f>ROW(objet!A358)</f>
        <v>358</v>
      </c>
      <c r="C308" s="10" t="str">
        <f>objet!D358</f>
        <v>1710000C0259</v>
      </c>
      <c r="D308" t="str">
        <f>LEFT(modif0[[#This Row],[cdstr]],3)</f>
        <v>171</v>
      </c>
      <c r="E308" s="10" t="str">
        <f>objet!G358</f>
        <v>MANO</v>
      </c>
      <c r="F308">
        <f>LEN(modif0[[#This Row],[l_dt]])</f>
        <v>10</v>
      </c>
      <c r="G308" s="10" t="str">
        <f>objet!H358</f>
        <v>LA PEYRERE</v>
      </c>
      <c r="H308" s="10" t="str">
        <f>objet!C358</f>
        <v>C259</v>
      </c>
      <c r="I308" t="str">
        <f>IF(ISNUMBER(VALUE(RIGHT(LEFT(modif0[[#This Row],[idntfn]],2),1))),_xlfn.CONCAT(0,LEFT(modif0[[#This Row],[idntfn]],1)),LEFT(modif0[[#This Row],[idntfn]],2))</f>
        <v>0C</v>
      </c>
      <c r="J308">
        <f>VALUE(LEFT(RIGHT(modif0[[#This Row],[idntfn]],LEN(modif0[[#This Row],[idntfn]])-IF(LEFT(modif0[[#This Row],[sctn]],1)="0",1,2)),LEN(modif0[[#This Row],[idntfn]])-IF(LEFT(modif0[[#This Row],[sctn]],1)="0",1,2)-LEN(modif0[[#This Row],[lttr]])))</f>
        <v>259</v>
      </c>
      <c r="K308" t="str">
        <f>IF(ISNUMBER(VALUE(RIGHT(modif0[[#This Row],[idntfn]],1))),"",IF(ISNUMBER(VALUE(LEFT(RIGHT(modif0[[#This Row],[idntfn]],2),1))),RIGHT(modif0[[#This Row],[idntfn]],1),RIGHT(modif0[[#This Row],[idntfn]],2)))</f>
        <v/>
      </c>
      <c r="L308" s="10">
        <f>objet!I358</f>
        <v>33070</v>
      </c>
      <c r="M308" s="11">
        <f>modif0[[#This Row],[srfc]]/10000</f>
        <v>3.3069999999999999</v>
      </c>
      <c r="N308" s="10" t="str">
        <f>objet!Z358</f>
        <v>PM</v>
      </c>
      <c r="O308" s="10" t="str">
        <f>objet!AA358</f>
        <v>CR2022</v>
      </c>
      <c r="P308" t="str">
        <f>IF(ISNUMBER(modif0[[#This Row],[trvx]]),"",LEFT(modif0[[#This Row],[trvx]],LEN(modif0[[#This Row],[trvx]])-4))</f>
        <v>CR</v>
      </c>
      <c r="Q308">
        <f>VALUE(RIGHT(modif0[[#This Row],[trvx]],4))</f>
        <v>2022</v>
      </c>
      <c r="R308" t="str">
        <f>_xlfn.CONCAT(modif0[[#This Row],[tp]],"-",modif0[[#This Row],[essnc]],"_",modif0[[#This Row],[anns]])</f>
        <v>CR-PM_2022</v>
      </c>
      <c r="S308" t="b">
        <f>modif0[[#This Row],[tp]]="CR"</f>
        <v>1</v>
      </c>
      <c r="T308">
        <v>40</v>
      </c>
      <c r="U308" t="str">
        <f>IF(NOT($A308),"",
IF(AO308=-2,regle!$J$11,
IF(AO308=regle!$B$12,regle!$B$11,
IF(AO308=regle!$C$12,regle!$C$11,
IF(AO308=regle!$D$12,regle!$D$11,
IF(AO308=regle!$E$12,regle!$E$11,
IF(AO308=regle!$F$12,regle!$F$11,
IF(AO308=regle!$G$12,regle!$G$11,
IF(AO308=regle!$H$12,regle!$H$11,
IF(AO308=regle!$I$12,regle!$I$11,""))))))))))</f>
        <v>RBST</v>
      </c>
      <c r="V308" t="str">
        <f>IF(NOT($A308),"",
IF(AP308=-2,regle!$J$11,
IF(AP308=regle!$B$12,regle!$B$11,
IF(AP308=regle!$C$12,regle!$C$11,
IF(AP308=regle!$D$12,regle!$D$11,
IF(AP308=regle!$E$12,regle!$E$11,
IF(AP308=regle!$F$12,regle!$F$11,
IF(AP308=regle!$G$12,regle!$G$11,
IF(AP308=regle!$H$12,regle!$H$11,
IF(AP308=regle!$I$12,regle!$I$11,""))))))))))</f>
        <v/>
      </c>
      <c r="W308" t="str">
        <f>IF(NOT($A308),"",
IF(AQ308=-2,regle!$J$11,
IF(AQ308=regle!$B$12,regle!$B$11,
IF(AQ308=regle!$C$12,regle!$C$11,
IF(AQ308=regle!$D$12,regle!$D$11,
IF(AQ308=regle!$E$12,regle!$E$11,
IF(AQ308=regle!$F$12,regle!$F$11,
IF(AQ308=regle!$G$12,regle!$G$11,
IF(AQ308=regle!$H$12,regle!$H$11,
IF(AQ308=regle!$I$12,regle!$I$11,""))))))))))</f>
        <v>DGT</v>
      </c>
      <c r="X308" t="str">
        <f>IF(NOT($A308),"",
IF(AR308=-2,regle!$J$11,
IF(AR308=regle!$B$12,regle!$B$11,
IF(AR308=regle!$C$12,regle!$C$11,
IF(AR308=regle!$D$12,regle!$D$11,
IF(AR308=regle!$E$12,regle!$E$11,
IF(AR308=regle!$F$12,regle!$F$11,
IF(AR308=regle!$G$12,regle!$G$11,
IF(AR308=regle!$H$12,regle!$H$11,
IF(AR308=regle!$I$12,regle!$I$11,""))))))))))</f>
        <v/>
      </c>
      <c r="Y308" t="str">
        <f>IF(NOT($A308),"",
IF(AS308=-2,regle!$J$11,
IF(AS308=regle!$B$12,regle!$B$11,
IF(AS308=regle!$C$12,regle!$C$11,
IF(AS308=regle!$D$12,regle!$D$11,
IF(AS308=regle!$E$12,regle!$E$11,
IF(AS308=regle!$F$12,regle!$F$11,
IF(AS308=regle!$G$12,regle!$G$11,
IF(AS308=regle!$H$12,regle!$H$11,
IF(AS308=regle!$I$12,regle!$I$11,""))))))))))</f>
        <v/>
      </c>
      <c r="Z308" t="str">
        <f>IF(NOT($A308),"",
IF(AT308=-2,regle!$J$11,
IF(AT308=regle!$B$12,regle!$B$11,
IF(AT308=regle!$C$12,regle!$C$11,
IF(AT308=regle!$D$12,regle!$D$11,
IF(AT308=regle!$E$12,regle!$E$11,
IF(AT308=regle!$F$12,regle!$F$11,
IF(AT308=regle!$G$12,regle!$G$11,
IF(AT308=regle!$H$12,regle!$H$11,
IF(AT308=regle!$I$12,regle!$I$11,""))))))))))</f>
        <v>ENT1</v>
      </c>
      <c r="AA308" t="str">
        <f>IF(NOT($A308),"",
IF(AU308=-2,regle!$J$11,
IF(AU308=regle!$B$12,regle!$B$11,
IF(AU308=regle!$C$12,regle!$C$11,
IF(AU308=regle!$D$12,regle!$D$11,
IF(AU308=regle!$E$12,regle!$E$11,
IF(AU308=regle!$F$12,regle!$F$11,
IF(AU308=regle!$G$12,regle!$G$11,
IF(AU308=regle!$H$12,regle!$H$11,
IF(AU308=regle!$I$12,regle!$I$11,""))))))))))</f>
        <v/>
      </c>
      <c r="AB308" t="str">
        <f>IF(NOT($A308),"",
IF(AV308=-2,regle!$J$11,
IF(AV308=regle!$B$12,regle!$B$11,
IF(AV308=regle!$C$12,regle!$C$11,
IF(AV308=regle!$D$12,regle!$D$11,
IF(AV308=regle!$E$12,regle!$E$11,
IF(AV308=regle!$F$12,regle!$F$11,
IF(AV308=regle!$G$12,regle!$G$11,
IF(AV308=regle!$H$12,regle!$H$11,
IF(AV308=regle!$I$12,regle!$I$11,""))))))))))</f>
        <v/>
      </c>
      <c r="AC308" t="str">
        <f>IF(NOT($A308),"",
IF(AW308=-2,regle!$J$11,
IF(AW308=regle!$B$12,regle!$B$11,
IF(AW308=regle!$C$12,regle!$C$11,
IF(AW308=regle!$D$12,regle!$D$11,
IF(AW308=regle!$E$12,regle!$E$11,
IF(AW308=regle!$F$12,regle!$F$11,
IF(AW308=regle!$G$12,regle!$G$11,
IF(AW308=regle!$H$12,regle!$H$11,
IF(AW308=regle!$I$12,regle!$I$11,""))))))))))</f>
        <v>ENT2</v>
      </c>
      <c r="AD308" t="str">
        <f>IF(NOT($A308),"",
IF(AX308=-2,regle!$J$11,
IF(AX308=regle!$B$12,regle!$B$11,
IF(AX308=regle!$C$12,regle!$C$11,
IF(AX308=regle!$D$12,regle!$D$11,
IF(AX308=regle!$E$12,regle!$E$11,
IF(AX308=regle!$F$12,regle!$F$11,
IF(AX308=regle!$G$12,regle!$G$11,
IF(AX308=regle!$H$12,regle!$H$11,
IF(AX308=regle!$I$12,regle!$I$11,""))))))))))</f>
        <v/>
      </c>
      <c r="AE308" s="14">
        <f>IF($A308,$M308*(IF(U308=regle!$B$11,regle!$B$23,IF(U308=regle!$C$11,regle!$C$23,IF(U308=regle!$D$11,regle!$D$23,IF(U308=regle!$E$11,regle!$E$23,IF(U308=regle!$F$11,regle!$F$23,IF(U308=regle!$G$11,regle!$G$23,IF(U308=regle!$H$11,regle!$H$23,IF(U308=regle!$I$11,regle!$I$23,IF(U308=regle!$J$11,regle!$J$23,0)))))))))))</f>
        <v>-5621.9</v>
      </c>
      <c r="AF308" s="14">
        <f>IF($A308,$M308*(IF(V308=regle!$B$11,regle!$B$23,IF(V308=regle!$C$11,regle!$C$23,IF(V308=regle!$D$11,regle!$D$23,IF(V308=regle!$E$11,regle!$E$23,IF(V308=regle!$F$11,regle!$F$23,IF(V308=regle!$G$11,regle!$G$23,IF(V308=regle!$H$11,regle!$H$23,IF(V308=regle!$I$11,regle!$I$23,IF(V308=regle!$J$11,regle!$J$23,0)))))))))))</f>
        <v>0</v>
      </c>
      <c r="AG308" s="14">
        <f>IF($A308,$M308*(IF(W308=regle!$B$11,regle!$B$23,IF(W308=regle!$C$11,regle!$C$23,IF(W308=regle!$D$11,regle!$D$23,IF(W308=regle!$E$11,regle!$E$23,IF(W308=regle!$F$11,regle!$F$23,IF(W308=regle!$G$11,regle!$G$23,IF(W308=regle!$H$11,regle!$H$23,IF(W308=regle!$I$11,regle!$I$23,IF(W308=regle!$J$11,regle!$J$23,0)))))))))))</f>
        <v>-248.02500000000001</v>
      </c>
      <c r="AH308" s="14">
        <f>IF($A308,$M308*(IF(X308=regle!$B$11,regle!$B$23,IF(X308=regle!$C$11,regle!$C$23,IF(X308=regle!$D$11,regle!$D$23,IF(X308=regle!$E$11,regle!$E$23,IF(X308=regle!$F$11,regle!$F$23,IF(X308=regle!$G$11,regle!$G$23,IF(X308=regle!$H$11,regle!$H$23,IF(X308=regle!$I$11,regle!$I$23,IF(X308=regle!$J$11,regle!$J$23,0)))))))))))</f>
        <v>0</v>
      </c>
      <c r="AI308" s="14">
        <f>IF($A308,$M308*(IF(Y308=regle!$B$11,regle!$B$23,IF(Y308=regle!$C$11,regle!$C$23,IF(Y308=regle!$D$11,regle!$D$23,IF(Y308=regle!$E$11,regle!$E$23,IF(Y308=regle!$F$11,regle!$F$23,IF(Y308=regle!$G$11,regle!$G$23,IF(Y308=regle!$H$11,regle!$H$23,IF(Y308=regle!$I$11,regle!$I$23,IF(Y308=regle!$J$11,regle!$J$23,0)))))))))))</f>
        <v>0</v>
      </c>
      <c r="AJ308" s="14">
        <f>IF($A308,$M308*(IF(Z308=regle!$B$11,regle!$B$23,IF(Z308=regle!$C$11,regle!$C$23,IF(Z308=regle!$D$11,regle!$D$23,IF(Z308=regle!$E$11,regle!$E$23,IF(Z308=regle!$F$11,regle!$F$23,IF(Z308=regle!$G$11,regle!$G$23,IF(Z308=regle!$H$11,regle!$H$23,IF(Z308=regle!$I$11,regle!$I$23,IF(Z308=regle!$J$11,regle!$J$23,0)))))))))))</f>
        <v>-297.63</v>
      </c>
      <c r="AK308" s="14">
        <f>IF($A308,$M308*(IF(AA308=regle!$B$11,regle!$B$23,IF(AA308=regle!$C$11,regle!$C$23,IF(AA308=regle!$D$11,regle!$D$23,IF(AA308=regle!$E$11,regle!$E$23,IF(AA308=regle!$F$11,regle!$F$23,IF(AA308=regle!$G$11,regle!$G$23,IF(AA308=regle!$H$11,regle!$H$23,IF(AA308=regle!$I$11,regle!$I$23,IF(AA308=regle!$J$11,regle!$J$23,0)))))))))))</f>
        <v>0</v>
      </c>
      <c r="AL308" s="14">
        <f>IF($A308,$M308*(IF(AB308=regle!$B$11,regle!$B$23,IF(AB308=regle!$C$11,regle!$C$23,IF(AB308=regle!$D$11,regle!$D$23,IF(AB308=regle!$E$11,regle!$E$23,IF(AB308=regle!$F$11,regle!$F$23,IF(AB308=regle!$G$11,regle!$G$23,IF(AB308=regle!$H$11,regle!$H$23,IF(AB308=regle!$I$11,regle!$I$23,IF(AB308=regle!$J$11,regle!$J$23,0)))))))))))</f>
        <v>0</v>
      </c>
      <c r="AM308" s="14">
        <f>IF($A308,$M308*(IF(AC308=regle!$B$11,regle!$B$23,IF(AC308=regle!$C$11,regle!$C$23,IF(AC308=regle!$D$11,regle!$D$23,IF(AC308=regle!$E$11,regle!$E$23,IF(AC308=regle!$F$11,regle!$F$23,IF(AC308=regle!$G$11,regle!$G$23,IF(AC308=regle!$H$11,regle!$H$23,IF(AC308=regle!$I$11,regle!$I$23,IF(AC308=regle!$J$11,regle!$J$23,0)))))))))))</f>
        <v>-297.63</v>
      </c>
      <c r="AN308" s="14">
        <f>IF($A308,$M308*(IF(AD308=regle!$B$11,regle!$B$23,IF(AD308=regle!$C$11,regle!$C$23,IF(AD308=regle!$D$11,regle!$D$23,IF(AD308=regle!$E$11,regle!$E$23,IF(AD308=regle!$F$11,regle!$F$23,IF(AD308=regle!$G$11,regle!$G$23,IF(AD308=regle!$H$11,regle!$H$23,IF(AD308=regle!$I$11,regle!$I$23,IF(AD308=regle!$J$11,regle!$J$23,0)))))))))))</f>
        <v>0</v>
      </c>
      <c r="AO308">
        <f>IF(AO$1=$AO$1,IF(regle!B$2-$Q308&gt;=regle!$J$12,-2,IF($S308,IF(regle!$B$2-$Q308&gt;=2,0,-1),regle!B$2-$Q308)),IF(AN308+1&gt;=regle!$J$12,-2,AN308+1))</f>
        <v>0</v>
      </c>
      <c r="AP308">
        <f>IF(AP$1=$AO$1,IF(regle!C$2-$Q308&gt;=regle!$J$12,-2,IF($S308,IF(regle!$B$2-$Q308&gt;=2,0,-1),regle!C$2-$Q308)),IF(AO308+1&gt;=regle!$J$12,-2,AO308+1))</f>
        <v>1</v>
      </c>
      <c r="AQ308">
        <f>IF(AQ$1=$AO$1,IF(regle!D$2-$Q308&gt;=regle!$J$12,-2,IF($S308,IF(regle!$B$2-$Q308&gt;=2,0,-1),regle!D$2-$Q308)),IF(AP308+1&gt;=regle!$J$12,-2,AP308+1))</f>
        <v>2</v>
      </c>
      <c r="AR308">
        <f>IF(AR$1=$AO$1,IF(regle!E$2-$Q308&gt;=regle!$J$12,-2,IF($S308,IF(regle!$B$2-$Q308&gt;=2,0,-1),regle!E$2-$Q308)),IF(AQ308+1&gt;=regle!$J$12,-2,AQ308+1))</f>
        <v>3</v>
      </c>
      <c r="AS308">
        <f>IF(AS$1=$AO$1,IF(regle!F$2-$Q308&gt;=regle!$J$12,-2,IF($S308,IF(regle!$B$2-$Q308&gt;=2,0,-1),regle!F$2-$Q308)),IF(AR308+1&gt;=regle!$J$12,-2,AR308+1))</f>
        <v>4</v>
      </c>
      <c r="AT308">
        <f>IF(AT$1=$AO$1,IF(regle!G$2-$Q308&gt;=regle!$J$12,-2,IF($S308,IF(regle!$B$2-$Q308&gt;=2,0,-1),regle!G$2-$Q308)),IF(AS308+1&gt;=regle!$J$12,-2,AS308+1))</f>
        <v>5</v>
      </c>
      <c r="AU308">
        <f>IF(AU$1=$AO$1,IF(regle!H$2-$Q308&gt;=regle!$J$12,-2,IF($S308,IF(regle!$B$2-$Q308&gt;=2,0,-1),regle!H$2-$Q308)),IF(AT308+1&gt;=regle!$J$12,-2,AT308+1))</f>
        <v>6</v>
      </c>
      <c r="AV308">
        <f>IF(AV$1=$AO$1,IF(regle!I$2-$Q308&gt;=regle!$J$12,-2,IF($S308,IF(regle!$B$2-$Q308&gt;=2,0,-1),regle!I$2-$Q308)),IF(AU308+1&gt;=regle!$J$12,-2,AU308+1))</f>
        <v>7</v>
      </c>
      <c r="AW308">
        <f>IF(AW$1=$AO$1,IF(regle!J$2-$Q308&gt;=regle!$J$12,-2,IF($S308,IF(regle!$B$2-$Q308&gt;=2,0,-1),regle!J$2-$Q308)),IF(AV308+1&gt;=regle!$J$12,-2,AV308+1))</f>
        <v>8</v>
      </c>
      <c r="AX308">
        <f>IF(AX$1=$AO$1,IF(regle!K$2-$Q308&gt;=regle!$J$12,-2,IF($S308,IF(regle!$B$2-$Q308&gt;=2,0,-1),regle!K$2-$Q308)),IF(AW308+1&gt;=regle!$J$12,-2,AW308+1))</f>
        <v>9</v>
      </c>
    </row>
    <row r="309" spans="1:50" x14ac:dyDescent="0.25">
      <c r="A309" t="b">
        <f>AND(modif0[[#This Row],[cdstr]]&lt;&gt;0,OR(regle!$H$27=FALSE,modif0[[#This Row],[essnc]]="PM"))</f>
        <v>1</v>
      </c>
      <c r="B309">
        <f>ROW(objet!A359)</f>
        <v>359</v>
      </c>
      <c r="C309" s="10" t="str">
        <f>objet!D359</f>
        <v>1710000C0357</v>
      </c>
      <c r="D309" t="str">
        <f>LEFT(modif0[[#This Row],[cdstr]],3)</f>
        <v>171</v>
      </c>
      <c r="E309" s="10" t="str">
        <f>objet!G359</f>
        <v>MANO</v>
      </c>
      <c r="F309">
        <f>LEN(modif0[[#This Row],[l_dt]])</f>
        <v>10</v>
      </c>
      <c r="G309" s="10" t="str">
        <f>objet!H359</f>
        <v>LA PEYRERE</v>
      </c>
      <c r="H309" s="10" t="str">
        <f>objet!C359</f>
        <v>C357j</v>
      </c>
      <c r="I309" t="str">
        <f>IF(ISNUMBER(VALUE(RIGHT(LEFT(modif0[[#This Row],[idntfn]],2),1))),_xlfn.CONCAT(0,LEFT(modif0[[#This Row],[idntfn]],1)),LEFT(modif0[[#This Row],[idntfn]],2))</f>
        <v>0C</v>
      </c>
      <c r="J309">
        <f>VALUE(LEFT(RIGHT(modif0[[#This Row],[idntfn]],LEN(modif0[[#This Row],[idntfn]])-IF(LEFT(modif0[[#This Row],[sctn]],1)="0",1,2)),LEN(modif0[[#This Row],[idntfn]])-IF(LEFT(modif0[[#This Row],[sctn]],1)="0",1,2)-LEN(modif0[[#This Row],[lttr]])))</f>
        <v>357</v>
      </c>
      <c r="K309" t="str">
        <f>IF(ISNUMBER(VALUE(RIGHT(modif0[[#This Row],[idntfn]],1))),"",IF(ISNUMBER(VALUE(LEFT(RIGHT(modif0[[#This Row],[idntfn]],2),1))),RIGHT(modif0[[#This Row],[idntfn]],1),RIGHT(modif0[[#This Row],[idntfn]],2)))</f>
        <v>j</v>
      </c>
      <c r="L309" s="10">
        <f>objet!I359</f>
        <v>138779</v>
      </c>
      <c r="M309" s="11">
        <f>modif0[[#This Row],[srfc]]/10000</f>
        <v>13.8779</v>
      </c>
      <c r="N309" s="10" t="str">
        <f>objet!Z359</f>
        <v>PM</v>
      </c>
      <c r="O309" s="10" t="str">
        <f>objet!AA359</f>
        <v>CR2022</v>
      </c>
      <c r="P309" t="str">
        <f>IF(ISNUMBER(modif0[[#This Row],[trvx]]),"",LEFT(modif0[[#This Row],[trvx]],LEN(modif0[[#This Row],[trvx]])-4))</f>
        <v>CR</v>
      </c>
      <c r="Q309">
        <f>VALUE(RIGHT(modif0[[#This Row],[trvx]],4))</f>
        <v>2022</v>
      </c>
      <c r="R309" t="str">
        <f>_xlfn.CONCAT(modif0[[#This Row],[tp]],"-",modif0[[#This Row],[essnc]],"_",modif0[[#This Row],[anns]])</f>
        <v>CR-PM_2022</v>
      </c>
      <c r="S309" t="b">
        <f>modif0[[#This Row],[tp]]="CR"</f>
        <v>1</v>
      </c>
      <c r="T309">
        <v>40</v>
      </c>
      <c r="U309" t="str">
        <f>IF(NOT($A309),"",
IF(AO309=-2,regle!$J$11,
IF(AO309=regle!$B$12,regle!$B$11,
IF(AO309=regle!$C$12,regle!$C$11,
IF(AO309=regle!$D$12,regle!$D$11,
IF(AO309=regle!$E$12,regle!$E$11,
IF(AO309=regle!$F$12,regle!$F$11,
IF(AO309=regle!$G$12,regle!$G$11,
IF(AO309=regle!$H$12,regle!$H$11,
IF(AO309=regle!$I$12,regle!$I$11,""))))))))))</f>
        <v>RBST</v>
      </c>
      <c r="V309" t="str">
        <f>IF(NOT($A309),"",
IF(AP309=-2,regle!$J$11,
IF(AP309=regle!$B$12,regle!$B$11,
IF(AP309=regle!$C$12,regle!$C$11,
IF(AP309=regle!$D$12,regle!$D$11,
IF(AP309=regle!$E$12,regle!$E$11,
IF(AP309=regle!$F$12,regle!$F$11,
IF(AP309=regle!$G$12,regle!$G$11,
IF(AP309=regle!$H$12,regle!$H$11,
IF(AP309=regle!$I$12,regle!$I$11,""))))))))))</f>
        <v/>
      </c>
      <c r="W309" t="str">
        <f>IF(NOT($A309),"",
IF(AQ309=-2,regle!$J$11,
IF(AQ309=regle!$B$12,regle!$B$11,
IF(AQ309=regle!$C$12,regle!$C$11,
IF(AQ309=regle!$D$12,regle!$D$11,
IF(AQ309=regle!$E$12,regle!$E$11,
IF(AQ309=regle!$F$12,regle!$F$11,
IF(AQ309=regle!$G$12,regle!$G$11,
IF(AQ309=regle!$H$12,regle!$H$11,
IF(AQ309=regle!$I$12,regle!$I$11,""))))))))))</f>
        <v>DGT</v>
      </c>
      <c r="X309" t="str">
        <f>IF(NOT($A309),"",
IF(AR309=-2,regle!$J$11,
IF(AR309=regle!$B$12,regle!$B$11,
IF(AR309=regle!$C$12,regle!$C$11,
IF(AR309=regle!$D$12,regle!$D$11,
IF(AR309=regle!$E$12,regle!$E$11,
IF(AR309=regle!$F$12,regle!$F$11,
IF(AR309=regle!$G$12,regle!$G$11,
IF(AR309=regle!$H$12,regle!$H$11,
IF(AR309=regle!$I$12,regle!$I$11,""))))))))))</f>
        <v/>
      </c>
      <c r="Y309" t="str">
        <f>IF(NOT($A309),"",
IF(AS309=-2,regle!$J$11,
IF(AS309=regle!$B$12,regle!$B$11,
IF(AS309=regle!$C$12,regle!$C$11,
IF(AS309=regle!$D$12,regle!$D$11,
IF(AS309=regle!$E$12,regle!$E$11,
IF(AS309=regle!$F$12,regle!$F$11,
IF(AS309=regle!$G$12,regle!$G$11,
IF(AS309=regle!$H$12,regle!$H$11,
IF(AS309=regle!$I$12,regle!$I$11,""))))))))))</f>
        <v/>
      </c>
      <c r="Z309" t="str">
        <f>IF(NOT($A309),"",
IF(AT309=-2,regle!$J$11,
IF(AT309=regle!$B$12,regle!$B$11,
IF(AT309=regle!$C$12,regle!$C$11,
IF(AT309=regle!$D$12,regle!$D$11,
IF(AT309=regle!$E$12,regle!$E$11,
IF(AT309=regle!$F$12,regle!$F$11,
IF(AT309=regle!$G$12,regle!$G$11,
IF(AT309=regle!$H$12,regle!$H$11,
IF(AT309=regle!$I$12,regle!$I$11,""))))))))))</f>
        <v>ENT1</v>
      </c>
      <c r="AA309" t="str">
        <f>IF(NOT($A309),"",
IF(AU309=-2,regle!$J$11,
IF(AU309=regle!$B$12,regle!$B$11,
IF(AU309=regle!$C$12,regle!$C$11,
IF(AU309=regle!$D$12,regle!$D$11,
IF(AU309=regle!$E$12,regle!$E$11,
IF(AU309=regle!$F$12,regle!$F$11,
IF(AU309=regle!$G$12,regle!$G$11,
IF(AU309=regle!$H$12,regle!$H$11,
IF(AU309=regle!$I$12,regle!$I$11,""))))))))))</f>
        <v/>
      </c>
      <c r="AB309" t="str">
        <f>IF(NOT($A309),"",
IF(AV309=-2,regle!$J$11,
IF(AV309=regle!$B$12,regle!$B$11,
IF(AV309=regle!$C$12,regle!$C$11,
IF(AV309=regle!$D$12,regle!$D$11,
IF(AV309=regle!$E$12,regle!$E$11,
IF(AV309=regle!$F$12,regle!$F$11,
IF(AV309=regle!$G$12,regle!$G$11,
IF(AV309=regle!$H$12,regle!$H$11,
IF(AV309=regle!$I$12,regle!$I$11,""))))))))))</f>
        <v/>
      </c>
      <c r="AC309" t="str">
        <f>IF(NOT($A309),"",
IF(AW309=-2,regle!$J$11,
IF(AW309=regle!$B$12,regle!$B$11,
IF(AW309=regle!$C$12,regle!$C$11,
IF(AW309=regle!$D$12,regle!$D$11,
IF(AW309=regle!$E$12,regle!$E$11,
IF(AW309=regle!$F$12,regle!$F$11,
IF(AW309=regle!$G$12,regle!$G$11,
IF(AW309=regle!$H$12,regle!$H$11,
IF(AW309=regle!$I$12,regle!$I$11,""))))))))))</f>
        <v>ENT2</v>
      </c>
      <c r="AD309" t="str">
        <f>IF(NOT($A309),"",
IF(AX309=-2,regle!$J$11,
IF(AX309=regle!$B$12,regle!$B$11,
IF(AX309=regle!$C$12,regle!$C$11,
IF(AX309=regle!$D$12,regle!$D$11,
IF(AX309=regle!$E$12,regle!$E$11,
IF(AX309=regle!$F$12,regle!$F$11,
IF(AX309=regle!$G$12,regle!$G$11,
IF(AX309=regle!$H$12,regle!$H$11,
IF(AX309=regle!$I$12,regle!$I$11,""))))))))))</f>
        <v/>
      </c>
      <c r="AE309" s="14">
        <f>IF($A309,$M309*(IF(U309=regle!$B$11,regle!$B$23,IF(U309=regle!$C$11,regle!$C$23,IF(U309=regle!$D$11,regle!$D$23,IF(U309=regle!$E$11,regle!$E$23,IF(U309=regle!$F$11,regle!$F$23,IF(U309=regle!$G$11,regle!$G$23,IF(U309=regle!$H$11,regle!$H$23,IF(U309=regle!$I$11,regle!$I$23,IF(U309=regle!$J$11,regle!$J$23,0)))))))))))</f>
        <v>-23592.43</v>
      </c>
      <c r="AF309" s="14">
        <f>IF($A309,$M309*(IF(V309=regle!$B$11,regle!$B$23,IF(V309=regle!$C$11,regle!$C$23,IF(V309=regle!$D$11,regle!$D$23,IF(V309=regle!$E$11,regle!$E$23,IF(V309=regle!$F$11,regle!$F$23,IF(V309=regle!$G$11,regle!$G$23,IF(V309=regle!$H$11,regle!$H$23,IF(V309=regle!$I$11,regle!$I$23,IF(V309=regle!$J$11,regle!$J$23,0)))))))))))</f>
        <v>0</v>
      </c>
      <c r="AG309" s="14">
        <f>IF($A309,$M309*(IF(W309=regle!$B$11,regle!$B$23,IF(W309=regle!$C$11,regle!$C$23,IF(W309=regle!$D$11,regle!$D$23,IF(W309=regle!$E$11,regle!$E$23,IF(W309=regle!$F$11,regle!$F$23,IF(W309=regle!$G$11,regle!$G$23,IF(W309=regle!$H$11,regle!$H$23,IF(W309=regle!$I$11,regle!$I$23,IF(W309=regle!$J$11,regle!$J$23,0)))))))))))</f>
        <v>-1040.8425</v>
      </c>
      <c r="AH309" s="14">
        <f>IF($A309,$M309*(IF(X309=regle!$B$11,regle!$B$23,IF(X309=regle!$C$11,regle!$C$23,IF(X309=regle!$D$11,regle!$D$23,IF(X309=regle!$E$11,regle!$E$23,IF(X309=regle!$F$11,regle!$F$23,IF(X309=regle!$G$11,regle!$G$23,IF(X309=regle!$H$11,regle!$H$23,IF(X309=regle!$I$11,regle!$I$23,IF(X309=regle!$J$11,regle!$J$23,0)))))))))))</f>
        <v>0</v>
      </c>
      <c r="AI309" s="14">
        <f>IF($A309,$M309*(IF(Y309=regle!$B$11,regle!$B$23,IF(Y309=regle!$C$11,regle!$C$23,IF(Y309=regle!$D$11,regle!$D$23,IF(Y309=regle!$E$11,regle!$E$23,IF(Y309=regle!$F$11,regle!$F$23,IF(Y309=regle!$G$11,regle!$G$23,IF(Y309=regle!$H$11,regle!$H$23,IF(Y309=regle!$I$11,regle!$I$23,IF(Y309=regle!$J$11,regle!$J$23,0)))))))))))</f>
        <v>0</v>
      </c>
      <c r="AJ309" s="14">
        <f>IF($A309,$M309*(IF(Z309=regle!$B$11,regle!$B$23,IF(Z309=regle!$C$11,regle!$C$23,IF(Z309=regle!$D$11,regle!$D$23,IF(Z309=regle!$E$11,regle!$E$23,IF(Z309=regle!$F$11,regle!$F$23,IF(Z309=regle!$G$11,regle!$G$23,IF(Z309=regle!$H$11,regle!$H$23,IF(Z309=regle!$I$11,regle!$I$23,IF(Z309=regle!$J$11,regle!$J$23,0)))))))))))</f>
        <v>-1249.011</v>
      </c>
      <c r="AK309" s="14">
        <f>IF($A309,$M309*(IF(AA309=regle!$B$11,regle!$B$23,IF(AA309=regle!$C$11,regle!$C$23,IF(AA309=regle!$D$11,regle!$D$23,IF(AA309=regle!$E$11,regle!$E$23,IF(AA309=regle!$F$11,regle!$F$23,IF(AA309=regle!$G$11,regle!$G$23,IF(AA309=regle!$H$11,regle!$H$23,IF(AA309=regle!$I$11,regle!$I$23,IF(AA309=regle!$J$11,regle!$J$23,0)))))))))))</f>
        <v>0</v>
      </c>
      <c r="AL309" s="14">
        <f>IF($A309,$M309*(IF(AB309=regle!$B$11,regle!$B$23,IF(AB309=regle!$C$11,regle!$C$23,IF(AB309=regle!$D$11,regle!$D$23,IF(AB309=regle!$E$11,regle!$E$23,IF(AB309=regle!$F$11,regle!$F$23,IF(AB309=regle!$G$11,regle!$G$23,IF(AB309=regle!$H$11,regle!$H$23,IF(AB309=regle!$I$11,regle!$I$23,IF(AB309=regle!$J$11,regle!$J$23,0)))))))))))</f>
        <v>0</v>
      </c>
      <c r="AM309" s="14">
        <f>IF($A309,$M309*(IF(AC309=regle!$B$11,regle!$B$23,IF(AC309=regle!$C$11,regle!$C$23,IF(AC309=regle!$D$11,regle!$D$23,IF(AC309=regle!$E$11,regle!$E$23,IF(AC309=regle!$F$11,regle!$F$23,IF(AC309=regle!$G$11,regle!$G$23,IF(AC309=regle!$H$11,regle!$H$23,IF(AC309=regle!$I$11,regle!$I$23,IF(AC309=regle!$J$11,regle!$J$23,0)))))))))))</f>
        <v>-1249.011</v>
      </c>
      <c r="AN309" s="14">
        <f>IF($A309,$M309*(IF(AD309=regle!$B$11,regle!$B$23,IF(AD309=regle!$C$11,regle!$C$23,IF(AD309=regle!$D$11,regle!$D$23,IF(AD309=regle!$E$11,regle!$E$23,IF(AD309=regle!$F$11,regle!$F$23,IF(AD309=regle!$G$11,regle!$G$23,IF(AD309=regle!$H$11,regle!$H$23,IF(AD309=regle!$I$11,regle!$I$23,IF(AD309=regle!$J$11,regle!$J$23,0)))))))))))</f>
        <v>0</v>
      </c>
      <c r="AO309">
        <f>IF(AO$1=$AO$1,IF(regle!B$2-$Q309&gt;=regle!$J$12,-2,IF($S309,IF(regle!$B$2-$Q309&gt;=2,0,-1),regle!B$2-$Q309)),IF(AN309+1&gt;=regle!$J$12,-2,AN309+1))</f>
        <v>0</v>
      </c>
      <c r="AP309">
        <f>IF(AP$1=$AO$1,IF(regle!C$2-$Q309&gt;=regle!$J$12,-2,IF($S309,IF(regle!$B$2-$Q309&gt;=2,0,-1),regle!C$2-$Q309)),IF(AO309+1&gt;=regle!$J$12,-2,AO309+1))</f>
        <v>1</v>
      </c>
      <c r="AQ309">
        <f>IF(AQ$1=$AO$1,IF(regle!D$2-$Q309&gt;=regle!$J$12,-2,IF($S309,IF(regle!$B$2-$Q309&gt;=2,0,-1),regle!D$2-$Q309)),IF(AP309+1&gt;=regle!$J$12,-2,AP309+1))</f>
        <v>2</v>
      </c>
      <c r="AR309">
        <f>IF(AR$1=$AO$1,IF(regle!E$2-$Q309&gt;=regle!$J$12,-2,IF($S309,IF(regle!$B$2-$Q309&gt;=2,0,-1),regle!E$2-$Q309)),IF(AQ309+1&gt;=regle!$J$12,-2,AQ309+1))</f>
        <v>3</v>
      </c>
      <c r="AS309">
        <f>IF(AS$1=$AO$1,IF(regle!F$2-$Q309&gt;=regle!$J$12,-2,IF($S309,IF(regle!$B$2-$Q309&gt;=2,0,-1),regle!F$2-$Q309)),IF(AR309+1&gt;=regle!$J$12,-2,AR309+1))</f>
        <v>4</v>
      </c>
      <c r="AT309">
        <f>IF(AT$1=$AO$1,IF(regle!G$2-$Q309&gt;=regle!$J$12,-2,IF($S309,IF(regle!$B$2-$Q309&gt;=2,0,-1),regle!G$2-$Q309)),IF(AS309+1&gt;=regle!$J$12,-2,AS309+1))</f>
        <v>5</v>
      </c>
      <c r="AU309">
        <f>IF(AU$1=$AO$1,IF(regle!H$2-$Q309&gt;=regle!$J$12,-2,IF($S309,IF(regle!$B$2-$Q309&gt;=2,0,-1),regle!H$2-$Q309)),IF(AT309+1&gt;=regle!$J$12,-2,AT309+1))</f>
        <v>6</v>
      </c>
      <c r="AV309">
        <f>IF(AV$1=$AO$1,IF(regle!I$2-$Q309&gt;=regle!$J$12,-2,IF($S309,IF(regle!$B$2-$Q309&gt;=2,0,-1),regle!I$2-$Q309)),IF(AU309+1&gt;=regle!$J$12,-2,AU309+1))</f>
        <v>7</v>
      </c>
      <c r="AW309">
        <f>IF(AW$1=$AO$1,IF(regle!J$2-$Q309&gt;=regle!$J$12,-2,IF($S309,IF(regle!$B$2-$Q309&gt;=2,0,-1),regle!J$2-$Q309)),IF(AV309+1&gt;=regle!$J$12,-2,AV309+1))</f>
        <v>8</v>
      </c>
      <c r="AX309">
        <f>IF(AX$1=$AO$1,IF(regle!K$2-$Q309&gt;=regle!$J$12,-2,IF($S309,IF(regle!$B$2-$Q309&gt;=2,0,-1),regle!K$2-$Q309)),IF(AW309+1&gt;=regle!$J$12,-2,AW309+1))</f>
        <v>9</v>
      </c>
    </row>
    <row r="310" spans="1:50" x14ac:dyDescent="0.25">
      <c r="A310" t="b">
        <f>AND(modif0[[#This Row],[cdstr]]&lt;&gt;0,OR(regle!$H$27=FALSE,modif0[[#This Row],[essnc]]="PM"))</f>
        <v>1</v>
      </c>
      <c r="B310">
        <f>ROW(objet!A360)</f>
        <v>360</v>
      </c>
      <c r="C310" s="10" t="str">
        <f>objet!D360</f>
        <v>0770000D1362</v>
      </c>
      <c r="D310" t="str">
        <f>LEFT(modif0[[#This Row],[cdstr]],3)</f>
        <v>077</v>
      </c>
      <c r="E310" s="10" t="str">
        <f>objet!G360</f>
        <v>CABANAC-ET-VILLAGRAINS</v>
      </c>
      <c r="F310">
        <f>LEN(modif0[[#This Row],[l_dt]])</f>
        <v>10</v>
      </c>
      <c r="G310" s="10" t="str">
        <f>objet!H360</f>
        <v>CABAT MORT</v>
      </c>
      <c r="H310" s="10" t="str">
        <f>objet!C360</f>
        <v>D1362</v>
      </c>
      <c r="I310" t="str">
        <f>IF(ISNUMBER(VALUE(RIGHT(LEFT(modif0[[#This Row],[idntfn]],2),1))),_xlfn.CONCAT(0,LEFT(modif0[[#This Row],[idntfn]],1)),LEFT(modif0[[#This Row],[idntfn]],2))</f>
        <v>0D</v>
      </c>
      <c r="J310">
        <f>VALUE(LEFT(RIGHT(modif0[[#This Row],[idntfn]],LEN(modif0[[#This Row],[idntfn]])-IF(LEFT(modif0[[#This Row],[sctn]],1)="0",1,2)),LEN(modif0[[#This Row],[idntfn]])-IF(LEFT(modif0[[#This Row],[sctn]],1)="0",1,2)-LEN(modif0[[#This Row],[lttr]])))</f>
        <v>1362</v>
      </c>
      <c r="K310" t="str">
        <f>IF(ISNUMBER(VALUE(RIGHT(modif0[[#This Row],[idntfn]],1))),"",IF(ISNUMBER(VALUE(LEFT(RIGHT(modif0[[#This Row],[idntfn]],2),1))),RIGHT(modif0[[#This Row],[idntfn]],1),RIGHT(modif0[[#This Row],[idntfn]],2)))</f>
        <v/>
      </c>
      <c r="L310" s="10">
        <f>objet!I360</f>
        <v>451</v>
      </c>
      <c r="M310" s="11">
        <f>modif0[[#This Row],[srfc]]/10000</f>
        <v>4.5100000000000001E-2</v>
      </c>
      <c r="N310" s="10" t="str">
        <f>objet!Z360</f>
        <v>PM</v>
      </c>
      <c r="O310" s="10" t="str">
        <f>objet!AA360</f>
        <v>PLA2015</v>
      </c>
      <c r="P310" t="str">
        <f>IF(ISNUMBER(modif0[[#This Row],[trvx]]),"",LEFT(modif0[[#This Row],[trvx]],LEN(modif0[[#This Row],[trvx]])-4))</f>
        <v>PLA</v>
      </c>
      <c r="Q310">
        <f>VALUE(RIGHT(modif0[[#This Row],[trvx]],4))</f>
        <v>2015</v>
      </c>
      <c r="R310" t="str">
        <f>_xlfn.CONCAT(modif0[[#This Row],[tp]],"-",modif0[[#This Row],[essnc]],"_",modif0[[#This Row],[anns]])</f>
        <v>PLA-PM_2015</v>
      </c>
      <c r="S310" t="b">
        <f>modif0[[#This Row],[tp]]="CR"</f>
        <v>0</v>
      </c>
      <c r="T310">
        <v>40</v>
      </c>
      <c r="U310" t="str">
        <f>IF(NOT($A310),"",
IF(AO310=-2,regle!$J$11,
IF(AO310=regle!$B$12,regle!$B$11,
IF(AO310=regle!$C$12,regle!$C$11,
IF(AO310=regle!$D$12,regle!$D$11,
IF(AO310=regle!$E$12,regle!$E$11,
IF(AO310=regle!$F$12,regle!$F$11,
IF(AO310=regle!$G$12,regle!$G$11,
IF(AO310=regle!$H$12,regle!$H$11,
IF(AO310=regle!$I$12,regle!$I$11,""))))))))))</f>
        <v/>
      </c>
      <c r="V310" t="str">
        <f>IF(NOT($A310),"",
IF(AP310=-2,regle!$J$11,
IF(AP310=regle!$B$12,regle!$B$11,
IF(AP310=regle!$C$12,regle!$C$11,
IF(AP310=regle!$D$12,regle!$D$11,
IF(AP310=regle!$E$12,regle!$E$11,
IF(AP310=regle!$F$12,regle!$F$11,
IF(AP310=regle!$G$12,regle!$G$11,
IF(AP310=regle!$H$12,regle!$H$11,
IF(AP310=regle!$I$12,regle!$I$11,""))))))))))</f>
        <v/>
      </c>
      <c r="W310" t="str">
        <f>IF(NOT($A310),"",
IF(AQ310=-2,regle!$J$11,
IF(AQ310=regle!$B$12,regle!$B$11,
IF(AQ310=regle!$C$12,regle!$C$11,
IF(AQ310=regle!$D$12,regle!$D$11,
IF(AQ310=regle!$E$12,regle!$E$11,
IF(AQ310=regle!$F$12,regle!$F$11,
IF(AQ310=regle!$G$12,regle!$G$11,
IF(AQ310=regle!$H$12,regle!$H$11,
IF(AQ310=regle!$I$12,regle!$I$11,""))))))))))</f>
        <v/>
      </c>
      <c r="X310" t="str">
        <f>IF(NOT($A310),"",
IF(AR310=-2,regle!$J$11,
IF(AR310=regle!$B$12,regle!$B$11,
IF(AR310=regle!$C$12,regle!$C$11,
IF(AR310=regle!$D$12,regle!$D$11,
IF(AR310=regle!$E$12,regle!$E$11,
IF(AR310=regle!$F$12,regle!$F$11,
IF(AR310=regle!$G$12,regle!$G$11,
IF(AR310=regle!$H$12,regle!$H$11,
IF(AR310=regle!$I$12,regle!$I$11,""))))))))))</f>
        <v/>
      </c>
      <c r="Y310" t="str">
        <f>IF(NOT($A310),"",
IF(AS310=-2,regle!$J$11,
IF(AS310=regle!$B$12,regle!$B$11,
IF(AS310=regle!$C$12,regle!$C$11,
IF(AS310=regle!$D$12,regle!$D$11,
IF(AS310=regle!$E$12,regle!$E$11,
IF(AS310=regle!$F$12,regle!$F$11,
IF(AS310=regle!$G$12,regle!$G$11,
IF(AS310=regle!$H$12,regle!$H$11,
IF(AS310=regle!$I$12,regle!$I$11,""))))))))))</f>
        <v>EC1</v>
      </c>
      <c r="Z310" t="str">
        <f>IF(NOT($A310),"",
IF(AT310=-2,regle!$J$11,
IF(AT310=regle!$B$12,regle!$B$11,
IF(AT310=regle!$C$12,regle!$C$11,
IF(AT310=regle!$D$12,regle!$D$11,
IF(AT310=regle!$E$12,regle!$E$11,
IF(AT310=regle!$F$12,regle!$F$11,
IF(AT310=regle!$G$12,regle!$G$11,
IF(AT310=regle!$H$12,regle!$H$11,
IF(AT310=regle!$I$12,regle!$I$11,""))))))))))</f>
        <v/>
      </c>
      <c r="AA310" t="str">
        <f>IF(NOT($A310),"",
IF(AU310=-2,regle!$J$11,
IF(AU310=regle!$B$12,regle!$B$11,
IF(AU310=regle!$C$12,regle!$C$11,
IF(AU310=regle!$D$12,regle!$D$11,
IF(AU310=regle!$E$12,regle!$E$11,
IF(AU310=regle!$F$12,regle!$F$11,
IF(AU310=regle!$G$12,regle!$G$11,
IF(AU310=regle!$H$12,regle!$H$11,
IF(AU310=regle!$I$12,regle!$I$11,""))))))))))</f>
        <v/>
      </c>
      <c r="AB310" t="str">
        <f>IF(NOT($A310),"",
IF(AV310=-2,regle!$J$11,
IF(AV310=regle!$B$12,regle!$B$11,
IF(AV310=regle!$C$12,regle!$C$11,
IF(AV310=regle!$D$12,regle!$D$11,
IF(AV310=regle!$E$12,regle!$E$11,
IF(AV310=regle!$F$12,regle!$F$11,
IF(AV310=regle!$G$12,regle!$G$11,
IF(AV310=regle!$H$12,regle!$H$11,
IF(AV310=regle!$I$12,regle!$I$11,""))))))))))</f>
        <v/>
      </c>
      <c r="AC310" t="str">
        <f>IF(NOT($A310),"",
IF(AW310=-2,regle!$J$11,
IF(AW310=regle!$B$12,regle!$B$11,
IF(AW310=regle!$C$12,regle!$C$11,
IF(AW310=regle!$D$12,regle!$D$11,
IF(AW310=regle!$E$12,regle!$E$11,
IF(AW310=regle!$F$12,regle!$F$11,
IF(AW310=regle!$G$12,regle!$G$11,
IF(AW310=regle!$H$12,regle!$H$11,
IF(AW310=regle!$I$12,regle!$I$11,""))))))))))</f>
        <v/>
      </c>
      <c r="AD310" t="str">
        <f>IF(NOT($A310),"",
IF(AX310=-2,regle!$J$11,
IF(AX310=regle!$B$12,regle!$B$11,
IF(AX310=regle!$C$12,regle!$C$11,
IF(AX310=regle!$D$12,regle!$D$11,
IF(AX310=regle!$E$12,regle!$E$11,
IF(AX310=regle!$F$12,regle!$F$11,
IF(AX310=regle!$G$12,regle!$G$11,
IF(AX310=regle!$H$12,regle!$H$11,
IF(AX310=regle!$I$12,regle!$I$11,""))))))))))</f>
        <v>EC2</v>
      </c>
      <c r="AE310" s="14">
        <f>IF($A310,$M310*(IF(U310=regle!$B$11,regle!$B$23,IF(U310=regle!$C$11,regle!$C$23,IF(U310=regle!$D$11,regle!$D$23,IF(U310=regle!$E$11,regle!$E$23,IF(U310=regle!$F$11,regle!$F$23,IF(U310=regle!$G$11,regle!$G$23,IF(U310=regle!$H$11,regle!$H$23,IF(U310=regle!$I$11,regle!$I$23,IF(U310=regle!$J$11,regle!$J$23,0)))))))))))</f>
        <v>0</v>
      </c>
      <c r="AF310" s="14">
        <f>IF($A310,$M310*(IF(V310=regle!$B$11,regle!$B$23,IF(V310=regle!$C$11,regle!$C$23,IF(V310=regle!$D$11,regle!$D$23,IF(V310=regle!$E$11,regle!$E$23,IF(V310=regle!$F$11,regle!$F$23,IF(V310=regle!$G$11,regle!$G$23,IF(V310=regle!$H$11,regle!$H$23,IF(V310=regle!$I$11,regle!$I$23,IF(V310=regle!$J$11,regle!$J$23,0)))))))))))</f>
        <v>0</v>
      </c>
      <c r="AG310" s="14">
        <f>IF($A310,$M310*(IF(W310=regle!$B$11,regle!$B$23,IF(W310=regle!$C$11,regle!$C$23,IF(W310=regle!$D$11,regle!$D$23,IF(W310=regle!$E$11,regle!$E$23,IF(W310=regle!$F$11,regle!$F$23,IF(W310=regle!$G$11,regle!$G$23,IF(W310=regle!$H$11,regle!$H$23,IF(W310=regle!$I$11,regle!$I$23,IF(W310=regle!$J$11,regle!$J$23,0)))))))))))</f>
        <v>0</v>
      </c>
      <c r="AH310" s="14">
        <f>IF($A310,$M310*(IF(X310=regle!$B$11,regle!$B$23,IF(X310=regle!$C$11,regle!$C$23,IF(X310=regle!$D$11,regle!$D$23,IF(X310=regle!$E$11,regle!$E$23,IF(X310=regle!$F$11,regle!$F$23,IF(X310=regle!$G$11,regle!$G$23,IF(X310=regle!$H$11,regle!$H$23,IF(X310=regle!$I$11,regle!$I$23,IF(X310=regle!$J$11,regle!$J$23,0)))))))))))</f>
        <v>0</v>
      </c>
      <c r="AI310" s="14">
        <f>IF($A310,$M310*(IF(Y310=regle!$B$11,regle!$B$23,IF(Y310=regle!$C$11,regle!$C$23,IF(Y310=regle!$D$11,regle!$D$23,IF(Y310=regle!$E$11,regle!$E$23,IF(Y310=regle!$F$11,regle!$F$23,IF(Y310=regle!$G$11,regle!$G$23,IF(Y310=regle!$H$11,regle!$H$23,IF(Y310=regle!$I$11,regle!$I$23,IF(Y310=regle!$J$11,regle!$J$23,0)))))))))))</f>
        <v>25.977600000000002</v>
      </c>
      <c r="AJ310" s="14">
        <f>IF($A310,$M310*(IF(Z310=regle!$B$11,regle!$B$23,IF(Z310=regle!$C$11,regle!$C$23,IF(Z310=regle!$D$11,regle!$D$23,IF(Z310=regle!$E$11,regle!$E$23,IF(Z310=regle!$F$11,regle!$F$23,IF(Z310=regle!$G$11,regle!$G$23,IF(Z310=regle!$H$11,regle!$H$23,IF(Z310=regle!$I$11,regle!$I$23,IF(Z310=regle!$J$11,regle!$J$23,0)))))))))))</f>
        <v>0</v>
      </c>
      <c r="AK310" s="14">
        <f>IF($A310,$M310*(IF(AA310=regle!$B$11,regle!$B$23,IF(AA310=regle!$C$11,regle!$C$23,IF(AA310=regle!$D$11,regle!$D$23,IF(AA310=regle!$E$11,regle!$E$23,IF(AA310=regle!$F$11,regle!$F$23,IF(AA310=regle!$G$11,regle!$G$23,IF(AA310=regle!$H$11,regle!$H$23,IF(AA310=regle!$I$11,regle!$I$23,IF(AA310=regle!$J$11,regle!$J$23,0)))))))))))</f>
        <v>0</v>
      </c>
      <c r="AL310" s="14">
        <f>IF($A310,$M310*(IF(AB310=regle!$B$11,regle!$B$23,IF(AB310=regle!$C$11,regle!$C$23,IF(AB310=regle!$D$11,regle!$D$23,IF(AB310=regle!$E$11,regle!$E$23,IF(AB310=regle!$F$11,regle!$F$23,IF(AB310=regle!$G$11,regle!$G$23,IF(AB310=regle!$H$11,regle!$H$23,IF(AB310=regle!$I$11,regle!$I$23,IF(AB310=regle!$J$11,regle!$J$23,0)))))))))))</f>
        <v>0</v>
      </c>
      <c r="AM310" s="14">
        <f>IF($A310,$M310*(IF(AC310=regle!$B$11,regle!$B$23,IF(AC310=regle!$C$11,regle!$C$23,IF(AC310=regle!$D$11,regle!$D$23,IF(AC310=regle!$E$11,regle!$E$23,IF(AC310=regle!$F$11,regle!$F$23,IF(AC310=regle!$G$11,regle!$G$23,IF(AC310=regle!$H$11,regle!$H$23,IF(AC310=regle!$I$11,regle!$I$23,IF(AC310=regle!$J$11,regle!$J$23,0)))))))))))</f>
        <v>0</v>
      </c>
      <c r="AN310" s="14">
        <f>IF($A310,$M310*(IF(AD310=regle!$B$11,regle!$B$23,IF(AD310=regle!$C$11,regle!$C$23,IF(AD310=regle!$D$11,regle!$D$23,IF(AD310=regle!$E$11,regle!$E$23,IF(AD310=regle!$F$11,regle!$F$23,IF(AD310=regle!$G$11,regle!$G$23,IF(AD310=regle!$H$11,regle!$H$23,IF(AD310=regle!$I$11,regle!$I$23,IF(AD310=regle!$J$11,regle!$J$23,0)))))))))))</f>
        <v>37.884</v>
      </c>
      <c r="AO310">
        <f>IF(AO$1=$AO$1,IF(regle!B$2-$Q310&gt;=regle!$J$12,-2,IF($S310,IF(regle!$B$2-$Q310&gt;=2,0,-1),regle!B$2-$Q310)),IF(AN310+1&gt;=regle!$J$12,-2,AN310+1))</f>
        <v>9</v>
      </c>
      <c r="AP310">
        <f>IF(AP$1=$AO$1,IF(regle!C$2-$Q310&gt;=regle!$J$12,-2,IF($S310,IF(regle!$B$2-$Q310&gt;=2,0,-1),regle!C$2-$Q310)),IF(AO310+1&gt;=regle!$J$12,-2,AO310+1))</f>
        <v>10</v>
      </c>
      <c r="AQ310">
        <f>IF(AQ$1=$AO$1,IF(regle!D$2-$Q310&gt;=regle!$J$12,-2,IF($S310,IF(regle!$B$2-$Q310&gt;=2,0,-1),regle!D$2-$Q310)),IF(AP310+1&gt;=regle!$J$12,-2,AP310+1))</f>
        <v>11</v>
      </c>
      <c r="AR310">
        <f>IF(AR$1=$AO$1,IF(regle!E$2-$Q310&gt;=regle!$J$12,-2,IF($S310,IF(regle!$B$2-$Q310&gt;=2,0,-1),regle!E$2-$Q310)),IF(AQ310+1&gt;=regle!$J$12,-2,AQ310+1))</f>
        <v>12</v>
      </c>
      <c r="AS310">
        <f>IF(AS$1=$AO$1,IF(regle!F$2-$Q310&gt;=regle!$J$12,-2,IF($S310,IF(regle!$B$2-$Q310&gt;=2,0,-1),regle!F$2-$Q310)),IF(AR310+1&gt;=regle!$J$12,-2,AR310+1))</f>
        <v>13</v>
      </c>
      <c r="AT310">
        <f>IF(AT$1=$AO$1,IF(regle!G$2-$Q310&gt;=regle!$J$12,-2,IF($S310,IF(regle!$B$2-$Q310&gt;=2,0,-1),regle!G$2-$Q310)),IF(AS310+1&gt;=regle!$J$12,-2,AS310+1))</f>
        <v>14</v>
      </c>
      <c r="AU310">
        <f>IF(AU$1=$AO$1,IF(regle!H$2-$Q310&gt;=regle!$J$12,-2,IF($S310,IF(regle!$B$2-$Q310&gt;=2,0,-1),regle!H$2-$Q310)),IF(AT310+1&gt;=regle!$J$12,-2,AT310+1))</f>
        <v>15</v>
      </c>
      <c r="AV310">
        <f>IF(AV$1=$AO$1,IF(regle!I$2-$Q310&gt;=regle!$J$12,-2,IF($S310,IF(regle!$B$2-$Q310&gt;=2,0,-1),regle!I$2-$Q310)),IF(AU310+1&gt;=regle!$J$12,-2,AU310+1))</f>
        <v>16</v>
      </c>
      <c r="AW310">
        <f>IF(AW$1=$AO$1,IF(regle!J$2-$Q310&gt;=regle!$J$12,-2,IF($S310,IF(regle!$B$2-$Q310&gt;=2,0,-1),regle!J$2-$Q310)),IF(AV310+1&gt;=regle!$J$12,-2,AV310+1))</f>
        <v>17</v>
      </c>
      <c r="AX310">
        <f>IF(AX$1=$AO$1,IF(regle!K$2-$Q310&gt;=regle!$J$12,-2,IF($S310,IF(regle!$B$2-$Q310&gt;=2,0,-1),regle!K$2-$Q310)),IF(AW310+1&gt;=regle!$J$12,-2,AW310+1))</f>
        <v>18</v>
      </c>
    </row>
    <row r="311" spans="1:50" x14ac:dyDescent="0.25">
      <c r="A311" t="b">
        <f>AND(modif0[[#This Row],[cdstr]]&lt;&gt;0,OR(regle!$H$27=FALSE,modif0[[#This Row],[essnc]]="PM"))</f>
        <v>1</v>
      </c>
      <c r="B311">
        <f>ROW(objet!A361)</f>
        <v>361</v>
      </c>
      <c r="C311" s="10" t="str">
        <f>objet!D361</f>
        <v>0770000D1379</v>
      </c>
      <c r="D311" t="str">
        <f>LEFT(modif0[[#This Row],[cdstr]],3)</f>
        <v>077</v>
      </c>
      <c r="E311" s="10" t="str">
        <f>objet!G361</f>
        <v>CABANAC-ET-VILLAGRAINS</v>
      </c>
      <c r="F311">
        <f>LEN(modif0[[#This Row],[l_dt]])</f>
        <v>10</v>
      </c>
      <c r="G311" s="10" t="str">
        <f>objet!H361</f>
        <v>CABAT MORT</v>
      </c>
      <c r="H311" s="10" t="str">
        <f>objet!C361</f>
        <v>D1379</v>
      </c>
      <c r="I311" t="str">
        <f>IF(ISNUMBER(VALUE(RIGHT(LEFT(modif0[[#This Row],[idntfn]],2),1))),_xlfn.CONCAT(0,LEFT(modif0[[#This Row],[idntfn]],1)),LEFT(modif0[[#This Row],[idntfn]],2))</f>
        <v>0D</v>
      </c>
      <c r="J311">
        <f>VALUE(LEFT(RIGHT(modif0[[#This Row],[idntfn]],LEN(modif0[[#This Row],[idntfn]])-IF(LEFT(modif0[[#This Row],[sctn]],1)="0",1,2)),LEN(modif0[[#This Row],[idntfn]])-IF(LEFT(modif0[[#This Row],[sctn]],1)="0",1,2)-LEN(modif0[[#This Row],[lttr]])))</f>
        <v>1379</v>
      </c>
      <c r="K311" t="str">
        <f>IF(ISNUMBER(VALUE(RIGHT(modif0[[#This Row],[idntfn]],1))),"",IF(ISNUMBER(VALUE(LEFT(RIGHT(modif0[[#This Row],[idntfn]],2),1))),RIGHT(modif0[[#This Row],[idntfn]],1),RIGHT(modif0[[#This Row],[idntfn]],2)))</f>
        <v/>
      </c>
      <c r="L311" s="10">
        <f>objet!I361</f>
        <v>14400</v>
      </c>
      <c r="M311" s="11">
        <f>modif0[[#This Row],[srfc]]/10000</f>
        <v>1.44</v>
      </c>
      <c r="N311" s="10" t="str">
        <f>objet!Z361</f>
        <v>PM</v>
      </c>
      <c r="O311" s="10" t="str">
        <f>objet!AA361</f>
        <v>PLA2015</v>
      </c>
      <c r="P311" t="str">
        <f>IF(ISNUMBER(modif0[[#This Row],[trvx]]),"",LEFT(modif0[[#This Row],[trvx]],LEN(modif0[[#This Row],[trvx]])-4))</f>
        <v>PLA</v>
      </c>
      <c r="Q311">
        <f>VALUE(RIGHT(modif0[[#This Row],[trvx]],4))</f>
        <v>2015</v>
      </c>
      <c r="R311" t="str">
        <f>_xlfn.CONCAT(modif0[[#This Row],[tp]],"-",modif0[[#This Row],[essnc]],"_",modif0[[#This Row],[anns]])</f>
        <v>PLA-PM_2015</v>
      </c>
      <c r="S311" t="b">
        <f>modif0[[#This Row],[tp]]="CR"</f>
        <v>0</v>
      </c>
      <c r="T311">
        <v>40</v>
      </c>
      <c r="U311" t="str">
        <f>IF(NOT($A311),"",
IF(AO311=-2,regle!$J$11,
IF(AO311=regle!$B$12,regle!$B$11,
IF(AO311=regle!$C$12,regle!$C$11,
IF(AO311=regle!$D$12,regle!$D$11,
IF(AO311=regle!$E$12,regle!$E$11,
IF(AO311=regle!$F$12,regle!$F$11,
IF(AO311=regle!$G$12,regle!$G$11,
IF(AO311=regle!$H$12,regle!$H$11,
IF(AO311=regle!$I$12,regle!$I$11,""))))))))))</f>
        <v/>
      </c>
      <c r="V311" t="str">
        <f>IF(NOT($A311),"",
IF(AP311=-2,regle!$J$11,
IF(AP311=regle!$B$12,regle!$B$11,
IF(AP311=regle!$C$12,regle!$C$11,
IF(AP311=regle!$D$12,regle!$D$11,
IF(AP311=regle!$E$12,regle!$E$11,
IF(AP311=regle!$F$12,regle!$F$11,
IF(AP311=regle!$G$12,regle!$G$11,
IF(AP311=regle!$H$12,regle!$H$11,
IF(AP311=regle!$I$12,regle!$I$11,""))))))))))</f>
        <v/>
      </c>
      <c r="W311" t="str">
        <f>IF(NOT($A311),"",
IF(AQ311=-2,regle!$J$11,
IF(AQ311=regle!$B$12,regle!$B$11,
IF(AQ311=regle!$C$12,regle!$C$11,
IF(AQ311=regle!$D$12,regle!$D$11,
IF(AQ311=regle!$E$12,regle!$E$11,
IF(AQ311=regle!$F$12,regle!$F$11,
IF(AQ311=regle!$G$12,regle!$G$11,
IF(AQ311=regle!$H$12,regle!$H$11,
IF(AQ311=regle!$I$12,regle!$I$11,""))))))))))</f>
        <v/>
      </c>
      <c r="X311" t="str">
        <f>IF(NOT($A311),"",
IF(AR311=-2,regle!$J$11,
IF(AR311=regle!$B$12,regle!$B$11,
IF(AR311=regle!$C$12,regle!$C$11,
IF(AR311=regle!$D$12,regle!$D$11,
IF(AR311=regle!$E$12,regle!$E$11,
IF(AR311=regle!$F$12,regle!$F$11,
IF(AR311=regle!$G$12,regle!$G$11,
IF(AR311=regle!$H$12,regle!$H$11,
IF(AR311=regle!$I$12,regle!$I$11,""))))))))))</f>
        <v/>
      </c>
      <c r="Y311" t="str">
        <f>IF(NOT($A311),"",
IF(AS311=-2,regle!$J$11,
IF(AS311=regle!$B$12,regle!$B$11,
IF(AS311=regle!$C$12,regle!$C$11,
IF(AS311=regle!$D$12,regle!$D$11,
IF(AS311=regle!$E$12,regle!$E$11,
IF(AS311=regle!$F$12,regle!$F$11,
IF(AS311=regle!$G$12,regle!$G$11,
IF(AS311=regle!$H$12,regle!$H$11,
IF(AS311=regle!$I$12,regle!$I$11,""))))))))))</f>
        <v>EC1</v>
      </c>
      <c r="Z311" t="str">
        <f>IF(NOT($A311),"",
IF(AT311=-2,regle!$J$11,
IF(AT311=regle!$B$12,regle!$B$11,
IF(AT311=regle!$C$12,regle!$C$11,
IF(AT311=regle!$D$12,regle!$D$11,
IF(AT311=regle!$E$12,regle!$E$11,
IF(AT311=regle!$F$12,regle!$F$11,
IF(AT311=regle!$G$12,regle!$G$11,
IF(AT311=regle!$H$12,regle!$H$11,
IF(AT311=regle!$I$12,regle!$I$11,""))))))))))</f>
        <v/>
      </c>
      <c r="AA311" t="str">
        <f>IF(NOT($A311),"",
IF(AU311=-2,regle!$J$11,
IF(AU311=regle!$B$12,regle!$B$11,
IF(AU311=regle!$C$12,regle!$C$11,
IF(AU311=regle!$D$12,regle!$D$11,
IF(AU311=regle!$E$12,regle!$E$11,
IF(AU311=regle!$F$12,regle!$F$11,
IF(AU311=regle!$G$12,regle!$G$11,
IF(AU311=regle!$H$12,regle!$H$11,
IF(AU311=regle!$I$12,regle!$I$11,""))))))))))</f>
        <v/>
      </c>
      <c r="AB311" t="str">
        <f>IF(NOT($A311),"",
IF(AV311=-2,regle!$J$11,
IF(AV311=regle!$B$12,regle!$B$11,
IF(AV311=regle!$C$12,regle!$C$11,
IF(AV311=regle!$D$12,regle!$D$11,
IF(AV311=regle!$E$12,regle!$E$11,
IF(AV311=regle!$F$12,regle!$F$11,
IF(AV311=regle!$G$12,regle!$G$11,
IF(AV311=regle!$H$12,regle!$H$11,
IF(AV311=regle!$I$12,regle!$I$11,""))))))))))</f>
        <v/>
      </c>
      <c r="AC311" t="str">
        <f>IF(NOT($A311),"",
IF(AW311=-2,regle!$J$11,
IF(AW311=regle!$B$12,regle!$B$11,
IF(AW311=regle!$C$12,regle!$C$11,
IF(AW311=regle!$D$12,regle!$D$11,
IF(AW311=regle!$E$12,regle!$E$11,
IF(AW311=regle!$F$12,regle!$F$11,
IF(AW311=regle!$G$12,regle!$G$11,
IF(AW311=regle!$H$12,regle!$H$11,
IF(AW311=regle!$I$12,regle!$I$11,""))))))))))</f>
        <v/>
      </c>
      <c r="AD311" t="str">
        <f>IF(NOT($A311),"",
IF(AX311=-2,regle!$J$11,
IF(AX311=regle!$B$12,regle!$B$11,
IF(AX311=regle!$C$12,regle!$C$11,
IF(AX311=regle!$D$12,regle!$D$11,
IF(AX311=regle!$E$12,regle!$E$11,
IF(AX311=regle!$F$12,regle!$F$11,
IF(AX311=regle!$G$12,regle!$G$11,
IF(AX311=regle!$H$12,regle!$H$11,
IF(AX311=regle!$I$12,regle!$I$11,""))))))))))</f>
        <v>EC2</v>
      </c>
      <c r="AE311" s="14">
        <f>IF($A311,$M311*(IF(U311=regle!$B$11,regle!$B$23,IF(U311=regle!$C$11,regle!$C$23,IF(U311=regle!$D$11,regle!$D$23,IF(U311=regle!$E$11,regle!$E$23,IF(U311=regle!$F$11,regle!$F$23,IF(U311=regle!$G$11,regle!$G$23,IF(U311=regle!$H$11,regle!$H$23,IF(U311=regle!$I$11,regle!$I$23,IF(U311=regle!$J$11,regle!$J$23,0)))))))))))</f>
        <v>0</v>
      </c>
      <c r="AF311" s="14">
        <f>IF($A311,$M311*(IF(V311=regle!$B$11,regle!$B$23,IF(V311=regle!$C$11,regle!$C$23,IF(V311=regle!$D$11,regle!$D$23,IF(V311=regle!$E$11,regle!$E$23,IF(V311=regle!$F$11,regle!$F$23,IF(V311=regle!$G$11,regle!$G$23,IF(V311=regle!$H$11,regle!$H$23,IF(V311=regle!$I$11,regle!$I$23,IF(V311=regle!$J$11,regle!$J$23,0)))))))))))</f>
        <v>0</v>
      </c>
      <c r="AG311" s="14">
        <f>IF($A311,$M311*(IF(W311=regle!$B$11,regle!$B$23,IF(W311=regle!$C$11,regle!$C$23,IF(W311=regle!$D$11,regle!$D$23,IF(W311=regle!$E$11,regle!$E$23,IF(W311=regle!$F$11,regle!$F$23,IF(W311=regle!$G$11,regle!$G$23,IF(W311=regle!$H$11,regle!$H$23,IF(W311=regle!$I$11,regle!$I$23,IF(W311=regle!$J$11,regle!$J$23,0)))))))))))</f>
        <v>0</v>
      </c>
      <c r="AH311" s="14">
        <f>IF($A311,$M311*(IF(X311=regle!$B$11,regle!$B$23,IF(X311=regle!$C$11,regle!$C$23,IF(X311=regle!$D$11,regle!$D$23,IF(X311=regle!$E$11,regle!$E$23,IF(X311=regle!$F$11,regle!$F$23,IF(X311=regle!$G$11,regle!$G$23,IF(X311=regle!$H$11,regle!$H$23,IF(X311=regle!$I$11,regle!$I$23,IF(X311=regle!$J$11,regle!$J$23,0)))))))))))</f>
        <v>0</v>
      </c>
      <c r="AI311" s="14">
        <f>IF($A311,$M311*(IF(Y311=regle!$B$11,regle!$B$23,IF(Y311=regle!$C$11,regle!$C$23,IF(Y311=regle!$D$11,regle!$D$23,IF(Y311=regle!$E$11,regle!$E$23,IF(Y311=regle!$F$11,regle!$F$23,IF(Y311=regle!$G$11,regle!$G$23,IF(Y311=regle!$H$11,regle!$H$23,IF(Y311=regle!$I$11,regle!$I$23,IF(Y311=regle!$J$11,regle!$J$23,0)))))))))))</f>
        <v>829.43999999999994</v>
      </c>
      <c r="AJ311" s="14">
        <f>IF($A311,$M311*(IF(Z311=regle!$B$11,regle!$B$23,IF(Z311=regle!$C$11,regle!$C$23,IF(Z311=regle!$D$11,regle!$D$23,IF(Z311=regle!$E$11,regle!$E$23,IF(Z311=regle!$F$11,regle!$F$23,IF(Z311=regle!$G$11,regle!$G$23,IF(Z311=regle!$H$11,regle!$H$23,IF(Z311=regle!$I$11,regle!$I$23,IF(Z311=regle!$J$11,regle!$J$23,0)))))))))))</f>
        <v>0</v>
      </c>
      <c r="AK311" s="14">
        <f>IF($A311,$M311*(IF(AA311=regle!$B$11,regle!$B$23,IF(AA311=regle!$C$11,regle!$C$23,IF(AA311=regle!$D$11,regle!$D$23,IF(AA311=regle!$E$11,regle!$E$23,IF(AA311=regle!$F$11,regle!$F$23,IF(AA311=regle!$G$11,regle!$G$23,IF(AA311=regle!$H$11,regle!$H$23,IF(AA311=regle!$I$11,regle!$I$23,IF(AA311=regle!$J$11,regle!$J$23,0)))))))))))</f>
        <v>0</v>
      </c>
      <c r="AL311" s="14">
        <f>IF($A311,$M311*(IF(AB311=regle!$B$11,regle!$B$23,IF(AB311=regle!$C$11,regle!$C$23,IF(AB311=regle!$D$11,regle!$D$23,IF(AB311=regle!$E$11,regle!$E$23,IF(AB311=regle!$F$11,regle!$F$23,IF(AB311=regle!$G$11,regle!$G$23,IF(AB311=regle!$H$11,regle!$H$23,IF(AB311=regle!$I$11,regle!$I$23,IF(AB311=regle!$J$11,regle!$J$23,0)))))))))))</f>
        <v>0</v>
      </c>
      <c r="AM311" s="14">
        <f>IF($A311,$M311*(IF(AC311=regle!$B$11,regle!$B$23,IF(AC311=regle!$C$11,regle!$C$23,IF(AC311=regle!$D$11,regle!$D$23,IF(AC311=regle!$E$11,regle!$E$23,IF(AC311=regle!$F$11,regle!$F$23,IF(AC311=regle!$G$11,regle!$G$23,IF(AC311=regle!$H$11,regle!$H$23,IF(AC311=regle!$I$11,regle!$I$23,IF(AC311=regle!$J$11,regle!$J$23,0)))))))))))</f>
        <v>0</v>
      </c>
      <c r="AN311" s="14">
        <f>IF($A311,$M311*(IF(AD311=regle!$B$11,regle!$B$23,IF(AD311=regle!$C$11,regle!$C$23,IF(AD311=regle!$D$11,regle!$D$23,IF(AD311=regle!$E$11,regle!$E$23,IF(AD311=regle!$F$11,regle!$F$23,IF(AD311=regle!$G$11,regle!$G$23,IF(AD311=regle!$H$11,regle!$H$23,IF(AD311=regle!$I$11,regle!$I$23,IF(AD311=regle!$J$11,regle!$J$23,0)))))))))))</f>
        <v>1209.5999999999999</v>
      </c>
      <c r="AO311">
        <f>IF(AO$1=$AO$1,IF(regle!B$2-$Q311&gt;=regle!$J$12,-2,IF($S311,IF(regle!$B$2-$Q311&gt;=2,0,-1),regle!B$2-$Q311)),IF(AN311+1&gt;=regle!$J$12,-2,AN311+1))</f>
        <v>9</v>
      </c>
      <c r="AP311">
        <f>IF(AP$1=$AO$1,IF(regle!C$2-$Q311&gt;=regle!$J$12,-2,IF($S311,IF(regle!$B$2-$Q311&gt;=2,0,-1),regle!C$2-$Q311)),IF(AO311+1&gt;=regle!$J$12,-2,AO311+1))</f>
        <v>10</v>
      </c>
      <c r="AQ311">
        <f>IF(AQ$1=$AO$1,IF(regle!D$2-$Q311&gt;=regle!$J$12,-2,IF($S311,IF(regle!$B$2-$Q311&gt;=2,0,-1),regle!D$2-$Q311)),IF(AP311+1&gt;=regle!$J$12,-2,AP311+1))</f>
        <v>11</v>
      </c>
      <c r="AR311">
        <f>IF(AR$1=$AO$1,IF(regle!E$2-$Q311&gt;=regle!$J$12,-2,IF($S311,IF(regle!$B$2-$Q311&gt;=2,0,-1),regle!E$2-$Q311)),IF(AQ311+1&gt;=regle!$J$12,-2,AQ311+1))</f>
        <v>12</v>
      </c>
      <c r="AS311">
        <f>IF(AS$1=$AO$1,IF(regle!F$2-$Q311&gt;=regle!$J$12,-2,IF($S311,IF(regle!$B$2-$Q311&gt;=2,0,-1),regle!F$2-$Q311)),IF(AR311+1&gt;=regle!$J$12,-2,AR311+1))</f>
        <v>13</v>
      </c>
      <c r="AT311">
        <f>IF(AT$1=$AO$1,IF(regle!G$2-$Q311&gt;=regle!$J$12,-2,IF($S311,IF(regle!$B$2-$Q311&gt;=2,0,-1),regle!G$2-$Q311)),IF(AS311+1&gt;=regle!$J$12,-2,AS311+1))</f>
        <v>14</v>
      </c>
      <c r="AU311">
        <f>IF(AU$1=$AO$1,IF(regle!H$2-$Q311&gt;=regle!$J$12,-2,IF($S311,IF(regle!$B$2-$Q311&gt;=2,0,-1),regle!H$2-$Q311)),IF(AT311+1&gt;=regle!$J$12,-2,AT311+1))</f>
        <v>15</v>
      </c>
      <c r="AV311">
        <f>IF(AV$1=$AO$1,IF(regle!I$2-$Q311&gt;=regle!$J$12,-2,IF($S311,IF(regle!$B$2-$Q311&gt;=2,0,-1),regle!I$2-$Q311)),IF(AU311+1&gt;=regle!$J$12,-2,AU311+1))</f>
        <v>16</v>
      </c>
      <c r="AW311">
        <f>IF(AW$1=$AO$1,IF(regle!J$2-$Q311&gt;=regle!$J$12,-2,IF($S311,IF(regle!$B$2-$Q311&gt;=2,0,-1),regle!J$2-$Q311)),IF(AV311+1&gt;=regle!$J$12,-2,AV311+1))</f>
        <v>17</v>
      </c>
      <c r="AX311">
        <f>IF(AX$1=$AO$1,IF(regle!K$2-$Q311&gt;=regle!$J$12,-2,IF($S311,IF(regle!$B$2-$Q311&gt;=2,0,-1),regle!K$2-$Q311)),IF(AW311+1&gt;=regle!$J$12,-2,AW311+1))</f>
        <v>18</v>
      </c>
    </row>
    <row r="312" spans="1:50" x14ac:dyDescent="0.25">
      <c r="A312" t="b">
        <f>AND(modif0[[#This Row],[cdstr]]&lt;&gt;0,OR(regle!$H$27=FALSE,modif0[[#This Row],[essnc]]="PM"))</f>
        <v>1</v>
      </c>
      <c r="B312">
        <f>ROW(objet!A362)</f>
        <v>362</v>
      </c>
      <c r="C312" s="10" t="str">
        <f>objet!D362</f>
        <v>0770000D1381</v>
      </c>
      <c r="D312" t="str">
        <f>LEFT(modif0[[#This Row],[cdstr]],3)</f>
        <v>077</v>
      </c>
      <c r="E312" s="10" t="str">
        <f>objet!G362</f>
        <v>CABANAC-ET-VILLAGRAINS</v>
      </c>
      <c r="F312">
        <f>LEN(modif0[[#This Row],[l_dt]])</f>
        <v>10</v>
      </c>
      <c r="G312" s="10" t="str">
        <f>objet!H362</f>
        <v>CABAT MORT</v>
      </c>
      <c r="H312" s="10" t="str">
        <f>objet!C362</f>
        <v>D1381j</v>
      </c>
      <c r="I312" t="str">
        <f>IF(ISNUMBER(VALUE(RIGHT(LEFT(modif0[[#This Row],[idntfn]],2),1))),_xlfn.CONCAT(0,LEFT(modif0[[#This Row],[idntfn]],1)),LEFT(modif0[[#This Row],[idntfn]],2))</f>
        <v>0D</v>
      </c>
      <c r="J312">
        <f>VALUE(LEFT(RIGHT(modif0[[#This Row],[idntfn]],LEN(modif0[[#This Row],[idntfn]])-IF(LEFT(modif0[[#This Row],[sctn]],1)="0",1,2)),LEN(modif0[[#This Row],[idntfn]])-IF(LEFT(modif0[[#This Row],[sctn]],1)="0",1,2)-LEN(modif0[[#This Row],[lttr]])))</f>
        <v>1381</v>
      </c>
      <c r="K312" t="str">
        <f>IF(ISNUMBER(VALUE(RIGHT(modif0[[#This Row],[idntfn]],1))),"",IF(ISNUMBER(VALUE(LEFT(RIGHT(modif0[[#This Row],[idntfn]],2),1))),RIGHT(modif0[[#This Row],[idntfn]],1),RIGHT(modif0[[#This Row],[idntfn]],2)))</f>
        <v>j</v>
      </c>
      <c r="L312" s="10">
        <f>objet!I362</f>
        <v>1861</v>
      </c>
      <c r="M312" s="11">
        <f>modif0[[#This Row],[srfc]]/10000</f>
        <v>0.18609999999999999</v>
      </c>
      <c r="N312" s="10" t="str">
        <f>objet!Z362</f>
        <v>PM</v>
      </c>
      <c r="O312" s="10" t="str">
        <f>objet!AA362</f>
        <v>PLA2015</v>
      </c>
      <c r="P312" t="str">
        <f>IF(ISNUMBER(modif0[[#This Row],[trvx]]),"",LEFT(modif0[[#This Row],[trvx]],LEN(modif0[[#This Row],[trvx]])-4))</f>
        <v>PLA</v>
      </c>
      <c r="Q312">
        <f>VALUE(RIGHT(modif0[[#This Row],[trvx]],4))</f>
        <v>2015</v>
      </c>
      <c r="R312" t="str">
        <f>_xlfn.CONCAT(modif0[[#This Row],[tp]],"-",modif0[[#This Row],[essnc]],"_",modif0[[#This Row],[anns]])</f>
        <v>PLA-PM_2015</v>
      </c>
      <c r="S312" t="b">
        <f>modif0[[#This Row],[tp]]="CR"</f>
        <v>0</v>
      </c>
      <c r="T312">
        <v>40</v>
      </c>
      <c r="U312" t="str">
        <f>IF(NOT($A312),"",
IF(AO312=-2,regle!$J$11,
IF(AO312=regle!$B$12,regle!$B$11,
IF(AO312=regle!$C$12,regle!$C$11,
IF(AO312=regle!$D$12,regle!$D$11,
IF(AO312=regle!$E$12,regle!$E$11,
IF(AO312=regle!$F$12,regle!$F$11,
IF(AO312=regle!$G$12,regle!$G$11,
IF(AO312=regle!$H$12,regle!$H$11,
IF(AO312=regle!$I$12,regle!$I$11,""))))))))))</f>
        <v/>
      </c>
      <c r="V312" t="str">
        <f>IF(NOT($A312),"",
IF(AP312=-2,regle!$J$11,
IF(AP312=regle!$B$12,regle!$B$11,
IF(AP312=regle!$C$12,regle!$C$11,
IF(AP312=regle!$D$12,regle!$D$11,
IF(AP312=regle!$E$12,regle!$E$11,
IF(AP312=regle!$F$12,regle!$F$11,
IF(AP312=regle!$G$12,regle!$G$11,
IF(AP312=regle!$H$12,regle!$H$11,
IF(AP312=regle!$I$12,regle!$I$11,""))))))))))</f>
        <v/>
      </c>
      <c r="W312" t="str">
        <f>IF(NOT($A312),"",
IF(AQ312=-2,regle!$J$11,
IF(AQ312=regle!$B$12,regle!$B$11,
IF(AQ312=regle!$C$12,regle!$C$11,
IF(AQ312=regle!$D$12,regle!$D$11,
IF(AQ312=regle!$E$12,regle!$E$11,
IF(AQ312=regle!$F$12,regle!$F$11,
IF(AQ312=regle!$G$12,regle!$G$11,
IF(AQ312=regle!$H$12,regle!$H$11,
IF(AQ312=regle!$I$12,regle!$I$11,""))))))))))</f>
        <v/>
      </c>
      <c r="X312" t="str">
        <f>IF(NOT($A312),"",
IF(AR312=-2,regle!$J$11,
IF(AR312=regle!$B$12,regle!$B$11,
IF(AR312=regle!$C$12,regle!$C$11,
IF(AR312=regle!$D$12,regle!$D$11,
IF(AR312=regle!$E$12,regle!$E$11,
IF(AR312=regle!$F$12,regle!$F$11,
IF(AR312=regle!$G$12,regle!$G$11,
IF(AR312=regle!$H$12,regle!$H$11,
IF(AR312=regle!$I$12,regle!$I$11,""))))))))))</f>
        <v/>
      </c>
      <c r="Y312" t="str">
        <f>IF(NOT($A312),"",
IF(AS312=-2,regle!$J$11,
IF(AS312=regle!$B$12,regle!$B$11,
IF(AS312=regle!$C$12,regle!$C$11,
IF(AS312=regle!$D$12,regle!$D$11,
IF(AS312=regle!$E$12,regle!$E$11,
IF(AS312=regle!$F$12,regle!$F$11,
IF(AS312=regle!$G$12,regle!$G$11,
IF(AS312=regle!$H$12,regle!$H$11,
IF(AS312=regle!$I$12,regle!$I$11,""))))))))))</f>
        <v>EC1</v>
      </c>
      <c r="Z312" t="str">
        <f>IF(NOT($A312),"",
IF(AT312=-2,regle!$J$11,
IF(AT312=regle!$B$12,regle!$B$11,
IF(AT312=regle!$C$12,regle!$C$11,
IF(AT312=regle!$D$12,regle!$D$11,
IF(AT312=regle!$E$12,regle!$E$11,
IF(AT312=regle!$F$12,regle!$F$11,
IF(AT312=regle!$G$12,regle!$G$11,
IF(AT312=regle!$H$12,regle!$H$11,
IF(AT312=regle!$I$12,regle!$I$11,""))))))))))</f>
        <v/>
      </c>
      <c r="AA312" t="str">
        <f>IF(NOT($A312),"",
IF(AU312=-2,regle!$J$11,
IF(AU312=regle!$B$12,regle!$B$11,
IF(AU312=regle!$C$12,regle!$C$11,
IF(AU312=regle!$D$12,regle!$D$11,
IF(AU312=regle!$E$12,regle!$E$11,
IF(AU312=regle!$F$12,regle!$F$11,
IF(AU312=regle!$G$12,regle!$G$11,
IF(AU312=regle!$H$12,regle!$H$11,
IF(AU312=regle!$I$12,regle!$I$11,""))))))))))</f>
        <v/>
      </c>
      <c r="AB312" t="str">
        <f>IF(NOT($A312),"",
IF(AV312=-2,regle!$J$11,
IF(AV312=regle!$B$12,regle!$B$11,
IF(AV312=regle!$C$12,regle!$C$11,
IF(AV312=regle!$D$12,regle!$D$11,
IF(AV312=regle!$E$12,regle!$E$11,
IF(AV312=regle!$F$12,regle!$F$11,
IF(AV312=regle!$G$12,regle!$G$11,
IF(AV312=regle!$H$12,regle!$H$11,
IF(AV312=regle!$I$12,regle!$I$11,""))))))))))</f>
        <v/>
      </c>
      <c r="AC312" t="str">
        <f>IF(NOT($A312),"",
IF(AW312=-2,regle!$J$11,
IF(AW312=regle!$B$12,regle!$B$11,
IF(AW312=regle!$C$12,regle!$C$11,
IF(AW312=regle!$D$12,regle!$D$11,
IF(AW312=regle!$E$12,regle!$E$11,
IF(AW312=regle!$F$12,regle!$F$11,
IF(AW312=regle!$G$12,regle!$G$11,
IF(AW312=regle!$H$12,regle!$H$11,
IF(AW312=regle!$I$12,regle!$I$11,""))))))))))</f>
        <v/>
      </c>
      <c r="AD312" t="str">
        <f>IF(NOT($A312),"",
IF(AX312=-2,regle!$J$11,
IF(AX312=regle!$B$12,regle!$B$11,
IF(AX312=regle!$C$12,regle!$C$11,
IF(AX312=regle!$D$12,regle!$D$11,
IF(AX312=regle!$E$12,regle!$E$11,
IF(AX312=regle!$F$12,regle!$F$11,
IF(AX312=regle!$G$12,regle!$G$11,
IF(AX312=regle!$H$12,regle!$H$11,
IF(AX312=regle!$I$12,regle!$I$11,""))))))))))</f>
        <v>EC2</v>
      </c>
      <c r="AE312" s="14">
        <f>IF($A312,$M312*(IF(U312=regle!$B$11,regle!$B$23,IF(U312=regle!$C$11,regle!$C$23,IF(U312=regle!$D$11,regle!$D$23,IF(U312=regle!$E$11,regle!$E$23,IF(U312=regle!$F$11,regle!$F$23,IF(U312=regle!$G$11,regle!$G$23,IF(U312=regle!$H$11,regle!$H$23,IF(U312=regle!$I$11,regle!$I$23,IF(U312=regle!$J$11,regle!$J$23,0)))))))))))</f>
        <v>0</v>
      </c>
      <c r="AF312" s="14">
        <f>IF($A312,$M312*(IF(V312=regle!$B$11,regle!$B$23,IF(V312=regle!$C$11,regle!$C$23,IF(V312=regle!$D$11,regle!$D$23,IF(V312=regle!$E$11,regle!$E$23,IF(V312=regle!$F$11,regle!$F$23,IF(V312=regle!$G$11,regle!$G$23,IF(V312=regle!$H$11,regle!$H$23,IF(V312=regle!$I$11,regle!$I$23,IF(V312=regle!$J$11,regle!$J$23,0)))))))))))</f>
        <v>0</v>
      </c>
      <c r="AG312" s="14">
        <f>IF($A312,$M312*(IF(W312=regle!$B$11,regle!$B$23,IF(W312=regle!$C$11,regle!$C$23,IF(W312=regle!$D$11,regle!$D$23,IF(W312=regle!$E$11,regle!$E$23,IF(W312=regle!$F$11,regle!$F$23,IF(W312=regle!$G$11,regle!$G$23,IF(W312=regle!$H$11,regle!$H$23,IF(W312=regle!$I$11,regle!$I$23,IF(W312=regle!$J$11,regle!$J$23,0)))))))))))</f>
        <v>0</v>
      </c>
      <c r="AH312" s="14">
        <f>IF($A312,$M312*(IF(X312=regle!$B$11,regle!$B$23,IF(X312=regle!$C$11,regle!$C$23,IF(X312=regle!$D$11,regle!$D$23,IF(X312=regle!$E$11,regle!$E$23,IF(X312=regle!$F$11,regle!$F$23,IF(X312=regle!$G$11,regle!$G$23,IF(X312=regle!$H$11,regle!$H$23,IF(X312=regle!$I$11,regle!$I$23,IF(X312=regle!$J$11,regle!$J$23,0)))))))))))</f>
        <v>0</v>
      </c>
      <c r="AI312" s="14">
        <f>IF($A312,$M312*(IF(Y312=regle!$B$11,regle!$B$23,IF(Y312=regle!$C$11,regle!$C$23,IF(Y312=regle!$D$11,regle!$D$23,IF(Y312=regle!$E$11,regle!$E$23,IF(Y312=regle!$F$11,regle!$F$23,IF(Y312=regle!$G$11,regle!$G$23,IF(Y312=regle!$H$11,regle!$H$23,IF(Y312=regle!$I$11,regle!$I$23,IF(Y312=regle!$J$11,regle!$J$23,0)))))))))))</f>
        <v>107.19359999999999</v>
      </c>
      <c r="AJ312" s="14">
        <f>IF($A312,$M312*(IF(Z312=regle!$B$11,regle!$B$23,IF(Z312=regle!$C$11,regle!$C$23,IF(Z312=regle!$D$11,regle!$D$23,IF(Z312=regle!$E$11,regle!$E$23,IF(Z312=regle!$F$11,regle!$F$23,IF(Z312=regle!$G$11,regle!$G$23,IF(Z312=regle!$H$11,regle!$H$23,IF(Z312=regle!$I$11,regle!$I$23,IF(Z312=regle!$J$11,regle!$J$23,0)))))))))))</f>
        <v>0</v>
      </c>
      <c r="AK312" s="14">
        <f>IF($A312,$M312*(IF(AA312=regle!$B$11,regle!$B$23,IF(AA312=regle!$C$11,regle!$C$23,IF(AA312=regle!$D$11,regle!$D$23,IF(AA312=regle!$E$11,regle!$E$23,IF(AA312=regle!$F$11,regle!$F$23,IF(AA312=regle!$G$11,regle!$G$23,IF(AA312=regle!$H$11,regle!$H$23,IF(AA312=regle!$I$11,regle!$I$23,IF(AA312=regle!$J$11,regle!$J$23,0)))))))))))</f>
        <v>0</v>
      </c>
      <c r="AL312" s="14">
        <f>IF($A312,$M312*(IF(AB312=regle!$B$11,regle!$B$23,IF(AB312=regle!$C$11,regle!$C$23,IF(AB312=regle!$D$11,regle!$D$23,IF(AB312=regle!$E$11,regle!$E$23,IF(AB312=regle!$F$11,regle!$F$23,IF(AB312=regle!$G$11,regle!$G$23,IF(AB312=regle!$H$11,regle!$H$23,IF(AB312=regle!$I$11,regle!$I$23,IF(AB312=regle!$J$11,regle!$J$23,0)))))))))))</f>
        <v>0</v>
      </c>
      <c r="AM312" s="14">
        <f>IF($A312,$M312*(IF(AC312=regle!$B$11,regle!$B$23,IF(AC312=regle!$C$11,regle!$C$23,IF(AC312=regle!$D$11,regle!$D$23,IF(AC312=regle!$E$11,regle!$E$23,IF(AC312=regle!$F$11,regle!$F$23,IF(AC312=regle!$G$11,regle!$G$23,IF(AC312=regle!$H$11,regle!$H$23,IF(AC312=regle!$I$11,regle!$I$23,IF(AC312=regle!$J$11,regle!$J$23,0)))))))))))</f>
        <v>0</v>
      </c>
      <c r="AN312" s="14">
        <f>IF($A312,$M312*(IF(AD312=regle!$B$11,regle!$B$23,IF(AD312=regle!$C$11,regle!$C$23,IF(AD312=regle!$D$11,regle!$D$23,IF(AD312=regle!$E$11,regle!$E$23,IF(AD312=regle!$F$11,regle!$F$23,IF(AD312=regle!$G$11,regle!$G$23,IF(AD312=regle!$H$11,regle!$H$23,IF(AD312=regle!$I$11,regle!$I$23,IF(AD312=regle!$J$11,regle!$J$23,0)))))))))))</f>
        <v>156.32399999999998</v>
      </c>
      <c r="AO312">
        <f>IF(AO$1=$AO$1,IF(regle!B$2-$Q312&gt;=regle!$J$12,-2,IF($S312,IF(regle!$B$2-$Q312&gt;=2,0,-1),regle!B$2-$Q312)),IF(AN312+1&gt;=regle!$J$12,-2,AN312+1))</f>
        <v>9</v>
      </c>
      <c r="AP312">
        <f>IF(AP$1=$AO$1,IF(regle!C$2-$Q312&gt;=regle!$J$12,-2,IF($S312,IF(regle!$B$2-$Q312&gt;=2,0,-1),regle!C$2-$Q312)),IF(AO312+1&gt;=regle!$J$12,-2,AO312+1))</f>
        <v>10</v>
      </c>
      <c r="AQ312">
        <f>IF(AQ$1=$AO$1,IF(regle!D$2-$Q312&gt;=regle!$J$12,-2,IF($S312,IF(regle!$B$2-$Q312&gt;=2,0,-1),regle!D$2-$Q312)),IF(AP312+1&gt;=regle!$J$12,-2,AP312+1))</f>
        <v>11</v>
      </c>
      <c r="AR312">
        <f>IF(AR$1=$AO$1,IF(regle!E$2-$Q312&gt;=regle!$J$12,-2,IF($S312,IF(regle!$B$2-$Q312&gt;=2,0,-1),regle!E$2-$Q312)),IF(AQ312+1&gt;=regle!$J$12,-2,AQ312+1))</f>
        <v>12</v>
      </c>
      <c r="AS312">
        <f>IF(AS$1=$AO$1,IF(regle!F$2-$Q312&gt;=regle!$J$12,-2,IF($S312,IF(regle!$B$2-$Q312&gt;=2,0,-1),regle!F$2-$Q312)),IF(AR312+1&gt;=regle!$J$12,-2,AR312+1))</f>
        <v>13</v>
      </c>
      <c r="AT312">
        <f>IF(AT$1=$AO$1,IF(regle!G$2-$Q312&gt;=regle!$J$12,-2,IF($S312,IF(regle!$B$2-$Q312&gt;=2,0,-1),regle!G$2-$Q312)),IF(AS312+1&gt;=regle!$J$12,-2,AS312+1))</f>
        <v>14</v>
      </c>
      <c r="AU312">
        <f>IF(AU$1=$AO$1,IF(regle!H$2-$Q312&gt;=regle!$J$12,-2,IF($S312,IF(regle!$B$2-$Q312&gt;=2,0,-1),regle!H$2-$Q312)),IF(AT312+1&gt;=regle!$J$12,-2,AT312+1))</f>
        <v>15</v>
      </c>
      <c r="AV312">
        <f>IF(AV$1=$AO$1,IF(regle!I$2-$Q312&gt;=regle!$J$12,-2,IF($S312,IF(regle!$B$2-$Q312&gt;=2,0,-1),regle!I$2-$Q312)),IF(AU312+1&gt;=regle!$J$12,-2,AU312+1))</f>
        <v>16</v>
      </c>
      <c r="AW312">
        <f>IF(AW$1=$AO$1,IF(regle!J$2-$Q312&gt;=regle!$J$12,-2,IF($S312,IF(regle!$B$2-$Q312&gt;=2,0,-1),regle!J$2-$Q312)),IF(AV312+1&gt;=regle!$J$12,-2,AV312+1))</f>
        <v>17</v>
      </c>
      <c r="AX312">
        <f>IF(AX$1=$AO$1,IF(regle!K$2-$Q312&gt;=regle!$J$12,-2,IF($S312,IF(regle!$B$2-$Q312&gt;=2,0,-1),regle!K$2-$Q312)),IF(AW312+1&gt;=regle!$J$12,-2,AW312+1))</f>
        <v>18</v>
      </c>
    </row>
    <row r="313" spans="1:50" x14ac:dyDescent="0.25">
      <c r="A313" t="b">
        <f>AND(modif0[[#This Row],[cdstr]]&lt;&gt;0,OR(regle!$H$27=FALSE,modif0[[#This Row],[essnc]]="PM"))</f>
        <v>1</v>
      </c>
      <c r="B313">
        <f>ROW(objet!A363)</f>
        <v>363</v>
      </c>
      <c r="C313" s="10" t="str">
        <f>objet!D363</f>
        <v>0770000D1381</v>
      </c>
      <c r="D313" t="str">
        <f>LEFT(modif0[[#This Row],[cdstr]],3)</f>
        <v>077</v>
      </c>
      <c r="E313" s="10" t="str">
        <f>objet!G363</f>
        <v>CABANAC-ET-VILLAGRAINS</v>
      </c>
      <c r="F313">
        <f>LEN(modif0[[#This Row],[l_dt]])</f>
        <v>10</v>
      </c>
      <c r="G313" s="10" t="str">
        <f>objet!H363</f>
        <v>CABAT MORT</v>
      </c>
      <c r="H313" s="10" t="str">
        <f>objet!C363</f>
        <v>D1381k</v>
      </c>
      <c r="I313" t="str">
        <f>IF(ISNUMBER(VALUE(RIGHT(LEFT(modif0[[#This Row],[idntfn]],2),1))),_xlfn.CONCAT(0,LEFT(modif0[[#This Row],[idntfn]],1)),LEFT(modif0[[#This Row],[idntfn]],2))</f>
        <v>0D</v>
      </c>
      <c r="J313">
        <f>VALUE(LEFT(RIGHT(modif0[[#This Row],[idntfn]],LEN(modif0[[#This Row],[idntfn]])-IF(LEFT(modif0[[#This Row],[sctn]],1)="0",1,2)),LEN(modif0[[#This Row],[idntfn]])-IF(LEFT(modif0[[#This Row],[sctn]],1)="0",1,2)-LEN(modif0[[#This Row],[lttr]])))</f>
        <v>1381</v>
      </c>
      <c r="K313" t="str">
        <f>IF(ISNUMBER(VALUE(RIGHT(modif0[[#This Row],[idntfn]],1))),"",IF(ISNUMBER(VALUE(LEFT(RIGHT(modif0[[#This Row],[idntfn]],2),1))),RIGHT(modif0[[#This Row],[idntfn]],1),RIGHT(modif0[[#This Row],[idntfn]],2)))</f>
        <v>k</v>
      </c>
      <c r="L313" s="10">
        <f>objet!I363</f>
        <v>18059</v>
      </c>
      <c r="M313" s="11">
        <f>modif0[[#This Row],[srfc]]/10000</f>
        <v>1.8059000000000001</v>
      </c>
      <c r="N313" s="10" t="str">
        <f>objet!Z363</f>
        <v>PM</v>
      </c>
      <c r="O313" s="10" t="str">
        <f>objet!AA363</f>
        <v>PLA2015</v>
      </c>
      <c r="P313" t="str">
        <f>IF(ISNUMBER(modif0[[#This Row],[trvx]]),"",LEFT(modif0[[#This Row],[trvx]],LEN(modif0[[#This Row],[trvx]])-4))</f>
        <v>PLA</v>
      </c>
      <c r="Q313">
        <f>VALUE(RIGHT(modif0[[#This Row],[trvx]],4))</f>
        <v>2015</v>
      </c>
      <c r="R313" t="str">
        <f>_xlfn.CONCAT(modif0[[#This Row],[tp]],"-",modif0[[#This Row],[essnc]],"_",modif0[[#This Row],[anns]])</f>
        <v>PLA-PM_2015</v>
      </c>
      <c r="S313" t="b">
        <f>modif0[[#This Row],[tp]]="CR"</f>
        <v>0</v>
      </c>
      <c r="T313">
        <v>40</v>
      </c>
      <c r="U313" t="str">
        <f>IF(NOT($A313),"",
IF(AO313=-2,regle!$J$11,
IF(AO313=regle!$B$12,regle!$B$11,
IF(AO313=regle!$C$12,regle!$C$11,
IF(AO313=regle!$D$12,regle!$D$11,
IF(AO313=regle!$E$12,regle!$E$11,
IF(AO313=regle!$F$12,regle!$F$11,
IF(AO313=regle!$G$12,regle!$G$11,
IF(AO313=regle!$H$12,regle!$H$11,
IF(AO313=regle!$I$12,regle!$I$11,""))))))))))</f>
        <v/>
      </c>
      <c r="V313" t="str">
        <f>IF(NOT($A313),"",
IF(AP313=-2,regle!$J$11,
IF(AP313=regle!$B$12,regle!$B$11,
IF(AP313=regle!$C$12,regle!$C$11,
IF(AP313=regle!$D$12,regle!$D$11,
IF(AP313=regle!$E$12,regle!$E$11,
IF(AP313=regle!$F$12,regle!$F$11,
IF(AP313=regle!$G$12,regle!$G$11,
IF(AP313=regle!$H$12,regle!$H$11,
IF(AP313=regle!$I$12,regle!$I$11,""))))))))))</f>
        <v/>
      </c>
      <c r="W313" t="str">
        <f>IF(NOT($A313),"",
IF(AQ313=-2,regle!$J$11,
IF(AQ313=regle!$B$12,regle!$B$11,
IF(AQ313=regle!$C$12,regle!$C$11,
IF(AQ313=regle!$D$12,regle!$D$11,
IF(AQ313=regle!$E$12,regle!$E$11,
IF(AQ313=regle!$F$12,regle!$F$11,
IF(AQ313=regle!$G$12,regle!$G$11,
IF(AQ313=regle!$H$12,regle!$H$11,
IF(AQ313=regle!$I$12,regle!$I$11,""))))))))))</f>
        <v/>
      </c>
      <c r="X313" t="str">
        <f>IF(NOT($A313),"",
IF(AR313=-2,regle!$J$11,
IF(AR313=regle!$B$12,regle!$B$11,
IF(AR313=regle!$C$12,regle!$C$11,
IF(AR313=regle!$D$12,regle!$D$11,
IF(AR313=regle!$E$12,regle!$E$11,
IF(AR313=regle!$F$12,regle!$F$11,
IF(AR313=regle!$G$12,regle!$G$11,
IF(AR313=regle!$H$12,regle!$H$11,
IF(AR313=regle!$I$12,regle!$I$11,""))))))))))</f>
        <v/>
      </c>
      <c r="Y313" t="str">
        <f>IF(NOT($A313),"",
IF(AS313=-2,regle!$J$11,
IF(AS313=regle!$B$12,regle!$B$11,
IF(AS313=regle!$C$12,regle!$C$11,
IF(AS313=regle!$D$12,regle!$D$11,
IF(AS313=regle!$E$12,regle!$E$11,
IF(AS313=regle!$F$12,regle!$F$11,
IF(AS313=regle!$G$12,regle!$G$11,
IF(AS313=regle!$H$12,regle!$H$11,
IF(AS313=regle!$I$12,regle!$I$11,""))))))))))</f>
        <v>EC1</v>
      </c>
      <c r="Z313" t="str">
        <f>IF(NOT($A313),"",
IF(AT313=-2,regle!$J$11,
IF(AT313=regle!$B$12,regle!$B$11,
IF(AT313=regle!$C$12,regle!$C$11,
IF(AT313=regle!$D$12,regle!$D$11,
IF(AT313=regle!$E$12,regle!$E$11,
IF(AT313=regle!$F$12,regle!$F$11,
IF(AT313=regle!$G$12,regle!$G$11,
IF(AT313=regle!$H$12,regle!$H$11,
IF(AT313=regle!$I$12,regle!$I$11,""))))))))))</f>
        <v/>
      </c>
      <c r="AA313" t="str">
        <f>IF(NOT($A313),"",
IF(AU313=-2,regle!$J$11,
IF(AU313=regle!$B$12,regle!$B$11,
IF(AU313=regle!$C$12,regle!$C$11,
IF(AU313=regle!$D$12,regle!$D$11,
IF(AU313=regle!$E$12,regle!$E$11,
IF(AU313=regle!$F$12,regle!$F$11,
IF(AU313=regle!$G$12,regle!$G$11,
IF(AU313=regle!$H$12,regle!$H$11,
IF(AU313=regle!$I$12,regle!$I$11,""))))))))))</f>
        <v/>
      </c>
      <c r="AB313" t="str">
        <f>IF(NOT($A313),"",
IF(AV313=-2,regle!$J$11,
IF(AV313=regle!$B$12,regle!$B$11,
IF(AV313=regle!$C$12,regle!$C$11,
IF(AV313=regle!$D$12,regle!$D$11,
IF(AV313=regle!$E$12,regle!$E$11,
IF(AV313=regle!$F$12,regle!$F$11,
IF(AV313=regle!$G$12,regle!$G$11,
IF(AV313=regle!$H$12,regle!$H$11,
IF(AV313=regle!$I$12,regle!$I$11,""))))))))))</f>
        <v/>
      </c>
      <c r="AC313" t="str">
        <f>IF(NOT($A313),"",
IF(AW313=-2,regle!$J$11,
IF(AW313=regle!$B$12,regle!$B$11,
IF(AW313=regle!$C$12,regle!$C$11,
IF(AW313=regle!$D$12,regle!$D$11,
IF(AW313=regle!$E$12,regle!$E$11,
IF(AW313=regle!$F$12,regle!$F$11,
IF(AW313=regle!$G$12,regle!$G$11,
IF(AW313=regle!$H$12,regle!$H$11,
IF(AW313=regle!$I$12,regle!$I$11,""))))))))))</f>
        <v/>
      </c>
      <c r="AD313" t="str">
        <f>IF(NOT($A313),"",
IF(AX313=-2,regle!$J$11,
IF(AX313=regle!$B$12,regle!$B$11,
IF(AX313=regle!$C$12,regle!$C$11,
IF(AX313=regle!$D$12,regle!$D$11,
IF(AX313=regle!$E$12,regle!$E$11,
IF(AX313=regle!$F$12,regle!$F$11,
IF(AX313=regle!$G$12,regle!$G$11,
IF(AX313=regle!$H$12,regle!$H$11,
IF(AX313=regle!$I$12,regle!$I$11,""))))))))))</f>
        <v>EC2</v>
      </c>
      <c r="AE313" s="14">
        <f>IF($A313,$M313*(IF(U313=regle!$B$11,regle!$B$23,IF(U313=regle!$C$11,regle!$C$23,IF(U313=regle!$D$11,regle!$D$23,IF(U313=regle!$E$11,regle!$E$23,IF(U313=regle!$F$11,regle!$F$23,IF(U313=regle!$G$11,regle!$G$23,IF(U313=regle!$H$11,regle!$H$23,IF(U313=regle!$I$11,regle!$I$23,IF(U313=regle!$J$11,regle!$J$23,0)))))))))))</f>
        <v>0</v>
      </c>
      <c r="AF313" s="14">
        <f>IF($A313,$M313*(IF(V313=regle!$B$11,regle!$B$23,IF(V313=regle!$C$11,regle!$C$23,IF(V313=regle!$D$11,regle!$D$23,IF(V313=regle!$E$11,regle!$E$23,IF(V313=regle!$F$11,regle!$F$23,IF(V313=regle!$G$11,regle!$G$23,IF(V313=regle!$H$11,regle!$H$23,IF(V313=regle!$I$11,regle!$I$23,IF(V313=regle!$J$11,regle!$J$23,0)))))))))))</f>
        <v>0</v>
      </c>
      <c r="AG313" s="14">
        <f>IF($A313,$M313*(IF(W313=regle!$B$11,regle!$B$23,IF(W313=regle!$C$11,regle!$C$23,IF(W313=regle!$D$11,regle!$D$23,IF(W313=regle!$E$11,regle!$E$23,IF(W313=regle!$F$11,regle!$F$23,IF(W313=regle!$G$11,regle!$G$23,IF(W313=regle!$H$11,regle!$H$23,IF(W313=regle!$I$11,regle!$I$23,IF(W313=regle!$J$11,regle!$J$23,0)))))))))))</f>
        <v>0</v>
      </c>
      <c r="AH313" s="14">
        <f>IF($A313,$M313*(IF(X313=regle!$B$11,regle!$B$23,IF(X313=regle!$C$11,regle!$C$23,IF(X313=regle!$D$11,regle!$D$23,IF(X313=regle!$E$11,regle!$E$23,IF(X313=regle!$F$11,regle!$F$23,IF(X313=regle!$G$11,regle!$G$23,IF(X313=regle!$H$11,regle!$H$23,IF(X313=regle!$I$11,regle!$I$23,IF(X313=regle!$J$11,regle!$J$23,0)))))))))))</f>
        <v>0</v>
      </c>
      <c r="AI313" s="14">
        <f>IF($A313,$M313*(IF(Y313=regle!$B$11,regle!$B$23,IF(Y313=regle!$C$11,regle!$C$23,IF(Y313=regle!$D$11,regle!$D$23,IF(Y313=regle!$E$11,regle!$E$23,IF(Y313=regle!$F$11,regle!$F$23,IF(Y313=regle!$G$11,regle!$G$23,IF(Y313=regle!$H$11,regle!$H$23,IF(Y313=regle!$I$11,regle!$I$23,IF(Y313=regle!$J$11,regle!$J$23,0)))))))))))</f>
        <v>1040.1984</v>
      </c>
      <c r="AJ313" s="14">
        <f>IF($A313,$M313*(IF(Z313=regle!$B$11,regle!$B$23,IF(Z313=regle!$C$11,regle!$C$23,IF(Z313=regle!$D$11,regle!$D$23,IF(Z313=regle!$E$11,regle!$E$23,IF(Z313=regle!$F$11,regle!$F$23,IF(Z313=regle!$G$11,regle!$G$23,IF(Z313=regle!$H$11,regle!$H$23,IF(Z313=regle!$I$11,regle!$I$23,IF(Z313=regle!$J$11,regle!$J$23,0)))))))))))</f>
        <v>0</v>
      </c>
      <c r="AK313" s="14">
        <f>IF($A313,$M313*(IF(AA313=regle!$B$11,regle!$B$23,IF(AA313=regle!$C$11,regle!$C$23,IF(AA313=regle!$D$11,regle!$D$23,IF(AA313=regle!$E$11,regle!$E$23,IF(AA313=regle!$F$11,regle!$F$23,IF(AA313=regle!$G$11,regle!$G$23,IF(AA313=regle!$H$11,regle!$H$23,IF(AA313=regle!$I$11,regle!$I$23,IF(AA313=regle!$J$11,regle!$J$23,0)))))))))))</f>
        <v>0</v>
      </c>
      <c r="AL313" s="14">
        <f>IF($A313,$M313*(IF(AB313=regle!$B$11,regle!$B$23,IF(AB313=regle!$C$11,regle!$C$23,IF(AB313=regle!$D$11,regle!$D$23,IF(AB313=regle!$E$11,regle!$E$23,IF(AB313=regle!$F$11,regle!$F$23,IF(AB313=regle!$G$11,regle!$G$23,IF(AB313=regle!$H$11,regle!$H$23,IF(AB313=regle!$I$11,regle!$I$23,IF(AB313=regle!$J$11,regle!$J$23,0)))))))))))</f>
        <v>0</v>
      </c>
      <c r="AM313" s="14">
        <f>IF($A313,$M313*(IF(AC313=regle!$B$11,regle!$B$23,IF(AC313=regle!$C$11,regle!$C$23,IF(AC313=regle!$D$11,regle!$D$23,IF(AC313=regle!$E$11,regle!$E$23,IF(AC313=regle!$F$11,regle!$F$23,IF(AC313=regle!$G$11,regle!$G$23,IF(AC313=regle!$H$11,regle!$H$23,IF(AC313=regle!$I$11,regle!$I$23,IF(AC313=regle!$J$11,regle!$J$23,0)))))))))))</f>
        <v>0</v>
      </c>
      <c r="AN313" s="14">
        <f>IF($A313,$M313*(IF(AD313=regle!$B$11,regle!$B$23,IF(AD313=regle!$C$11,regle!$C$23,IF(AD313=regle!$D$11,regle!$D$23,IF(AD313=regle!$E$11,regle!$E$23,IF(AD313=regle!$F$11,regle!$F$23,IF(AD313=regle!$G$11,regle!$G$23,IF(AD313=regle!$H$11,regle!$H$23,IF(AD313=regle!$I$11,regle!$I$23,IF(AD313=regle!$J$11,regle!$J$23,0)))))))))))</f>
        <v>1516.9560000000001</v>
      </c>
      <c r="AO313">
        <f>IF(AO$1=$AO$1,IF(regle!B$2-$Q313&gt;=regle!$J$12,-2,IF($S313,IF(regle!$B$2-$Q313&gt;=2,0,-1),regle!B$2-$Q313)),IF(AN313+1&gt;=regle!$J$12,-2,AN313+1))</f>
        <v>9</v>
      </c>
      <c r="AP313">
        <f>IF(AP$1=$AO$1,IF(regle!C$2-$Q313&gt;=regle!$J$12,-2,IF($S313,IF(regle!$B$2-$Q313&gt;=2,0,-1),regle!C$2-$Q313)),IF(AO313+1&gt;=regle!$J$12,-2,AO313+1))</f>
        <v>10</v>
      </c>
      <c r="AQ313">
        <f>IF(AQ$1=$AO$1,IF(regle!D$2-$Q313&gt;=regle!$J$12,-2,IF($S313,IF(regle!$B$2-$Q313&gt;=2,0,-1),regle!D$2-$Q313)),IF(AP313+1&gt;=regle!$J$12,-2,AP313+1))</f>
        <v>11</v>
      </c>
      <c r="AR313">
        <f>IF(AR$1=$AO$1,IF(regle!E$2-$Q313&gt;=regle!$J$12,-2,IF($S313,IF(regle!$B$2-$Q313&gt;=2,0,-1),regle!E$2-$Q313)),IF(AQ313+1&gt;=regle!$J$12,-2,AQ313+1))</f>
        <v>12</v>
      </c>
      <c r="AS313">
        <f>IF(AS$1=$AO$1,IF(regle!F$2-$Q313&gt;=regle!$J$12,-2,IF($S313,IF(regle!$B$2-$Q313&gt;=2,0,-1),regle!F$2-$Q313)),IF(AR313+1&gt;=regle!$J$12,-2,AR313+1))</f>
        <v>13</v>
      </c>
      <c r="AT313">
        <f>IF(AT$1=$AO$1,IF(regle!G$2-$Q313&gt;=regle!$J$12,-2,IF($S313,IF(regle!$B$2-$Q313&gt;=2,0,-1),regle!G$2-$Q313)),IF(AS313+1&gt;=regle!$J$12,-2,AS313+1))</f>
        <v>14</v>
      </c>
      <c r="AU313">
        <f>IF(AU$1=$AO$1,IF(regle!H$2-$Q313&gt;=regle!$J$12,-2,IF($S313,IF(regle!$B$2-$Q313&gt;=2,0,-1),regle!H$2-$Q313)),IF(AT313+1&gt;=regle!$J$12,-2,AT313+1))</f>
        <v>15</v>
      </c>
      <c r="AV313">
        <f>IF(AV$1=$AO$1,IF(regle!I$2-$Q313&gt;=regle!$J$12,-2,IF($S313,IF(regle!$B$2-$Q313&gt;=2,0,-1),regle!I$2-$Q313)),IF(AU313+1&gt;=regle!$J$12,-2,AU313+1))</f>
        <v>16</v>
      </c>
      <c r="AW313">
        <f>IF(AW$1=$AO$1,IF(regle!J$2-$Q313&gt;=regle!$J$12,-2,IF($S313,IF(regle!$B$2-$Q313&gt;=2,0,-1),regle!J$2-$Q313)),IF(AV313+1&gt;=regle!$J$12,-2,AV313+1))</f>
        <v>17</v>
      </c>
      <c r="AX313">
        <f>IF(AX$1=$AO$1,IF(regle!K$2-$Q313&gt;=regle!$J$12,-2,IF($S313,IF(regle!$B$2-$Q313&gt;=2,0,-1),regle!K$2-$Q313)),IF(AW313+1&gt;=regle!$J$12,-2,AW313+1))</f>
        <v>18</v>
      </c>
    </row>
    <row r="314" spans="1:50" x14ac:dyDescent="0.25">
      <c r="A314" t="b">
        <f>AND(modif0[[#This Row],[cdstr]]&lt;&gt;0,OR(regle!$H$27=FALSE,modif0[[#This Row],[essnc]]="PM"))</f>
        <v>1</v>
      </c>
      <c r="B314">
        <f>ROW(objet!A364)</f>
        <v>364</v>
      </c>
      <c r="C314" s="10" t="str">
        <f>objet!D364</f>
        <v>0770000D1389</v>
      </c>
      <c r="D314" t="str">
        <f>LEFT(modif0[[#This Row],[cdstr]],3)</f>
        <v>077</v>
      </c>
      <c r="E314" s="10" t="str">
        <f>objet!G364</f>
        <v>CABANAC-ET-VILLAGRAINS</v>
      </c>
      <c r="F314">
        <f>LEN(modif0[[#This Row],[l_dt]])</f>
        <v>13</v>
      </c>
      <c r="G314" s="10" t="str">
        <f>objet!H364</f>
        <v>LAGUNE LONGUE</v>
      </c>
      <c r="H314" s="10" t="str">
        <f>objet!C364</f>
        <v>D1389j</v>
      </c>
      <c r="I314" t="str">
        <f>IF(ISNUMBER(VALUE(RIGHT(LEFT(modif0[[#This Row],[idntfn]],2),1))),_xlfn.CONCAT(0,LEFT(modif0[[#This Row],[idntfn]],1)),LEFT(modif0[[#This Row],[idntfn]],2))</f>
        <v>0D</v>
      </c>
      <c r="J314">
        <f>VALUE(LEFT(RIGHT(modif0[[#This Row],[idntfn]],LEN(modif0[[#This Row],[idntfn]])-IF(LEFT(modif0[[#This Row],[sctn]],1)="0",1,2)),LEN(modif0[[#This Row],[idntfn]])-IF(LEFT(modif0[[#This Row],[sctn]],1)="0",1,2)-LEN(modif0[[#This Row],[lttr]])))</f>
        <v>1389</v>
      </c>
      <c r="K314" t="str">
        <f>IF(ISNUMBER(VALUE(RIGHT(modif0[[#This Row],[idntfn]],1))),"",IF(ISNUMBER(VALUE(LEFT(RIGHT(modif0[[#This Row],[idntfn]],2),1))),RIGHT(modif0[[#This Row],[idntfn]],1),RIGHT(modif0[[#This Row],[idntfn]],2)))</f>
        <v>j</v>
      </c>
      <c r="L314" s="10">
        <f>objet!I364</f>
        <v>61001</v>
      </c>
      <c r="M314" s="11">
        <f>modif0[[#This Row],[srfc]]/10000</f>
        <v>6.1001000000000003</v>
      </c>
      <c r="N314" s="10" t="str">
        <f>objet!Z364</f>
        <v>PM</v>
      </c>
      <c r="O314" s="10" t="str">
        <f>objet!AA364</f>
        <v>PLA2019</v>
      </c>
      <c r="P314" t="str">
        <f>IF(ISNUMBER(modif0[[#This Row],[trvx]]),"",LEFT(modif0[[#This Row],[trvx]],LEN(modif0[[#This Row],[trvx]])-4))</f>
        <v>PLA</v>
      </c>
      <c r="Q314">
        <f>VALUE(RIGHT(modif0[[#This Row],[trvx]],4))</f>
        <v>2019</v>
      </c>
      <c r="R314" t="str">
        <f>_xlfn.CONCAT(modif0[[#This Row],[tp]],"-",modif0[[#This Row],[essnc]],"_",modif0[[#This Row],[anns]])</f>
        <v>PLA-PM_2019</v>
      </c>
      <c r="S314" t="b">
        <f>modif0[[#This Row],[tp]]="CR"</f>
        <v>0</v>
      </c>
      <c r="T314">
        <v>40</v>
      </c>
      <c r="U314" t="str">
        <f>IF(NOT($A314),"",
IF(AO314=-2,regle!$J$11,
IF(AO314=regle!$B$12,regle!$B$11,
IF(AO314=regle!$C$12,regle!$C$11,
IF(AO314=regle!$D$12,regle!$D$11,
IF(AO314=regle!$E$12,regle!$E$11,
IF(AO314=regle!$F$12,regle!$F$11,
IF(AO314=regle!$G$12,regle!$G$11,
IF(AO314=regle!$H$12,regle!$H$11,
IF(AO314=regle!$I$12,regle!$I$11,""))))))))))</f>
        <v>ENT1</v>
      </c>
      <c r="V314" t="str">
        <f>IF(NOT($A314),"",
IF(AP314=-2,regle!$J$11,
IF(AP314=regle!$B$12,regle!$B$11,
IF(AP314=regle!$C$12,regle!$C$11,
IF(AP314=regle!$D$12,regle!$D$11,
IF(AP314=regle!$E$12,regle!$E$11,
IF(AP314=regle!$F$12,regle!$F$11,
IF(AP314=regle!$G$12,regle!$G$11,
IF(AP314=regle!$H$12,regle!$H$11,
IF(AP314=regle!$I$12,regle!$I$11,""))))))))))</f>
        <v/>
      </c>
      <c r="W314" t="str">
        <f>IF(NOT($A314),"",
IF(AQ314=-2,regle!$J$11,
IF(AQ314=regle!$B$12,regle!$B$11,
IF(AQ314=regle!$C$12,regle!$C$11,
IF(AQ314=regle!$D$12,regle!$D$11,
IF(AQ314=regle!$E$12,regle!$E$11,
IF(AQ314=regle!$F$12,regle!$F$11,
IF(AQ314=regle!$G$12,regle!$G$11,
IF(AQ314=regle!$H$12,regle!$H$11,
IF(AQ314=regle!$I$12,regle!$I$11,""))))))))))</f>
        <v/>
      </c>
      <c r="X314" t="str">
        <f>IF(NOT($A314),"",
IF(AR314=-2,regle!$J$11,
IF(AR314=regle!$B$12,regle!$B$11,
IF(AR314=regle!$C$12,regle!$C$11,
IF(AR314=regle!$D$12,regle!$D$11,
IF(AR314=regle!$E$12,regle!$E$11,
IF(AR314=regle!$F$12,regle!$F$11,
IF(AR314=regle!$G$12,regle!$G$11,
IF(AR314=regle!$H$12,regle!$H$11,
IF(AR314=regle!$I$12,regle!$I$11,""))))))))))</f>
        <v>ENT2</v>
      </c>
      <c r="Y314" t="str">
        <f>IF(NOT($A314),"",
IF(AS314=-2,regle!$J$11,
IF(AS314=regle!$B$12,regle!$B$11,
IF(AS314=regle!$C$12,regle!$C$11,
IF(AS314=regle!$D$12,regle!$D$11,
IF(AS314=regle!$E$12,regle!$E$11,
IF(AS314=regle!$F$12,regle!$F$11,
IF(AS314=regle!$G$12,regle!$G$11,
IF(AS314=regle!$H$12,regle!$H$11,
IF(AS314=regle!$I$12,regle!$I$11,""))))))))))</f>
        <v/>
      </c>
      <c r="Z314" t="str">
        <f>IF(NOT($A314),"",
IF(AT314=-2,regle!$J$11,
IF(AT314=regle!$B$12,regle!$B$11,
IF(AT314=regle!$C$12,regle!$C$11,
IF(AT314=regle!$D$12,regle!$D$11,
IF(AT314=regle!$E$12,regle!$E$11,
IF(AT314=regle!$F$12,regle!$F$11,
IF(AT314=regle!$G$12,regle!$G$11,
IF(AT314=regle!$H$12,regle!$H$11,
IF(AT314=regle!$I$12,regle!$I$11,""))))))))))</f>
        <v/>
      </c>
      <c r="AA314" t="str">
        <f>IF(NOT($A314),"",
IF(AU314=-2,regle!$J$11,
IF(AU314=regle!$B$12,regle!$B$11,
IF(AU314=regle!$C$12,regle!$C$11,
IF(AU314=regle!$D$12,regle!$D$11,
IF(AU314=regle!$E$12,regle!$E$11,
IF(AU314=regle!$F$12,regle!$F$11,
IF(AU314=regle!$G$12,regle!$G$11,
IF(AU314=regle!$H$12,regle!$H$11,
IF(AU314=regle!$I$12,regle!$I$11,""))))))))))</f>
        <v/>
      </c>
      <c r="AB314" t="str">
        <f>IF(NOT($A314),"",
IF(AV314=-2,regle!$J$11,
IF(AV314=regle!$B$12,regle!$B$11,
IF(AV314=regle!$C$12,regle!$C$11,
IF(AV314=regle!$D$12,regle!$D$11,
IF(AV314=regle!$E$12,regle!$E$11,
IF(AV314=regle!$F$12,regle!$F$11,
IF(AV314=regle!$G$12,regle!$G$11,
IF(AV314=regle!$H$12,regle!$H$11,
IF(AV314=regle!$I$12,regle!$I$11,""))))))))))</f>
        <v/>
      </c>
      <c r="AC314" t="str">
        <f>IF(NOT($A314),"",
IF(AW314=-2,regle!$J$11,
IF(AW314=regle!$B$12,regle!$B$11,
IF(AW314=regle!$C$12,regle!$C$11,
IF(AW314=regle!$D$12,regle!$D$11,
IF(AW314=regle!$E$12,regle!$E$11,
IF(AW314=regle!$F$12,regle!$F$11,
IF(AW314=regle!$G$12,regle!$G$11,
IF(AW314=regle!$H$12,regle!$H$11,
IF(AW314=regle!$I$12,regle!$I$11,""))))))))))</f>
        <v>EC1</v>
      </c>
      <c r="AD314" t="str">
        <f>IF(NOT($A314),"",
IF(AX314=-2,regle!$J$11,
IF(AX314=regle!$B$12,regle!$B$11,
IF(AX314=regle!$C$12,regle!$C$11,
IF(AX314=regle!$D$12,regle!$D$11,
IF(AX314=regle!$E$12,regle!$E$11,
IF(AX314=regle!$F$12,regle!$F$11,
IF(AX314=regle!$G$12,regle!$G$11,
IF(AX314=regle!$H$12,regle!$H$11,
IF(AX314=regle!$I$12,regle!$I$11,""))))))))))</f>
        <v/>
      </c>
      <c r="AE314" s="14">
        <f>IF($A314,$M314*(IF(U314=regle!$B$11,regle!$B$23,IF(U314=regle!$C$11,regle!$C$23,IF(U314=regle!$D$11,regle!$D$23,IF(U314=regle!$E$11,regle!$E$23,IF(U314=regle!$F$11,regle!$F$23,IF(U314=regle!$G$11,regle!$G$23,IF(U314=regle!$H$11,regle!$H$23,IF(U314=regle!$I$11,regle!$I$23,IF(U314=regle!$J$11,regle!$J$23,0)))))))))))</f>
        <v>-549.00900000000001</v>
      </c>
      <c r="AF314" s="14">
        <f>IF($A314,$M314*(IF(V314=regle!$B$11,regle!$B$23,IF(V314=regle!$C$11,regle!$C$23,IF(V314=regle!$D$11,regle!$D$23,IF(V314=regle!$E$11,regle!$E$23,IF(V314=regle!$F$11,regle!$F$23,IF(V314=regle!$G$11,regle!$G$23,IF(V314=regle!$H$11,regle!$H$23,IF(V314=regle!$I$11,regle!$I$23,IF(V314=regle!$J$11,regle!$J$23,0)))))))))))</f>
        <v>0</v>
      </c>
      <c r="AG314" s="14">
        <f>IF($A314,$M314*(IF(W314=regle!$B$11,regle!$B$23,IF(W314=regle!$C$11,regle!$C$23,IF(W314=regle!$D$11,regle!$D$23,IF(W314=regle!$E$11,regle!$E$23,IF(W314=regle!$F$11,regle!$F$23,IF(W314=regle!$G$11,regle!$G$23,IF(W314=regle!$H$11,regle!$H$23,IF(W314=regle!$I$11,regle!$I$23,IF(W314=regle!$J$11,regle!$J$23,0)))))))))))</f>
        <v>0</v>
      </c>
      <c r="AH314" s="14">
        <f>IF($A314,$M314*(IF(X314=regle!$B$11,regle!$B$23,IF(X314=regle!$C$11,regle!$C$23,IF(X314=regle!$D$11,regle!$D$23,IF(X314=regle!$E$11,regle!$E$23,IF(X314=regle!$F$11,regle!$F$23,IF(X314=regle!$G$11,regle!$G$23,IF(X314=regle!$H$11,regle!$H$23,IF(X314=regle!$I$11,regle!$I$23,IF(X314=regle!$J$11,regle!$J$23,0)))))))))))</f>
        <v>-549.00900000000001</v>
      </c>
      <c r="AI314" s="14">
        <f>IF($A314,$M314*(IF(Y314=regle!$B$11,regle!$B$23,IF(Y314=regle!$C$11,regle!$C$23,IF(Y314=regle!$D$11,regle!$D$23,IF(Y314=regle!$E$11,regle!$E$23,IF(Y314=regle!$F$11,regle!$F$23,IF(Y314=regle!$G$11,regle!$G$23,IF(Y314=regle!$H$11,regle!$H$23,IF(Y314=regle!$I$11,regle!$I$23,IF(Y314=regle!$J$11,regle!$J$23,0)))))))))))</f>
        <v>0</v>
      </c>
      <c r="AJ314" s="14">
        <f>IF($A314,$M314*(IF(Z314=regle!$B$11,regle!$B$23,IF(Z314=regle!$C$11,regle!$C$23,IF(Z314=regle!$D$11,regle!$D$23,IF(Z314=regle!$E$11,regle!$E$23,IF(Z314=regle!$F$11,regle!$F$23,IF(Z314=regle!$G$11,regle!$G$23,IF(Z314=regle!$H$11,regle!$H$23,IF(Z314=regle!$I$11,regle!$I$23,IF(Z314=regle!$J$11,regle!$J$23,0)))))))))))</f>
        <v>0</v>
      </c>
      <c r="AK314" s="14">
        <f>IF($A314,$M314*(IF(AA314=regle!$B$11,regle!$B$23,IF(AA314=regle!$C$11,regle!$C$23,IF(AA314=regle!$D$11,regle!$D$23,IF(AA314=regle!$E$11,regle!$E$23,IF(AA314=regle!$F$11,regle!$F$23,IF(AA314=regle!$G$11,regle!$G$23,IF(AA314=regle!$H$11,regle!$H$23,IF(AA314=regle!$I$11,regle!$I$23,IF(AA314=regle!$J$11,regle!$J$23,0)))))))))))</f>
        <v>0</v>
      </c>
      <c r="AL314" s="14">
        <f>IF($A314,$M314*(IF(AB314=regle!$B$11,regle!$B$23,IF(AB314=regle!$C$11,regle!$C$23,IF(AB314=regle!$D$11,regle!$D$23,IF(AB314=regle!$E$11,regle!$E$23,IF(AB314=regle!$F$11,regle!$F$23,IF(AB314=regle!$G$11,regle!$G$23,IF(AB314=regle!$H$11,regle!$H$23,IF(AB314=regle!$I$11,regle!$I$23,IF(AB314=regle!$J$11,regle!$J$23,0)))))))))))</f>
        <v>0</v>
      </c>
      <c r="AM314" s="14">
        <f>IF($A314,$M314*(IF(AC314=regle!$B$11,regle!$B$23,IF(AC314=regle!$C$11,regle!$C$23,IF(AC314=regle!$D$11,regle!$D$23,IF(AC314=regle!$E$11,regle!$E$23,IF(AC314=regle!$F$11,regle!$F$23,IF(AC314=regle!$G$11,regle!$G$23,IF(AC314=regle!$H$11,regle!$H$23,IF(AC314=regle!$I$11,regle!$I$23,IF(AC314=regle!$J$11,regle!$J$23,0)))))))))))</f>
        <v>3513.6576</v>
      </c>
      <c r="AN314" s="14">
        <f>IF($A314,$M314*(IF(AD314=regle!$B$11,regle!$B$23,IF(AD314=regle!$C$11,regle!$C$23,IF(AD314=regle!$D$11,regle!$D$23,IF(AD314=regle!$E$11,regle!$E$23,IF(AD314=regle!$F$11,regle!$F$23,IF(AD314=regle!$G$11,regle!$G$23,IF(AD314=regle!$H$11,regle!$H$23,IF(AD314=regle!$I$11,regle!$I$23,IF(AD314=regle!$J$11,regle!$J$23,0)))))))))))</f>
        <v>0</v>
      </c>
      <c r="AO314">
        <f>IF(AO$1=$AO$1,IF(regle!B$2-$Q314&gt;=regle!$J$12,-2,IF($S314,IF(regle!$B$2-$Q314&gt;=2,0,-1),regle!B$2-$Q314)),IF(AN314+1&gt;=regle!$J$12,-2,AN314+1))</f>
        <v>5</v>
      </c>
      <c r="AP314">
        <f>IF(AP$1=$AO$1,IF(regle!C$2-$Q314&gt;=regle!$J$12,-2,IF($S314,IF(regle!$B$2-$Q314&gt;=2,0,-1),regle!C$2-$Q314)),IF(AO314+1&gt;=regle!$J$12,-2,AO314+1))</f>
        <v>6</v>
      </c>
      <c r="AQ314">
        <f>IF(AQ$1=$AO$1,IF(regle!D$2-$Q314&gt;=regle!$J$12,-2,IF($S314,IF(regle!$B$2-$Q314&gt;=2,0,-1),regle!D$2-$Q314)),IF(AP314+1&gt;=regle!$J$12,-2,AP314+1))</f>
        <v>7</v>
      </c>
      <c r="AR314">
        <f>IF(AR$1=$AO$1,IF(regle!E$2-$Q314&gt;=regle!$J$12,-2,IF($S314,IF(regle!$B$2-$Q314&gt;=2,0,-1),regle!E$2-$Q314)),IF(AQ314+1&gt;=regle!$J$12,-2,AQ314+1))</f>
        <v>8</v>
      </c>
      <c r="AS314">
        <f>IF(AS$1=$AO$1,IF(regle!F$2-$Q314&gt;=regle!$J$12,-2,IF($S314,IF(regle!$B$2-$Q314&gt;=2,0,-1),regle!F$2-$Q314)),IF(AR314+1&gt;=regle!$J$12,-2,AR314+1))</f>
        <v>9</v>
      </c>
      <c r="AT314">
        <f>IF(AT$1=$AO$1,IF(regle!G$2-$Q314&gt;=regle!$J$12,-2,IF($S314,IF(regle!$B$2-$Q314&gt;=2,0,-1),regle!G$2-$Q314)),IF(AS314+1&gt;=regle!$J$12,-2,AS314+1))</f>
        <v>10</v>
      </c>
      <c r="AU314">
        <f>IF(AU$1=$AO$1,IF(regle!H$2-$Q314&gt;=regle!$J$12,-2,IF($S314,IF(regle!$B$2-$Q314&gt;=2,0,-1),regle!H$2-$Q314)),IF(AT314+1&gt;=regle!$J$12,-2,AT314+1))</f>
        <v>11</v>
      </c>
      <c r="AV314">
        <f>IF(AV$1=$AO$1,IF(regle!I$2-$Q314&gt;=regle!$J$12,-2,IF($S314,IF(regle!$B$2-$Q314&gt;=2,0,-1),regle!I$2-$Q314)),IF(AU314+1&gt;=regle!$J$12,-2,AU314+1))</f>
        <v>12</v>
      </c>
      <c r="AW314">
        <f>IF(AW$1=$AO$1,IF(regle!J$2-$Q314&gt;=regle!$J$12,-2,IF($S314,IF(regle!$B$2-$Q314&gt;=2,0,-1),regle!J$2-$Q314)),IF(AV314+1&gt;=regle!$J$12,-2,AV314+1))</f>
        <v>13</v>
      </c>
      <c r="AX314">
        <f>IF(AX$1=$AO$1,IF(regle!K$2-$Q314&gt;=regle!$J$12,-2,IF($S314,IF(regle!$B$2-$Q314&gt;=2,0,-1),regle!K$2-$Q314)),IF(AW314+1&gt;=regle!$J$12,-2,AW314+1))</f>
        <v>14</v>
      </c>
    </row>
    <row r="315" spans="1:50" x14ac:dyDescent="0.25">
      <c r="A315" t="b">
        <f>AND(modif0[[#This Row],[cdstr]]&lt;&gt;0,OR(regle!$H$27=FALSE,modif0[[#This Row],[essnc]]="PM"))</f>
        <v>1</v>
      </c>
      <c r="B315">
        <f>ROW(objet!A365)</f>
        <v>365</v>
      </c>
      <c r="C315" s="10" t="str">
        <f>objet!D365</f>
        <v>0770000D1389</v>
      </c>
      <c r="D315" t="str">
        <f>LEFT(modif0[[#This Row],[cdstr]],3)</f>
        <v>077</v>
      </c>
      <c r="E315" s="10" t="str">
        <f>objet!G365</f>
        <v>CABANAC-ET-VILLAGRAINS</v>
      </c>
      <c r="F315">
        <f>LEN(modif0[[#This Row],[l_dt]])</f>
        <v>13</v>
      </c>
      <c r="G315" s="10" t="str">
        <f>objet!H365</f>
        <v>LAGUNE LONGUE</v>
      </c>
      <c r="H315" s="10" t="str">
        <f>objet!C365</f>
        <v>D1389k</v>
      </c>
      <c r="I315" t="str">
        <f>IF(ISNUMBER(VALUE(RIGHT(LEFT(modif0[[#This Row],[idntfn]],2),1))),_xlfn.CONCAT(0,LEFT(modif0[[#This Row],[idntfn]],1)),LEFT(modif0[[#This Row],[idntfn]],2))</f>
        <v>0D</v>
      </c>
      <c r="J315">
        <f>VALUE(LEFT(RIGHT(modif0[[#This Row],[idntfn]],LEN(modif0[[#This Row],[idntfn]])-IF(LEFT(modif0[[#This Row],[sctn]],1)="0",1,2)),LEN(modif0[[#This Row],[idntfn]])-IF(LEFT(modif0[[#This Row],[sctn]],1)="0",1,2)-LEN(modif0[[#This Row],[lttr]])))</f>
        <v>1389</v>
      </c>
      <c r="K315" t="str">
        <f>IF(ISNUMBER(VALUE(RIGHT(modif0[[#This Row],[idntfn]],1))),"",IF(ISNUMBER(VALUE(LEFT(RIGHT(modif0[[#This Row],[idntfn]],2),1))),RIGHT(modif0[[#This Row],[idntfn]],1),RIGHT(modif0[[#This Row],[idntfn]],2)))</f>
        <v>k</v>
      </c>
      <c r="L315" s="10">
        <f>objet!I365</f>
        <v>32868</v>
      </c>
      <c r="M315" s="11">
        <f>modif0[[#This Row],[srfc]]/10000</f>
        <v>3.2867999999999999</v>
      </c>
      <c r="N315" s="10" t="str">
        <f>objet!Z365</f>
        <v>PM</v>
      </c>
      <c r="O315" s="10" t="str">
        <f>objet!AA365</f>
        <v>PLA2005</v>
      </c>
      <c r="P315" t="str">
        <f>IF(ISNUMBER(modif0[[#This Row],[trvx]]),"",LEFT(modif0[[#This Row],[trvx]],LEN(modif0[[#This Row],[trvx]])-4))</f>
        <v>PLA</v>
      </c>
      <c r="Q315">
        <f>VALUE(RIGHT(modif0[[#This Row],[trvx]],4))</f>
        <v>2005</v>
      </c>
      <c r="R315" t="str">
        <f>_xlfn.CONCAT(modif0[[#This Row],[tp]],"-",modif0[[#This Row],[essnc]],"_",modif0[[#This Row],[anns]])</f>
        <v>PLA-PM_2005</v>
      </c>
      <c r="S315" t="b">
        <f>modif0[[#This Row],[tp]]="CR"</f>
        <v>0</v>
      </c>
      <c r="T315">
        <v>40</v>
      </c>
      <c r="U315" t="str">
        <f>IF(NOT($A315),"",
IF(AO315=-2,regle!$J$11,
IF(AO315=regle!$B$12,regle!$B$11,
IF(AO315=regle!$C$12,regle!$C$11,
IF(AO315=regle!$D$12,regle!$D$11,
IF(AO315=regle!$E$12,regle!$E$11,
IF(AO315=regle!$F$12,regle!$F$11,
IF(AO315=regle!$G$12,regle!$G$11,
IF(AO315=regle!$H$12,regle!$H$11,
IF(AO315=regle!$I$12,regle!$I$11,""))))))))))</f>
        <v/>
      </c>
      <c r="V315" t="str">
        <f>IF(NOT($A315),"",
IF(AP315=-2,regle!$J$11,
IF(AP315=regle!$B$12,regle!$B$11,
IF(AP315=regle!$C$12,regle!$C$11,
IF(AP315=regle!$D$12,regle!$D$11,
IF(AP315=regle!$E$12,regle!$E$11,
IF(AP315=regle!$F$12,regle!$F$11,
IF(AP315=regle!$G$12,regle!$G$11,
IF(AP315=regle!$H$12,regle!$H$11,
IF(AP315=regle!$I$12,regle!$I$11,""))))))))))</f>
        <v/>
      </c>
      <c r="W315" t="str">
        <f>IF(NOT($A315),"",
IF(AQ315=-2,regle!$J$11,
IF(AQ315=regle!$B$12,regle!$B$11,
IF(AQ315=regle!$C$12,regle!$C$11,
IF(AQ315=regle!$D$12,regle!$D$11,
IF(AQ315=regle!$E$12,regle!$E$11,
IF(AQ315=regle!$F$12,regle!$F$11,
IF(AQ315=regle!$G$12,regle!$G$11,
IF(AQ315=regle!$H$12,regle!$H$11,
IF(AQ315=regle!$I$12,regle!$I$11,""))))))))))</f>
        <v/>
      </c>
      <c r="X315" t="str">
        <f>IF(NOT($A315),"",
IF(AR315=-2,regle!$J$11,
IF(AR315=regle!$B$12,regle!$B$11,
IF(AR315=regle!$C$12,regle!$C$11,
IF(AR315=regle!$D$12,regle!$D$11,
IF(AR315=regle!$E$12,regle!$E$11,
IF(AR315=regle!$F$12,regle!$F$11,
IF(AR315=regle!$G$12,regle!$G$11,
IF(AR315=regle!$H$12,regle!$H$11,
IF(AR315=regle!$I$12,regle!$I$11,""))))))))))</f>
        <v/>
      </c>
      <c r="Y315" t="str">
        <f>IF(NOT($A315),"",
IF(AS315=-2,regle!$J$11,
IF(AS315=regle!$B$12,regle!$B$11,
IF(AS315=regle!$C$12,regle!$C$11,
IF(AS315=regle!$D$12,regle!$D$11,
IF(AS315=regle!$E$12,regle!$E$11,
IF(AS315=regle!$F$12,regle!$F$11,
IF(AS315=regle!$G$12,regle!$G$11,
IF(AS315=regle!$H$12,regle!$H$11,
IF(AS315=regle!$I$12,regle!$I$11,""))))))))))</f>
        <v>EC3</v>
      </c>
      <c r="Z315" t="str">
        <f>IF(NOT($A315),"",
IF(AT315=-2,regle!$J$11,
IF(AT315=regle!$B$12,regle!$B$11,
IF(AT315=regle!$C$12,regle!$C$11,
IF(AT315=regle!$D$12,regle!$D$11,
IF(AT315=regle!$E$12,regle!$E$11,
IF(AT315=regle!$F$12,regle!$F$11,
IF(AT315=regle!$G$12,regle!$G$11,
IF(AT315=regle!$H$12,regle!$H$11,
IF(AT315=regle!$I$12,regle!$I$11,""))))))))))</f>
        <v/>
      </c>
      <c r="AA315" t="str">
        <f>IF(NOT($A315),"",
IF(AU315=-2,regle!$J$11,
IF(AU315=regle!$B$12,regle!$B$11,
IF(AU315=regle!$C$12,regle!$C$11,
IF(AU315=regle!$D$12,regle!$D$11,
IF(AU315=regle!$E$12,regle!$E$11,
IF(AU315=regle!$F$12,regle!$F$11,
IF(AU315=regle!$G$12,regle!$G$11,
IF(AU315=regle!$H$12,regle!$H$11,
IF(AU315=regle!$I$12,regle!$I$11,""))))))))))</f>
        <v/>
      </c>
      <c r="AB315" t="str">
        <f>IF(NOT($A315),"",
IF(AV315=-2,regle!$J$11,
IF(AV315=regle!$B$12,regle!$B$11,
IF(AV315=regle!$C$12,regle!$C$11,
IF(AV315=regle!$D$12,regle!$D$11,
IF(AV315=regle!$E$12,regle!$E$11,
IF(AV315=regle!$F$12,regle!$F$11,
IF(AV315=regle!$G$12,regle!$G$11,
IF(AV315=regle!$H$12,regle!$H$11,
IF(AV315=regle!$I$12,regle!$I$11,""))))))))))</f>
        <v/>
      </c>
      <c r="AC315" t="str">
        <f>IF(NOT($A315),"",
IF(AW315=-2,regle!$J$11,
IF(AW315=regle!$B$12,regle!$B$11,
IF(AW315=regle!$C$12,regle!$C$11,
IF(AW315=regle!$D$12,regle!$D$11,
IF(AW315=regle!$E$12,regle!$E$11,
IF(AW315=regle!$F$12,regle!$F$11,
IF(AW315=regle!$G$12,regle!$G$11,
IF(AW315=regle!$H$12,regle!$H$11,
IF(AW315=regle!$I$12,regle!$I$11,""))))))))))</f>
        <v/>
      </c>
      <c r="AD315" t="str">
        <f>IF(NOT($A315),"",
IF(AX315=-2,regle!$J$11,
IF(AX315=regle!$B$12,regle!$B$11,
IF(AX315=regle!$C$12,regle!$C$11,
IF(AX315=regle!$D$12,regle!$D$11,
IF(AX315=regle!$E$12,regle!$E$11,
IF(AX315=regle!$F$12,regle!$F$11,
IF(AX315=regle!$G$12,regle!$G$11,
IF(AX315=regle!$H$12,regle!$H$11,
IF(AX315=regle!$I$12,regle!$I$11,""))))))))))</f>
        <v>EC4</v>
      </c>
      <c r="AE315" s="14">
        <f>IF($A315,$M315*(IF(U315=regle!$B$11,regle!$B$23,IF(U315=regle!$C$11,regle!$C$23,IF(U315=regle!$D$11,regle!$D$23,IF(U315=regle!$E$11,regle!$E$23,IF(U315=regle!$F$11,regle!$F$23,IF(U315=regle!$G$11,regle!$G$23,IF(U315=regle!$H$11,regle!$H$23,IF(U315=regle!$I$11,regle!$I$23,IF(U315=regle!$J$11,regle!$J$23,0)))))))))))</f>
        <v>0</v>
      </c>
      <c r="AF315" s="14">
        <f>IF($A315,$M315*(IF(V315=regle!$B$11,regle!$B$23,IF(V315=regle!$C$11,regle!$C$23,IF(V315=regle!$D$11,regle!$D$23,IF(V315=regle!$E$11,regle!$E$23,IF(V315=regle!$F$11,regle!$F$23,IF(V315=regle!$G$11,regle!$G$23,IF(V315=regle!$H$11,regle!$H$23,IF(V315=regle!$I$11,regle!$I$23,IF(V315=regle!$J$11,regle!$J$23,0)))))))))))</f>
        <v>0</v>
      </c>
      <c r="AG315" s="14">
        <f>IF($A315,$M315*(IF(W315=regle!$B$11,regle!$B$23,IF(W315=regle!$C$11,regle!$C$23,IF(W315=regle!$D$11,regle!$D$23,IF(W315=regle!$E$11,regle!$E$23,IF(W315=regle!$F$11,regle!$F$23,IF(W315=regle!$G$11,regle!$G$23,IF(W315=regle!$H$11,regle!$H$23,IF(W315=regle!$I$11,regle!$I$23,IF(W315=regle!$J$11,regle!$J$23,0)))))))))))</f>
        <v>0</v>
      </c>
      <c r="AH315" s="14">
        <f>IF($A315,$M315*(IF(X315=regle!$B$11,regle!$B$23,IF(X315=regle!$C$11,regle!$C$23,IF(X315=regle!$D$11,regle!$D$23,IF(X315=regle!$E$11,regle!$E$23,IF(X315=regle!$F$11,regle!$F$23,IF(X315=regle!$G$11,regle!$G$23,IF(X315=regle!$H$11,regle!$H$23,IF(X315=regle!$I$11,regle!$I$23,IF(X315=regle!$J$11,regle!$J$23,0)))))))))))</f>
        <v>0</v>
      </c>
      <c r="AI315" s="14">
        <f>IF($A315,$M315*(IF(Y315=regle!$B$11,regle!$B$23,IF(Y315=regle!$C$11,regle!$C$23,IF(Y315=regle!$D$11,regle!$D$23,IF(Y315=regle!$E$11,regle!$E$23,IF(Y315=regle!$F$11,regle!$F$23,IF(Y315=regle!$G$11,regle!$G$23,IF(Y315=regle!$H$11,regle!$H$23,IF(Y315=regle!$I$11,regle!$I$23,IF(Y315=regle!$J$11,regle!$J$23,0)))))))))))</f>
        <v>4627.8144000000002</v>
      </c>
      <c r="AJ315" s="14">
        <f>IF($A315,$M315*(IF(Z315=regle!$B$11,regle!$B$23,IF(Z315=regle!$C$11,regle!$C$23,IF(Z315=regle!$D$11,regle!$D$23,IF(Z315=regle!$E$11,regle!$E$23,IF(Z315=regle!$F$11,regle!$F$23,IF(Z315=regle!$G$11,regle!$G$23,IF(Z315=regle!$H$11,regle!$H$23,IF(Z315=regle!$I$11,regle!$I$23,IF(Z315=regle!$J$11,regle!$J$23,0)))))))))))</f>
        <v>0</v>
      </c>
      <c r="AK315" s="14">
        <f>IF($A315,$M315*(IF(AA315=regle!$B$11,regle!$B$23,IF(AA315=regle!$C$11,regle!$C$23,IF(AA315=regle!$D$11,regle!$D$23,IF(AA315=regle!$E$11,regle!$E$23,IF(AA315=regle!$F$11,regle!$F$23,IF(AA315=regle!$G$11,regle!$G$23,IF(AA315=regle!$H$11,regle!$H$23,IF(AA315=regle!$I$11,regle!$I$23,IF(AA315=regle!$J$11,regle!$J$23,0)))))))))))</f>
        <v>0</v>
      </c>
      <c r="AL315" s="14">
        <f>IF($A315,$M315*(IF(AB315=regle!$B$11,regle!$B$23,IF(AB315=regle!$C$11,regle!$C$23,IF(AB315=regle!$D$11,regle!$D$23,IF(AB315=regle!$E$11,regle!$E$23,IF(AB315=regle!$F$11,regle!$F$23,IF(AB315=regle!$G$11,regle!$G$23,IF(AB315=regle!$H$11,regle!$H$23,IF(AB315=regle!$I$11,regle!$I$23,IF(AB315=regle!$J$11,regle!$J$23,0)))))))))))</f>
        <v>0</v>
      </c>
      <c r="AM315" s="14">
        <f>IF($A315,$M315*(IF(AC315=regle!$B$11,regle!$B$23,IF(AC315=regle!$C$11,regle!$C$23,IF(AC315=regle!$D$11,regle!$D$23,IF(AC315=regle!$E$11,regle!$E$23,IF(AC315=regle!$F$11,regle!$F$23,IF(AC315=regle!$G$11,regle!$G$23,IF(AC315=regle!$H$11,regle!$H$23,IF(AC315=regle!$I$11,regle!$I$23,IF(AC315=regle!$J$11,regle!$J$23,0)))))))))))</f>
        <v>0</v>
      </c>
      <c r="AN315" s="14">
        <f>IF($A315,$M315*(IF(AD315=regle!$B$11,regle!$B$23,IF(AD315=regle!$C$11,regle!$C$23,IF(AD315=regle!$D$11,regle!$D$23,IF(AD315=regle!$E$11,regle!$E$23,IF(AD315=regle!$F$11,regle!$F$23,IF(AD315=regle!$G$11,regle!$G$23,IF(AD315=regle!$H$11,regle!$H$23,IF(AD315=regle!$I$11,regle!$I$23,IF(AD315=regle!$J$11,regle!$J$23,0)))))))))))</f>
        <v>4207.1040000000003</v>
      </c>
      <c r="AO315">
        <f>IF(AO$1=$AO$1,IF(regle!B$2-$Q315&gt;=regle!$J$12,-2,IF($S315,IF(regle!$B$2-$Q315&gt;=2,0,-1),regle!B$2-$Q315)),IF(AN315+1&gt;=regle!$J$12,-2,AN315+1))</f>
        <v>19</v>
      </c>
      <c r="AP315">
        <f>IF(AP$1=$AO$1,IF(regle!C$2-$Q315&gt;=regle!$J$12,-2,IF($S315,IF(regle!$B$2-$Q315&gt;=2,0,-1),regle!C$2-$Q315)),IF(AO315+1&gt;=regle!$J$12,-2,AO315+1))</f>
        <v>20</v>
      </c>
      <c r="AQ315">
        <f>IF(AQ$1=$AO$1,IF(regle!D$2-$Q315&gt;=regle!$J$12,-2,IF($S315,IF(regle!$B$2-$Q315&gt;=2,0,-1),regle!D$2-$Q315)),IF(AP315+1&gt;=regle!$J$12,-2,AP315+1))</f>
        <v>21</v>
      </c>
      <c r="AR315">
        <f>IF(AR$1=$AO$1,IF(regle!E$2-$Q315&gt;=regle!$J$12,-2,IF($S315,IF(regle!$B$2-$Q315&gt;=2,0,-1),regle!E$2-$Q315)),IF(AQ315+1&gt;=regle!$J$12,-2,AQ315+1))</f>
        <v>22</v>
      </c>
      <c r="AS315">
        <f>IF(AS$1=$AO$1,IF(regle!F$2-$Q315&gt;=regle!$J$12,-2,IF($S315,IF(regle!$B$2-$Q315&gt;=2,0,-1),regle!F$2-$Q315)),IF(AR315+1&gt;=regle!$J$12,-2,AR315+1))</f>
        <v>23</v>
      </c>
      <c r="AT315">
        <f>IF(AT$1=$AO$1,IF(regle!G$2-$Q315&gt;=regle!$J$12,-2,IF($S315,IF(regle!$B$2-$Q315&gt;=2,0,-1),regle!G$2-$Q315)),IF(AS315+1&gt;=regle!$J$12,-2,AS315+1))</f>
        <v>24</v>
      </c>
      <c r="AU315">
        <f>IF(AU$1=$AO$1,IF(regle!H$2-$Q315&gt;=regle!$J$12,-2,IF($S315,IF(regle!$B$2-$Q315&gt;=2,0,-1),regle!H$2-$Q315)),IF(AT315+1&gt;=regle!$J$12,-2,AT315+1))</f>
        <v>25</v>
      </c>
      <c r="AV315">
        <f>IF(AV$1=$AO$1,IF(regle!I$2-$Q315&gt;=regle!$J$12,-2,IF($S315,IF(regle!$B$2-$Q315&gt;=2,0,-1),regle!I$2-$Q315)),IF(AU315+1&gt;=regle!$J$12,-2,AU315+1))</f>
        <v>26</v>
      </c>
      <c r="AW315">
        <f>IF(AW$1=$AO$1,IF(regle!J$2-$Q315&gt;=regle!$J$12,-2,IF($S315,IF(regle!$B$2-$Q315&gt;=2,0,-1),regle!J$2-$Q315)),IF(AV315+1&gt;=regle!$J$12,-2,AV315+1))</f>
        <v>27</v>
      </c>
      <c r="AX315">
        <f>IF(AX$1=$AO$1,IF(regle!K$2-$Q315&gt;=regle!$J$12,-2,IF($S315,IF(regle!$B$2-$Q315&gt;=2,0,-1),regle!K$2-$Q315)),IF(AW315+1&gt;=regle!$J$12,-2,AW315+1))</f>
        <v>28</v>
      </c>
    </row>
    <row r="316" spans="1:50" x14ac:dyDescent="0.25">
      <c r="A316" t="b">
        <f>AND(modif0[[#This Row],[cdstr]]&lt;&gt;0,OR(regle!$H$27=FALSE,modif0[[#This Row],[essnc]]="PM"))</f>
        <v>1</v>
      </c>
      <c r="B316">
        <f>ROW(objet!A366)</f>
        <v>366</v>
      </c>
      <c r="C316" s="10" t="str">
        <f>objet!D366</f>
        <v>0770000D1389</v>
      </c>
      <c r="D316" t="str">
        <f>LEFT(modif0[[#This Row],[cdstr]],3)</f>
        <v>077</v>
      </c>
      <c r="E316" s="10" t="str">
        <f>objet!G366</f>
        <v>CABANAC-ET-VILLAGRAINS</v>
      </c>
      <c r="F316">
        <f>LEN(modif0[[#This Row],[l_dt]])</f>
        <v>13</v>
      </c>
      <c r="G316" s="10" t="str">
        <f>objet!H366</f>
        <v>LAGUNE LONGUE</v>
      </c>
      <c r="H316" s="10" t="str">
        <f>objet!C366</f>
        <v>D1389l</v>
      </c>
      <c r="I316" t="str">
        <f>IF(ISNUMBER(VALUE(RIGHT(LEFT(modif0[[#This Row],[idntfn]],2),1))),_xlfn.CONCAT(0,LEFT(modif0[[#This Row],[idntfn]],1)),LEFT(modif0[[#This Row],[idntfn]],2))</f>
        <v>0D</v>
      </c>
      <c r="J316">
        <f>VALUE(LEFT(RIGHT(modif0[[#This Row],[idntfn]],LEN(modif0[[#This Row],[idntfn]])-IF(LEFT(modif0[[#This Row],[sctn]],1)="0",1,2)),LEN(modif0[[#This Row],[idntfn]])-IF(LEFT(modif0[[#This Row],[sctn]],1)="0",1,2)-LEN(modif0[[#This Row],[lttr]])))</f>
        <v>1389</v>
      </c>
      <c r="K316" t="str">
        <f>IF(ISNUMBER(VALUE(RIGHT(modif0[[#This Row],[idntfn]],1))),"",IF(ISNUMBER(VALUE(LEFT(RIGHT(modif0[[#This Row],[idntfn]],2),1))),RIGHT(modif0[[#This Row],[idntfn]],1),RIGHT(modif0[[#This Row],[idntfn]],2)))</f>
        <v>l</v>
      </c>
      <c r="L316" s="10">
        <f>objet!I366</f>
        <v>6851</v>
      </c>
      <c r="M316" s="11">
        <f>modif0[[#This Row],[srfc]]/10000</f>
        <v>0.68510000000000004</v>
      </c>
      <c r="N316" s="10" t="str">
        <f>objet!Z366</f>
        <v>PM</v>
      </c>
      <c r="O316" s="10" t="str">
        <f>objet!AA366</f>
        <v>PLA2005</v>
      </c>
      <c r="P316" t="str">
        <f>IF(ISNUMBER(modif0[[#This Row],[trvx]]),"",LEFT(modif0[[#This Row],[trvx]],LEN(modif0[[#This Row],[trvx]])-4))</f>
        <v>PLA</v>
      </c>
      <c r="Q316">
        <f>VALUE(RIGHT(modif0[[#This Row],[trvx]],4))</f>
        <v>2005</v>
      </c>
      <c r="R316" t="str">
        <f>_xlfn.CONCAT(modif0[[#This Row],[tp]],"-",modif0[[#This Row],[essnc]],"_",modif0[[#This Row],[anns]])</f>
        <v>PLA-PM_2005</v>
      </c>
      <c r="S316" t="b">
        <f>modif0[[#This Row],[tp]]="CR"</f>
        <v>0</v>
      </c>
      <c r="T316">
        <v>40</v>
      </c>
      <c r="U316" t="str">
        <f>IF(NOT($A316),"",
IF(AO316=-2,regle!$J$11,
IF(AO316=regle!$B$12,regle!$B$11,
IF(AO316=regle!$C$12,regle!$C$11,
IF(AO316=regle!$D$12,regle!$D$11,
IF(AO316=regle!$E$12,regle!$E$11,
IF(AO316=regle!$F$12,regle!$F$11,
IF(AO316=regle!$G$12,regle!$G$11,
IF(AO316=regle!$H$12,regle!$H$11,
IF(AO316=regle!$I$12,regle!$I$11,""))))))))))</f>
        <v/>
      </c>
      <c r="V316" t="str">
        <f>IF(NOT($A316),"",
IF(AP316=-2,regle!$J$11,
IF(AP316=regle!$B$12,regle!$B$11,
IF(AP316=regle!$C$12,regle!$C$11,
IF(AP316=regle!$D$12,regle!$D$11,
IF(AP316=regle!$E$12,regle!$E$11,
IF(AP316=regle!$F$12,regle!$F$11,
IF(AP316=regle!$G$12,regle!$G$11,
IF(AP316=regle!$H$12,regle!$H$11,
IF(AP316=regle!$I$12,regle!$I$11,""))))))))))</f>
        <v/>
      </c>
      <c r="W316" t="str">
        <f>IF(NOT($A316),"",
IF(AQ316=-2,regle!$J$11,
IF(AQ316=regle!$B$12,regle!$B$11,
IF(AQ316=regle!$C$12,regle!$C$11,
IF(AQ316=regle!$D$12,regle!$D$11,
IF(AQ316=regle!$E$12,regle!$E$11,
IF(AQ316=regle!$F$12,regle!$F$11,
IF(AQ316=regle!$G$12,regle!$G$11,
IF(AQ316=regle!$H$12,regle!$H$11,
IF(AQ316=regle!$I$12,regle!$I$11,""))))))))))</f>
        <v/>
      </c>
      <c r="X316" t="str">
        <f>IF(NOT($A316),"",
IF(AR316=-2,regle!$J$11,
IF(AR316=regle!$B$12,regle!$B$11,
IF(AR316=regle!$C$12,regle!$C$11,
IF(AR316=regle!$D$12,regle!$D$11,
IF(AR316=regle!$E$12,regle!$E$11,
IF(AR316=regle!$F$12,regle!$F$11,
IF(AR316=regle!$G$12,regle!$G$11,
IF(AR316=regle!$H$12,regle!$H$11,
IF(AR316=regle!$I$12,regle!$I$11,""))))))))))</f>
        <v/>
      </c>
      <c r="Y316" t="str">
        <f>IF(NOT($A316),"",
IF(AS316=-2,regle!$J$11,
IF(AS316=regle!$B$12,regle!$B$11,
IF(AS316=regle!$C$12,regle!$C$11,
IF(AS316=regle!$D$12,regle!$D$11,
IF(AS316=regle!$E$12,regle!$E$11,
IF(AS316=regle!$F$12,regle!$F$11,
IF(AS316=regle!$G$12,regle!$G$11,
IF(AS316=regle!$H$12,regle!$H$11,
IF(AS316=regle!$I$12,regle!$I$11,""))))))))))</f>
        <v>EC3</v>
      </c>
      <c r="Z316" t="str">
        <f>IF(NOT($A316),"",
IF(AT316=-2,regle!$J$11,
IF(AT316=regle!$B$12,regle!$B$11,
IF(AT316=regle!$C$12,regle!$C$11,
IF(AT316=regle!$D$12,regle!$D$11,
IF(AT316=regle!$E$12,regle!$E$11,
IF(AT316=regle!$F$12,regle!$F$11,
IF(AT316=regle!$G$12,regle!$G$11,
IF(AT316=regle!$H$12,regle!$H$11,
IF(AT316=regle!$I$12,regle!$I$11,""))))))))))</f>
        <v/>
      </c>
      <c r="AA316" t="str">
        <f>IF(NOT($A316),"",
IF(AU316=-2,regle!$J$11,
IF(AU316=regle!$B$12,regle!$B$11,
IF(AU316=regle!$C$12,regle!$C$11,
IF(AU316=regle!$D$12,regle!$D$11,
IF(AU316=regle!$E$12,regle!$E$11,
IF(AU316=regle!$F$12,regle!$F$11,
IF(AU316=regle!$G$12,regle!$G$11,
IF(AU316=regle!$H$12,regle!$H$11,
IF(AU316=regle!$I$12,regle!$I$11,""))))))))))</f>
        <v/>
      </c>
      <c r="AB316" t="str">
        <f>IF(NOT($A316),"",
IF(AV316=-2,regle!$J$11,
IF(AV316=regle!$B$12,regle!$B$11,
IF(AV316=regle!$C$12,regle!$C$11,
IF(AV316=regle!$D$12,regle!$D$11,
IF(AV316=regle!$E$12,regle!$E$11,
IF(AV316=regle!$F$12,regle!$F$11,
IF(AV316=regle!$G$12,regle!$G$11,
IF(AV316=regle!$H$12,regle!$H$11,
IF(AV316=regle!$I$12,regle!$I$11,""))))))))))</f>
        <v/>
      </c>
      <c r="AC316" t="str">
        <f>IF(NOT($A316),"",
IF(AW316=-2,regle!$J$11,
IF(AW316=regle!$B$12,regle!$B$11,
IF(AW316=regle!$C$12,regle!$C$11,
IF(AW316=regle!$D$12,regle!$D$11,
IF(AW316=regle!$E$12,regle!$E$11,
IF(AW316=regle!$F$12,regle!$F$11,
IF(AW316=regle!$G$12,regle!$G$11,
IF(AW316=regle!$H$12,regle!$H$11,
IF(AW316=regle!$I$12,regle!$I$11,""))))))))))</f>
        <v/>
      </c>
      <c r="AD316" t="str">
        <f>IF(NOT($A316),"",
IF(AX316=-2,regle!$J$11,
IF(AX316=regle!$B$12,regle!$B$11,
IF(AX316=regle!$C$12,regle!$C$11,
IF(AX316=regle!$D$12,regle!$D$11,
IF(AX316=regle!$E$12,regle!$E$11,
IF(AX316=regle!$F$12,regle!$F$11,
IF(AX316=regle!$G$12,regle!$G$11,
IF(AX316=regle!$H$12,regle!$H$11,
IF(AX316=regle!$I$12,regle!$I$11,""))))))))))</f>
        <v>EC4</v>
      </c>
      <c r="AE316" s="14">
        <f>IF($A316,$M316*(IF(U316=regle!$B$11,regle!$B$23,IF(U316=regle!$C$11,regle!$C$23,IF(U316=regle!$D$11,regle!$D$23,IF(U316=regle!$E$11,regle!$E$23,IF(U316=regle!$F$11,regle!$F$23,IF(U316=regle!$G$11,regle!$G$23,IF(U316=regle!$H$11,regle!$H$23,IF(U316=regle!$I$11,regle!$I$23,IF(U316=regle!$J$11,regle!$J$23,0)))))))))))</f>
        <v>0</v>
      </c>
      <c r="AF316" s="14">
        <f>IF($A316,$M316*(IF(V316=regle!$B$11,regle!$B$23,IF(V316=regle!$C$11,regle!$C$23,IF(V316=regle!$D$11,regle!$D$23,IF(V316=regle!$E$11,regle!$E$23,IF(V316=regle!$F$11,regle!$F$23,IF(V316=regle!$G$11,regle!$G$23,IF(V316=regle!$H$11,regle!$H$23,IF(V316=regle!$I$11,regle!$I$23,IF(V316=regle!$J$11,regle!$J$23,0)))))))))))</f>
        <v>0</v>
      </c>
      <c r="AG316" s="14">
        <f>IF($A316,$M316*(IF(W316=regle!$B$11,regle!$B$23,IF(W316=regle!$C$11,regle!$C$23,IF(W316=regle!$D$11,regle!$D$23,IF(W316=regle!$E$11,regle!$E$23,IF(W316=regle!$F$11,regle!$F$23,IF(W316=regle!$G$11,regle!$G$23,IF(W316=regle!$H$11,regle!$H$23,IF(W316=regle!$I$11,regle!$I$23,IF(W316=regle!$J$11,regle!$J$23,0)))))))))))</f>
        <v>0</v>
      </c>
      <c r="AH316" s="14">
        <f>IF($A316,$M316*(IF(X316=regle!$B$11,regle!$B$23,IF(X316=regle!$C$11,regle!$C$23,IF(X316=regle!$D$11,regle!$D$23,IF(X316=regle!$E$11,regle!$E$23,IF(X316=regle!$F$11,regle!$F$23,IF(X316=regle!$G$11,regle!$G$23,IF(X316=regle!$H$11,regle!$H$23,IF(X316=regle!$I$11,regle!$I$23,IF(X316=regle!$J$11,regle!$J$23,0)))))))))))</f>
        <v>0</v>
      </c>
      <c r="AI316" s="14">
        <f>IF($A316,$M316*(IF(Y316=regle!$B$11,regle!$B$23,IF(Y316=regle!$C$11,regle!$C$23,IF(Y316=regle!$D$11,regle!$D$23,IF(Y316=regle!$E$11,regle!$E$23,IF(Y316=regle!$F$11,regle!$F$23,IF(Y316=regle!$G$11,regle!$G$23,IF(Y316=regle!$H$11,regle!$H$23,IF(Y316=regle!$I$11,regle!$I$23,IF(Y316=regle!$J$11,regle!$J$23,0)))))))))))</f>
        <v>964.62080000000003</v>
      </c>
      <c r="AJ316" s="14">
        <f>IF($A316,$M316*(IF(Z316=regle!$B$11,regle!$B$23,IF(Z316=regle!$C$11,regle!$C$23,IF(Z316=regle!$D$11,regle!$D$23,IF(Z316=regle!$E$11,regle!$E$23,IF(Z316=regle!$F$11,regle!$F$23,IF(Z316=regle!$G$11,regle!$G$23,IF(Z316=regle!$H$11,regle!$H$23,IF(Z316=regle!$I$11,regle!$I$23,IF(Z316=regle!$J$11,regle!$J$23,0)))))))))))</f>
        <v>0</v>
      </c>
      <c r="AK316" s="14">
        <f>IF($A316,$M316*(IF(AA316=regle!$B$11,regle!$B$23,IF(AA316=regle!$C$11,regle!$C$23,IF(AA316=regle!$D$11,regle!$D$23,IF(AA316=regle!$E$11,regle!$E$23,IF(AA316=regle!$F$11,regle!$F$23,IF(AA316=regle!$G$11,regle!$G$23,IF(AA316=regle!$H$11,regle!$H$23,IF(AA316=regle!$I$11,regle!$I$23,IF(AA316=regle!$J$11,regle!$J$23,0)))))))))))</f>
        <v>0</v>
      </c>
      <c r="AL316" s="14">
        <f>IF($A316,$M316*(IF(AB316=regle!$B$11,regle!$B$23,IF(AB316=regle!$C$11,regle!$C$23,IF(AB316=regle!$D$11,regle!$D$23,IF(AB316=regle!$E$11,regle!$E$23,IF(AB316=regle!$F$11,regle!$F$23,IF(AB316=regle!$G$11,regle!$G$23,IF(AB316=regle!$H$11,regle!$H$23,IF(AB316=regle!$I$11,regle!$I$23,IF(AB316=regle!$J$11,regle!$J$23,0)))))))))))</f>
        <v>0</v>
      </c>
      <c r="AM316" s="14">
        <f>IF($A316,$M316*(IF(AC316=regle!$B$11,regle!$B$23,IF(AC316=regle!$C$11,regle!$C$23,IF(AC316=regle!$D$11,regle!$D$23,IF(AC316=regle!$E$11,regle!$E$23,IF(AC316=regle!$F$11,regle!$F$23,IF(AC316=regle!$G$11,regle!$G$23,IF(AC316=regle!$H$11,regle!$H$23,IF(AC316=regle!$I$11,regle!$I$23,IF(AC316=regle!$J$11,regle!$J$23,0)))))))))))</f>
        <v>0</v>
      </c>
      <c r="AN316" s="14">
        <f>IF($A316,$M316*(IF(AD316=regle!$B$11,regle!$B$23,IF(AD316=regle!$C$11,regle!$C$23,IF(AD316=regle!$D$11,regle!$D$23,IF(AD316=regle!$E$11,regle!$E$23,IF(AD316=regle!$F$11,regle!$F$23,IF(AD316=regle!$G$11,regle!$G$23,IF(AD316=regle!$H$11,regle!$H$23,IF(AD316=regle!$I$11,regle!$I$23,IF(AD316=regle!$J$11,regle!$J$23,0)))))))))))</f>
        <v>876.92800000000011</v>
      </c>
      <c r="AO316">
        <f>IF(AO$1=$AO$1,IF(regle!B$2-$Q316&gt;=regle!$J$12,-2,IF($S316,IF(regle!$B$2-$Q316&gt;=2,0,-1),regle!B$2-$Q316)),IF(AN316+1&gt;=regle!$J$12,-2,AN316+1))</f>
        <v>19</v>
      </c>
      <c r="AP316">
        <f>IF(AP$1=$AO$1,IF(regle!C$2-$Q316&gt;=regle!$J$12,-2,IF($S316,IF(regle!$B$2-$Q316&gt;=2,0,-1),regle!C$2-$Q316)),IF(AO316+1&gt;=regle!$J$12,-2,AO316+1))</f>
        <v>20</v>
      </c>
      <c r="AQ316">
        <f>IF(AQ$1=$AO$1,IF(regle!D$2-$Q316&gt;=regle!$J$12,-2,IF($S316,IF(regle!$B$2-$Q316&gt;=2,0,-1),regle!D$2-$Q316)),IF(AP316+1&gt;=regle!$J$12,-2,AP316+1))</f>
        <v>21</v>
      </c>
      <c r="AR316">
        <f>IF(AR$1=$AO$1,IF(regle!E$2-$Q316&gt;=regle!$J$12,-2,IF($S316,IF(regle!$B$2-$Q316&gt;=2,0,-1),regle!E$2-$Q316)),IF(AQ316+1&gt;=regle!$J$12,-2,AQ316+1))</f>
        <v>22</v>
      </c>
      <c r="AS316">
        <f>IF(AS$1=$AO$1,IF(regle!F$2-$Q316&gt;=regle!$J$12,-2,IF($S316,IF(regle!$B$2-$Q316&gt;=2,0,-1),regle!F$2-$Q316)),IF(AR316+1&gt;=regle!$J$12,-2,AR316+1))</f>
        <v>23</v>
      </c>
      <c r="AT316">
        <f>IF(AT$1=$AO$1,IF(regle!G$2-$Q316&gt;=regle!$J$12,-2,IF($S316,IF(regle!$B$2-$Q316&gt;=2,0,-1),regle!G$2-$Q316)),IF(AS316+1&gt;=regle!$J$12,-2,AS316+1))</f>
        <v>24</v>
      </c>
      <c r="AU316">
        <f>IF(AU$1=$AO$1,IF(regle!H$2-$Q316&gt;=regle!$J$12,-2,IF($S316,IF(regle!$B$2-$Q316&gt;=2,0,-1),regle!H$2-$Q316)),IF(AT316+1&gt;=regle!$J$12,-2,AT316+1))</f>
        <v>25</v>
      </c>
      <c r="AV316">
        <f>IF(AV$1=$AO$1,IF(regle!I$2-$Q316&gt;=regle!$J$12,-2,IF($S316,IF(regle!$B$2-$Q316&gt;=2,0,-1),regle!I$2-$Q316)),IF(AU316+1&gt;=regle!$J$12,-2,AU316+1))</f>
        <v>26</v>
      </c>
      <c r="AW316">
        <f>IF(AW$1=$AO$1,IF(regle!J$2-$Q316&gt;=regle!$J$12,-2,IF($S316,IF(regle!$B$2-$Q316&gt;=2,0,-1),regle!J$2-$Q316)),IF(AV316+1&gt;=regle!$J$12,-2,AV316+1))</f>
        <v>27</v>
      </c>
      <c r="AX316">
        <f>IF(AX$1=$AO$1,IF(regle!K$2-$Q316&gt;=regle!$J$12,-2,IF($S316,IF(regle!$B$2-$Q316&gt;=2,0,-1),regle!K$2-$Q316)),IF(AW316+1&gt;=regle!$J$12,-2,AW316+1))</f>
        <v>28</v>
      </c>
    </row>
    <row r="317" spans="1:50" x14ac:dyDescent="0.25">
      <c r="A317" t="b">
        <f>AND(modif0[[#This Row],[cdstr]]&lt;&gt;0,OR(regle!$H$27=FALSE,modif0[[#This Row],[essnc]]="PM"))</f>
        <v>1</v>
      </c>
      <c r="B317">
        <f>ROW(objet!A367)</f>
        <v>367</v>
      </c>
      <c r="C317" s="10" t="str">
        <f>objet!D367</f>
        <v>0770000D1436</v>
      </c>
      <c r="D317" t="str">
        <f>LEFT(modif0[[#This Row],[cdstr]],3)</f>
        <v>077</v>
      </c>
      <c r="E317" s="10" t="str">
        <f>objet!G367</f>
        <v>CABANAC-ET-VILLAGRAINS</v>
      </c>
      <c r="F317">
        <f>LEN(modif0[[#This Row],[l_dt]])</f>
        <v>12</v>
      </c>
      <c r="G317" s="10" t="str">
        <f>objet!H367</f>
        <v>LES JEANNOTS</v>
      </c>
      <c r="H317" s="10" t="str">
        <f>objet!C367</f>
        <v>D1436</v>
      </c>
      <c r="I317" t="str">
        <f>IF(ISNUMBER(VALUE(RIGHT(LEFT(modif0[[#This Row],[idntfn]],2),1))),_xlfn.CONCAT(0,LEFT(modif0[[#This Row],[idntfn]],1)),LEFT(modif0[[#This Row],[idntfn]],2))</f>
        <v>0D</v>
      </c>
      <c r="J317">
        <f>VALUE(LEFT(RIGHT(modif0[[#This Row],[idntfn]],LEN(modif0[[#This Row],[idntfn]])-IF(LEFT(modif0[[#This Row],[sctn]],1)="0",1,2)),LEN(modif0[[#This Row],[idntfn]])-IF(LEFT(modif0[[#This Row],[sctn]],1)="0",1,2)-LEN(modif0[[#This Row],[lttr]])))</f>
        <v>1436</v>
      </c>
      <c r="K317" t="str">
        <f>IF(ISNUMBER(VALUE(RIGHT(modif0[[#This Row],[idntfn]],1))),"",IF(ISNUMBER(VALUE(LEFT(RIGHT(modif0[[#This Row],[idntfn]],2),1))),RIGHT(modif0[[#This Row],[idntfn]],1),RIGHT(modif0[[#This Row],[idntfn]],2)))</f>
        <v/>
      </c>
      <c r="L317" s="10">
        <f>objet!I367</f>
        <v>1336</v>
      </c>
      <c r="M317" s="11">
        <f>modif0[[#This Row],[srfc]]/10000</f>
        <v>0.1336</v>
      </c>
      <c r="N317" s="10" t="str">
        <f>objet!Z367</f>
        <v>PM</v>
      </c>
      <c r="O317" s="10" t="str">
        <f>objet!AA367</f>
        <v>PLA2019</v>
      </c>
      <c r="P317" t="str">
        <f>IF(ISNUMBER(modif0[[#This Row],[trvx]]),"",LEFT(modif0[[#This Row],[trvx]],LEN(modif0[[#This Row],[trvx]])-4))</f>
        <v>PLA</v>
      </c>
      <c r="Q317">
        <f>VALUE(RIGHT(modif0[[#This Row],[trvx]],4))</f>
        <v>2019</v>
      </c>
      <c r="R317" t="str">
        <f>_xlfn.CONCAT(modif0[[#This Row],[tp]],"-",modif0[[#This Row],[essnc]],"_",modif0[[#This Row],[anns]])</f>
        <v>PLA-PM_2019</v>
      </c>
      <c r="S317" t="b">
        <f>modif0[[#This Row],[tp]]="CR"</f>
        <v>0</v>
      </c>
      <c r="T317">
        <v>40</v>
      </c>
      <c r="U317" t="str">
        <f>IF(NOT($A317),"",
IF(AO317=-2,regle!$J$11,
IF(AO317=regle!$B$12,regle!$B$11,
IF(AO317=regle!$C$12,regle!$C$11,
IF(AO317=regle!$D$12,regle!$D$11,
IF(AO317=regle!$E$12,regle!$E$11,
IF(AO317=regle!$F$12,regle!$F$11,
IF(AO317=regle!$G$12,regle!$G$11,
IF(AO317=regle!$H$12,regle!$H$11,
IF(AO317=regle!$I$12,regle!$I$11,""))))))))))</f>
        <v>ENT1</v>
      </c>
      <c r="V317" t="str">
        <f>IF(NOT($A317),"",
IF(AP317=-2,regle!$J$11,
IF(AP317=regle!$B$12,regle!$B$11,
IF(AP317=regle!$C$12,regle!$C$11,
IF(AP317=regle!$D$12,regle!$D$11,
IF(AP317=regle!$E$12,regle!$E$11,
IF(AP317=regle!$F$12,regle!$F$11,
IF(AP317=regle!$G$12,regle!$G$11,
IF(AP317=regle!$H$12,regle!$H$11,
IF(AP317=regle!$I$12,regle!$I$11,""))))))))))</f>
        <v/>
      </c>
      <c r="W317" t="str">
        <f>IF(NOT($A317),"",
IF(AQ317=-2,regle!$J$11,
IF(AQ317=regle!$B$12,regle!$B$11,
IF(AQ317=regle!$C$12,regle!$C$11,
IF(AQ317=regle!$D$12,regle!$D$11,
IF(AQ317=regle!$E$12,regle!$E$11,
IF(AQ317=regle!$F$12,regle!$F$11,
IF(AQ317=regle!$G$12,regle!$G$11,
IF(AQ317=regle!$H$12,regle!$H$11,
IF(AQ317=regle!$I$12,regle!$I$11,""))))))))))</f>
        <v/>
      </c>
      <c r="X317" t="str">
        <f>IF(NOT($A317),"",
IF(AR317=-2,regle!$J$11,
IF(AR317=regle!$B$12,regle!$B$11,
IF(AR317=regle!$C$12,regle!$C$11,
IF(AR317=regle!$D$12,regle!$D$11,
IF(AR317=regle!$E$12,regle!$E$11,
IF(AR317=regle!$F$12,regle!$F$11,
IF(AR317=regle!$G$12,regle!$G$11,
IF(AR317=regle!$H$12,regle!$H$11,
IF(AR317=regle!$I$12,regle!$I$11,""))))))))))</f>
        <v>ENT2</v>
      </c>
      <c r="Y317" t="str">
        <f>IF(NOT($A317),"",
IF(AS317=-2,regle!$J$11,
IF(AS317=regle!$B$12,regle!$B$11,
IF(AS317=regle!$C$12,regle!$C$11,
IF(AS317=regle!$D$12,regle!$D$11,
IF(AS317=regle!$E$12,regle!$E$11,
IF(AS317=regle!$F$12,regle!$F$11,
IF(AS317=regle!$G$12,regle!$G$11,
IF(AS317=regle!$H$12,regle!$H$11,
IF(AS317=regle!$I$12,regle!$I$11,""))))))))))</f>
        <v/>
      </c>
      <c r="Z317" t="str">
        <f>IF(NOT($A317),"",
IF(AT317=-2,regle!$J$11,
IF(AT317=regle!$B$12,regle!$B$11,
IF(AT317=regle!$C$12,regle!$C$11,
IF(AT317=regle!$D$12,regle!$D$11,
IF(AT317=regle!$E$12,regle!$E$11,
IF(AT317=regle!$F$12,regle!$F$11,
IF(AT317=regle!$G$12,regle!$G$11,
IF(AT317=regle!$H$12,regle!$H$11,
IF(AT317=regle!$I$12,regle!$I$11,""))))))))))</f>
        <v/>
      </c>
      <c r="AA317" t="str">
        <f>IF(NOT($A317),"",
IF(AU317=-2,regle!$J$11,
IF(AU317=regle!$B$12,regle!$B$11,
IF(AU317=regle!$C$12,regle!$C$11,
IF(AU317=regle!$D$12,regle!$D$11,
IF(AU317=regle!$E$12,regle!$E$11,
IF(AU317=regle!$F$12,regle!$F$11,
IF(AU317=regle!$G$12,regle!$G$11,
IF(AU317=regle!$H$12,regle!$H$11,
IF(AU317=regle!$I$12,regle!$I$11,""))))))))))</f>
        <v/>
      </c>
      <c r="AB317" t="str">
        <f>IF(NOT($A317),"",
IF(AV317=-2,regle!$J$11,
IF(AV317=regle!$B$12,regle!$B$11,
IF(AV317=regle!$C$12,regle!$C$11,
IF(AV317=regle!$D$12,regle!$D$11,
IF(AV317=regle!$E$12,regle!$E$11,
IF(AV317=regle!$F$12,regle!$F$11,
IF(AV317=regle!$G$12,regle!$G$11,
IF(AV317=regle!$H$12,regle!$H$11,
IF(AV317=regle!$I$12,regle!$I$11,""))))))))))</f>
        <v/>
      </c>
      <c r="AC317" t="str">
        <f>IF(NOT($A317),"",
IF(AW317=-2,regle!$J$11,
IF(AW317=regle!$B$12,regle!$B$11,
IF(AW317=regle!$C$12,regle!$C$11,
IF(AW317=regle!$D$12,regle!$D$11,
IF(AW317=regle!$E$12,regle!$E$11,
IF(AW317=regle!$F$12,regle!$F$11,
IF(AW317=regle!$G$12,regle!$G$11,
IF(AW317=regle!$H$12,regle!$H$11,
IF(AW317=regle!$I$12,regle!$I$11,""))))))))))</f>
        <v>EC1</v>
      </c>
      <c r="AD317" t="str">
        <f>IF(NOT($A317),"",
IF(AX317=-2,regle!$J$11,
IF(AX317=regle!$B$12,regle!$B$11,
IF(AX317=regle!$C$12,regle!$C$11,
IF(AX317=regle!$D$12,regle!$D$11,
IF(AX317=regle!$E$12,regle!$E$11,
IF(AX317=regle!$F$12,regle!$F$11,
IF(AX317=regle!$G$12,regle!$G$11,
IF(AX317=regle!$H$12,regle!$H$11,
IF(AX317=regle!$I$12,regle!$I$11,""))))))))))</f>
        <v/>
      </c>
      <c r="AE317" s="14">
        <f>IF($A317,$M317*(IF(U317=regle!$B$11,regle!$B$23,IF(U317=regle!$C$11,regle!$C$23,IF(U317=regle!$D$11,regle!$D$23,IF(U317=regle!$E$11,regle!$E$23,IF(U317=regle!$F$11,regle!$F$23,IF(U317=regle!$G$11,regle!$G$23,IF(U317=regle!$H$11,regle!$H$23,IF(U317=regle!$I$11,regle!$I$23,IF(U317=regle!$J$11,regle!$J$23,0)))))))))))</f>
        <v>-12.023999999999999</v>
      </c>
      <c r="AF317" s="14">
        <f>IF($A317,$M317*(IF(V317=regle!$B$11,regle!$B$23,IF(V317=regle!$C$11,regle!$C$23,IF(V317=regle!$D$11,regle!$D$23,IF(V317=regle!$E$11,regle!$E$23,IF(V317=regle!$F$11,regle!$F$23,IF(V317=regle!$G$11,regle!$G$23,IF(V317=regle!$H$11,regle!$H$23,IF(V317=regle!$I$11,regle!$I$23,IF(V317=regle!$J$11,regle!$J$23,0)))))))))))</f>
        <v>0</v>
      </c>
      <c r="AG317" s="14">
        <f>IF($A317,$M317*(IF(W317=regle!$B$11,regle!$B$23,IF(W317=regle!$C$11,regle!$C$23,IF(W317=regle!$D$11,regle!$D$23,IF(W317=regle!$E$11,regle!$E$23,IF(W317=regle!$F$11,regle!$F$23,IF(W317=regle!$G$11,regle!$G$23,IF(W317=regle!$H$11,regle!$H$23,IF(W317=regle!$I$11,regle!$I$23,IF(W317=regle!$J$11,regle!$J$23,0)))))))))))</f>
        <v>0</v>
      </c>
      <c r="AH317" s="14">
        <f>IF($A317,$M317*(IF(X317=regle!$B$11,regle!$B$23,IF(X317=regle!$C$11,regle!$C$23,IF(X317=regle!$D$11,regle!$D$23,IF(X317=regle!$E$11,regle!$E$23,IF(X317=regle!$F$11,regle!$F$23,IF(X317=regle!$G$11,regle!$G$23,IF(X317=regle!$H$11,regle!$H$23,IF(X317=regle!$I$11,regle!$I$23,IF(X317=regle!$J$11,regle!$J$23,0)))))))))))</f>
        <v>-12.023999999999999</v>
      </c>
      <c r="AI317" s="14">
        <f>IF($A317,$M317*(IF(Y317=regle!$B$11,regle!$B$23,IF(Y317=regle!$C$11,regle!$C$23,IF(Y317=regle!$D$11,regle!$D$23,IF(Y317=regle!$E$11,regle!$E$23,IF(Y317=regle!$F$11,regle!$F$23,IF(Y317=regle!$G$11,regle!$G$23,IF(Y317=regle!$H$11,regle!$H$23,IF(Y317=regle!$I$11,regle!$I$23,IF(Y317=regle!$J$11,regle!$J$23,0)))))))))))</f>
        <v>0</v>
      </c>
      <c r="AJ317" s="14">
        <f>IF($A317,$M317*(IF(Z317=regle!$B$11,regle!$B$23,IF(Z317=regle!$C$11,regle!$C$23,IF(Z317=regle!$D$11,regle!$D$23,IF(Z317=regle!$E$11,regle!$E$23,IF(Z317=regle!$F$11,regle!$F$23,IF(Z317=regle!$G$11,regle!$G$23,IF(Z317=regle!$H$11,regle!$H$23,IF(Z317=regle!$I$11,regle!$I$23,IF(Z317=regle!$J$11,regle!$J$23,0)))))))))))</f>
        <v>0</v>
      </c>
      <c r="AK317" s="14">
        <f>IF($A317,$M317*(IF(AA317=regle!$B$11,regle!$B$23,IF(AA317=regle!$C$11,regle!$C$23,IF(AA317=regle!$D$11,regle!$D$23,IF(AA317=regle!$E$11,regle!$E$23,IF(AA317=regle!$F$11,regle!$F$23,IF(AA317=regle!$G$11,regle!$G$23,IF(AA317=regle!$H$11,regle!$H$23,IF(AA317=regle!$I$11,regle!$I$23,IF(AA317=regle!$J$11,regle!$J$23,0)))))))))))</f>
        <v>0</v>
      </c>
      <c r="AL317" s="14">
        <f>IF($A317,$M317*(IF(AB317=regle!$B$11,regle!$B$23,IF(AB317=regle!$C$11,regle!$C$23,IF(AB317=regle!$D$11,regle!$D$23,IF(AB317=regle!$E$11,regle!$E$23,IF(AB317=regle!$F$11,regle!$F$23,IF(AB317=regle!$G$11,regle!$G$23,IF(AB317=regle!$H$11,regle!$H$23,IF(AB317=regle!$I$11,regle!$I$23,IF(AB317=regle!$J$11,regle!$J$23,0)))))))))))</f>
        <v>0</v>
      </c>
      <c r="AM317" s="14">
        <f>IF($A317,$M317*(IF(AC317=regle!$B$11,regle!$B$23,IF(AC317=regle!$C$11,regle!$C$23,IF(AC317=regle!$D$11,regle!$D$23,IF(AC317=regle!$E$11,regle!$E$23,IF(AC317=regle!$F$11,regle!$F$23,IF(AC317=regle!$G$11,regle!$G$23,IF(AC317=regle!$H$11,regle!$H$23,IF(AC317=regle!$I$11,regle!$I$23,IF(AC317=regle!$J$11,regle!$J$23,0)))))))))))</f>
        <v>76.953599999999994</v>
      </c>
      <c r="AN317" s="14">
        <f>IF($A317,$M317*(IF(AD317=regle!$B$11,regle!$B$23,IF(AD317=regle!$C$11,regle!$C$23,IF(AD317=regle!$D$11,regle!$D$23,IF(AD317=regle!$E$11,regle!$E$23,IF(AD317=regle!$F$11,regle!$F$23,IF(AD317=regle!$G$11,regle!$G$23,IF(AD317=regle!$H$11,regle!$H$23,IF(AD317=regle!$I$11,regle!$I$23,IF(AD317=regle!$J$11,regle!$J$23,0)))))))))))</f>
        <v>0</v>
      </c>
      <c r="AO317">
        <f>IF(AO$1=$AO$1,IF(regle!B$2-$Q317&gt;=regle!$J$12,-2,IF($S317,IF(regle!$B$2-$Q317&gt;=2,0,-1),regle!B$2-$Q317)),IF(AN317+1&gt;=regle!$J$12,-2,AN317+1))</f>
        <v>5</v>
      </c>
      <c r="AP317">
        <f>IF(AP$1=$AO$1,IF(regle!C$2-$Q317&gt;=regle!$J$12,-2,IF($S317,IF(regle!$B$2-$Q317&gt;=2,0,-1),regle!C$2-$Q317)),IF(AO317+1&gt;=regle!$J$12,-2,AO317+1))</f>
        <v>6</v>
      </c>
      <c r="AQ317">
        <f>IF(AQ$1=$AO$1,IF(regle!D$2-$Q317&gt;=regle!$J$12,-2,IF($S317,IF(regle!$B$2-$Q317&gt;=2,0,-1),regle!D$2-$Q317)),IF(AP317+1&gt;=regle!$J$12,-2,AP317+1))</f>
        <v>7</v>
      </c>
      <c r="AR317">
        <f>IF(AR$1=$AO$1,IF(regle!E$2-$Q317&gt;=regle!$J$12,-2,IF($S317,IF(regle!$B$2-$Q317&gt;=2,0,-1),regle!E$2-$Q317)),IF(AQ317+1&gt;=regle!$J$12,-2,AQ317+1))</f>
        <v>8</v>
      </c>
      <c r="AS317">
        <f>IF(AS$1=$AO$1,IF(regle!F$2-$Q317&gt;=regle!$J$12,-2,IF($S317,IF(regle!$B$2-$Q317&gt;=2,0,-1),regle!F$2-$Q317)),IF(AR317+1&gt;=regle!$J$12,-2,AR317+1))</f>
        <v>9</v>
      </c>
      <c r="AT317">
        <f>IF(AT$1=$AO$1,IF(regle!G$2-$Q317&gt;=regle!$J$12,-2,IF($S317,IF(regle!$B$2-$Q317&gt;=2,0,-1),regle!G$2-$Q317)),IF(AS317+1&gt;=regle!$J$12,-2,AS317+1))</f>
        <v>10</v>
      </c>
      <c r="AU317">
        <f>IF(AU$1=$AO$1,IF(regle!H$2-$Q317&gt;=regle!$J$12,-2,IF($S317,IF(regle!$B$2-$Q317&gt;=2,0,-1),regle!H$2-$Q317)),IF(AT317+1&gt;=regle!$J$12,-2,AT317+1))</f>
        <v>11</v>
      </c>
      <c r="AV317">
        <f>IF(AV$1=$AO$1,IF(regle!I$2-$Q317&gt;=regle!$J$12,-2,IF($S317,IF(regle!$B$2-$Q317&gt;=2,0,-1),regle!I$2-$Q317)),IF(AU317+1&gt;=regle!$J$12,-2,AU317+1))</f>
        <v>12</v>
      </c>
      <c r="AW317">
        <f>IF(AW$1=$AO$1,IF(regle!J$2-$Q317&gt;=regle!$J$12,-2,IF($S317,IF(regle!$B$2-$Q317&gt;=2,0,-1),regle!J$2-$Q317)),IF(AV317+1&gt;=regle!$J$12,-2,AV317+1))</f>
        <v>13</v>
      </c>
      <c r="AX317">
        <f>IF(AX$1=$AO$1,IF(regle!K$2-$Q317&gt;=regle!$J$12,-2,IF($S317,IF(regle!$B$2-$Q317&gt;=2,0,-1),regle!K$2-$Q317)),IF(AW317+1&gt;=regle!$J$12,-2,AW317+1))</f>
        <v>14</v>
      </c>
    </row>
    <row r="318" spans="1:50" x14ac:dyDescent="0.25">
      <c r="A318" t="b">
        <f>AND(modif0[[#This Row],[cdstr]]&lt;&gt;0,OR(regle!$H$27=FALSE,modif0[[#This Row],[essnc]]="PM"))</f>
        <v>1</v>
      </c>
      <c r="B318">
        <f>ROW(objet!A368)</f>
        <v>368</v>
      </c>
      <c r="C318" s="10" t="str">
        <f>objet!D368</f>
        <v>0770000D1437</v>
      </c>
      <c r="D318" t="str">
        <f>LEFT(modif0[[#This Row],[cdstr]],3)</f>
        <v>077</v>
      </c>
      <c r="E318" s="10" t="str">
        <f>objet!G368</f>
        <v>CABANAC-ET-VILLAGRAINS</v>
      </c>
      <c r="F318">
        <f>LEN(modif0[[#This Row],[l_dt]])</f>
        <v>12</v>
      </c>
      <c r="G318" s="10" t="str">
        <f>objet!H368</f>
        <v>LES JEANNOTS</v>
      </c>
      <c r="H318" s="10" t="str">
        <f>objet!C368</f>
        <v>D1437j</v>
      </c>
      <c r="I318" t="str">
        <f>IF(ISNUMBER(VALUE(RIGHT(LEFT(modif0[[#This Row],[idntfn]],2),1))),_xlfn.CONCAT(0,LEFT(modif0[[#This Row],[idntfn]],1)),LEFT(modif0[[#This Row],[idntfn]],2))</f>
        <v>0D</v>
      </c>
      <c r="J318">
        <f>VALUE(LEFT(RIGHT(modif0[[#This Row],[idntfn]],LEN(modif0[[#This Row],[idntfn]])-IF(LEFT(modif0[[#This Row],[sctn]],1)="0",1,2)),LEN(modif0[[#This Row],[idntfn]])-IF(LEFT(modif0[[#This Row],[sctn]],1)="0",1,2)-LEN(modif0[[#This Row],[lttr]])))</f>
        <v>1437</v>
      </c>
      <c r="K318" t="str">
        <f>IF(ISNUMBER(VALUE(RIGHT(modif0[[#This Row],[idntfn]],1))),"",IF(ISNUMBER(VALUE(LEFT(RIGHT(modif0[[#This Row],[idntfn]],2),1))),RIGHT(modif0[[#This Row],[idntfn]],1),RIGHT(modif0[[#This Row],[idntfn]],2)))</f>
        <v>j</v>
      </c>
      <c r="L318" s="10">
        <f>objet!I368</f>
        <v>2692</v>
      </c>
      <c r="M318" s="11">
        <f>modif0[[#This Row],[srfc]]/10000</f>
        <v>0.26919999999999999</v>
      </c>
      <c r="N318" s="10" t="str">
        <f>objet!Z368</f>
        <v>PM</v>
      </c>
      <c r="O318" s="10" t="str">
        <f>objet!AA368</f>
        <v>PLA2019</v>
      </c>
      <c r="P318" t="str">
        <f>IF(ISNUMBER(modif0[[#This Row],[trvx]]),"",LEFT(modif0[[#This Row],[trvx]],LEN(modif0[[#This Row],[trvx]])-4))</f>
        <v>PLA</v>
      </c>
      <c r="Q318">
        <f>VALUE(RIGHT(modif0[[#This Row],[trvx]],4))</f>
        <v>2019</v>
      </c>
      <c r="R318" t="str">
        <f>_xlfn.CONCAT(modif0[[#This Row],[tp]],"-",modif0[[#This Row],[essnc]],"_",modif0[[#This Row],[anns]])</f>
        <v>PLA-PM_2019</v>
      </c>
      <c r="S318" t="b">
        <f>modif0[[#This Row],[tp]]="CR"</f>
        <v>0</v>
      </c>
      <c r="T318">
        <v>40</v>
      </c>
      <c r="U318" t="str">
        <f>IF(NOT($A318),"",
IF(AO318=-2,regle!$J$11,
IF(AO318=regle!$B$12,regle!$B$11,
IF(AO318=regle!$C$12,regle!$C$11,
IF(AO318=regle!$D$12,regle!$D$11,
IF(AO318=regle!$E$12,regle!$E$11,
IF(AO318=regle!$F$12,regle!$F$11,
IF(AO318=regle!$G$12,regle!$G$11,
IF(AO318=regle!$H$12,regle!$H$11,
IF(AO318=regle!$I$12,regle!$I$11,""))))))))))</f>
        <v>ENT1</v>
      </c>
      <c r="V318" t="str">
        <f>IF(NOT($A318),"",
IF(AP318=-2,regle!$J$11,
IF(AP318=regle!$B$12,regle!$B$11,
IF(AP318=regle!$C$12,regle!$C$11,
IF(AP318=regle!$D$12,regle!$D$11,
IF(AP318=regle!$E$12,regle!$E$11,
IF(AP318=regle!$F$12,regle!$F$11,
IF(AP318=regle!$G$12,regle!$G$11,
IF(AP318=regle!$H$12,regle!$H$11,
IF(AP318=regle!$I$12,regle!$I$11,""))))))))))</f>
        <v/>
      </c>
      <c r="W318" t="str">
        <f>IF(NOT($A318),"",
IF(AQ318=-2,regle!$J$11,
IF(AQ318=regle!$B$12,regle!$B$11,
IF(AQ318=regle!$C$12,regle!$C$11,
IF(AQ318=regle!$D$12,regle!$D$11,
IF(AQ318=regle!$E$12,regle!$E$11,
IF(AQ318=regle!$F$12,regle!$F$11,
IF(AQ318=regle!$G$12,regle!$G$11,
IF(AQ318=regle!$H$12,regle!$H$11,
IF(AQ318=regle!$I$12,regle!$I$11,""))))))))))</f>
        <v/>
      </c>
      <c r="X318" t="str">
        <f>IF(NOT($A318),"",
IF(AR318=-2,regle!$J$11,
IF(AR318=regle!$B$12,regle!$B$11,
IF(AR318=regle!$C$12,regle!$C$11,
IF(AR318=regle!$D$12,regle!$D$11,
IF(AR318=regle!$E$12,regle!$E$11,
IF(AR318=regle!$F$12,regle!$F$11,
IF(AR318=regle!$G$12,regle!$G$11,
IF(AR318=regle!$H$12,regle!$H$11,
IF(AR318=regle!$I$12,regle!$I$11,""))))))))))</f>
        <v>ENT2</v>
      </c>
      <c r="Y318" t="str">
        <f>IF(NOT($A318),"",
IF(AS318=-2,regle!$J$11,
IF(AS318=regle!$B$12,regle!$B$11,
IF(AS318=regle!$C$12,regle!$C$11,
IF(AS318=regle!$D$12,regle!$D$11,
IF(AS318=regle!$E$12,regle!$E$11,
IF(AS318=regle!$F$12,regle!$F$11,
IF(AS318=regle!$G$12,regle!$G$11,
IF(AS318=regle!$H$12,regle!$H$11,
IF(AS318=regle!$I$12,regle!$I$11,""))))))))))</f>
        <v/>
      </c>
      <c r="Z318" t="str">
        <f>IF(NOT($A318),"",
IF(AT318=-2,regle!$J$11,
IF(AT318=regle!$B$12,regle!$B$11,
IF(AT318=regle!$C$12,regle!$C$11,
IF(AT318=regle!$D$12,regle!$D$11,
IF(AT318=regle!$E$12,regle!$E$11,
IF(AT318=regle!$F$12,regle!$F$11,
IF(AT318=regle!$G$12,regle!$G$11,
IF(AT318=regle!$H$12,regle!$H$11,
IF(AT318=regle!$I$12,regle!$I$11,""))))))))))</f>
        <v/>
      </c>
      <c r="AA318" t="str">
        <f>IF(NOT($A318),"",
IF(AU318=-2,regle!$J$11,
IF(AU318=regle!$B$12,regle!$B$11,
IF(AU318=regle!$C$12,regle!$C$11,
IF(AU318=regle!$D$12,regle!$D$11,
IF(AU318=regle!$E$12,regle!$E$11,
IF(AU318=regle!$F$12,regle!$F$11,
IF(AU318=regle!$G$12,regle!$G$11,
IF(AU318=regle!$H$12,regle!$H$11,
IF(AU318=regle!$I$12,regle!$I$11,""))))))))))</f>
        <v/>
      </c>
      <c r="AB318" t="str">
        <f>IF(NOT($A318),"",
IF(AV318=-2,regle!$J$11,
IF(AV318=regle!$B$12,regle!$B$11,
IF(AV318=regle!$C$12,regle!$C$11,
IF(AV318=regle!$D$12,regle!$D$11,
IF(AV318=regle!$E$12,regle!$E$11,
IF(AV318=regle!$F$12,regle!$F$11,
IF(AV318=regle!$G$12,regle!$G$11,
IF(AV318=regle!$H$12,regle!$H$11,
IF(AV318=regle!$I$12,regle!$I$11,""))))))))))</f>
        <v/>
      </c>
      <c r="AC318" t="str">
        <f>IF(NOT($A318),"",
IF(AW318=-2,regle!$J$11,
IF(AW318=regle!$B$12,regle!$B$11,
IF(AW318=regle!$C$12,regle!$C$11,
IF(AW318=regle!$D$12,regle!$D$11,
IF(AW318=regle!$E$12,regle!$E$11,
IF(AW318=regle!$F$12,regle!$F$11,
IF(AW318=regle!$G$12,regle!$G$11,
IF(AW318=regle!$H$12,regle!$H$11,
IF(AW318=regle!$I$12,regle!$I$11,""))))))))))</f>
        <v>EC1</v>
      </c>
      <c r="AD318" t="str">
        <f>IF(NOT($A318),"",
IF(AX318=-2,regle!$J$11,
IF(AX318=regle!$B$12,regle!$B$11,
IF(AX318=regle!$C$12,regle!$C$11,
IF(AX318=regle!$D$12,regle!$D$11,
IF(AX318=regle!$E$12,regle!$E$11,
IF(AX318=regle!$F$12,regle!$F$11,
IF(AX318=regle!$G$12,regle!$G$11,
IF(AX318=regle!$H$12,regle!$H$11,
IF(AX318=regle!$I$12,regle!$I$11,""))))))))))</f>
        <v/>
      </c>
      <c r="AE318" s="14">
        <f>IF($A318,$M318*(IF(U318=regle!$B$11,regle!$B$23,IF(U318=regle!$C$11,regle!$C$23,IF(U318=regle!$D$11,regle!$D$23,IF(U318=regle!$E$11,regle!$E$23,IF(U318=regle!$F$11,regle!$F$23,IF(U318=regle!$G$11,regle!$G$23,IF(U318=regle!$H$11,regle!$H$23,IF(U318=regle!$I$11,regle!$I$23,IF(U318=regle!$J$11,regle!$J$23,0)))))))))))</f>
        <v>-24.227999999999998</v>
      </c>
      <c r="AF318" s="14">
        <f>IF($A318,$M318*(IF(V318=regle!$B$11,regle!$B$23,IF(V318=regle!$C$11,regle!$C$23,IF(V318=regle!$D$11,regle!$D$23,IF(V318=regle!$E$11,regle!$E$23,IF(V318=regle!$F$11,regle!$F$23,IF(V318=regle!$G$11,regle!$G$23,IF(V318=regle!$H$11,regle!$H$23,IF(V318=regle!$I$11,regle!$I$23,IF(V318=regle!$J$11,regle!$J$23,0)))))))))))</f>
        <v>0</v>
      </c>
      <c r="AG318" s="14">
        <f>IF($A318,$M318*(IF(W318=regle!$B$11,regle!$B$23,IF(W318=regle!$C$11,regle!$C$23,IF(W318=regle!$D$11,regle!$D$23,IF(W318=regle!$E$11,regle!$E$23,IF(W318=regle!$F$11,regle!$F$23,IF(W318=regle!$G$11,regle!$G$23,IF(W318=regle!$H$11,regle!$H$23,IF(W318=regle!$I$11,regle!$I$23,IF(W318=regle!$J$11,regle!$J$23,0)))))))))))</f>
        <v>0</v>
      </c>
      <c r="AH318" s="14">
        <f>IF($A318,$M318*(IF(X318=regle!$B$11,regle!$B$23,IF(X318=regle!$C$11,regle!$C$23,IF(X318=regle!$D$11,regle!$D$23,IF(X318=regle!$E$11,regle!$E$23,IF(X318=regle!$F$11,regle!$F$23,IF(X318=regle!$G$11,regle!$G$23,IF(X318=regle!$H$11,regle!$H$23,IF(X318=regle!$I$11,regle!$I$23,IF(X318=regle!$J$11,regle!$J$23,0)))))))))))</f>
        <v>-24.227999999999998</v>
      </c>
      <c r="AI318" s="14">
        <f>IF($A318,$M318*(IF(Y318=regle!$B$11,regle!$B$23,IF(Y318=regle!$C$11,regle!$C$23,IF(Y318=regle!$D$11,regle!$D$23,IF(Y318=regle!$E$11,regle!$E$23,IF(Y318=regle!$F$11,regle!$F$23,IF(Y318=regle!$G$11,regle!$G$23,IF(Y318=regle!$H$11,regle!$H$23,IF(Y318=regle!$I$11,regle!$I$23,IF(Y318=regle!$J$11,regle!$J$23,0)))))))))))</f>
        <v>0</v>
      </c>
      <c r="AJ318" s="14">
        <f>IF($A318,$M318*(IF(Z318=regle!$B$11,regle!$B$23,IF(Z318=regle!$C$11,regle!$C$23,IF(Z318=regle!$D$11,regle!$D$23,IF(Z318=regle!$E$11,regle!$E$23,IF(Z318=regle!$F$11,regle!$F$23,IF(Z318=regle!$G$11,regle!$G$23,IF(Z318=regle!$H$11,regle!$H$23,IF(Z318=regle!$I$11,regle!$I$23,IF(Z318=regle!$J$11,regle!$J$23,0)))))))))))</f>
        <v>0</v>
      </c>
      <c r="AK318" s="14">
        <f>IF($A318,$M318*(IF(AA318=regle!$B$11,regle!$B$23,IF(AA318=regle!$C$11,regle!$C$23,IF(AA318=regle!$D$11,regle!$D$23,IF(AA318=regle!$E$11,regle!$E$23,IF(AA318=regle!$F$11,regle!$F$23,IF(AA318=regle!$G$11,regle!$G$23,IF(AA318=regle!$H$11,regle!$H$23,IF(AA318=regle!$I$11,regle!$I$23,IF(AA318=regle!$J$11,regle!$J$23,0)))))))))))</f>
        <v>0</v>
      </c>
      <c r="AL318" s="14">
        <f>IF($A318,$M318*(IF(AB318=regle!$B$11,regle!$B$23,IF(AB318=regle!$C$11,regle!$C$23,IF(AB318=regle!$D$11,regle!$D$23,IF(AB318=regle!$E$11,regle!$E$23,IF(AB318=regle!$F$11,regle!$F$23,IF(AB318=regle!$G$11,regle!$G$23,IF(AB318=regle!$H$11,regle!$H$23,IF(AB318=regle!$I$11,regle!$I$23,IF(AB318=regle!$J$11,regle!$J$23,0)))))))))))</f>
        <v>0</v>
      </c>
      <c r="AM318" s="14">
        <f>IF($A318,$M318*(IF(AC318=regle!$B$11,regle!$B$23,IF(AC318=regle!$C$11,regle!$C$23,IF(AC318=regle!$D$11,regle!$D$23,IF(AC318=regle!$E$11,regle!$E$23,IF(AC318=regle!$F$11,regle!$F$23,IF(AC318=regle!$G$11,regle!$G$23,IF(AC318=regle!$H$11,regle!$H$23,IF(AC318=regle!$I$11,regle!$I$23,IF(AC318=regle!$J$11,regle!$J$23,0)))))))))))</f>
        <v>155.0592</v>
      </c>
      <c r="AN318" s="14">
        <f>IF($A318,$M318*(IF(AD318=regle!$B$11,regle!$B$23,IF(AD318=regle!$C$11,regle!$C$23,IF(AD318=regle!$D$11,regle!$D$23,IF(AD318=regle!$E$11,regle!$E$23,IF(AD318=regle!$F$11,regle!$F$23,IF(AD318=regle!$G$11,regle!$G$23,IF(AD318=regle!$H$11,regle!$H$23,IF(AD318=regle!$I$11,regle!$I$23,IF(AD318=regle!$J$11,regle!$J$23,0)))))))))))</f>
        <v>0</v>
      </c>
      <c r="AO318">
        <f>IF(AO$1=$AO$1,IF(regle!B$2-$Q318&gt;=regle!$J$12,-2,IF($S318,IF(regle!$B$2-$Q318&gt;=2,0,-1),regle!B$2-$Q318)),IF(AN318+1&gt;=regle!$J$12,-2,AN318+1))</f>
        <v>5</v>
      </c>
      <c r="AP318">
        <f>IF(AP$1=$AO$1,IF(regle!C$2-$Q318&gt;=regle!$J$12,-2,IF($S318,IF(regle!$B$2-$Q318&gt;=2,0,-1),regle!C$2-$Q318)),IF(AO318+1&gt;=regle!$J$12,-2,AO318+1))</f>
        <v>6</v>
      </c>
      <c r="AQ318">
        <f>IF(AQ$1=$AO$1,IF(regle!D$2-$Q318&gt;=regle!$J$12,-2,IF($S318,IF(regle!$B$2-$Q318&gt;=2,0,-1),regle!D$2-$Q318)),IF(AP318+1&gt;=regle!$J$12,-2,AP318+1))</f>
        <v>7</v>
      </c>
      <c r="AR318">
        <f>IF(AR$1=$AO$1,IF(regle!E$2-$Q318&gt;=regle!$J$12,-2,IF($S318,IF(regle!$B$2-$Q318&gt;=2,0,-1),regle!E$2-$Q318)),IF(AQ318+1&gt;=regle!$J$12,-2,AQ318+1))</f>
        <v>8</v>
      </c>
      <c r="AS318">
        <f>IF(AS$1=$AO$1,IF(regle!F$2-$Q318&gt;=regle!$J$12,-2,IF($S318,IF(regle!$B$2-$Q318&gt;=2,0,-1),regle!F$2-$Q318)),IF(AR318+1&gt;=regle!$J$12,-2,AR318+1))</f>
        <v>9</v>
      </c>
      <c r="AT318">
        <f>IF(AT$1=$AO$1,IF(regle!G$2-$Q318&gt;=regle!$J$12,-2,IF($S318,IF(regle!$B$2-$Q318&gt;=2,0,-1),regle!G$2-$Q318)),IF(AS318+1&gt;=regle!$J$12,-2,AS318+1))</f>
        <v>10</v>
      </c>
      <c r="AU318">
        <f>IF(AU$1=$AO$1,IF(regle!H$2-$Q318&gt;=regle!$J$12,-2,IF($S318,IF(regle!$B$2-$Q318&gt;=2,0,-1),regle!H$2-$Q318)),IF(AT318+1&gt;=regle!$J$12,-2,AT318+1))</f>
        <v>11</v>
      </c>
      <c r="AV318">
        <f>IF(AV$1=$AO$1,IF(regle!I$2-$Q318&gt;=regle!$J$12,-2,IF($S318,IF(regle!$B$2-$Q318&gt;=2,0,-1),regle!I$2-$Q318)),IF(AU318+1&gt;=regle!$J$12,-2,AU318+1))</f>
        <v>12</v>
      </c>
      <c r="AW318">
        <f>IF(AW$1=$AO$1,IF(regle!J$2-$Q318&gt;=regle!$J$12,-2,IF($S318,IF(regle!$B$2-$Q318&gt;=2,0,-1),regle!J$2-$Q318)),IF(AV318+1&gt;=regle!$J$12,-2,AV318+1))</f>
        <v>13</v>
      </c>
      <c r="AX318">
        <f>IF(AX$1=$AO$1,IF(regle!K$2-$Q318&gt;=regle!$J$12,-2,IF($S318,IF(regle!$B$2-$Q318&gt;=2,0,-1),regle!K$2-$Q318)),IF(AW318+1&gt;=regle!$J$12,-2,AW318+1))</f>
        <v>14</v>
      </c>
    </row>
    <row r="319" spans="1:50" x14ac:dyDescent="0.25">
      <c r="A319" t="b">
        <f>AND(modif0[[#This Row],[cdstr]]&lt;&gt;0,OR(regle!$H$27=FALSE,modif0[[#This Row],[essnc]]="PM"))</f>
        <v>1</v>
      </c>
      <c r="B319">
        <f>ROW(objet!A369)</f>
        <v>369</v>
      </c>
      <c r="C319" s="10" t="str">
        <f>objet!D369</f>
        <v>0770000D1437</v>
      </c>
      <c r="D319" t="str">
        <f>LEFT(modif0[[#This Row],[cdstr]],3)</f>
        <v>077</v>
      </c>
      <c r="E319" s="10" t="str">
        <f>objet!G369</f>
        <v>CABANAC-ET-VILLAGRAINS</v>
      </c>
      <c r="F319">
        <f>LEN(modif0[[#This Row],[l_dt]])</f>
        <v>12</v>
      </c>
      <c r="G319" s="10" t="str">
        <f>objet!H369</f>
        <v>LES JEANNOTS</v>
      </c>
      <c r="H319" s="10" t="str">
        <f>objet!C369</f>
        <v>D1437k</v>
      </c>
      <c r="I319" t="str">
        <f>IF(ISNUMBER(VALUE(RIGHT(LEFT(modif0[[#This Row],[idntfn]],2),1))),_xlfn.CONCAT(0,LEFT(modif0[[#This Row],[idntfn]],1)),LEFT(modif0[[#This Row],[idntfn]],2))</f>
        <v>0D</v>
      </c>
      <c r="J319">
        <f>VALUE(LEFT(RIGHT(modif0[[#This Row],[idntfn]],LEN(modif0[[#This Row],[idntfn]])-IF(LEFT(modif0[[#This Row],[sctn]],1)="0",1,2)),LEN(modif0[[#This Row],[idntfn]])-IF(LEFT(modif0[[#This Row],[sctn]],1)="0",1,2)-LEN(modif0[[#This Row],[lttr]])))</f>
        <v>1437</v>
      </c>
      <c r="K319" t="str">
        <f>IF(ISNUMBER(VALUE(RIGHT(modif0[[#This Row],[idntfn]],1))),"",IF(ISNUMBER(VALUE(LEFT(RIGHT(modif0[[#This Row],[idntfn]],2),1))),RIGHT(modif0[[#This Row],[idntfn]],1),RIGHT(modif0[[#This Row],[idntfn]],2)))</f>
        <v>k</v>
      </c>
      <c r="L319" s="10">
        <f>objet!I369</f>
        <v>436</v>
      </c>
      <c r="M319" s="11">
        <f>modif0[[#This Row],[srfc]]/10000</f>
        <v>4.36E-2</v>
      </c>
      <c r="N319" s="10" t="str">
        <f>objet!Z369</f>
        <v>PM</v>
      </c>
      <c r="O319" s="10" t="str">
        <f>objet!AA369</f>
        <v>PLA2005</v>
      </c>
      <c r="P319" t="str">
        <f>IF(ISNUMBER(modif0[[#This Row],[trvx]]),"",LEFT(modif0[[#This Row],[trvx]],LEN(modif0[[#This Row],[trvx]])-4))</f>
        <v>PLA</v>
      </c>
      <c r="Q319">
        <f>VALUE(RIGHT(modif0[[#This Row],[trvx]],4))</f>
        <v>2005</v>
      </c>
      <c r="R319" t="str">
        <f>_xlfn.CONCAT(modif0[[#This Row],[tp]],"-",modif0[[#This Row],[essnc]],"_",modif0[[#This Row],[anns]])</f>
        <v>PLA-PM_2005</v>
      </c>
      <c r="S319" t="b">
        <f>modif0[[#This Row],[tp]]="CR"</f>
        <v>0</v>
      </c>
      <c r="T319">
        <v>40</v>
      </c>
      <c r="U319" t="str">
        <f>IF(NOT($A319),"",
IF(AO319=-2,regle!$J$11,
IF(AO319=regle!$B$12,regle!$B$11,
IF(AO319=regle!$C$12,regle!$C$11,
IF(AO319=regle!$D$12,regle!$D$11,
IF(AO319=regle!$E$12,regle!$E$11,
IF(AO319=regle!$F$12,regle!$F$11,
IF(AO319=regle!$G$12,regle!$G$11,
IF(AO319=regle!$H$12,regle!$H$11,
IF(AO319=regle!$I$12,regle!$I$11,""))))))))))</f>
        <v/>
      </c>
      <c r="V319" t="str">
        <f>IF(NOT($A319),"",
IF(AP319=-2,regle!$J$11,
IF(AP319=regle!$B$12,regle!$B$11,
IF(AP319=regle!$C$12,regle!$C$11,
IF(AP319=regle!$D$12,regle!$D$11,
IF(AP319=regle!$E$12,regle!$E$11,
IF(AP319=regle!$F$12,regle!$F$11,
IF(AP319=regle!$G$12,regle!$G$11,
IF(AP319=regle!$H$12,regle!$H$11,
IF(AP319=regle!$I$12,regle!$I$11,""))))))))))</f>
        <v/>
      </c>
      <c r="W319" t="str">
        <f>IF(NOT($A319),"",
IF(AQ319=-2,regle!$J$11,
IF(AQ319=regle!$B$12,regle!$B$11,
IF(AQ319=regle!$C$12,regle!$C$11,
IF(AQ319=regle!$D$12,regle!$D$11,
IF(AQ319=regle!$E$12,regle!$E$11,
IF(AQ319=regle!$F$12,regle!$F$11,
IF(AQ319=regle!$G$12,regle!$G$11,
IF(AQ319=regle!$H$12,regle!$H$11,
IF(AQ319=regle!$I$12,regle!$I$11,""))))))))))</f>
        <v/>
      </c>
      <c r="X319" t="str">
        <f>IF(NOT($A319),"",
IF(AR319=-2,regle!$J$11,
IF(AR319=regle!$B$12,regle!$B$11,
IF(AR319=regle!$C$12,regle!$C$11,
IF(AR319=regle!$D$12,regle!$D$11,
IF(AR319=regle!$E$12,regle!$E$11,
IF(AR319=regle!$F$12,regle!$F$11,
IF(AR319=regle!$G$12,regle!$G$11,
IF(AR319=regle!$H$12,regle!$H$11,
IF(AR319=regle!$I$12,regle!$I$11,""))))))))))</f>
        <v/>
      </c>
      <c r="Y319" t="str">
        <f>IF(NOT($A319),"",
IF(AS319=-2,regle!$J$11,
IF(AS319=regle!$B$12,regle!$B$11,
IF(AS319=regle!$C$12,regle!$C$11,
IF(AS319=regle!$D$12,regle!$D$11,
IF(AS319=regle!$E$12,regle!$E$11,
IF(AS319=regle!$F$12,regle!$F$11,
IF(AS319=regle!$G$12,regle!$G$11,
IF(AS319=regle!$H$12,regle!$H$11,
IF(AS319=regle!$I$12,regle!$I$11,""))))))))))</f>
        <v>EC3</v>
      </c>
      <c r="Z319" t="str">
        <f>IF(NOT($A319),"",
IF(AT319=-2,regle!$J$11,
IF(AT319=regle!$B$12,regle!$B$11,
IF(AT319=regle!$C$12,regle!$C$11,
IF(AT319=regle!$D$12,regle!$D$11,
IF(AT319=regle!$E$12,regle!$E$11,
IF(AT319=regle!$F$12,regle!$F$11,
IF(AT319=regle!$G$12,regle!$G$11,
IF(AT319=regle!$H$12,regle!$H$11,
IF(AT319=regle!$I$12,regle!$I$11,""))))))))))</f>
        <v/>
      </c>
      <c r="AA319" t="str">
        <f>IF(NOT($A319),"",
IF(AU319=-2,regle!$J$11,
IF(AU319=regle!$B$12,regle!$B$11,
IF(AU319=regle!$C$12,regle!$C$11,
IF(AU319=regle!$D$12,regle!$D$11,
IF(AU319=regle!$E$12,regle!$E$11,
IF(AU319=regle!$F$12,regle!$F$11,
IF(AU319=regle!$G$12,regle!$G$11,
IF(AU319=regle!$H$12,regle!$H$11,
IF(AU319=regle!$I$12,regle!$I$11,""))))))))))</f>
        <v/>
      </c>
      <c r="AB319" t="str">
        <f>IF(NOT($A319),"",
IF(AV319=-2,regle!$J$11,
IF(AV319=regle!$B$12,regle!$B$11,
IF(AV319=regle!$C$12,regle!$C$11,
IF(AV319=regle!$D$12,regle!$D$11,
IF(AV319=regle!$E$12,regle!$E$11,
IF(AV319=regle!$F$12,regle!$F$11,
IF(AV319=regle!$G$12,regle!$G$11,
IF(AV319=regle!$H$12,regle!$H$11,
IF(AV319=regle!$I$12,regle!$I$11,""))))))))))</f>
        <v/>
      </c>
      <c r="AC319" t="str">
        <f>IF(NOT($A319),"",
IF(AW319=-2,regle!$J$11,
IF(AW319=regle!$B$12,regle!$B$11,
IF(AW319=regle!$C$12,regle!$C$11,
IF(AW319=regle!$D$12,regle!$D$11,
IF(AW319=regle!$E$12,regle!$E$11,
IF(AW319=regle!$F$12,regle!$F$11,
IF(AW319=regle!$G$12,regle!$G$11,
IF(AW319=regle!$H$12,regle!$H$11,
IF(AW319=regle!$I$12,regle!$I$11,""))))))))))</f>
        <v/>
      </c>
      <c r="AD319" t="str">
        <f>IF(NOT($A319),"",
IF(AX319=-2,regle!$J$11,
IF(AX319=regle!$B$12,regle!$B$11,
IF(AX319=regle!$C$12,regle!$C$11,
IF(AX319=regle!$D$12,regle!$D$11,
IF(AX319=regle!$E$12,regle!$E$11,
IF(AX319=regle!$F$12,regle!$F$11,
IF(AX319=regle!$G$12,regle!$G$11,
IF(AX319=regle!$H$12,regle!$H$11,
IF(AX319=regle!$I$12,regle!$I$11,""))))))))))</f>
        <v>EC4</v>
      </c>
      <c r="AE319" s="14">
        <f>IF($A319,$M319*(IF(U319=regle!$B$11,regle!$B$23,IF(U319=regle!$C$11,regle!$C$23,IF(U319=regle!$D$11,regle!$D$23,IF(U319=regle!$E$11,regle!$E$23,IF(U319=regle!$F$11,regle!$F$23,IF(U319=regle!$G$11,regle!$G$23,IF(U319=regle!$H$11,regle!$H$23,IF(U319=regle!$I$11,regle!$I$23,IF(U319=regle!$J$11,regle!$J$23,0)))))))))))</f>
        <v>0</v>
      </c>
      <c r="AF319" s="14">
        <f>IF($A319,$M319*(IF(V319=regle!$B$11,regle!$B$23,IF(V319=regle!$C$11,regle!$C$23,IF(V319=regle!$D$11,regle!$D$23,IF(V319=regle!$E$11,regle!$E$23,IF(V319=regle!$F$11,regle!$F$23,IF(V319=regle!$G$11,regle!$G$23,IF(V319=regle!$H$11,regle!$H$23,IF(V319=regle!$I$11,regle!$I$23,IF(V319=regle!$J$11,regle!$J$23,0)))))))))))</f>
        <v>0</v>
      </c>
      <c r="AG319" s="14">
        <f>IF($A319,$M319*(IF(W319=regle!$B$11,regle!$B$23,IF(W319=regle!$C$11,regle!$C$23,IF(W319=regle!$D$11,regle!$D$23,IF(W319=regle!$E$11,regle!$E$23,IF(W319=regle!$F$11,regle!$F$23,IF(W319=regle!$G$11,regle!$G$23,IF(W319=regle!$H$11,regle!$H$23,IF(W319=regle!$I$11,regle!$I$23,IF(W319=regle!$J$11,regle!$J$23,0)))))))))))</f>
        <v>0</v>
      </c>
      <c r="AH319" s="14">
        <f>IF($A319,$M319*(IF(X319=regle!$B$11,regle!$B$23,IF(X319=regle!$C$11,regle!$C$23,IF(X319=regle!$D$11,regle!$D$23,IF(X319=regle!$E$11,regle!$E$23,IF(X319=regle!$F$11,regle!$F$23,IF(X319=regle!$G$11,regle!$G$23,IF(X319=regle!$H$11,regle!$H$23,IF(X319=regle!$I$11,regle!$I$23,IF(X319=regle!$J$11,regle!$J$23,0)))))))))))</f>
        <v>0</v>
      </c>
      <c r="AI319" s="14">
        <f>IF($A319,$M319*(IF(Y319=regle!$B$11,regle!$B$23,IF(Y319=regle!$C$11,regle!$C$23,IF(Y319=regle!$D$11,regle!$D$23,IF(Y319=regle!$E$11,regle!$E$23,IF(Y319=regle!$F$11,regle!$F$23,IF(Y319=regle!$G$11,regle!$G$23,IF(Y319=regle!$H$11,regle!$H$23,IF(Y319=regle!$I$11,regle!$I$23,IF(Y319=regle!$J$11,regle!$J$23,0)))))))))))</f>
        <v>61.388800000000003</v>
      </c>
      <c r="AJ319" s="14">
        <f>IF($A319,$M319*(IF(Z319=regle!$B$11,regle!$B$23,IF(Z319=regle!$C$11,regle!$C$23,IF(Z319=regle!$D$11,regle!$D$23,IF(Z319=regle!$E$11,regle!$E$23,IF(Z319=regle!$F$11,regle!$F$23,IF(Z319=regle!$G$11,regle!$G$23,IF(Z319=regle!$H$11,regle!$H$23,IF(Z319=regle!$I$11,regle!$I$23,IF(Z319=regle!$J$11,regle!$J$23,0)))))))))))</f>
        <v>0</v>
      </c>
      <c r="AK319" s="14">
        <f>IF($A319,$M319*(IF(AA319=regle!$B$11,regle!$B$23,IF(AA319=regle!$C$11,regle!$C$23,IF(AA319=regle!$D$11,regle!$D$23,IF(AA319=regle!$E$11,regle!$E$23,IF(AA319=regle!$F$11,regle!$F$23,IF(AA319=regle!$G$11,regle!$G$23,IF(AA319=regle!$H$11,regle!$H$23,IF(AA319=regle!$I$11,regle!$I$23,IF(AA319=regle!$J$11,regle!$J$23,0)))))))))))</f>
        <v>0</v>
      </c>
      <c r="AL319" s="14">
        <f>IF($A319,$M319*(IF(AB319=regle!$B$11,regle!$B$23,IF(AB319=regle!$C$11,regle!$C$23,IF(AB319=regle!$D$11,regle!$D$23,IF(AB319=regle!$E$11,regle!$E$23,IF(AB319=regle!$F$11,regle!$F$23,IF(AB319=regle!$G$11,regle!$G$23,IF(AB319=regle!$H$11,regle!$H$23,IF(AB319=regle!$I$11,regle!$I$23,IF(AB319=regle!$J$11,regle!$J$23,0)))))))))))</f>
        <v>0</v>
      </c>
      <c r="AM319" s="14">
        <f>IF($A319,$M319*(IF(AC319=regle!$B$11,regle!$B$23,IF(AC319=regle!$C$11,regle!$C$23,IF(AC319=regle!$D$11,regle!$D$23,IF(AC319=regle!$E$11,regle!$E$23,IF(AC319=regle!$F$11,regle!$F$23,IF(AC319=regle!$G$11,regle!$G$23,IF(AC319=regle!$H$11,regle!$H$23,IF(AC319=regle!$I$11,regle!$I$23,IF(AC319=regle!$J$11,regle!$J$23,0)))))))))))</f>
        <v>0</v>
      </c>
      <c r="AN319" s="14">
        <f>IF($A319,$M319*(IF(AD319=regle!$B$11,regle!$B$23,IF(AD319=regle!$C$11,regle!$C$23,IF(AD319=regle!$D$11,regle!$D$23,IF(AD319=regle!$E$11,regle!$E$23,IF(AD319=regle!$F$11,regle!$F$23,IF(AD319=regle!$G$11,regle!$G$23,IF(AD319=regle!$H$11,regle!$H$23,IF(AD319=regle!$I$11,regle!$I$23,IF(AD319=regle!$J$11,regle!$J$23,0)))))))))))</f>
        <v>55.808</v>
      </c>
      <c r="AO319">
        <f>IF(AO$1=$AO$1,IF(regle!B$2-$Q319&gt;=regle!$J$12,-2,IF($S319,IF(regle!$B$2-$Q319&gt;=2,0,-1),regle!B$2-$Q319)),IF(AN319+1&gt;=regle!$J$12,-2,AN319+1))</f>
        <v>19</v>
      </c>
      <c r="AP319">
        <f>IF(AP$1=$AO$1,IF(regle!C$2-$Q319&gt;=regle!$J$12,-2,IF($S319,IF(regle!$B$2-$Q319&gt;=2,0,-1),regle!C$2-$Q319)),IF(AO319+1&gt;=regle!$J$12,-2,AO319+1))</f>
        <v>20</v>
      </c>
      <c r="AQ319">
        <f>IF(AQ$1=$AO$1,IF(regle!D$2-$Q319&gt;=regle!$J$12,-2,IF($S319,IF(regle!$B$2-$Q319&gt;=2,0,-1),regle!D$2-$Q319)),IF(AP319+1&gt;=regle!$J$12,-2,AP319+1))</f>
        <v>21</v>
      </c>
      <c r="AR319">
        <f>IF(AR$1=$AO$1,IF(regle!E$2-$Q319&gt;=regle!$J$12,-2,IF($S319,IF(regle!$B$2-$Q319&gt;=2,0,-1),regle!E$2-$Q319)),IF(AQ319+1&gt;=regle!$J$12,-2,AQ319+1))</f>
        <v>22</v>
      </c>
      <c r="AS319">
        <f>IF(AS$1=$AO$1,IF(regle!F$2-$Q319&gt;=regle!$J$12,-2,IF($S319,IF(regle!$B$2-$Q319&gt;=2,0,-1),regle!F$2-$Q319)),IF(AR319+1&gt;=regle!$J$12,-2,AR319+1))</f>
        <v>23</v>
      </c>
      <c r="AT319">
        <f>IF(AT$1=$AO$1,IF(regle!G$2-$Q319&gt;=regle!$J$12,-2,IF($S319,IF(regle!$B$2-$Q319&gt;=2,0,-1),regle!G$2-$Q319)),IF(AS319+1&gt;=regle!$J$12,-2,AS319+1))</f>
        <v>24</v>
      </c>
      <c r="AU319">
        <f>IF(AU$1=$AO$1,IF(regle!H$2-$Q319&gt;=regle!$J$12,-2,IF($S319,IF(regle!$B$2-$Q319&gt;=2,0,-1),regle!H$2-$Q319)),IF(AT319+1&gt;=regle!$J$12,-2,AT319+1))</f>
        <v>25</v>
      </c>
      <c r="AV319">
        <f>IF(AV$1=$AO$1,IF(regle!I$2-$Q319&gt;=regle!$J$12,-2,IF($S319,IF(regle!$B$2-$Q319&gt;=2,0,-1),regle!I$2-$Q319)),IF(AU319+1&gt;=regle!$J$12,-2,AU319+1))</f>
        <v>26</v>
      </c>
      <c r="AW319">
        <f>IF(AW$1=$AO$1,IF(regle!J$2-$Q319&gt;=regle!$J$12,-2,IF($S319,IF(regle!$B$2-$Q319&gt;=2,0,-1),regle!J$2-$Q319)),IF(AV319+1&gt;=regle!$J$12,-2,AV319+1))</f>
        <v>27</v>
      </c>
      <c r="AX319">
        <f>IF(AX$1=$AO$1,IF(regle!K$2-$Q319&gt;=regle!$J$12,-2,IF($S319,IF(regle!$B$2-$Q319&gt;=2,0,-1),regle!K$2-$Q319)),IF(AW319+1&gt;=regle!$J$12,-2,AW319+1))</f>
        <v>28</v>
      </c>
    </row>
    <row r="320" spans="1:50" x14ac:dyDescent="0.25">
      <c r="A320" t="b">
        <f>AND(modif0[[#This Row],[cdstr]]&lt;&gt;0,OR(regle!$H$27=FALSE,modif0[[#This Row],[essnc]]="PM"))</f>
        <v>1</v>
      </c>
      <c r="B320">
        <f>ROW(objet!A370)</f>
        <v>370</v>
      </c>
      <c r="C320" s="10" t="str">
        <f>objet!D370</f>
        <v>0770000D1507</v>
      </c>
      <c r="D320" t="str">
        <f>LEFT(modif0[[#This Row],[cdstr]],3)</f>
        <v>077</v>
      </c>
      <c r="E320" s="10" t="str">
        <f>objet!G370</f>
        <v>CABANAC-ET-VILLAGRAINS</v>
      </c>
      <c r="F320">
        <f>LEN(modif0[[#This Row],[l_dt]])</f>
        <v>13</v>
      </c>
      <c r="G320" s="10" t="str">
        <f>objet!H370</f>
        <v>LAGUNE LONGUE</v>
      </c>
      <c r="H320" s="10" t="str">
        <f>objet!C370</f>
        <v>D1507</v>
      </c>
      <c r="I320" t="str">
        <f>IF(ISNUMBER(VALUE(RIGHT(LEFT(modif0[[#This Row],[idntfn]],2),1))),_xlfn.CONCAT(0,LEFT(modif0[[#This Row],[idntfn]],1)),LEFT(modif0[[#This Row],[idntfn]],2))</f>
        <v>0D</v>
      </c>
      <c r="J320">
        <f>VALUE(LEFT(RIGHT(modif0[[#This Row],[idntfn]],LEN(modif0[[#This Row],[idntfn]])-IF(LEFT(modif0[[#This Row],[sctn]],1)="0",1,2)),LEN(modif0[[#This Row],[idntfn]])-IF(LEFT(modif0[[#This Row],[sctn]],1)="0",1,2)-LEN(modif0[[#This Row],[lttr]])))</f>
        <v>1507</v>
      </c>
      <c r="K320" t="str">
        <f>IF(ISNUMBER(VALUE(RIGHT(modif0[[#This Row],[idntfn]],1))),"",IF(ISNUMBER(VALUE(LEFT(RIGHT(modif0[[#This Row],[idntfn]],2),1))),RIGHT(modif0[[#This Row],[idntfn]],1),RIGHT(modif0[[#This Row],[idntfn]],2)))</f>
        <v/>
      </c>
      <c r="L320" s="10">
        <f>objet!I370</f>
        <v>224</v>
      </c>
      <c r="M320" s="11">
        <f>modif0[[#This Row],[srfc]]/10000</f>
        <v>2.24E-2</v>
      </c>
      <c r="N320" s="10" t="str">
        <f>objet!Z370</f>
        <v>PM</v>
      </c>
      <c r="O320" s="10" t="str">
        <f>objet!AA370</f>
        <v>PLA2015</v>
      </c>
      <c r="P320" t="str">
        <f>IF(ISNUMBER(modif0[[#This Row],[trvx]]),"",LEFT(modif0[[#This Row],[trvx]],LEN(modif0[[#This Row],[trvx]])-4))</f>
        <v>PLA</v>
      </c>
      <c r="Q320">
        <f>VALUE(RIGHT(modif0[[#This Row],[trvx]],4))</f>
        <v>2015</v>
      </c>
      <c r="R320" t="str">
        <f>_xlfn.CONCAT(modif0[[#This Row],[tp]],"-",modif0[[#This Row],[essnc]],"_",modif0[[#This Row],[anns]])</f>
        <v>PLA-PM_2015</v>
      </c>
      <c r="S320" t="b">
        <f>modif0[[#This Row],[tp]]="CR"</f>
        <v>0</v>
      </c>
      <c r="T320">
        <v>40</v>
      </c>
      <c r="U320" t="str">
        <f>IF(NOT($A320),"",
IF(AO320=-2,regle!$J$11,
IF(AO320=regle!$B$12,regle!$B$11,
IF(AO320=regle!$C$12,regle!$C$11,
IF(AO320=regle!$D$12,regle!$D$11,
IF(AO320=regle!$E$12,regle!$E$11,
IF(AO320=regle!$F$12,regle!$F$11,
IF(AO320=regle!$G$12,regle!$G$11,
IF(AO320=regle!$H$12,regle!$H$11,
IF(AO320=regle!$I$12,regle!$I$11,""))))))))))</f>
        <v/>
      </c>
      <c r="V320" t="str">
        <f>IF(NOT($A320),"",
IF(AP320=-2,regle!$J$11,
IF(AP320=regle!$B$12,regle!$B$11,
IF(AP320=regle!$C$12,regle!$C$11,
IF(AP320=regle!$D$12,regle!$D$11,
IF(AP320=regle!$E$12,regle!$E$11,
IF(AP320=regle!$F$12,regle!$F$11,
IF(AP320=regle!$G$12,regle!$G$11,
IF(AP320=regle!$H$12,regle!$H$11,
IF(AP320=regle!$I$12,regle!$I$11,""))))))))))</f>
        <v/>
      </c>
      <c r="W320" t="str">
        <f>IF(NOT($A320),"",
IF(AQ320=-2,regle!$J$11,
IF(AQ320=regle!$B$12,regle!$B$11,
IF(AQ320=regle!$C$12,regle!$C$11,
IF(AQ320=regle!$D$12,regle!$D$11,
IF(AQ320=regle!$E$12,regle!$E$11,
IF(AQ320=regle!$F$12,regle!$F$11,
IF(AQ320=regle!$G$12,regle!$G$11,
IF(AQ320=regle!$H$12,regle!$H$11,
IF(AQ320=regle!$I$12,regle!$I$11,""))))))))))</f>
        <v/>
      </c>
      <c r="X320" t="str">
        <f>IF(NOT($A320),"",
IF(AR320=-2,regle!$J$11,
IF(AR320=regle!$B$12,regle!$B$11,
IF(AR320=regle!$C$12,regle!$C$11,
IF(AR320=regle!$D$12,regle!$D$11,
IF(AR320=regle!$E$12,regle!$E$11,
IF(AR320=regle!$F$12,regle!$F$11,
IF(AR320=regle!$G$12,regle!$G$11,
IF(AR320=regle!$H$12,regle!$H$11,
IF(AR320=regle!$I$12,regle!$I$11,""))))))))))</f>
        <v/>
      </c>
      <c r="Y320" t="str">
        <f>IF(NOT($A320),"",
IF(AS320=-2,regle!$J$11,
IF(AS320=regle!$B$12,regle!$B$11,
IF(AS320=regle!$C$12,regle!$C$11,
IF(AS320=regle!$D$12,regle!$D$11,
IF(AS320=regle!$E$12,regle!$E$11,
IF(AS320=regle!$F$12,regle!$F$11,
IF(AS320=regle!$G$12,regle!$G$11,
IF(AS320=regle!$H$12,regle!$H$11,
IF(AS320=regle!$I$12,regle!$I$11,""))))))))))</f>
        <v>EC1</v>
      </c>
      <c r="Z320" t="str">
        <f>IF(NOT($A320),"",
IF(AT320=-2,regle!$J$11,
IF(AT320=regle!$B$12,regle!$B$11,
IF(AT320=regle!$C$12,regle!$C$11,
IF(AT320=regle!$D$12,regle!$D$11,
IF(AT320=regle!$E$12,regle!$E$11,
IF(AT320=regle!$F$12,regle!$F$11,
IF(AT320=regle!$G$12,regle!$G$11,
IF(AT320=regle!$H$12,regle!$H$11,
IF(AT320=regle!$I$12,regle!$I$11,""))))))))))</f>
        <v/>
      </c>
      <c r="AA320" t="str">
        <f>IF(NOT($A320),"",
IF(AU320=-2,regle!$J$11,
IF(AU320=regle!$B$12,regle!$B$11,
IF(AU320=regle!$C$12,regle!$C$11,
IF(AU320=regle!$D$12,regle!$D$11,
IF(AU320=regle!$E$12,regle!$E$11,
IF(AU320=regle!$F$12,regle!$F$11,
IF(AU320=regle!$G$12,regle!$G$11,
IF(AU320=regle!$H$12,regle!$H$11,
IF(AU320=regle!$I$12,regle!$I$11,""))))))))))</f>
        <v/>
      </c>
      <c r="AB320" t="str">
        <f>IF(NOT($A320),"",
IF(AV320=-2,regle!$J$11,
IF(AV320=regle!$B$12,regle!$B$11,
IF(AV320=regle!$C$12,regle!$C$11,
IF(AV320=regle!$D$12,regle!$D$11,
IF(AV320=regle!$E$12,regle!$E$11,
IF(AV320=regle!$F$12,regle!$F$11,
IF(AV320=regle!$G$12,regle!$G$11,
IF(AV320=regle!$H$12,regle!$H$11,
IF(AV320=regle!$I$12,regle!$I$11,""))))))))))</f>
        <v/>
      </c>
      <c r="AC320" t="str">
        <f>IF(NOT($A320),"",
IF(AW320=-2,regle!$J$11,
IF(AW320=regle!$B$12,regle!$B$11,
IF(AW320=regle!$C$12,regle!$C$11,
IF(AW320=regle!$D$12,regle!$D$11,
IF(AW320=regle!$E$12,regle!$E$11,
IF(AW320=regle!$F$12,regle!$F$11,
IF(AW320=regle!$G$12,regle!$G$11,
IF(AW320=regle!$H$12,regle!$H$11,
IF(AW320=regle!$I$12,regle!$I$11,""))))))))))</f>
        <v/>
      </c>
      <c r="AD320" t="str">
        <f>IF(NOT($A320),"",
IF(AX320=-2,regle!$J$11,
IF(AX320=regle!$B$12,regle!$B$11,
IF(AX320=regle!$C$12,regle!$C$11,
IF(AX320=regle!$D$12,regle!$D$11,
IF(AX320=regle!$E$12,regle!$E$11,
IF(AX320=regle!$F$12,regle!$F$11,
IF(AX320=regle!$G$12,regle!$G$11,
IF(AX320=regle!$H$12,regle!$H$11,
IF(AX320=regle!$I$12,regle!$I$11,""))))))))))</f>
        <v>EC2</v>
      </c>
      <c r="AE320" s="14">
        <f>IF($A320,$M320*(IF(U320=regle!$B$11,regle!$B$23,IF(U320=regle!$C$11,regle!$C$23,IF(U320=regle!$D$11,regle!$D$23,IF(U320=regle!$E$11,regle!$E$23,IF(U320=regle!$F$11,regle!$F$23,IF(U320=regle!$G$11,regle!$G$23,IF(U320=regle!$H$11,regle!$H$23,IF(U320=regle!$I$11,regle!$I$23,IF(U320=regle!$J$11,regle!$J$23,0)))))))))))</f>
        <v>0</v>
      </c>
      <c r="AF320" s="14">
        <f>IF($A320,$M320*(IF(V320=regle!$B$11,regle!$B$23,IF(V320=regle!$C$11,regle!$C$23,IF(V320=regle!$D$11,regle!$D$23,IF(V320=regle!$E$11,regle!$E$23,IF(V320=regle!$F$11,regle!$F$23,IF(V320=regle!$G$11,regle!$G$23,IF(V320=regle!$H$11,regle!$H$23,IF(V320=regle!$I$11,regle!$I$23,IF(V320=regle!$J$11,regle!$J$23,0)))))))))))</f>
        <v>0</v>
      </c>
      <c r="AG320" s="14">
        <f>IF($A320,$M320*(IF(W320=regle!$B$11,regle!$B$23,IF(W320=regle!$C$11,regle!$C$23,IF(W320=regle!$D$11,regle!$D$23,IF(W320=regle!$E$11,regle!$E$23,IF(W320=regle!$F$11,regle!$F$23,IF(W320=regle!$G$11,regle!$G$23,IF(W320=regle!$H$11,regle!$H$23,IF(W320=regle!$I$11,regle!$I$23,IF(W320=regle!$J$11,regle!$J$23,0)))))))))))</f>
        <v>0</v>
      </c>
      <c r="AH320" s="14">
        <f>IF($A320,$M320*(IF(X320=regle!$B$11,regle!$B$23,IF(X320=regle!$C$11,regle!$C$23,IF(X320=regle!$D$11,regle!$D$23,IF(X320=regle!$E$11,regle!$E$23,IF(X320=regle!$F$11,regle!$F$23,IF(X320=regle!$G$11,regle!$G$23,IF(X320=regle!$H$11,regle!$H$23,IF(X320=regle!$I$11,regle!$I$23,IF(X320=regle!$J$11,regle!$J$23,0)))))))))))</f>
        <v>0</v>
      </c>
      <c r="AI320" s="14">
        <f>IF($A320,$M320*(IF(Y320=regle!$B$11,regle!$B$23,IF(Y320=regle!$C$11,regle!$C$23,IF(Y320=regle!$D$11,regle!$D$23,IF(Y320=regle!$E$11,regle!$E$23,IF(Y320=regle!$F$11,regle!$F$23,IF(Y320=regle!$G$11,regle!$G$23,IF(Y320=regle!$H$11,regle!$H$23,IF(Y320=regle!$I$11,regle!$I$23,IF(Y320=regle!$J$11,regle!$J$23,0)))))))))))</f>
        <v>12.9024</v>
      </c>
      <c r="AJ320" s="14">
        <f>IF($A320,$M320*(IF(Z320=regle!$B$11,regle!$B$23,IF(Z320=regle!$C$11,regle!$C$23,IF(Z320=regle!$D$11,regle!$D$23,IF(Z320=regle!$E$11,regle!$E$23,IF(Z320=regle!$F$11,regle!$F$23,IF(Z320=regle!$G$11,regle!$G$23,IF(Z320=regle!$H$11,regle!$H$23,IF(Z320=regle!$I$11,regle!$I$23,IF(Z320=regle!$J$11,regle!$J$23,0)))))))))))</f>
        <v>0</v>
      </c>
      <c r="AK320" s="14">
        <f>IF($A320,$M320*(IF(AA320=regle!$B$11,regle!$B$23,IF(AA320=regle!$C$11,regle!$C$23,IF(AA320=regle!$D$11,regle!$D$23,IF(AA320=regle!$E$11,regle!$E$23,IF(AA320=regle!$F$11,regle!$F$23,IF(AA320=regle!$G$11,regle!$G$23,IF(AA320=regle!$H$11,regle!$H$23,IF(AA320=regle!$I$11,regle!$I$23,IF(AA320=regle!$J$11,regle!$J$23,0)))))))))))</f>
        <v>0</v>
      </c>
      <c r="AL320" s="14">
        <f>IF($A320,$M320*(IF(AB320=regle!$B$11,regle!$B$23,IF(AB320=regle!$C$11,regle!$C$23,IF(AB320=regle!$D$11,regle!$D$23,IF(AB320=regle!$E$11,regle!$E$23,IF(AB320=regle!$F$11,regle!$F$23,IF(AB320=regle!$G$11,regle!$G$23,IF(AB320=regle!$H$11,regle!$H$23,IF(AB320=regle!$I$11,regle!$I$23,IF(AB320=regle!$J$11,regle!$J$23,0)))))))))))</f>
        <v>0</v>
      </c>
      <c r="AM320" s="14">
        <f>IF($A320,$M320*(IF(AC320=regle!$B$11,regle!$B$23,IF(AC320=regle!$C$11,regle!$C$23,IF(AC320=regle!$D$11,regle!$D$23,IF(AC320=regle!$E$11,regle!$E$23,IF(AC320=regle!$F$11,regle!$F$23,IF(AC320=regle!$G$11,regle!$G$23,IF(AC320=regle!$H$11,regle!$H$23,IF(AC320=regle!$I$11,regle!$I$23,IF(AC320=regle!$J$11,regle!$J$23,0)))))))))))</f>
        <v>0</v>
      </c>
      <c r="AN320" s="14">
        <f>IF($A320,$M320*(IF(AD320=regle!$B$11,regle!$B$23,IF(AD320=regle!$C$11,regle!$C$23,IF(AD320=regle!$D$11,regle!$D$23,IF(AD320=regle!$E$11,regle!$E$23,IF(AD320=regle!$F$11,regle!$F$23,IF(AD320=regle!$G$11,regle!$G$23,IF(AD320=regle!$H$11,regle!$H$23,IF(AD320=regle!$I$11,regle!$I$23,IF(AD320=regle!$J$11,regle!$J$23,0)))))))))))</f>
        <v>18.815999999999999</v>
      </c>
      <c r="AO320">
        <f>IF(AO$1=$AO$1,IF(regle!B$2-$Q320&gt;=regle!$J$12,-2,IF($S320,IF(regle!$B$2-$Q320&gt;=2,0,-1),regle!B$2-$Q320)),IF(AN320+1&gt;=regle!$J$12,-2,AN320+1))</f>
        <v>9</v>
      </c>
      <c r="AP320">
        <f>IF(AP$1=$AO$1,IF(regle!C$2-$Q320&gt;=regle!$J$12,-2,IF($S320,IF(regle!$B$2-$Q320&gt;=2,0,-1),regle!C$2-$Q320)),IF(AO320+1&gt;=regle!$J$12,-2,AO320+1))</f>
        <v>10</v>
      </c>
      <c r="AQ320">
        <f>IF(AQ$1=$AO$1,IF(regle!D$2-$Q320&gt;=regle!$J$12,-2,IF($S320,IF(regle!$B$2-$Q320&gt;=2,0,-1),regle!D$2-$Q320)),IF(AP320+1&gt;=regle!$J$12,-2,AP320+1))</f>
        <v>11</v>
      </c>
      <c r="AR320">
        <f>IF(AR$1=$AO$1,IF(regle!E$2-$Q320&gt;=regle!$J$12,-2,IF($S320,IF(regle!$B$2-$Q320&gt;=2,0,-1),regle!E$2-$Q320)),IF(AQ320+1&gt;=regle!$J$12,-2,AQ320+1))</f>
        <v>12</v>
      </c>
      <c r="AS320">
        <f>IF(AS$1=$AO$1,IF(regle!F$2-$Q320&gt;=regle!$J$12,-2,IF($S320,IF(regle!$B$2-$Q320&gt;=2,0,-1),regle!F$2-$Q320)),IF(AR320+1&gt;=regle!$J$12,-2,AR320+1))</f>
        <v>13</v>
      </c>
      <c r="AT320">
        <f>IF(AT$1=$AO$1,IF(regle!G$2-$Q320&gt;=regle!$J$12,-2,IF($S320,IF(regle!$B$2-$Q320&gt;=2,0,-1),regle!G$2-$Q320)),IF(AS320+1&gt;=regle!$J$12,-2,AS320+1))</f>
        <v>14</v>
      </c>
      <c r="AU320">
        <f>IF(AU$1=$AO$1,IF(regle!H$2-$Q320&gt;=regle!$J$12,-2,IF($S320,IF(regle!$B$2-$Q320&gt;=2,0,-1),regle!H$2-$Q320)),IF(AT320+1&gt;=regle!$J$12,-2,AT320+1))</f>
        <v>15</v>
      </c>
      <c r="AV320">
        <f>IF(AV$1=$AO$1,IF(regle!I$2-$Q320&gt;=regle!$J$12,-2,IF($S320,IF(regle!$B$2-$Q320&gt;=2,0,-1),regle!I$2-$Q320)),IF(AU320+1&gt;=regle!$J$12,-2,AU320+1))</f>
        <v>16</v>
      </c>
      <c r="AW320">
        <f>IF(AW$1=$AO$1,IF(regle!J$2-$Q320&gt;=regle!$J$12,-2,IF($S320,IF(regle!$B$2-$Q320&gt;=2,0,-1),regle!J$2-$Q320)),IF(AV320+1&gt;=regle!$J$12,-2,AV320+1))</f>
        <v>17</v>
      </c>
      <c r="AX320">
        <f>IF(AX$1=$AO$1,IF(regle!K$2-$Q320&gt;=regle!$J$12,-2,IF($S320,IF(regle!$B$2-$Q320&gt;=2,0,-1),regle!K$2-$Q320)),IF(AW320+1&gt;=regle!$J$12,-2,AW320+1))</f>
        <v>18</v>
      </c>
    </row>
    <row r="321" spans="1:50" x14ac:dyDescent="0.25">
      <c r="A321" t="b">
        <f>AND(modif0[[#This Row],[cdstr]]&lt;&gt;0,OR(regle!$H$27=FALSE,modif0[[#This Row],[essnc]]="PM"))</f>
        <v>1</v>
      </c>
      <c r="B321">
        <f>ROW(objet!A371)</f>
        <v>371</v>
      </c>
      <c r="C321" s="10" t="str">
        <f>objet!D371</f>
        <v>0770000D1510</v>
      </c>
      <c r="D321" t="str">
        <f>LEFT(modif0[[#This Row],[cdstr]],3)</f>
        <v>077</v>
      </c>
      <c r="E321" s="10" t="str">
        <f>objet!G371</f>
        <v>CABANAC-ET-VILLAGRAINS</v>
      </c>
      <c r="F321">
        <f>LEN(modif0[[#This Row],[l_dt]])</f>
        <v>13</v>
      </c>
      <c r="G321" s="10" t="str">
        <f>objet!H371</f>
        <v>LAGUNE LONGUE</v>
      </c>
      <c r="H321" s="10" t="str">
        <f>objet!C371</f>
        <v>D1510j</v>
      </c>
      <c r="I321" t="str">
        <f>IF(ISNUMBER(VALUE(RIGHT(LEFT(modif0[[#This Row],[idntfn]],2),1))),_xlfn.CONCAT(0,LEFT(modif0[[#This Row],[idntfn]],1)),LEFT(modif0[[#This Row],[idntfn]],2))</f>
        <v>0D</v>
      </c>
      <c r="J321">
        <f>VALUE(LEFT(RIGHT(modif0[[#This Row],[idntfn]],LEN(modif0[[#This Row],[idntfn]])-IF(LEFT(modif0[[#This Row],[sctn]],1)="0",1,2)),LEN(modif0[[#This Row],[idntfn]])-IF(LEFT(modif0[[#This Row],[sctn]],1)="0",1,2)-LEN(modif0[[#This Row],[lttr]])))</f>
        <v>1510</v>
      </c>
      <c r="K321" t="str">
        <f>IF(ISNUMBER(VALUE(RIGHT(modif0[[#This Row],[idntfn]],1))),"",IF(ISNUMBER(VALUE(LEFT(RIGHT(modif0[[#This Row],[idntfn]],2),1))),RIGHT(modif0[[#This Row],[idntfn]],1),RIGHT(modif0[[#This Row],[idntfn]],2)))</f>
        <v>j</v>
      </c>
      <c r="L321" s="10">
        <f>objet!I371</f>
        <v>66934</v>
      </c>
      <c r="M321" s="11">
        <f>modif0[[#This Row],[srfc]]/10000</f>
        <v>6.6933999999999996</v>
      </c>
      <c r="N321" s="10" t="str">
        <f>objet!Z371</f>
        <v>PM</v>
      </c>
      <c r="O321" s="10" t="str">
        <f>objet!AA371</f>
        <v>PLA2010</v>
      </c>
      <c r="P321" t="str">
        <f>IF(ISNUMBER(modif0[[#This Row],[trvx]]),"",LEFT(modif0[[#This Row],[trvx]],LEN(modif0[[#This Row],[trvx]])-4))</f>
        <v>PLA</v>
      </c>
      <c r="Q321">
        <f>VALUE(RIGHT(modif0[[#This Row],[trvx]],4))</f>
        <v>2010</v>
      </c>
      <c r="R321" t="str">
        <f>_xlfn.CONCAT(modif0[[#This Row],[tp]],"-",modif0[[#This Row],[essnc]],"_",modif0[[#This Row],[anns]])</f>
        <v>PLA-PM_2010</v>
      </c>
      <c r="S321" t="b">
        <f>modif0[[#This Row],[tp]]="CR"</f>
        <v>0</v>
      </c>
      <c r="T321">
        <v>40</v>
      </c>
      <c r="U321" t="str">
        <f>IF(NOT($A321),"",
IF(AO321=-2,regle!$J$11,
IF(AO321=regle!$B$12,regle!$B$11,
IF(AO321=regle!$C$12,regle!$C$11,
IF(AO321=regle!$D$12,regle!$D$11,
IF(AO321=regle!$E$12,regle!$E$11,
IF(AO321=regle!$F$12,regle!$F$11,
IF(AO321=regle!$G$12,regle!$G$11,
IF(AO321=regle!$H$12,regle!$H$11,
IF(AO321=regle!$I$12,regle!$I$11,""))))))))))</f>
        <v/>
      </c>
      <c r="V321" t="str">
        <f>IF(NOT($A321),"",
IF(AP321=-2,regle!$J$11,
IF(AP321=regle!$B$12,regle!$B$11,
IF(AP321=regle!$C$12,regle!$C$11,
IF(AP321=regle!$D$12,regle!$D$11,
IF(AP321=regle!$E$12,regle!$E$11,
IF(AP321=regle!$F$12,regle!$F$11,
IF(AP321=regle!$G$12,regle!$G$11,
IF(AP321=regle!$H$12,regle!$H$11,
IF(AP321=regle!$I$12,regle!$I$11,""))))))))))</f>
        <v/>
      </c>
      <c r="W321" t="str">
        <f>IF(NOT($A321),"",
IF(AQ321=-2,regle!$J$11,
IF(AQ321=regle!$B$12,regle!$B$11,
IF(AQ321=regle!$C$12,regle!$C$11,
IF(AQ321=regle!$D$12,regle!$D$11,
IF(AQ321=regle!$E$12,regle!$E$11,
IF(AQ321=regle!$F$12,regle!$F$11,
IF(AQ321=regle!$G$12,regle!$G$11,
IF(AQ321=regle!$H$12,regle!$H$11,
IF(AQ321=regle!$I$12,regle!$I$11,""))))))))))</f>
        <v/>
      </c>
      <c r="X321" t="str">
        <f>IF(NOT($A321),"",
IF(AR321=-2,regle!$J$11,
IF(AR321=regle!$B$12,regle!$B$11,
IF(AR321=regle!$C$12,regle!$C$11,
IF(AR321=regle!$D$12,regle!$D$11,
IF(AR321=regle!$E$12,regle!$E$11,
IF(AR321=regle!$F$12,regle!$F$11,
IF(AR321=regle!$G$12,regle!$G$11,
IF(AR321=regle!$H$12,regle!$H$11,
IF(AR321=regle!$I$12,regle!$I$11,""))))))))))</f>
        <v/>
      </c>
      <c r="Y321" t="str">
        <f>IF(NOT($A321),"",
IF(AS321=-2,regle!$J$11,
IF(AS321=regle!$B$12,regle!$B$11,
IF(AS321=regle!$C$12,regle!$C$11,
IF(AS321=regle!$D$12,regle!$D$11,
IF(AS321=regle!$E$12,regle!$E$11,
IF(AS321=regle!$F$12,regle!$F$11,
IF(AS321=regle!$G$12,regle!$G$11,
IF(AS321=regle!$H$12,regle!$H$11,
IF(AS321=regle!$I$12,regle!$I$11,""))))))))))</f>
        <v>EC2</v>
      </c>
      <c r="Z321" t="str">
        <f>IF(NOT($A321),"",
IF(AT321=-2,regle!$J$11,
IF(AT321=regle!$B$12,regle!$B$11,
IF(AT321=regle!$C$12,regle!$C$11,
IF(AT321=regle!$D$12,regle!$D$11,
IF(AT321=regle!$E$12,regle!$E$11,
IF(AT321=regle!$F$12,regle!$F$11,
IF(AT321=regle!$G$12,regle!$G$11,
IF(AT321=regle!$H$12,regle!$H$11,
IF(AT321=regle!$I$12,regle!$I$11,""))))))))))</f>
        <v/>
      </c>
      <c r="AA321" t="str">
        <f>IF(NOT($A321),"",
IF(AU321=-2,regle!$J$11,
IF(AU321=regle!$B$12,regle!$B$11,
IF(AU321=regle!$C$12,regle!$C$11,
IF(AU321=regle!$D$12,regle!$D$11,
IF(AU321=regle!$E$12,regle!$E$11,
IF(AU321=regle!$F$12,regle!$F$11,
IF(AU321=regle!$G$12,regle!$G$11,
IF(AU321=regle!$H$12,regle!$H$11,
IF(AU321=regle!$I$12,regle!$I$11,""))))))))))</f>
        <v/>
      </c>
      <c r="AB321" t="str">
        <f>IF(NOT($A321),"",
IF(AV321=-2,regle!$J$11,
IF(AV321=regle!$B$12,regle!$B$11,
IF(AV321=regle!$C$12,regle!$C$11,
IF(AV321=regle!$D$12,regle!$D$11,
IF(AV321=regle!$E$12,regle!$E$11,
IF(AV321=regle!$F$12,regle!$F$11,
IF(AV321=regle!$G$12,regle!$G$11,
IF(AV321=regle!$H$12,regle!$H$11,
IF(AV321=regle!$I$12,regle!$I$11,""))))))))))</f>
        <v/>
      </c>
      <c r="AC321" t="str">
        <f>IF(NOT($A321),"",
IF(AW321=-2,regle!$J$11,
IF(AW321=regle!$B$12,regle!$B$11,
IF(AW321=regle!$C$12,regle!$C$11,
IF(AW321=regle!$D$12,regle!$D$11,
IF(AW321=regle!$E$12,regle!$E$11,
IF(AW321=regle!$F$12,regle!$F$11,
IF(AW321=regle!$G$12,regle!$G$11,
IF(AW321=regle!$H$12,regle!$H$11,
IF(AW321=regle!$I$12,regle!$I$11,""))))))))))</f>
        <v/>
      </c>
      <c r="AD321" t="str">
        <f>IF(NOT($A321),"",
IF(AX321=-2,regle!$J$11,
IF(AX321=regle!$B$12,regle!$B$11,
IF(AX321=regle!$C$12,regle!$C$11,
IF(AX321=regle!$D$12,regle!$D$11,
IF(AX321=regle!$E$12,regle!$E$11,
IF(AX321=regle!$F$12,regle!$F$11,
IF(AX321=regle!$G$12,regle!$G$11,
IF(AX321=regle!$H$12,regle!$H$11,
IF(AX321=regle!$I$12,regle!$I$11,""))))))))))</f>
        <v>EC3</v>
      </c>
      <c r="AE321" s="14">
        <f>IF($A321,$M321*(IF(U321=regle!$B$11,regle!$B$23,IF(U321=regle!$C$11,regle!$C$23,IF(U321=regle!$D$11,regle!$D$23,IF(U321=regle!$E$11,regle!$E$23,IF(U321=regle!$F$11,regle!$F$23,IF(U321=regle!$G$11,regle!$G$23,IF(U321=regle!$H$11,regle!$H$23,IF(U321=regle!$I$11,regle!$I$23,IF(U321=regle!$J$11,regle!$J$23,0)))))))))))</f>
        <v>0</v>
      </c>
      <c r="AF321" s="14">
        <f>IF($A321,$M321*(IF(V321=regle!$B$11,regle!$B$23,IF(V321=regle!$C$11,regle!$C$23,IF(V321=regle!$D$11,regle!$D$23,IF(V321=regle!$E$11,regle!$E$23,IF(V321=regle!$F$11,regle!$F$23,IF(V321=regle!$G$11,regle!$G$23,IF(V321=regle!$H$11,regle!$H$23,IF(V321=regle!$I$11,regle!$I$23,IF(V321=regle!$J$11,regle!$J$23,0)))))))))))</f>
        <v>0</v>
      </c>
      <c r="AG321" s="14">
        <f>IF($A321,$M321*(IF(W321=regle!$B$11,regle!$B$23,IF(W321=regle!$C$11,regle!$C$23,IF(W321=regle!$D$11,regle!$D$23,IF(W321=regle!$E$11,regle!$E$23,IF(W321=regle!$F$11,regle!$F$23,IF(W321=regle!$G$11,regle!$G$23,IF(W321=regle!$H$11,regle!$H$23,IF(W321=regle!$I$11,regle!$I$23,IF(W321=regle!$J$11,regle!$J$23,0)))))))))))</f>
        <v>0</v>
      </c>
      <c r="AH321" s="14">
        <f>IF($A321,$M321*(IF(X321=regle!$B$11,regle!$B$23,IF(X321=regle!$C$11,regle!$C$23,IF(X321=regle!$D$11,regle!$D$23,IF(X321=regle!$E$11,regle!$E$23,IF(X321=regle!$F$11,regle!$F$23,IF(X321=regle!$G$11,regle!$G$23,IF(X321=regle!$H$11,regle!$H$23,IF(X321=regle!$I$11,regle!$I$23,IF(X321=regle!$J$11,regle!$J$23,0)))))))))))</f>
        <v>0</v>
      </c>
      <c r="AI321" s="14">
        <f>IF($A321,$M321*(IF(Y321=regle!$B$11,regle!$B$23,IF(Y321=regle!$C$11,regle!$C$23,IF(Y321=regle!$D$11,regle!$D$23,IF(Y321=regle!$E$11,regle!$E$23,IF(Y321=regle!$F$11,regle!$F$23,IF(Y321=regle!$G$11,regle!$G$23,IF(Y321=regle!$H$11,regle!$H$23,IF(Y321=regle!$I$11,regle!$I$23,IF(Y321=regle!$J$11,regle!$J$23,0)))))))))))</f>
        <v>5622.4559999999992</v>
      </c>
      <c r="AJ321" s="14">
        <f>IF($A321,$M321*(IF(Z321=regle!$B$11,regle!$B$23,IF(Z321=regle!$C$11,regle!$C$23,IF(Z321=regle!$D$11,regle!$D$23,IF(Z321=regle!$E$11,regle!$E$23,IF(Z321=regle!$F$11,regle!$F$23,IF(Z321=regle!$G$11,regle!$G$23,IF(Z321=regle!$H$11,regle!$H$23,IF(Z321=regle!$I$11,regle!$I$23,IF(Z321=regle!$J$11,regle!$J$23,0)))))))))))</f>
        <v>0</v>
      </c>
      <c r="AK321" s="14">
        <f>IF($A321,$M321*(IF(AA321=regle!$B$11,regle!$B$23,IF(AA321=regle!$C$11,regle!$C$23,IF(AA321=regle!$D$11,regle!$D$23,IF(AA321=regle!$E$11,regle!$E$23,IF(AA321=regle!$F$11,regle!$F$23,IF(AA321=regle!$G$11,regle!$G$23,IF(AA321=regle!$H$11,regle!$H$23,IF(AA321=regle!$I$11,regle!$I$23,IF(AA321=regle!$J$11,regle!$J$23,0)))))))))))</f>
        <v>0</v>
      </c>
      <c r="AL321" s="14">
        <f>IF($A321,$M321*(IF(AB321=regle!$B$11,regle!$B$23,IF(AB321=regle!$C$11,regle!$C$23,IF(AB321=regle!$D$11,regle!$D$23,IF(AB321=regle!$E$11,regle!$E$23,IF(AB321=regle!$F$11,regle!$F$23,IF(AB321=regle!$G$11,regle!$G$23,IF(AB321=regle!$H$11,regle!$H$23,IF(AB321=regle!$I$11,regle!$I$23,IF(AB321=regle!$J$11,regle!$J$23,0)))))))))))</f>
        <v>0</v>
      </c>
      <c r="AM321" s="14">
        <f>IF($A321,$M321*(IF(AC321=regle!$B$11,regle!$B$23,IF(AC321=regle!$C$11,regle!$C$23,IF(AC321=regle!$D$11,regle!$D$23,IF(AC321=regle!$E$11,regle!$E$23,IF(AC321=regle!$F$11,regle!$F$23,IF(AC321=regle!$G$11,regle!$G$23,IF(AC321=regle!$H$11,regle!$H$23,IF(AC321=regle!$I$11,regle!$I$23,IF(AC321=regle!$J$11,regle!$J$23,0)))))))))))</f>
        <v>0</v>
      </c>
      <c r="AN321" s="14">
        <f>IF($A321,$M321*(IF(AD321=regle!$B$11,regle!$B$23,IF(AD321=regle!$C$11,regle!$C$23,IF(AD321=regle!$D$11,regle!$D$23,IF(AD321=regle!$E$11,regle!$E$23,IF(AD321=regle!$F$11,regle!$F$23,IF(AD321=regle!$G$11,regle!$G$23,IF(AD321=regle!$H$11,regle!$H$23,IF(AD321=regle!$I$11,regle!$I$23,IF(AD321=regle!$J$11,regle!$J$23,0)))))))))))</f>
        <v>9424.3071999999993</v>
      </c>
      <c r="AO321">
        <f>IF(AO$1=$AO$1,IF(regle!B$2-$Q321&gt;=regle!$J$12,-2,IF($S321,IF(regle!$B$2-$Q321&gt;=2,0,-1),regle!B$2-$Q321)),IF(AN321+1&gt;=regle!$J$12,-2,AN321+1))</f>
        <v>14</v>
      </c>
      <c r="AP321">
        <f>IF(AP$1=$AO$1,IF(regle!C$2-$Q321&gt;=regle!$J$12,-2,IF($S321,IF(regle!$B$2-$Q321&gt;=2,0,-1),regle!C$2-$Q321)),IF(AO321+1&gt;=regle!$J$12,-2,AO321+1))</f>
        <v>15</v>
      </c>
      <c r="AQ321">
        <f>IF(AQ$1=$AO$1,IF(regle!D$2-$Q321&gt;=regle!$J$12,-2,IF($S321,IF(regle!$B$2-$Q321&gt;=2,0,-1),regle!D$2-$Q321)),IF(AP321+1&gt;=regle!$J$12,-2,AP321+1))</f>
        <v>16</v>
      </c>
      <c r="AR321">
        <f>IF(AR$1=$AO$1,IF(regle!E$2-$Q321&gt;=regle!$J$12,-2,IF($S321,IF(regle!$B$2-$Q321&gt;=2,0,-1),regle!E$2-$Q321)),IF(AQ321+1&gt;=regle!$J$12,-2,AQ321+1))</f>
        <v>17</v>
      </c>
      <c r="AS321">
        <f>IF(AS$1=$AO$1,IF(regle!F$2-$Q321&gt;=regle!$J$12,-2,IF($S321,IF(regle!$B$2-$Q321&gt;=2,0,-1),regle!F$2-$Q321)),IF(AR321+1&gt;=regle!$J$12,-2,AR321+1))</f>
        <v>18</v>
      </c>
      <c r="AT321">
        <f>IF(AT$1=$AO$1,IF(regle!G$2-$Q321&gt;=regle!$J$12,-2,IF($S321,IF(regle!$B$2-$Q321&gt;=2,0,-1),regle!G$2-$Q321)),IF(AS321+1&gt;=regle!$J$12,-2,AS321+1))</f>
        <v>19</v>
      </c>
      <c r="AU321">
        <f>IF(AU$1=$AO$1,IF(regle!H$2-$Q321&gt;=regle!$J$12,-2,IF($S321,IF(regle!$B$2-$Q321&gt;=2,0,-1),regle!H$2-$Q321)),IF(AT321+1&gt;=regle!$J$12,-2,AT321+1))</f>
        <v>20</v>
      </c>
      <c r="AV321">
        <f>IF(AV$1=$AO$1,IF(regle!I$2-$Q321&gt;=regle!$J$12,-2,IF($S321,IF(regle!$B$2-$Q321&gt;=2,0,-1),regle!I$2-$Q321)),IF(AU321+1&gt;=regle!$J$12,-2,AU321+1))</f>
        <v>21</v>
      </c>
      <c r="AW321">
        <f>IF(AW$1=$AO$1,IF(regle!J$2-$Q321&gt;=regle!$J$12,-2,IF($S321,IF(regle!$B$2-$Q321&gt;=2,0,-1),regle!J$2-$Q321)),IF(AV321+1&gt;=regle!$J$12,-2,AV321+1))</f>
        <v>22</v>
      </c>
      <c r="AX321">
        <f>IF(AX$1=$AO$1,IF(regle!K$2-$Q321&gt;=regle!$J$12,-2,IF($S321,IF(regle!$B$2-$Q321&gt;=2,0,-1),regle!K$2-$Q321)),IF(AW321+1&gt;=regle!$J$12,-2,AW321+1))</f>
        <v>23</v>
      </c>
    </row>
    <row r="322" spans="1:50" x14ac:dyDescent="0.25">
      <c r="A322" t="b">
        <f>AND(modif0[[#This Row],[cdstr]]&lt;&gt;0,OR(regle!$H$27=FALSE,modif0[[#This Row],[essnc]]="PM"))</f>
        <v>1</v>
      </c>
      <c r="B322">
        <f>ROW(objet!A372)</f>
        <v>372</v>
      </c>
      <c r="C322" s="10" t="str">
        <f>objet!D372</f>
        <v>0770000D1510</v>
      </c>
      <c r="D322" t="str">
        <f>LEFT(modif0[[#This Row],[cdstr]],3)</f>
        <v>077</v>
      </c>
      <c r="E322" s="10" t="str">
        <f>objet!G372</f>
        <v>CABANAC-ET-VILLAGRAINS</v>
      </c>
      <c r="F322">
        <f>LEN(modif0[[#This Row],[l_dt]])</f>
        <v>13</v>
      </c>
      <c r="G322" s="10" t="str">
        <f>objet!H372</f>
        <v>LAGUNE LONGUE</v>
      </c>
      <c r="H322" s="10" t="str">
        <f>objet!C372</f>
        <v>D1510k</v>
      </c>
      <c r="I322" t="str">
        <f>IF(ISNUMBER(VALUE(RIGHT(LEFT(modif0[[#This Row],[idntfn]],2),1))),_xlfn.CONCAT(0,LEFT(modif0[[#This Row],[idntfn]],1)),LEFT(modif0[[#This Row],[idntfn]],2))</f>
        <v>0D</v>
      </c>
      <c r="J322">
        <f>VALUE(LEFT(RIGHT(modif0[[#This Row],[idntfn]],LEN(modif0[[#This Row],[idntfn]])-IF(LEFT(modif0[[#This Row],[sctn]],1)="0",1,2)),LEN(modif0[[#This Row],[idntfn]])-IF(LEFT(modif0[[#This Row],[sctn]],1)="0",1,2)-LEN(modif0[[#This Row],[lttr]])))</f>
        <v>1510</v>
      </c>
      <c r="K322" t="str">
        <f>IF(ISNUMBER(VALUE(RIGHT(modif0[[#This Row],[idntfn]],1))),"",IF(ISNUMBER(VALUE(LEFT(RIGHT(modif0[[#This Row],[idntfn]],2),1))),RIGHT(modif0[[#This Row],[idntfn]],1),RIGHT(modif0[[#This Row],[idntfn]],2)))</f>
        <v>k</v>
      </c>
      <c r="L322" s="10">
        <f>objet!I372</f>
        <v>24076</v>
      </c>
      <c r="M322" s="11">
        <f>modif0[[#This Row],[srfc]]/10000</f>
        <v>2.4076</v>
      </c>
      <c r="N322" s="10" t="str">
        <f>objet!Z372</f>
        <v>PM</v>
      </c>
      <c r="O322" s="10" t="str">
        <f>objet!AA372</f>
        <v>PLA2005</v>
      </c>
      <c r="P322" t="str">
        <f>IF(ISNUMBER(modif0[[#This Row],[trvx]]),"",LEFT(modif0[[#This Row],[trvx]],LEN(modif0[[#This Row],[trvx]])-4))</f>
        <v>PLA</v>
      </c>
      <c r="Q322">
        <f>VALUE(RIGHT(modif0[[#This Row],[trvx]],4))</f>
        <v>2005</v>
      </c>
      <c r="R322" t="str">
        <f>_xlfn.CONCAT(modif0[[#This Row],[tp]],"-",modif0[[#This Row],[essnc]],"_",modif0[[#This Row],[anns]])</f>
        <v>PLA-PM_2005</v>
      </c>
      <c r="S322" t="b">
        <f>modif0[[#This Row],[tp]]="CR"</f>
        <v>0</v>
      </c>
      <c r="T322">
        <v>40</v>
      </c>
      <c r="U322" t="str">
        <f>IF(NOT($A322),"",
IF(AO322=-2,regle!$J$11,
IF(AO322=regle!$B$12,regle!$B$11,
IF(AO322=regle!$C$12,regle!$C$11,
IF(AO322=regle!$D$12,regle!$D$11,
IF(AO322=regle!$E$12,regle!$E$11,
IF(AO322=regle!$F$12,regle!$F$11,
IF(AO322=regle!$G$12,regle!$G$11,
IF(AO322=regle!$H$12,regle!$H$11,
IF(AO322=regle!$I$12,regle!$I$11,""))))))))))</f>
        <v/>
      </c>
      <c r="V322" t="str">
        <f>IF(NOT($A322),"",
IF(AP322=-2,regle!$J$11,
IF(AP322=regle!$B$12,regle!$B$11,
IF(AP322=regle!$C$12,regle!$C$11,
IF(AP322=regle!$D$12,regle!$D$11,
IF(AP322=regle!$E$12,regle!$E$11,
IF(AP322=regle!$F$12,regle!$F$11,
IF(AP322=regle!$G$12,regle!$G$11,
IF(AP322=regle!$H$12,regle!$H$11,
IF(AP322=regle!$I$12,regle!$I$11,""))))))))))</f>
        <v/>
      </c>
      <c r="W322" t="str">
        <f>IF(NOT($A322),"",
IF(AQ322=-2,regle!$J$11,
IF(AQ322=regle!$B$12,regle!$B$11,
IF(AQ322=regle!$C$12,regle!$C$11,
IF(AQ322=regle!$D$12,regle!$D$11,
IF(AQ322=regle!$E$12,regle!$E$11,
IF(AQ322=regle!$F$12,regle!$F$11,
IF(AQ322=regle!$G$12,regle!$G$11,
IF(AQ322=regle!$H$12,regle!$H$11,
IF(AQ322=regle!$I$12,regle!$I$11,""))))))))))</f>
        <v/>
      </c>
      <c r="X322" t="str">
        <f>IF(NOT($A322),"",
IF(AR322=-2,regle!$J$11,
IF(AR322=regle!$B$12,regle!$B$11,
IF(AR322=regle!$C$12,regle!$C$11,
IF(AR322=regle!$D$12,regle!$D$11,
IF(AR322=regle!$E$12,regle!$E$11,
IF(AR322=regle!$F$12,regle!$F$11,
IF(AR322=regle!$G$12,regle!$G$11,
IF(AR322=regle!$H$12,regle!$H$11,
IF(AR322=regle!$I$12,regle!$I$11,""))))))))))</f>
        <v/>
      </c>
      <c r="Y322" t="str">
        <f>IF(NOT($A322),"",
IF(AS322=-2,regle!$J$11,
IF(AS322=regle!$B$12,regle!$B$11,
IF(AS322=regle!$C$12,regle!$C$11,
IF(AS322=regle!$D$12,regle!$D$11,
IF(AS322=regle!$E$12,regle!$E$11,
IF(AS322=regle!$F$12,regle!$F$11,
IF(AS322=regle!$G$12,regle!$G$11,
IF(AS322=regle!$H$12,regle!$H$11,
IF(AS322=regle!$I$12,regle!$I$11,""))))))))))</f>
        <v>EC3</v>
      </c>
      <c r="Z322" t="str">
        <f>IF(NOT($A322),"",
IF(AT322=-2,regle!$J$11,
IF(AT322=regle!$B$12,regle!$B$11,
IF(AT322=regle!$C$12,regle!$C$11,
IF(AT322=regle!$D$12,regle!$D$11,
IF(AT322=regle!$E$12,regle!$E$11,
IF(AT322=regle!$F$12,regle!$F$11,
IF(AT322=regle!$G$12,regle!$G$11,
IF(AT322=regle!$H$12,regle!$H$11,
IF(AT322=regle!$I$12,regle!$I$11,""))))))))))</f>
        <v/>
      </c>
      <c r="AA322" t="str">
        <f>IF(NOT($A322),"",
IF(AU322=-2,regle!$J$11,
IF(AU322=regle!$B$12,regle!$B$11,
IF(AU322=regle!$C$12,regle!$C$11,
IF(AU322=regle!$D$12,regle!$D$11,
IF(AU322=regle!$E$12,regle!$E$11,
IF(AU322=regle!$F$12,regle!$F$11,
IF(AU322=regle!$G$12,regle!$G$11,
IF(AU322=regle!$H$12,regle!$H$11,
IF(AU322=regle!$I$12,regle!$I$11,""))))))))))</f>
        <v/>
      </c>
      <c r="AB322" t="str">
        <f>IF(NOT($A322),"",
IF(AV322=-2,regle!$J$11,
IF(AV322=regle!$B$12,regle!$B$11,
IF(AV322=regle!$C$12,regle!$C$11,
IF(AV322=regle!$D$12,regle!$D$11,
IF(AV322=regle!$E$12,regle!$E$11,
IF(AV322=regle!$F$12,regle!$F$11,
IF(AV322=regle!$G$12,regle!$G$11,
IF(AV322=regle!$H$12,regle!$H$11,
IF(AV322=regle!$I$12,regle!$I$11,""))))))))))</f>
        <v/>
      </c>
      <c r="AC322" t="str">
        <f>IF(NOT($A322),"",
IF(AW322=-2,regle!$J$11,
IF(AW322=regle!$B$12,regle!$B$11,
IF(AW322=regle!$C$12,regle!$C$11,
IF(AW322=regle!$D$12,regle!$D$11,
IF(AW322=regle!$E$12,regle!$E$11,
IF(AW322=regle!$F$12,regle!$F$11,
IF(AW322=regle!$G$12,regle!$G$11,
IF(AW322=regle!$H$12,regle!$H$11,
IF(AW322=regle!$I$12,regle!$I$11,""))))))))))</f>
        <v/>
      </c>
      <c r="AD322" t="str">
        <f>IF(NOT($A322),"",
IF(AX322=-2,regle!$J$11,
IF(AX322=regle!$B$12,regle!$B$11,
IF(AX322=regle!$C$12,regle!$C$11,
IF(AX322=regle!$D$12,regle!$D$11,
IF(AX322=regle!$E$12,regle!$E$11,
IF(AX322=regle!$F$12,regle!$F$11,
IF(AX322=regle!$G$12,regle!$G$11,
IF(AX322=regle!$H$12,regle!$H$11,
IF(AX322=regle!$I$12,regle!$I$11,""))))))))))</f>
        <v>EC4</v>
      </c>
      <c r="AE322" s="14">
        <f>IF($A322,$M322*(IF(U322=regle!$B$11,regle!$B$23,IF(U322=regle!$C$11,regle!$C$23,IF(U322=regle!$D$11,regle!$D$23,IF(U322=regle!$E$11,regle!$E$23,IF(U322=regle!$F$11,regle!$F$23,IF(U322=regle!$G$11,regle!$G$23,IF(U322=regle!$H$11,regle!$H$23,IF(U322=regle!$I$11,regle!$I$23,IF(U322=regle!$J$11,regle!$J$23,0)))))))))))</f>
        <v>0</v>
      </c>
      <c r="AF322" s="14">
        <f>IF($A322,$M322*(IF(V322=regle!$B$11,regle!$B$23,IF(V322=regle!$C$11,regle!$C$23,IF(V322=regle!$D$11,regle!$D$23,IF(V322=regle!$E$11,regle!$E$23,IF(V322=regle!$F$11,regle!$F$23,IF(V322=regle!$G$11,regle!$G$23,IF(V322=regle!$H$11,regle!$H$23,IF(V322=regle!$I$11,regle!$I$23,IF(V322=regle!$J$11,regle!$J$23,0)))))))))))</f>
        <v>0</v>
      </c>
      <c r="AG322" s="14">
        <f>IF($A322,$M322*(IF(W322=regle!$B$11,regle!$B$23,IF(W322=regle!$C$11,regle!$C$23,IF(W322=regle!$D$11,regle!$D$23,IF(W322=regle!$E$11,regle!$E$23,IF(W322=regle!$F$11,regle!$F$23,IF(W322=regle!$G$11,regle!$G$23,IF(W322=regle!$H$11,regle!$H$23,IF(W322=regle!$I$11,regle!$I$23,IF(W322=regle!$J$11,regle!$J$23,0)))))))))))</f>
        <v>0</v>
      </c>
      <c r="AH322" s="14">
        <f>IF($A322,$M322*(IF(X322=regle!$B$11,regle!$B$23,IF(X322=regle!$C$11,regle!$C$23,IF(X322=regle!$D$11,regle!$D$23,IF(X322=regle!$E$11,regle!$E$23,IF(X322=regle!$F$11,regle!$F$23,IF(X322=regle!$G$11,regle!$G$23,IF(X322=regle!$H$11,regle!$H$23,IF(X322=regle!$I$11,regle!$I$23,IF(X322=regle!$J$11,regle!$J$23,0)))))))))))</f>
        <v>0</v>
      </c>
      <c r="AI322" s="14">
        <f>IF($A322,$M322*(IF(Y322=regle!$B$11,regle!$B$23,IF(Y322=regle!$C$11,regle!$C$23,IF(Y322=regle!$D$11,regle!$D$23,IF(Y322=regle!$E$11,regle!$E$23,IF(Y322=regle!$F$11,regle!$F$23,IF(Y322=regle!$G$11,regle!$G$23,IF(Y322=regle!$H$11,regle!$H$23,IF(Y322=regle!$I$11,regle!$I$23,IF(Y322=regle!$J$11,regle!$J$23,0)))))))))))</f>
        <v>3389.9007999999999</v>
      </c>
      <c r="AJ322" s="14">
        <f>IF($A322,$M322*(IF(Z322=regle!$B$11,regle!$B$23,IF(Z322=regle!$C$11,regle!$C$23,IF(Z322=regle!$D$11,regle!$D$23,IF(Z322=regle!$E$11,regle!$E$23,IF(Z322=regle!$F$11,regle!$F$23,IF(Z322=regle!$G$11,regle!$G$23,IF(Z322=regle!$H$11,regle!$H$23,IF(Z322=regle!$I$11,regle!$I$23,IF(Z322=regle!$J$11,regle!$J$23,0)))))))))))</f>
        <v>0</v>
      </c>
      <c r="AK322" s="14">
        <f>IF($A322,$M322*(IF(AA322=regle!$B$11,regle!$B$23,IF(AA322=regle!$C$11,regle!$C$23,IF(AA322=regle!$D$11,regle!$D$23,IF(AA322=regle!$E$11,regle!$E$23,IF(AA322=regle!$F$11,regle!$F$23,IF(AA322=regle!$G$11,regle!$G$23,IF(AA322=regle!$H$11,regle!$H$23,IF(AA322=regle!$I$11,regle!$I$23,IF(AA322=regle!$J$11,regle!$J$23,0)))))))))))</f>
        <v>0</v>
      </c>
      <c r="AL322" s="14">
        <f>IF($A322,$M322*(IF(AB322=regle!$B$11,regle!$B$23,IF(AB322=regle!$C$11,regle!$C$23,IF(AB322=regle!$D$11,regle!$D$23,IF(AB322=regle!$E$11,regle!$E$23,IF(AB322=regle!$F$11,regle!$F$23,IF(AB322=regle!$G$11,regle!$G$23,IF(AB322=regle!$H$11,regle!$H$23,IF(AB322=regle!$I$11,regle!$I$23,IF(AB322=regle!$J$11,regle!$J$23,0)))))))))))</f>
        <v>0</v>
      </c>
      <c r="AM322" s="14">
        <f>IF($A322,$M322*(IF(AC322=regle!$B$11,regle!$B$23,IF(AC322=regle!$C$11,regle!$C$23,IF(AC322=regle!$D$11,regle!$D$23,IF(AC322=regle!$E$11,regle!$E$23,IF(AC322=regle!$F$11,regle!$F$23,IF(AC322=regle!$G$11,regle!$G$23,IF(AC322=regle!$H$11,regle!$H$23,IF(AC322=regle!$I$11,regle!$I$23,IF(AC322=regle!$J$11,regle!$J$23,0)))))))))))</f>
        <v>0</v>
      </c>
      <c r="AN322" s="14">
        <f>IF($A322,$M322*(IF(AD322=regle!$B$11,regle!$B$23,IF(AD322=regle!$C$11,regle!$C$23,IF(AD322=regle!$D$11,regle!$D$23,IF(AD322=regle!$E$11,regle!$E$23,IF(AD322=regle!$F$11,regle!$F$23,IF(AD322=regle!$G$11,regle!$G$23,IF(AD322=regle!$H$11,regle!$H$23,IF(AD322=regle!$I$11,regle!$I$23,IF(AD322=regle!$J$11,regle!$J$23,0)))))))))))</f>
        <v>3081.7280000000001</v>
      </c>
      <c r="AO322">
        <f>IF(AO$1=$AO$1,IF(regle!B$2-$Q322&gt;=regle!$J$12,-2,IF($S322,IF(regle!$B$2-$Q322&gt;=2,0,-1),regle!B$2-$Q322)),IF(AN322+1&gt;=regle!$J$12,-2,AN322+1))</f>
        <v>19</v>
      </c>
      <c r="AP322">
        <f>IF(AP$1=$AO$1,IF(regle!C$2-$Q322&gt;=regle!$J$12,-2,IF($S322,IF(regle!$B$2-$Q322&gt;=2,0,-1),regle!C$2-$Q322)),IF(AO322+1&gt;=regle!$J$12,-2,AO322+1))</f>
        <v>20</v>
      </c>
      <c r="AQ322">
        <f>IF(AQ$1=$AO$1,IF(regle!D$2-$Q322&gt;=regle!$J$12,-2,IF($S322,IF(regle!$B$2-$Q322&gt;=2,0,-1),regle!D$2-$Q322)),IF(AP322+1&gt;=regle!$J$12,-2,AP322+1))</f>
        <v>21</v>
      </c>
      <c r="AR322">
        <f>IF(AR$1=$AO$1,IF(regle!E$2-$Q322&gt;=regle!$J$12,-2,IF($S322,IF(regle!$B$2-$Q322&gt;=2,0,-1),regle!E$2-$Q322)),IF(AQ322+1&gt;=regle!$J$12,-2,AQ322+1))</f>
        <v>22</v>
      </c>
      <c r="AS322">
        <f>IF(AS$1=$AO$1,IF(regle!F$2-$Q322&gt;=regle!$J$12,-2,IF($S322,IF(regle!$B$2-$Q322&gt;=2,0,-1),regle!F$2-$Q322)),IF(AR322+1&gt;=regle!$J$12,-2,AR322+1))</f>
        <v>23</v>
      </c>
      <c r="AT322">
        <f>IF(AT$1=$AO$1,IF(regle!G$2-$Q322&gt;=regle!$J$12,-2,IF($S322,IF(regle!$B$2-$Q322&gt;=2,0,-1),regle!G$2-$Q322)),IF(AS322+1&gt;=regle!$J$12,-2,AS322+1))</f>
        <v>24</v>
      </c>
      <c r="AU322">
        <f>IF(AU$1=$AO$1,IF(regle!H$2-$Q322&gt;=regle!$J$12,-2,IF($S322,IF(regle!$B$2-$Q322&gt;=2,0,-1),regle!H$2-$Q322)),IF(AT322+1&gt;=regle!$J$12,-2,AT322+1))</f>
        <v>25</v>
      </c>
      <c r="AV322">
        <f>IF(AV$1=$AO$1,IF(regle!I$2-$Q322&gt;=regle!$J$12,-2,IF($S322,IF(regle!$B$2-$Q322&gt;=2,0,-1),regle!I$2-$Q322)),IF(AU322+1&gt;=regle!$J$12,-2,AU322+1))</f>
        <v>26</v>
      </c>
      <c r="AW322">
        <f>IF(AW$1=$AO$1,IF(regle!J$2-$Q322&gt;=regle!$J$12,-2,IF($S322,IF(regle!$B$2-$Q322&gt;=2,0,-1),regle!J$2-$Q322)),IF(AV322+1&gt;=regle!$J$12,-2,AV322+1))</f>
        <v>27</v>
      </c>
      <c r="AX322">
        <f>IF(AX$1=$AO$1,IF(regle!K$2-$Q322&gt;=regle!$J$12,-2,IF($S322,IF(regle!$B$2-$Q322&gt;=2,0,-1),regle!K$2-$Q322)),IF(AW322+1&gt;=regle!$J$12,-2,AW322+1))</f>
        <v>28</v>
      </c>
    </row>
    <row r="323" spans="1:50" x14ac:dyDescent="0.25">
      <c r="A323" t="b">
        <f>AND(modif0[[#This Row],[cdstr]]&lt;&gt;0,OR(regle!$H$27=FALSE,modif0[[#This Row],[essnc]]="PM"))</f>
        <v>1</v>
      </c>
      <c r="B323">
        <f>ROW(objet!A373)</f>
        <v>373</v>
      </c>
      <c r="C323" s="10" t="str">
        <f>objet!D373</f>
        <v>0770000D1511</v>
      </c>
      <c r="D323" t="str">
        <f>LEFT(modif0[[#This Row],[cdstr]],3)</f>
        <v>077</v>
      </c>
      <c r="E323" s="10" t="str">
        <f>objet!G373</f>
        <v>CABANAC-ET-VILLAGRAINS</v>
      </c>
      <c r="F323">
        <f>LEN(modif0[[#This Row],[l_dt]])</f>
        <v>13</v>
      </c>
      <c r="G323" s="10" t="str">
        <f>objet!H373</f>
        <v>LAGUNE LONGUE</v>
      </c>
      <c r="H323" s="10" t="str">
        <f>objet!C373</f>
        <v>D1511j</v>
      </c>
      <c r="I323" t="str">
        <f>IF(ISNUMBER(VALUE(RIGHT(LEFT(modif0[[#This Row],[idntfn]],2),1))),_xlfn.CONCAT(0,LEFT(modif0[[#This Row],[idntfn]],1)),LEFT(modif0[[#This Row],[idntfn]],2))</f>
        <v>0D</v>
      </c>
      <c r="J323">
        <f>VALUE(LEFT(RIGHT(modif0[[#This Row],[idntfn]],LEN(modif0[[#This Row],[idntfn]])-IF(LEFT(modif0[[#This Row],[sctn]],1)="0",1,2)),LEN(modif0[[#This Row],[idntfn]])-IF(LEFT(modif0[[#This Row],[sctn]],1)="0",1,2)-LEN(modif0[[#This Row],[lttr]])))</f>
        <v>1511</v>
      </c>
      <c r="K323" t="str">
        <f>IF(ISNUMBER(VALUE(RIGHT(modif0[[#This Row],[idntfn]],1))),"",IF(ISNUMBER(VALUE(LEFT(RIGHT(modif0[[#This Row],[idntfn]],2),1))),RIGHT(modif0[[#This Row],[idntfn]],1),RIGHT(modif0[[#This Row],[idntfn]],2)))</f>
        <v>j</v>
      </c>
      <c r="L323" s="10">
        <f>objet!I373</f>
        <v>21860</v>
      </c>
      <c r="M323" s="11">
        <f>modif0[[#This Row],[srfc]]/10000</f>
        <v>2.1859999999999999</v>
      </c>
      <c r="N323" s="10" t="str">
        <f>objet!Z373</f>
        <v>PM</v>
      </c>
      <c r="O323" s="10" t="str">
        <f>objet!AA373</f>
        <v>PLA2010</v>
      </c>
      <c r="P323" t="str">
        <f>IF(ISNUMBER(modif0[[#This Row],[trvx]]),"",LEFT(modif0[[#This Row],[trvx]],LEN(modif0[[#This Row],[trvx]])-4))</f>
        <v>PLA</v>
      </c>
      <c r="Q323">
        <f>VALUE(RIGHT(modif0[[#This Row],[trvx]],4))</f>
        <v>2010</v>
      </c>
      <c r="R323" t="str">
        <f>_xlfn.CONCAT(modif0[[#This Row],[tp]],"-",modif0[[#This Row],[essnc]],"_",modif0[[#This Row],[anns]])</f>
        <v>PLA-PM_2010</v>
      </c>
      <c r="S323" t="b">
        <f>modif0[[#This Row],[tp]]="CR"</f>
        <v>0</v>
      </c>
      <c r="T323">
        <v>40</v>
      </c>
      <c r="U323" t="str">
        <f>IF(NOT($A323),"",
IF(AO323=-2,regle!$J$11,
IF(AO323=regle!$B$12,regle!$B$11,
IF(AO323=regle!$C$12,regle!$C$11,
IF(AO323=regle!$D$12,regle!$D$11,
IF(AO323=regle!$E$12,regle!$E$11,
IF(AO323=regle!$F$12,regle!$F$11,
IF(AO323=regle!$G$12,regle!$G$11,
IF(AO323=regle!$H$12,regle!$H$11,
IF(AO323=regle!$I$12,regle!$I$11,""))))))))))</f>
        <v/>
      </c>
      <c r="V323" t="str">
        <f>IF(NOT($A323),"",
IF(AP323=-2,regle!$J$11,
IF(AP323=regle!$B$12,regle!$B$11,
IF(AP323=regle!$C$12,regle!$C$11,
IF(AP323=regle!$D$12,regle!$D$11,
IF(AP323=regle!$E$12,regle!$E$11,
IF(AP323=regle!$F$12,regle!$F$11,
IF(AP323=regle!$G$12,regle!$G$11,
IF(AP323=regle!$H$12,regle!$H$11,
IF(AP323=regle!$I$12,regle!$I$11,""))))))))))</f>
        <v/>
      </c>
      <c r="W323" t="str">
        <f>IF(NOT($A323),"",
IF(AQ323=-2,regle!$J$11,
IF(AQ323=regle!$B$12,regle!$B$11,
IF(AQ323=regle!$C$12,regle!$C$11,
IF(AQ323=regle!$D$12,regle!$D$11,
IF(AQ323=regle!$E$12,regle!$E$11,
IF(AQ323=regle!$F$12,regle!$F$11,
IF(AQ323=regle!$G$12,regle!$G$11,
IF(AQ323=regle!$H$12,regle!$H$11,
IF(AQ323=regle!$I$12,regle!$I$11,""))))))))))</f>
        <v/>
      </c>
      <c r="X323" t="str">
        <f>IF(NOT($A323),"",
IF(AR323=-2,regle!$J$11,
IF(AR323=regle!$B$12,regle!$B$11,
IF(AR323=regle!$C$12,regle!$C$11,
IF(AR323=regle!$D$12,regle!$D$11,
IF(AR323=regle!$E$12,regle!$E$11,
IF(AR323=regle!$F$12,regle!$F$11,
IF(AR323=regle!$G$12,regle!$G$11,
IF(AR323=regle!$H$12,regle!$H$11,
IF(AR323=regle!$I$12,regle!$I$11,""))))))))))</f>
        <v/>
      </c>
      <c r="Y323" t="str">
        <f>IF(NOT($A323),"",
IF(AS323=-2,regle!$J$11,
IF(AS323=regle!$B$12,regle!$B$11,
IF(AS323=regle!$C$12,regle!$C$11,
IF(AS323=regle!$D$12,regle!$D$11,
IF(AS323=regle!$E$12,regle!$E$11,
IF(AS323=regle!$F$12,regle!$F$11,
IF(AS323=regle!$G$12,regle!$G$11,
IF(AS323=regle!$H$12,regle!$H$11,
IF(AS323=regle!$I$12,regle!$I$11,""))))))))))</f>
        <v>EC2</v>
      </c>
      <c r="Z323" t="str">
        <f>IF(NOT($A323),"",
IF(AT323=-2,regle!$J$11,
IF(AT323=regle!$B$12,regle!$B$11,
IF(AT323=regle!$C$12,regle!$C$11,
IF(AT323=regle!$D$12,regle!$D$11,
IF(AT323=regle!$E$12,regle!$E$11,
IF(AT323=regle!$F$12,regle!$F$11,
IF(AT323=regle!$G$12,regle!$G$11,
IF(AT323=regle!$H$12,regle!$H$11,
IF(AT323=regle!$I$12,regle!$I$11,""))))))))))</f>
        <v/>
      </c>
      <c r="AA323" t="str">
        <f>IF(NOT($A323),"",
IF(AU323=-2,regle!$J$11,
IF(AU323=regle!$B$12,regle!$B$11,
IF(AU323=regle!$C$12,regle!$C$11,
IF(AU323=regle!$D$12,regle!$D$11,
IF(AU323=regle!$E$12,regle!$E$11,
IF(AU323=regle!$F$12,regle!$F$11,
IF(AU323=regle!$G$12,regle!$G$11,
IF(AU323=regle!$H$12,regle!$H$11,
IF(AU323=regle!$I$12,regle!$I$11,""))))))))))</f>
        <v/>
      </c>
      <c r="AB323" t="str">
        <f>IF(NOT($A323),"",
IF(AV323=-2,regle!$J$11,
IF(AV323=regle!$B$12,regle!$B$11,
IF(AV323=regle!$C$12,regle!$C$11,
IF(AV323=regle!$D$12,regle!$D$11,
IF(AV323=regle!$E$12,regle!$E$11,
IF(AV323=regle!$F$12,regle!$F$11,
IF(AV323=regle!$G$12,regle!$G$11,
IF(AV323=regle!$H$12,regle!$H$11,
IF(AV323=regle!$I$12,regle!$I$11,""))))))))))</f>
        <v/>
      </c>
      <c r="AC323" t="str">
        <f>IF(NOT($A323),"",
IF(AW323=-2,regle!$J$11,
IF(AW323=regle!$B$12,regle!$B$11,
IF(AW323=regle!$C$12,regle!$C$11,
IF(AW323=regle!$D$12,regle!$D$11,
IF(AW323=regle!$E$12,regle!$E$11,
IF(AW323=regle!$F$12,regle!$F$11,
IF(AW323=regle!$G$12,regle!$G$11,
IF(AW323=regle!$H$12,regle!$H$11,
IF(AW323=regle!$I$12,regle!$I$11,""))))))))))</f>
        <v/>
      </c>
      <c r="AD323" t="str">
        <f>IF(NOT($A323),"",
IF(AX323=-2,regle!$J$11,
IF(AX323=regle!$B$12,regle!$B$11,
IF(AX323=regle!$C$12,regle!$C$11,
IF(AX323=regle!$D$12,regle!$D$11,
IF(AX323=regle!$E$12,regle!$E$11,
IF(AX323=regle!$F$12,regle!$F$11,
IF(AX323=regle!$G$12,regle!$G$11,
IF(AX323=regle!$H$12,regle!$H$11,
IF(AX323=regle!$I$12,regle!$I$11,""))))))))))</f>
        <v>EC3</v>
      </c>
      <c r="AE323" s="14">
        <f>IF($A323,$M323*(IF(U323=regle!$B$11,regle!$B$23,IF(U323=regle!$C$11,regle!$C$23,IF(U323=regle!$D$11,regle!$D$23,IF(U323=regle!$E$11,regle!$E$23,IF(U323=regle!$F$11,regle!$F$23,IF(U323=regle!$G$11,regle!$G$23,IF(U323=regle!$H$11,regle!$H$23,IF(U323=regle!$I$11,regle!$I$23,IF(U323=regle!$J$11,regle!$J$23,0)))))))))))</f>
        <v>0</v>
      </c>
      <c r="AF323" s="14">
        <f>IF($A323,$M323*(IF(V323=regle!$B$11,regle!$B$23,IF(V323=regle!$C$11,regle!$C$23,IF(V323=regle!$D$11,regle!$D$23,IF(V323=regle!$E$11,regle!$E$23,IF(V323=regle!$F$11,regle!$F$23,IF(V323=regle!$G$11,regle!$G$23,IF(V323=regle!$H$11,regle!$H$23,IF(V323=regle!$I$11,regle!$I$23,IF(V323=regle!$J$11,regle!$J$23,0)))))))))))</f>
        <v>0</v>
      </c>
      <c r="AG323" s="14">
        <f>IF($A323,$M323*(IF(W323=regle!$B$11,regle!$B$23,IF(W323=regle!$C$11,regle!$C$23,IF(W323=regle!$D$11,regle!$D$23,IF(W323=regle!$E$11,regle!$E$23,IF(W323=regle!$F$11,regle!$F$23,IF(W323=regle!$G$11,regle!$G$23,IF(W323=regle!$H$11,regle!$H$23,IF(W323=regle!$I$11,regle!$I$23,IF(W323=regle!$J$11,regle!$J$23,0)))))))))))</f>
        <v>0</v>
      </c>
      <c r="AH323" s="14">
        <f>IF($A323,$M323*(IF(X323=regle!$B$11,regle!$B$23,IF(X323=regle!$C$11,regle!$C$23,IF(X323=regle!$D$11,regle!$D$23,IF(X323=regle!$E$11,regle!$E$23,IF(X323=regle!$F$11,regle!$F$23,IF(X323=regle!$G$11,regle!$G$23,IF(X323=regle!$H$11,regle!$H$23,IF(X323=regle!$I$11,regle!$I$23,IF(X323=regle!$J$11,regle!$J$23,0)))))))))))</f>
        <v>0</v>
      </c>
      <c r="AI323" s="14">
        <f>IF($A323,$M323*(IF(Y323=regle!$B$11,regle!$B$23,IF(Y323=regle!$C$11,regle!$C$23,IF(Y323=regle!$D$11,regle!$D$23,IF(Y323=regle!$E$11,regle!$E$23,IF(Y323=regle!$F$11,regle!$F$23,IF(Y323=regle!$G$11,regle!$G$23,IF(Y323=regle!$H$11,regle!$H$23,IF(Y323=regle!$I$11,regle!$I$23,IF(Y323=regle!$J$11,regle!$J$23,0)))))))))))</f>
        <v>1836.24</v>
      </c>
      <c r="AJ323" s="14">
        <f>IF($A323,$M323*(IF(Z323=regle!$B$11,regle!$B$23,IF(Z323=regle!$C$11,regle!$C$23,IF(Z323=regle!$D$11,regle!$D$23,IF(Z323=regle!$E$11,regle!$E$23,IF(Z323=regle!$F$11,regle!$F$23,IF(Z323=regle!$G$11,regle!$G$23,IF(Z323=regle!$H$11,regle!$H$23,IF(Z323=regle!$I$11,regle!$I$23,IF(Z323=regle!$J$11,regle!$J$23,0)))))))))))</f>
        <v>0</v>
      </c>
      <c r="AK323" s="14">
        <f>IF($A323,$M323*(IF(AA323=regle!$B$11,regle!$B$23,IF(AA323=regle!$C$11,regle!$C$23,IF(AA323=regle!$D$11,regle!$D$23,IF(AA323=regle!$E$11,regle!$E$23,IF(AA323=regle!$F$11,regle!$F$23,IF(AA323=regle!$G$11,regle!$G$23,IF(AA323=regle!$H$11,regle!$H$23,IF(AA323=regle!$I$11,regle!$I$23,IF(AA323=regle!$J$11,regle!$J$23,0)))))))))))</f>
        <v>0</v>
      </c>
      <c r="AL323" s="14">
        <f>IF($A323,$M323*(IF(AB323=regle!$B$11,regle!$B$23,IF(AB323=regle!$C$11,regle!$C$23,IF(AB323=regle!$D$11,regle!$D$23,IF(AB323=regle!$E$11,regle!$E$23,IF(AB323=regle!$F$11,regle!$F$23,IF(AB323=regle!$G$11,regle!$G$23,IF(AB323=regle!$H$11,regle!$H$23,IF(AB323=regle!$I$11,regle!$I$23,IF(AB323=regle!$J$11,regle!$J$23,0)))))))))))</f>
        <v>0</v>
      </c>
      <c r="AM323" s="14">
        <f>IF($A323,$M323*(IF(AC323=regle!$B$11,regle!$B$23,IF(AC323=regle!$C$11,regle!$C$23,IF(AC323=regle!$D$11,regle!$D$23,IF(AC323=regle!$E$11,regle!$E$23,IF(AC323=regle!$F$11,regle!$F$23,IF(AC323=regle!$G$11,regle!$G$23,IF(AC323=regle!$H$11,regle!$H$23,IF(AC323=regle!$I$11,regle!$I$23,IF(AC323=regle!$J$11,regle!$J$23,0)))))))))))</f>
        <v>0</v>
      </c>
      <c r="AN323" s="14">
        <f>IF($A323,$M323*(IF(AD323=regle!$B$11,regle!$B$23,IF(AD323=regle!$C$11,regle!$C$23,IF(AD323=regle!$D$11,regle!$D$23,IF(AD323=regle!$E$11,regle!$E$23,IF(AD323=regle!$F$11,regle!$F$23,IF(AD323=regle!$G$11,regle!$G$23,IF(AD323=regle!$H$11,regle!$H$23,IF(AD323=regle!$I$11,regle!$I$23,IF(AD323=regle!$J$11,regle!$J$23,0)))))))))))</f>
        <v>3077.8879999999999</v>
      </c>
      <c r="AO323">
        <f>IF(AO$1=$AO$1,IF(regle!B$2-$Q323&gt;=regle!$J$12,-2,IF($S323,IF(regle!$B$2-$Q323&gt;=2,0,-1),regle!B$2-$Q323)),IF(AN323+1&gt;=regle!$J$12,-2,AN323+1))</f>
        <v>14</v>
      </c>
      <c r="AP323">
        <f>IF(AP$1=$AO$1,IF(regle!C$2-$Q323&gt;=regle!$J$12,-2,IF($S323,IF(regle!$B$2-$Q323&gt;=2,0,-1),regle!C$2-$Q323)),IF(AO323+1&gt;=regle!$J$12,-2,AO323+1))</f>
        <v>15</v>
      </c>
      <c r="AQ323">
        <f>IF(AQ$1=$AO$1,IF(regle!D$2-$Q323&gt;=regle!$J$12,-2,IF($S323,IF(regle!$B$2-$Q323&gt;=2,0,-1),regle!D$2-$Q323)),IF(AP323+1&gt;=regle!$J$12,-2,AP323+1))</f>
        <v>16</v>
      </c>
      <c r="AR323">
        <f>IF(AR$1=$AO$1,IF(regle!E$2-$Q323&gt;=regle!$J$12,-2,IF($S323,IF(regle!$B$2-$Q323&gt;=2,0,-1),regle!E$2-$Q323)),IF(AQ323+1&gt;=regle!$J$12,-2,AQ323+1))</f>
        <v>17</v>
      </c>
      <c r="AS323">
        <f>IF(AS$1=$AO$1,IF(regle!F$2-$Q323&gt;=regle!$J$12,-2,IF($S323,IF(regle!$B$2-$Q323&gt;=2,0,-1),regle!F$2-$Q323)),IF(AR323+1&gt;=regle!$J$12,-2,AR323+1))</f>
        <v>18</v>
      </c>
      <c r="AT323">
        <f>IF(AT$1=$AO$1,IF(regle!G$2-$Q323&gt;=regle!$J$12,-2,IF($S323,IF(regle!$B$2-$Q323&gt;=2,0,-1),regle!G$2-$Q323)),IF(AS323+1&gt;=regle!$J$12,-2,AS323+1))</f>
        <v>19</v>
      </c>
      <c r="AU323">
        <f>IF(AU$1=$AO$1,IF(regle!H$2-$Q323&gt;=regle!$J$12,-2,IF($S323,IF(regle!$B$2-$Q323&gt;=2,0,-1),regle!H$2-$Q323)),IF(AT323+1&gt;=regle!$J$12,-2,AT323+1))</f>
        <v>20</v>
      </c>
      <c r="AV323">
        <f>IF(AV$1=$AO$1,IF(regle!I$2-$Q323&gt;=regle!$J$12,-2,IF($S323,IF(regle!$B$2-$Q323&gt;=2,0,-1),regle!I$2-$Q323)),IF(AU323+1&gt;=regle!$J$12,-2,AU323+1))</f>
        <v>21</v>
      </c>
      <c r="AW323">
        <f>IF(AW$1=$AO$1,IF(regle!J$2-$Q323&gt;=regle!$J$12,-2,IF($S323,IF(regle!$B$2-$Q323&gt;=2,0,-1),regle!J$2-$Q323)),IF(AV323+1&gt;=regle!$J$12,-2,AV323+1))</f>
        <v>22</v>
      </c>
      <c r="AX323">
        <f>IF(AX$1=$AO$1,IF(regle!K$2-$Q323&gt;=regle!$J$12,-2,IF($S323,IF(regle!$B$2-$Q323&gt;=2,0,-1),regle!K$2-$Q323)),IF(AW323+1&gt;=regle!$J$12,-2,AW323+1))</f>
        <v>23</v>
      </c>
    </row>
    <row r="324" spans="1:50" x14ac:dyDescent="0.25">
      <c r="A324" t="b">
        <f>AND(modif0[[#This Row],[cdstr]]&lt;&gt;0,OR(regle!$H$27=FALSE,modif0[[#This Row],[essnc]]="PM"))</f>
        <v>1</v>
      </c>
      <c r="B324">
        <f>ROW(objet!A374)</f>
        <v>374</v>
      </c>
      <c r="C324" s="10" t="str">
        <f>objet!D374</f>
        <v>0770000D1511</v>
      </c>
      <c r="D324" t="str">
        <f>LEFT(modif0[[#This Row],[cdstr]],3)</f>
        <v>077</v>
      </c>
      <c r="E324" s="10" t="str">
        <f>objet!G374</f>
        <v>CABANAC-ET-VILLAGRAINS</v>
      </c>
      <c r="F324">
        <f>LEN(modif0[[#This Row],[l_dt]])</f>
        <v>13</v>
      </c>
      <c r="G324" s="10" t="str">
        <f>objet!H374</f>
        <v>LAGUNE LONGUE</v>
      </c>
      <c r="H324" s="10" t="str">
        <f>objet!C374</f>
        <v>D1511k</v>
      </c>
      <c r="I324" t="str">
        <f>IF(ISNUMBER(VALUE(RIGHT(LEFT(modif0[[#This Row],[idntfn]],2),1))),_xlfn.CONCAT(0,LEFT(modif0[[#This Row],[idntfn]],1)),LEFT(modif0[[#This Row],[idntfn]],2))</f>
        <v>0D</v>
      </c>
      <c r="J324">
        <f>VALUE(LEFT(RIGHT(modif0[[#This Row],[idntfn]],LEN(modif0[[#This Row],[idntfn]])-IF(LEFT(modif0[[#This Row],[sctn]],1)="0",1,2)),LEN(modif0[[#This Row],[idntfn]])-IF(LEFT(modif0[[#This Row],[sctn]],1)="0",1,2)-LEN(modif0[[#This Row],[lttr]])))</f>
        <v>1511</v>
      </c>
      <c r="K324" t="str">
        <f>IF(ISNUMBER(VALUE(RIGHT(modif0[[#This Row],[idntfn]],1))),"",IF(ISNUMBER(VALUE(LEFT(RIGHT(modif0[[#This Row],[idntfn]],2),1))),RIGHT(modif0[[#This Row],[idntfn]],1),RIGHT(modif0[[#This Row],[idntfn]],2)))</f>
        <v>k</v>
      </c>
      <c r="L324" s="10">
        <f>objet!I374</f>
        <v>7006</v>
      </c>
      <c r="M324" s="11">
        <f>modif0[[#This Row],[srfc]]/10000</f>
        <v>0.7006</v>
      </c>
      <c r="N324" s="10" t="str">
        <f>objet!Z374</f>
        <v>PM</v>
      </c>
      <c r="O324" s="10" t="str">
        <f>objet!AA374</f>
        <v>PLA2015</v>
      </c>
      <c r="P324" t="str">
        <f>IF(ISNUMBER(modif0[[#This Row],[trvx]]),"",LEFT(modif0[[#This Row],[trvx]],LEN(modif0[[#This Row],[trvx]])-4))</f>
        <v>PLA</v>
      </c>
      <c r="Q324">
        <f>VALUE(RIGHT(modif0[[#This Row],[trvx]],4))</f>
        <v>2015</v>
      </c>
      <c r="R324" t="str">
        <f>_xlfn.CONCAT(modif0[[#This Row],[tp]],"-",modif0[[#This Row],[essnc]],"_",modif0[[#This Row],[anns]])</f>
        <v>PLA-PM_2015</v>
      </c>
      <c r="S324" t="b">
        <f>modif0[[#This Row],[tp]]="CR"</f>
        <v>0</v>
      </c>
      <c r="T324">
        <v>40</v>
      </c>
      <c r="U324" t="str">
        <f>IF(NOT($A324),"",
IF(AO324=-2,regle!$J$11,
IF(AO324=regle!$B$12,regle!$B$11,
IF(AO324=regle!$C$12,regle!$C$11,
IF(AO324=regle!$D$12,regle!$D$11,
IF(AO324=regle!$E$12,regle!$E$11,
IF(AO324=regle!$F$12,regle!$F$11,
IF(AO324=regle!$G$12,regle!$G$11,
IF(AO324=regle!$H$12,regle!$H$11,
IF(AO324=regle!$I$12,regle!$I$11,""))))))))))</f>
        <v/>
      </c>
      <c r="V324" t="str">
        <f>IF(NOT($A324),"",
IF(AP324=-2,regle!$J$11,
IF(AP324=regle!$B$12,regle!$B$11,
IF(AP324=regle!$C$12,regle!$C$11,
IF(AP324=regle!$D$12,regle!$D$11,
IF(AP324=regle!$E$12,regle!$E$11,
IF(AP324=regle!$F$12,regle!$F$11,
IF(AP324=regle!$G$12,regle!$G$11,
IF(AP324=regle!$H$12,regle!$H$11,
IF(AP324=regle!$I$12,regle!$I$11,""))))))))))</f>
        <v/>
      </c>
      <c r="W324" t="str">
        <f>IF(NOT($A324),"",
IF(AQ324=-2,regle!$J$11,
IF(AQ324=regle!$B$12,regle!$B$11,
IF(AQ324=regle!$C$12,regle!$C$11,
IF(AQ324=regle!$D$12,regle!$D$11,
IF(AQ324=regle!$E$12,regle!$E$11,
IF(AQ324=regle!$F$12,regle!$F$11,
IF(AQ324=regle!$G$12,regle!$G$11,
IF(AQ324=regle!$H$12,regle!$H$11,
IF(AQ324=regle!$I$12,regle!$I$11,""))))))))))</f>
        <v/>
      </c>
      <c r="X324" t="str">
        <f>IF(NOT($A324),"",
IF(AR324=-2,regle!$J$11,
IF(AR324=regle!$B$12,regle!$B$11,
IF(AR324=regle!$C$12,regle!$C$11,
IF(AR324=regle!$D$12,regle!$D$11,
IF(AR324=regle!$E$12,regle!$E$11,
IF(AR324=regle!$F$12,regle!$F$11,
IF(AR324=regle!$G$12,regle!$G$11,
IF(AR324=regle!$H$12,regle!$H$11,
IF(AR324=regle!$I$12,regle!$I$11,""))))))))))</f>
        <v/>
      </c>
      <c r="Y324" t="str">
        <f>IF(NOT($A324),"",
IF(AS324=-2,regle!$J$11,
IF(AS324=regle!$B$12,regle!$B$11,
IF(AS324=regle!$C$12,regle!$C$11,
IF(AS324=regle!$D$12,regle!$D$11,
IF(AS324=regle!$E$12,regle!$E$11,
IF(AS324=regle!$F$12,regle!$F$11,
IF(AS324=regle!$G$12,regle!$G$11,
IF(AS324=regle!$H$12,regle!$H$11,
IF(AS324=regle!$I$12,regle!$I$11,""))))))))))</f>
        <v>EC1</v>
      </c>
      <c r="Z324" t="str">
        <f>IF(NOT($A324),"",
IF(AT324=-2,regle!$J$11,
IF(AT324=regle!$B$12,regle!$B$11,
IF(AT324=regle!$C$12,regle!$C$11,
IF(AT324=regle!$D$12,regle!$D$11,
IF(AT324=regle!$E$12,regle!$E$11,
IF(AT324=regle!$F$12,regle!$F$11,
IF(AT324=regle!$G$12,regle!$G$11,
IF(AT324=regle!$H$12,regle!$H$11,
IF(AT324=regle!$I$12,regle!$I$11,""))))))))))</f>
        <v/>
      </c>
      <c r="AA324" t="str">
        <f>IF(NOT($A324),"",
IF(AU324=-2,regle!$J$11,
IF(AU324=regle!$B$12,regle!$B$11,
IF(AU324=regle!$C$12,regle!$C$11,
IF(AU324=regle!$D$12,regle!$D$11,
IF(AU324=regle!$E$12,regle!$E$11,
IF(AU324=regle!$F$12,regle!$F$11,
IF(AU324=regle!$G$12,regle!$G$11,
IF(AU324=regle!$H$12,regle!$H$11,
IF(AU324=regle!$I$12,regle!$I$11,""))))))))))</f>
        <v/>
      </c>
      <c r="AB324" t="str">
        <f>IF(NOT($A324),"",
IF(AV324=-2,regle!$J$11,
IF(AV324=regle!$B$12,regle!$B$11,
IF(AV324=regle!$C$12,regle!$C$11,
IF(AV324=regle!$D$12,regle!$D$11,
IF(AV324=regle!$E$12,regle!$E$11,
IF(AV324=regle!$F$12,regle!$F$11,
IF(AV324=regle!$G$12,regle!$G$11,
IF(AV324=regle!$H$12,regle!$H$11,
IF(AV324=regle!$I$12,regle!$I$11,""))))))))))</f>
        <v/>
      </c>
      <c r="AC324" t="str">
        <f>IF(NOT($A324),"",
IF(AW324=-2,regle!$J$11,
IF(AW324=regle!$B$12,regle!$B$11,
IF(AW324=regle!$C$12,regle!$C$11,
IF(AW324=regle!$D$12,regle!$D$11,
IF(AW324=regle!$E$12,regle!$E$11,
IF(AW324=regle!$F$12,regle!$F$11,
IF(AW324=regle!$G$12,regle!$G$11,
IF(AW324=regle!$H$12,regle!$H$11,
IF(AW324=regle!$I$12,regle!$I$11,""))))))))))</f>
        <v/>
      </c>
      <c r="AD324" t="str">
        <f>IF(NOT($A324),"",
IF(AX324=-2,regle!$J$11,
IF(AX324=regle!$B$12,regle!$B$11,
IF(AX324=regle!$C$12,regle!$C$11,
IF(AX324=regle!$D$12,regle!$D$11,
IF(AX324=regle!$E$12,regle!$E$11,
IF(AX324=regle!$F$12,regle!$F$11,
IF(AX324=regle!$G$12,regle!$G$11,
IF(AX324=regle!$H$12,regle!$H$11,
IF(AX324=regle!$I$12,regle!$I$11,""))))))))))</f>
        <v>EC2</v>
      </c>
      <c r="AE324" s="14">
        <f>IF($A324,$M324*(IF(U324=regle!$B$11,regle!$B$23,IF(U324=regle!$C$11,regle!$C$23,IF(U324=regle!$D$11,regle!$D$23,IF(U324=regle!$E$11,regle!$E$23,IF(U324=regle!$F$11,regle!$F$23,IF(U324=regle!$G$11,regle!$G$23,IF(U324=regle!$H$11,regle!$H$23,IF(U324=regle!$I$11,regle!$I$23,IF(U324=regle!$J$11,regle!$J$23,0)))))))))))</f>
        <v>0</v>
      </c>
      <c r="AF324" s="14">
        <f>IF($A324,$M324*(IF(V324=regle!$B$11,regle!$B$23,IF(V324=regle!$C$11,regle!$C$23,IF(V324=regle!$D$11,regle!$D$23,IF(V324=regle!$E$11,regle!$E$23,IF(V324=regle!$F$11,regle!$F$23,IF(V324=regle!$G$11,regle!$G$23,IF(V324=regle!$H$11,regle!$H$23,IF(V324=regle!$I$11,regle!$I$23,IF(V324=regle!$J$11,regle!$J$23,0)))))))))))</f>
        <v>0</v>
      </c>
      <c r="AG324" s="14">
        <f>IF($A324,$M324*(IF(W324=regle!$B$11,regle!$B$23,IF(W324=regle!$C$11,regle!$C$23,IF(W324=regle!$D$11,regle!$D$23,IF(W324=regle!$E$11,regle!$E$23,IF(W324=regle!$F$11,regle!$F$23,IF(W324=regle!$G$11,regle!$G$23,IF(W324=regle!$H$11,regle!$H$23,IF(W324=regle!$I$11,regle!$I$23,IF(W324=regle!$J$11,regle!$J$23,0)))))))))))</f>
        <v>0</v>
      </c>
      <c r="AH324" s="14">
        <f>IF($A324,$M324*(IF(X324=regle!$B$11,regle!$B$23,IF(X324=regle!$C$11,regle!$C$23,IF(X324=regle!$D$11,regle!$D$23,IF(X324=regle!$E$11,regle!$E$23,IF(X324=regle!$F$11,regle!$F$23,IF(X324=regle!$G$11,regle!$G$23,IF(X324=regle!$H$11,regle!$H$23,IF(X324=regle!$I$11,regle!$I$23,IF(X324=regle!$J$11,regle!$J$23,0)))))))))))</f>
        <v>0</v>
      </c>
      <c r="AI324" s="14">
        <f>IF($A324,$M324*(IF(Y324=regle!$B$11,regle!$B$23,IF(Y324=regle!$C$11,regle!$C$23,IF(Y324=regle!$D$11,regle!$D$23,IF(Y324=regle!$E$11,regle!$E$23,IF(Y324=regle!$F$11,regle!$F$23,IF(Y324=regle!$G$11,regle!$G$23,IF(Y324=regle!$H$11,regle!$H$23,IF(Y324=regle!$I$11,regle!$I$23,IF(Y324=regle!$J$11,regle!$J$23,0)))))))))))</f>
        <v>403.54559999999998</v>
      </c>
      <c r="AJ324" s="14">
        <f>IF($A324,$M324*(IF(Z324=regle!$B$11,regle!$B$23,IF(Z324=regle!$C$11,regle!$C$23,IF(Z324=regle!$D$11,regle!$D$23,IF(Z324=regle!$E$11,regle!$E$23,IF(Z324=regle!$F$11,regle!$F$23,IF(Z324=regle!$G$11,regle!$G$23,IF(Z324=regle!$H$11,regle!$H$23,IF(Z324=regle!$I$11,regle!$I$23,IF(Z324=regle!$J$11,regle!$J$23,0)))))))))))</f>
        <v>0</v>
      </c>
      <c r="AK324" s="14">
        <f>IF($A324,$M324*(IF(AA324=regle!$B$11,regle!$B$23,IF(AA324=regle!$C$11,regle!$C$23,IF(AA324=regle!$D$11,regle!$D$23,IF(AA324=regle!$E$11,regle!$E$23,IF(AA324=regle!$F$11,regle!$F$23,IF(AA324=regle!$G$11,regle!$G$23,IF(AA324=regle!$H$11,regle!$H$23,IF(AA324=regle!$I$11,regle!$I$23,IF(AA324=regle!$J$11,regle!$J$23,0)))))))))))</f>
        <v>0</v>
      </c>
      <c r="AL324" s="14">
        <f>IF($A324,$M324*(IF(AB324=regle!$B$11,regle!$B$23,IF(AB324=regle!$C$11,regle!$C$23,IF(AB324=regle!$D$11,regle!$D$23,IF(AB324=regle!$E$11,regle!$E$23,IF(AB324=regle!$F$11,regle!$F$23,IF(AB324=regle!$G$11,regle!$G$23,IF(AB324=regle!$H$11,regle!$H$23,IF(AB324=regle!$I$11,regle!$I$23,IF(AB324=regle!$J$11,regle!$J$23,0)))))))))))</f>
        <v>0</v>
      </c>
      <c r="AM324" s="14">
        <f>IF($A324,$M324*(IF(AC324=regle!$B$11,regle!$B$23,IF(AC324=regle!$C$11,regle!$C$23,IF(AC324=regle!$D$11,regle!$D$23,IF(AC324=regle!$E$11,regle!$E$23,IF(AC324=regle!$F$11,regle!$F$23,IF(AC324=regle!$G$11,regle!$G$23,IF(AC324=regle!$H$11,regle!$H$23,IF(AC324=regle!$I$11,regle!$I$23,IF(AC324=regle!$J$11,regle!$J$23,0)))))))))))</f>
        <v>0</v>
      </c>
      <c r="AN324" s="14">
        <f>IF($A324,$M324*(IF(AD324=regle!$B$11,regle!$B$23,IF(AD324=regle!$C$11,regle!$C$23,IF(AD324=regle!$D$11,regle!$D$23,IF(AD324=regle!$E$11,regle!$E$23,IF(AD324=regle!$F$11,regle!$F$23,IF(AD324=regle!$G$11,regle!$G$23,IF(AD324=regle!$H$11,regle!$H$23,IF(AD324=regle!$I$11,regle!$I$23,IF(AD324=regle!$J$11,regle!$J$23,0)))))))))))</f>
        <v>588.50400000000002</v>
      </c>
      <c r="AO324">
        <f>IF(AO$1=$AO$1,IF(regle!B$2-$Q324&gt;=regle!$J$12,-2,IF($S324,IF(regle!$B$2-$Q324&gt;=2,0,-1),regle!B$2-$Q324)),IF(AN324+1&gt;=regle!$J$12,-2,AN324+1))</f>
        <v>9</v>
      </c>
      <c r="AP324">
        <f>IF(AP$1=$AO$1,IF(regle!C$2-$Q324&gt;=regle!$J$12,-2,IF($S324,IF(regle!$B$2-$Q324&gt;=2,0,-1),regle!C$2-$Q324)),IF(AO324+1&gt;=regle!$J$12,-2,AO324+1))</f>
        <v>10</v>
      </c>
      <c r="AQ324">
        <f>IF(AQ$1=$AO$1,IF(regle!D$2-$Q324&gt;=regle!$J$12,-2,IF($S324,IF(regle!$B$2-$Q324&gt;=2,0,-1),regle!D$2-$Q324)),IF(AP324+1&gt;=regle!$J$12,-2,AP324+1))</f>
        <v>11</v>
      </c>
      <c r="AR324">
        <f>IF(AR$1=$AO$1,IF(regle!E$2-$Q324&gt;=regle!$J$12,-2,IF($S324,IF(regle!$B$2-$Q324&gt;=2,0,-1),regle!E$2-$Q324)),IF(AQ324+1&gt;=regle!$J$12,-2,AQ324+1))</f>
        <v>12</v>
      </c>
      <c r="AS324">
        <f>IF(AS$1=$AO$1,IF(regle!F$2-$Q324&gt;=regle!$J$12,-2,IF($S324,IF(regle!$B$2-$Q324&gt;=2,0,-1),regle!F$2-$Q324)),IF(AR324+1&gt;=regle!$J$12,-2,AR324+1))</f>
        <v>13</v>
      </c>
      <c r="AT324">
        <f>IF(AT$1=$AO$1,IF(regle!G$2-$Q324&gt;=regle!$J$12,-2,IF($S324,IF(regle!$B$2-$Q324&gt;=2,0,-1),regle!G$2-$Q324)),IF(AS324+1&gt;=regle!$J$12,-2,AS324+1))</f>
        <v>14</v>
      </c>
      <c r="AU324">
        <f>IF(AU$1=$AO$1,IF(regle!H$2-$Q324&gt;=regle!$J$12,-2,IF($S324,IF(regle!$B$2-$Q324&gt;=2,0,-1),regle!H$2-$Q324)),IF(AT324+1&gt;=regle!$J$12,-2,AT324+1))</f>
        <v>15</v>
      </c>
      <c r="AV324">
        <f>IF(AV$1=$AO$1,IF(regle!I$2-$Q324&gt;=regle!$J$12,-2,IF($S324,IF(regle!$B$2-$Q324&gt;=2,0,-1),regle!I$2-$Q324)),IF(AU324+1&gt;=regle!$J$12,-2,AU324+1))</f>
        <v>16</v>
      </c>
      <c r="AW324">
        <f>IF(AW$1=$AO$1,IF(regle!J$2-$Q324&gt;=regle!$J$12,-2,IF($S324,IF(regle!$B$2-$Q324&gt;=2,0,-1),regle!J$2-$Q324)),IF(AV324+1&gt;=regle!$J$12,-2,AV324+1))</f>
        <v>17</v>
      </c>
      <c r="AX324">
        <f>IF(AX$1=$AO$1,IF(regle!K$2-$Q324&gt;=regle!$J$12,-2,IF($S324,IF(regle!$B$2-$Q324&gt;=2,0,-1),regle!K$2-$Q324)),IF(AW324+1&gt;=regle!$J$12,-2,AW324+1))</f>
        <v>18</v>
      </c>
    </row>
    <row r="325" spans="1:50" x14ac:dyDescent="0.25">
      <c r="A325" t="b">
        <f>AND(modif0[[#This Row],[cdstr]]&lt;&gt;0,OR(regle!$H$27=FALSE,modif0[[#This Row],[essnc]]="PM"))</f>
        <v>1</v>
      </c>
      <c r="B325">
        <f>ROW(objet!A375)</f>
        <v>375</v>
      </c>
      <c r="C325" s="10" t="str">
        <f>objet!D375</f>
        <v>0770000D1511</v>
      </c>
      <c r="D325" t="str">
        <f>LEFT(modif0[[#This Row],[cdstr]],3)</f>
        <v>077</v>
      </c>
      <c r="E325" s="10" t="str">
        <f>objet!G375</f>
        <v>CABANAC-ET-VILLAGRAINS</v>
      </c>
      <c r="F325">
        <f>LEN(modif0[[#This Row],[l_dt]])</f>
        <v>13</v>
      </c>
      <c r="G325" s="10" t="str">
        <f>objet!H375</f>
        <v>LAGUNE LONGUE</v>
      </c>
      <c r="H325" s="10" t="str">
        <f>objet!C375</f>
        <v>D1511l</v>
      </c>
      <c r="I325" t="str">
        <f>IF(ISNUMBER(VALUE(RIGHT(LEFT(modif0[[#This Row],[idntfn]],2),1))),_xlfn.CONCAT(0,LEFT(modif0[[#This Row],[idntfn]],1)),LEFT(modif0[[#This Row],[idntfn]],2))</f>
        <v>0D</v>
      </c>
      <c r="J325">
        <f>VALUE(LEFT(RIGHT(modif0[[#This Row],[idntfn]],LEN(modif0[[#This Row],[idntfn]])-IF(LEFT(modif0[[#This Row],[sctn]],1)="0",1,2)),LEN(modif0[[#This Row],[idntfn]])-IF(LEFT(modif0[[#This Row],[sctn]],1)="0",1,2)-LEN(modif0[[#This Row],[lttr]])))</f>
        <v>1511</v>
      </c>
      <c r="K325" t="str">
        <f>IF(ISNUMBER(VALUE(RIGHT(modif0[[#This Row],[idntfn]],1))),"",IF(ISNUMBER(VALUE(LEFT(RIGHT(modif0[[#This Row],[idntfn]],2),1))),RIGHT(modif0[[#This Row],[idntfn]],1),RIGHT(modif0[[#This Row],[idntfn]],2)))</f>
        <v>l</v>
      </c>
      <c r="L325" s="10">
        <f>objet!I375</f>
        <v>46490</v>
      </c>
      <c r="M325" s="11">
        <f>modif0[[#This Row],[srfc]]/10000</f>
        <v>4.649</v>
      </c>
      <c r="N325" s="10" t="str">
        <f>objet!Z375</f>
        <v>PM</v>
      </c>
      <c r="O325" s="10" t="str">
        <f>objet!AA375</f>
        <v>PLA2015</v>
      </c>
      <c r="P325" t="str">
        <f>IF(ISNUMBER(modif0[[#This Row],[trvx]]),"",LEFT(modif0[[#This Row],[trvx]],LEN(modif0[[#This Row],[trvx]])-4))</f>
        <v>PLA</v>
      </c>
      <c r="Q325">
        <f>VALUE(RIGHT(modif0[[#This Row],[trvx]],4))</f>
        <v>2015</v>
      </c>
      <c r="R325" t="str">
        <f>_xlfn.CONCAT(modif0[[#This Row],[tp]],"-",modif0[[#This Row],[essnc]],"_",modif0[[#This Row],[anns]])</f>
        <v>PLA-PM_2015</v>
      </c>
      <c r="S325" t="b">
        <f>modif0[[#This Row],[tp]]="CR"</f>
        <v>0</v>
      </c>
      <c r="T325">
        <v>40</v>
      </c>
      <c r="U325" t="str">
        <f>IF(NOT($A325),"",
IF(AO325=-2,regle!$J$11,
IF(AO325=regle!$B$12,regle!$B$11,
IF(AO325=regle!$C$12,regle!$C$11,
IF(AO325=regle!$D$12,regle!$D$11,
IF(AO325=regle!$E$12,regle!$E$11,
IF(AO325=regle!$F$12,regle!$F$11,
IF(AO325=regle!$G$12,regle!$G$11,
IF(AO325=regle!$H$12,regle!$H$11,
IF(AO325=regle!$I$12,regle!$I$11,""))))))))))</f>
        <v/>
      </c>
      <c r="V325" t="str">
        <f>IF(NOT($A325),"",
IF(AP325=-2,regle!$J$11,
IF(AP325=regle!$B$12,regle!$B$11,
IF(AP325=regle!$C$12,regle!$C$11,
IF(AP325=regle!$D$12,regle!$D$11,
IF(AP325=regle!$E$12,regle!$E$11,
IF(AP325=regle!$F$12,regle!$F$11,
IF(AP325=regle!$G$12,regle!$G$11,
IF(AP325=regle!$H$12,regle!$H$11,
IF(AP325=regle!$I$12,regle!$I$11,""))))))))))</f>
        <v/>
      </c>
      <c r="W325" t="str">
        <f>IF(NOT($A325),"",
IF(AQ325=-2,regle!$J$11,
IF(AQ325=regle!$B$12,regle!$B$11,
IF(AQ325=regle!$C$12,regle!$C$11,
IF(AQ325=regle!$D$12,regle!$D$11,
IF(AQ325=regle!$E$12,regle!$E$11,
IF(AQ325=regle!$F$12,regle!$F$11,
IF(AQ325=regle!$G$12,regle!$G$11,
IF(AQ325=regle!$H$12,regle!$H$11,
IF(AQ325=regle!$I$12,regle!$I$11,""))))))))))</f>
        <v/>
      </c>
      <c r="X325" t="str">
        <f>IF(NOT($A325),"",
IF(AR325=-2,regle!$J$11,
IF(AR325=regle!$B$12,regle!$B$11,
IF(AR325=regle!$C$12,regle!$C$11,
IF(AR325=regle!$D$12,regle!$D$11,
IF(AR325=regle!$E$12,regle!$E$11,
IF(AR325=regle!$F$12,regle!$F$11,
IF(AR325=regle!$G$12,regle!$G$11,
IF(AR325=regle!$H$12,regle!$H$11,
IF(AR325=regle!$I$12,regle!$I$11,""))))))))))</f>
        <v/>
      </c>
      <c r="Y325" t="str">
        <f>IF(NOT($A325),"",
IF(AS325=-2,regle!$J$11,
IF(AS325=regle!$B$12,regle!$B$11,
IF(AS325=regle!$C$12,regle!$C$11,
IF(AS325=regle!$D$12,regle!$D$11,
IF(AS325=regle!$E$12,regle!$E$11,
IF(AS325=regle!$F$12,regle!$F$11,
IF(AS325=regle!$G$12,regle!$G$11,
IF(AS325=regle!$H$12,regle!$H$11,
IF(AS325=regle!$I$12,regle!$I$11,""))))))))))</f>
        <v>EC1</v>
      </c>
      <c r="Z325" t="str">
        <f>IF(NOT($A325),"",
IF(AT325=-2,regle!$J$11,
IF(AT325=regle!$B$12,regle!$B$11,
IF(AT325=regle!$C$12,regle!$C$11,
IF(AT325=regle!$D$12,regle!$D$11,
IF(AT325=regle!$E$12,regle!$E$11,
IF(AT325=regle!$F$12,regle!$F$11,
IF(AT325=regle!$G$12,regle!$G$11,
IF(AT325=regle!$H$12,regle!$H$11,
IF(AT325=regle!$I$12,regle!$I$11,""))))))))))</f>
        <v/>
      </c>
      <c r="AA325" t="str">
        <f>IF(NOT($A325),"",
IF(AU325=-2,regle!$J$11,
IF(AU325=regle!$B$12,regle!$B$11,
IF(AU325=regle!$C$12,regle!$C$11,
IF(AU325=regle!$D$12,regle!$D$11,
IF(AU325=regle!$E$12,regle!$E$11,
IF(AU325=regle!$F$12,regle!$F$11,
IF(AU325=regle!$G$12,regle!$G$11,
IF(AU325=regle!$H$12,regle!$H$11,
IF(AU325=regle!$I$12,regle!$I$11,""))))))))))</f>
        <v/>
      </c>
      <c r="AB325" t="str">
        <f>IF(NOT($A325),"",
IF(AV325=-2,regle!$J$11,
IF(AV325=regle!$B$12,regle!$B$11,
IF(AV325=regle!$C$12,regle!$C$11,
IF(AV325=regle!$D$12,regle!$D$11,
IF(AV325=regle!$E$12,regle!$E$11,
IF(AV325=regle!$F$12,regle!$F$11,
IF(AV325=regle!$G$12,regle!$G$11,
IF(AV325=regle!$H$12,regle!$H$11,
IF(AV325=regle!$I$12,regle!$I$11,""))))))))))</f>
        <v/>
      </c>
      <c r="AC325" t="str">
        <f>IF(NOT($A325),"",
IF(AW325=-2,regle!$J$11,
IF(AW325=regle!$B$12,regle!$B$11,
IF(AW325=regle!$C$12,regle!$C$11,
IF(AW325=regle!$D$12,regle!$D$11,
IF(AW325=regle!$E$12,regle!$E$11,
IF(AW325=regle!$F$12,regle!$F$11,
IF(AW325=regle!$G$12,regle!$G$11,
IF(AW325=regle!$H$12,regle!$H$11,
IF(AW325=regle!$I$12,regle!$I$11,""))))))))))</f>
        <v/>
      </c>
      <c r="AD325" t="str">
        <f>IF(NOT($A325),"",
IF(AX325=-2,regle!$J$11,
IF(AX325=regle!$B$12,regle!$B$11,
IF(AX325=regle!$C$12,regle!$C$11,
IF(AX325=regle!$D$12,regle!$D$11,
IF(AX325=regle!$E$12,regle!$E$11,
IF(AX325=regle!$F$12,regle!$F$11,
IF(AX325=regle!$G$12,regle!$G$11,
IF(AX325=regle!$H$12,regle!$H$11,
IF(AX325=regle!$I$12,regle!$I$11,""))))))))))</f>
        <v>EC2</v>
      </c>
      <c r="AE325" s="14">
        <f>IF($A325,$M325*(IF(U325=regle!$B$11,regle!$B$23,IF(U325=regle!$C$11,regle!$C$23,IF(U325=regle!$D$11,regle!$D$23,IF(U325=regle!$E$11,regle!$E$23,IF(U325=regle!$F$11,regle!$F$23,IF(U325=regle!$G$11,regle!$G$23,IF(U325=regle!$H$11,regle!$H$23,IF(U325=regle!$I$11,regle!$I$23,IF(U325=regle!$J$11,regle!$J$23,0)))))))))))</f>
        <v>0</v>
      </c>
      <c r="AF325" s="14">
        <f>IF($A325,$M325*(IF(V325=regle!$B$11,regle!$B$23,IF(V325=regle!$C$11,regle!$C$23,IF(V325=regle!$D$11,regle!$D$23,IF(V325=regle!$E$11,regle!$E$23,IF(V325=regle!$F$11,regle!$F$23,IF(V325=regle!$G$11,regle!$G$23,IF(V325=regle!$H$11,regle!$H$23,IF(V325=regle!$I$11,regle!$I$23,IF(V325=regle!$J$11,regle!$J$23,0)))))))))))</f>
        <v>0</v>
      </c>
      <c r="AG325" s="14">
        <f>IF($A325,$M325*(IF(W325=regle!$B$11,regle!$B$23,IF(W325=regle!$C$11,regle!$C$23,IF(W325=regle!$D$11,regle!$D$23,IF(W325=regle!$E$11,regle!$E$23,IF(W325=regle!$F$11,regle!$F$23,IF(W325=regle!$G$11,regle!$G$23,IF(W325=regle!$H$11,regle!$H$23,IF(W325=regle!$I$11,regle!$I$23,IF(W325=regle!$J$11,regle!$J$23,0)))))))))))</f>
        <v>0</v>
      </c>
      <c r="AH325" s="14">
        <f>IF($A325,$M325*(IF(X325=regle!$B$11,regle!$B$23,IF(X325=regle!$C$11,regle!$C$23,IF(X325=regle!$D$11,regle!$D$23,IF(X325=regle!$E$11,regle!$E$23,IF(X325=regle!$F$11,regle!$F$23,IF(X325=regle!$G$11,regle!$G$23,IF(X325=regle!$H$11,regle!$H$23,IF(X325=regle!$I$11,regle!$I$23,IF(X325=regle!$J$11,regle!$J$23,0)))))))))))</f>
        <v>0</v>
      </c>
      <c r="AI325" s="14">
        <f>IF($A325,$M325*(IF(Y325=regle!$B$11,regle!$B$23,IF(Y325=regle!$C$11,regle!$C$23,IF(Y325=regle!$D$11,regle!$D$23,IF(Y325=regle!$E$11,regle!$E$23,IF(Y325=regle!$F$11,regle!$F$23,IF(Y325=regle!$G$11,regle!$G$23,IF(Y325=regle!$H$11,regle!$H$23,IF(Y325=regle!$I$11,regle!$I$23,IF(Y325=regle!$J$11,regle!$J$23,0)))))))))))</f>
        <v>2677.8240000000001</v>
      </c>
      <c r="AJ325" s="14">
        <f>IF($A325,$M325*(IF(Z325=regle!$B$11,regle!$B$23,IF(Z325=regle!$C$11,regle!$C$23,IF(Z325=regle!$D$11,regle!$D$23,IF(Z325=regle!$E$11,regle!$E$23,IF(Z325=regle!$F$11,regle!$F$23,IF(Z325=regle!$G$11,regle!$G$23,IF(Z325=regle!$H$11,regle!$H$23,IF(Z325=regle!$I$11,regle!$I$23,IF(Z325=regle!$J$11,regle!$J$23,0)))))))))))</f>
        <v>0</v>
      </c>
      <c r="AK325" s="14">
        <f>IF($A325,$M325*(IF(AA325=regle!$B$11,regle!$B$23,IF(AA325=regle!$C$11,regle!$C$23,IF(AA325=regle!$D$11,regle!$D$23,IF(AA325=regle!$E$11,regle!$E$23,IF(AA325=regle!$F$11,regle!$F$23,IF(AA325=regle!$G$11,regle!$G$23,IF(AA325=regle!$H$11,regle!$H$23,IF(AA325=regle!$I$11,regle!$I$23,IF(AA325=regle!$J$11,regle!$J$23,0)))))))))))</f>
        <v>0</v>
      </c>
      <c r="AL325" s="14">
        <f>IF($A325,$M325*(IF(AB325=regle!$B$11,regle!$B$23,IF(AB325=regle!$C$11,regle!$C$23,IF(AB325=regle!$D$11,regle!$D$23,IF(AB325=regle!$E$11,regle!$E$23,IF(AB325=regle!$F$11,regle!$F$23,IF(AB325=regle!$G$11,regle!$G$23,IF(AB325=regle!$H$11,regle!$H$23,IF(AB325=regle!$I$11,regle!$I$23,IF(AB325=regle!$J$11,regle!$J$23,0)))))))))))</f>
        <v>0</v>
      </c>
      <c r="AM325" s="14">
        <f>IF($A325,$M325*(IF(AC325=regle!$B$11,regle!$B$23,IF(AC325=regle!$C$11,regle!$C$23,IF(AC325=regle!$D$11,regle!$D$23,IF(AC325=regle!$E$11,regle!$E$23,IF(AC325=regle!$F$11,regle!$F$23,IF(AC325=regle!$G$11,regle!$G$23,IF(AC325=regle!$H$11,regle!$H$23,IF(AC325=regle!$I$11,regle!$I$23,IF(AC325=regle!$J$11,regle!$J$23,0)))))))))))</f>
        <v>0</v>
      </c>
      <c r="AN325" s="14">
        <f>IF($A325,$M325*(IF(AD325=regle!$B$11,regle!$B$23,IF(AD325=regle!$C$11,regle!$C$23,IF(AD325=regle!$D$11,regle!$D$23,IF(AD325=regle!$E$11,regle!$E$23,IF(AD325=regle!$F$11,regle!$F$23,IF(AD325=regle!$G$11,regle!$G$23,IF(AD325=regle!$H$11,regle!$H$23,IF(AD325=regle!$I$11,regle!$I$23,IF(AD325=regle!$J$11,regle!$J$23,0)))))))))))</f>
        <v>3905.16</v>
      </c>
      <c r="AO325">
        <f>IF(AO$1=$AO$1,IF(regle!B$2-$Q325&gt;=regle!$J$12,-2,IF($S325,IF(regle!$B$2-$Q325&gt;=2,0,-1),regle!B$2-$Q325)),IF(AN325+1&gt;=regle!$J$12,-2,AN325+1))</f>
        <v>9</v>
      </c>
      <c r="AP325">
        <f>IF(AP$1=$AO$1,IF(regle!C$2-$Q325&gt;=regle!$J$12,-2,IF($S325,IF(regle!$B$2-$Q325&gt;=2,0,-1),regle!C$2-$Q325)),IF(AO325+1&gt;=regle!$J$12,-2,AO325+1))</f>
        <v>10</v>
      </c>
      <c r="AQ325">
        <f>IF(AQ$1=$AO$1,IF(regle!D$2-$Q325&gt;=regle!$J$12,-2,IF($S325,IF(regle!$B$2-$Q325&gt;=2,0,-1),regle!D$2-$Q325)),IF(AP325+1&gt;=regle!$J$12,-2,AP325+1))</f>
        <v>11</v>
      </c>
      <c r="AR325">
        <f>IF(AR$1=$AO$1,IF(regle!E$2-$Q325&gt;=regle!$J$12,-2,IF($S325,IF(regle!$B$2-$Q325&gt;=2,0,-1),regle!E$2-$Q325)),IF(AQ325+1&gt;=regle!$J$12,-2,AQ325+1))</f>
        <v>12</v>
      </c>
      <c r="AS325">
        <f>IF(AS$1=$AO$1,IF(regle!F$2-$Q325&gt;=regle!$J$12,-2,IF($S325,IF(regle!$B$2-$Q325&gt;=2,0,-1),regle!F$2-$Q325)),IF(AR325+1&gt;=regle!$J$12,-2,AR325+1))</f>
        <v>13</v>
      </c>
      <c r="AT325">
        <f>IF(AT$1=$AO$1,IF(regle!G$2-$Q325&gt;=regle!$J$12,-2,IF($S325,IF(regle!$B$2-$Q325&gt;=2,0,-1),regle!G$2-$Q325)),IF(AS325+1&gt;=regle!$J$12,-2,AS325+1))</f>
        <v>14</v>
      </c>
      <c r="AU325">
        <f>IF(AU$1=$AO$1,IF(regle!H$2-$Q325&gt;=regle!$J$12,-2,IF($S325,IF(regle!$B$2-$Q325&gt;=2,0,-1),regle!H$2-$Q325)),IF(AT325+1&gt;=regle!$J$12,-2,AT325+1))</f>
        <v>15</v>
      </c>
      <c r="AV325">
        <f>IF(AV$1=$AO$1,IF(regle!I$2-$Q325&gt;=regle!$J$12,-2,IF($S325,IF(regle!$B$2-$Q325&gt;=2,0,-1),regle!I$2-$Q325)),IF(AU325+1&gt;=regle!$J$12,-2,AU325+1))</f>
        <v>16</v>
      </c>
      <c r="AW325">
        <f>IF(AW$1=$AO$1,IF(regle!J$2-$Q325&gt;=regle!$J$12,-2,IF($S325,IF(regle!$B$2-$Q325&gt;=2,0,-1),regle!J$2-$Q325)),IF(AV325+1&gt;=regle!$J$12,-2,AV325+1))</f>
        <v>17</v>
      </c>
      <c r="AX325">
        <f>IF(AX$1=$AO$1,IF(regle!K$2-$Q325&gt;=regle!$J$12,-2,IF($S325,IF(regle!$B$2-$Q325&gt;=2,0,-1),regle!K$2-$Q325)),IF(AW325+1&gt;=regle!$J$12,-2,AW325+1))</f>
        <v>18</v>
      </c>
    </row>
    <row r="326" spans="1:50" x14ac:dyDescent="0.25">
      <c r="A326" t="b">
        <f>AND(modif0[[#This Row],[cdstr]]&lt;&gt;0,OR(regle!$H$27=FALSE,modif0[[#This Row],[essnc]]="PM"))</f>
        <v>1</v>
      </c>
      <c r="B326">
        <f>ROW(objet!A376)</f>
        <v>376</v>
      </c>
      <c r="C326" s="10" t="str">
        <f>objet!D376</f>
        <v>0770000D1511</v>
      </c>
      <c r="D326" t="str">
        <f>LEFT(modif0[[#This Row],[cdstr]],3)</f>
        <v>077</v>
      </c>
      <c r="E326" s="10" t="str">
        <f>objet!G376</f>
        <v>CABANAC-ET-VILLAGRAINS</v>
      </c>
      <c r="F326">
        <f>LEN(modif0[[#This Row],[l_dt]])</f>
        <v>13</v>
      </c>
      <c r="G326" s="10" t="str">
        <f>objet!H376</f>
        <v>LAGUNE LONGUE</v>
      </c>
      <c r="H326" s="10" t="str">
        <f>objet!C376</f>
        <v>D1511m</v>
      </c>
      <c r="I326" t="str">
        <f>IF(ISNUMBER(VALUE(RIGHT(LEFT(modif0[[#This Row],[idntfn]],2),1))),_xlfn.CONCAT(0,LEFT(modif0[[#This Row],[idntfn]],1)),LEFT(modif0[[#This Row],[idntfn]],2))</f>
        <v>0D</v>
      </c>
      <c r="J326">
        <f>VALUE(LEFT(RIGHT(modif0[[#This Row],[idntfn]],LEN(modif0[[#This Row],[idntfn]])-IF(LEFT(modif0[[#This Row],[sctn]],1)="0",1,2)),LEN(modif0[[#This Row],[idntfn]])-IF(LEFT(modif0[[#This Row],[sctn]],1)="0",1,2)-LEN(modif0[[#This Row],[lttr]])))</f>
        <v>1511</v>
      </c>
      <c r="K326" t="str">
        <f>IF(ISNUMBER(VALUE(RIGHT(modif0[[#This Row],[idntfn]],1))),"",IF(ISNUMBER(VALUE(LEFT(RIGHT(modif0[[#This Row],[idntfn]],2),1))),RIGHT(modif0[[#This Row],[idntfn]],1),RIGHT(modif0[[#This Row],[idntfn]],2)))</f>
        <v>m</v>
      </c>
      <c r="L326" s="10">
        <f>objet!I376</f>
        <v>31266</v>
      </c>
      <c r="M326" s="11">
        <f>modif0[[#This Row],[srfc]]/10000</f>
        <v>3.1265999999999998</v>
      </c>
      <c r="N326" s="10" t="str">
        <f>objet!Z376</f>
        <v>PM</v>
      </c>
      <c r="O326" s="10" t="str">
        <f>objet!AA376</f>
        <v>PLA2015</v>
      </c>
      <c r="P326" t="str">
        <f>IF(ISNUMBER(modif0[[#This Row],[trvx]]),"",LEFT(modif0[[#This Row],[trvx]],LEN(modif0[[#This Row],[trvx]])-4))</f>
        <v>PLA</v>
      </c>
      <c r="Q326">
        <f>VALUE(RIGHT(modif0[[#This Row],[trvx]],4))</f>
        <v>2015</v>
      </c>
      <c r="R326" t="str">
        <f>_xlfn.CONCAT(modif0[[#This Row],[tp]],"-",modif0[[#This Row],[essnc]],"_",modif0[[#This Row],[anns]])</f>
        <v>PLA-PM_2015</v>
      </c>
      <c r="S326" t="b">
        <f>modif0[[#This Row],[tp]]="CR"</f>
        <v>0</v>
      </c>
      <c r="T326">
        <v>40</v>
      </c>
      <c r="U326" t="str">
        <f>IF(NOT($A326),"",
IF(AO326=-2,regle!$J$11,
IF(AO326=regle!$B$12,regle!$B$11,
IF(AO326=regle!$C$12,regle!$C$11,
IF(AO326=regle!$D$12,regle!$D$11,
IF(AO326=regle!$E$12,regle!$E$11,
IF(AO326=regle!$F$12,regle!$F$11,
IF(AO326=regle!$G$12,regle!$G$11,
IF(AO326=regle!$H$12,regle!$H$11,
IF(AO326=regle!$I$12,regle!$I$11,""))))))))))</f>
        <v/>
      </c>
      <c r="V326" t="str">
        <f>IF(NOT($A326),"",
IF(AP326=-2,regle!$J$11,
IF(AP326=regle!$B$12,regle!$B$11,
IF(AP326=regle!$C$12,regle!$C$11,
IF(AP326=regle!$D$12,regle!$D$11,
IF(AP326=regle!$E$12,regle!$E$11,
IF(AP326=regle!$F$12,regle!$F$11,
IF(AP326=regle!$G$12,regle!$G$11,
IF(AP326=regle!$H$12,regle!$H$11,
IF(AP326=regle!$I$12,regle!$I$11,""))))))))))</f>
        <v/>
      </c>
      <c r="W326" t="str">
        <f>IF(NOT($A326),"",
IF(AQ326=-2,regle!$J$11,
IF(AQ326=regle!$B$12,regle!$B$11,
IF(AQ326=regle!$C$12,regle!$C$11,
IF(AQ326=regle!$D$12,regle!$D$11,
IF(AQ326=regle!$E$12,regle!$E$11,
IF(AQ326=regle!$F$12,regle!$F$11,
IF(AQ326=regle!$G$12,regle!$G$11,
IF(AQ326=regle!$H$12,regle!$H$11,
IF(AQ326=regle!$I$12,regle!$I$11,""))))))))))</f>
        <v/>
      </c>
      <c r="X326" t="str">
        <f>IF(NOT($A326),"",
IF(AR326=-2,regle!$J$11,
IF(AR326=regle!$B$12,regle!$B$11,
IF(AR326=regle!$C$12,regle!$C$11,
IF(AR326=regle!$D$12,regle!$D$11,
IF(AR326=regle!$E$12,regle!$E$11,
IF(AR326=regle!$F$12,regle!$F$11,
IF(AR326=regle!$G$12,regle!$G$11,
IF(AR326=regle!$H$12,regle!$H$11,
IF(AR326=regle!$I$12,regle!$I$11,""))))))))))</f>
        <v/>
      </c>
      <c r="Y326" t="str">
        <f>IF(NOT($A326),"",
IF(AS326=-2,regle!$J$11,
IF(AS326=regle!$B$12,regle!$B$11,
IF(AS326=regle!$C$12,regle!$C$11,
IF(AS326=regle!$D$12,regle!$D$11,
IF(AS326=regle!$E$12,regle!$E$11,
IF(AS326=regle!$F$12,regle!$F$11,
IF(AS326=regle!$G$12,regle!$G$11,
IF(AS326=regle!$H$12,regle!$H$11,
IF(AS326=regle!$I$12,regle!$I$11,""))))))))))</f>
        <v>EC1</v>
      </c>
      <c r="Z326" t="str">
        <f>IF(NOT($A326),"",
IF(AT326=-2,regle!$J$11,
IF(AT326=regle!$B$12,regle!$B$11,
IF(AT326=regle!$C$12,regle!$C$11,
IF(AT326=regle!$D$12,regle!$D$11,
IF(AT326=regle!$E$12,regle!$E$11,
IF(AT326=regle!$F$12,regle!$F$11,
IF(AT326=regle!$G$12,regle!$G$11,
IF(AT326=regle!$H$12,regle!$H$11,
IF(AT326=regle!$I$12,regle!$I$11,""))))))))))</f>
        <v/>
      </c>
      <c r="AA326" t="str">
        <f>IF(NOT($A326),"",
IF(AU326=-2,regle!$J$11,
IF(AU326=regle!$B$12,regle!$B$11,
IF(AU326=regle!$C$12,regle!$C$11,
IF(AU326=regle!$D$12,regle!$D$11,
IF(AU326=regle!$E$12,regle!$E$11,
IF(AU326=regle!$F$12,regle!$F$11,
IF(AU326=regle!$G$12,regle!$G$11,
IF(AU326=regle!$H$12,regle!$H$11,
IF(AU326=regle!$I$12,regle!$I$11,""))))))))))</f>
        <v/>
      </c>
      <c r="AB326" t="str">
        <f>IF(NOT($A326),"",
IF(AV326=-2,regle!$J$11,
IF(AV326=regle!$B$12,regle!$B$11,
IF(AV326=regle!$C$12,regle!$C$11,
IF(AV326=regle!$D$12,regle!$D$11,
IF(AV326=regle!$E$12,regle!$E$11,
IF(AV326=regle!$F$12,regle!$F$11,
IF(AV326=regle!$G$12,regle!$G$11,
IF(AV326=regle!$H$12,regle!$H$11,
IF(AV326=regle!$I$12,regle!$I$11,""))))))))))</f>
        <v/>
      </c>
      <c r="AC326" t="str">
        <f>IF(NOT($A326),"",
IF(AW326=-2,regle!$J$11,
IF(AW326=regle!$B$12,regle!$B$11,
IF(AW326=regle!$C$12,regle!$C$11,
IF(AW326=regle!$D$12,regle!$D$11,
IF(AW326=regle!$E$12,regle!$E$11,
IF(AW326=regle!$F$12,regle!$F$11,
IF(AW326=regle!$G$12,regle!$G$11,
IF(AW326=regle!$H$12,regle!$H$11,
IF(AW326=regle!$I$12,regle!$I$11,""))))))))))</f>
        <v/>
      </c>
      <c r="AD326" t="str">
        <f>IF(NOT($A326),"",
IF(AX326=-2,regle!$J$11,
IF(AX326=regle!$B$12,regle!$B$11,
IF(AX326=regle!$C$12,regle!$C$11,
IF(AX326=regle!$D$12,regle!$D$11,
IF(AX326=regle!$E$12,regle!$E$11,
IF(AX326=regle!$F$12,regle!$F$11,
IF(AX326=regle!$G$12,regle!$G$11,
IF(AX326=regle!$H$12,regle!$H$11,
IF(AX326=regle!$I$12,regle!$I$11,""))))))))))</f>
        <v>EC2</v>
      </c>
      <c r="AE326" s="14">
        <f>IF($A326,$M326*(IF(U326=regle!$B$11,regle!$B$23,IF(U326=regle!$C$11,regle!$C$23,IF(U326=regle!$D$11,regle!$D$23,IF(U326=regle!$E$11,regle!$E$23,IF(U326=regle!$F$11,regle!$F$23,IF(U326=regle!$G$11,regle!$G$23,IF(U326=regle!$H$11,regle!$H$23,IF(U326=regle!$I$11,regle!$I$23,IF(U326=regle!$J$11,regle!$J$23,0)))))))))))</f>
        <v>0</v>
      </c>
      <c r="AF326" s="14">
        <f>IF($A326,$M326*(IF(V326=regle!$B$11,regle!$B$23,IF(V326=regle!$C$11,regle!$C$23,IF(V326=regle!$D$11,regle!$D$23,IF(V326=regle!$E$11,regle!$E$23,IF(V326=regle!$F$11,regle!$F$23,IF(V326=regle!$G$11,regle!$G$23,IF(V326=regle!$H$11,regle!$H$23,IF(V326=regle!$I$11,regle!$I$23,IF(V326=regle!$J$11,regle!$J$23,0)))))))))))</f>
        <v>0</v>
      </c>
      <c r="AG326" s="14">
        <f>IF($A326,$M326*(IF(W326=regle!$B$11,regle!$B$23,IF(W326=regle!$C$11,regle!$C$23,IF(W326=regle!$D$11,regle!$D$23,IF(W326=regle!$E$11,regle!$E$23,IF(W326=regle!$F$11,regle!$F$23,IF(W326=regle!$G$11,regle!$G$23,IF(W326=regle!$H$11,regle!$H$23,IF(W326=regle!$I$11,regle!$I$23,IF(W326=regle!$J$11,regle!$J$23,0)))))))))))</f>
        <v>0</v>
      </c>
      <c r="AH326" s="14">
        <f>IF($A326,$M326*(IF(X326=regle!$B$11,regle!$B$23,IF(X326=regle!$C$11,regle!$C$23,IF(X326=regle!$D$11,regle!$D$23,IF(X326=regle!$E$11,regle!$E$23,IF(X326=regle!$F$11,regle!$F$23,IF(X326=regle!$G$11,regle!$G$23,IF(X326=regle!$H$11,regle!$H$23,IF(X326=regle!$I$11,regle!$I$23,IF(X326=regle!$J$11,regle!$J$23,0)))))))))))</f>
        <v>0</v>
      </c>
      <c r="AI326" s="14">
        <f>IF($A326,$M326*(IF(Y326=regle!$B$11,regle!$B$23,IF(Y326=regle!$C$11,regle!$C$23,IF(Y326=regle!$D$11,regle!$D$23,IF(Y326=regle!$E$11,regle!$E$23,IF(Y326=regle!$F$11,regle!$F$23,IF(Y326=regle!$G$11,regle!$G$23,IF(Y326=regle!$H$11,regle!$H$23,IF(Y326=regle!$I$11,regle!$I$23,IF(Y326=regle!$J$11,regle!$J$23,0)))))))))))</f>
        <v>1800.9215999999999</v>
      </c>
      <c r="AJ326" s="14">
        <f>IF($A326,$M326*(IF(Z326=regle!$B$11,regle!$B$23,IF(Z326=regle!$C$11,regle!$C$23,IF(Z326=regle!$D$11,regle!$D$23,IF(Z326=regle!$E$11,regle!$E$23,IF(Z326=regle!$F$11,regle!$F$23,IF(Z326=regle!$G$11,regle!$G$23,IF(Z326=regle!$H$11,regle!$H$23,IF(Z326=regle!$I$11,regle!$I$23,IF(Z326=regle!$J$11,regle!$J$23,0)))))))))))</f>
        <v>0</v>
      </c>
      <c r="AK326" s="14">
        <f>IF($A326,$M326*(IF(AA326=regle!$B$11,regle!$B$23,IF(AA326=regle!$C$11,regle!$C$23,IF(AA326=regle!$D$11,regle!$D$23,IF(AA326=regle!$E$11,regle!$E$23,IF(AA326=regle!$F$11,regle!$F$23,IF(AA326=regle!$G$11,regle!$G$23,IF(AA326=regle!$H$11,regle!$H$23,IF(AA326=regle!$I$11,regle!$I$23,IF(AA326=regle!$J$11,regle!$J$23,0)))))))))))</f>
        <v>0</v>
      </c>
      <c r="AL326" s="14">
        <f>IF($A326,$M326*(IF(AB326=regle!$B$11,regle!$B$23,IF(AB326=regle!$C$11,regle!$C$23,IF(AB326=regle!$D$11,regle!$D$23,IF(AB326=regle!$E$11,regle!$E$23,IF(AB326=regle!$F$11,regle!$F$23,IF(AB326=regle!$G$11,regle!$G$23,IF(AB326=regle!$H$11,regle!$H$23,IF(AB326=regle!$I$11,regle!$I$23,IF(AB326=regle!$J$11,regle!$J$23,0)))))))))))</f>
        <v>0</v>
      </c>
      <c r="AM326" s="14">
        <f>IF($A326,$M326*(IF(AC326=regle!$B$11,regle!$B$23,IF(AC326=regle!$C$11,regle!$C$23,IF(AC326=regle!$D$11,regle!$D$23,IF(AC326=regle!$E$11,regle!$E$23,IF(AC326=regle!$F$11,regle!$F$23,IF(AC326=regle!$G$11,regle!$G$23,IF(AC326=regle!$H$11,regle!$H$23,IF(AC326=regle!$I$11,regle!$I$23,IF(AC326=regle!$J$11,regle!$J$23,0)))))))))))</f>
        <v>0</v>
      </c>
      <c r="AN326" s="14">
        <f>IF($A326,$M326*(IF(AD326=regle!$B$11,regle!$B$23,IF(AD326=regle!$C$11,regle!$C$23,IF(AD326=regle!$D$11,regle!$D$23,IF(AD326=regle!$E$11,regle!$E$23,IF(AD326=regle!$F$11,regle!$F$23,IF(AD326=regle!$G$11,regle!$G$23,IF(AD326=regle!$H$11,regle!$H$23,IF(AD326=regle!$I$11,regle!$I$23,IF(AD326=regle!$J$11,regle!$J$23,0)))))))))))</f>
        <v>2626.3440000000001</v>
      </c>
      <c r="AO326">
        <f>IF(AO$1=$AO$1,IF(regle!B$2-$Q326&gt;=regle!$J$12,-2,IF($S326,IF(regle!$B$2-$Q326&gt;=2,0,-1),regle!B$2-$Q326)),IF(AN326+1&gt;=regle!$J$12,-2,AN326+1))</f>
        <v>9</v>
      </c>
      <c r="AP326">
        <f>IF(AP$1=$AO$1,IF(regle!C$2-$Q326&gt;=regle!$J$12,-2,IF($S326,IF(regle!$B$2-$Q326&gt;=2,0,-1),regle!C$2-$Q326)),IF(AO326+1&gt;=regle!$J$12,-2,AO326+1))</f>
        <v>10</v>
      </c>
      <c r="AQ326">
        <f>IF(AQ$1=$AO$1,IF(regle!D$2-$Q326&gt;=regle!$J$12,-2,IF($S326,IF(regle!$B$2-$Q326&gt;=2,0,-1),regle!D$2-$Q326)),IF(AP326+1&gt;=regle!$J$12,-2,AP326+1))</f>
        <v>11</v>
      </c>
      <c r="AR326">
        <f>IF(AR$1=$AO$1,IF(regle!E$2-$Q326&gt;=regle!$J$12,-2,IF($S326,IF(regle!$B$2-$Q326&gt;=2,0,-1),regle!E$2-$Q326)),IF(AQ326+1&gt;=regle!$J$12,-2,AQ326+1))</f>
        <v>12</v>
      </c>
      <c r="AS326">
        <f>IF(AS$1=$AO$1,IF(regle!F$2-$Q326&gt;=regle!$J$12,-2,IF($S326,IF(regle!$B$2-$Q326&gt;=2,0,-1),regle!F$2-$Q326)),IF(AR326+1&gt;=regle!$J$12,-2,AR326+1))</f>
        <v>13</v>
      </c>
      <c r="AT326">
        <f>IF(AT$1=$AO$1,IF(regle!G$2-$Q326&gt;=regle!$J$12,-2,IF($S326,IF(regle!$B$2-$Q326&gt;=2,0,-1),regle!G$2-$Q326)),IF(AS326+1&gt;=regle!$J$12,-2,AS326+1))</f>
        <v>14</v>
      </c>
      <c r="AU326">
        <f>IF(AU$1=$AO$1,IF(regle!H$2-$Q326&gt;=regle!$J$12,-2,IF($S326,IF(regle!$B$2-$Q326&gt;=2,0,-1),regle!H$2-$Q326)),IF(AT326+1&gt;=regle!$J$12,-2,AT326+1))</f>
        <v>15</v>
      </c>
      <c r="AV326">
        <f>IF(AV$1=$AO$1,IF(regle!I$2-$Q326&gt;=regle!$J$12,-2,IF($S326,IF(regle!$B$2-$Q326&gt;=2,0,-1),regle!I$2-$Q326)),IF(AU326+1&gt;=regle!$J$12,-2,AU326+1))</f>
        <v>16</v>
      </c>
      <c r="AW326">
        <f>IF(AW$1=$AO$1,IF(regle!J$2-$Q326&gt;=regle!$J$12,-2,IF($S326,IF(regle!$B$2-$Q326&gt;=2,0,-1),regle!J$2-$Q326)),IF(AV326+1&gt;=regle!$J$12,-2,AV326+1))</f>
        <v>17</v>
      </c>
      <c r="AX326">
        <f>IF(AX$1=$AO$1,IF(regle!K$2-$Q326&gt;=regle!$J$12,-2,IF($S326,IF(regle!$B$2-$Q326&gt;=2,0,-1),regle!K$2-$Q326)),IF(AW326+1&gt;=regle!$J$12,-2,AW326+1))</f>
        <v>18</v>
      </c>
    </row>
    <row r="327" spans="1:50" x14ac:dyDescent="0.25">
      <c r="A327" t="b">
        <f>AND(modif0[[#This Row],[cdstr]]&lt;&gt;0,OR(regle!$H$27=FALSE,modif0[[#This Row],[essnc]]="PM"))</f>
        <v>1</v>
      </c>
      <c r="B327">
        <f>ROW(objet!A377)</f>
        <v>377</v>
      </c>
      <c r="C327" s="10" t="str">
        <f>objet!D377</f>
        <v>0770000D1511</v>
      </c>
      <c r="D327" t="str">
        <f>LEFT(modif0[[#This Row],[cdstr]],3)</f>
        <v>077</v>
      </c>
      <c r="E327" s="10" t="str">
        <f>objet!G377</f>
        <v>CABANAC-ET-VILLAGRAINS</v>
      </c>
      <c r="F327">
        <f>LEN(modif0[[#This Row],[l_dt]])</f>
        <v>13</v>
      </c>
      <c r="G327" s="10" t="str">
        <f>objet!H377</f>
        <v>LAGUNE LONGUE</v>
      </c>
      <c r="H327" s="10" t="str">
        <f>objet!C377</f>
        <v>D1511n</v>
      </c>
      <c r="I327" t="str">
        <f>IF(ISNUMBER(VALUE(RIGHT(LEFT(modif0[[#This Row],[idntfn]],2),1))),_xlfn.CONCAT(0,LEFT(modif0[[#This Row],[idntfn]],1)),LEFT(modif0[[#This Row],[idntfn]],2))</f>
        <v>0D</v>
      </c>
      <c r="J327">
        <f>VALUE(LEFT(RIGHT(modif0[[#This Row],[idntfn]],LEN(modif0[[#This Row],[idntfn]])-IF(LEFT(modif0[[#This Row],[sctn]],1)="0",1,2)),LEN(modif0[[#This Row],[idntfn]])-IF(LEFT(modif0[[#This Row],[sctn]],1)="0",1,2)-LEN(modif0[[#This Row],[lttr]])))</f>
        <v>1511</v>
      </c>
      <c r="K327" t="str">
        <f>IF(ISNUMBER(VALUE(RIGHT(modif0[[#This Row],[idntfn]],1))),"",IF(ISNUMBER(VALUE(LEFT(RIGHT(modif0[[#This Row],[idntfn]],2),1))),RIGHT(modif0[[#This Row],[idntfn]],1),RIGHT(modif0[[#This Row],[idntfn]],2)))</f>
        <v>n</v>
      </c>
      <c r="L327" s="10">
        <f>objet!I377</f>
        <v>50825</v>
      </c>
      <c r="M327" s="11">
        <f>modif0[[#This Row],[srfc]]/10000</f>
        <v>5.0824999999999996</v>
      </c>
      <c r="N327" s="10" t="str">
        <f>objet!Z377</f>
        <v>PM</v>
      </c>
      <c r="O327" s="10" t="str">
        <f>objet!AA377</f>
        <v>PLA2005</v>
      </c>
      <c r="P327" t="str">
        <f>IF(ISNUMBER(modif0[[#This Row],[trvx]]),"",LEFT(modif0[[#This Row],[trvx]],LEN(modif0[[#This Row],[trvx]])-4))</f>
        <v>PLA</v>
      </c>
      <c r="Q327">
        <f>VALUE(RIGHT(modif0[[#This Row],[trvx]],4))</f>
        <v>2005</v>
      </c>
      <c r="R327" t="str">
        <f>_xlfn.CONCAT(modif0[[#This Row],[tp]],"-",modif0[[#This Row],[essnc]],"_",modif0[[#This Row],[anns]])</f>
        <v>PLA-PM_2005</v>
      </c>
      <c r="S327" t="b">
        <f>modif0[[#This Row],[tp]]="CR"</f>
        <v>0</v>
      </c>
      <c r="T327">
        <v>40</v>
      </c>
      <c r="U327" t="str">
        <f>IF(NOT($A327),"",
IF(AO327=-2,regle!$J$11,
IF(AO327=regle!$B$12,regle!$B$11,
IF(AO327=regle!$C$12,regle!$C$11,
IF(AO327=regle!$D$12,regle!$D$11,
IF(AO327=regle!$E$12,regle!$E$11,
IF(AO327=regle!$F$12,regle!$F$11,
IF(AO327=regle!$G$12,regle!$G$11,
IF(AO327=regle!$H$12,regle!$H$11,
IF(AO327=regle!$I$12,regle!$I$11,""))))))))))</f>
        <v/>
      </c>
      <c r="V327" t="str">
        <f>IF(NOT($A327),"",
IF(AP327=-2,regle!$J$11,
IF(AP327=regle!$B$12,regle!$B$11,
IF(AP327=regle!$C$12,regle!$C$11,
IF(AP327=regle!$D$12,regle!$D$11,
IF(AP327=regle!$E$12,regle!$E$11,
IF(AP327=regle!$F$12,regle!$F$11,
IF(AP327=regle!$G$12,regle!$G$11,
IF(AP327=regle!$H$12,regle!$H$11,
IF(AP327=regle!$I$12,regle!$I$11,""))))))))))</f>
        <v/>
      </c>
      <c r="W327" t="str">
        <f>IF(NOT($A327),"",
IF(AQ327=-2,regle!$J$11,
IF(AQ327=regle!$B$12,regle!$B$11,
IF(AQ327=regle!$C$12,regle!$C$11,
IF(AQ327=regle!$D$12,regle!$D$11,
IF(AQ327=regle!$E$12,regle!$E$11,
IF(AQ327=regle!$F$12,regle!$F$11,
IF(AQ327=regle!$G$12,regle!$G$11,
IF(AQ327=regle!$H$12,regle!$H$11,
IF(AQ327=regle!$I$12,regle!$I$11,""))))))))))</f>
        <v/>
      </c>
      <c r="X327" t="str">
        <f>IF(NOT($A327),"",
IF(AR327=-2,regle!$J$11,
IF(AR327=regle!$B$12,regle!$B$11,
IF(AR327=regle!$C$12,regle!$C$11,
IF(AR327=regle!$D$12,regle!$D$11,
IF(AR327=regle!$E$12,regle!$E$11,
IF(AR327=regle!$F$12,regle!$F$11,
IF(AR327=regle!$G$12,regle!$G$11,
IF(AR327=regle!$H$12,regle!$H$11,
IF(AR327=regle!$I$12,regle!$I$11,""))))))))))</f>
        <v/>
      </c>
      <c r="Y327" t="str">
        <f>IF(NOT($A327),"",
IF(AS327=-2,regle!$J$11,
IF(AS327=regle!$B$12,regle!$B$11,
IF(AS327=regle!$C$12,regle!$C$11,
IF(AS327=regle!$D$12,regle!$D$11,
IF(AS327=regle!$E$12,regle!$E$11,
IF(AS327=regle!$F$12,regle!$F$11,
IF(AS327=regle!$G$12,regle!$G$11,
IF(AS327=regle!$H$12,regle!$H$11,
IF(AS327=regle!$I$12,regle!$I$11,""))))))))))</f>
        <v>EC3</v>
      </c>
      <c r="Z327" t="str">
        <f>IF(NOT($A327),"",
IF(AT327=-2,regle!$J$11,
IF(AT327=regle!$B$12,regle!$B$11,
IF(AT327=regle!$C$12,regle!$C$11,
IF(AT327=regle!$D$12,regle!$D$11,
IF(AT327=regle!$E$12,regle!$E$11,
IF(AT327=regle!$F$12,regle!$F$11,
IF(AT327=regle!$G$12,regle!$G$11,
IF(AT327=regle!$H$12,regle!$H$11,
IF(AT327=regle!$I$12,regle!$I$11,""))))))))))</f>
        <v/>
      </c>
      <c r="AA327" t="str">
        <f>IF(NOT($A327),"",
IF(AU327=-2,regle!$J$11,
IF(AU327=regle!$B$12,regle!$B$11,
IF(AU327=regle!$C$12,regle!$C$11,
IF(AU327=regle!$D$12,regle!$D$11,
IF(AU327=regle!$E$12,regle!$E$11,
IF(AU327=regle!$F$12,regle!$F$11,
IF(AU327=regle!$G$12,regle!$G$11,
IF(AU327=regle!$H$12,regle!$H$11,
IF(AU327=regle!$I$12,regle!$I$11,""))))))))))</f>
        <v/>
      </c>
      <c r="AB327" t="str">
        <f>IF(NOT($A327),"",
IF(AV327=-2,regle!$J$11,
IF(AV327=regle!$B$12,regle!$B$11,
IF(AV327=regle!$C$12,regle!$C$11,
IF(AV327=regle!$D$12,regle!$D$11,
IF(AV327=regle!$E$12,regle!$E$11,
IF(AV327=regle!$F$12,regle!$F$11,
IF(AV327=regle!$G$12,regle!$G$11,
IF(AV327=regle!$H$12,regle!$H$11,
IF(AV327=regle!$I$12,regle!$I$11,""))))))))))</f>
        <v/>
      </c>
      <c r="AC327" t="str">
        <f>IF(NOT($A327),"",
IF(AW327=-2,regle!$J$11,
IF(AW327=regle!$B$12,regle!$B$11,
IF(AW327=regle!$C$12,regle!$C$11,
IF(AW327=regle!$D$12,regle!$D$11,
IF(AW327=regle!$E$12,regle!$E$11,
IF(AW327=regle!$F$12,regle!$F$11,
IF(AW327=regle!$G$12,regle!$G$11,
IF(AW327=regle!$H$12,regle!$H$11,
IF(AW327=regle!$I$12,regle!$I$11,""))))))))))</f>
        <v/>
      </c>
      <c r="AD327" t="str">
        <f>IF(NOT($A327),"",
IF(AX327=-2,regle!$J$11,
IF(AX327=regle!$B$12,regle!$B$11,
IF(AX327=regle!$C$12,regle!$C$11,
IF(AX327=regle!$D$12,regle!$D$11,
IF(AX327=regle!$E$12,regle!$E$11,
IF(AX327=regle!$F$12,regle!$F$11,
IF(AX327=regle!$G$12,regle!$G$11,
IF(AX327=regle!$H$12,regle!$H$11,
IF(AX327=regle!$I$12,regle!$I$11,""))))))))))</f>
        <v>EC4</v>
      </c>
      <c r="AE327" s="14">
        <f>IF($A327,$M327*(IF(U327=regle!$B$11,regle!$B$23,IF(U327=regle!$C$11,regle!$C$23,IF(U327=regle!$D$11,regle!$D$23,IF(U327=regle!$E$11,regle!$E$23,IF(U327=regle!$F$11,regle!$F$23,IF(U327=regle!$G$11,regle!$G$23,IF(U327=regle!$H$11,regle!$H$23,IF(U327=regle!$I$11,regle!$I$23,IF(U327=regle!$J$11,regle!$J$23,0)))))))))))</f>
        <v>0</v>
      </c>
      <c r="AF327" s="14">
        <f>IF($A327,$M327*(IF(V327=regle!$B$11,regle!$B$23,IF(V327=regle!$C$11,regle!$C$23,IF(V327=regle!$D$11,regle!$D$23,IF(V327=regle!$E$11,regle!$E$23,IF(V327=regle!$F$11,regle!$F$23,IF(V327=regle!$G$11,regle!$G$23,IF(V327=regle!$H$11,regle!$H$23,IF(V327=regle!$I$11,regle!$I$23,IF(V327=regle!$J$11,regle!$J$23,0)))))))))))</f>
        <v>0</v>
      </c>
      <c r="AG327" s="14">
        <f>IF($A327,$M327*(IF(W327=regle!$B$11,regle!$B$23,IF(W327=regle!$C$11,regle!$C$23,IF(W327=regle!$D$11,regle!$D$23,IF(W327=regle!$E$11,regle!$E$23,IF(W327=regle!$F$11,regle!$F$23,IF(W327=regle!$G$11,regle!$G$23,IF(W327=regle!$H$11,regle!$H$23,IF(W327=regle!$I$11,regle!$I$23,IF(W327=regle!$J$11,regle!$J$23,0)))))))))))</f>
        <v>0</v>
      </c>
      <c r="AH327" s="14">
        <f>IF($A327,$M327*(IF(X327=regle!$B$11,regle!$B$23,IF(X327=regle!$C$11,regle!$C$23,IF(X327=regle!$D$11,regle!$D$23,IF(X327=regle!$E$11,regle!$E$23,IF(X327=regle!$F$11,regle!$F$23,IF(X327=regle!$G$11,regle!$G$23,IF(X327=regle!$H$11,regle!$H$23,IF(X327=regle!$I$11,regle!$I$23,IF(X327=regle!$J$11,regle!$J$23,0)))))))))))</f>
        <v>0</v>
      </c>
      <c r="AI327" s="14">
        <f>IF($A327,$M327*(IF(Y327=regle!$B$11,regle!$B$23,IF(Y327=regle!$C$11,regle!$C$23,IF(Y327=regle!$D$11,regle!$D$23,IF(Y327=regle!$E$11,regle!$E$23,IF(Y327=regle!$F$11,regle!$F$23,IF(Y327=regle!$G$11,regle!$G$23,IF(Y327=regle!$H$11,regle!$H$23,IF(Y327=regle!$I$11,regle!$I$23,IF(Y327=regle!$J$11,regle!$J$23,0)))))))))))</f>
        <v>7156.16</v>
      </c>
      <c r="AJ327" s="14">
        <f>IF($A327,$M327*(IF(Z327=regle!$B$11,regle!$B$23,IF(Z327=regle!$C$11,regle!$C$23,IF(Z327=regle!$D$11,regle!$D$23,IF(Z327=regle!$E$11,regle!$E$23,IF(Z327=regle!$F$11,regle!$F$23,IF(Z327=regle!$G$11,regle!$G$23,IF(Z327=regle!$H$11,regle!$H$23,IF(Z327=regle!$I$11,regle!$I$23,IF(Z327=regle!$J$11,regle!$J$23,0)))))))))))</f>
        <v>0</v>
      </c>
      <c r="AK327" s="14">
        <f>IF($A327,$M327*(IF(AA327=regle!$B$11,regle!$B$23,IF(AA327=regle!$C$11,regle!$C$23,IF(AA327=regle!$D$11,regle!$D$23,IF(AA327=regle!$E$11,regle!$E$23,IF(AA327=regle!$F$11,regle!$F$23,IF(AA327=regle!$G$11,regle!$G$23,IF(AA327=regle!$H$11,regle!$H$23,IF(AA327=regle!$I$11,regle!$I$23,IF(AA327=regle!$J$11,regle!$J$23,0)))))))))))</f>
        <v>0</v>
      </c>
      <c r="AL327" s="14">
        <f>IF($A327,$M327*(IF(AB327=regle!$B$11,regle!$B$23,IF(AB327=regle!$C$11,regle!$C$23,IF(AB327=regle!$D$11,regle!$D$23,IF(AB327=regle!$E$11,regle!$E$23,IF(AB327=regle!$F$11,regle!$F$23,IF(AB327=regle!$G$11,regle!$G$23,IF(AB327=regle!$H$11,regle!$H$23,IF(AB327=regle!$I$11,regle!$I$23,IF(AB327=regle!$J$11,regle!$J$23,0)))))))))))</f>
        <v>0</v>
      </c>
      <c r="AM327" s="14">
        <f>IF($A327,$M327*(IF(AC327=regle!$B$11,regle!$B$23,IF(AC327=regle!$C$11,regle!$C$23,IF(AC327=regle!$D$11,regle!$D$23,IF(AC327=regle!$E$11,regle!$E$23,IF(AC327=regle!$F$11,regle!$F$23,IF(AC327=regle!$G$11,regle!$G$23,IF(AC327=regle!$H$11,regle!$H$23,IF(AC327=regle!$I$11,regle!$I$23,IF(AC327=regle!$J$11,regle!$J$23,0)))))))))))</f>
        <v>0</v>
      </c>
      <c r="AN327" s="14">
        <f>IF($A327,$M327*(IF(AD327=regle!$B$11,regle!$B$23,IF(AD327=regle!$C$11,regle!$C$23,IF(AD327=regle!$D$11,regle!$D$23,IF(AD327=regle!$E$11,regle!$E$23,IF(AD327=regle!$F$11,regle!$F$23,IF(AD327=regle!$G$11,regle!$G$23,IF(AD327=regle!$H$11,regle!$H$23,IF(AD327=regle!$I$11,regle!$I$23,IF(AD327=regle!$J$11,regle!$J$23,0)))))))))))</f>
        <v>6505.5999999999995</v>
      </c>
      <c r="AO327">
        <f>IF(AO$1=$AO$1,IF(regle!B$2-$Q327&gt;=regle!$J$12,-2,IF($S327,IF(regle!$B$2-$Q327&gt;=2,0,-1),regle!B$2-$Q327)),IF(AN327+1&gt;=regle!$J$12,-2,AN327+1))</f>
        <v>19</v>
      </c>
      <c r="AP327">
        <f>IF(AP$1=$AO$1,IF(regle!C$2-$Q327&gt;=regle!$J$12,-2,IF($S327,IF(regle!$B$2-$Q327&gt;=2,0,-1),regle!C$2-$Q327)),IF(AO327+1&gt;=regle!$J$12,-2,AO327+1))</f>
        <v>20</v>
      </c>
      <c r="AQ327">
        <f>IF(AQ$1=$AO$1,IF(regle!D$2-$Q327&gt;=regle!$J$12,-2,IF($S327,IF(regle!$B$2-$Q327&gt;=2,0,-1),regle!D$2-$Q327)),IF(AP327+1&gt;=regle!$J$12,-2,AP327+1))</f>
        <v>21</v>
      </c>
      <c r="AR327">
        <f>IF(AR$1=$AO$1,IF(regle!E$2-$Q327&gt;=regle!$J$12,-2,IF($S327,IF(regle!$B$2-$Q327&gt;=2,0,-1),regle!E$2-$Q327)),IF(AQ327+1&gt;=regle!$J$12,-2,AQ327+1))</f>
        <v>22</v>
      </c>
      <c r="AS327">
        <f>IF(AS$1=$AO$1,IF(regle!F$2-$Q327&gt;=regle!$J$12,-2,IF($S327,IF(regle!$B$2-$Q327&gt;=2,0,-1),regle!F$2-$Q327)),IF(AR327+1&gt;=regle!$J$12,-2,AR327+1))</f>
        <v>23</v>
      </c>
      <c r="AT327">
        <f>IF(AT$1=$AO$1,IF(regle!G$2-$Q327&gt;=regle!$J$12,-2,IF($S327,IF(regle!$B$2-$Q327&gt;=2,0,-1),regle!G$2-$Q327)),IF(AS327+1&gt;=regle!$J$12,-2,AS327+1))</f>
        <v>24</v>
      </c>
      <c r="AU327">
        <f>IF(AU$1=$AO$1,IF(regle!H$2-$Q327&gt;=regle!$J$12,-2,IF($S327,IF(regle!$B$2-$Q327&gt;=2,0,-1),regle!H$2-$Q327)),IF(AT327+1&gt;=regle!$J$12,-2,AT327+1))</f>
        <v>25</v>
      </c>
      <c r="AV327">
        <f>IF(AV$1=$AO$1,IF(regle!I$2-$Q327&gt;=regle!$J$12,-2,IF($S327,IF(regle!$B$2-$Q327&gt;=2,0,-1),regle!I$2-$Q327)),IF(AU327+1&gt;=regle!$J$12,-2,AU327+1))</f>
        <v>26</v>
      </c>
      <c r="AW327">
        <f>IF(AW$1=$AO$1,IF(regle!J$2-$Q327&gt;=regle!$J$12,-2,IF($S327,IF(regle!$B$2-$Q327&gt;=2,0,-1),regle!J$2-$Q327)),IF(AV327+1&gt;=regle!$J$12,-2,AV327+1))</f>
        <v>27</v>
      </c>
      <c r="AX327">
        <f>IF(AX$1=$AO$1,IF(regle!K$2-$Q327&gt;=regle!$J$12,-2,IF($S327,IF(regle!$B$2-$Q327&gt;=2,0,-1),regle!K$2-$Q327)),IF(AW327+1&gt;=regle!$J$12,-2,AW327+1))</f>
        <v>28</v>
      </c>
    </row>
    <row r="328" spans="1:50" x14ac:dyDescent="0.25">
      <c r="A328" t="b">
        <f>AND(modif0[[#This Row],[cdstr]]&lt;&gt;0,OR(regle!$H$27=FALSE,modif0[[#This Row],[essnc]]="PM"))</f>
        <v>1</v>
      </c>
      <c r="B328">
        <f>ROW(objet!A378)</f>
        <v>378</v>
      </c>
      <c r="C328" s="10" t="str">
        <f>objet!D378</f>
        <v>0770000D1511</v>
      </c>
      <c r="D328" t="str">
        <f>LEFT(modif0[[#This Row],[cdstr]],3)</f>
        <v>077</v>
      </c>
      <c r="E328" s="10" t="str">
        <f>objet!G378</f>
        <v>CABANAC-ET-VILLAGRAINS</v>
      </c>
      <c r="F328">
        <f>LEN(modif0[[#This Row],[l_dt]])</f>
        <v>13</v>
      </c>
      <c r="G328" s="10" t="str">
        <f>objet!H378</f>
        <v>LAGUNE LONGUE</v>
      </c>
      <c r="H328" s="10" t="str">
        <f>objet!C378</f>
        <v>D1511o</v>
      </c>
      <c r="I328" t="str">
        <f>IF(ISNUMBER(VALUE(RIGHT(LEFT(modif0[[#This Row],[idntfn]],2),1))),_xlfn.CONCAT(0,LEFT(modif0[[#This Row],[idntfn]],1)),LEFT(modif0[[#This Row],[idntfn]],2))</f>
        <v>0D</v>
      </c>
      <c r="J328">
        <f>VALUE(LEFT(RIGHT(modif0[[#This Row],[idntfn]],LEN(modif0[[#This Row],[idntfn]])-IF(LEFT(modif0[[#This Row],[sctn]],1)="0",1,2)),LEN(modif0[[#This Row],[idntfn]])-IF(LEFT(modif0[[#This Row],[sctn]],1)="0",1,2)-LEN(modif0[[#This Row],[lttr]])))</f>
        <v>1511</v>
      </c>
      <c r="K328" t="str">
        <f>IF(ISNUMBER(VALUE(RIGHT(modif0[[#This Row],[idntfn]],1))),"",IF(ISNUMBER(VALUE(LEFT(RIGHT(modif0[[#This Row],[idntfn]],2),1))),RIGHT(modif0[[#This Row],[idntfn]],1),RIGHT(modif0[[#This Row],[idntfn]],2)))</f>
        <v>o</v>
      </c>
      <c r="L328" s="10">
        <f>objet!I378</f>
        <v>3383</v>
      </c>
      <c r="M328" s="11">
        <f>modif0[[#This Row],[srfc]]/10000</f>
        <v>0.33829999999999999</v>
      </c>
      <c r="N328" s="10" t="str">
        <f>objet!Z378</f>
        <v>PM</v>
      </c>
      <c r="O328" s="10" t="str">
        <f>objet!AA378</f>
        <v>PLA2010</v>
      </c>
      <c r="P328" t="str">
        <f>IF(ISNUMBER(modif0[[#This Row],[trvx]]),"",LEFT(modif0[[#This Row],[trvx]],LEN(modif0[[#This Row],[trvx]])-4))</f>
        <v>PLA</v>
      </c>
      <c r="Q328">
        <f>VALUE(RIGHT(modif0[[#This Row],[trvx]],4))</f>
        <v>2010</v>
      </c>
      <c r="R328" t="str">
        <f>_xlfn.CONCAT(modif0[[#This Row],[tp]],"-",modif0[[#This Row],[essnc]],"_",modif0[[#This Row],[anns]])</f>
        <v>PLA-PM_2010</v>
      </c>
      <c r="S328" t="b">
        <f>modif0[[#This Row],[tp]]="CR"</f>
        <v>0</v>
      </c>
      <c r="T328">
        <v>40</v>
      </c>
      <c r="U328" t="str">
        <f>IF(NOT($A328),"",
IF(AO328=-2,regle!$J$11,
IF(AO328=regle!$B$12,regle!$B$11,
IF(AO328=regle!$C$12,regle!$C$11,
IF(AO328=regle!$D$12,regle!$D$11,
IF(AO328=regle!$E$12,regle!$E$11,
IF(AO328=regle!$F$12,regle!$F$11,
IF(AO328=regle!$G$12,regle!$G$11,
IF(AO328=regle!$H$12,regle!$H$11,
IF(AO328=regle!$I$12,regle!$I$11,""))))))))))</f>
        <v/>
      </c>
      <c r="V328" t="str">
        <f>IF(NOT($A328),"",
IF(AP328=-2,regle!$J$11,
IF(AP328=regle!$B$12,regle!$B$11,
IF(AP328=regle!$C$12,regle!$C$11,
IF(AP328=regle!$D$12,regle!$D$11,
IF(AP328=regle!$E$12,regle!$E$11,
IF(AP328=regle!$F$12,regle!$F$11,
IF(AP328=regle!$G$12,regle!$G$11,
IF(AP328=regle!$H$12,regle!$H$11,
IF(AP328=regle!$I$12,regle!$I$11,""))))))))))</f>
        <v/>
      </c>
      <c r="W328" t="str">
        <f>IF(NOT($A328),"",
IF(AQ328=-2,regle!$J$11,
IF(AQ328=regle!$B$12,regle!$B$11,
IF(AQ328=regle!$C$12,regle!$C$11,
IF(AQ328=regle!$D$12,regle!$D$11,
IF(AQ328=regle!$E$12,regle!$E$11,
IF(AQ328=regle!$F$12,regle!$F$11,
IF(AQ328=regle!$G$12,regle!$G$11,
IF(AQ328=regle!$H$12,regle!$H$11,
IF(AQ328=regle!$I$12,regle!$I$11,""))))))))))</f>
        <v/>
      </c>
      <c r="X328" t="str">
        <f>IF(NOT($A328),"",
IF(AR328=-2,regle!$J$11,
IF(AR328=regle!$B$12,regle!$B$11,
IF(AR328=regle!$C$12,regle!$C$11,
IF(AR328=regle!$D$12,regle!$D$11,
IF(AR328=regle!$E$12,regle!$E$11,
IF(AR328=regle!$F$12,regle!$F$11,
IF(AR328=regle!$G$12,regle!$G$11,
IF(AR328=regle!$H$12,regle!$H$11,
IF(AR328=regle!$I$12,regle!$I$11,""))))))))))</f>
        <v/>
      </c>
      <c r="Y328" t="str">
        <f>IF(NOT($A328),"",
IF(AS328=-2,regle!$J$11,
IF(AS328=regle!$B$12,regle!$B$11,
IF(AS328=regle!$C$12,regle!$C$11,
IF(AS328=regle!$D$12,regle!$D$11,
IF(AS328=regle!$E$12,regle!$E$11,
IF(AS328=regle!$F$12,regle!$F$11,
IF(AS328=regle!$G$12,regle!$G$11,
IF(AS328=regle!$H$12,regle!$H$11,
IF(AS328=regle!$I$12,regle!$I$11,""))))))))))</f>
        <v>EC2</v>
      </c>
      <c r="Z328" t="str">
        <f>IF(NOT($A328),"",
IF(AT328=-2,regle!$J$11,
IF(AT328=regle!$B$12,regle!$B$11,
IF(AT328=regle!$C$12,regle!$C$11,
IF(AT328=regle!$D$12,regle!$D$11,
IF(AT328=regle!$E$12,regle!$E$11,
IF(AT328=regle!$F$12,regle!$F$11,
IF(AT328=regle!$G$12,regle!$G$11,
IF(AT328=regle!$H$12,regle!$H$11,
IF(AT328=regle!$I$12,regle!$I$11,""))))))))))</f>
        <v/>
      </c>
      <c r="AA328" t="str">
        <f>IF(NOT($A328),"",
IF(AU328=-2,regle!$J$11,
IF(AU328=regle!$B$12,regle!$B$11,
IF(AU328=regle!$C$12,regle!$C$11,
IF(AU328=regle!$D$12,regle!$D$11,
IF(AU328=regle!$E$12,regle!$E$11,
IF(AU328=regle!$F$12,regle!$F$11,
IF(AU328=regle!$G$12,regle!$G$11,
IF(AU328=regle!$H$12,regle!$H$11,
IF(AU328=regle!$I$12,regle!$I$11,""))))))))))</f>
        <v/>
      </c>
      <c r="AB328" t="str">
        <f>IF(NOT($A328),"",
IF(AV328=-2,regle!$J$11,
IF(AV328=regle!$B$12,regle!$B$11,
IF(AV328=regle!$C$12,regle!$C$11,
IF(AV328=regle!$D$12,regle!$D$11,
IF(AV328=regle!$E$12,regle!$E$11,
IF(AV328=regle!$F$12,regle!$F$11,
IF(AV328=regle!$G$12,regle!$G$11,
IF(AV328=regle!$H$12,regle!$H$11,
IF(AV328=regle!$I$12,regle!$I$11,""))))))))))</f>
        <v/>
      </c>
      <c r="AC328" t="str">
        <f>IF(NOT($A328),"",
IF(AW328=-2,regle!$J$11,
IF(AW328=regle!$B$12,regle!$B$11,
IF(AW328=regle!$C$12,regle!$C$11,
IF(AW328=regle!$D$12,regle!$D$11,
IF(AW328=regle!$E$12,regle!$E$11,
IF(AW328=regle!$F$12,regle!$F$11,
IF(AW328=regle!$G$12,regle!$G$11,
IF(AW328=regle!$H$12,regle!$H$11,
IF(AW328=regle!$I$12,regle!$I$11,""))))))))))</f>
        <v/>
      </c>
      <c r="AD328" t="str">
        <f>IF(NOT($A328),"",
IF(AX328=-2,regle!$J$11,
IF(AX328=regle!$B$12,regle!$B$11,
IF(AX328=regle!$C$12,regle!$C$11,
IF(AX328=regle!$D$12,regle!$D$11,
IF(AX328=regle!$E$12,regle!$E$11,
IF(AX328=regle!$F$12,regle!$F$11,
IF(AX328=regle!$G$12,regle!$G$11,
IF(AX328=regle!$H$12,regle!$H$11,
IF(AX328=regle!$I$12,regle!$I$11,""))))))))))</f>
        <v>EC3</v>
      </c>
      <c r="AE328" s="14">
        <f>IF($A328,$M328*(IF(U328=regle!$B$11,regle!$B$23,IF(U328=regle!$C$11,regle!$C$23,IF(U328=regle!$D$11,regle!$D$23,IF(U328=regle!$E$11,regle!$E$23,IF(U328=regle!$F$11,regle!$F$23,IF(U328=regle!$G$11,regle!$G$23,IF(U328=regle!$H$11,regle!$H$23,IF(U328=regle!$I$11,regle!$I$23,IF(U328=regle!$J$11,regle!$J$23,0)))))))))))</f>
        <v>0</v>
      </c>
      <c r="AF328" s="14">
        <f>IF($A328,$M328*(IF(V328=regle!$B$11,regle!$B$23,IF(V328=regle!$C$11,regle!$C$23,IF(V328=regle!$D$11,regle!$D$23,IF(V328=regle!$E$11,regle!$E$23,IF(V328=regle!$F$11,regle!$F$23,IF(V328=regle!$G$11,regle!$G$23,IF(V328=regle!$H$11,regle!$H$23,IF(V328=regle!$I$11,regle!$I$23,IF(V328=regle!$J$11,regle!$J$23,0)))))))))))</f>
        <v>0</v>
      </c>
      <c r="AG328" s="14">
        <f>IF($A328,$M328*(IF(W328=regle!$B$11,regle!$B$23,IF(W328=regle!$C$11,regle!$C$23,IF(W328=regle!$D$11,regle!$D$23,IF(W328=regle!$E$11,regle!$E$23,IF(W328=regle!$F$11,regle!$F$23,IF(W328=regle!$G$11,regle!$G$23,IF(W328=regle!$H$11,regle!$H$23,IF(W328=regle!$I$11,regle!$I$23,IF(W328=regle!$J$11,regle!$J$23,0)))))))))))</f>
        <v>0</v>
      </c>
      <c r="AH328" s="14">
        <f>IF($A328,$M328*(IF(X328=regle!$B$11,regle!$B$23,IF(X328=regle!$C$11,regle!$C$23,IF(X328=regle!$D$11,regle!$D$23,IF(X328=regle!$E$11,regle!$E$23,IF(X328=regle!$F$11,regle!$F$23,IF(X328=regle!$G$11,regle!$G$23,IF(X328=regle!$H$11,regle!$H$23,IF(X328=regle!$I$11,regle!$I$23,IF(X328=regle!$J$11,regle!$J$23,0)))))))))))</f>
        <v>0</v>
      </c>
      <c r="AI328" s="14">
        <f>IF($A328,$M328*(IF(Y328=regle!$B$11,regle!$B$23,IF(Y328=regle!$C$11,regle!$C$23,IF(Y328=regle!$D$11,regle!$D$23,IF(Y328=regle!$E$11,regle!$E$23,IF(Y328=regle!$F$11,regle!$F$23,IF(Y328=regle!$G$11,regle!$G$23,IF(Y328=regle!$H$11,regle!$H$23,IF(Y328=regle!$I$11,regle!$I$23,IF(Y328=regle!$J$11,regle!$J$23,0)))))))))))</f>
        <v>284.17199999999997</v>
      </c>
      <c r="AJ328" s="14">
        <f>IF($A328,$M328*(IF(Z328=regle!$B$11,regle!$B$23,IF(Z328=regle!$C$11,regle!$C$23,IF(Z328=regle!$D$11,regle!$D$23,IF(Z328=regle!$E$11,regle!$E$23,IF(Z328=regle!$F$11,regle!$F$23,IF(Z328=regle!$G$11,regle!$G$23,IF(Z328=regle!$H$11,regle!$H$23,IF(Z328=regle!$I$11,regle!$I$23,IF(Z328=regle!$J$11,regle!$J$23,0)))))))))))</f>
        <v>0</v>
      </c>
      <c r="AK328" s="14">
        <f>IF($A328,$M328*(IF(AA328=regle!$B$11,regle!$B$23,IF(AA328=regle!$C$11,regle!$C$23,IF(AA328=regle!$D$11,regle!$D$23,IF(AA328=regle!$E$11,regle!$E$23,IF(AA328=regle!$F$11,regle!$F$23,IF(AA328=regle!$G$11,regle!$G$23,IF(AA328=regle!$H$11,regle!$H$23,IF(AA328=regle!$I$11,regle!$I$23,IF(AA328=regle!$J$11,regle!$J$23,0)))))))))))</f>
        <v>0</v>
      </c>
      <c r="AL328" s="14">
        <f>IF($A328,$M328*(IF(AB328=regle!$B$11,regle!$B$23,IF(AB328=regle!$C$11,regle!$C$23,IF(AB328=regle!$D$11,regle!$D$23,IF(AB328=regle!$E$11,regle!$E$23,IF(AB328=regle!$F$11,regle!$F$23,IF(AB328=regle!$G$11,regle!$G$23,IF(AB328=regle!$H$11,regle!$H$23,IF(AB328=regle!$I$11,regle!$I$23,IF(AB328=regle!$J$11,regle!$J$23,0)))))))))))</f>
        <v>0</v>
      </c>
      <c r="AM328" s="14">
        <f>IF($A328,$M328*(IF(AC328=regle!$B$11,regle!$B$23,IF(AC328=regle!$C$11,regle!$C$23,IF(AC328=regle!$D$11,regle!$D$23,IF(AC328=regle!$E$11,regle!$E$23,IF(AC328=regle!$F$11,regle!$F$23,IF(AC328=regle!$G$11,regle!$G$23,IF(AC328=regle!$H$11,regle!$H$23,IF(AC328=regle!$I$11,regle!$I$23,IF(AC328=regle!$J$11,regle!$J$23,0)))))))))))</f>
        <v>0</v>
      </c>
      <c r="AN328" s="14">
        <f>IF($A328,$M328*(IF(AD328=regle!$B$11,regle!$B$23,IF(AD328=regle!$C$11,regle!$C$23,IF(AD328=regle!$D$11,regle!$D$23,IF(AD328=regle!$E$11,regle!$E$23,IF(AD328=regle!$F$11,regle!$F$23,IF(AD328=regle!$G$11,regle!$G$23,IF(AD328=regle!$H$11,regle!$H$23,IF(AD328=regle!$I$11,regle!$I$23,IF(AD328=regle!$J$11,regle!$J$23,0)))))))))))</f>
        <v>476.32639999999998</v>
      </c>
      <c r="AO328">
        <f>IF(AO$1=$AO$1,IF(regle!B$2-$Q328&gt;=regle!$J$12,-2,IF($S328,IF(regle!$B$2-$Q328&gt;=2,0,-1),regle!B$2-$Q328)),IF(AN328+1&gt;=regle!$J$12,-2,AN328+1))</f>
        <v>14</v>
      </c>
      <c r="AP328">
        <f>IF(AP$1=$AO$1,IF(regle!C$2-$Q328&gt;=regle!$J$12,-2,IF($S328,IF(regle!$B$2-$Q328&gt;=2,0,-1),regle!C$2-$Q328)),IF(AO328+1&gt;=regle!$J$12,-2,AO328+1))</f>
        <v>15</v>
      </c>
      <c r="AQ328">
        <f>IF(AQ$1=$AO$1,IF(regle!D$2-$Q328&gt;=regle!$J$12,-2,IF($S328,IF(regle!$B$2-$Q328&gt;=2,0,-1),regle!D$2-$Q328)),IF(AP328+1&gt;=regle!$J$12,-2,AP328+1))</f>
        <v>16</v>
      </c>
      <c r="AR328">
        <f>IF(AR$1=$AO$1,IF(regle!E$2-$Q328&gt;=regle!$J$12,-2,IF($S328,IF(regle!$B$2-$Q328&gt;=2,0,-1),regle!E$2-$Q328)),IF(AQ328+1&gt;=regle!$J$12,-2,AQ328+1))</f>
        <v>17</v>
      </c>
      <c r="AS328">
        <f>IF(AS$1=$AO$1,IF(regle!F$2-$Q328&gt;=regle!$J$12,-2,IF($S328,IF(regle!$B$2-$Q328&gt;=2,0,-1),regle!F$2-$Q328)),IF(AR328+1&gt;=regle!$J$12,-2,AR328+1))</f>
        <v>18</v>
      </c>
      <c r="AT328">
        <f>IF(AT$1=$AO$1,IF(regle!G$2-$Q328&gt;=regle!$J$12,-2,IF($S328,IF(regle!$B$2-$Q328&gt;=2,0,-1),regle!G$2-$Q328)),IF(AS328+1&gt;=regle!$J$12,-2,AS328+1))</f>
        <v>19</v>
      </c>
      <c r="AU328">
        <f>IF(AU$1=$AO$1,IF(regle!H$2-$Q328&gt;=regle!$J$12,-2,IF($S328,IF(regle!$B$2-$Q328&gt;=2,0,-1),regle!H$2-$Q328)),IF(AT328+1&gt;=regle!$J$12,-2,AT328+1))</f>
        <v>20</v>
      </c>
      <c r="AV328">
        <f>IF(AV$1=$AO$1,IF(regle!I$2-$Q328&gt;=regle!$J$12,-2,IF($S328,IF(regle!$B$2-$Q328&gt;=2,0,-1),regle!I$2-$Q328)),IF(AU328+1&gt;=regle!$J$12,-2,AU328+1))</f>
        <v>21</v>
      </c>
      <c r="AW328">
        <f>IF(AW$1=$AO$1,IF(regle!J$2-$Q328&gt;=regle!$J$12,-2,IF($S328,IF(regle!$B$2-$Q328&gt;=2,0,-1),regle!J$2-$Q328)),IF(AV328+1&gt;=regle!$J$12,-2,AV328+1))</f>
        <v>22</v>
      </c>
      <c r="AX328">
        <f>IF(AX$1=$AO$1,IF(regle!K$2-$Q328&gt;=regle!$J$12,-2,IF($S328,IF(regle!$B$2-$Q328&gt;=2,0,-1),regle!K$2-$Q328)),IF(AW328+1&gt;=regle!$J$12,-2,AW328+1))</f>
        <v>23</v>
      </c>
    </row>
    <row r="329" spans="1:50" x14ac:dyDescent="0.25">
      <c r="A329" t="b">
        <f>AND(modif0[[#This Row],[cdstr]]&lt;&gt;0,OR(regle!$H$27=FALSE,modif0[[#This Row],[essnc]]="PM"))</f>
        <v>1</v>
      </c>
      <c r="B329">
        <f>ROW(objet!A379)</f>
        <v>379</v>
      </c>
      <c r="C329" s="10" t="str">
        <f>objet!D379</f>
        <v>0770000D2295</v>
      </c>
      <c r="D329" t="str">
        <f>LEFT(modif0[[#This Row],[cdstr]],3)</f>
        <v>077</v>
      </c>
      <c r="E329" s="10" t="str">
        <f>objet!G379</f>
        <v>CABANAC-ET-VILLAGRAINS</v>
      </c>
      <c r="F329">
        <f>LEN(modif0[[#This Row],[l_dt]])</f>
        <v>12</v>
      </c>
      <c r="G329" s="10" t="str">
        <f>objet!H379</f>
        <v>LES JEANNOTS</v>
      </c>
      <c r="H329" s="10" t="str">
        <f>objet!C379</f>
        <v>D2295j</v>
      </c>
      <c r="I329" t="str">
        <f>IF(ISNUMBER(VALUE(RIGHT(LEFT(modif0[[#This Row],[idntfn]],2),1))),_xlfn.CONCAT(0,LEFT(modif0[[#This Row],[idntfn]],1)),LEFT(modif0[[#This Row],[idntfn]],2))</f>
        <v>0D</v>
      </c>
      <c r="J329">
        <f>VALUE(LEFT(RIGHT(modif0[[#This Row],[idntfn]],LEN(modif0[[#This Row],[idntfn]])-IF(LEFT(modif0[[#This Row],[sctn]],1)="0",1,2)),LEN(modif0[[#This Row],[idntfn]])-IF(LEFT(modif0[[#This Row],[sctn]],1)="0",1,2)-LEN(modif0[[#This Row],[lttr]])))</f>
        <v>2295</v>
      </c>
      <c r="K329" t="str">
        <f>IF(ISNUMBER(VALUE(RIGHT(modif0[[#This Row],[idntfn]],1))),"",IF(ISNUMBER(VALUE(LEFT(RIGHT(modif0[[#This Row],[idntfn]],2),1))),RIGHT(modif0[[#This Row],[idntfn]],1),RIGHT(modif0[[#This Row],[idntfn]],2)))</f>
        <v>j</v>
      </c>
      <c r="L329" s="10">
        <f>objet!I379</f>
        <v>31981</v>
      </c>
      <c r="M329" s="11">
        <f>modif0[[#This Row],[srfc]]/10000</f>
        <v>3.1981000000000002</v>
      </c>
      <c r="N329" s="10" t="str">
        <f>objet!Z379</f>
        <v>PM</v>
      </c>
      <c r="O329" s="10" t="str">
        <f>objet!AA379</f>
        <v>PLA2019</v>
      </c>
      <c r="P329" t="str">
        <f>IF(ISNUMBER(modif0[[#This Row],[trvx]]),"",LEFT(modif0[[#This Row],[trvx]],LEN(modif0[[#This Row],[trvx]])-4))</f>
        <v>PLA</v>
      </c>
      <c r="Q329">
        <f>VALUE(RIGHT(modif0[[#This Row],[trvx]],4))</f>
        <v>2019</v>
      </c>
      <c r="R329" t="str">
        <f>_xlfn.CONCAT(modif0[[#This Row],[tp]],"-",modif0[[#This Row],[essnc]],"_",modif0[[#This Row],[anns]])</f>
        <v>PLA-PM_2019</v>
      </c>
      <c r="S329" t="b">
        <f>modif0[[#This Row],[tp]]="CR"</f>
        <v>0</v>
      </c>
      <c r="T329">
        <v>40</v>
      </c>
      <c r="U329" t="str">
        <f>IF(NOT($A329),"",
IF(AO329=-2,regle!$J$11,
IF(AO329=regle!$B$12,regle!$B$11,
IF(AO329=regle!$C$12,regle!$C$11,
IF(AO329=regle!$D$12,regle!$D$11,
IF(AO329=regle!$E$12,regle!$E$11,
IF(AO329=regle!$F$12,regle!$F$11,
IF(AO329=regle!$G$12,regle!$G$11,
IF(AO329=regle!$H$12,regle!$H$11,
IF(AO329=regle!$I$12,regle!$I$11,""))))))))))</f>
        <v>ENT1</v>
      </c>
      <c r="V329" t="str">
        <f>IF(NOT($A329),"",
IF(AP329=-2,regle!$J$11,
IF(AP329=regle!$B$12,regle!$B$11,
IF(AP329=regle!$C$12,regle!$C$11,
IF(AP329=regle!$D$12,regle!$D$11,
IF(AP329=regle!$E$12,regle!$E$11,
IF(AP329=regle!$F$12,regle!$F$11,
IF(AP329=regle!$G$12,regle!$G$11,
IF(AP329=regle!$H$12,regle!$H$11,
IF(AP329=regle!$I$12,regle!$I$11,""))))))))))</f>
        <v/>
      </c>
      <c r="W329" t="str">
        <f>IF(NOT($A329),"",
IF(AQ329=-2,regle!$J$11,
IF(AQ329=regle!$B$12,regle!$B$11,
IF(AQ329=regle!$C$12,regle!$C$11,
IF(AQ329=regle!$D$12,regle!$D$11,
IF(AQ329=regle!$E$12,regle!$E$11,
IF(AQ329=regle!$F$12,regle!$F$11,
IF(AQ329=regle!$G$12,regle!$G$11,
IF(AQ329=regle!$H$12,regle!$H$11,
IF(AQ329=regle!$I$12,regle!$I$11,""))))))))))</f>
        <v/>
      </c>
      <c r="X329" t="str">
        <f>IF(NOT($A329),"",
IF(AR329=-2,regle!$J$11,
IF(AR329=regle!$B$12,regle!$B$11,
IF(AR329=regle!$C$12,regle!$C$11,
IF(AR329=regle!$D$12,regle!$D$11,
IF(AR329=regle!$E$12,regle!$E$11,
IF(AR329=regle!$F$12,regle!$F$11,
IF(AR329=regle!$G$12,regle!$G$11,
IF(AR329=regle!$H$12,regle!$H$11,
IF(AR329=regle!$I$12,regle!$I$11,""))))))))))</f>
        <v>ENT2</v>
      </c>
      <c r="Y329" t="str">
        <f>IF(NOT($A329),"",
IF(AS329=-2,regle!$J$11,
IF(AS329=regle!$B$12,regle!$B$11,
IF(AS329=regle!$C$12,regle!$C$11,
IF(AS329=regle!$D$12,regle!$D$11,
IF(AS329=regle!$E$12,regle!$E$11,
IF(AS329=regle!$F$12,regle!$F$11,
IF(AS329=regle!$G$12,regle!$G$11,
IF(AS329=regle!$H$12,regle!$H$11,
IF(AS329=regle!$I$12,regle!$I$11,""))))))))))</f>
        <v/>
      </c>
      <c r="Z329" t="str">
        <f>IF(NOT($A329),"",
IF(AT329=-2,regle!$J$11,
IF(AT329=regle!$B$12,regle!$B$11,
IF(AT329=regle!$C$12,regle!$C$11,
IF(AT329=regle!$D$12,regle!$D$11,
IF(AT329=regle!$E$12,regle!$E$11,
IF(AT329=regle!$F$12,regle!$F$11,
IF(AT329=regle!$G$12,regle!$G$11,
IF(AT329=regle!$H$12,regle!$H$11,
IF(AT329=regle!$I$12,regle!$I$11,""))))))))))</f>
        <v/>
      </c>
      <c r="AA329" t="str">
        <f>IF(NOT($A329),"",
IF(AU329=-2,regle!$J$11,
IF(AU329=regle!$B$12,regle!$B$11,
IF(AU329=regle!$C$12,regle!$C$11,
IF(AU329=regle!$D$12,regle!$D$11,
IF(AU329=regle!$E$12,regle!$E$11,
IF(AU329=regle!$F$12,regle!$F$11,
IF(AU329=regle!$G$12,regle!$G$11,
IF(AU329=regle!$H$12,regle!$H$11,
IF(AU329=regle!$I$12,regle!$I$11,""))))))))))</f>
        <v/>
      </c>
      <c r="AB329" t="str">
        <f>IF(NOT($A329),"",
IF(AV329=-2,regle!$J$11,
IF(AV329=regle!$B$12,regle!$B$11,
IF(AV329=regle!$C$12,regle!$C$11,
IF(AV329=regle!$D$12,regle!$D$11,
IF(AV329=regle!$E$12,regle!$E$11,
IF(AV329=regle!$F$12,regle!$F$11,
IF(AV329=regle!$G$12,regle!$G$11,
IF(AV329=regle!$H$12,regle!$H$11,
IF(AV329=regle!$I$12,regle!$I$11,""))))))))))</f>
        <v/>
      </c>
      <c r="AC329" t="str">
        <f>IF(NOT($A329),"",
IF(AW329=-2,regle!$J$11,
IF(AW329=regle!$B$12,regle!$B$11,
IF(AW329=regle!$C$12,regle!$C$11,
IF(AW329=regle!$D$12,regle!$D$11,
IF(AW329=regle!$E$12,regle!$E$11,
IF(AW329=regle!$F$12,regle!$F$11,
IF(AW329=regle!$G$12,regle!$G$11,
IF(AW329=regle!$H$12,regle!$H$11,
IF(AW329=regle!$I$12,regle!$I$11,""))))))))))</f>
        <v>EC1</v>
      </c>
      <c r="AD329" t="str">
        <f>IF(NOT($A329),"",
IF(AX329=-2,regle!$J$11,
IF(AX329=regle!$B$12,regle!$B$11,
IF(AX329=regle!$C$12,regle!$C$11,
IF(AX329=regle!$D$12,regle!$D$11,
IF(AX329=regle!$E$12,regle!$E$11,
IF(AX329=regle!$F$12,regle!$F$11,
IF(AX329=regle!$G$12,regle!$G$11,
IF(AX329=regle!$H$12,regle!$H$11,
IF(AX329=regle!$I$12,regle!$I$11,""))))))))))</f>
        <v/>
      </c>
      <c r="AE329" s="14">
        <f>IF($A329,$M329*(IF(U329=regle!$B$11,regle!$B$23,IF(U329=regle!$C$11,regle!$C$23,IF(U329=regle!$D$11,regle!$D$23,IF(U329=regle!$E$11,regle!$E$23,IF(U329=regle!$F$11,regle!$F$23,IF(U329=regle!$G$11,regle!$G$23,IF(U329=regle!$H$11,regle!$H$23,IF(U329=regle!$I$11,regle!$I$23,IF(U329=regle!$J$11,regle!$J$23,0)))))))))))</f>
        <v>-287.82900000000001</v>
      </c>
      <c r="AF329" s="14">
        <f>IF($A329,$M329*(IF(V329=regle!$B$11,regle!$B$23,IF(V329=regle!$C$11,regle!$C$23,IF(V329=regle!$D$11,regle!$D$23,IF(V329=regle!$E$11,regle!$E$23,IF(V329=regle!$F$11,regle!$F$23,IF(V329=regle!$G$11,regle!$G$23,IF(V329=regle!$H$11,regle!$H$23,IF(V329=regle!$I$11,regle!$I$23,IF(V329=regle!$J$11,regle!$J$23,0)))))))))))</f>
        <v>0</v>
      </c>
      <c r="AG329" s="14">
        <f>IF($A329,$M329*(IF(W329=regle!$B$11,regle!$B$23,IF(W329=regle!$C$11,regle!$C$23,IF(W329=regle!$D$11,regle!$D$23,IF(W329=regle!$E$11,regle!$E$23,IF(W329=regle!$F$11,regle!$F$23,IF(W329=regle!$G$11,regle!$G$23,IF(W329=regle!$H$11,regle!$H$23,IF(W329=regle!$I$11,regle!$I$23,IF(W329=regle!$J$11,regle!$J$23,0)))))))))))</f>
        <v>0</v>
      </c>
      <c r="AH329" s="14">
        <f>IF($A329,$M329*(IF(X329=regle!$B$11,regle!$B$23,IF(X329=regle!$C$11,regle!$C$23,IF(X329=regle!$D$11,regle!$D$23,IF(X329=regle!$E$11,regle!$E$23,IF(X329=regle!$F$11,regle!$F$23,IF(X329=regle!$G$11,regle!$G$23,IF(X329=regle!$H$11,regle!$H$23,IF(X329=regle!$I$11,regle!$I$23,IF(X329=regle!$J$11,regle!$J$23,0)))))))))))</f>
        <v>-287.82900000000001</v>
      </c>
      <c r="AI329" s="14">
        <f>IF($A329,$M329*(IF(Y329=regle!$B$11,regle!$B$23,IF(Y329=regle!$C$11,regle!$C$23,IF(Y329=regle!$D$11,regle!$D$23,IF(Y329=regle!$E$11,regle!$E$23,IF(Y329=regle!$F$11,regle!$F$23,IF(Y329=regle!$G$11,regle!$G$23,IF(Y329=regle!$H$11,regle!$H$23,IF(Y329=regle!$I$11,regle!$I$23,IF(Y329=regle!$J$11,regle!$J$23,0)))))))))))</f>
        <v>0</v>
      </c>
      <c r="AJ329" s="14">
        <f>IF($A329,$M329*(IF(Z329=regle!$B$11,regle!$B$23,IF(Z329=regle!$C$11,regle!$C$23,IF(Z329=regle!$D$11,regle!$D$23,IF(Z329=regle!$E$11,regle!$E$23,IF(Z329=regle!$F$11,regle!$F$23,IF(Z329=regle!$G$11,regle!$G$23,IF(Z329=regle!$H$11,regle!$H$23,IF(Z329=regle!$I$11,regle!$I$23,IF(Z329=regle!$J$11,regle!$J$23,0)))))))))))</f>
        <v>0</v>
      </c>
      <c r="AK329" s="14">
        <f>IF($A329,$M329*(IF(AA329=regle!$B$11,regle!$B$23,IF(AA329=regle!$C$11,regle!$C$23,IF(AA329=regle!$D$11,regle!$D$23,IF(AA329=regle!$E$11,regle!$E$23,IF(AA329=regle!$F$11,regle!$F$23,IF(AA329=regle!$G$11,regle!$G$23,IF(AA329=regle!$H$11,regle!$H$23,IF(AA329=regle!$I$11,regle!$I$23,IF(AA329=regle!$J$11,regle!$J$23,0)))))))))))</f>
        <v>0</v>
      </c>
      <c r="AL329" s="14">
        <f>IF($A329,$M329*(IF(AB329=regle!$B$11,regle!$B$23,IF(AB329=regle!$C$11,regle!$C$23,IF(AB329=regle!$D$11,regle!$D$23,IF(AB329=regle!$E$11,regle!$E$23,IF(AB329=regle!$F$11,regle!$F$23,IF(AB329=regle!$G$11,regle!$G$23,IF(AB329=regle!$H$11,regle!$H$23,IF(AB329=regle!$I$11,regle!$I$23,IF(AB329=regle!$J$11,regle!$J$23,0)))))))))))</f>
        <v>0</v>
      </c>
      <c r="AM329" s="14">
        <f>IF($A329,$M329*(IF(AC329=regle!$B$11,regle!$B$23,IF(AC329=regle!$C$11,regle!$C$23,IF(AC329=regle!$D$11,regle!$D$23,IF(AC329=regle!$E$11,regle!$E$23,IF(AC329=regle!$F$11,regle!$F$23,IF(AC329=regle!$G$11,regle!$G$23,IF(AC329=regle!$H$11,regle!$H$23,IF(AC329=regle!$I$11,regle!$I$23,IF(AC329=regle!$J$11,regle!$J$23,0)))))))))))</f>
        <v>1842.1056000000001</v>
      </c>
      <c r="AN329" s="14">
        <f>IF($A329,$M329*(IF(AD329=regle!$B$11,regle!$B$23,IF(AD329=regle!$C$11,regle!$C$23,IF(AD329=regle!$D$11,regle!$D$23,IF(AD329=regle!$E$11,regle!$E$23,IF(AD329=regle!$F$11,regle!$F$23,IF(AD329=regle!$G$11,regle!$G$23,IF(AD329=regle!$H$11,regle!$H$23,IF(AD329=regle!$I$11,regle!$I$23,IF(AD329=regle!$J$11,regle!$J$23,0)))))))))))</f>
        <v>0</v>
      </c>
      <c r="AO329">
        <f>IF(AO$1=$AO$1,IF(regle!B$2-$Q329&gt;=regle!$J$12,-2,IF($S329,IF(regle!$B$2-$Q329&gt;=2,0,-1),regle!B$2-$Q329)),IF(AN329+1&gt;=regle!$J$12,-2,AN329+1))</f>
        <v>5</v>
      </c>
      <c r="AP329">
        <f>IF(AP$1=$AO$1,IF(regle!C$2-$Q329&gt;=regle!$J$12,-2,IF($S329,IF(regle!$B$2-$Q329&gt;=2,0,-1),regle!C$2-$Q329)),IF(AO329+1&gt;=regle!$J$12,-2,AO329+1))</f>
        <v>6</v>
      </c>
      <c r="AQ329">
        <f>IF(AQ$1=$AO$1,IF(regle!D$2-$Q329&gt;=regle!$J$12,-2,IF($S329,IF(regle!$B$2-$Q329&gt;=2,0,-1),regle!D$2-$Q329)),IF(AP329+1&gt;=regle!$J$12,-2,AP329+1))</f>
        <v>7</v>
      </c>
      <c r="AR329">
        <f>IF(AR$1=$AO$1,IF(regle!E$2-$Q329&gt;=regle!$J$12,-2,IF($S329,IF(regle!$B$2-$Q329&gt;=2,0,-1),regle!E$2-$Q329)),IF(AQ329+1&gt;=regle!$J$12,-2,AQ329+1))</f>
        <v>8</v>
      </c>
      <c r="AS329">
        <f>IF(AS$1=$AO$1,IF(regle!F$2-$Q329&gt;=regle!$J$12,-2,IF($S329,IF(regle!$B$2-$Q329&gt;=2,0,-1),regle!F$2-$Q329)),IF(AR329+1&gt;=regle!$J$12,-2,AR329+1))</f>
        <v>9</v>
      </c>
      <c r="AT329">
        <f>IF(AT$1=$AO$1,IF(regle!G$2-$Q329&gt;=regle!$J$12,-2,IF($S329,IF(regle!$B$2-$Q329&gt;=2,0,-1),regle!G$2-$Q329)),IF(AS329+1&gt;=regle!$J$12,-2,AS329+1))</f>
        <v>10</v>
      </c>
      <c r="AU329">
        <f>IF(AU$1=$AO$1,IF(regle!H$2-$Q329&gt;=regle!$J$12,-2,IF($S329,IF(regle!$B$2-$Q329&gt;=2,0,-1),regle!H$2-$Q329)),IF(AT329+1&gt;=regle!$J$12,-2,AT329+1))</f>
        <v>11</v>
      </c>
      <c r="AV329">
        <f>IF(AV$1=$AO$1,IF(regle!I$2-$Q329&gt;=regle!$J$12,-2,IF($S329,IF(regle!$B$2-$Q329&gt;=2,0,-1),regle!I$2-$Q329)),IF(AU329+1&gt;=regle!$J$12,-2,AU329+1))</f>
        <v>12</v>
      </c>
      <c r="AW329">
        <f>IF(AW$1=$AO$1,IF(regle!J$2-$Q329&gt;=regle!$J$12,-2,IF($S329,IF(regle!$B$2-$Q329&gt;=2,0,-1),regle!J$2-$Q329)),IF(AV329+1&gt;=regle!$J$12,-2,AV329+1))</f>
        <v>13</v>
      </c>
      <c r="AX329">
        <f>IF(AX$1=$AO$1,IF(regle!K$2-$Q329&gt;=regle!$J$12,-2,IF($S329,IF(regle!$B$2-$Q329&gt;=2,0,-1),regle!K$2-$Q329)),IF(AW329+1&gt;=regle!$J$12,-2,AW329+1))</f>
        <v>14</v>
      </c>
    </row>
    <row r="330" spans="1:50" x14ac:dyDescent="0.25">
      <c r="A330" t="b">
        <f>AND(modif0[[#This Row],[cdstr]]&lt;&gt;0,OR(regle!$H$27=FALSE,modif0[[#This Row],[essnc]]="PM"))</f>
        <v>1</v>
      </c>
      <c r="B330">
        <f>ROW(objet!A380)</f>
        <v>380</v>
      </c>
      <c r="C330" s="10" t="str">
        <f>objet!D380</f>
        <v>0770000D2295</v>
      </c>
      <c r="D330" t="str">
        <f>LEFT(modif0[[#This Row],[cdstr]],3)</f>
        <v>077</v>
      </c>
      <c r="E330" s="10" t="str">
        <f>objet!G380</f>
        <v>CABANAC-ET-VILLAGRAINS</v>
      </c>
      <c r="F330">
        <f>LEN(modif0[[#This Row],[l_dt]])</f>
        <v>12</v>
      </c>
      <c r="G330" s="10" t="str">
        <f>objet!H380</f>
        <v>LES JEANNOTS</v>
      </c>
      <c r="H330" s="10" t="str">
        <f>objet!C380</f>
        <v>D2295k</v>
      </c>
      <c r="I330" t="str">
        <f>IF(ISNUMBER(VALUE(RIGHT(LEFT(modif0[[#This Row],[idntfn]],2),1))),_xlfn.CONCAT(0,LEFT(modif0[[#This Row],[idntfn]],1)),LEFT(modif0[[#This Row],[idntfn]],2))</f>
        <v>0D</v>
      </c>
      <c r="J330">
        <f>VALUE(LEFT(RIGHT(modif0[[#This Row],[idntfn]],LEN(modif0[[#This Row],[idntfn]])-IF(LEFT(modif0[[#This Row],[sctn]],1)="0",1,2)),LEN(modif0[[#This Row],[idntfn]])-IF(LEFT(modif0[[#This Row],[sctn]],1)="0",1,2)-LEN(modif0[[#This Row],[lttr]])))</f>
        <v>2295</v>
      </c>
      <c r="K330" t="str">
        <f>IF(ISNUMBER(VALUE(RIGHT(modif0[[#This Row],[idntfn]],1))),"",IF(ISNUMBER(VALUE(LEFT(RIGHT(modif0[[#This Row],[idntfn]],2),1))),RIGHT(modif0[[#This Row],[idntfn]],1),RIGHT(modif0[[#This Row],[idntfn]],2)))</f>
        <v>k</v>
      </c>
      <c r="L330" s="10">
        <f>objet!I380</f>
        <v>37189</v>
      </c>
      <c r="M330" s="11">
        <f>modif0[[#This Row],[srfc]]/10000</f>
        <v>3.7189000000000001</v>
      </c>
      <c r="N330" s="10" t="str">
        <f>objet!Z380</f>
        <v>PM</v>
      </c>
      <c r="O330" s="10" t="str">
        <f>objet!AA380</f>
        <v>PLA2019</v>
      </c>
      <c r="P330" t="str">
        <f>IF(ISNUMBER(modif0[[#This Row],[trvx]]),"",LEFT(modif0[[#This Row],[trvx]],LEN(modif0[[#This Row],[trvx]])-4))</f>
        <v>PLA</v>
      </c>
      <c r="Q330">
        <f>VALUE(RIGHT(modif0[[#This Row],[trvx]],4))</f>
        <v>2019</v>
      </c>
      <c r="R330" t="str">
        <f>_xlfn.CONCAT(modif0[[#This Row],[tp]],"-",modif0[[#This Row],[essnc]],"_",modif0[[#This Row],[anns]])</f>
        <v>PLA-PM_2019</v>
      </c>
      <c r="S330" t="b">
        <f>modif0[[#This Row],[tp]]="CR"</f>
        <v>0</v>
      </c>
      <c r="T330">
        <v>40</v>
      </c>
      <c r="U330" t="str">
        <f>IF(NOT($A330),"",
IF(AO330=-2,regle!$J$11,
IF(AO330=regle!$B$12,regle!$B$11,
IF(AO330=regle!$C$12,regle!$C$11,
IF(AO330=regle!$D$12,regle!$D$11,
IF(AO330=regle!$E$12,regle!$E$11,
IF(AO330=regle!$F$12,regle!$F$11,
IF(AO330=regle!$G$12,regle!$G$11,
IF(AO330=regle!$H$12,regle!$H$11,
IF(AO330=regle!$I$12,regle!$I$11,""))))))))))</f>
        <v>ENT1</v>
      </c>
      <c r="V330" t="str">
        <f>IF(NOT($A330),"",
IF(AP330=-2,regle!$J$11,
IF(AP330=regle!$B$12,regle!$B$11,
IF(AP330=regle!$C$12,regle!$C$11,
IF(AP330=regle!$D$12,regle!$D$11,
IF(AP330=regle!$E$12,regle!$E$11,
IF(AP330=regle!$F$12,regle!$F$11,
IF(AP330=regle!$G$12,regle!$G$11,
IF(AP330=regle!$H$12,regle!$H$11,
IF(AP330=regle!$I$12,regle!$I$11,""))))))))))</f>
        <v/>
      </c>
      <c r="W330" t="str">
        <f>IF(NOT($A330),"",
IF(AQ330=-2,regle!$J$11,
IF(AQ330=regle!$B$12,regle!$B$11,
IF(AQ330=regle!$C$12,regle!$C$11,
IF(AQ330=regle!$D$12,regle!$D$11,
IF(AQ330=regle!$E$12,regle!$E$11,
IF(AQ330=regle!$F$12,regle!$F$11,
IF(AQ330=regle!$G$12,regle!$G$11,
IF(AQ330=regle!$H$12,regle!$H$11,
IF(AQ330=regle!$I$12,regle!$I$11,""))))))))))</f>
        <v/>
      </c>
      <c r="X330" t="str">
        <f>IF(NOT($A330),"",
IF(AR330=-2,regle!$J$11,
IF(AR330=regle!$B$12,regle!$B$11,
IF(AR330=regle!$C$12,regle!$C$11,
IF(AR330=regle!$D$12,regle!$D$11,
IF(AR330=regle!$E$12,regle!$E$11,
IF(AR330=regle!$F$12,regle!$F$11,
IF(AR330=regle!$G$12,regle!$G$11,
IF(AR330=regle!$H$12,regle!$H$11,
IF(AR330=regle!$I$12,regle!$I$11,""))))))))))</f>
        <v>ENT2</v>
      </c>
      <c r="Y330" t="str">
        <f>IF(NOT($A330),"",
IF(AS330=-2,regle!$J$11,
IF(AS330=regle!$B$12,regle!$B$11,
IF(AS330=regle!$C$12,regle!$C$11,
IF(AS330=regle!$D$12,regle!$D$11,
IF(AS330=regle!$E$12,regle!$E$11,
IF(AS330=regle!$F$12,regle!$F$11,
IF(AS330=regle!$G$12,regle!$G$11,
IF(AS330=regle!$H$12,regle!$H$11,
IF(AS330=regle!$I$12,regle!$I$11,""))))))))))</f>
        <v/>
      </c>
      <c r="Z330" t="str">
        <f>IF(NOT($A330),"",
IF(AT330=-2,regle!$J$11,
IF(AT330=regle!$B$12,regle!$B$11,
IF(AT330=regle!$C$12,regle!$C$11,
IF(AT330=regle!$D$12,regle!$D$11,
IF(AT330=regle!$E$12,regle!$E$11,
IF(AT330=regle!$F$12,regle!$F$11,
IF(AT330=regle!$G$12,regle!$G$11,
IF(AT330=regle!$H$12,regle!$H$11,
IF(AT330=regle!$I$12,regle!$I$11,""))))))))))</f>
        <v/>
      </c>
      <c r="AA330" t="str">
        <f>IF(NOT($A330),"",
IF(AU330=-2,regle!$J$11,
IF(AU330=regle!$B$12,regle!$B$11,
IF(AU330=regle!$C$12,regle!$C$11,
IF(AU330=regle!$D$12,regle!$D$11,
IF(AU330=regle!$E$12,regle!$E$11,
IF(AU330=regle!$F$12,regle!$F$11,
IF(AU330=regle!$G$12,regle!$G$11,
IF(AU330=regle!$H$12,regle!$H$11,
IF(AU330=regle!$I$12,regle!$I$11,""))))))))))</f>
        <v/>
      </c>
      <c r="AB330" t="str">
        <f>IF(NOT($A330),"",
IF(AV330=-2,regle!$J$11,
IF(AV330=regle!$B$12,regle!$B$11,
IF(AV330=regle!$C$12,regle!$C$11,
IF(AV330=regle!$D$12,regle!$D$11,
IF(AV330=regle!$E$12,regle!$E$11,
IF(AV330=regle!$F$12,regle!$F$11,
IF(AV330=regle!$G$12,regle!$G$11,
IF(AV330=regle!$H$12,regle!$H$11,
IF(AV330=regle!$I$12,regle!$I$11,""))))))))))</f>
        <v/>
      </c>
      <c r="AC330" t="str">
        <f>IF(NOT($A330),"",
IF(AW330=-2,regle!$J$11,
IF(AW330=regle!$B$12,regle!$B$11,
IF(AW330=regle!$C$12,regle!$C$11,
IF(AW330=regle!$D$12,regle!$D$11,
IF(AW330=regle!$E$12,regle!$E$11,
IF(AW330=regle!$F$12,regle!$F$11,
IF(AW330=regle!$G$12,regle!$G$11,
IF(AW330=regle!$H$12,regle!$H$11,
IF(AW330=regle!$I$12,regle!$I$11,""))))))))))</f>
        <v>EC1</v>
      </c>
      <c r="AD330" t="str">
        <f>IF(NOT($A330),"",
IF(AX330=-2,regle!$J$11,
IF(AX330=regle!$B$12,regle!$B$11,
IF(AX330=regle!$C$12,regle!$C$11,
IF(AX330=regle!$D$12,regle!$D$11,
IF(AX330=regle!$E$12,regle!$E$11,
IF(AX330=regle!$F$12,regle!$F$11,
IF(AX330=regle!$G$12,regle!$G$11,
IF(AX330=regle!$H$12,regle!$H$11,
IF(AX330=regle!$I$12,regle!$I$11,""))))))))))</f>
        <v/>
      </c>
      <c r="AE330" s="14">
        <f>IF($A330,$M330*(IF(U330=regle!$B$11,regle!$B$23,IF(U330=regle!$C$11,regle!$C$23,IF(U330=regle!$D$11,regle!$D$23,IF(U330=regle!$E$11,regle!$E$23,IF(U330=regle!$F$11,regle!$F$23,IF(U330=regle!$G$11,regle!$G$23,IF(U330=regle!$H$11,regle!$H$23,IF(U330=regle!$I$11,regle!$I$23,IF(U330=regle!$J$11,regle!$J$23,0)))))))))))</f>
        <v>-334.70100000000002</v>
      </c>
      <c r="AF330" s="14">
        <f>IF($A330,$M330*(IF(V330=regle!$B$11,regle!$B$23,IF(V330=regle!$C$11,regle!$C$23,IF(V330=regle!$D$11,regle!$D$23,IF(V330=regle!$E$11,regle!$E$23,IF(V330=regle!$F$11,regle!$F$23,IF(V330=regle!$G$11,regle!$G$23,IF(V330=regle!$H$11,regle!$H$23,IF(V330=regle!$I$11,regle!$I$23,IF(V330=regle!$J$11,regle!$J$23,0)))))))))))</f>
        <v>0</v>
      </c>
      <c r="AG330" s="14">
        <f>IF($A330,$M330*(IF(W330=regle!$B$11,regle!$B$23,IF(W330=regle!$C$11,regle!$C$23,IF(W330=regle!$D$11,regle!$D$23,IF(W330=regle!$E$11,regle!$E$23,IF(W330=regle!$F$11,regle!$F$23,IF(W330=regle!$G$11,regle!$G$23,IF(W330=regle!$H$11,regle!$H$23,IF(W330=regle!$I$11,regle!$I$23,IF(W330=regle!$J$11,regle!$J$23,0)))))))))))</f>
        <v>0</v>
      </c>
      <c r="AH330" s="14">
        <f>IF($A330,$M330*(IF(X330=regle!$B$11,regle!$B$23,IF(X330=regle!$C$11,regle!$C$23,IF(X330=regle!$D$11,regle!$D$23,IF(X330=regle!$E$11,regle!$E$23,IF(X330=regle!$F$11,regle!$F$23,IF(X330=regle!$G$11,regle!$G$23,IF(X330=regle!$H$11,regle!$H$23,IF(X330=regle!$I$11,regle!$I$23,IF(X330=regle!$J$11,regle!$J$23,0)))))))))))</f>
        <v>-334.70100000000002</v>
      </c>
      <c r="AI330" s="14">
        <f>IF($A330,$M330*(IF(Y330=regle!$B$11,regle!$B$23,IF(Y330=regle!$C$11,regle!$C$23,IF(Y330=regle!$D$11,regle!$D$23,IF(Y330=regle!$E$11,regle!$E$23,IF(Y330=regle!$F$11,regle!$F$23,IF(Y330=regle!$G$11,regle!$G$23,IF(Y330=regle!$H$11,regle!$H$23,IF(Y330=regle!$I$11,regle!$I$23,IF(Y330=regle!$J$11,regle!$J$23,0)))))))))))</f>
        <v>0</v>
      </c>
      <c r="AJ330" s="14">
        <f>IF($A330,$M330*(IF(Z330=regle!$B$11,regle!$B$23,IF(Z330=regle!$C$11,regle!$C$23,IF(Z330=regle!$D$11,regle!$D$23,IF(Z330=regle!$E$11,regle!$E$23,IF(Z330=regle!$F$11,regle!$F$23,IF(Z330=regle!$G$11,regle!$G$23,IF(Z330=regle!$H$11,regle!$H$23,IF(Z330=regle!$I$11,regle!$I$23,IF(Z330=regle!$J$11,regle!$J$23,0)))))))))))</f>
        <v>0</v>
      </c>
      <c r="AK330" s="14">
        <f>IF($A330,$M330*(IF(AA330=regle!$B$11,regle!$B$23,IF(AA330=regle!$C$11,regle!$C$23,IF(AA330=regle!$D$11,regle!$D$23,IF(AA330=regle!$E$11,regle!$E$23,IF(AA330=regle!$F$11,regle!$F$23,IF(AA330=regle!$G$11,regle!$G$23,IF(AA330=regle!$H$11,regle!$H$23,IF(AA330=regle!$I$11,regle!$I$23,IF(AA330=regle!$J$11,regle!$J$23,0)))))))))))</f>
        <v>0</v>
      </c>
      <c r="AL330" s="14">
        <f>IF($A330,$M330*(IF(AB330=regle!$B$11,regle!$B$23,IF(AB330=regle!$C$11,regle!$C$23,IF(AB330=regle!$D$11,regle!$D$23,IF(AB330=regle!$E$11,regle!$E$23,IF(AB330=regle!$F$11,regle!$F$23,IF(AB330=regle!$G$11,regle!$G$23,IF(AB330=regle!$H$11,regle!$H$23,IF(AB330=regle!$I$11,regle!$I$23,IF(AB330=regle!$J$11,regle!$J$23,0)))))))))))</f>
        <v>0</v>
      </c>
      <c r="AM330" s="14">
        <f>IF($A330,$M330*(IF(AC330=regle!$B$11,regle!$B$23,IF(AC330=regle!$C$11,regle!$C$23,IF(AC330=regle!$D$11,regle!$D$23,IF(AC330=regle!$E$11,regle!$E$23,IF(AC330=regle!$F$11,regle!$F$23,IF(AC330=regle!$G$11,regle!$G$23,IF(AC330=regle!$H$11,regle!$H$23,IF(AC330=regle!$I$11,regle!$I$23,IF(AC330=regle!$J$11,regle!$J$23,0)))))))))))</f>
        <v>2142.0864000000001</v>
      </c>
      <c r="AN330" s="14">
        <f>IF($A330,$M330*(IF(AD330=regle!$B$11,regle!$B$23,IF(AD330=regle!$C$11,regle!$C$23,IF(AD330=regle!$D$11,regle!$D$23,IF(AD330=regle!$E$11,regle!$E$23,IF(AD330=regle!$F$11,regle!$F$23,IF(AD330=regle!$G$11,regle!$G$23,IF(AD330=regle!$H$11,regle!$H$23,IF(AD330=regle!$I$11,regle!$I$23,IF(AD330=regle!$J$11,regle!$J$23,0)))))))))))</f>
        <v>0</v>
      </c>
      <c r="AO330">
        <f>IF(AO$1=$AO$1,IF(regle!B$2-$Q330&gt;=regle!$J$12,-2,IF($S330,IF(regle!$B$2-$Q330&gt;=2,0,-1),regle!B$2-$Q330)),IF(AN330+1&gt;=regle!$J$12,-2,AN330+1))</f>
        <v>5</v>
      </c>
      <c r="AP330">
        <f>IF(AP$1=$AO$1,IF(regle!C$2-$Q330&gt;=regle!$J$12,-2,IF($S330,IF(regle!$B$2-$Q330&gt;=2,0,-1),regle!C$2-$Q330)),IF(AO330+1&gt;=regle!$J$12,-2,AO330+1))</f>
        <v>6</v>
      </c>
      <c r="AQ330">
        <f>IF(AQ$1=$AO$1,IF(regle!D$2-$Q330&gt;=regle!$J$12,-2,IF($S330,IF(regle!$B$2-$Q330&gt;=2,0,-1),regle!D$2-$Q330)),IF(AP330+1&gt;=regle!$J$12,-2,AP330+1))</f>
        <v>7</v>
      </c>
      <c r="AR330">
        <f>IF(AR$1=$AO$1,IF(regle!E$2-$Q330&gt;=regle!$J$12,-2,IF($S330,IF(regle!$B$2-$Q330&gt;=2,0,-1),regle!E$2-$Q330)),IF(AQ330+1&gt;=regle!$J$12,-2,AQ330+1))</f>
        <v>8</v>
      </c>
      <c r="AS330">
        <f>IF(AS$1=$AO$1,IF(regle!F$2-$Q330&gt;=regle!$J$12,-2,IF($S330,IF(regle!$B$2-$Q330&gt;=2,0,-1),regle!F$2-$Q330)),IF(AR330+1&gt;=regle!$J$12,-2,AR330+1))</f>
        <v>9</v>
      </c>
      <c r="AT330">
        <f>IF(AT$1=$AO$1,IF(regle!G$2-$Q330&gt;=regle!$J$12,-2,IF($S330,IF(regle!$B$2-$Q330&gt;=2,0,-1),regle!G$2-$Q330)),IF(AS330+1&gt;=regle!$J$12,-2,AS330+1))</f>
        <v>10</v>
      </c>
      <c r="AU330">
        <f>IF(AU$1=$AO$1,IF(regle!H$2-$Q330&gt;=regle!$J$12,-2,IF($S330,IF(regle!$B$2-$Q330&gt;=2,0,-1),regle!H$2-$Q330)),IF(AT330+1&gt;=regle!$J$12,-2,AT330+1))</f>
        <v>11</v>
      </c>
      <c r="AV330">
        <f>IF(AV$1=$AO$1,IF(regle!I$2-$Q330&gt;=regle!$J$12,-2,IF($S330,IF(regle!$B$2-$Q330&gt;=2,0,-1),regle!I$2-$Q330)),IF(AU330+1&gt;=regle!$J$12,-2,AU330+1))</f>
        <v>12</v>
      </c>
      <c r="AW330">
        <f>IF(AW$1=$AO$1,IF(regle!J$2-$Q330&gt;=regle!$J$12,-2,IF($S330,IF(regle!$B$2-$Q330&gt;=2,0,-1),regle!J$2-$Q330)),IF(AV330+1&gt;=regle!$J$12,-2,AV330+1))</f>
        <v>13</v>
      </c>
      <c r="AX330">
        <f>IF(AX$1=$AO$1,IF(regle!K$2-$Q330&gt;=regle!$J$12,-2,IF($S330,IF(regle!$B$2-$Q330&gt;=2,0,-1),regle!K$2-$Q330)),IF(AW330+1&gt;=regle!$J$12,-2,AW330+1))</f>
        <v>14</v>
      </c>
    </row>
    <row r="331" spans="1:50" x14ac:dyDescent="0.25">
      <c r="A331" t="b">
        <f>AND(modif0[[#This Row],[cdstr]]&lt;&gt;0,OR(regle!$H$27=FALSE,modif0[[#This Row],[essnc]]="PM"))</f>
        <v>1</v>
      </c>
      <c r="B331">
        <f>ROW(objet!A381)</f>
        <v>381</v>
      </c>
      <c r="C331" s="10" t="str">
        <f>objet!D381</f>
        <v>0770000D2295</v>
      </c>
      <c r="D331" t="str">
        <f>LEFT(modif0[[#This Row],[cdstr]],3)</f>
        <v>077</v>
      </c>
      <c r="E331" s="10" t="str">
        <f>objet!G381</f>
        <v>CABANAC-ET-VILLAGRAINS</v>
      </c>
      <c r="F331">
        <f>LEN(modif0[[#This Row],[l_dt]])</f>
        <v>12</v>
      </c>
      <c r="G331" s="10" t="str">
        <f>objet!H381</f>
        <v>LES JEANNOTS</v>
      </c>
      <c r="H331" s="10" t="str">
        <f>objet!C381</f>
        <v>D2295l</v>
      </c>
      <c r="I331" t="str">
        <f>IF(ISNUMBER(VALUE(RIGHT(LEFT(modif0[[#This Row],[idntfn]],2),1))),_xlfn.CONCAT(0,LEFT(modif0[[#This Row],[idntfn]],1)),LEFT(modif0[[#This Row],[idntfn]],2))</f>
        <v>0D</v>
      </c>
      <c r="J331">
        <f>VALUE(LEFT(RIGHT(modif0[[#This Row],[idntfn]],LEN(modif0[[#This Row],[idntfn]])-IF(LEFT(modif0[[#This Row],[sctn]],1)="0",1,2)),LEN(modif0[[#This Row],[idntfn]])-IF(LEFT(modif0[[#This Row],[sctn]],1)="0",1,2)-LEN(modif0[[#This Row],[lttr]])))</f>
        <v>2295</v>
      </c>
      <c r="K331" t="str">
        <f>IF(ISNUMBER(VALUE(RIGHT(modif0[[#This Row],[idntfn]],1))),"",IF(ISNUMBER(VALUE(LEFT(RIGHT(modif0[[#This Row],[idntfn]],2),1))),RIGHT(modif0[[#This Row],[idntfn]],1),RIGHT(modif0[[#This Row],[idntfn]],2)))</f>
        <v>l</v>
      </c>
      <c r="L331" s="10">
        <f>objet!I381</f>
        <v>54045</v>
      </c>
      <c r="M331" s="11">
        <f>modif0[[#This Row],[srfc]]/10000</f>
        <v>5.4044999999999996</v>
      </c>
      <c r="N331" s="10" t="str">
        <f>objet!Z381</f>
        <v>PM</v>
      </c>
      <c r="O331" s="10" t="str">
        <f>objet!AA381</f>
        <v>PLA2005</v>
      </c>
      <c r="P331" t="str">
        <f>IF(ISNUMBER(modif0[[#This Row],[trvx]]),"",LEFT(modif0[[#This Row],[trvx]],LEN(modif0[[#This Row],[trvx]])-4))</f>
        <v>PLA</v>
      </c>
      <c r="Q331">
        <f>VALUE(RIGHT(modif0[[#This Row],[trvx]],4))</f>
        <v>2005</v>
      </c>
      <c r="R331" t="str">
        <f>_xlfn.CONCAT(modif0[[#This Row],[tp]],"-",modif0[[#This Row],[essnc]],"_",modif0[[#This Row],[anns]])</f>
        <v>PLA-PM_2005</v>
      </c>
      <c r="S331" t="b">
        <f>modif0[[#This Row],[tp]]="CR"</f>
        <v>0</v>
      </c>
      <c r="T331">
        <v>40</v>
      </c>
      <c r="U331" t="str">
        <f>IF(NOT($A331),"",
IF(AO331=-2,regle!$J$11,
IF(AO331=regle!$B$12,regle!$B$11,
IF(AO331=regle!$C$12,regle!$C$11,
IF(AO331=regle!$D$12,regle!$D$11,
IF(AO331=regle!$E$12,regle!$E$11,
IF(AO331=regle!$F$12,regle!$F$11,
IF(AO331=regle!$G$12,regle!$G$11,
IF(AO331=regle!$H$12,regle!$H$11,
IF(AO331=regle!$I$12,regle!$I$11,""))))))))))</f>
        <v/>
      </c>
      <c r="V331" t="str">
        <f>IF(NOT($A331),"",
IF(AP331=-2,regle!$J$11,
IF(AP331=regle!$B$12,regle!$B$11,
IF(AP331=regle!$C$12,regle!$C$11,
IF(AP331=regle!$D$12,regle!$D$11,
IF(AP331=regle!$E$12,regle!$E$11,
IF(AP331=regle!$F$12,regle!$F$11,
IF(AP331=regle!$G$12,regle!$G$11,
IF(AP331=regle!$H$12,regle!$H$11,
IF(AP331=regle!$I$12,regle!$I$11,""))))))))))</f>
        <v/>
      </c>
      <c r="W331" t="str">
        <f>IF(NOT($A331),"",
IF(AQ331=-2,regle!$J$11,
IF(AQ331=regle!$B$12,regle!$B$11,
IF(AQ331=regle!$C$12,regle!$C$11,
IF(AQ331=regle!$D$12,regle!$D$11,
IF(AQ331=regle!$E$12,regle!$E$11,
IF(AQ331=regle!$F$12,regle!$F$11,
IF(AQ331=regle!$G$12,regle!$G$11,
IF(AQ331=regle!$H$12,regle!$H$11,
IF(AQ331=regle!$I$12,regle!$I$11,""))))))))))</f>
        <v/>
      </c>
      <c r="X331" t="str">
        <f>IF(NOT($A331),"",
IF(AR331=-2,regle!$J$11,
IF(AR331=regle!$B$12,regle!$B$11,
IF(AR331=regle!$C$12,regle!$C$11,
IF(AR331=regle!$D$12,regle!$D$11,
IF(AR331=regle!$E$12,regle!$E$11,
IF(AR331=regle!$F$12,regle!$F$11,
IF(AR331=regle!$G$12,regle!$G$11,
IF(AR331=regle!$H$12,regle!$H$11,
IF(AR331=regle!$I$12,regle!$I$11,""))))))))))</f>
        <v/>
      </c>
      <c r="Y331" t="str">
        <f>IF(NOT($A331),"",
IF(AS331=-2,regle!$J$11,
IF(AS331=regle!$B$12,regle!$B$11,
IF(AS331=regle!$C$12,regle!$C$11,
IF(AS331=regle!$D$12,regle!$D$11,
IF(AS331=regle!$E$12,regle!$E$11,
IF(AS331=regle!$F$12,regle!$F$11,
IF(AS331=regle!$G$12,regle!$G$11,
IF(AS331=regle!$H$12,regle!$H$11,
IF(AS331=regle!$I$12,regle!$I$11,""))))))))))</f>
        <v>EC3</v>
      </c>
      <c r="Z331" t="str">
        <f>IF(NOT($A331),"",
IF(AT331=-2,regle!$J$11,
IF(AT331=regle!$B$12,regle!$B$11,
IF(AT331=regle!$C$12,regle!$C$11,
IF(AT331=regle!$D$12,regle!$D$11,
IF(AT331=regle!$E$12,regle!$E$11,
IF(AT331=regle!$F$12,regle!$F$11,
IF(AT331=regle!$G$12,regle!$G$11,
IF(AT331=regle!$H$12,regle!$H$11,
IF(AT331=regle!$I$12,regle!$I$11,""))))))))))</f>
        <v/>
      </c>
      <c r="AA331" t="str">
        <f>IF(NOT($A331),"",
IF(AU331=-2,regle!$J$11,
IF(AU331=regle!$B$12,regle!$B$11,
IF(AU331=regle!$C$12,regle!$C$11,
IF(AU331=regle!$D$12,regle!$D$11,
IF(AU331=regle!$E$12,regle!$E$11,
IF(AU331=regle!$F$12,regle!$F$11,
IF(AU331=regle!$G$12,regle!$G$11,
IF(AU331=regle!$H$12,regle!$H$11,
IF(AU331=regle!$I$12,regle!$I$11,""))))))))))</f>
        <v/>
      </c>
      <c r="AB331" t="str">
        <f>IF(NOT($A331),"",
IF(AV331=-2,regle!$J$11,
IF(AV331=regle!$B$12,regle!$B$11,
IF(AV331=regle!$C$12,regle!$C$11,
IF(AV331=regle!$D$12,regle!$D$11,
IF(AV331=regle!$E$12,regle!$E$11,
IF(AV331=regle!$F$12,regle!$F$11,
IF(AV331=regle!$G$12,regle!$G$11,
IF(AV331=regle!$H$12,regle!$H$11,
IF(AV331=regle!$I$12,regle!$I$11,""))))))))))</f>
        <v/>
      </c>
      <c r="AC331" t="str">
        <f>IF(NOT($A331),"",
IF(AW331=-2,regle!$J$11,
IF(AW331=regle!$B$12,regle!$B$11,
IF(AW331=regle!$C$12,regle!$C$11,
IF(AW331=regle!$D$12,regle!$D$11,
IF(AW331=regle!$E$12,regle!$E$11,
IF(AW331=regle!$F$12,regle!$F$11,
IF(AW331=regle!$G$12,regle!$G$11,
IF(AW331=regle!$H$12,regle!$H$11,
IF(AW331=regle!$I$12,regle!$I$11,""))))))))))</f>
        <v/>
      </c>
      <c r="AD331" t="str">
        <f>IF(NOT($A331),"",
IF(AX331=-2,regle!$J$11,
IF(AX331=regle!$B$12,regle!$B$11,
IF(AX331=regle!$C$12,regle!$C$11,
IF(AX331=regle!$D$12,regle!$D$11,
IF(AX331=regle!$E$12,regle!$E$11,
IF(AX331=regle!$F$12,regle!$F$11,
IF(AX331=regle!$G$12,regle!$G$11,
IF(AX331=regle!$H$12,regle!$H$11,
IF(AX331=regle!$I$12,regle!$I$11,""))))))))))</f>
        <v>EC4</v>
      </c>
      <c r="AE331" s="14">
        <f>IF($A331,$M331*(IF(U331=regle!$B$11,regle!$B$23,IF(U331=regle!$C$11,regle!$C$23,IF(U331=regle!$D$11,regle!$D$23,IF(U331=regle!$E$11,regle!$E$23,IF(U331=regle!$F$11,regle!$F$23,IF(U331=regle!$G$11,regle!$G$23,IF(U331=regle!$H$11,regle!$H$23,IF(U331=regle!$I$11,regle!$I$23,IF(U331=regle!$J$11,regle!$J$23,0)))))))))))</f>
        <v>0</v>
      </c>
      <c r="AF331" s="14">
        <f>IF($A331,$M331*(IF(V331=regle!$B$11,regle!$B$23,IF(V331=regle!$C$11,regle!$C$23,IF(V331=regle!$D$11,regle!$D$23,IF(V331=regle!$E$11,regle!$E$23,IF(V331=regle!$F$11,regle!$F$23,IF(V331=regle!$G$11,regle!$G$23,IF(V331=regle!$H$11,regle!$H$23,IF(V331=regle!$I$11,regle!$I$23,IF(V331=regle!$J$11,regle!$J$23,0)))))))))))</f>
        <v>0</v>
      </c>
      <c r="AG331" s="14">
        <f>IF($A331,$M331*(IF(W331=regle!$B$11,regle!$B$23,IF(W331=regle!$C$11,regle!$C$23,IF(W331=regle!$D$11,regle!$D$23,IF(W331=regle!$E$11,regle!$E$23,IF(W331=regle!$F$11,regle!$F$23,IF(W331=regle!$G$11,regle!$G$23,IF(W331=regle!$H$11,regle!$H$23,IF(W331=regle!$I$11,regle!$I$23,IF(W331=regle!$J$11,regle!$J$23,0)))))))))))</f>
        <v>0</v>
      </c>
      <c r="AH331" s="14">
        <f>IF($A331,$M331*(IF(X331=regle!$B$11,regle!$B$23,IF(X331=regle!$C$11,regle!$C$23,IF(X331=regle!$D$11,regle!$D$23,IF(X331=regle!$E$11,regle!$E$23,IF(X331=regle!$F$11,regle!$F$23,IF(X331=regle!$G$11,regle!$G$23,IF(X331=regle!$H$11,regle!$H$23,IF(X331=regle!$I$11,regle!$I$23,IF(X331=regle!$J$11,regle!$J$23,0)))))))))))</f>
        <v>0</v>
      </c>
      <c r="AI331" s="14">
        <f>IF($A331,$M331*(IF(Y331=regle!$B$11,regle!$B$23,IF(Y331=regle!$C$11,regle!$C$23,IF(Y331=regle!$D$11,regle!$D$23,IF(Y331=regle!$E$11,regle!$E$23,IF(Y331=regle!$F$11,regle!$F$23,IF(Y331=regle!$G$11,regle!$G$23,IF(Y331=regle!$H$11,regle!$H$23,IF(Y331=regle!$I$11,regle!$I$23,IF(Y331=regle!$J$11,regle!$J$23,0)))))))))))</f>
        <v>7609.5359999999991</v>
      </c>
      <c r="AJ331" s="14">
        <f>IF($A331,$M331*(IF(Z331=regle!$B$11,regle!$B$23,IF(Z331=regle!$C$11,regle!$C$23,IF(Z331=regle!$D$11,regle!$D$23,IF(Z331=regle!$E$11,regle!$E$23,IF(Z331=regle!$F$11,regle!$F$23,IF(Z331=regle!$G$11,regle!$G$23,IF(Z331=regle!$H$11,regle!$H$23,IF(Z331=regle!$I$11,regle!$I$23,IF(Z331=regle!$J$11,regle!$J$23,0)))))))))))</f>
        <v>0</v>
      </c>
      <c r="AK331" s="14">
        <f>IF($A331,$M331*(IF(AA331=regle!$B$11,regle!$B$23,IF(AA331=regle!$C$11,regle!$C$23,IF(AA331=regle!$D$11,regle!$D$23,IF(AA331=regle!$E$11,regle!$E$23,IF(AA331=regle!$F$11,regle!$F$23,IF(AA331=regle!$G$11,regle!$G$23,IF(AA331=regle!$H$11,regle!$H$23,IF(AA331=regle!$I$11,regle!$I$23,IF(AA331=regle!$J$11,regle!$J$23,0)))))))))))</f>
        <v>0</v>
      </c>
      <c r="AL331" s="14">
        <f>IF($A331,$M331*(IF(AB331=regle!$B$11,regle!$B$23,IF(AB331=regle!$C$11,regle!$C$23,IF(AB331=regle!$D$11,regle!$D$23,IF(AB331=regle!$E$11,regle!$E$23,IF(AB331=regle!$F$11,regle!$F$23,IF(AB331=regle!$G$11,regle!$G$23,IF(AB331=regle!$H$11,regle!$H$23,IF(AB331=regle!$I$11,regle!$I$23,IF(AB331=regle!$J$11,regle!$J$23,0)))))))))))</f>
        <v>0</v>
      </c>
      <c r="AM331" s="14">
        <f>IF($A331,$M331*(IF(AC331=regle!$B$11,regle!$B$23,IF(AC331=regle!$C$11,regle!$C$23,IF(AC331=regle!$D$11,regle!$D$23,IF(AC331=regle!$E$11,regle!$E$23,IF(AC331=regle!$F$11,regle!$F$23,IF(AC331=regle!$G$11,regle!$G$23,IF(AC331=regle!$H$11,regle!$H$23,IF(AC331=regle!$I$11,regle!$I$23,IF(AC331=regle!$J$11,regle!$J$23,0)))))))))))</f>
        <v>0</v>
      </c>
      <c r="AN331" s="14">
        <f>IF($A331,$M331*(IF(AD331=regle!$B$11,regle!$B$23,IF(AD331=regle!$C$11,regle!$C$23,IF(AD331=regle!$D$11,regle!$D$23,IF(AD331=regle!$E$11,regle!$E$23,IF(AD331=regle!$F$11,regle!$F$23,IF(AD331=regle!$G$11,regle!$G$23,IF(AD331=regle!$H$11,regle!$H$23,IF(AD331=regle!$I$11,regle!$I$23,IF(AD331=regle!$J$11,regle!$J$23,0)))))))))))</f>
        <v>6917.7599999999993</v>
      </c>
      <c r="AO331">
        <f>IF(AO$1=$AO$1,IF(regle!B$2-$Q331&gt;=regle!$J$12,-2,IF($S331,IF(regle!$B$2-$Q331&gt;=2,0,-1),regle!B$2-$Q331)),IF(AN331+1&gt;=regle!$J$12,-2,AN331+1))</f>
        <v>19</v>
      </c>
      <c r="AP331">
        <f>IF(AP$1=$AO$1,IF(regle!C$2-$Q331&gt;=regle!$J$12,-2,IF($S331,IF(regle!$B$2-$Q331&gt;=2,0,-1),regle!C$2-$Q331)),IF(AO331+1&gt;=regle!$J$12,-2,AO331+1))</f>
        <v>20</v>
      </c>
      <c r="AQ331">
        <f>IF(AQ$1=$AO$1,IF(regle!D$2-$Q331&gt;=regle!$J$12,-2,IF($S331,IF(regle!$B$2-$Q331&gt;=2,0,-1),regle!D$2-$Q331)),IF(AP331+1&gt;=regle!$J$12,-2,AP331+1))</f>
        <v>21</v>
      </c>
      <c r="AR331">
        <f>IF(AR$1=$AO$1,IF(regle!E$2-$Q331&gt;=regle!$J$12,-2,IF($S331,IF(regle!$B$2-$Q331&gt;=2,0,-1),regle!E$2-$Q331)),IF(AQ331+1&gt;=regle!$J$12,-2,AQ331+1))</f>
        <v>22</v>
      </c>
      <c r="AS331">
        <f>IF(AS$1=$AO$1,IF(regle!F$2-$Q331&gt;=regle!$J$12,-2,IF($S331,IF(regle!$B$2-$Q331&gt;=2,0,-1),regle!F$2-$Q331)),IF(AR331+1&gt;=regle!$J$12,-2,AR331+1))</f>
        <v>23</v>
      </c>
      <c r="AT331">
        <f>IF(AT$1=$AO$1,IF(regle!G$2-$Q331&gt;=regle!$J$12,-2,IF($S331,IF(regle!$B$2-$Q331&gt;=2,0,-1),regle!G$2-$Q331)),IF(AS331+1&gt;=regle!$J$12,-2,AS331+1))</f>
        <v>24</v>
      </c>
      <c r="AU331">
        <f>IF(AU$1=$AO$1,IF(regle!H$2-$Q331&gt;=regle!$J$12,-2,IF($S331,IF(regle!$B$2-$Q331&gt;=2,0,-1),regle!H$2-$Q331)),IF(AT331+1&gt;=regle!$J$12,-2,AT331+1))</f>
        <v>25</v>
      </c>
      <c r="AV331">
        <f>IF(AV$1=$AO$1,IF(regle!I$2-$Q331&gt;=regle!$J$12,-2,IF($S331,IF(regle!$B$2-$Q331&gt;=2,0,-1),regle!I$2-$Q331)),IF(AU331+1&gt;=regle!$J$12,-2,AU331+1))</f>
        <v>26</v>
      </c>
      <c r="AW331">
        <f>IF(AW$1=$AO$1,IF(regle!J$2-$Q331&gt;=regle!$J$12,-2,IF($S331,IF(regle!$B$2-$Q331&gt;=2,0,-1),regle!J$2-$Q331)),IF(AV331+1&gt;=regle!$J$12,-2,AV331+1))</f>
        <v>27</v>
      </c>
      <c r="AX331">
        <f>IF(AX$1=$AO$1,IF(regle!K$2-$Q331&gt;=regle!$J$12,-2,IF($S331,IF(regle!$B$2-$Q331&gt;=2,0,-1),regle!K$2-$Q331)),IF(AW331+1&gt;=regle!$J$12,-2,AW331+1))</f>
        <v>28</v>
      </c>
    </row>
    <row r="332" spans="1:50" x14ac:dyDescent="0.25">
      <c r="A332" t="b">
        <f>AND(modif0[[#This Row],[cdstr]]&lt;&gt;0,OR(regle!$H$27=FALSE,modif0[[#This Row],[essnc]]="PM"))</f>
        <v>1</v>
      </c>
      <c r="B332">
        <f>ROW(objet!A382)</f>
        <v>382</v>
      </c>
      <c r="C332" s="10" t="str">
        <f>objet!D382</f>
        <v>0770000D2297</v>
      </c>
      <c r="D332" t="str">
        <f>LEFT(modif0[[#This Row],[cdstr]],3)</f>
        <v>077</v>
      </c>
      <c r="E332" s="10" t="str">
        <f>objet!G382</f>
        <v>CABANAC-ET-VILLAGRAINS</v>
      </c>
      <c r="F332">
        <f>LEN(modif0[[#This Row],[l_dt]])</f>
        <v>12</v>
      </c>
      <c r="G332" s="10" t="str">
        <f>objet!H382</f>
        <v>LES JEANNOTS</v>
      </c>
      <c r="H332" s="10" t="str">
        <f>objet!C382</f>
        <v>D2297</v>
      </c>
      <c r="I332" t="str">
        <f>IF(ISNUMBER(VALUE(RIGHT(LEFT(modif0[[#This Row],[idntfn]],2),1))),_xlfn.CONCAT(0,LEFT(modif0[[#This Row],[idntfn]],1)),LEFT(modif0[[#This Row],[idntfn]],2))</f>
        <v>0D</v>
      </c>
      <c r="J332">
        <f>VALUE(LEFT(RIGHT(modif0[[#This Row],[idntfn]],LEN(modif0[[#This Row],[idntfn]])-IF(LEFT(modif0[[#This Row],[sctn]],1)="0",1,2)),LEN(modif0[[#This Row],[idntfn]])-IF(LEFT(modif0[[#This Row],[sctn]],1)="0",1,2)-LEN(modif0[[#This Row],[lttr]])))</f>
        <v>2297</v>
      </c>
      <c r="K332" t="str">
        <f>IF(ISNUMBER(VALUE(RIGHT(modif0[[#This Row],[idntfn]],1))),"",IF(ISNUMBER(VALUE(LEFT(RIGHT(modif0[[#This Row],[idntfn]],2),1))),RIGHT(modif0[[#This Row],[idntfn]],1),RIGHT(modif0[[#This Row],[idntfn]],2)))</f>
        <v/>
      </c>
      <c r="L332" s="10">
        <f>objet!I382</f>
        <v>1637</v>
      </c>
      <c r="M332" s="11">
        <f>modif0[[#This Row],[srfc]]/10000</f>
        <v>0.16370000000000001</v>
      </c>
      <c r="N332" s="10" t="str">
        <f>objet!Z382</f>
        <v>PM</v>
      </c>
      <c r="O332" s="10" t="str">
        <f>objet!AA382</f>
        <v>PLA2005</v>
      </c>
      <c r="P332" t="str">
        <f>IF(ISNUMBER(modif0[[#This Row],[trvx]]),"",LEFT(modif0[[#This Row],[trvx]],LEN(modif0[[#This Row],[trvx]])-4))</f>
        <v>PLA</v>
      </c>
      <c r="Q332">
        <f>VALUE(RIGHT(modif0[[#This Row],[trvx]],4))</f>
        <v>2005</v>
      </c>
      <c r="R332" t="str">
        <f>_xlfn.CONCAT(modif0[[#This Row],[tp]],"-",modif0[[#This Row],[essnc]],"_",modif0[[#This Row],[anns]])</f>
        <v>PLA-PM_2005</v>
      </c>
      <c r="S332" t="b">
        <f>modif0[[#This Row],[tp]]="CR"</f>
        <v>0</v>
      </c>
      <c r="T332">
        <v>40</v>
      </c>
      <c r="U332" t="str">
        <f>IF(NOT($A332),"",
IF(AO332=-2,regle!$J$11,
IF(AO332=regle!$B$12,regle!$B$11,
IF(AO332=regle!$C$12,regle!$C$11,
IF(AO332=regle!$D$12,regle!$D$11,
IF(AO332=regle!$E$12,regle!$E$11,
IF(AO332=regle!$F$12,regle!$F$11,
IF(AO332=regle!$G$12,regle!$G$11,
IF(AO332=regle!$H$12,regle!$H$11,
IF(AO332=regle!$I$12,regle!$I$11,""))))))))))</f>
        <v/>
      </c>
      <c r="V332" t="str">
        <f>IF(NOT($A332),"",
IF(AP332=-2,regle!$J$11,
IF(AP332=regle!$B$12,regle!$B$11,
IF(AP332=regle!$C$12,regle!$C$11,
IF(AP332=regle!$D$12,regle!$D$11,
IF(AP332=regle!$E$12,regle!$E$11,
IF(AP332=regle!$F$12,regle!$F$11,
IF(AP332=regle!$G$12,regle!$G$11,
IF(AP332=regle!$H$12,regle!$H$11,
IF(AP332=regle!$I$12,regle!$I$11,""))))))))))</f>
        <v/>
      </c>
      <c r="W332" t="str">
        <f>IF(NOT($A332),"",
IF(AQ332=-2,regle!$J$11,
IF(AQ332=regle!$B$12,regle!$B$11,
IF(AQ332=regle!$C$12,regle!$C$11,
IF(AQ332=regle!$D$12,regle!$D$11,
IF(AQ332=regle!$E$12,regle!$E$11,
IF(AQ332=regle!$F$12,regle!$F$11,
IF(AQ332=regle!$G$12,regle!$G$11,
IF(AQ332=regle!$H$12,regle!$H$11,
IF(AQ332=regle!$I$12,regle!$I$11,""))))))))))</f>
        <v/>
      </c>
      <c r="X332" t="str">
        <f>IF(NOT($A332),"",
IF(AR332=-2,regle!$J$11,
IF(AR332=regle!$B$12,regle!$B$11,
IF(AR332=regle!$C$12,regle!$C$11,
IF(AR332=regle!$D$12,regle!$D$11,
IF(AR332=regle!$E$12,regle!$E$11,
IF(AR332=regle!$F$12,regle!$F$11,
IF(AR332=regle!$G$12,regle!$G$11,
IF(AR332=regle!$H$12,regle!$H$11,
IF(AR332=regle!$I$12,regle!$I$11,""))))))))))</f>
        <v/>
      </c>
      <c r="Y332" t="str">
        <f>IF(NOT($A332),"",
IF(AS332=-2,regle!$J$11,
IF(AS332=regle!$B$12,regle!$B$11,
IF(AS332=regle!$C$12,regle!$C$11,
IF(AS332=regle!$D$12,regle!$D$11,
IF(AS332=regle!$E$12,regle!$E$11,
IF(AS332=regle!$F$12,regle!$F$11,
IF(AS332=regle!$G$12,regle!$G$11,
IF(AS332=regle!$H$12,regle!$H$11,
IF(AS332=regle!$I$12,regle!$I$11,""))))))))))</f>
        <v>EC3</v>
      </c>
      <c r="Z332" t="str">
        <f>IF(NOT($A332),"",
IF(AT332=-2,regle!$J$11,
IF(AT332=regle!$B$12,regle!$B$11,
IF(AT332=regle!$C$12,regle!$C$11,
IF(AT332=regle!$D$12,regle!$D$11,
IF(AT332=regle!$E$12,regle!$E$11,
IF(AT332=regle!$F$12,regle!$F$11,
IF(AT332=regle!$G$12,regle!$G$11,
IF(AT332=regle!$H$12,regle!$H$11,
IF(AT332=regle!$I$12,regle!$I$11,""))))))))))</f>
        <v/>
      </c>
      <c r="AA332" t="str">
        <f>IF(NOT($A332),"",
IF(AU332=-2,regle!$J$11,
IF(AU332=regle!$B$12,regle!$B$11,
IF(AU332=regle!$C$12,regle!$C$11,
IF(AU332=regle!$D$12,regle!$D$11,
IF(AU332=regle!$E$12,regle!$E$11,
IF(AU332=regle!$F$12,regle!$F$11,
IF(AU332=regle!$G$12,regle!$G$11,
IF(AU332=regle!$H$12,regle!$H$11,
IF(AU332=regle!$I$12,regle!$I$11,""))))))))))</f>
        <v/>
      </c>
      <c r="AB332" t="str">
        <f>IF(NOT($A332),"",
IF(AV332=-2,regle!$J$11,
IF(AV332=regle!$B$12,regle!$B$11,
IF(AV332=regle!$C$12,regle!$C$11,
IF(AV332=regle!$D$12,regle!$D$11,
IF(AV332=regle!$E$12,regle!$E$11,
IF(AV332=regle!$F$12,regle!$F$11,
IF(AV332=regle!$G$12,regle!$G$11,
IF(AV332=regle!$H$12,regle!$H$11,
IF(AV332=regle!$I$12,regle!$I$11,""))))))))))</f>
        <v/>
      </c>
      <c r="AC332" t="str">
        <f>IF(NOT($A332),"",
IF(AW332=-2,regle!$J$11,
IF(AW332=regle!$B$12,regle!$B$11,
IF(AW332=regle!$C$12,regle!$C$11,
IF(AW332=regle!$D$12,regle!$D$11,
IF(AW332=regle!$E$12,regle!$E$11,
IF(AW332=regle!$F$12,regle!$F$11,
IF(AW332=regle!$G$12,regle!$G$11,
IF(AW332=regle!$H$12,regle!$H$11,
IF(AW332=regle!$I$12,regle!$I$11,""))))))))))</f>
        <v/>
      </c>
      <c r="AD332" t="str">
        <f>IF(NOT($A332),"",
IF(AX332=-2,regle!$J$11,
IF(AX332=regle!$B$12,regle!$B$11,
IF(AX332=regle!$C$12,regle!$C$11,
IF(AX332=regle!$D$12,regle!$D$11,
IF(AX332=regle!$E$12,regle!$E$11,
IF(AX332=regle!$F$12,regle!$F$11,
IF(AX332=regle!$G$12,regle!$G$11,
IF(AX332=regle!$H$12,regle!$H$11,
IF(AX332=regle!$I$12,regle!$I$11,""))))))))))</f>
        <v>EC4</v>
      </c>
      <c r="AE332" s="14">
        <f>IF($A332,$M332*(IF(U332=regle!$B$11,regle!$B$23,IF(U332=regle!$C$11,regle!$C$23,IF(U332=regle!$D$11,regle!$D$23,IF(U332=regle!$E$11,regle!$E$23,IF(U332=regle!$F$11,regle!$F$23,IF(U332=regle!$G$11,regle!$G$23,IF(U332=regle!$H$11,regle!$H$23,IF(U332=regle!$I$11,regle!$I$23,IF(U332=regle!$J$11,regle!$J$23,0)))))))))))</f>
        <v>0</v>
      </c>
      <c r="AF332" s="14">
        <f>IF($A332,$M332*(IF(V332=regle!$B$11,regle!$B$23,IF(V332=regle!$C$11,regle!$C$23,IF(V332=regle!$D$11,regle!$D$23,IF(V332=regle!$E$11,regle!$E$23,IF(V332=regle!$F$11,regle!$F$23,IF(V332=regle!$G$11,regle!$G$23,IF(V332=regle!$H$11,regle!$H$23,IF(V332=regle!$I$11,regle!$I$23,IF(V332=regle!$J$11,regle!$J$23,0)))))))))))</f>
        <v>0</v>
      </c>
      <c r="AG332" s="14">
        <f>IF($A332,$M332*(IF(W332=regle!$B$11,regle!$B$23,IF(W332=regle!$C$11,regle!$C$23,IF(W332=regle!$D$11,regle!$D$23,IF(W332=regle!$E$11,regle!$E$23,IF(W332=regle!$F$11,regle!$F$23,IF(W332=regle!$G$11,regle!$G$23,IF(W332=regle!$H$11,regle!$H$23,IF(W332=regle!$I$11,regle!$I$23,IF(W332=regle!$J$11,regle!$J$23,0)))))))))))</f>
        <v>0</v>
      </c>
      <c r="AH332" s="14">
        <f>IF($A332,$M332*(IF(X332=regle!$B$11,regle!$B$23,IF(X332=regle!$C$11,regle!$C$23,IF(X332=regle!$D$11,regle!$D$23,IF(X332=regle!$E$11,regle!$E$23,IF(X332=regle!$F$11,regle!$F$23,IF(X332=regle!$G$11,regle!$G$23,IF(X332=regle!$H$11,regle!$H$23,IF(X332=regle!$I$11,regle!$I$23,IF(X332=regle!$J$11,regle!$J$23,0)))))))))))</f>
        <v>0</v>
      </c>
      <c r="AI332" s="14">
        <f>IF($A332,$M332*(IF(Y332=regle!$B$11,regle!$B$23,IF(Y332=regle!$C$11,regle!$C$23,IF(Y332=regle!$D$11,regle!$D$23,IF(Y332=regle!$E$11,regle!$E$23,IF(Y332=regle!$F$11,regle!$F$23,IF(Y332=regle!$G$11,regle!$G$23,IF(Y332=regle!$H$11,regle!$H$23,IF(Y332=regle!$I$11,regle!$I$23,IF(Y332=regle!$J$11,regle!$J$23,0)))))))))))</f>
        <v>230.48960000000002</v>
      </c>
      <c r="AJ332" s="14">
        <f>IF($A332,$M332*(IF(Z332=regle!$B$11,regle!$B$23,IF(Z332=regle!$C$11,regle!$C$23,IF(Z332=regle!$D$11,regle!$D$23,IF(Z332=regle!$E$11,regle!$E$23,IF(Z332=regle!$F$11,regle!$F$23,IF(Z332=regle!$G$11,regle!$G$23,IF(Z332=regle!$H$11,regle!$H$23,IF(Z332=regle!$I$11,regle!$I$23,IF(Z332=regle!$J$11,regle!$J$23,0)))))))))))</f>
        <v>0</v>
      </c>
      <c r="AK332" s="14">
        <f>IF($A332,$M332*(IF(AA332=regle!$B$11,regle!$B$23,IF(AA332=regle!$C$11,regle!$C$23,IF(AA332=regle!$D$11,regle!$D$23,IF(AA332=regle!$E$11,regle!$E$23,IF(AA332=regle!$F$11,regle!$F$23,IF(AA332=regle!$G$11,regle!$G$23,IF(AA332=regle!$H$11,regle!$H$23,IF(AA332=regle!$I$11,regle!$I$23,IF(AA332=regle!$J$11,regle!$J$23,0)))))))))))</f>
        <v>0</v>
      </c>
      <c r="AL332" s="14">
        <f>IF($A332,$M332*(IF(AB332=regle!$B$11,regle!$B$23,IF(AB332=regle!$C$11,regle!$C$23,IF(AB332=regle!$D$11,regle!$D$23,IF(AB332=regle!$E$11,regle!$E$23,IF(AB332=regle!$F$11,regle!$F$23,IF(AB332=regle!$G$11,regle!$G$23,IF(AB332=regle!$H$11,regle!$H$23,IF(AB332=regle!$I$11,regle!$I$23,IF(AB332=regle!$J$11,regle!$J$23,0)))))))))))</f>
        <v>0</v>
      </c>
      <c r="AM332" s="14">
        <f>IF($A332,$M332*(IF(AC332=regle!$B$11,regle!$B$23,IF(AC332=regle!$C$11,regle!$C$23,IF(AC332=regle!$D$11,regle!$D$23,IF(AC332=regle!$E$11,regle!$E$23,IF(AC332=regle!$F$11,regle!$F$23,IF(AC332=regle!$G$11,regle!$G$23,IF(AC332=regle!$H$11,regle!$H$23,IF(AC332=regle!$I$11,regle!$I$23,IF(AC332=regle!$J$11,regle!$J$23,0)))))))))))</f>
        <v>0</v>
      </c>
      <c r="AN332" s="14">
        <f>IF($A332,$M332*(IF(AD332=regle!$B$11,regle!$B$23,IF(AD332=regle!$C$11,regle!$C$23,IF(AD332=regle!$D$11,regle!$D$23,IF(AD332=regle!$E$11,regle!$E$23,IF(AD332=regle!$F$11,regle!$F$23,IF(AD332=regle!$G$11,regle!$G$23,IF(AD332=regle!$H$11,regle!$H$23,IF(AD332=regle!$I$11,regle!$I$23,IF(AD332=regle!$J$11,regle!$J$23,0)))))))))))</f>
        <v>209.536</v>
      </c>
      <c r="AO332">
        <f>IF(AO$1=$AO$1,IF(regle!B$2-$Q332&gt;=regle!$J$12,-2,IF($S332,IF(regle!$B$2-$Q332&gt;=2,0,-1),regle!B$2-$Q332)),IF(AN332+1&gt;=regle!$J$12,-2,AN332+1))</f>
        <v>19</v>
      </c>
      <c r="AP332">
        <f>IF(AP$1=$AO$1,IF(regle!C$2-$Q332&gt;=regle!$J$12,-2,IF($S332,IF(regle!$B$2-$Q332&gt;=2,0,-1),regle!C$2-$Q332)),IF(AO332+1&gt;=regle!$J$12,-2,AO332+1))</f>
        <v>20</v>
      </c>
      <c r="AQ332">
        <f>IF(AQ$1=$AO$1,IF(regle!D$2-$Q332&gt;=regle!$J$12,-2,IF($S332,IF(regle!$B$2-$Q332&gt;=2,0,-1),regle!D$2-$Q332)),IF(AP332+1&gt;=regle!$J$12,-2,AP332+1))</f>
        <v>21</v>
      </c>
      <c r="AR332">
        <f>IF(AR$1=$AO$1,IF(regle!E$2-$Q332&gt;=regle!$J$12,-2,IF($S332,IF(regle!$B$2-$Q332&gt;=2,0,-1),regle!E$2-$Q332)),IF(AQ332+1&gt;=regle!$J$12,-2,AQ332+1))</f>
        <v>22</v>
      </c>
      <c r="AS332">
        <f>IF(AS$1=$AO$1,IF(regle!F$2-$Q332&gt;=regle!$J$12,-2,IF($S332,IF(regle!$B$2-$Q332&gt;=2,0,-1),regle!F$2-$Q332)),IF(AR332+1&gt;=regle!$J$12,-2,AR332+1))</f>
        <v>23</v>
      </c>
      <c r="AT332">
        <f>IF(AT$1=$AO$1,IF(regle!G$2-$Q332&gt;=regle!$J$12,-2,IF($S332,IF(regle!$B$2-$Q332&gt;=2,0,-1),regle!G$2-$Q332)),IF(AS332+1&gt;=regle!$J$12,-2,AS332+1))</f>
        <v>24</v>
      </c>
      <c r="AU332">
        <f>IF(AU$1=$AO$1,IF(regle!H$2-$Q332&gt;=regle!$J$12,-2,IF($S332,IF(regle!$B$2-$Q332&gt;=2,0,-1),regle!H$2-$Q332)),IF(AT332+1&gt;=regle!$J$12,-2,AT332+1))</f>
        <v>25</v>
      </c>
      <c r="AV332">
        <f>IF(AV$1=$AO$1,IF(regle!I$2-$Q332&gt;=regle!$J$12,-2,IF($S332,IF(regle!$B$2-$Q332&gt;=2,0,-1),regle!I$2-$Q332)),IF(AU332+1&gt;=regle!$J$12,-2,AU332+1))</f>
        <v>26</v>
      </c>
      <c r="AW332">
        <f>IF(AW$1=$AO$1,IF(regle!J$2-$Q332&gt;=regle!$J$12,-2,IF($S332,IF(regle!$B$2-$Q332&gt;=2,0,-1),regle!J$2-$Q332)),IF(AV332+1&gt;=regle!$J$12,-2,AV332+1))</f>
        <v>27</v>
      </c>
      <c r="AX332">
        <f>IF(AX$1=$AO$1,IF(regle!K$2-$Q332&gt;=regle!$J$12,-2,IF($S332,IF(regle!$B$2-$Q332&gt;=2,0,-1),regle!K$2-$Q332)),IF(AW332+1&gt;=regle!$J$12,-2,AW332+1))</f>
        <v>28</v>
      </c>
    </row>
    <row r="333" spans="1:50" x14ac:dyDescent="0.25">
      <c r="A333" t="b">
        <f>AND(modif0[[#This Row],[cdstr]]&lt;&gt;0,OR(regle!$H$27=FALSE,modif0[[#This Row],[essnc]]="PM"))</f>
        <v>1</v>
      </c>
      <c r="B333">
        <f>ROW(objet!A383)</f>
        <v>383</v>
      </c>
      <c r="C333" s="10" t="str">
        <f>objet!D383</f>
        <v>0770000D2299</v>
      </c>
      <c r="D333" t="str">
        <f>LEFT(modif0[[#This Row],[cdstr]],3)</f>
        <v>077</v>
      </c>
      <c r="E333" s="10" t="str">
        <f>objet!G383</f>
        <v>CABANAC-ET-VILLAGRAINS</v>
      </c>
      <c r="F333">
        <f>LEN(modif0[[#This Row],[l_dt]])</f>
        <v>12</v>
      </c>
      <c r="G333" s="10" t="str">
        <f>objet!H383</f>
        <v>LES JEANNOTS</v>
      </c>
      <c r="H333" s="10" t="str">
        <f>objet!C383</f>
        <v>D2299</v>
      </c>
      <c r="I333" t="str">
        <f>IF(ISNUMBER(VALUE(RIGHT(LEFT(modif0[[#This Row],[idntfn]],2),1))),_xlfn.CONCAT(0,LEFT(modif0[[#This Row],[idntfn]],1)),LEFT(modif0[[#This Row],[idntfn]],2))</f>
        <v>0D</v>
      </c>
      <c r="J333">
        <f>VALUE(LEFT(RIGHT(modif0[[#This Row],[idntfn]],LEN(modif0[[#This Row],[idntfn]])-IF(LEFT(modif0[[#This Row],[sctn]],1)="0",1,2)),LEN(modif0[[#This Row],[idntfn]])-IF(LEFT(modif0[[#This Row],[sctn]],1)="0",1,2)-LEN(modif0[[#This Row],[lttr]])))</f>
        <v>2299</v>
      </c>
      <c r="K333" t="str">
        <f>IF(ISNUMBER(VALUE(RIGHT(modif0[[#This Row],[idntfn]],1))),"",IF(ISNUMBER(VALUE(LEFT(RIGHT(modif0[[#This Row],[idntfn]],2),1))),RIGHT(modif0[[#This Row],[idntfn]],1),RIGHT(modif0[[#This Row],[idntfn]],2)))</f>
        <v/>
      </c>
      <c r="L333" s="10">
        <f>objet!I383</f>
        <v>11830</v>
      </c>
      <c r="M333" s="11">
        <f>modif0[[#This Row],[srfc]]/10000</f>
        <v>1.1830000000000001</v>
      </c>
      <c r="N333" s="10" t="str">
        <f>objet!Z383</f>
        <v>PM</v>
      </c>
      <c r="O333" s="10" t="str">
        <f>objet!AA383</f>
        <v>PLA2005</v>
      </c>
      <c r="P333" t="str">
        <f>IF(ISNUMBER(modif0[[#This Row],[trvx]]),"",LEFT(modif0[[#This Row],[trvx]],LEN(modif0[[#This Row],[trvx]])-4))</f>
        <v>PLA</v>
      </c>
      <c r="Q333">
        <f>VALUE(RIGHT(modif0[[#This Row],[trvx]],4))</f>
        <v>2005</v>
      </c>
      <c r="R333" t="str">
        <f>_xlfn.CONCAT(modif0[[#This Row],[tp]],"-",modif0[[#This Row],[essnc]],"_",modif0[[#This Row],[anns]])</f>
        <v>PLA-PM_2005</v>
      </c>
      <c r="S333" t="b">
        <f>modif0[[#This Row],[tp]]="CR"</f>
        <v>0</v>
      </c>
      <c r="T333">
        <v>40</v>
      </c>
      <c r="U333" t="str">
        <f>IF(NOT($A333),"",
IF(AO333=-2,regle!$J$11,
IF(AO333=regle!$B$12,regle!$B$11,
IF(AO333=regle!$C$12,regle!$C$11,
IF(AO333=regle!$D$12,regle!$D$11,
IF(AO333=regle!$E$12,regle!$E$11,
IF(AO333=regle!$F$12,regle!$F$11,
IF(AO333=regle!$G$12,regle!$G$11,
IF(AO333=regle!$H$12,regle!$H$11,
IF(AO333=regle!$I$12,regle!$I$11,""))))))))))</f>
        <v/>
      </c>
      <c r="V333" t="str">
        <f>IF(NOT($A333),"",
IF(AP333=-2,regle!$J$11,
IF(AP333=regle!$B$12,regle!$B$11,
IF(AP333=regle!$C$12,regle!$C$11,
IF(AP333=regle!$D$12,regle!$D$11,
IF(AP333=regle!$E$12,regle!$E$11,
IF(AP333=regle!$F$12,regle!$F$11,
IF(AP333=regle!$G$12,regle!$G$11,
IF(AP333=regle!$H$12,regle!$H$11,
IF(AP333=regle!$I$12,regle!$I$11,""))))))))))</f>
        <v/>
      </c>
      <c r="W333" t="str">
        <f>IF(NOT($A333),"",
IF(AQ333=-2,regle!$J$11,
IF(AQ333=regle!$B$12,regle!$B$11,
IF(AQ333=regle!$C$12,regle!$C$11,
IF(AQ333=regle!$D$12,regle!$D$11,
IF(AQ333=regle!$E$12,regle!$E$11,
IF(AQ333=regle!$F$12,regle!$F$11,
IF(AQ333=regle!$G$12,regle!$G$11,
IF(AQ333=regle!$H$12,regle!$H$11,
IF(AQ333=regle!$I$12,regle!$I$11,""))))))))))</f>
        <v/>
      </c>
      <c r="X333" t="str">
        <f>IF(NOT($A333),"",
IF(AR333=-2,regle!$J$11,
IF(AR333=regle!$B$12,regle!$B$11,
IF(AR333=regle!$C$12,regle!$C$11,
IF(AR333=regle!$D$12,regle!$D$11,
IF(AR333=regle!$E$12,regle!$E$11,
IF(AR333=regle!$F$12,regle!$F$11,
IF(AR333=regle!$G$12,regle!$G$11,
IF(AR333=regle!$H$12,regle!$H$11,
IF(AR333=regle!$I$12,regle!$I$11,""))))))))))</f>
        <v/>
      </c>
      <c r="Y333" t="str">
        <f>IF(NOT($A333),"",
IF(AS333=-2,regle!$J$11,
IF(AS333=regle!$B$12,regle!$B$11,
IF(AS333=regle!$C$12,regle!$C$11,
IF(AS333=regle!$D$12,regle!$D$11,
IF(AS333=regle!$E$12,regle!$E$11,
IF(AS333=regle!$F$12,regle!$F$11,
IF(AS333=regle!$G$12,regle!$G$11,
IF(AS333=regle!$H$12,regle!$H$11,
IF(AS333=regle!$I$12,regle!$I$11,""))))))))))</f>
        <v>EC3</v>
      </c>
      <c r="Z333" t="str">
        <f>IF(NOT($A333),"",
IF(AT333=-2,regle!$J$11,
IF(AT333=regle!$B$12,regle!$B$11,
IF(AT333=regle!$C$12,regle!$C$11,
IF(AT333=regle!$D$12,regle!$D$11,
IF(AT333=regle!$E$12,regle!$E$11,
IF(AT333=regle!$F$12,regle!$F$11,
IF(AT333=regle!$G$12,regle!$G$11,
IF(AT333=regle!$H$12,regle!$H$11,
IF(AT333=regle!$I$12,regle!$I$11,""))))))))))</f>
        <v/>
      </c>
      <c r="AA333" t="str">
        <f>IF(NOT($A333),"",
IF(AU333=-2,regle!$J$11,
IF(AU333=regle!$B$12,regle!$B$11,
IF(AU333=regle!$C$12,regle!$C$11,
IF(AU333=regle!$D$12,regle!$D$11,
IF(AU333=regle!$E$12,regle!$E$11,
IF(AU333=regle!$F$12,regle!$F$11,
IF(AU333=regle!$G$12,regle!$G$11,
IF(AU333=regle!$H$12,regle!$H$11,
IF(AU333=regle!$I$12,regle!$I$11,""))))))))))</f>
        <v/>
      </c>
      <c r="AB333" t="str">
        <f>IF(NOT($A333),"",
IF(AV333=-2,regle!$J$11,
IF(AV333=regle!$B$12,regle!$B$11,
IF(AV333=regle!$C$12,regle!$C$11,
IF(AV333=regle!$D$12,regle!$D$11,
IF(AV333=regle!$E$12,regle!$E$11,
IF(AV333=regle!$F$12,regle!$F$11,
IF(AV333=regle!$G$12,regle!$G$11,
IF(AV333=regle!$H$12,regle!$H$11,
IF(AV333=regle!$I$12,regle!$I$11,""))))))))))</f>
        <v/>
      </c>
      <c r="AC333" t="str">
        <f>IF(NOT($A333),"",
IF(AW333=-2,regle!$J$11,
IF(AW333=regle!$B$12,regle!$B$11,
IF(AW333=regle!$C$12,regle!$C$11,
IF(AW333=regle!$D$12,regle!$D$11,
IF(AW333=regle!$E$12,regle!$E$11,
IF(AW333=regle!$F$12,regle!$F$11,
IF(AW333=regle!$G$12,regle!$G$11,
IF(AW333=regle!$H$12,regle!$H$11,
IF(AW333=regle!$I$12,regle!$I$11,""))))))))))</f>
        <v/>
      </c>
      <c r="AD333" t="str">
        <f>IF(NOT($A333),"",
IF(AX333=-2,regle!$J$11,
IF(AX333=regle!$B$12,regle!$B$11,
IF(AX333=regle!$C$12,regle!$C$11,
IF(AX333=regle!$D$12,regle!$D$11,
IF(AX333=regle!$E$12,regle!$E$11,
IF(AX333=regle!$F$12,regle!$F$11,
IF(AX333=regle!$G$12,regle!$G$11,
IF(AX333=regle!$H$12,regle!$H$11,
IF(AX333=regle!$I$12,regle!$I$11,""))))))))))</f>
        <v>EC4</v>
      </c>
      <c r="AE333" s="14">
        <f>IF($A333,$M333*(IF(U333=regle!$B$11,regle!$B$23,IF(U333=regle!$C$11,regle!$C$23,IF(U333=regle!$D$11,regle!$D$23,IF(U333=regle!$E$11,regle!$E$23,IF(U333=regle!$F$11,regle!$F$23,IF(U333=regle!$G$11,regle!$G$23,IF(U333=regle!$H$11,regle!$H$23,IF(U333=regle!$I$11,regle!$I$23,IF(U333=regle!$J$11,regle!$J$23,0)))))))))))</f>
        <v>0</v>
      </c>
      <c r="AF333" s="14">
        <f>IF($A333,$M333*(IF(V333=regle!$B$11,regle!$B$23,IF(V333=regle!$C$11,regle!$C$23,IF(V333=regle!$D$11,regle!$D$23,IF(V333=regle!$E$11,regle!$E$23,IF(V333=regle!$F$11,regle!$F$23,IF(V333=regle!$G$11,regle!$G$23,IF(V333=regle!$H$11,regle!$H$23,IF(V333=regle!$I$11,regle!$I$23,IF(V333=regle!$J$11,regle!$J$23,0)))))))))))</f>
        <v>0</v>
      </c>
      <c r="AG333" s="14">
        <f>IF($A333,$M333*(IF(W333=regle!$B$11,regle!$B$23,IF(W333=regle!$C$11,regle!$C$23,IF(W333=regle!$D$11,regle!$D$23,IF(W333=regle!$E$11,regle!$E$23,IF(W333=regle!$F$11,regle!$F$23,IF(W333=regle!$G$11,regle!$G$23,IF(W333=regle!$H$11,regle!$H$23,IF(W333=regle!$I$11,regle!$I$23,IF(W333=regle!$J$11,regle!$J$23,0)))))))))))</f>
        <v>0</v>
      </c>
      <c r="AH333" s="14">
        <f>IF($A333,$M333*(IF(X333=regle!$B$11,regle!$B$23,IF(X333=regle!$C$11,regle!$C$23,IF(X333=regle!$D$11,regle!$D$23,IF(X333=regle!$E$11,regle!$E$23,IF(X333=regle!$F$11,regle!$F$23,IF(X333=regle!$G$11,regle!$G$23,IF(X333=regle!$H$11,regle!$H$23,IF(X333=regle!$I$11,regle!$I$23,IF(X333=regle!$J$11,regle!$J$23,0)))))))))))</f>
        <v>0</v>
      </c>
      <c r="AI333" s="14">
        <f>IF($A333,$M333*(IF(Y333=regle!$B$11,regle!$B$23,IF(Y333=regle!$C$11,regle!$C$23,IF(Y333=regle!$D$11,regle!$D$23,IF(Y333=regle!$E$11,regle!$E$23,IF(Y333=regle!$F$11,regle!$F$23,IF(Y333=regle!$G$11,regle!$G$23,IF(Y333=regle!$H$11,regle!$H$23,IF(Y333=regle!$I$11,regle!$I$23,IF(Y333=regle!$J$11,regle!$J$23,0)))))))))))</f>
        <v>1665.664</v>
      </c>
      <c r="AJ333" s="14">
        <f>IF($A333,$M333*(IF(Z333=regle!$B$11,regle!$B$23,IF(Z333=regle!$C$11,regle!$C$23,IF(Z333=regle!$D$11,regle!$D$23,IF(Z333=regle!$E$11,regle!$E$23,IF(Z333=regle!$F$11,regle!$F$23,IF(Z333=regle!$G$11,regle!$G$23,IF(Z333=regle!$H$11,regle!$H$23,IF(Z333=regle!$I$11,regle!$I$23,IF(Z333=regle!$J$11,regle!$J$23,0)))))))))))</f>
        <v>0</v>
      </c>
      <c r="AK333" s="14">
        <f>IF($A333,$M333*(IF(AA333=regle!$B$11,regle!$B$23,IF(AA333=regle!$C$11,regle!$C$23,IF(AA333=regle!$D$11,regle!$D$23,IF(AA333=regle!$E$11,regle!$E$23,IF(AA333=regle!$F$11,regle!$F$23,IF(AA333=regle!$G$11,regle!$G$23,IF(AA333=regle!$H$11,regle!$H$23,IF(AA333=regle!$I$11,regle!$I$23,IF(AA333=regle!$J$11,regle!$J$23,0)))))))))))</f>
        <v>0</v>
      </c>
      <c r="AL333" s="14">
        <f>IF($A333,$M333*(IF(AB333=regle!$B$11,regle!$B$23,IF(AB333=regle!$C$11,regle!$C$23,IF(AB333=regle!$D$11,regle!$D$23,IF(AB333=regle!$E$11,regle!$E$23,IF(AB333=regle!$F$11,regle!$F$23,IF(AB333=regle!$G$11,regle!$G$23,IF(AB333=regle!$H$11,regle!$H$23,IF(AB333=regle!$I$11,regle!$I$23,IF(AB333=regle!$J$11,regle!$J$23,0)))))))))))</f>
        <v>0</v>
      </c>
      <c r="AM333" s="14">
        <f>IF($A333,$M333*(IF(AC333=regle!$B$11,regle!$B$23,IF(AC333=regle!$C$11,regle!$C$23,IF(AC333=regle!$D$11,regle!$D$23,IF(AC333=regle!$E$11,regle!$E$23,IF(AC333=regle!$F$11,regle!$F$23,IF(AC333=regle!$G$11,regle!$G$23,IF(AC333=regle!$H$11,regle!$H$23,IF(AC333=regle!$I$11,regle!$I$23,IF(AC333=regle!$J$11,regle!$J$23,0)))))))))))</f>
        <v>0</v>
      </c>
      <c r="AN333" s="14">
        <f>IF($A333,$M333*(IF(AD333=regle!$B$11,regle!$B$23,IF(AD333=regle!$C$11,regle!$C$23,IF(AD333=regle!$D$11,regle!$D$23,IF(AD333=regle!$E$11,regle!$E$23,IF(AD333=regle!$F$11,regle!$F$23,IF(AD333=regle!$G$11,regle!$G$23,IF(AD333=regle!$H$11,regle!$H$23,IF(AD333=regle!$I$11,regle!$I$23,IF(AD333=regle!$J$11,regle!$J$23,0)))))))))))</f>
        <v>1514.24</v>
      </c>
      <c r="AO333">
        <f>IF(AO$1=$AO$1,IF(regle!B$2-$Q333&gt;=regle!$J$12,-2,IF($S333,IF(regle!$B$2-$Q333&gt;=2,0,-1),regle!B$2-$Q333)),IF(AN333+1&gt;=regle!$J$12,-2,AN333+1))</f>
        <v>19</v>
      </c>
      <c r="AP333">
        <f>IF(AP$1=$AO$1,IF(regle!C$2-$Q333&gt;=regle!$J$12,-2,IF($S333,IF(regle!$B$2-$Q333&gt;=2,0,-1),regle!C$2-$Q333)),IF(AO333+1&gt;=regle!$J$12,-2,AO333+1))</f>
        <v>20</v>
      </c>
      <c r="AQ333">
        <f>IF(AQ$1=$AO$1,IF(regle!D$2-$Q333&gt;=regle!$J$12,-2,IF($S333,IF(regle!$B$2-$Q333&gt;=2,0,-1),regle!D$2-$Q333)),IF(AP333+1&gt;=regle!$J$12,-2,AP333+1))</f>
        <v>21</v>
      </c>
      <c r="AR333">
        <f>IF(AR$1=$AO$1,IF(regle!E$2-$Q333&gt;=regle!$J$12,-2,IF($S333,IF(regle!$B$2-$Q333&gt;=2,0,-1),regle!E$2-$Q333)),IF(AQ333+1&gt;=regle!$J$12,-2,AQ333+1))</f>
        <v>22</v>
      </c>
      <c r="AS333">
        <f>IF(AS$1=$AO$1,IF(regle!F$2-$Q333&gt;=regle!$J$12,-2,IF($S333,IF(regle!$B$2-$Q333&gt;=2,0,-1),regle!F$2-$Q333)),IF(AR333+1&gt;=regle!$J$12,-2,AR333+1))</f>
        <v>23</v>
      </c>
      <c r="AT333">
        <f>IF(AT$1=$AO$1,IF(regle!G$2-$Q333&gt;=regle!$J$12,-2,IF($S333,IF(regle!$B$2-$Q333&gt;=2,0,-1),regle!G$2-$Q333)),IF(AS333+1&gt;=regle!$J$12,-2,AS333+1))</f>
        <v>24</v>
      </c>
      <c r="AU333">
        <f>IF(AU$1=$AO$1,IF(regle!H$2-$Q333&gt;=regle!$J$12,-2,IF($S333,IF(regle!$B$2-$Q333&gt;=2,0,-1),regle!H$2-$Q333)),IF(AT333+1&gt;=regle!$J$12,-2,AT333+1))</f>
        <v>25</v>
      </c>
      <c r="AV333">
        <f>IF(AV$1=$AO$1,IF(regle!I$2-$Q333&gt;=regle!$J$12,-2,IF($S333,IF(regle!$B$2-$Q333&gt;=2,0,-1),regle!I$2-$Q333)),IF(AU333+1&gt;=regle!$J$12,-2,AU333+1))</f>
        <v>26</v>
      </c>
      <c r="AW333">
        <f>IF(AW$1=$AO$1,IF(regle!J$2-$Q333&gt;=regle!$J$12,-2,IF($S333,IF(regle!$B$2-$Q333&gt;=2,0,-1),regle!J$2-$Q333)),IF(AV333+1&gt;=regle!$J$12,-2,AV333+1))</f>
        <v>27</v>
      </c>
      <c r="AX333">
        <f>IF(AX$1=$AO$1,IF(regle!K$2-$Q333&gt;=regle!$J$12,-2,IF($S333,IF(regle!$B$2-$Q333&gt;=2,0,-1),regle!K$2-$Q333)),IF(AW333+1&gt;=regle!$J$12,-2,AW333+1))</f>
        <v>28</v>
      </c>
    </row>
    <row r="334" spans="1:50" x14ac:dyDescent="0.25">
      <c r="A334" t="b">
        <f>AND(modif0[[#This Row],[cdstr]]&lt;&gt;0,OR(regle!$H$27=FALSE,modif0[[#This Row],[essnc]]="PM"))</f>
        <v>1</v>
      </c>
      <c r="B334">
        <f>ROW(objet!A384)</f>
        <v>384</v>
      </c>
      <c r="C334" s="10" t="str">
        <f>objet!D384</f>
        <v>0770000D2303</v>
      </c>
      <c r="D334" t="str">
        <f>LEFT(modif0[[#This Row],[cdstr]],3)</f>
        <v>077</v>
      </c>
      <c r="E334" s="10" t="str">
        <f>objet!G384</f>
        <v>CABANAC-ET-VILLAGRAINS</v>
      </c>
      <c r="F334">
        <f>LEN(modif0[[#This Row],[l_dt]])</f>
        <v>12</v>
      </c>
      <c r="G334" s="10" t="str">
        <f>objet!H384</f>
        <v>LES JEANNOTS</v>
      </c>
      <c r="H334" s="10" t="str">
        <f>objet!C384</f>
        <v>D2303</v>
      </c>
      <c r="I334" t="str">
        <f>IF(ISNUMBER(VALUE(RIGHT(LEFT(modif0[[#This Row],[idntfn]],2),1))),_xlfn.CONCAT(0,LEFT(modif0[[#This Row],[idntfn]],1)),LEFT(modif0[[#This Row],[idntfn]],2))</f>
        <v>0D</v>
      </c>
      <c r="J334">
        <f>VALUE(LEFT(RIGHT(modif0[[#This Row],[idntfn]],LEN(modif0[[#This Row],[idntfn]])-IF(LEFT(modif0[[#This Row],[sctn]],1)="0",1,2)),LEN(modif0[[#This Row],[idntfn]])-IF(LEFT(modif0[[#This Row],[sctn]],1)="0",1,2)-LEN(modif0[[#This Row],[lttr]])))</f>
        <v>2303</v>
      </c>
      <c r="K334" t="str">
        <f>IF(ISNUMBER(VALUE(RIGHT(modif0[[#This Row],[idntfn]],1))),"",IF(ISNUMBER(VALUE(LEFT(RIGHT(modif0[[#This Row],[idntfn]],2),1))),RIGHT(modif0[[#This Row],[idntfn]],1),RIGHT(modif0[[#This Row],[idntfn]],2)))</f>
        <v/>
      </c>
      <c r="L334" s="10">
        <f>objet!I384</f>
        <v>3754</v>
      </c>
      <c r="M334" s="11">
        <f>modif0[[#This Row],[srfc]]/10000</f>
        <v>0.37540000000000001</v>
      </c>
      <c r="N334" s="10" t="str">
        <f>objet!Z384</f>
        <v>PM</v>
      </c>
      <c r="O334" s="10" t="str">
        <f>objet!AA384</f>
        <v>PLA2005</v>
      </c>
      <c r="P334" t="str">
        <f>IF(ISNUMBER(modif0[[#This Row],[trvx]]),"",LEFT(modif0[[#This Row],[trvx]],LEN(modif0[[#This Row],[trvx]])-4))</f>
        <v>PLA</v>
      </c>
      <c r="Q334">
        <f>VALUE(RIGHT(modif0[[#This Row],[trvx]],4))</f>
        <v>2005</v>
      </c>
      <c r="R334" t="str">
        <f>_xlfn.CONCAT(modif0[[#This Row],[tp]],"-",modif0[[#This Row],[essnc]],"_",modif0[[#This Row],[anns]])</f>
        <v>PLA-PM_2005</v>
      </c>
      <c r="S334" t="b">
        <f>modif0[[#This Row],[tp]]="CR"</f>
        <v>0</v>
      </c>
      <c r="T334">
        <v>40</v>
      </c>
      <c r="U334" t="str">
        <f>IF(NOT($A334),"",
IF(AO334=-2,regle!$J$11,
IF(AO334=regle!$B$12,regle!$B$11,
IF(AO334=regle!$C$12,regle!$C$11,
IF(AO334=regle!$D$12,regle!$D$11,
IF(AO334=regle!$E$12,regle!$E$11,
IF(AO334=regle!$F$12,regle!$F$11,
IF(AO334=regle!$G$12,regle!$G$11,
IF(AO334=regle!$H$12,regle!$H$11,
IF(AO334=regle!$I$12,regle!$I$11,""))))))))))</f>
        <v/>
      </c>
      <c r="V334" t="str">
        <f>IF(NOT($A334),"",
IF(AP334=-2,regle!$J$11,
IF(AP334=regle!$B$12,regle!$B$11,
IF(AP334=regle!$C$12,regle!$C$11,
IF(AP334=regle!$D$12,regle!$D$11,
IF(AP334=regle!$E$12,regle!$E$11,
IF(AP334=regle!$F$12,regle!$F$11,
IF(AP334=regle!$G$12,regle!$G$11,
IF(AP334=regle!$H$12,regle!$H$11,
IF(AP334=regle!$I$12,regle!$I$11,""))))))))))</f>
        <v/>
      </c>
      <c r="W334" t="str">
        <f>IF(NOT($A334),"",
IF(AQ334=-2,regle!$J$11,
IF(AQ334=regle!$B$12,regle!$B$11,
IF(AQ334=regle!$C$12,regle!$C$11,
IF(AQ334=regle!$D$12,regle!$D$11,
IF(AQ334=regle!$E$12,regle!$E$11,
IF(AQ334=regle!$F$12,regle!$F$11,
IF(AQ334=regle!$G$12,regle!$G$11,
IF(AQ334=regle!$H$12,regle!$H$11,
IF(AQ334=regle!$I$12,regle!$I$11,""))))))))))</f>
        <v/>
      </c>
      <c r="X334" t="str">
        <f>IF(NOT($A334),"",
IF(AR334=-2,regle!$J$11,
IF(AR334=regle!$B$12,regle!$B$11,
IF(AR334=regle!$C$12,regle!$C$11,
IF(AR334=regle!$D$12,regle!$D$11,
IF(AR334=regle!$E$12,regle!$E$11,
IF(AR334=regle!$F$12,regle!$F$11,
IF(AR334=regle!$G$12,regle!$G$11,
IF(AR334=regle!$H$12,regle!$H$11,
IF(AR334=regle!$I$12,regle!$I$11,""))))))))))</f>
        <v/>
      </c>
      <c r="Y334" t="str">
        <f>IF(NOT($A334),"",
IF(AS334=-2,regle!$J$11,
IF(AS334=regle!$B$12,regle!$B$11,
IF(AS334=regle!$C$12,regle!$C$11,
IF(AS334=regle!$D$12,regle!$D$11,
IF(AS334=regle!$E$12,regle!$E$11,
IF(AS334=regle!$F$12,regle!$F$11,
IF(AS334=regle!$G$12,regle!$G$11,
IF(AS334=regle!$H$12,regle!$H$11,
IF(AS334=regle!$I$12,regle!$I$11,""))))))))))</f>
        <v>EC3</v>
      </c>
      <c r="Z334" t="str">
        <f>IF(NOT($A334),"",
IF(AT334=-2,regle!$J$11,
IF(AT334=regle!$B$12,regle!$B$11,
IF(AT334=regle!$C$12,regle!$C$11,
IF(AT334=regle!$D$12,regle!$D$11,
IF(AT334=regle!$E$12,regle!$E$11,
IF(AT334=regle!$F$12,regle!$F$11,
IF(AT334=regle!$G$12,regle!$G$11,
IF(AT334=regle!$H$12,regle!$H$11,
IF(AT334=regle!$I$12,regle!$I$11,""))))))))))</f>
        <v/>
      </c>
      <c r="AA334" t="str">
        <f>IF(NOT($A334),"",
IF(AU334=-2,regle!$J$11,
IF(AU334=regle!$B$12,regle!$B$11,
IF(AU334=regle!$C$12,regle!$C$11,
IF(AU334=regle!$D$12,regle!$D$11,
IF(AU334=regle!$E$12,regle!$E$11,
IF(AU334=regle!$F$12,regle!$F$11,
IF(AU334=regle!$G$12,regle!$G$11,
IF(AU334=regle!$H$12,regle!$H$11,
IF(AU334=regle!$I$12,regle!$I$11,""))))))))))</f>
        <v/>
      </c>
      <c r="AB334" t="str">
        <f>IF(NOT($A334),"",
IF(AV334=-2,regle!$J$11,
IF(AV334=regle!$B$12,regle!$B$11,
IF(AV334=regle!$C$12,regle!$C$11,
IF(AV334=regle!$D$12,regle!$D$11,
IF(AV334=regle!$E$12,regle!$E$11,
IF(AV334=regle!$F$12,regle!$F$11,
IF(AV334=regle!$G$12,regle!$G$11,
IF(AV334=regle!$H$12,regle!$H$11,
IF(AV334=regle!$I$12,regle!$I$11,""))))))))))</f>
        <v/>
      </c>
      <c r="AC334" t="str">
        <f>IF(NOT($A334),"",
IF(AW334=-2,regle!$J$11,
IF(AW334=regle!$B$12,regle!$B$11,
IF(AW334=regle!$C$12,regle!$C$11,
IF(AW334=regle!$D$12,regle!$D$11,
IF(AW334=regle!$E$12,regle!$E$11,
IF(AW334=regle!$F$12,regle!$F$11,
IF(AW334=regle!$G$12,regle!$G$11,
IF(AW334=regle!$H$12,regle!$H$11,
IF(AW334=regle!$I$12,regle!$I$11,""))))))))))</f>
        <v/>
      </c>
      <c r="AD334" t="str">
        <f>IF(NOT($A334),"",
IF(AX334=-2,regle!$J$11,
IF(AX334=regle!$B$12,regle!$B$11,
IF(AX334=regle!$C$12,regle!$C$11,
IF(AX334=regle!$D$12,regle!$D$11,
IF(AX334=regle!$E$12,regle!$E$11,
IF(AX334=regle!$F$12,regle!$F$11,
IF(AX334=regle!$G$12,regle!$G$11,
IF(AX334=regle!$H$12,regle!$H$11,
IF(AX334=regle!$I$12,regle!$I$11,""))))))))))</f>
        <v>EC4</v>
      </c>
      <c r="AE334" s="14">
        <f>IF($A334,$M334*(IF(U334=regle!$B$11,regle!$B$23,IF(U334=regle!$C$11,regle!$C$23,IF(U334=regle!$D$11,regle!$D$23,IF(U334=regle!$E$11,regle!$E$23,IF(U334=regle!$F$11,regle!$F$23,IF(U334=regle!$G$11,regle!$G$23,IF(U334=regle!$H$11,regle!$H$23,IF(U334=regle!$I$11,regle!$I$23,IF(U334=regle!$J$11,regle!$J$23,0)))))))))))</f>
        <v>0</v>
      </c>
      <c r="AF334" s="14">
        <f>IF($A334,$M334*(IF(V334=regle!$B$11,regle!$B$23,IF(V334=regle!$C$11,regle!$C$23,IF(V334=regle!$D$11,regle!$D$23,IF(V334=regle!$E$11,regle!$E$23,IF(V334=regle!$F$11,regle!$F$23,IF(V334=regle!$G$11,regle!$G$23,IF(V334=regle!$H$11,regle!$H$23,IF(V334=regle!$I$11,regle!$I$23,IF(V334=regle!$J$11,regle!$J$23,0)))))))))))</f>
        <v>0</v>
      </c>
      <c r="AG334" s="14">
        <f>IF($A334,$M334*(IF(W334=regle!$B$11,regle!$B$23,IF(W334=regle!$C$11,regle!$C$23,IF(W334=regle!$D$11,regle!$D$23,IF(W334=regle!$E$11,regle!$E$23,IF(W334=regle!$F$11,regle!$F$23,IF(W334=regle!$G$11,regle!$G$23,IF(W334=regle!$H$11,regle!$H$23,IF(W334=regle!$I$11,regle!$I$23,IF(W334=regle!$J$11,regle!$J$23,0)))))))))))</f>
        <v>0</v>
      </c>
      <c r="AH334" s="14">
        <f>IF($A334,$M334*(IF(X334=regle!$B$11,regle!$B$23,IF(X334=regle!$C$11,regle!$C$23,IF(X334=regle!$D$11,regle!$D$23,IF(X334=regle!$E$11,regle!$E$23,IF(X334=regle!$F$11,regle!$F$23,IF(X334=regle!$G$11,regle!$G$23,IF(X334=regle!$H$11,regle!$H$23,IF(X334=regle!$I$11,regle!$I$23,IF(X334=regle!$J$11,regle!$J$23,0)))))))))))</f>
        <v>0</v>
      </c>
      <c r="AI334" s="14">
        <f>IF($A334,$M334*(IF(Y334=regle!$B$11,regle!$B$23,IF(Y334=regle!$C$11,regle!$C$23,IF(Y334=regle!$D$11,regle!$D$23,IF(Y334=regle!$E$11,regle!$E$23,IF(Y334=regle!$F$11,regle!$F$23,IF(Y334=regle!$G$11,regle!$G$23,IF(Y334=regle!$H$11,regle!$H$23,IF(Y334=regle!$I$11,regle!$I$23,IF(Y334=regle!$J$11,regle!$J$23,0)))))))))))</f>
        <v>528.56320000000005</v>
      </c>
      <c r="AJ334" s="14">
        <f>IF($A334,$M334*(IF(Z334=regle!$B$11,regle!$B$23,IF(Z334=regle!$C$11,regle!$C$23,IF(Z334=regle!$D$11,regle!$D$23,IF(Z334=regle!$E$11,regle!$E$23,IF(Z334=regle!$F$11,regle!$F$23,IF(Z334=regle!$G$11,regle!$G$23,IF(Z334=regle!$H$11,regle!$H$23,IF(Z334=regle!$I$11,regle!$I$23,IF(Z334=regle!$J$11,regle!$J$23,0)))))))))))</f>
        <v>0</v>
      </c>
      <c r="AK334" s="14">
        <f>IF($A334,$M334*(IF(AA334=regle!$B$11,regle!$B$23,IF(AA334=regle!$C$11,regle!$C$23,IF(AA334=regle!$D$11,regle!$D$23,IF(AA334=regle!$E$11,regle!$E$23,IF(AA334=regle!$F$11,regle!$F$23,IF(AA334=regle!$G$11,regle!$G$23,IF(AA334=regle!$H$11,regle!$H$23,IF(AA334=regle!$I$11,regle!$I$23,IF(AA334=regle!$J$11,regle!$J$23,0)))))))))))</f>
        <v>0</v>
      </c>
      <c r="AL334" s="14">
        <f>IF($A334,$M334*(IF(AB334=regle!$B$11,regle!$B$23,IF(AB334=regle!$C$11,regle!$C$23,IF(AB334=regle!$D$11,regle!$D$23,IF(AB334=regle!$E$11,regle!$E$23,IF(AB334=regle!$F$11,regle!$F$23,IF(AB334=regle!$G$11,regle!$G$23,IF(AB334=regle!$H$11,regle!$H$23,IF(AB334=regle!$I$11,regle!$I$23,IF(AB334=regle!$J$11,regle!$J$23,0)))))))))))</f>
        <v>0</v>
      </c>
      <c r="AM334" s="14">
        <f>IF($A334,$M334*(IF(AC334=regle!$B$11,regle!$B$23,IF(AC334=regle!$C$11,regle!$C$23,IF(AC334=regle!$D$11,regle!$D$23,IF(AC334=regle!$E$11,regle!$E$23,IF(AC334=regle!$F$11,regle!$F$23,IF(AC334=regle!$G$11,regle!$G$23,IF(AC334=regle!$H$11,regle!$H$23,IF(AC334=regle!$I$11,regle!$I$23,IF(AC334=regle!$J$11,regle!$J$23,0)))))))))))</f>
        <v>0</v>
      </c>
      <c r="AN334" s="14">
        <f>IF($A334,$M334*(IF(AD334=regle!$B$11,regle!$B$23,IF(AD334=regle!$C$11,regle!$C$23,IF(AD334=regle!$D$11,regle!$D$23,IF(AD334=regle!$E$11,regle!$E$23,IF(AD334=regle!$F$11,regle!$F$23,IF(AD334=regle!$G$11,regle!$G$23,IF(AD334=regle!$H$11,regle!$H$23,IF(AD334=regle!$I$11,regle!$I$23,IF(AD334=regle!$J$11,regle!$J$23,0)))))))))))</f>
        <v>480.512</v>
      </c>
      <c r="AO334">
        <f>IF(AO$1=$AO$1,IF(regle!B$2-$Q334&gt;=regle!$J$12,-2,IF($S334,IF(regle!$B$2-$Q334&gt;=2,0,-1),regle!B$2-$Q334)),IF(AN334+1&gt;=regle!$J$12,-2,AN334+1))</f>
        <v>19</v>
      </c>
      <c r="AP334">
        <f>IF(AP$1=$AO$1,IF(regle!C$2-$Q334&gt;=regle!$J$12,-2,IF($S334,IF(regle!$B$2-$Q334&gt;=2,0,-1),regle!C$2-$Q334)),IF(AO334+1&gt;=regle!$J$12,-2,AO334+1))</f>
        <v>20</v>
      </c>
      <c r="AQ334">
        <f>IF(AQ$1=$AO$1,IF(regle!D$2-$Q334&gt;=regle!$J$12,-2,IF($S334,IF(regle!$B$2-$Q334&gt;=2,0,-1),regle!D$2-$Q334)),IF(AP334+1&gt;=regle!$J$12,-2,AP334+1))</f>
        <v>21</v>
      </c>
      <c r="AR334">
        <f>IF(AR$1=$AO$1,IF(regle!E$2-$Q334&gt;=regle!$J$12,-2,IF($S334,IF(regle!$B$2-$Q334&gt;=2,0,-1),regle!E$2-$Q334)),IF(AQ334+1&gt;=regle!$J$12,-2,AQ334+1))</f>
        <v>22</v>
      </c>
      <c r="AS334">
        <f>IF(AS$1=$AO$1,IF(regle!F$2-$Q334&gt;=regle!$J$12,-2,IF($S334,IF(regle!$B$2-$Q334&gt;=2,0,-1),regle!F$2-$Q334)),IF(AR334+1&gt;=regle!$J$12,-2,AR334+1))</f>
        <v>23</v>
      </c>
      <c r="AT334">
        <f>IF(AT$1=$AO$1,IF(regle!G$2-$Q334&gt;=regle!$J$12,-2,IF($S334,IF(regle!$B$2-$Q334&gt;=2,0,-1),regle!G$2-$Q334)),IF(AS334+1&gt;=regle!$J$12,-2,AS334+1))</f>
        <v>24</v>
      </c>
      <c r="AU334">
        <f>IF(AU$1=$AO$1,IF(regle!H$2-$Q334&gt;=regle!$J$12,-2,IF($S334,IF(regle!$B$2-$Q334&gt;=2,0,-1),regle!H$2-$Q334)),IF(AT334+1&gt;=regle!$J$12,-2,AT334+1))</f>
        <v>25</v>
      </c>
      <c r="AV334">
        <f>IF(AV$1=$AO$1,IF(regle!I$2-$Q334&gt;=regle!$J$12,-2,IF($S334,IF(regle!$B$2-$Q334&gt;=2,0,-1),regle!I$2-$Q334)),IF(AU334+1&gt;=regle!$J$12,-2,AU334+1))</f>
        <v>26</v>
      </c>
      <c r="AW334">
        <f>IF(AW$1=$AO$1,IF(regle!J$2-$Q334&gt;=regle!$J$12,-2,IF($S334,IF(regle!$B$2-$Q334&gt;=2,0,-1),regle!J$2-$Q334)),IF(AV334+1&gt;=regle!$J$12,-2,AV334+1))</f>
        <v>27</v>
      </c>
      <c r="AX334">
        <f>IF(AX$1=$AO$1,IF(regle!K$2-$Q334&gt;=regle!$J$12,-2,IF($S334,IF(regle!$B$2-$Q334&gt;=2,0,-1),regle!K$2-$Q334)),IF(AW334+1&gt;=regle!$J$12,-2,AW334+1))</f>
        <v>28</v>
      </c>
    </row>
    <row r="335" spans="1:50" x14ac:dyDescent="0.25">
      <c r="A335" t="b">
        <f>AND(modif0[[#This Row],[cdstr]]&lt;&gt;0,OR(regle!$H$27=FALSE,modif0[[#This Row],[essnc]]="PM"))</f>
        <v>1</v>
      </c>
      <c r="B335">
        <f>ROW(objet!A385)</f>
        <v>385</v>
      </c>
      <c r="C335" s="10" t="str">
        <f>objet!D385</f>
        <v>0770000D2305</v>
      </c>
      <c r="D335" t="str">
        <f>LEFT(modif0[[#This Row],[cdstr]],3)</f>
        <v>077</v>
      </c>
      <c r="E335" s="10" t="str">
        <f>objet!G385</f>
        <v>CABANAC-ET-VILLAGRAINS</v>
      </c>
      <c r="F335">
        <f>LEN(modif0[[#This Row],[l_dt]])</f>
        <v>12</v>
      </c>
      <c r="G335" s="10" t="str">
        <f>objet!H385</f>
        <v>LES JEANNOTS</v>
      </c>
      <c r="H335" s="10" t="str">
        <f>objet!C385</f>
        <v>D2305j</v>
      </c>
      <c r="I335" t="str">
        <f>IF(ISNUMBER(VALUE(RIGHT(LEFT(modif0[[#This Row],[idntfn]],2),1))),_xlfn.CONCAT(0,LEFT(modif0[[#This Row],[idntfn]],1)),LEFT(modif0[[#This Row],[idntfn]],2))</f>
        <v>0D</v>
      </c>
      <c r="J335">
        <f>VALUE(LEFT(RIGHT(modif0[[#This Row],[idntfn]],LEN(modif0[[#This Row],[idntfn]])-IF(LEFT(modif0[[#This Row],[sctn]],1)="0",1,2)),LEN(modif0[[#This Row],[idntfn]])-IF(LEFT(modif0[[#This Row],[sctn]],1)="0",1,2)-LEN(modif0[[#This Row],[lttr]])))</f>
        <v>2305</v>
      </c>
      <c r="K335" t="str">
        <f>IF(ISNUMBER(VALUE(RIGHT(modif0[[#This Row],[idntfn]],1))),"",IF(ISNUMBER(VALUE(LEFT(RIGHT(modif0[[#This Row],[idntfn]],2),1))),RIGHT(modif0[[#This Row],[idntfn]],1),RIGHT(modif0[[#This Row],[idntfn]],2)))</f>
        <v>j</v>
      </c>
      <c r="L335" s="10">
        <f>objet!I385</f>
        <v>12117</v>
      </c>
      <c r="M335" s="11">
        <f>modif0[[#This Row],[srfc]]/10000</f>
        <v>1.2117</v>
      </c>
      <c r="N335" s="10" t="str">
        <f>objet!Z385</f>
        <v>PM</v>
      </c>
      <c r="O335" s="10" t="str">
        <f>objet!AA385</f>
        <v>PLA2019</v>
      </c>
      <c r="P335" t="str">
        <f>IF(ISNUMBER(modif0[[#This Row],[trvx]]),"",LEFT(modif0[[#This Row],[trvx]],LEN(modif0[[#This Row],[trvx]])-4))</f>
        <v>PLA</v>
      </c>
      <c r="Q335">
        <f>VALUE(RIGHT(modif0[[#This Row],[trvx]],4))</f>
        <v>2019</v>
      </c>
      <c r="R335" t="str">
        <f>_xlfn.CONCAT(modif0[[#This Row],[tp]],"-",modif0[[#This Row],[essnc]],"_",modif0[[#This Row],[anns]])</f>
        <v>PLA-PM_2019</v>
      </c>
      <c r="S335" t="b">
        <f>modif0[[#This Row],[tp]]="CR"</f>
        <v>0</v>
      </c>
      <c r="T335">
        <v>40</v>
      </c>
      <c r="U335" t="str">
        <f>IF(NOT($A335),"",
IF(AO335=-2,regle!$J$11,
IF(AO335=regle!$B$12,regle!$B$11,
IF(AO335=regle!$C$12,regle!$C$11,
IF(AO335=regle!$D$12,regle!$D$11,
IF(AO335=regle!$E$12,regle!$E$11,
IF(AO335=regle!$F$12,regle!$F$11,
IF(AO335=regle!$G$12,regle!$G$11,
IF(AO335=regle!$H$12,regle!$H$11,
IF(AO335=regle!$I$12,regle!$I$11,""))))))))))</f>
        <v>ENT1</v>
      </c>
      <c r="V335" t="str">
        <f>IF(NOT($A335),"",
IF(AP335=-2,regle!$J$11,
IF(AP335=regle!$B$12,regle!$B$11,
IF(AP335=regle!$C$12,regle!$C$11,
IF(AP335=regle!$D$12,regle!$D$11,
IF(AP335=regle!$E$12,regle!$E$11,
IF(AP335=regle!$F$12,regle!$F$11,
IF(AP335=regle!$G$12,regle!$G$11,
IF(AP335=regle!$H$12,regle!$H$11,
IF(AP335=regle!$I$12,regle!$I$11,""))))))))))</f>
        <v/>
      </c>
      <c r="W335" t="str">
        <f>IF(NOT($A335),"",
IF(AQ335=-2,regle!$J$11,
IF(AQ335=regle!$B$12,regle!$B$11,
IF(AQ335=regle!$C$12,regle!$C$11,
IF(AQ335=regle!$D$12,regle!$D$11,
IF(AQ335=regle!$E$12,regle!$E$11,
IF(AQ335=regle!$F$12,regle!$F$11,
IF(AQ335=regle!$G$12,regle!$G$11,
IF(AQ335=regle!$H$12,regle!$H$11,
IF(AQ335=regle!$I$12,regle!$I$11,""))))))))))</f>
        <v/>
      </c>
      <c r="X335" t="str">
        <f>IF(NOT($A335),"",
IF(AR335=-2,regle!$J$11,
IF(AR335=regle!$B$12,regle!$B$11,
IF(AR335=regle!$C$12,regle!$C$11,
IF(AR335=regle!$D$12,regle!$D$11,
IF(AR335=regle!$E$12,regle!$E$11,
IF(AR335=regle!$F$12,regle!$F$11,
IF(AR335=regle!$G$12,regle!$G$11,
IF(AR335=regle!$H$12,regle!$H$11,
IF(AR335=regle!$I$12,regle!$I$11,""))))))))))</f>
        <v>ENT2</v>
      </c>
      <c r="Y335" t="str">
        <f>IF(NOT($A335),"",
IF(AS335=-2,regle!$J$11,
IF(AS335=regle!$B$12,regle!$B$11,
IF(AS335=regle!$C$12,regle!$C$11,
IF(AS335=regle!$D$12,regle!$D$11,
IF(AS335=regle!$E$12,regle!$E$11,
IF(AS335=regle!$F$12,regle!$F$11,
IF(AS335=regle!$G$12,regle!$G$11,
IF(AS335=regle!$H$12,regle!$H$11,
IF(AS335=regle!$I$12,regle!$I$11,""))))))))))</f>
        <v/>
      </c>
      <c r="Z335" t="str">
        <f>IF(NOT($A335),"",
IF(AT335=-2,regle!$J$11,
IF(AT335=regle!$B$12,regle!$B$11,
IF(AT335=regle!$C$12,regle!$C$11,
IF(AT335=regle!$D$12,regle!$D$11,
IF(AT335=regle!$E$12,regle!$E$11,
IF(AT335=regle!$F$12,regle!$F$11,
IF(AT335=regle!$G$12,regle!$G$11,
IF(AT335=regle!$H$12,regle!$H$11,
IF(AT335=regle!$I$12,regle!$I$11,""))))))))))</f>
        <v/>
      </c>
      <c r="AA335" t="str">
        <f>IF(NOT($A335),"",
IF(AU335=-2,regle!$J$11,
IF(AU335=regle!$B$12,regle!$B$11,
IF(AU335=regle!$C$12,regle!$C$11,
IF(AU335=regle!$D$12,regle!$D$11,
IF(AU335=regle!$E$12,regle!$E$11,
IF(AU335=regle!$F$12,regle!$F$11,
IF(AU335=regle!$G$12,regle!$G$11,
IF(AU335=regle!$H$12,regle!$H$11,
IF(AU335=regle!$I$12,regle!$I$11,""))))))))))</f>
        <v/>
      </c>
      <c r="AB335" t="str">
        <f>IF(NOT($A335),"",
IF(AV335=-2,regle!$J$11,
IF(AV335=regle!$B$12,regle!$B$11,
IF(AV335=regle!$C$12,regle!$C$11,
IF(AV335=regle!$D$12,regle!$D$11,
IF(AV335=regle!$E$12,regle!$E$11,
IF(AV335=regle!$F$12,regle!$F$11,
IF(AV335=regle!$G$12,regle!$G$11,
IF(AV335=regle!$H$12,regle!$H$11,
IF(AV335=regle!$I$12,regle!$I$11,""))))))))))</f>
        <v/>
      </c>
      <c r="AC335" t="str">
        <f>IF(NOT($A335),"",
IF(AW335=-2,regle!$J$11,
IF(AW335=regle!$B$12,regle!$B$11,
IF(AW335=regle!$C$12,regle!$C$11,
IF(AW335=regle!$D$12,regle!$D$11,
IF(AW335=regle!$E$12,regle!$E$11,
IF(AW335=regle!$F$12,regle!$F$11,
IF(AW335=regle!$G$12,regle!$G$11,
IF(AW335=regle!$H$12,regle!$H$11,
IF(AW335=regle!$I$12,regle!$I$11,""))))))))))</f>
        <v>EC1</v>
      </c>
      <c r="AD335" t="str">
        <f>IF(NOT($A335),"",
IF(AX335=-2,regle!$J$11,
IF(AX335=regle!$B$12,regle!$B$11,
IF(AX335=regle!$C$12,regle!$C$11,
IF(AX335=regle!$D$12,regle!$D$11,
IF(AX335=regle!$E$12,regle!$E$11,
IF(AX335=regle!$F$12,regle!$F$11,
IF(AX335=regle!$G$12,regle!$G$11,
IF(AX335=regle!$H$12,regle!$H$11,
IF(AX335=regle!$I$12,regle!$I$11,""))))))))))</f>
        <v/>
      </c>
      <c r="AE335" s="14">
        <f>IF($A335,$M335*(IF(U335=regle!$B$11,regle!$B$23,IF(U335=regle!$C$11,regle!$C$23,IF(U335=regle!$D$11,regle!$D$23,IF(U335=regle!$E$11,regle!$E$23,IF(U335=regle!$F$11,regle!$F$23,IF(U335=regle!$G$11,regle!$G$23,IF(U335=regle!$H$11,regle!$H$23,IF(U335=regle!$I$11,regle!$I$23,IF(U335=regle!$J$11,regle!$J$23,0)))))))))))</f>
        <v>-109.053</v>
      </c>
      <c r="AF335" s="14">
        <f>IF($A335,$M335*(IF(V335=regle!$B$11,regle!$B$23,IF(V335=regle!$C$11,regle!$C$23,IF(V335=regle!$D$11,regle!$D$23,IF(V335=regle!$E$11,regle!$E$23,IF(V335=regle!$F$11,regle!$F$23,IF(V335=regle!$G$11,regle!$G$23,IF(V335=regle!$H$11,regle!$H$23,IF(V335=regle!$I$11,regle!$I$23,IF(V335=regle!$J$11,regle!$J$23,0)))))))))))</f>
        <v>0</v>
      </c>
      <c r="AG335" s="14">
        <f>IF($A335,$M335*(IF(W335=regle!$B$11,regle!$B$23,IF(W335=regle!$C$11,regle!$C$23,IF(W335=regle!$D$11,regle!$D$23,IF(W335=regle!$E$11,regle!$E$23,IF(W335=regle!$F$11,regle!$F$23,IF(W335=regle!$G$11,regle!$G$23,IF(W335=regle!$H$11,regle!$H$23,IF(W335=regle!$I$11,regle!$I$23,IF(W335=regle!$J$11,regle!$J$23,0)))))))))))</f>
        <v>0</v>
      </c>
      <c r="AH335" s="14">
        <f>IF($A335,$M335*(IF(X335=regle!$B$11,regle!$B$23,IF(X335=regle!$C$11,regle!$C$23,IF(X335=regle!$D$11,regle!$D$23,IF(X335=regle!$E$11,regle!$E$23,IF(X335=regle!$F$11,regle!$F$23,IF(X335=regle!$G$11,regle!$G$23,IF(X335=regle!$H$11,regle!$H$23,IF(X335=regle!$I$11,regle!$I$23,IF(X335=regle!$J$11,regle!$J$23,0)))))))))))</f>
        <v>-109.053</v>
      </c>
      <c r="AI335" s="14">
        <f>IF($A335,$M335*(IF(Y335=regle!$B$11,regle!$B$23,IF(Y335=regle!$C$11,regle!$C$23,IF(Y335=regle!$D$11,regle!$D$23,IF(Y335=regle!$E$11,regle!$E$23,IF(Y335=regle!$F$11,regle!$F$23,IF(Y335=regle!$G$11,regle!$G$23,IF(Y335=regle!$H$11,regle!$H$23,IF(Y335=regle!$I$11,regle!$I$23,IF(Y335=regle!$J$11,regle!$J$23,0)))))))))))</f>
        <v>0</v>
      </c>
      <c r="AJ335" s="14">
        <f>IF($A335,$M335*(IF(Z335=regle!$B$11,regle!$B$23,IF(Z335=regle!$C$11,regle!$C$23,IF(Z335=regle!$D$11,regle!$D$23,IF(Z335=regle!$E$11,regle!$E$23,IF(Z335=regle!$F$11,regle!$F$23,IF(Z335=regle!$G$11,regle!$G$23,IF(Z335=regle!$H$11,regle!$H$23,IF(Z335=regle!$I$11,regle!$I$23,IF(Z335=regle!$J$11,regle!$J$23,0)))))))))))</f>
        <v>0</v>
      </c>
      <c r="AK335" s="14">
        <f>IF($A335,$M335*(IF(AA335=regle!$B$11,regle!$B$23,IF(AA335=regle!$C$11,regle!$C$23,IF(AA335=regle!$D$11,regle!$D$23,IF(AA335=regle!$E$11,regle!$E$23,IF(AA335=regle!$F$11,regle!$F$23,IF(AA335=regle!$G$11,regle!$G$23,IF(AA335=regle!$H$11,regle!$H$23,IF(AA335=regle!$I$11,regle!$I$23,IF(AA335=regle!$J$11,regle!$J$23,0)))))))))))</f>
        <v>0</v>
      </c>
      <c r="AL335" s="14">
        <f>IF($A335,$M335*(IF(AB335=regle!$B$11,regle!$B$23,IF(AB335=regle!$C$11,regle!$C$23,IF(AB335=regle!$D$11,regle!$D$23,IF(AB335=regle!$E$11,regle!$E$23,IF(AB335=regle!$F$11,regle!$F$23,IF(AB335=regle!$G$11,regle!$G$23,IF(AB335=regle!$H$11,regle!$H$23,IF(AB335=regle!$I$11,regle!$I$23,IF(AB335=regle!$J$11,regle!$J$23,0)))))))))))</f>
        <v>0</v>
      </c>
      <c r="AM335" s="14">
        <f>IF($A335,$M335*(IF(AC335=regle!$B$11,regle!$B$23,IF(AC335=regle!$C$11,regle!$C$23,IF(AC335=regle!$D$11,regle!$D$23,IF(AC335=regle!$E$11,regle!$E$23,IF(AC335=regle!$F$11,regle!$F$23,IF(AC335=regle!$G$11,regle!$G$23,IF(AC335=regle!$H$11,regle!$H$23,IF(AC335=regle!$I$11,regle!$I$23,IF(AC335=regle!$J$11,regle!$J$23,0)))))))))))</f>
        <v>697.93920000000003</v>
      </c>
      <c r="AN335" s="14">
        <f>IF($A335,$M335*(IF(AD335=regle!$B$11,regle!$B$23,IF(AD335=regle!$C$11,regle!$C$23,IF(AD335=regle!$D$11,regle!$D$23,IF(AD335=regle!$E$11,regle!$E$23,IF(AD335=regle!$F$11,regle!$F$23,IF(AD335=regle!$G$11,regle!$G$23,IF(AD335=regle!$H$11,regle!$H$23,IF(AD335=regle!$I$11,regle!$I$23,IF(AD335=regle!$J$11,regle!$J$23,0)))))))))))</f>
        <v>0</v>
      </c>
      <c r="AO335">
        <f>IF(AO$1=$AO$1,IF(regle!B$2-$Q335&gt;=regle!$J$12,-2,IF($S335,IF(regle!$B$2-$Q335&gt;=2,0,-1),regle!B$2-$Q335)),IF(AN335+1&gt;=regle!$J$12,-2,AN335+1))</f>
        <v>5</v>
      </c>
      <c r="AP335">
        <f>IF(AP$1=$AO$1,IF(regle!C$2-$Q335&gt;=regle!$J$12,-2,IF($S335,IF(regle!$B$2-$Q335&gt;=2,0,-1),regle!C$2-$Q335)),IF(AO335+1&gt;=regle!$J$12,-2,AO335+1))</f>
        <v>6</v>
      </c>
      <c r="AQ335">
        <f>IF(AQ$1=$AO$1,IF(regle!D$2-$Q335&gt;=regle!$J$12,-2,IF($S335,IF(regle!$B$2-$Q335&gt;=2,0,-1),regle!D$2-$Q335)),IF(AP335+1&gt;=regle!$J$12,-2,AP335+1))</f>
        <v>7</v>
      </c>
      <c r="AR335">
        <f>IF(AR$1=$AO$1,IF(regle!E$2-$Q335&gt;=regle!$J$12,-2,IF($S335,IF(regle!$B$2-$Q335&gt;=2,0,-1),regle!E$2-$Q335)),IF(AQ335+1&gt;=regle!$J$12,-2,AQ335+1))</f>
        <v>8</v>
      </c>
      <c r="AS335">
        <f>IF(AS$1=$AO$1,IF(regle!F$2-$Q335&gt;=regle!$J$12,-2,IF($S335,IF(regle!$B$2-$Q335&gt;=2,0,-1),regle!F$2-$Q335)),IF(AR335+1&gt;=regle!$J$12,-2,AR335+1))</f>
        <v>9</v>
      </c>
      <c r="AT335">
        <f>IF(AT$1=$AO$1,IF(regle!G$2-$Q335&gt;=regle!$J$12,-2,IF($S335,IF(regle!$B$2-$Q335&gt;=2,0,-1),regle!G$2-$Q335)),IF(AS335+1&gt;=regle!$J$12,-2,AS335+1))</f>
        <v>10</v>
      </c>
      <c r="AU335">
        <f>IF(AU$1=$AO$1,IF(regle!H$2-$Q335&gt;=regle!$J$12,-2,IF($S335,IF(regle!$B$2-$Q335&gt;=2,0,-1),regle!H$2-$Q335)),IF(AT335+1&gt;=regle!$J$12,-2,AT335+1))</f>
        <v>11</v>
      </c>
      <c r="AV335">
        <f>IF(AV$1=$AO$1,IF(regle!I$2-$Q335&gt;=regle!$J$12,-2,IF($S335,IF(regle!$B$2-$Q335&gt;=2,0,-1),regle!I$2-$Q335)),IF(AU335+1&gt;=regle!$J$12,-2,AU335+1))</f>
        <v>12</v>
      </c>
      <c r="AW335">
        <f>IF(AW$1=$AO$1,IF(regle!J$2-$Q335&gt;=regle!$J$12,-2,IF($S335,IF(regle!$B$2-$Q335&gt;=2,0,-1),regle!J$2-$Q335)),IF(AV335+1&gt;=regle!$J$12,-2,AV335+1))</f>
        <v>13</v>
      </c>
      <c r="AX335">
        <f>IF(AX$1=$AO$1,IF(regle!K$2-$Q335&gt;=regle!$J$12,-2,IF($S335,IF(regle!$B$2-$Q335&gt;=2,0,-1),regle!K$2-$Q335)),IF(AW335+1&gt;=regle!$J$12,-2,AW335+1))</f>
        <v>14</v>
      </c>
    </row>
    <row r="336" spans="1:50" x14ac:dyDescent="0.25">
      <c r="A336" t="b">
        <f>AND(modif0[[#This Row],[cdstr]]&lt;&gt;0,OR(regle!$H$27=FALSE,modif0[[#This Row],[essnc]]="PM"))</f>
        <v>1</v>
      </c>
      <c r="B336">
        <f>ROW(objet!A386)</f>
        <v>386</v>
      </c>
      <c r="C336" s="10" t="str">
        <f>objet!D386</f>
        <v>0770000D2305</v>
      </c>
      <c r="D336" t="str">
        <f>LEFT(modif0[[#This Row],[cdstr]],3)</f>
        <v>077</v>
      </c>
      <c r="E336" s="10" t="str">
        <f>objet!G386</f>
        <v>CABANAC-ET-VILLAGRAINS</v>
      </c>
      <c r="F336">
        <f>LEN(modif0[[#This Row],[l_dt]])</f>
        <v>12</v>
      </c>
      <c r="G336" s="10" t="str">
        <f>objet!H386</f>
        <v>LES JEANNOTS</v>
      </c>
      <c r="H336" s="10" t="str">
        <f>objet!C386</f>
        <v>D2305k</v>
      </c>
      <c r="I336" t="str">
        <f>IF(ISNUMBER(VALUE(RIGHT(LEFT(modif0[[#This Row],[idntfn]],2),1))),_xlfn.CONCAT(0,LEFT(modif0[[#This Row],[idntfn]],1)),LEFT(modif0[[#This Row],[idntfn]],2))</f>
        <v>0D</v>
      </c>
      <c r="J336">
        <f>VALUE(LEFT(RIGHT(modif0[[#This Row],[idntfn]],LEN(modif0[[#This Row],[idntfn]])-IF(LEFT(modif0[[#This Row],[sctn]],1)="0",1,2)),LEN(modif0[[#This Row],[idntfn]])-IF(LEFT(modif0[[#This Row],[sctn]],1)="0",1,2)-LEN(modif0[[#This Row],[lttr]])))</f>
        <v>2305</v>
      </c>
      <c r="K336" t="str">
        <f>IF(ISNUMBER(VALUE(RIGHT(modif0[[#This Row],[idntfn]],1))),"",IF(ISNUMBER(VALUE(LEFT(RIGHT(modif0[[#This Row],[idntfn]],2),1))),RIGHT(modif0[[#This Row],[idntfn]],1),RIGHT(modif0[[#This Row],[idntfn]],2)))</f>
        <v>k</v>
      </c>
      <c r="L336" s="10">
        <f>objet!I386</f>
        <v>5325</v>
      </c>
      <c r="M336" s="11">
        <f>modif0[[#This Row],[srfc]]/10000</f>
        <v>0.53249999999999997</v>
      </c>
      <c r="N336" s="10" t="str">
        <f>objet!Z386</f>
        <v>PM</v>
      </c>
      <c r="O336" s="10" t="str">
        <f>objet!AA386</f>
        <v>PLA2005</v>
      </c>
      <c r="P336" t="str">
        <f>IF(ISNUMBER(modif0[[#This Row],[trvx]]),"",LEFT(modif0[[#This Row],[trvx]],LEN(modif0[[#This Row],[trvx]])-4))</f>
        <v>PLA</v>
      </c>
      <c r="Q336">
        <f>VALUE(RIGHT(modif0[[#This Row],[trvx]],4))</f>
        <v>2005</v>
      </c>
      <c r="R336" t="str">
        <f>_xlfn.CONCAT(modif0[[#This Row],[tp]],"-",modif0[[#This Row],[essnc]],"_",modif0[[#This Row],[anns]])</f>
        <v>PLA-PM_2005</v>
      </c>
      <c r="S336" t="b">
        <f>modif0[[#This Row],[tp]]="CR"</f>
        <v>0</v>
      </c>
      <c r="T336">
        <v>40</v>
      </c>
      <c r="U336" t="str">
        <f>IF(NOT($A336),"",
IF(AO336=-2,regle!$J$11,
IF(AO336=regle!$B$12,regle!$B$11,
IF(AO336=regle!$C$12,regle!$C$11,
IF(AO336=regle!$D$12,regle!$D$11,
IF(AO336=regle!$E$12,regle!$E$11,
IF(AO336=regle!$F$12,regle!$F$11,
IF(AO336=regle!$G$12,regle!$G$11,
IF(AO336=regle!$H$12,regle!$H$11,
IF(AO336=regle!$I$12,regle!$I$11,""))))))))))</f>
        <v/>
      </c>
      <c r="V336" t="str">
        <f>IF(NOT($A336),"",
IF(AP336=-2,regle!$J$11,
IF(AP336=regle!$B$12,regle!$B$11,
IF(AP336=regle!$C$12,regle!$C$11,
IF(AP336=regle!$D$12,regle!$D$11,
IF(AP336=regle!$E$12,regle!$E$11,
IF(AP336=regle!$F$12,regle!$F$11,
IF(AP336=regle!$G$12,regle!$G$11,
IF(AP336=regle!$H$12,regle!$H$11,
IF(AP336=regle!$I$12,regle!$I$11,""))))))))))</f>
        <v/>
      </c>
      <c r="W336" t="str">
        <f>IF(NOT($A336),"",
IF(AQ336=-2,regle!$J$11,
IF(AQ336=regle!$B$12,regle!$B$11,
IF(AQ336=regle!$C$12,regle!$C$11,
IF(AQ336=regle!$D$12,regle!$D$11,
IF(AQ336=regle!$E$12,regle!$E$11,
IF(AQ336=regle!$F$12,regle!$F$11,
IF(AQ336=regle!$G$12,regle!$G$11,
IF(AQ336=regle!$H$12,regle!$H$11,
IF(AQ336=regle!$I$12,regle!$I$11,""))))))))))</f>
        <v/>
      </c>
      <c r="X336" t="str">
        <f>IF(NOT($A336),"",
IF(AR336=-2,regle!$J$11,
IF(AR336=regle!$B$12,regle!$B$11,
IF(AR336=regle!$C$12,regle!$C$11,
IF(AR336=regle!$D$12,regle!$D$11,
IF(AR336=regle!$E$12,regle!$E$11,
IF(AR336=regle!$F$12,regle!$F$11,
IF(AR336=regle!$G$12,regle!$G$11,
IF(AR336=regle!$H$12,regle!$H$11,
IF(AR336=regle!$I$12,regle!$I$11,""))))))))))</f>
        <v/>
      </c>
      <c r="Y336" t="str">
        <f>IF(NOT($A336),"",
IF(AS336=-2,regle!$J$11,
IF(AS336=regle!$B$12,regle!$B$11,
IF(AS336=regle!$C$12,regle!$C$11,
IF(AS336=regle!$D$12,regle!$D$11,
IF(AS336=regle!$E$12,regle!$E$11,
IF(AS336=regle!$F$12,regle!$F$11,
IF(AS336=regle!$G$12,regle!$G$11,
IF(AS336=regle!$H$12,regle!$H$11,
IF(AS336=regle!$I$12,regle!$I$11,""))))))))))</f>
        <v>EC3</v>
      </c>
      <c r="Z336" t="str">
        <f>IF(NOT($A336),"",
IF(AT336=-2,regle!$J$11,
IF(AT336=regle!$B$12,regle!$B$11,
IF(AT336=regle!$C$12,regle!$C$11,
IF(AT336=regle!$D$12,regle!$D$11,
IF(AT336=regle!$E$12,regle!$E$11,
IF(AT336=regle!$F$12,regle!$F$11,
IF(AT336=regle!$G$12,regle!$G$11,
IF(AT336=regle!$H$12,regle!$H$11,
IF(AT336=regle!$I$12,regle!$I$11,""))))))))))</f>
        <v/>
      </c>
      <c r="AA336" t="str">
        <f>IF(NOT($A336),"",
IF(AU336=-2,regle!$J$11,
IF(AU336=regle!$B$12,regle!$B$11,
IF(AU336=regle!$C$12,regle!$C$11,
IF(AU336=regle!$D$12,regle!$D$11,
IF(AU336=regle!$E$12,regle!$E$11,
IF(AU336=regle!$F$12,regle!$F$11,
IF(AU336=regle!$G$12,regle!$G$11,
IF(AU336=regle!$H$12,regle!$H$11,
IF(AU336=regle!$I$12,regle!$I$11,""))))))))))</f>
        <v/>
      </c>
      <c r="AB336" t="str">
        <f>IF(NOT($A336),"",
IF(AV336=-2,regle!$J$11,
IF(AV336=regle!$B$12,regle!$B$11,
IF(AV336=regle!$C$12,regle!$C$11,
IF(AV336=regle!$D$12,regle!$D$11,
IF(AV336=regle!$E$12,regle!$E$11,
IF(AV336=regle!$F$12,regle!$F$11,
IF(AV336=regle!$G$12,regle!$G$11,
IF(AV336=regle!$H$12,regle!$H$11,
IF(AV336=regle!$I$12,regle!$I$11,""))))))))))</f>
        <v/>
      </c>
      <c r="AC336" t="str">
        <f>IF(NOT($A336),"",
IF(AW336=-2,regle!$J$11,
IF(AW336=regle!$B$12,regle!$B$11,
IF(AW336=regle!$C$12,regle!$C$11,
IF(AW336=regle!$D$12,regle!$D$11,
IF(AW336=regle!$E$12,regle!$E$11,
IF(AW336=regle!$F$12,regle!$F$11,
IF(AW336=regle!$G$12,regle!$G$11,
IF(AW336=regle!$H$12,regle!$H$11,
IF(AW336=regle!$I$12,regle!$I$11,""))))))))))</f>
        <v/>
      </c>
      <c r="AD336" t="str">
        <f>IF(NOT($A336),"",
IF(AX336=-2,regle!$J$11,
IF(AX336=regle!$B$12,regle!$B$11,
IF(AX336=regle!$C$12,regle!$C$11,
IF(AX336=regle!$D$12,regle!$D$11,
IF(AX336=regle!$E$12,regle!$E$11,
IF(AX336=regle!$F$12,regle!$F$11,
IF(AX336=regle!$G$12,regle!$G$11,
IF(AX336=regle!$H$12,regle!$H$11,
IF(AX336=regle!$I$12,regle!$I$11,""))))))))))</f>
        <v>EC4</v>
      </c>
      <c r="AE336" s="14">
        <f>IF($A336,$M336*(IF(U336=regle!$B$11,regle!$B$23,IF(U336=regle!$C$11,regle!$C$23,IF(U336=regle!$D$11,regle!$D$23,IF(U336=regle!$E$11,regle!$E$23,IF(U336=regle!$F$11,regle!$F$23,IF(U336=regle!$G$11,regle!$G$23,IF(U336=regle!$H$11,regle!$H$23,IF(U336=regle!$I$11,regle!$I$23,IF(U336=regle!$J$11,regle!$J$23,0)))))))))))</f>
        <v>0</v>
      </c>
      <c r="AF336" s="14">
        <f>IF($A336,$M336*(IF(V336=regle!$B$11,regle!$B$23,IF(V336=regle!$C$11,regle!$C$23,IF(V336=regle!$D$11,regle!$D$23,IF(V336=regle!$E$11,regle!$E$23,IF(V336=regle!$F$11,regle!$F$23,IF(V336=regle!$G$11,regle!$G$23,IF(V336=regle!$H$11,regle!$H$23,IF(V336=regle!$I$11,regle!$I$23,IF(V336=regle!$J$11,regle!$J$23,0)))))))))))</f>
        <v>0</v>
      </c>
      <c r="AG336" s="14">
        <f>IF($A336,$M336*(IF(W336=regle!$B$11,regle!$B$23,IF(W336=regle!$C$11,regle!$C$23,IF(W336=regle!$D$11,regle!$D$23,IF(W336=regle!$E$11,regle!$E$23,IF(W336=regle!$F$11,regle!$F$23,IF(W336=regle!$G$11,regle!$G$23,IF(W336=regle!$H$11,regle!$H$23,IF(W336=regle!$I$11,regle!$I$23,IF(W336=regle!$J$11,regle!$J$23,0)))))))))))</f>
        <v>0</v>
      </c>
      <c r="AH336" s="14">
        <f>IF($A336,$M336*(IF(X336=regle!$B$11,regle!$B$23,IF(X336=regle!$C$11,regle!$C$23,IF(X336=regle!$D$11,regle!$D$23,IF(X336=regle!$E$11,regle!$E$23,IF(X336=regle!$F$11,regle!$F$23,IF(X336=regle!$G$11,regle!$G$23,IF(X336=regle!$H$11,regle!$H$23,IF(X336=regle!$I$11,regle!$I$23,IF(X336=regle!$J$11,regle!$J$23,0)))))))))))</f>
        <v>0</v>
      </c>
      <c r="AI336" s="14">
        <f>IF($A336,$M336*(IF(Y336=regle!$B$11,regle!$B$23,IF(Y336=regle!$C$11,regle!$C$23,IF(Y336=regle!$D$11,regle!$D$23,IF(Y336=regle!$E$11,regle!$E$23,IF(Y336=regle!$F$11,regle!$F$23,IF(Y336=regle!$G$11,regle!$G$23,IF(Y336=regle!$H$11,regle!$H$23,IF(Y336=regle!$I$11,regle!$I$23,IF(Y336=regle!$J$11,regle!$J$23,0)))))))))))</f>
        <v>749.76</v>
      </c>
      <c r="AJ336" s="14">
        <f>IF($A336,$M336*(IF(Z336=regle!$B$11,regle!$B$23,IF(Z336=regle!$C$11,regle!$C$23,IF(Z336=regle!$D$11,regle!$D$23,IF(Z336=regle!$E$11,regle!$E$23,IF(Z336=regle!$F$11,regle!$F$23,IF(Z336=regle!$G$11,regle!$G$23,IF(Z336=regle!$H$11,regle!$H$23,IF(Z336=regle!$I$11,regle!$I$23,IF(Z336=regle!$J$11,regle!$J$23,0)))))))))))</f>
        <v>0</v>
      </c>
      <c r="AK336" s="14">
        <f>IF($A336,$M336*(IF(AA336=regle!$B$11,regle!$B$23,IF(AA336=regle!$C$11,regle!$C$23,IF(AA336=regle!$D$11,regle!$D$23,IF(AA336=regle!$E$11,regle!$E$23,IF(AA336=regle!$F$11,regle!$F$23,IF(AA336=regle!$G$11,regle!$G$23,IF(AA336=regle!$H$11,regle!$H$23,IF(AA336=regle!$I$11,regle!$I$23,IF(AA336=regle!$J$11,regle!$J$23,0)))))))))))</f>
        <v>0</v>
      </c>
      <c r="AL336" s="14">
        <f>IF($A336,$M336*(IF(AB336=regle!$B$11,regle!$B$23,IF(AB336=regle!$C$11,regle!$C$23,IF(AB336=regle!$D$11,regle!$D$23,IF(AB336=regle!$E$11,regle!$E$23,IF(AB336=regle!$F$11,regle!$F$23,IF(AB336=regle!$G$11,regle!$G$23,IF(AB336=regle!$H$11,regle!$H$23,IF(AB336=regle!$I$11,regle!$I$23,IF(AB336=regle!$J$11,regle!$J$23,0)))))))))))</f>
        <v>0</v>
      </c>
      <c r="AM336" s="14">
        <f>IF($A336,$M336*(IF(AC336=regle!$B$11,regle!$B$23,IF(AC336=regle!$C$11,regle!$C$23,IF(AC336=regle!$D$11,regle!$D$23,IF(AC336=regle!$E$11,regle!$E$23,IF(AC336=regle!$F$11,regle!$F$23,IF(AC336=regle!$G$11,regle!$G$23,IF(AC336=regle!$H$11,regle!$H$23,IF(AC336=regle!$I$11,regle!$I$23,IF(AC336=regle!$J$11,regle!$J$23,0)))))))))))</f>
        <v>0</v>
      </c>
      <c r="AN336" s="14">
        <f>IF($A336,$M336*(IF(AD336=regle!$B$11,regle!$B$23,IF(AD336=regle!$C$11,regle!$C$23,IF(AD336=regle!$D$11,regle!$D$23,IF(AD336=regle!$E$11,regle!$E$23,IF(AD336=regle!$F$11,regle!$F$23,IF(AD336=regle!$G$11,regle!$G$23,IF(AD336=regle!$H$11,regle!$H$23,IF(AD336=regle!$I$11,regle!$I$23,IF(AD336=regle!$J$11,regle!$J$23,0)))))))))))</f>
        <v>681.59999999999991</v>
      </c>
      <c r="AO336">
        <f>IF(AO$1=$AO$1,IF(regle!B$2-$Q336&gt;=regle!$J$12,-2,IF($S336,IF(regle!$B$2-$Q336&gt;=2,0,-1),regle!B$2-$Q336)),IF(AN336+1&gt;=regle!$J$12,-2,AN336+1))</f>
        <v>19</v>
      </c>
      <c r="AP336">
        <f>IF(AP$1=$AO$1,IF(regle!C$2-$Q336&gt;=regle!$J$12,-2,IF($S336,IF(regle!$B$2-$Q336&gt;=2,0,-1),regle!C$2-$Q336)),IF(AO336+1&gt;=regle!$J$12,-2,AO336+1))</f>
        <v>20</v>
      </c>
      <c r="AQ336">
        <f>IF(AQ$1=$AO$1,IF(regle!D$2-$Q336&gt;=regle!$J$12,-2,IF($S336,IF(regle!$B$2-$Q336&gt;=2,0,-1),regle!D$2-$Q336)),IF(AP336+1&gt;=regle!$J$12,-2,AP336+1))</f>
        <v>21</v>
      </c>
      <c r="AR336">
        <f>IF(AR$1=$AO$1,IF(regle!E$2-$Q336&gt;=regle!$J$12,-2,IF($S336,IF(regle!$B$2-$Q336&gt;=2,0,-1),regle!E$2-$Q336)),IF(AQ336+1&gt;=regle!$J$12,-2,AQ336+1))</f>
        <v>22</v>
      </c>
      <c r="AS336">
        <f>IF(AS$1=$AO$1,IF(regle!F$2-$Q336&gt;=regle!$J$12,-2,IF($S336,IF(regle!$B$2-$Q336&gt;=2,0,-1),regle!F$2-$Q336)),IF(AR336+1&gt;=regle!$J$12,-2,AR336+1))</f>
        <v>23</v>
      </c>
      <c r="AT336">
        <f>IF(AT$1=$AO$1,IF(regle!G$2-$Q336&gt;=regle!$J$12,-2,IF($S336,IF(regle!$B$2-$Q336&gt;=2,0,-1),regle!G$2-$Q336)),IF(AS336+1&gt;=regle!$J$12,-2,AS336+1))</f>
        <v>24</v>
      </c>
      <c r="AU336">
        <f>IF(AU$1=$AO$1,IF(regle!H$2-$Q336&gt;=regle!$J$12,-2,IF($S336,IF(regle!$B$2-$Q336&gt;=2,0,-1),regle!H$2-$Q336)),IF(AT336+1&gt;=regle!$J$12,-2,AT336+1))</f>
        <v>25</v>
      </c>
      <c r="AV336">
        <f>IF(AV$1=$AO$1,IF(regle!I$2-$Q336&gt;=regle!$J$12,-2,IF($S336,IF(regle!$B$2-$Q336&gt;=2,0,-1),regle!I$2-$Q336)),IF(AU336+1&gt;=regle!$J$12,-2,AU336+1))</f>
        <v>26</v>
      </c>
      <c r="AW336">
        <f>IF(AW$1=$AO$1,IF(regle!J$2-$Q336&gt;=regle!$J$12,-2,IF($S336,IF(regle!$B$2-$Q336&gt;=2,0,-1),regle!J$2-$Q336)),IF(AV336+1&gt;=regle!$J$12,-2,AV336+1))</f>
        <v>27</v>
      </c>
      <c r="AX336">
        <f>IF(AX$1=$AO$1,IF(regle!K$2-$Q336&gt;=regle!$J$12,-2,IF($S336,IF(regle!$B$2-$Q336&gt;=2,0,-1),regle!K$2-$Q336)),IF(AW336+1&gt;=regle!$J$12,-2,AW336+1))</f>
        <v>28</v>
      </c>
    </row>
    <row r="337" spans="1:50" x14ac:dyDescent="0.25">
      <c r="A337" t="b">
        <f>AND(modif0[[#This Row],[cdstr]]&lt;&gt;0,OR(regle!$H$27=FALSE,modif0[[#This Row],[essnc]]="PM"))</f>
        <v>1</v>
      </c>
      <c r="B337">
        <f>ROW(objet!A387)</f>
        <v>387</v>
      </c>
      <c r="C337" s="10" t="str">
        <f>objet!D387</f>
        <v>0770000D2307</v>
      </c>
      <c r="D337" t="str">
        <f>LEFT(modif0[[#This Row],[cdstr]],3)</f>
        <v>077</v>
      </c>
      <c r="E337" s="10" t="str">
        <f>objet!G387</f>
        <v>CABANAC-ET-VILLAGRAINS</v>
      </c>
      <c r="F337">
        <f>LEN(modif0[[#This Row],[l_dt]])</f>
        <v>12</v>
      </c>
      <c r="G337" s="10" t="str">
        <f>objet!H387</f>
        <v>LES JEANNOTS</v>
      </c>
      <c r="H337" s="10" t="str">
        <f>objet!C387</f>
        <v>D2307</v>
      </c>
      <c r="I337" t="str">
        <f>IF(ISNUMBER(VALUE(RIGHT(LEFT(modif0[[#This Row],[idntfn]],2),1))),_xlfn.CONCAT(0,LEFT(modif0[[#This Row],[idntfn]],1)),LEFT(modif0[[#This Row],[idntfn]],2))</f>
        <v>0D</v>
      </c>
      <c r="J337">
        <f>VALUE(LEFT(RIGHT(modif0[[#This Row],[idntfn]],LEN(modif0[[#This Row],[idntfn]])-IF(LEFT(modif0[[#This Row],[sctn]],1)="0",1,2)),LEN(modif0[[#This Row],[idntfn]])-IF(LEFT(modif0[[#This Row],[sctn]],1)="0",1,2)-LEN(modif0[[#This Row],[lttr]])))</f>
        <v>2307</v>
      </c>
      <c r="K337" t="str">
        <f>IF(ISNUMBER(VALUE(RIGHT(modif0[[#This Row],[idntfn]],1))),"",IF(ISNUMBER(VALUE(LEFT(RIGHT(modif0[[#This Row],[idntfn]],2),1))),RIGHT(modif0[[#This Row],[idntfn]],1),RIGHT(modif0[[#This Row],[idntfn]],2)))</f>
        <v/>
      </c>
      <c r="L337" s="10">
        <f>objet!I387</f>
        <v>1449</v>
      </c>
      <c r="M337" s="11">
        <f>modif0[[#This Row],[srfc]]/10000</f>
        <v>0.1449</v>
      </c>
      <c r="N337" s="10" t="str">
        <f>objet!Z387</f>
        <v>PM</v>
      </c>
      <c r="O337" s="10" t="str">
        <f>objet!AA387</f>
        <v>PLA2019</v>
      </c>
      <c r="P337" t="str">
        <f>IF(ISNUMBER(modif0[[#This Row],[trvx]]),"",LEFT(modif0[[#This Row],[trvx]],LEN(modif0[[#This Row],[trvx]])-4))</f>
        <v>PLA</v>
      </c>
      <c r="Q337">
        <f>VALUE(RIGHT(modif0[[#This Row],[trvx]],4))</f>
        <v>2019</v>
      </c>
      <c r="R337" t="str">
        <f>_xlfn.CONCAT(modif0[[#This Row],[tp]],"-",modif0[[#This Row],[essnc]],"_",modif0[[#This Row],[anns]])</f>
        <v>PLA-PM_2019</v>
      </c>
      <c r="S337" t="b">
        <f>modif0[[#This Row],[tp]]="CR"</f>
        <v>0</v>
      </c>
      <c r="T337">
        <v>40</v>
      </c>
      <c r="U337" t="str">
        <f>IF(NOT($A337),"",
IF(AO337=-2,regle!$J$11,
IF(AO337=regle!$B$12,regle!$B$11,
IF(AO337=regle!$C$12,regle!$C$11,
IF(AO337=regle!$D$12,regle!$D$11,
IF(AO337=regle!$E$12,regle!$E$11,
IF(AO337=regle!$F$12,regle!$F$11,
IF(AO337=regle!$G$12,regle!$G$11,
IF(AO337=regle!$H$12,regle!$H$11,
IF(AO337=regle!$I$12,regle!$I$11,""))))))))))</f>
        <v>ENT1</v>
      </c>
      <c r="V337" t="str">
        <f>IF(NOT($A337),"",
IF(AP337=-2,regle!$J$11,
IF(AP337=regle!$B$12,regle!$B$11,
IF(AP337=regle!$C$12,regle!$C$11,
IF(AP337=regle!$D$12,regle!$D$11,
IF(AP337=regle!$E$12,regle!$E$11,
IF(AP337=regle!$F$12,regle!$F$11,
IF(AP337=regle!$G$12,regle!$G$11,
IF(AP337=regle!$H$12,regle!$H$11,
IF(AP337=regle!$I$12,regle!$I$11,""))))))))))</f>
        <v/>
      </c>
      <c r="W337" t="str">
        <f>IF(NOT($A337),"",
IF(AQ337=-2,regle!$J$11,
IF(AQ337=regle!$B$12,regle!$B$11,
IF(AQ337=regle!$C$12,regle!$C$11,
IF(AQ337=regle!$D$12,regle!$D$11,
IF(AQ337=regle!$E$12,regle!$E$11,
IF(AQ337=regle!$F$12,regle!$F$11,
IF(AQ337=regle!$G$12,regle!$G$11,
IF(AQ337=regle!$H$12,regle!$H$11,
IF(AQ337=regle!$I$12,regle!$I$11,""))))))))))</f>
        <v/>
      </c>
      <c r="X337" t="str">
        <f>IF(NOT($A337),"",
IF(AR337=-2,regle!$J$11,
IF(AR337=regle!$B$12,regle!$B$11,
IF(AR337=regle!$C$12,regle!$C$11,
IF(AR337=regle!$D$12,regle!$D$11,
IF(AR337=regle!$E$12,regle!$E$11,
IF(AR337=regle!$F$12,regle!$F$11,
IF(AR337=regle!$G$12,regle!$G$11,
IF(AR337=regle!$H$12,regle!$H$11,
IF(AR337=regle!$I$12,regle!$I$11,""))))))))))</f>
        <v>ENT2</v>
      </c>
      <c r="Y337" t="str">
        <f>IF(NOT($A337),"",
IF(AS337=-2,regle!$J$11,
IF(AS337=regle!$B$12,regle!$B$11,
IF(AS337=regle!$C$12,regle!$C$11,
IF(AS337=regle!$D$12,regle!$D$11,
IF(AS337=regle!$E$12,regle!$E$11,
IF(AS337=regle!$F$12,regle!$F$11,
IF(AS337=regle!$G$12,regle!$G$11,
IF(AS337=regle!$H$12,regle!$H$11,
IF(AS337=regle!$I$12,regle!$I$11,""))))))))))</f>
        <v/>
      </c>
      <c r="Z337" t="str">
        <f>IF(NOT($A337),"",
IF(AT337=-2,regle!$J$11,
IF(AT337=regle!$B$12,regle!$B$11,
IF(AT337=regle!$C$12,regle!$C$11,
IF(AT337=regle!$D$12,regle!$D$11,
IF(AT337=regle!$E$12,regle!$E$11,
IF(AT337=regle!$F$12,regle!$F$11,
IF(AT337=regle!$G$12,regle!$G$11,
IF(AT337=regle!$H$12,regle!$H$11,
IF(AT337=regle!$I$12,regle!$I$11,""))))))))))</f>
        <v/>
      </c>
      <c r="AA337" t="str">
        <f>IF(NOT($A337),"",
IF(AU337=-2,regle!$J$11,
IF(AU337=regle!$B$12,regle!$B$11,
IF(AU337=regle!$C$12,regle!$C$11,
IF(AU337=regle!$D$12,regle!$D$11,
IF(AU337=regle!$E$12,regle!$E$11,
IF(AU337=regle!$F$12,regle!$F$11,
IF(AU337=regle!$G$12,regle!$G$11,
IF(AU337=regle!$H$12,regle!$H$11,
IF(AU337=regle!$I$12,regle!$I$11,""))))))))))</f>
        <v/>
      </c>
      <c r="AB337" t="str">
        <f>IF(NOT($A337),"",
IF(AV337=-2,regle!$J$11,
IF(AV337=regle!$B$12,regle!$B$11,
IF(AV337=regle!$C$12,regle!$C$11,
IF(AV337=regle!$D$12,regle!$D$11,
IF(AV337=regle!$E$12,regle!$E$11,
IF(AV337=regle!$F$12,regle!$F$11,
IF(AV337=regle!$G$12,regle!$G$11,
IF(AV337=regle!$H$12,regle!$H$11,
IF(AV337=regle!$I$12,regle!$I$11,""))))))))))</f>
        <v/>
      </c>
      <c r="AC337" t="str">
        <f>IF(NOT($A337),"",
IF(AW337=-2,regle!$J$11,
IF(AW337=regle!$B$12,regle!$B$11,
IF(AW337=regle!$C$12,regle!$C$11,
IF(AW337=regle!$D$12,regle!$D$11,
IF(AW337=regle!$E$12,regle!$E$11,
IF(AW337=regle!$F$12,regle!$F$11,
IF(AW337=regle!$G$12,regle!$G$11,
IF(AW337=regle!$H$12,regle!$H$11,
IF(AW337=regle!$I$12,regle!$I$11,""))))))))))</f>
        <v>EC1</v>
      </c>
      <c r="AD337" t="str">
        <f>IF(NOT($A337),"",
IF(AX337=-2,regle!$J$11,
IF(AX337=regle!$B$12,regle!$B$11,
IF(AX337=regle!$C$12,regle!$C$11,
IF(AX337=regle!$D$12,regle!$D$11,
IF(AX337=regle!$E$12,regle!$E$11,
IF(AX337=regle!$F$12,regle!$F$11,
IF(AX337=regle!$G$12,regle!$G$11,
IF(AX337=regle!$H$12,regle!$H$11,
IF(AX337=regle!$I$12,regle!$I$11,""))))))))))</f>
        <v/>
      </c>
      <c r="AE337" s="14">
        <f>IF($A337,$M337*(IF(U337=regle!$B$11,regle!$B$23,IF(U337=regle!$C$11,regle!$C$23,IF(U337=regle!$D$11,regle!$D$23,IF(U337=regle!$E$11,regle!$E$23,IF(U337=regle!$F$11,regle!$F$23,IF(U337=regle!$G$11,regle!$G$23,IF(U337=regle!$H$11,regle!$H$23,IF(U337=regle!$I$11,regle!$I$23,IF(U337=regle!$J$11,regle!$J$23,0)))))))))))</f>
        <v>-13.041</v>
      </c>
      <c r="AF337" s="14">
        <f>IF($A337,$M337*(IF(V337=regle!$B$11,regle!$B$23,IF(V337=regle!$C$11,regle!$C$23,IF(V337=regle!$D$11,regle!$D$23,IF(V337=regle!$E$11,regle!$E$23,IF(V337=regle!$F$11,regle!$F$23,IF(V337=regle!$G$11,regle!$G$23,IF(V337=regle!$H$11,regle!$H$23,IF(V337=regle!$I$11,regle!$I$23,IF(V337=regle!$J$11,regle!$J$23,0)))))))))))</f>
        <v>0</v>
      </c>
      <c r="AG337" s="14">
        <f>IF($A337,$M337*(IF(W337=regle!$B$11,regle!$B$23,IF(W337=regle!$C$11,regle!$C$23,IF(W337=regle!$D$11,regle!$D$23,IF(W337=regle!$E$11,regle!$E$23,IF(W337=regle!$F$11,regle!$F$23,IF(W337=regle!$G$11,regle!$G$23,IF(W337=regle!$H$11,regle!$H$23,IF(W337=regle!$I$11,regle!$I$23,IF(W337=regle!$J$11,regle!$J$23,0)))))))))))</f>
        <v>0</v>
      </c>
      <c r="AH337" s="14">
        <f>IF($A337,$M337*(IF(X337=regle!$B$11,regle!$B$23,IF(X337=regle!$C$11,regle!$C$23,IF(X337=regle!$D$11,regle!$D$23,IF(X337=regle!$E$11,regle!$E$23,IF(X337=regle!$F$11,regle!$F$23,IF(X337=regle!$G$11,regle!$G$23,IF(X337=regle!$H$11,regle!$H$23,IF(X337=regle!$I$11,regle!$I$23,IF(X337=regle!$J$11,regle!$J$23,0)))))))))))</f>
        <v>-13.041</v>
      </c>
      <c r="AI337" s="14">
        <f>IF($A337,$M337*(IF(Y337=regle!$B$11,regle!$B$23,IF(Y337=regle!$C$11,regle!$C$23,IF(Y337=regle!$D$11,regle!$D$23,IF(Y337=regle!$E$11,regle!$E$23,IF(Y337=regle!$F$11,regle!$F$23,IF(Y337=regle!$G$11,regle!$G$23,IF(Y337=regle!$H$11,regle!$H$23,IF(Y337=regle!$I$11,regle!$I$23,IF(Y337=regle!$J$11,regle!$J$23,0)))))))))))</f>
        <v>0</v>
      </c>
      <c r="AJ337" s="14">
        <f>IF($A337,$M337*(IF(Z337=regle!$B$11,regle!$B$23,IF(Z337=regle!$C$11,regle!$C$23,IF(Z337=regle!$D$11,regle!$D$23,IF(Z337=regle!$E$11,regle!$E$23,IF(Z337=regle!$F$11,regle!$F$23,IF(Z337=regle!$G$11,regle!$G$23,IF(Z337=regle!$H$11,regle!$H$23,IF(Z337=regle!$I$11,regle!$I$23,IF(Z337=regle!$J$11,regle!$J$23,0)))))))))))</f>
        <v>0</v>
      </c>
      <c r="AK337" s="14">
        <f>IF($A337,$M337*(IF(AA337=regle!$B$11,regle!$B$23,IF(AA337=regle!$C$11,regle!$C$23,IF(AA337=regle!$D$11,regle!$D$23,IF(AA337=regle!$E$11,regle!$E$23,IF(AA337=regle!$F$11,regle!$F$23,IF(AA337=regle!$G$11,regle!$G$23,IF(AA337=regle!$H$11,regle!$H$23,IF(AA337=regle!$I$11,regle!$I$23,IF(AA337=regle!$J$11,regle!$J$23,0)))))))))))</f>
        <v>0</v>
      </c>
      <c r="AL337" s="14">
        <f>IF($A337,$M337*(IF(AB337=regle!$B$11,regle!$B$23,IF(AB337=regle!$C$11,regle!$C$23,IF(AB337=regle!$D$11,regle!$D$23,IF(AB337=regle!$E$11,regle!$E$23,IF(AB337=regle!$F$11,regle!$F$23,IF(AB337=regle!$G$11,regle!$G$23,IF(AB337=regle!$H$11,regle!$H$23,IF(AB337=regle!$I$11,regle!$I$23,IF(AB337=regle!$J$11,regle!$J$23,0)))))))))))</f>
        <v>0</v>
      </c>
      <c r="AM337" s="14">
        <f>IF($A337,$M337*(IF(AC337=regle!$B$11,regle!$B$23,IF(AC337=regle!$C$11,regle!$C$23,IF(AC337=regle!$D$11,regle!$D$23,IF(AC337=regle!$E$11,regle!$E$23,IF(AC337=regle!$F$11,regle!$F$23,IF(AC337=regle!$G$11,regle!$G$23,IF(AC337=regle!$H$11,regle!$H$23,IF(AC337=regle!$I$11,regle!$I$23,IF(AC337=regle!$J$11,regle!$J$23,0)))))))))))</f>
        <v>83.462400000000002</v>
      </c>
      <c r="AN337" s="14">
        <f>IF($A337,$M337*(IF(AD337=regle!$B$11,regle!$B$23,IF(AD337=regle!$C$11,regle!$C$23,IF(AD337=regle!$D$11,regle!$D$23,IF(AD337=regle!$E$11,regle!$E$23,IF(AD337=regle!$F$11,regle!$F$23,IF(AD337=regle!$G$11,regle!$G$23,IF(AD337=regle!$H$11,regle!$H$23,IF(AD337=regle!$I$11,regle!$I$23,IF(AD337=regle!$J$11,regle!$J$23,0)))))))))))</f>
        <v>0</v>
      </c>
      <c r="AO337">
        <f>IF(AO$1=$AO$1,IF(regle!B$2-$Q337&gt;=regle!$J$12,-2,IF($S337,IF(regle!$B$2-$Q337&gt;=2,0,-1),regle!B$2-$Q337)),IF(AN337+1&gt;=regle!$J$12,-2,AN337+1))</f>
        <v>5</v>
      </c>
      <c r="AP337">
        <f>IF(AP$1=$AO$1,IF(regle!C$2-$Q337&gt;=regle!$J$12,-2,IF($S337,IF(regle!$B$2-$Q337&gt;=2,0,-1),regle!C$2-$Q337)),IF(AO337+1&gt;=regle!$J$12,-2,AO337+1))</f>
        <v>6</v>
      </c>
      <c r="AQ337">
        <f>IF(AQ$1=$AO$1,IF(regle!D$2-$Q337&gt;=regle!$J$12,-2,IF($S337,IF(regle!$B$2-$Q337&gt;=2,0,-1),regle!D$2-$Q337)),IF(AP337+1&gt;=regle!$J$12,-2,AP337+1))</f>
        <v>7</v>
      </c>
      <c r="AR337">
        <f>IF(AR$1=$AO$1,IF(regle!E$2-$Q337&gt;=regle!$J$12,-2,IF($S337,IF(regle!$B$2-$Q337&gt;=2,0,-1),regle!E$2-$Q337)),IF(AQ337+1&gt;=regle!$J$12,-2,AQ337+1))</f>
        <v>8</v>
      </c>
      <c r="AS337">
        <f>IF(AS$1=$AO$1,IF(regle!F$2-$Q337&gt;=regle!$J$12,-2,IF($S337,IF(regle!$B$2-$Q337&gt;=2,0,-1),regle!F$2-$Q337)),IF(AR337+1&gt;=regle!$J$12,-2,AR337+1))</f>
        <v>9</v>
      </c>
      <c r="AT337">
        <f>IF(AT$1=$AO$1,IF(regle!G$2-$Q337&gt;=regle!$J$12,-2,IF($S337,IF(regle!$B$2-$Q337&gt;=2,0,-1),regle!G$2-$Q337)),IF(AS337+1&gt;=regle!$J$12,-2,AS337+1))</f>
        <v>10</v>
      </c>
      <c r="AU337">
        <f>IF(AU$1=$AO$1,IF(regle!H$2-$Q337&gt;=regle!$J$12,-2,IF($S337,IF(regle!$B$2-$Q337&gt;=2,0,-1),regle!H$2-$Q337)),IF(AT337+1&gt;=regle!$J$12,-2,AT337+1))</f>
        <v>11</v>
      </c>
      <c r="AV337">
        <f>IF(AV$1=$AO$1,IF(regle!I$2-$Q337&gt;=regle!$J$12,-2,IF($S337,IF(regle!$B$2-$Q337&gt;=2,0,-1),regle!I$2-$Q337)),IF(AU337+1&gt;=regle!$J$12,-2,AU337+1))</f>
        <v>12</v>
      </c>
      <c r="AW337">
        <f>IF(AW$1=$AO$1,IF(regle!J$2-$Q337&gt;=regle!$J$12,-2,IF($S337,IF(regle!$B$2-$Q337&gt;=2,0,-1),regle!J$2-$Q337)),IF(AV337+1&gt;=regle!$J$12,-2,AV337+1))</f>
        <v>13</v>
      </c>
      <c r="AX337">
        <f>IF(AX$1=$AO$1,IF(regle!K$2-$Q337&gt;=regle!$J$12,-2,IF($S337,IF(regle!$B$2-$Q337&gt;=2,0,-1),regle!K$2-$Q337)),IF(AW337+1&gt;=regle!$J$12,-2,AW337+1))</f>
        <v>14</v>
      </c>
    </row>
    <row r="338" spans="1:50" x14ac:dyDescent="0.25">
      <c r="A338" t="b">
        <f>AND(modif0[[#This Row],[cdstr]]&lt;&gt;0,OR(regle!$H$27=FALSE,modif0[[#This Row],[essnc]]="PM"))</f>
        <v>1</v>
      </c>
      <c r="B338">
        <f>ROW(objet!A389)</f>
        <v>389</v>
      </c>
      <c r="C338" s="10" t="str">
        <f>objet!D389</f>
        <v>0770000D2311</v>
      </c>
      <c r="D338" t="str">
        <f>LEFT(modif0[[#This Row],[cdstr]],3)</f>
        <v>077</v>
      </c>
      <c r="E338" s="10" t="str">
        <f>objet!G389</f>
        <v>CABANAC-ET-VILLAGRAINS</v>
      </c>
      <c r="F338">
        <f>LEN(modif0[[#This Row],[l_dt]])</f>
        <v>12</v>
      </c>
      <c r="G338" s="10" t="str">
        <f>objet!H389</f>
        <v>LES JEANNOTS</v>
      </c>
      <c r="H338" s="10" t="str">
        <f>objet!C389</f>
        <v>D2311</v>
      </c>
      <c r="I338" t="str">
        <f>IF(ISNUMBER(VALUE(RIGHT(LEFT(modif0[[#This Row],[idntfn]],2),1))),_xlfn.CONCAT(0,LEFT(modif0[[#This Row],[idntfn]],1)),LEFT(modif0[[#This Row],[idntfn]],2))</f>
        <v>0D</v>
      </c>
      <c r="J338">
        <f>VALUE(LEFT(RIGHT(modif0[[#This Row],[idntfn]],LEN(modif0[[#This Row],[idntfn]])-IF(LEFT(modif0[[#This Row],[sctn]],1)="0",1,2)),LEN(modif0[[#This Row],[idntfn]])-IF(LEFT(modif0[[#This Row],[sctn]],1)="0",1,2)-LEN(modif0[[#This Row],[lttr]])))</f>
        <v>2311</v>
      </c>
      <c r="K338" t="str">
        <f>IF(ISNUMBER(VALUE(RIGHT(modif0[[#This Row],[idntfn]],1))),"",IF(ISNUMBER(VALUE(LEFT(RIGHT(modif0[[#This Row],[idntfn]],2),1))),RIGHT(modif0[[#This Row],[idntfn]],1),RIGHT(modif0[[#This Row],[idntfn]],2)))</f>
        <v/>
      </c>
      <c r="L338" s="10">
        <f>objet!I389</f>
        <v>6323</v>
      </c>
      <c r="M338" s="11">
        <f>modif0[[#This Row],[srfc]]/10000</f>
        <v>0.63229999999999997</v>
      </c>
      <c r="N338" s="10" t="str">
        <f>objet!Z389</f>
        <v>PM</v>
      </c>
      <c r="O338" s="10" t="str">
        <f>objet!AA389</f>
        <v>PLA2019</v>
      </c>
      <c r="P338" t="str">
        <f>IF(ISNUMBER(modif0[[#This Row],[trvx]]),"",LEFT(modif0[[#This Row],[trvx]],LEN(modif0[[#This Row],[trvx]])-4))</f>
        <v>PLA</v>
      </c>
      <c r="Q338">
        <f>VALUE(RIGHT(modif0[[#This Row],[trvx]],4))</f>
        <v>2019</v>
      </c>
      <c r="R338" t="str">
        <f>_xlfn.CONCAT(modif0[[#This Row],[tp]],"-",modif0[[#This Row],[essnc]],"_",modif0[[#This Row],[anns]])</f>
        <v>PLA-PM_2019</v>
      </c>
      <c r="S338" t="b">
        <f>modif0[[#This Row],[tp]]="CR"</f>
        <v>0</v>
      </c>
      <c r="T338">
        <v>40</v>
      </c>
      <c r="U338" t="str">
        <f>IF(NOT($A338),"",
IF(AO338=-2,regle!$J$11,
IF(AO338=regle!$B$12,regle!$B$11,
IF(AO338=regle!$C$12,regle!$C$11,
IF(AO338=regle!$D$12,regle!$D$11,
IF(AO338=regle!$E$12,regle!$E$11,
IF(AO338=regle!$F$12,regle!$F$11,
IF(AO338=regle!$G$12,regle!$G$11,
IF(AO338=regle!$H$12,regle!$H$11,
IF(AO338=regle!$I$12,regle!$I$11,""))))))))))</f>
        <v>ENT1</v>
      </c>
      <c r="V338" t="str">
        <f>IF(NOT($A338),"",
IF(AP338=-2,regle!$J$11,
IF(AP338=regle!$B$12,regle!$B$11,
IF(AP338=regle!$C$12,regle!$C$11,
IF(AP338=regle!$D$12,regle!$D$11,
IF(AP338=regle!$E$12,regle!$E$11,
IF(AP338=regle!$F$12,regle!$F$11,
IF(AP338=regle!$G$12,regle!$G$11,
IF(AP338=regle!$H$12,regle!$H$11,
IF(AP338=regle!$I$12,regle!$I$11,""))))))))))</f>
        <v/>
      </c>
      <c r="W338" t="str">
        <f>IF(NOT($A338),"",
IF(AQ338=-2,regle!$J$11,
IF(AQ338=regle!$B$12,regle!$B$11,
IF(AQ338=regle!$C$12,regle!$C$11,
IF(AQ338=regle!$D$12,regle!$D$11,
IF(AQ338=regle!$E$12,regle!$E$11,
IF(AQ338=regle!$F$12,regle!$F$11,
IF(AQ338=regle!$G$12,regle!$G$11,
IF(AQ338=regle!$H$12,regle!$H$11,
IF(AQ338=regle!$I$12,regle!$I$11,""))))))))))</f>
        <v/>
      </c>
      <c r="X338" t="str">
        <f>IF(NOT($A338),"",
IF(AR338=-2,regle!$J$11,
IF(AR338=regle!$B$12,regle!$B$11,
IF(AR338=regle!$C$12,regle!$C$11,
IF(AR338=regle!$D$12,regle!$D$11,
IF(AR338=regle!$E$12,regle!$E$11,
IF(AR338=regle!$F$12,regle!$F$11,
IF(AR338=regle!$G$12,regle!$G$11,
IF(AR338=regle!$H$12,regle!$H$11,
IF(AR338=regle!$I$12,regle!$I$11,""))))))))))</f>
        <v>ENT2</v>
      </c>
      <c r="Y338" t="str">
        <f>IF(NOT($A338),"",
IF(AS338=-2,regle!$J$11,
IF(AS338=regle!$B$12,regle!$B$11,
IF(AS338=regle!$C$12,regle!$C$11,
IF(AS338=regle!$D$12,regle!$D$11,
IF(AS338=regle!$E$12,regle!$E$11,
IF(AS338=regle!$F$12,regle!$F$11,
IF(AS338=regle!$G$12,regle!$G$11,
IF(AS338=regle!$H$12,regle!$H$11,
IF(AS338=regle!$I$12,regle!$I$11,""))))))))))</f>
        <v/>
      </c>
      <c r="Z338" t="str">
        <f>IF(NOT($A338),"",
IF(AT338=-2,regle!$J$11,
IF(AT338=regle!$B$12,regle!$B$11,
IF(AT338=regle!$C$12,regle!$C$11,
IF(AT338=regle!$D$12,regle!$D$11,
IF(AT338=regle!$E$12,regle!$E$11,
IF(AT338=regle!$F$12,regle!$F$11,
IF(AT338=regle!$G$12,regle!$G$11,
IF(AT338=regle!$H$12,regle!$H$11,
IF(AT338=regle!$I$12,regle!$I$11,""))))))))))</f>
        <v/>
      </c>
      <c r="AA338" t="str">
        <f>IF(NOT($A338),"",
IF(AU338=-2,regle!$J$11,
IF(AU338=regle!$B$12,regle!$B$11,
IF(AU338=regle!$C$12,regle!$C$11,
IF(AU338=regle!$D$12,regle!$D$11,
IF(AU338=regle!$E$12,regle!$E$11,
IF(AU338=regle!$F$12,regle!$F$11,
IF(AU338=regle!$G$12,regle!$G$11,
IF(AU338=regle!$H$12,regle!$H$11,
IF(AU338=regle!$I$12,regle!$I$11,""))))))))))</f>
        <v/>
      </c>
      <c r="AB338" t="str">
        <f>IF(NOT($A338),"",
IF(AV338=-2,regle!$J$11,
IF(AV338=regle!$B$12,regle!$B$11,
IF(AV338=regle!$C$12,regle!$C$11,
IF(AV338=regle!$D$12,regle!$D$11,
IF(AV338=regle!$E$12,regle!$E$11,
IF(AV338=regle!$F$12,regle!$F$11,
IF(AV338=regle!$G$12,regle!$G$11,
IF(AV338=regle!$H$12,regle!$H$11,
IF(AV338=regle!$I$12,regle!$I$11,""))))))))))</f>
        <v/>
      </c>
      <c r="AC338" t="str">
        <f>IF(NOT($A338),"",
IF(AW338=-2,regle!$J$11,
IF(AW338=regle!$B$12,regle!$B$11,
IF(AW338=regle!$C$12,regle!$C$11,
IF(AW338=regle!$D$12,regle!$D$11,
IF(AW338=regle!$E$12,regle!$E$11,
IF(AW338=regle!$F$12,regle!$F$11,
IF(AW338=regle!$G$12,regle!$G$11,
IF(AW338=regle!$H$12,regle!$H$11,
IF(AW338=regle!$I$12,regle!$I$11,""))))))))))</f>
        <v>EC1</v>
      </c>
      <c r="AD338" t="str">
        <f>IF(NOT($A338),"",
IF(AX338=-2,regle!$J$11,
IF(AX338=regle!$B$12,regle!$B$11,
IF(AX338=regle!$C$12,regle!$C$11,
IF(AX338=regle!$D$12,regle!$D$11,
IF(AX338=regle!$E$12,regle!$E$11,
IF(AX338=regle!$F$12,regle!$F$11,
IF(AX338=regle!$G$12,regle!$G$11,
IF(AX338=regle!$H$12,regle!$H$11,
IF(AX338=regle!$I$12,regle!$I$11,""))))))))))</f>
        <v/>
      </c>
      <c r="AE338" s="14">
        <f>IF($A338,$M338*(IF(U338=regle!$B$11,regle!$B$23,IF(U338=regle!$C$11,regle!$C$23,IF(U338=regle!$D$11,regle!$D$23,IF(U338=regle!$E$11,regle!$E$23,IF(U338=regle!$F$11,regle!$F$23,IF(U338=regle!$G$11,regle!$G$23,IF(U338=regle!$H$11,regle!$H$23,IF(U338=regle!$I$11,regle!$I$23,IF(U338=regle!$J$11,regle!$J$23,0)))))))))))</f>
        <v>-56.906999999999996</v>
      </c>
      <c r="AF338" s="14">
        <f>IF($A338,$M338*(IF(V338=regle!$B$11,regle!$B$23,IF(V338=regle!$C$11,regle!$C$23,IF(V338=regle!$D$11,regle!$D$23,IF(V338=regle!$E$11,regle!$E$23,IF(V338=regle!$F$11,regle!$F$23,IF(V338=regle!$G$11,regle!$G$23,IF(V338=regle!$H$11,regle!$H$23,IF(V338=regle!$I$11,regle!$I$23,IF(V338=regle!$J$11,regle!$J$23,0)))))))))))</f>
        <v>0</v>
      </c>
      <c r="AG338" s="14">
        <f>IF($A338,$M338*(IF(W338=regle!$B$11,regle!$B$23,IF(W338=regle!$C$11,regle!$C$23,IF(W338=regle!$D$11,regle!$D$23,IF(W338=regle!$E$11,regle!$E$23,IF(W338=regle!$F$11,regle!$F$23,IF(W338=regle!$G$11,regle!$G$23,IF(W338=regle!$H$11,regle!$H$23,IF(W338=regle!$I$11,regle!$I$23,IF(W338=regle!$J$11,regle!$J$23,0)))))))))))</f>
        <v>0</v>
      </c>
      <c r="AH338" s="14">
        <f>IF($A338,$M338*(IF(X338=regle!$B$11,regle!$B$23,IF(X338=regle!$C$11,regle!$C$23,IF(X338=regle!$D$11,regle!$D$23,IF(X338=regle!$E$11,regle!$E$23,IF(X338=regle!$F$11,regle!$F$23,IF(X338=regle!$G$11,regle!$G$23,IF(X338=regle!$H$11,regle!$H$23,IF(X338=regle!$I$11,regle!$I$23,IF(X338=regle!$J$11,regle!$J$23,0)))))))))))</f>
        <v>-56.906999999999996</v>
      </c>
      <c r="AI338" s="14">
        <f>IF($A338,$M338*(IF(Y338=regle!$B$11,regle!$B$23,IF(Y338=regle!$C$11,regle!$C$23,IF(Y338=regle!$D$11,regle!$D$23,IF(Y338=regle!$E$11,regle!$E$23,IF(Y338=regle!$F$11,regle!$F$23,IF(Y338=regle!$G$11,regle!$G$23,IF(Y338=regle!$H$11,regle!$H$23,IF(Y338=regle!$I$11,regle!$I$23,IF(Y338=regle!$J$11,regle!$J$23,0)))))))))))</f>
        <v>0</v>
      </c>
      <c r="AJ338" s="14">
        <f>IF($A338,$M338*(IF(Z338=regle!$B$11,regle!$B$23,IF(Z338=regle!$C$11,regle!$C$23,IF(Z338=regle!$D$11,regle!$D$23,IF(Z338=regle!$E$11,regle!$E$23,IF(Z338=regle!$F$11,regle!$F$23,IF(Z338=regle!$G$11,regle!$G$23,IF(Z338=regle!$H$11,regle!$H$23,IF(Z338=regle!$I$11,regle!$I$23,IF(Z338=regle!$J$11,regle!$J$23,0)))))))))))</f>
        <v>0</v>
      </c>
      <c r="AK338" s="14">
        <f>IF($A338,$M338*(IF(AA338=regle!$B$11,regle!$B$23,IF(AA338=regle!$C$11,regle!$C$23,IF(AA338=regle!$D$11,regle!$D$23,IF(AA338=regle!$E$11,regle!$E$23,IF(AA338=regle!$F$11,regle!$F$23,IF(AA338=regle!$G$11,regle!$G$23,IF(AA338=regle!$H$11,regle!$H$23,IF(AA338=regle!$I$11,regle!$I$23,IF(AA338=regle!$J$11,regle!$J$23,0)))))))))))</f>
        <v>0</v>
      </c>
      <c r="AL338" s="14">
        <f>IF($A338,$M338*(IF(AB338=regle!$B$11,regle!$B$23,IF(AB338=regle!$C$11,regle!$C$23,IF(AB338=regle!$D$11,regle!$D$23,IF(AB338=regle!$E$11,regle!$E$23,IF(AB338=regle!$F$11,regle!$F$23,IF(AB338=regle!$G$11,regle!$G$23,IF(AB338=regle!$H$11,regle!$H$23,IF(AB338=regle!$I$11,regle!$I$23,IF(AB338=regle!$J$11,regle!$J$23,0)))))))))))</f>
        <v>0</v>
      </c>
      <c r="AM338" s="14">
        <f>IF($A338,$M338*(IF(AC338=regle!$B$11,regle!$B$23,IF(AC338=regle!$C$11,regle!$C$23,IF(AC338=regle!$D$11,regle!$D$23,IF(AC338=regle!$E$11,regle!$E$23,IF(AC338=regle!$F$11,regle!$F$23,IF(AC338=regle!$G$11,regle!$G$23,IF(AC338=regle!$H$11,regle!$H$23,IF(AC338=regle!$I$11,regle!$I$23,IF(AC338=regle!$J$11,regle!$J$23,0)))))))))))</f>
        <v>364.20479999999998</v>
      </c>
      <c r="AN338" s="14">
        <f>IF($A338,$M338*(IF(AD338=regle!$B$11,regle!$B$23,IF(AD338=regle!$C$11,regle!$C$23,IF(AD338=regle!$D$11,regle!$D$23,IF(AD338=regle!$E$11,regle!$E$23,IF(AD338=regle!$F$11,regle!$F$23,IF(AD338=regle!$G$11,regle!$G$23,IF(AD338=regle!$H$11,regle!$H$23,IF(AD338=regle!$I$11,regle!$I$23,IF(AD338=regle!$J$11,regle!$J$23,0)))))))))))</f>
        <v>0</v>
      </c>
      <c r="AO338">
        <f>IF(AO$1=$AO$1,IF(regle!B$2-$Q338&gt;=regle!$J$12,-2,IF($S338,IF(regle!$B$2-$Q338&gt;=2,0,-1),regle!B$2-$Q338)),IF(AN338+1&gt;=regle!$J$12,-2,AN338+1))</f>
        <v>5</v>
      </c>
      <c r="AP338">
        <f>IF(AP$1=$AO$1,IF(regle!C$2-$Q338&gt;=regle!$J$12,-2,IF($S338,IF(regle!$B$2-$Q338&gt;=2,0,-1),regle!C$2-$Q338)),IF(AO338+1&gt;=regle!$J$12,-2,AO338+1))</f>
        <v>6</v>
      </c>
      <c r="AQ338">
        <f>IF(AQ$1=$AO$1,IF(regle!D$2-$Q338&gt;=regle!$J$12,-2,IF($S338,IF(regle!$B$2-$Q338&gt;=2,0,-1),regle!D$2-$Q338)),IF(AP338+1&gt;=regle!$J$12,-2,AP338+1))</f>
        <v>7</v>
      </c>
      <c r="AR338">
        <f>IF(AR$1=$AO$1,IF(regle!E$2-$Q338&gt;=regle!$J$12,-2,IF($S338,IF(regle!$B$2-$Q338&gt;=2,0,-1),regle!E$2-$Q338)),IF(AQ338+1&gt;=regle!$J$12,-2,AQ338+1))</f>
        <v>8</v>
      </c>
      <c r="AS338">
        <f>IF(AS$1=$AO$1,IF(regle!F$2-$Q338&gt;=regle!$J$12,-2,IF($S338,IF(regle!$B$2-$Q338&gt;=2,0,-1),regle!F$2-$Q338)),IF(AR338+1&gt;=regle!$J$12,-2,AR338+1))</f>
        <v>9</v>
      </c>
      <c r="AT338">
        <f>IF(AT$1=$AO$1,IF(regle!G$2-$Q338&gt;=regle!$J$12,-2,IF($S338,IF(regle!$B$2-$Q338&gt;=2,0,-1),regle!G$2-$Q338)),IF(AS338+1&gt;=regle!$J$12,-2,AS338+1))</f>
        <v>10</v>
      </c>
      <c r="AU338">
        <f>IF(AU$1=$AO$1,IF(regle!H$2-$Q338&gt;=regle!$J$12,-2,IF($S338,IF(regle!$B$2-$Q338&gt;=2,0,-1),regle!H$2-$Q338)),IF(AT338+1&gt;=regle!$J$12,-2,AT338+1))</f>
        <v>11</v>
      </c>
      <c r="AV338">
        <f>IF(AV$1=$AO$1,IF(regle!I$2-$Q338&gt;=regle!$J$12,-2,IF($S338,IF(regle!$B$2-$Q338&gt;=2,0,-1),regle!I$2-$Q338)),IF(AU338+1&gt;=regle!$J$12,-2,AU338+1))</f>
        <v>12</v>
      </c>
      <c r="AW338">
        <f>IF(AW$1=$AO$1,IF(regle!J$2-$Q338&gt;=regle!$J$12,-2,IF($S338,IF(regle!$B$2-$Q338&gt;=2,0,-1),regle!J$2-$Q338)),IF(AV338+1&gt;=regle!$J$12,-2,AV338+1))</f>
        <v>13</v>
      </c>
      <c r="AX338">
        <f>IF(AX$1=$AO$1,IF(regle!K$2-$Q338&gt;=regle!$J$12,-2,IF($S338,IF(regle!$B$2-$Q338&gt;=2,0,-1),regle!K$2-$Q338)),IF(AW338+1&gt;=regle!$J$12,-2,AW338+1))</f>
        <v>14</v>
      </c>
    </row>
    <row r="339" spans="1:50" x14ac:dyDescent="0.25">
      <c r="A339" t="b">
        <f>AND(modif0[[#This Row],[cdstr]]&lt;&gt;0,OR(regle!$H$27=FALSE,modif0[[#This Row],[essnc]]="PM"))</f>
        <v>1</v>
      </c>
      <c r="B339">
        <f>ROW(objet!A390)</f>
        <v>390</v>
      </c>
      <c r="C339" s="10" t="str">
        <f>objet!D390</f>
        <v>1710000D0262</v>
      </c>
      <c r="D339" t="str">
        <f>LEFT(modif0[[#This Row],[cdstr]],3)</f>
        <v>171</v>
      </c>
      <c r="E339" s="10" t="str">
        <f>objet!G390</f>
        <v>MANO</v>
      </c>
      <c r="F339">
        <f>LEN(modif0[[#This Row],[l_dt]])</f>
        <v>5</v>
      </c>
      <c r="G339" s="10" t="str">
        <f>objet!H390</f>
        <v>BOSCQ</v>
      </c>
      <c r="H339" s="10" t="str">
        <f>objet!C390</f>
        <v>D262</v>
      </c>
      <c r="I339" t="str">
        <f>IF(ISNUMBER(VALUE(RIGHT(LEFT(modif0[[#This Row],[idntfn]],2),1))),_xlfn.CONCAT(0,LEFT(modif0[[#This Row],[idntfn]],1)),LEFT(modif0[[#This Row],[idntfn]],2))</f>
        <v>0D</v>
      </c>
      <c r="J339">
        <f>VALUE(LEFT(RIGHT(modif0[[#This Row],[idntfn]],LEN(modif0[[#This Row],[idntfn]])-IF(LEFT(modif0[[#This Row],[sctn]],1)="0",1,2)),LEN(modif0[[#This Row],[idntfn]])-IF(LEFT(modif0[[#This Row],[sctn]],1)="0",1,2)-LEN(modif0[[#This Row],[lttr]])))</f>
        <v>262</v>
      </c>
      <c r="K339" t="str">
        <f>IF(ISNUMBER(VALUE(RIGHT(modif0[[#This Row],[idntfn]],1))),"",IF(ISNUMBER(VALUE(LEFT(RIGHT(modif0[[#This Row],[idntfn]],2),1))),RIGHT(modif0[[#This Row],[idntfn]],1),RIGHT(modif0[[#This Row],[idntfn]],2)))</f>
        <v/>
      </c>
      <c r="L339" s="10">
        <f>objet!I390</f>
        <v>18297</v>
      </c>
      <c r="M339" s="11">
        <f>modif0[[#This Row],[srfc]]/10000</f>
        <v>1.8297000000000001</v>
      </c>
      <c r="N339" s="10" t="str">
        <f>objet!Z390</f>
        <v>PM</v>
      </c>
      <c r="O339" s="10" t="str">
        <f>objet!AA390</f>
        <v>CR2022</v>
      </c>
      <c r="P339" t="str">
        <f>IF(ISNUMBER(modif0[[#This Row],[trvx]]),"",LEFT(modif0[[#This Row],[trvx]],LEN(modif0[[#This Row],[trvx]])-4))</f>
        <v>CR</v>
      </c>
      <c r="Q339">
        <f>VALUE(RIGHT(modif0[[#This Row],[trvx]],4))</f>
        <v>2022</v>
      </c>
      <c r="R339" t="str">
        <f>_xlfn.CONCAT(modif0[[#This Row],[tp]],"-",modif0[[#This Row],[essnc]],"_",modif0[[#This Row],[anns]])</f>
        <v>CR-PM_2022</v>
      </c>
      <c r="S339" t="b">
        <f>modif0[[#This Row],[tp]]="CR"</f>
        <v>1</v>
      </c>
      <c r="T339">
        <v>40</v>
      </c>
      <c r="U339" t="str">
        <f>IF(NOT($A339),"",
IF(AO339=-2,regle!$J$11,
IF(AO339=regle!$B$12,regle!$B$11,
IF(AO339=regle!$C$12,regle!$C$11,
IF(AO339=regle!$D$12,regle!$D$11,
IF(AO339=regle!$E$12,regle!$E$11,
IF(AO339=regle!$F$12,regle!$F$11,
IF(AO339=regle!$G$12,regle!$G$11,
IF(AO339=regle!$H$12,regle!$H$11,
IF(AO339=regle!$I$12,regle!$I$11,""))))))))))</f>
        <v>RBST</v>
      </c>
      <c r="V339" t="str">
        <f>IF(NOT($A339),"",
IF(AP339=-2,regle!$J$11,
IF(AP339=regle!$B$12,regle!$B$11,
IF(AP339=regle!$C$12,regle!$C$11,
IF(AP339=regle!$D$12,regle!$D$11,
IF(AP339=regle!$E$12,regle!$E$11,
IF(AP339=regle!$F$12,regle!$F$11,
IF(AP339=regle!$G$12,regle!$G$11,
IF(AP339=regle!$H$12,regle!$H$11,
IF(AP339=regle!$I$12,regle!$I$11,""))))))))))</f>
        <v/>
      </c>
      <c r="W339" t="str">
        <f>IF(NOT($A339),"",
IF(AQ339=-2,regle!$J$11,
IF(AQ339=regle!$B$12,regle!$B$11,
IF(AQ339=regle!$C$12,regle!$C$11,
IF(AQ339=regle!$D$12,regle!$D$11,
IF(AQ339=regle!$E$12,regle!$E$11,
IF(AQ339=regle!$F$12,regle!$F$11,
IF(AQ339=regle!$G$12,regle!$G$11,
IF(AQ339=regle!$H$12,regle!$H$11,
IF(AQ339=regle!$I$12,regle!$I$11,""))))))))))</f>
        <v>DGT</v>
      </c>
      <c r="X339" t="str">
        <f>IF(NOT($A339),"",
IF(AR339=-2,regle!$J$11,
IF(AR339=regle!$B$12,regle!$B$11,
IF(AR339=regle!$C$12,regle!$C$11,
IF(AR339=regle!$D$12,regle!$D$11,
IF(AR339=regle!$E$12,regle!$E$11,
IF(AR339=regle!$F$12,regle!$F$11,
IF(AR339=regle!$G$12,regle!$G$11,
IF(AR339=regle!$H$12,regle!$H$11,
IF(AR339=regle!$I$12,regle!$I$11,""))))))))))</f>
        <v/>
      </c>
      <c r="Y339" t="str">
        <f>IF(NOT($A339),"",
IF(AS339=-2,regle!$J$11,
IF(AS339=regle!$B$12,regle!$B$11,
IF(AS339=regle!$C$12,regle!$C$11,
IF(AS339=regle!$D$12,regle!$D$11,
IF(AS339=regle!$E$12,regle!$E$11,
IF(AS339=regle!$F$12,regle!$F$11,
IF(AS339=regle!$G$12,regle!$G$11,
IF(AS339=regle!$H$12,regle!$H$11,
IF(AS339=regle!$I$12,regle!$I$11,""))))))))))</f>
        <v/>
      </c>
      <c r="Z339" t="str">
        <f>IF(NOT($A339),"",
IF(AT339=-2,regle!$J$11,
IF(AT339=regle!$B$12,regle!$B$11,
IF(AT339=regle!$C$12,regle!$C$11,
IF(AT339=regle!$D$12,regle!$D$11,
IF(AT339=regle!$E$12,regle!$E$11,
IF(AT339=regle!$F$12,regle!$F$11,
IF(AT339=regle!$G$12,regle!$G$11,
IF(AT339=regle!$H$12,regle!$H$11,
IF(AT339=regle!$I$12,regle!$I$11,""))))))))))</f>
        <v>ENT1</v>
      </c>
      <c r="AA339" t="str">
        <f>IF(NOT($A339),"",
IF(AU339=-2,regle!$J$11,
IF(AU339=regle!$B$12,regle!$B$11,
IF(AU339=regle!$C$12,regle!$C$11,
IF(AU339=regle!$D$12,regle!$D$11,
IF(AU339=regle!$E$12,regle!$E$11,
IF(AU339=regle!$F$12,regle!$F$11,
IF(AU339=regle!$G$12,regle!$G$11,
IF(AU339=regle!$H$12,regle!$H$11,
IF(AU339=regle!$I$12,regle!$I$11,""))))))))))</f>
        <v/>
      </c>
      <c r="AB339" t="str">
        <f>IF(NOT($A339),"",
IF(AV339=-2,regle!$J$11,
IF(AV339=regle!$B$12,regle!$B$11,
IF(AV339=regle!$C$12,regle!$C$11,
IF(AV339=regle!$D$12,regle!$D$11,
IF(AV339=regle!$E$12,regle!$E$11,
IF(AV339=regle!$F$12,regle!$F$11,
IF(AV339=regle!$G$12,regle!$G$11,
IF(AV339=regle!$H$12,regle!$H$11,
IF(AV339=regle!$I$12,regle!$I$11,""))))))))))</f>
        <v/>
      </c>
      <c r="AC339" t="str">
        <f>IF(NOT($A339),"",
IF(AW339=-2,regle!$J$11,
IF(AW339=regle!$B$12,regle!$B$11,
IF(AW339=regle!$C$12,regle!$C$11,
IF(AW339=regle!$D$12,regle!$D$11,
IF(AW339=regle!$E$12,regle!$E$11,
IF(AW339=regle!$F$12,regle!$F$11,
IF(AW339=regle!$G$12,regle!$G$11,
IF(AW339=regle!$H$12,regle!$H$11,
IF(AW339=regle!$I$12,regle!$I$11,""))))))))))</f>
        <v>ENT2</v>
      </c>
      <c r="AD339" t="str">
        <f>IF(NOT($A339),"",
IF(AX339=-2,regle!$J$11,
IF(AX339=regle!$B$12,regle!$B$11,
IF(AX339=regle!$C$12,regle!$C$11,
IF(AX339=regle!$D$12,regle!$D$11,
IF(AX339=regle!$E$12,regle!$E$11,
IF(AX339=regle!$F$12,regle!$F$11,
IF(AX339=regle!$G$12,regle!$G$11,
IF(AX339=regle!$H$12,regle!$H$11,
IF(AX339=regle!$I$12,regle!$I$11,""))))))))))</f>
        <v/>
      </c>
      <c r="AE339" s="14">
        <f>IF($A339,$M339*(IF(U339=regle!$B$11,regle!$B$23,IF(U339=regle!$C$11,regle!$C$23,IF(U339=regle!$D$11,regle!$D$23,IF(U339=regle!$E$11,regle!$E$23,IF(U339=regle!$F$11,regle!$F$23,IF(U339=regle!$G$11,regle!$G$23,IF(U339=regle!$H$11,regle!$H$23,IF(U339=regle!$I$11,regle!$I$23,IF(U339=regle!$J$11,regle!$J$23,0)))))))))))</f>
        <v>-3110.4900000000002</v>
      </c>
      <c r="AF339" s="14">
        <f>IF($A339,$M339*(IF(V339=regle!$B$11,regle!$B$23,IF(V339=regle!$C$11,regle!$C$23,IF(V339=regle!$D$11,regle!$D$23,IF(V339=regle!$E$11,regle!$E$23,IF(V339=regle!$F$11,regle!$F$23,IF(V339=regle!$G$11,regle!$G$23,IF(V339=regle!$H$11,regle!$H$23,IF(V339=regle!$I$11,regle!$I$23,IF(V339=regle!$J$11,regle!$J$23,0)))))))))))</f>
        <v>0</v>
      </c>
      <c r="AG339" s="14">
        <f>IF($A339,$M339*(IF(W339=regle!$B$11,regle!$B$23,IF(W339=regle!$C$11,regle!$C$23,IF(W339=regle!$D$11,regle!$D$23,IF(W339=regle!$E$11,regle!$E$23,IF(W339=regle!$F$11,regle!$F$23,IF(W339=regle!$G$11,regle!$G$23,IF(W339=regle!$H$11,regle!$H$23,IF(W339=regle!$I$11,regle!$I$23,IF(W339=regle!$J$11,regle!$J$23,0)))))))))))</f>
        <v>-137.22750000000002</v>
      </c>
      <c r="AH339" s="14">
        <f>IF($A339,$M339*(IF(X339=regle!$B$11,regle!$B$23,IF(X339=regle!$C$11,regle!$C$23,IF(X339=regle!$D$11,regle!$D$23,IF(X339=regle!$E$11,regle!$E$23,IF(X339=regle!$F$11,regle!$F$23,IF(X339=regle!$G$11,regle!$G$23,IF(X339=regle!$H$11,regle!$H$23,IF(X339=regle!$I$11,regle!$I$23,IF(X339=regle!$J$11,regle!$J$23,0)))))))))))</f>
        <v>0</v>
      </c>
      <c r="AI339" s="14">
        <f>IF($A339,$M339*(IF(Y339=regle!$B$11,regle!$B$23,IF(Y339=regle!$C$11,regle!$C$23,IF(Y339=regle!$D$11,regle!$D$23,IF(Y339=regle!$E$11,regle!$E$23,IF(Y339=regle!$F$11,regle!$F$23,IF(Y339=regle!$G$11,regle!$G$23,IF(Y339=regle!$H$11,regle!$H$23,IF(Y339=regle!$I$11,regle!$I$23,IF(Y339=regle!$J$11,regle!$J$23,0)))))))))))</f>
        <v>0</v>
      </c>
      <c r="AJ339" s="14">
        <f>IF($A339,$M339*(IF(Z339=regle!$B$11,regle!$B$23,IF(Z339=regle!$C$11,regle!$C$23,IF(Z339=regle!$D$11,regle!$D$23,IF(Z339=regle!$E$11,regle!$E$23,IF(Z339=regle!$F$11,regle!$F$23,IF(Z339=regle!$G$11,regle!$G$23,IF(Z339=regle!$H$11,regle!$H$23,IF(Z339=regle!$I$11,regle!$I$23,IF(Z339=regle!$J$11,regle!$J$23,0)))))))))))</f>
        <v>-164.673</v>
      </c>
      <c r="AK339" s="14">
        <f>IF($A339,$M339*(IF(AA339=regle!$B$11,regle!$B$23,IF(AA339=regle!$C$11,regle!$C$23,IF(AA339=regle!$D$11,regle!$D$23,IF(AA339=regle!$E$11,regle!$E$23,IF(AA339=regle!$F$11,regle!$F$23,IF(AA339=regle!$G$11,regle!$G$23,IF(AA339=regle!$H$11,regle!$H$23,IF(AA339=regle!$I$11,regle!$I$23,IF(AA339=regle!$J$11,regle!$J$23,0)))))))))))</f>
        <v>0</v>
      </c>
      <c r="AL339" s="14">
        <f>IF($A339,$M339*(IF(AB339=regle!$B$11,regle!$B$23,IF(AB339=regle!$C$11,regle!$C$23,IF(AB339=regle!$D$11,regle!$D$23,IF(AB339=regle!$E$11,regle!$E$23,IF(AB339=regle!$F$11,regle!$F$23,IF(AB339=regle!$G$11,regle!$G$23,IF(AB339=regle!$H$11,regle!$H$23,IF(AB339=regle!$I$11,regle!$I$23,IF(AB339=regle!$J$11,regle!$J$23,0)))))))))))</f>
        <v>0</v>
      </c>
      <c r="AM339" s="14">
        <f>IF($A339,$M339*(IF(AC339=regle!$B$11,regle!$B$23,IF(AC339=regle!$C$11,regle!$C$23,IF(AC339=regle!$D$11,regle!$D$23,IF(AC339=regle!$E$11,regle!$E$23,IF(AC339=regle!$F$11,regle!$F$23,IF(AC339=regle!$G$11,regle!$G$23,IF(AC339=regle!$H$11,regle!$H$23,IF(AC339=regle!$I$11,regle!$I$23,IF(AC339=regle!$J$11,regle!$J$23,0)))))))))))</f>
        <v>-164.673</v>
      </c>
      <c r="AN339" s="14">
        <f>IF($A339,$M339*(IF(AD339=regle!$B$11,regle!$B$23,IF(AD339=regle!$C$11,regle!$C$23,IF(AD339=regle!$D$11,regle!$D$23,IF(AD339=regle!$E$11,regle!$E$23,IF(AD339=regle!$F$11,regle!$F$23,IF(AD339=regle!$G$11,regle!$G$23,IF(AD339=regle!$H$11,regle!$H$23,IF(AD339=regle!$I$11,regle!$I$23,IF(AD339=regle!$J$11,regle!$J$23,0)))))))))))</f>
        <v>0</v>
      </c>
      <c r="AO339">
        <f>IF(AO$1=$AO$1,IF(regle!B$2-$Q339&gt;=regle!$J$12,-2,IF($S339,IF(regle!$B$2-$Q339&gt;=2,0,-1),regle!B$2-$Q339)),IF(AN339+1&gt;=regle!$J$12,-2,AN339+1))</f>
        <v>0</v>
      </c>
      <c r="AP339">
        <f>IF(AP$1=$AO$1,IF(regle!C$2-$Q339&gt;=regle!$J$12,-2,IF($S339,IF(regle!$B$2-$Q339&gt;=2,0,-1),regle!C$2-$Q339)),IF(AO339+1&gt;=regle!$J$12,-2,AO339+1))</f>
        <v>1</v>
      </c>
      <c r="AQ339">
        <f>IF(AQ$1=$AO$1,IF(regle!D$2-$Q339&gt;=regle!$J$12,-2,IF($S339,IF(regle!$B$2-$Q339&gt;=2,0,-1),regle!D$2-$Q339)),IF(AP339+1&gt;=regle!$J$12,-2,AP339+1))</f>
        <v>2</v>
      </c>
      <c r="AR339">
        <f>IF(AR$1=$AO$1,IF(regle!E$2-$Q339&gt;=regle!$J$12,-2,IF($S339,IF(regle!$B$2-$Q339&gt;=2,0,-1),regle!E$2-$Q339)),IF(AQ339+1&gt;=regle!$J$12,-2,AQ339+1))</f>
        <v>3</v>
      </c>
      <c r="AS339">
        <f>IF(AS$1=$AO$1,IF(regle!F$2-$Q339&gt;=regle!$J$12,-2,IF($S339,IF(regle!$B$2-$Q339&gt;=2,0,-1),regle!F$2-$Q339)),IF(AR339+1&gt;=regle!$J$12,-2,AR339+1))</f>
        <v>4</v>
      </c>
      <c r="AT339">
        <f>IF(AT$1=$AO$1,IF(regle!G$2-$Q339&gt;=regle!$J$12,-2,IF($S339,IF(regle!$B$2-$Q339&gt;=2,0,-1),regle!G$2-$Q339)),IF(AS339+1&gt;=regle!$J$12,-2,AS339+1))</f>
        <v>5</v>
      </c>
      <c r="AU339">
        <f>IF(AU$1=$AO$1,IF(regle!H$2-$Q339&gt;=regle!$J$12,-2,IF($S339,IF(regle!$B$2-$Q339&gt;=2,0,-1),regle!H$2-$Q339)),IF(AT339+1&gt;=regle!$J$12,-2,AT339+1))</f>
        <v>6</v>
      </c>
      <c r="AV339">
        <f>IF(AV$1=$AO$1,IF(regle!I$2-$Q339&gt;=regle!$J$12,-2,IF($S339,IF(regle!$B$2-$Q339&gt;=2,0,-1),regle!I$2-$Q339)),IF(AU339+1&gt;=regle!$J$12,-2,AU339+1))</f>
        <v>7</v>
      </c>
      <c r="AW339">
        <f>IF(AW$1=$AO$1,IF(regle!J$2-$Q339&gt;=regle!$J$12,-2,IF($S339,IF(regle!$B$2-$Q339&gt;=2,0,-1),regle!J$2-$Q339)),IF(AV339+1&gt;=regle!$J$12,-2,AV339+1))</f>
        <v>8</v>
      </c>
      <c r="AX339">
        <f>IF(AX$1=$AO$1,IF(regle!K$2-$Q339&gt;=regle!$J$12,-2,IF($S339,IF(regle!$B$2-$Q339&gt;=2,0,-1),regle!K$2-$Q339)),IF(AW339+1&gt;=regle!$J$12,-2,AW339+1))</f>
        <v>9</v>
      </c>
    </row>
    <row r="340" spans="1:50" x14ac:dyDescent="0.25">
      <c r="A340" t="b">
        <f>AND(modif0[[#This Row],[cdstr]]&lt;&gt;0,OR(regle!$H$27=FALSE,modif0[[#This Row],[essnc]]="PM"))</f>
        <v>1</v>
      </c>
      <c r="B340">
        <f>ROW(objet!A391)</f>
        <v>391</v>
      </c>
      <c r="C340" s="10" t="str">
        <f>objet!D391</f>
        <v>1710000D0263</v>
      </c>
      <c r="D340" t="str">
        <f>LEFT(modif0[[#This Row],[cdstr]],3)</f>
        <v>171</v>
      </c>
      <c r="E340" s="10" t="str">
        <f>objet!G391</f>
        <v>MANO</v>
      </c>
      <c r="F340">
        <f>LEN(modif0[[#This Row],[l_dt]])</f>
        <v>5</v>
      </c>
      <c r="G340" s="10" t="str">
        <f>objet!H391</f>
        <v>BOSCQ</v>
      </c>
      <c r="H340" s="10" t="str">
        <f>objet!C391</f>
        <v>D263</v>
      </c>
      <c r="I340" t="str">
        <f>IF(ISNUMBER(VALUE(RIGHT(LEFT(modif0[[#This Row],[idntfn]],2),1))),_xlfn.CONCAT(0,LEFT(modif0[[#This Row],[idntfn]],1)),LEFT(modif0[[#This Row],[idntfn]],2))</f>
        <v>0D</v>
      </c>
      <c r="J340">
        <f>VALUE(LEFT(RIGHT(modif0[[#This Row],[idntfn]],LEN(modif0[[#This Row],[idntfn]])-IF(LEFT(modif0[[#This Row],[sctn]],1)="0",1,2)),LEN(modif0[[#This Row],[idntfn]])-IF(LEFT(modif0[[#This Row],[sctn]],1)="0",1,2)-LEN(modif0[[#This Row],[lttr]])))</f>
        <v>263</v>
      </c>
      <c r="K340" t="str">
        <f>IF(ISNUMBER(VALUE(RIGHT(modif0[[#This Row],[idntfn]],1))),"",IF(ISNUMBER(VALUE(LEFT(RIGHT(modif0[[#This Row],[idntfn]],2),1))),RIGHT(modif0[[#This Row],[idntfn]],1),RIGHT(modif0[[#This Row],[idntfn]],2)))</f>
        <v/>
      </c>
      <c r="L340" s="10">
        <f>objet!I391</f>
        <v>16395</v>
      </c>
      <c r="M340" s="11">
        <f>modif0[[#This Row],[srfc]]/10000</f>
        <v>1.6395</v>
      </c>
      <c r="N340" s="10" t="str">
        <f>objet!Z391</f>
        <v>PM</v>
      </c>
      <c r="O340" s="10" t="str">
        <f>objet!AA391</f>
        <v>CR2022</v>
      </c>
      <c r="P340" t="str">
        <f>IF(ISNUMBER(modif0[[#This Row],[trvx]]),"",LEFT(modif0[[#This Row],[trvx]],LEN(modif0[[#This Row],[trvx]])-4))</f>
        <v>CR</v>
      </c>
      <c r="Q340">
        <f>VALUE(RIGHT(modif0[[#This Row],[trvx]],4))</f>
        <v>2022</v>
      </c>
      <c r="R340" t="str">
        <f>_xlfn.CONCAT(modif0[[#This Row],[tp]],"-",modif0[[#This Row],[essnc]],"_",modif0[[#This Row],[anns]])</f>
        <v>CR-PM_2022</v>
      </c>
      <c r="S340" t="b">
        <f>modif0[[#This Row],[tp]]="CR"</f>
        <v>1</v>
      </c>
      <c r="T340">
        <v>40</v>
      </c>
      <c r="U340" t="str">
        <f>IF(NOT($A340),"",
IF(AO340=-2,regle!$J$11,
IF(AO340=regle!$B$12,regle!$B$11,
IF(AO340=regle!$C$12,regle!$C$11,
IF(AO340=regle!$D$12,regle!$D$11,
IF(AO340=regle!$E$12,regle!$E$11,
IF(AO340=regle!$F$12,regle!$F$11,
IF(AO340=regle!$G$12,regle!$G$11,
IF(AO340=regle!$H$12,regle!$H$11,
IF(AO340=regle!$I$12,regle!$I$11,""))))))))))</f>
        <v>RBST</v>
      </c>
      <c r="V340" t="str">
        <f>IF(NOT($A340),"",
IF(AP340=-2,regle!$J$11,
IF(AP340=regle!$B$12,regle!$B$11,
IF(AP340=regle!$C$12,regle!$C$11,
IF(AP340=regle!$D$12,regle!$D$11,
IF(AP340=regle!$E$12,regle!$E$11,
IF(AP340=regle!$F$12,regle!$F$11,
IF(AP340=regle!$G$12,regle!$G$11,
IF(AP340=regle!$H$12,regle!$H$11,
IF(AP340=regle!$I$12,regle!$I$11,""))))))))))</f>
        <v/>
      </c>
      <c r="W340" t="str">
        <f>IF(NOT($A340),"",
IF(AQ340=-2,regle!$J$11,
IF(AQ340=regle!$B$12,regle!$B$11,
IF(AQ340=regle!$C$12,regle!$C$11,
IF(AQ340=regle!$D$12,regle!$D$11,
IF(AQ340=regle!$E$12,regle!$E$11,
IF(AQ340=regle!$F$12,regle!$F$11,
IF(AQ340=regle!$G$12,regle!$G$11,
IF(AQ340=regle!$H$12,regle!$H$11,
IF(AQ340=regle!$I$12,regle!$I$11,""))))))))))</f>
        <v>DGT</v>
      </c>
      <c r="X340" t="str">
        <f>IF(NOT($A340),"",
IF(AR340=-2,regle!$J$11,
IF(AR340=regle!$B$12,regle!$B$11,
IF(AR340=regle!$C$12,regle!$C$11,
IF(AR340=regle!$D$12,regle!$D$11,
IF(AR340=regle!$E$12,regle!$E$11,
IF(AR340=regle!$F$12,regle!$F$11,
IF(AR340=regle!$G$12,regle!$G$11,
IF(AR340=regle!$H$12,regle!$H$11,
IF(AR340=regle!$I$12,regle!$I$11,""))))))))))</f>
        <v/>
      </c>
      <c r="Y340" t="str">
        <f>IF(NOT($A340),"",
IF(AS340=-2,regle!$J$11,
IF(AS340=regle!$B$12,regle!$B$11,
IF(AS340=regle!$C$12,regle!$C$11,
IF(AS340=regle!$D$12,regle!$D$11,
IF(AS340=regle!$E$12,regle!$E$11,
IF(AS340=regle!$F$12,regle!$F$11,
IF(AS340=regle!$G$12,regle!$G$11,
IF(AS340=regle!$H$12,regle!$H$11,
IF(AS340=regle!$I$12,regle!$I$11,""))))))))))</f>
        <v/>
      </c>
      <c r="Z340" t="str">
        <f>IF(NOT($A340),"",
IF(AT340=-2,regle!$J$11,
IF(AT340=regle!$B$12,regle!$B$11,
IF(AT340=regle!$C$12,regle!$C$11,
IF(AT340=regle!$D$12,regle!$D$11,
IF(AT340=regle!$E$12,regle!$E$11,
IF(AT340=regle!$F$12,regle!$F$11,
IF(AT340=regle!$G$12,regle!$G$11,
IF(AT340=regle!$H$12,regle!$H$11,
IF(AT340=regle!$I$12,regle!$I$11,""))))))))))</f>
        <v>ENT1</v>
      </c>
      <c r="AA340" t="str">
        <f>IF(NOT($A340),"",
IF(AU340=-2,regle!$J$11,
IF(AU340=regle!$B$12,regle!$B$11,
IF(AU340=regle!$C$12,regle!$C$11,
IF(AU340=regle!$D$12,regle!$D$11,
IF(AU340=regle!$E$12,regle!$E$11,
IF(AU340=regle!$F$12,regle!$F$11,
IF(AU340=regle!$G$12,regle!$G$11,
IF(AU340=regle!$H$12,regle!$H$11,
IF(AU340=regle!$I$12,regle!$I$11,""))))))))))</f>
        <v/>
      </c>
      <c r="AB340" t="str">
        <f>IF(NOT($A340),"",
IF(AV340=-2,regle!$J$11,
IF(AV340=regle!$B$12,regle!$B$11,
IF(AV340=regle!$C$12,regle!$C$11,
IF(AV340=regle!$D$12,regle!$D$11,
IF(AV340=regle!$E$12,regle!$E$11,
IF(AV340=regle!$F$12,regle!$F$11,
IF(AV340=regle!$G$12,regle!$G$11,
IF(AV340=regle!$H$12,regle!$H$11,
IF(AV340=regle!$I$12,regle!$I$11,""))))))))))</f>
        <v/>
      </c>
      <c r="AC340" t="str">
        <f>IF(NOT($A340),"",
IF(AW340=-2,regle!$J$11,
IF(AW340=regle!$B$12,regle!$B$11,
IF(AW340=regle!$C$12,regle!$C$11,
IF(AW340=regle!$D$12,regle!$D$11,
IF(AW340=regle!$E$12,regle!$E$11,
IF(AW340=regle!$F$12,regle!$F$11,
IF(AW340=regle!$G$12,regle!$G$11,
IF(AW340=regle!$H$12,regle!$H$11,
IF(AW340=regle!$I$12,regle!$I$11,""))))))))))</f>
        <v>ENT2</v>
      </c>
      <c r="AD340" t="str">
        <f>IF(NOT($A340),"",
IF(AX340=-2,regle!$J$11,
IF(AX340=regle!$B$12,regle!$B$11,
IF(AX340=regle!$C$12,regle!$C$11,
IF(AX340=regle!$D$12,regle!$D$11,
IF(AX340=regle!$E$12,regle!$E$11,
IF(AX340=regle!$F$12,regle!$F$11,
IF(AX340=regle!$G$12,regle!$G$11,
IF(AX340=regle!$H$12,regle!$H$11,
IF(AX340=regle!$I$12,regle!$I$11,""))))))))))</f>
        <v/>
      </c>
      <c r="AE340" s="14">
        <f>IF($A340,$M340*(IF(U340=regle!$B$11,regle!$B$23,IF(U340=regle!$C$11,regle!$C$23,IF(U340=regle!$D$11,regle!$D$23,IF(U340=regle!$E$11,regle!$E$23,IF(U340=regle!$F$11,regle!$F$23,IF(U340=regle!$G$11,regle!$G$23,IF(U340=regle!$H$11,regle!$H$23,IF(U340=regle!$I$11,regle!$I$23,IF(U340=regle!$J$11,regle!$J$23,0)))))))))))</f>
        <v>-2787.15</v>
      </c>
      <c r="AF340" s="14">
        <f>IF($A340,$M340*(IF(V340=regle!$B$11,regle!$B$23,IF(V340=regle!$C$11,regle!$C$23,IF(V340=regle!$D$11,regle!$D$23,IF(V340=regle!$E$11,regle!$E$23,IF(V340=regle!$F$11,regle!$F$23,IF(V340=regle!$G$11,regle!$G$23,IF(V340=regle!$H$11,regle!$H$23,IF(V340=regle!$I$11,regle!$I$23,IF(V340=regle!$J$11,regle!$J$23,0)))))))))))</f>
        <v>0</v>
      </c>
      <c r="AG340" s="14">
        <f>IF($A340,$M340*(IF(W340=regle!$B$11,regle!$B$23,IF(W340=regle!$C$11,regle!$C$23,IF(W340=regle!$D$11,regle!$D$23,IF(W340=regle!$E$11,regle!$E$23,IF(W340=regle!$F$11,regle!$F$23,IF(W340=regle!$G$11,regle!$G$23,IF(W340=regle!$H$11,regle!$H$23,IF(W340=regle!$I$11,regle!$I$23,IF(W340=regle!$J$11,regle!$J$23,0)))))))))))</f>
        <v>-122.96249999999999</v>
      </c>
      <c r="AH340" s="14">
        <f>IF($A340,$M340*(IF(X340=regle!$B$11,regle!$B$23,IF(X340=regle!$C$11,regle!$C$23,IF(X340=regle!$D$11,regle!$D$23,IF(X340=regle!$E$11,regle!$E$23,IF(X340=regle!$F$11,regle!$F$23,IF(X340=regle!$G$11,regle!$G$23,IF(X340=regle!$H$11,regle!$H$23,IF(X340=regle!$I$11,regle!$I$23,IF(X340=regle!$J$11,regle!$J$23,0)))))))))))</f>
        <v>0</v>
      </c>
      <c r="AI340" s="14">
        <f>IF($A340,$M340*(IF(Y340=regle!$B$11,regle!$B$23,IF(Y340=regle!$C$11,regle!$C$23,IF(Y340=regle!$D$11,regle!$D$23,IF(Y340=regle!$E$11,regle!$E$23,IF(Y340=regle!$F$11,regle!$F$23,IF(Y340=regle!$G$11,regle!$G$23,IF(Y340=regle!$H$11,regle!$H$23,IF(Y340=regle!$I$11,regle!$I$23,IF(Y340=regle!$J$11,regle!$J$23,0)))))))))))</f>
        <v>0</v>
      </c>
      <c r="AJ340" s="14">
        <f>IF($A340,$M340*(IF(Z340=regle!$B$11,regle!$B$23,IF(Z340=regle!$C$11,regle!$C$23,IF(Z340=regle!$D$11,regle!$D$23,IF(Z340=regle!$E$11,regle!$E$23,IF(Z340=regle!$F$11,regle!$F$23,IF(Z340=regle!$G$11,regle!$G$23,IF(Z340=regle!$H$11,regle!$H$23,IF(Z340=regle!$I$11,regle!$I$23,IF(Z340=regle!$J$11,regle!$J$23,0)))))))))))</f>
        <v>-147.55500000000001</v>
      </c>
      <c r="AK340" s="14">
        <f>IF($A340,$M340*(IF(AA340=regle!$B$11,regle!$B$23,IF(AA340=regle!$C$11,regle!$C$23,IF(AA340=regle!$D$11,regle!$D$23,IF(AA340=regle!$E$11,regle!$E$23,IF(AA340=regle!$F$11,regle!$F$23,IF(AA340=regle!$G$11,regle!$G$23,IF(AA340=regle!$H$11,regle!$H$23,IF(AA340=regle!$I$11,regle!$I$23,IF(AA340=regle!$J$11,regle!$J$23,0)))))))))))</f>
        <v>0</v>
      </c>
      <c r="AL340" s="14">
        <f>IF($A340,$M340*(IF(AB340=regle!$B$11,regle!$B$23,IF(AB340=regle!$C$11,regle!$C$23,IF(AB340=regle!$D$11,regle!$D$23,IF(AB340=regle!$E$11,regle!$E$23,IF(AB340=regle!$F$11,regle!$F$23,IF(AB340=regle!$G$11,regle!$G$23,IF(AB340=regle!$H$11,regle!$H$23,IF(AB340=regle!$I$11,regle!$I$23,IF(AB340=regle!$J$11,regle!$J$23,0)))))))))))</f>
        <v>0</v>
      </c>
      <c r="AM340" s="14">
        <f>IF($A340,$M340*(IF(AC340=regle!$B$11,regle!$B$23,IF(AC340=regle!$C$11,regle!$C$23,IF(AC340=regle!$D$11,regle!$D$23,IF(AC340=regle!$E$11,regle!$E$23,IF(AC340=regle!$F$11,regle!$F$23,IF(AC340=regle!$G$11,regle!$G$23,IF(AC340=regle!$H$11,regle!$H$23,IF(AC340=regle!$I$11,regle!$I$23,IF(AC340=regle!$J$11,regle!$J$23,0)))))))))))</f>
        <v>-147.55500000000001</v>
      </c>
      <c r="AN340" s="14">
        <f>IF($A340,$M340*(IF(AD340=regle!$B$11,regle!$B$23,IF(AD340=regle!$C$11,regle!$C$23,IF(AD340=regle!$D$11,regle!$D$23,IF(AD340=regle!$E$11,regle!$E$23,IF(AD340=regle!$F$11,regle!$F$23,IF(AD340=regle!$G$11,regle!$G$23,IF(AD340=regle!$H$11,regle!$H$23,IF(AD340=regle!$I$11,regle!$I$23,IF(AD340=regle!$J$11,regle!$J$23,0)))))))))))</f>
        <v>0</v>
      </c>
      <c r="AO340">
        <f>IF(AO$1=$AO$1,IF(regle!B$2-$Q340&gt;=regle!$J$12,-2,IF($S340,IF(regle!$B$2-$Q340&gt;=2,0,-1),regle!B$2-$Q340)),IF(AN340+1&gt;=regle!$J$12,-2,AN340+1))</f>
        <v>0</v>
      </c>
      <c r="AP340">
        <f>IF(AP$1=$AO$1,IF(regle!C$2-$Q340&gt;=regle!$J$12,-2,IF($S340,IF(regle!$B$2-$Q340&gt;=2,0,-1),regle!C$2-$Q340)),IF(AO340+1&gt;=regle!$J$12,-2,AO340+1))</f>
        <v>1</v>
      </c>
      <c r="AQ340">
        <f>IF(AQ$1=$AO$1,IF(regle!D$2-$Q340&gt;=regle!$J$12,-2,IF($S340,IF(regle!$B$2-$Q340&gt;=2,0,-1),regle!D$2-$Q340)),IF(AP340+1&gt;=regle!$J$12,-2,AP340+1))</f>
        <v>2</v>
      </c>
      <c r="AR340">
        <f>IF(AR$1=$AO$1,IF(regle!E$2-$Q340&gt;=regle!$J$12,-2,IF($S340,IF(regle!$B$2-$Q340&gt;=2,0,-1),regle!E$2-$Q340)),IF(AQ340+1&gt;=regle!$J$12,-2,AQ340+1))</f>
        <v>3</v>
      </c>
      <c r="AS340">
        <f>IF(AS$1=$AO$1,IF(regle!F$2-$Q340&gt;=regle!$J$12,-2,IF($S340,IF(regle!$B$2-$Q340&gt;=2,0,-1),regle!F$2-$Q340)),IF(AR340+1&gt;=regle!$J$12,-2,AR340+1))</f>
        <v>4</v>
      </c>
      <c r="AT340">
        <f>IF(AT$1=$AO$1,IF(regle!G$2-$Q340&gt;=regle!$J$12,-2,IF($S340,IF(regle!$B$2-$Q340&gt;=2,0,-1),regle!G$2-$Q340)),IF(AS340+1&gt;=regle!$J$12,-2,AS340+1))</f>
        <v>5</v>
      </c>
      <c r="AU340">
        <f>IF(AU$1=$AO$1,IF(regle!H$2-$Q340&gt;=regle!$J$12,-2,IF($S340,IF(regle!$B$2-$Q340&gt;=2,0,-1),regle!H$2-$Q340)),IF(AT340+1&gt;=regle!$J$12,-2,AT340+1))</f>
        <v>6</v>
      </c>
      <c r="AV340">
        <f>IF(AV$1=$AO$1,IF(regle!I$2-$Q340&gt;=regle!$J$12,-2,IF($S340,IF(regle!$B$2-$Q340&gt;=2,0,-1),regle!I$2-$Q340)),IF(AU340+1&gt;=regle!$J$12,-2,AU340+1))</f>
        <v>7</v>
      </c>
      <c r="AW340">
        <f>IF(AW$1=$AO$1,IF(regle!J$2-$Q340&gt;=regle!$J$12,-2,IF($S340,IF(regle!$B$2-$Q340&gt;=2,0,-1),regle!J$2-$Q340)),IF(AV340+1&gt;=regle!$J$12,-2,AV340+1))</f>
        <v>8</v>
      </c>
      <c r="AX340">
        <f>IF(AX$1=$AO$1,IF(regle!K$2-$Q340&gt;=regle!$J$12,-2,IF($S340,IF(regle!$B$2-$Q340&gt;=2,0,-1),regle!K$2-$Q340)),IF(AW340+1&gt;=regle!$J$12,-2,AW340+1))</f>
        <v>9</v>
      </c>
    </row>
    <row r="341" spans="1:50" x14ac:dyDescent="0.25">
      <c r="A341" t="b">
        <f>AND(modif0[[#This Row],[cdstr]]&lt;&gt;0,OR(regle!$H$27=FALSE,modif0[[#This Row],[essnc]]="PM"))</f>
        <v>1</v>
      </c>
      <c r="B341">
        <f>ROW(objet!A392)</f>
        <v>392</v>
      </c>
      <c r="C341" s="10" t="str">
        <f>objet!D392</f>
        <v>1710000D0264</v>
      </c>
      <c r="D341" t="str">
        <f>LEFT(modif0[[#This Row],[cdstr]],3)</f>
        <v>171</v>
      </c>
      <c r="E341" s="10" t="str">
        <f>objet!G392</f>
        <v>MANO</v>
      </c>
      <c r="F341">
        <f>LEN(modif0[[#This Row],[l_dt]])</f>
        <v>5</v>
      </c>
      <c r="G341" s="10" t="str">
        <f>objet!H392</f>
        <v>BOSCQ</v>
      </c>
      <c r="H341" s="10" t="str">
        <f>objet!C392</f>
        <v>D264</v>
      </c>
      <c r="I341" t="str">
        <f>IF(ISNUMBER(VALUE(RIGHT(LEFT(modif0[[#This Row],[idntfn]],2),1))),_xlfn.CONCAT(0,LEFT(modif0[[#This Row],[idntfn]],1)),LEFT(modif0[[#This Row],[idntfn]],2))</f>
        <v>0D</v>
      </c>
      <c r="J341">
        <f>VALUE(LEFT(RIGHT(modif0[[#This Row],[idntfn]],LEN(modif0[[#This Row],[idntfn]])-IF(LEFT(modif0[[#This Row],[sctn]],1)="0",1,2)),LEN(modif0[[#This Row],[idntfn]])-IF(LEFT(modif0[[#This Row],[sctn]],1)="0",1,2)-LEN(modif0[[#This Row],[lttr]])))</f>
        <v>264</v>
      </c>
      <c r="K341" t="str">
        <f>IF(ISNUMBER(VALUE(RIGHT(modif0[[#This Row],[idntfn]],1))),"",IF(ISNUMBER(VALUE(LEFT(RIGHT(modif0[[#This Row],[idntfn]],2),1))),RIGHT(modif0[[#This Row],[idntfn]],1),RIGHT(modif0[[#This Row],[idntfn]],2)))</f>
        <v/>
      </c>
      <c r="L341" s="10">
        <f>objet!I392</f>
        <v>18580</v>
      </c>
      <c r="M341" s="11">
        <f>modif0[[#This Row],[srfc]]/10000</f>
        <v>1.8580000000000001</v>
      </c>
      <c r="N341" s="10" t="str">
        <f>objet!Z392</f>
        <v>PM</v>
      </c>
      <c r="O341" s="10" t="str">
        <f>objet!AA392</f>
        <v>CR2022</v>
      </c>
      <c r="P341" t="str">
        <f>IF(ISNUMBER(modif0[[#This Row],[trvx]]),"",LEFT(modif0[[#This Row],[trvx]],LEN(modif0[[#This Row],[trvx]])-4))</f>
        <v>CR</v>
      </c>
      <c r="Q341">
        <f>VALUE(RIGHT(modif0[[#This Row],[trvx]],4))</f>
        <v>2022</v>
      </c>
      <c r="R341" t="str">
        <f>_xlfn.CONCAT(modif0[[#This Row],[tp]],"-",modif0[[#This Row],[essnc]],"_",modif0[[#This Row],[anns]])</f>
        <v>CR-PM_2022</v>
      </c>
      <c r="S341" t="b">
        <f>modif0[[#This Row],[tp]]="CR"</f>
        <v>1</v>
      </c>
      <c r="T341">
        <v>40</v>
      </c>
      <c r="U341" t="str">
        <f>IF(NOT($A341),"",
IF(AO341=-2,regle!$J$11,
IF(AO341=regle!$B$12,regle!$B$11,
IF(AO341=regle!$C$12,regle!$C$11,
IF(AO341=regle!$D$12,regle!$D$11,
IF(AO341=regle!$E$12,regle!$E$11,
IF(AO341=regle!$F$12,regle!$F$11,
IF(AO341=regle!$G$12,regle!$G$11,
IF(AO341=regle!$H$12,regle!$H$11,
IF(AO341=regle!$I$12,regle!$I$11,""))))))))))</f>
        <v>RBST</v>
      </c>
      <c r="V341" t="str">
        <f>IF(NOT($A341),"",
IF(AP341=-2,regle!$J$11,
IF(AP341=regle!$B$12,regle!$B$11,
IF(AP341=regle!$C$12,regle!$C$11,
IF(AP341=regle!$D$12,regle!$D$11,
IF(AP341=regle!$E$12,regle!$E$11,
IF(AP341=regle!$F$12,regle!$F$11,
IF(AP341=regle!$G$12,regle!$G$11,
IF(AP341=regle!$H$12,regle!$H$11,
IF(AP341=regle!$I$12,regle!$I$11,""))))))))))</f>
        <v/>
      </c>
      <c r="W341" t="str">
        <f>IF(NOT($A341),"",
IF(AQ341=-2,regle!$J$11,
IF(AQ341=regle!$B$12,regle!$B$11,
IF(AQ341=regle!$C$12,regle!$C$11,
IF(AQ341=regle!$D$12,regle!$D$11,
IF(AQ341=regle!$E$12,regle!$E$11,
IF(AQ341=regle!$F$12,regle!$F$11,
IF(AQ341=regle!$G$12,regle!$G$11,
IF(AQ341=regle!$H$12,regle!$H$11,
IF(AQ341=regle!$I$12,regle!$I$11,""))))))))))</f>
        <v>DGT</v>
      </c>
      <c r="X341" t="str">
        <f>IF(NOT($A341),"",
IF(AR341=-2,regle!$J$11,
IF(AR341=regle!$B$12,regle!$B$11,
IF(AR341=regle!$C$12,regle!$C$11,
IF(AR341=regle!$D$12,regle!$D$11,
IF(AR341=regle!$E$12,regle!$E$11,
IF(AR341=regle!$F$12,regle!$F$11,
IF(AR341=regle!$G$12,regle!$G$11,
IF(AR341=regle!$H$12,regle!$H$11,
IF(AR341=regle!$I$12,regle!$I$11,""))))))))))</f>
        <v/>
      </c>
      <c r="Y341" t="str">
        <f>IF(NOT($A341),"",
IF(AS341=-2,regle!$J$11,
IF(AS341=regle!$B$12,regle!$B$11,
IF(AS341=regle!$C$12,regle!$C$11,
IF(AS341=regle!$D$12,regle!$D$11,
IF(AS341=regle!$E$12,regle!$E$11,
IF(AS341=regle!$F$12,regle!$F$11,
IF(AS341=regle!$G$12,regle!$G$11,
IF(AS341=regle!$H$12,regle!$H$11,
IF(AS341=regle!$I$12,regle!$I$11,""))))))))))</f>
        <v/>
      </c>
      <c r="Z341" t="str">
        <f>IF(NOT($A341),"",
IF(AT341=-2,regle!$J$11,
IF(AT341=regle!$B$12,regle!$B$11,
IF(AT341=regle!$C$12,regle!$C$11,
IF(AT341=regle!$D$12,regle!$D$11,
IF(AT341=regle!$E$12,regle!$E$11,
IF(AT341=regle!$F$12,regle!$F$11,
IF(AT341=regle!$G$12,regle!$G$11,
IF(AT341=regle!$H$12,regle!$H$11,
IF(AT341=regle!$I$12,regle!$I$11,""))))))))))</f>
        <v>ENT1</v>
      </c>
      <c r="AA341" t="str">
        <f>IF(NOT($A341),"",
IF(AU341=-2,regle!$J$11,
IF(AU341=regle!$B$12,regle!$B$11,
IF(AU341=regle!$C$12,regle!$C$11,
IF(AU341=regle!$D$12,regle!$D$11,
IF(AU341=regle!$E$12,regle!$E$11,
IF(AU341=regle!$F$12,regle!$F$11,
IF(AU341=regle!$G$12,regle!$G$11,
IF(AU341=regle!$H$12,regle!$H$11,
IF(AU341=regle!$I$12,regle!$I$11,""))))))))))</f>
        <v/>
      </c>
      <c r="AB341" t="str">
        <f>IF(NOT($A341),"",
IF(AV341=-2,regle!$J$11,
IF(AV341=regle!$B$12,regle!$B$11,
IF(AV341=regle!$C$12,regle!$C$11,
IF(AV341=regle!$D$12,regle!$D$11,
IF(AV341=regle!$E$12,regle!$E$11,
IF(AV341=regle!$F$12,regle!$F$11,
IF(AV341=regle!$G$12,regle!$G$11,
IF(AV341=regle!$H$12,regle!$H$11,
IF(AV341=regle!$I$12,regle!$I$11,""))))))))))</f>
        <v/>
      </c>
      <c r="AC341" t="str">
        <f>IF(NOT($A341),"",
IF(AW341=-2,regle!$J$11,
IF(AW341=regle!$B$12,regle!$B$11,
IF(AW341=regle!$C$12,regle!$C$11,
IF(AW341=regle!$D$12,regle!$D$11,
IF(AW341=regle!$E$12,regle!$E$11,
IF(AW341=regle!$F$12,regle!$F$11,
IF(AW341=regle!$G$12,regle!$G$11,
IF(AW341=regle!$H$12,regle!$H$11,
IF(AW341=regle!$I$12,regle!$I$11,""))))))))))</f>
        <v>ENT2</v>
      </c>
      <c r="AD341" t="str">
        <f>IF(NOT($A341),"",
IF(AX341=-2,regle!$J$11,
IF(AX341=regle!$B$12,regle!$B$11,
IF(AX341=regle!$C$12,regle!$C$11,
IF(AX341=regle!$D$12,regle!$D$11,
IF(AX341=regle!$E$12,regle!$E$11,
IF(AX341=regle!$F$12,regle!$F$11,
IF(AX341=regle!$G$12,regle!$G$11,
IF(AX341=regle!$H$12,regle!$H$11,
IF(AX341=regle!$I$12,regle!$I$11,""))))))))))</f>
        <v/>
      </c>
      <c r="AE341" s="14">
        <f>IF($A341,$M341*(IF(U341=regle!$B$11,regle!$B$23,IF(U341=regle!$C$11,regle!$C$23,IF(U341=regle!$D$11,regle!$D$23,IF(U341=regle!$E$11,regle!$E$23,IF(U341=regle!$F$11,regle!$F$23,IF(U341=regle!$G$11,regle!$G$23,IF(U341=regle!$H$11,regle!$H$23,IF(U341=regle!$I$11,regle!$I$23,IF(U341=regle!$J$11,regle!$J$23,0)))))))))))</f>
        <v>-3158.6000000000004</v>
      </c>
      <c r="AF341" s="14">
        <f>IF($A341,$M341*(IF(V341=regle!$B$11,regle!$B$23,IF(V341=regle!$C$11,regle!$C$23,IF(V341=regle!$D$11,regle!$D$23,IF(V341=regle!$E$11,regle!$E$23,IF(V341=regle!$F$11,regle!$F$23,IF(V341=regle!$G$11,regle!$G$23,IF(V341=regle!$H$11,regle!$H$23,IF(V341=regle!$I$11,regle!$I$23,IF(V341=regle!$J$11,regle!$J$23,0)))))))))))</f>
        <v>0</v>
      </c>
      <c r="AG341" s="14">
        <f>IF($A341,$M341*(IF(W341=regle!$B$11,regle!$B$23,IF(W341=regle!$C$11,regle!$C$23,IF(W341=regle!$D$11,regle!$D$23,IF(W341=regle!$E$11,regle!$E$23,IF(W341=regle!$F$11,regle!$F$23,IF(W341=regle!$G$11,regle!$G$23,IF(W341=regle!$H$11,regle!$H$23,IF(W341=regle!$I$11,regle!$I$23,IF(W341=regle!$J$11,regle!$J$23,0)))))))))))</f>
        <v>-139.35</v>
      </c>
      <c r="AH341" s="14">
        <f>IF($A341,$M341*(IF(X341=regle!$B$11,regle!$B$23,IF(X341=regle!$C$11,regle!$C$23,IF(X341=regle!$D$11,regle!$D$23,IF(X341=regle!$E$11,regle!$E$23,IF(X341=regle!$F$11,regle!$F$23,IF(X341=regle!$G$11,regle!$G$23,IF(X341=regle!$H$11,regle!$H$23,IF(X341=regle!$I$11,regle!$I$23,IF(X341=regle!$J$11,regle!$J$23,0)))))))))))</f>
        <v>0</v>
      </c>
      <c r="AI341" s="14">
        <f>IF($A341,$M341*(IF(Y341=regle!$B$11,regle!$B$23,IF(Y341=regle!$C$11,regle!$C$23,IF(Y341=regle!$D$11,regle!$D$23,IF(Y341=regle!$E$11,regle!$E$23,IF(Y341=regle!$F$11,regle!$F$23,IF(Y341=regle!$G$11,regle!$G$23,IF(Y341=regle!$H$11,regle!$H$23,IF(Y341=regle!$I$11,regle!$I$23,IF(Y341=regle!$J$11,regle!$J$23,0)))))))))))</f>
        <v>0</v>
      </c>
      <c r="AJ341" s="14">
        <f>IF($A341,$M341*(IF(Z341=regle!$B$11,regle!$B$23,IF(Z341=regle!$C$11,regle!$C$23,IF(Z341=regle!$D$11,regle!$D$23,IF(Z341=regle!$E$11,regle!$E$23,IF(Z341=regle!$F$11,regle!$F$23,IF(Z341=regle!$G$11,regle!$G$23,IF(Z341=regle!$H$11,regle!$H$23,IF(Z341=regle!$I$11,regle!$I$23,IF(Z341=regle!$J$11,regle!$J$23,0)))))))))))</f>
        <v>-167.22</v>
      </c>
      <c r="AK341" s="14">
        <f>IF($A341,$M341*(IF(AA341=regle!$B$11,regle!$B$23,IF(AA341=regle!$C$11,regle!$C$23,IF(AA341=regle!$D$11,regle!$D$23,IF(AA341=regle!$E$11,regle!$E$23,IF(AA341=regle!$F$11,regle!$F$23,IF(AA341=regle!$G$11,regle!$G$23,IF(AA341=regle!$H$11,regle!$H$23,IF(AA341=regle!$I$11,regle!$I$23,IF(AA341=regle!$J$11,regle!$J$23,0)))))))))))</f>
        <v>0</v>
      </c>
      <c r="AL341" s="14">
        <f>IF($A341,$M341*(IF(AB341=regle!$B$11,regle!$B$23,IF(AB341=regle!$C$11,regle!$C$23,IF(AB341=regle!$D$11,regle!$D$23,IF(AB341=regle!$E$11,regle!$E$23,IF(AB341=regle!$F$11,regle!$F$23,IF(AB341=regle!$G$11,regle!$G$23,IF(AB341=regle!$H$11,regle!$H$23,IF(AB341=regle!$I$11,regle!$I$23,IF(AB341=regle!$J$11,regle!$J$23,0)))))))))))</f>
        <v>0</v>
      </c>
      <c r="AM341" s="14">
        <f>IF($A341,$M341*(IF(AC341=regle!$B$11,regle!$B$23,IF(AC341=regle!$C$11,regle!$C$23,IF(AC341=regle!$D$11,regle!$D$23,IF(AC341=regle!$E$11,regle!$E$23,IF(AC341=regle!$F$11,regle!$F$23,IF(AC341=regle!$G$11,regle!$G$23,IF(AC341=regle!$H$11,regle!$H$23,IF(AC341=regle!$I$11,regle!$I$23,IF(AC341=regle!$J$11,regle!$J$23,0)))))))))))</f>
        <v>-167.22</v>
      </c>
      <c r="AN341" s="14">
        <f>IF($A341,$M341*(IF(AD341=regle!$B$11,regle!$B$23,IF(AD341=regle!$C$11,regle!$C$23,IF(AD341=regle!$D$11,regle!$D$23,IF(AD341=regle!$E$11,regle!$E$23,IF(AD341=regle!$F$11,regle!$F$23,IF(AD341=regle!$G$11,regle!$G$23,IF(AD341=regle!$H$11,regle!$H$23,IF(AD341=regle!$I$11,regle!$I$23,IF(AD341=regle!$J$11,regle!$J$23,0)))))))))))</f>
        <v>0</v>
      </c>
      <c r="AO341">
        <f>IF(AO$1=$AO$1,IF(regle!B$2-$Q341&gt;=regle!$J$12,-2,IF($S341,IF(regle!$B$2-$Q341&gt;=2,0,-1),regle!B$2-$Q341)),IF(AN341+1&gt;=regle!$J$12,-2,AN341+1))</f>
        <v>0</v>
      </c>
      <c r="AP341">
        <f>IF(AP$1=$AO$1,IF(regle!C$2-$Q341&gt;=regle!$J$12,-2,IF($S341,IF(regle!$B$2-$Q341&gt;=2,0,-1),regle!C$2-$Q341)),IF(AO341+1&gt;=regle!$J$12,-2,AO341+1))</f>
        <v>1</v>
      </c>
      <c r="AQ341">
        <f>IF(AQ$1=$AO$1,IF(regle!D$2-$Q341&gt;=regle!$J$12,-2,IF($S341,IF(regle!$B$2-$Q341&gt;=2,0,-1),regle!D$2-$Q341)),IF(AP341+1&gt;=regle!$J$12,-2,AP341+1))</f>
        <v>2</v>
      </c>
      <c r="AR341">
        <f>IF(AR$1=$AO$1,IF(regle!E$2-$Q341&gt;=regle!$J$12,-2,IF($S341,IF(regle!$B$2-$Q341&gt;=2,0,-1),regle!E$2-$Q341)),IF(AQ341+1&gt;=regle!$J$12,-2,AQ341+1))</f>
        <v>3</v>
      </c>
      <c r="AS341">
        <f>IF(AS$1=$AO$1,IF(regle!F$2-$Q341&gt;=regle!$J$12,-2,IF($S341,IF(regle!$B$2-$Q341&gt;=2,0,-1),regle!F$2-$Q341)),IF(AR341+1&gt;=regle!$J$12,-2,AR341+1))</f>
        <v>4</v>
      </c>
      <c r="AT341">
        <f>IF(AT$1=$AO$1,IF(regle!G$2-$Q341&gt;=regle!$J$12,-2,IF($S341,IF(regle!$B$2-$Q341&gt;=2,0,-1),regle!G$2-$Q341)),IF(AS341+1&gt;=regle!$J$12,-2,AS341+1))</f>
        <v>5</v>
      </c>
      <c r="AU341">
        <f>IF(AU$1=$AO$1,IF(regle!H$2-$Q341&gt;=regle!$J$12,-2,IF($S341,IF(regle!$B$2-$Q341&gt;=2,0,-1),regle!H$2-$Q341)),IF(AT341+1&gt;=regle!$J$12,-2,AT341+1))</f>
        <v>6</v>
      </c>
      <c r="AV341">
        <f>IF(AV$1=$AO$1,IF(regle!I$2-$Q341&gt;=regle!$J$12,-2,IF($S341,IF(regle!$B$2-$Q341&gt;=2,0,-1),regle!I$2-$Q341)),IF(AU341+1&gt;=regle!$J$12,-2,AU341+1))</f>
        <v>7</v>
      </c>
      <c r="AW341">
        <f>IF(AW$1=$AO$1,IF(regle!J$2-$Q341&gt;=regle!$J$12,-2,IF($S341,IF(regle!$B$2-$Q341&gt;=2,0,-1),regle!J$2-$Q341)),IF(AV341+1&gt;=regle!$J$12,-2,AV341+1))</f>
        <v>8</v>
      </c>
      <c r="AX341">
        <f>IF(AX$1=$AO$1,IF(regle!K$2-$Q341&gt;=regle!$J$12,-2,IF($S341,IF(regle!$B$2-$Q341&gt;=2,0,-1),regle!K$2-$Q341)),IF(AW341+1&gt;=regle!$J$12,-2,AW341+1))</f>
        <v>9</v>
      </c>
    </row>
    <row r="342" spans="1:50" x14ac:dyDescent="0.25">
      <c r="A342" t="b">
        <f>AND(modif0[[#This Row],[cdstr]]&lt;&gt;0,OR(regle!$H$27=FALSE,modif0[[#This Row],[essnc]]="PM"))</f>
        <v>1</v>
      </c>
      <c r="B342">
        <f>ROW(objet!A394)</f>
        <v>394</v>
      </c>
      <c r="C342" s="10" t="str">
        <f>objet!D394</f>
        <v>2000000M0011</v>
      </c>
      <c r="D342" t="str">
        <f>LEFT(modif0[[#This Row],[cdstr]],3)</f>
        <v>200</v>
      </c>
      <c r="E342" s="10" t="str">
        <f>objet!G394</f>
        <v>MOUSTEY</v>
      </c>
      <c r="F342">
        <f>LEN(modif0[[#This Row],[l_dt]])</f>
        <v>5</v>
      </c>
      <c r="G342" s="10" t="str">
        <f>objet!H394</f>
        <v>Plata</v>
      </c>
      <c r="H342" s="10" t="str">
        <f>objet!C394</f>
        <v>M11a</v>
      </c>
      <c r="I342" t="str">
        <f>IF(ISNUMBER(VALUE(RIGHT(LEFT(modif0[[#This Row],[idntfn]],2),1))),_xlfn.CONCAT(0,LEFT(modif0[[#This Row],[idntfn]],1)),LEFT(modif0[[#This Row],[idntfn]],2))</f>
        <v>0M</v>
      </c>
      <c r="J342">
        <f>VALUE(LEFT(RIGHT(modif0[[#This Row],[idntfn]],LEN(modif0[[#This Row],[idntfn]])-IF(LEFT(modif0[[#This Row],[sctn]],1)="0",1,2)),LEN(modif0[[#This Row],[idntfn]])-IF(LEFT(modif0[[#This Row],[sctn]],1)="0",1,2)-LEN(modif0[[#This Row],[lttr]])))</f>
        <v>11</v>
      </c>
      <c r="K342" t="str">
        <f>IF(ISNUMBER(VALUE(RIGHT(modif0[[#This Row],[idntfn]],1))),"",IF(ISNUMBER(VALUE(LEFT(RIGHT(modif0[[#This Row],[idntfn]],2),1))),RIGHT(modif0[[#This Row],[idntfn]],1),RIGHT(modif0[[#This Row],[idntfn]],2)))</f>
        <v>a</v>
      </c>
      <c r="L342" s="10">
        <f>objet!I394</f>
        <v>9435</v>
      </c>
      <c r="M342" s="11">
        <f>modif0[[#This Row],[srfc]]/10000</f>
        <v>0.94350000000000001</v>
      </c>
      <c r="N342" s="10" t="str">
        <f>objet!Z394</f>
        <v>PM</v>
      </c>
      <c r="O342" s="10" t="str">
        <f>objet!AA394</f>
        <v>CR2022</v>
      </c>
      <c r="P342" t="str">
        <f>IF(ISNUMBER(modif0[[#This Row],[trvx]]),"",LEFT(modif0[[#This Row],[trvx]],LEN(modif0[[#This Row],[trvx]])-4))</f>
        <v>CR</v>
      </c>
      <c r="Q342">
        <f>VALUE(RIGHT(modif0[[#This Row],[trvx]],4))</f>
        <v>2022</v>
      </c>
      <c r="R342" t="str">
        <f>_xlfn.CONCAT(modif0[[#This Row],[tp]],"-",modif0[[#This Row],[essnc]],"_",modif0[[#This Row],[anns]])</f>
        <v>CR-PM_2022</v>
      </c>
      <c r="S342" t="b">
        <f>modif0[[#This Row],[tp]]="CR"</f>
        <v>1</v>
      </c>
      <c r="T342">
        <v>40</v>
      </c>
      <c r="U342" t="str">
        <f>IF(NOT($A342),"",
IF(AO342=-2,regle!$J$11,
IF(AO342=regle!$B$12,regle!$B$11,
IF(AO342=regle!$C$12,regle!$C$11,
IF(AO342=regle!$D$12,regle!$D$11,
IF(AO342=regle!$E$12,regle!$E$11,
IF(AO342=regle!$F$12,regle!$F$11,
IF(AO342=regle!$G$12,regle!$G$11,
IF(AO342=regle!$H$12,regle!$H$11,
IF(AO342=regle!$I$12,regle!$I$11,""))))))))))</f>
        <v>RBST</v>
      </c>
      <c r="V342" t="str">
        <f>IF(NOT($A342),"",
IF(AP342=-2,regle!$J$11,
IF(AP342=regle!$B$12,regle!$B$11,
IF(AP342=regle!$C$12,regle!$C$11,
IF(AP342=regle!$D$12,regle!$D$11,
IF(AP342=regle!$E$12,regle!$E$11,
IF(AP342=regle!$F$12,regle!$F$11,
IF(AP342=regle!$G$12,regle!$G$11,
IF(AP342=regle!$H$12,regle!$H$11,
IF(AP342=regle!$I$12,regle!$I$11,""))))))))))</f>
        <v/>
      </c>
      <c r="W342" t="str">
        <f>IF(NOT($A342),"",
IF(AQ342=-2,regle!$J$11,
IF(AQ342=regle!$B$12,regle!$B$11,
IF(AQ342=regle!$C$12,regle!$C$11,
IF(AQ342=regle!$D$12,regle!$D$11,
IF(AQ342=regle!$E$12,regle!$E$11,
IF(AQ342=regle!$F$12,regle!$F$11,
IF(AQ342=regle!$G$12,regle!$G$11,
IF(AQ342=regle!$H$12,regle!$H$11,
IF(AQ342=regle!$I$12,regle!$I$11,""))))))))))</f>
        <v>DGT</v>
      </c>
      <c r="X342" t="str">
        <f>IF(NOT($A342),"",
IF(AR342=-2,regle!$J$11,
IF(AR342=regle!$B$12,regle!$B$11,
IF(AR342=regle!$C$12,regle!$C$11,
IF(AR342=regle!$D$12,regle!$D$11,
IF(AR342=regle!$E$12,regle!$E$11,
IF(AR342=regle!$F$12,regle!$F$11,
IF(AR342=regle!$G$12,regle!$G$11,
IF(AR342=regle!$H$12,regle!$H$11,
IF(AR342=regle!$I$12,regle!$I$11,""))))))))))</f>
        <v/>
      </c>
      <c r="Y342" t="str">
        <f>IF(NOT($A342),"",
IF(AS342=-2,regle!$J$11,
IF(AS342=regle!$B$12,regle!$B$11,
IF(AS342=regle!$C$12,regle!$C$11,
IF(AS342=regle!$D$12,regle!$D$11,
IF(AS342=regle!$E$12,regle!$E$11,
IF(AS342=regle!$F$12,regle!$F$11,
IF(AS342=regle!$G$12,regle!$G$11,
IF(AS342=regle!$H$12,regle!$H$11,
IF(AS342=regle!$I$12,regle!$I$11,""))))))))))</f>
        <v/>
      </c>
      <c r="Z342" t="str">
        <f>IF(NOT($A342),"",
IF(AT342=-2,regle!$J$11,
IF(AT342=regle!$B$12,regle!$B$11,
IF(AT342=regle!$C$12,regle!$C$11,
IF(AT342=regle!$D$12,regle!$D$11,
IF(AT342=regle!$E$12,regle!$E$11,
IF(AT342=regle!$F$12,regle!$F$11,
IF(AT342=regle!$G$12,regle!$G$11,
IF(AT342=regle!$H$12,regle!$H$11,
IF(AT342=regle!$I$12,regle!$I$11,""))))))))))</f>
        <v>ENT1</v>
      </c>
      <c r="AA342" t="str">
        <f>IF(NOT($A342),"",
IF(AU342=-2,regle!$J$11,
IF(AU342=regle!$B$12,regle!$B$11,
IF(AU342=regle!$C$12,regle!$C$11,
IF(AU342=regle!$D$12,regle!$D$11,
IF(AU342=regle!$E$12,regle!$E$11,
IF(AU342=regle!$F$12,regle!$F$11,
IF(AU342=regle!$G$12,regle!$G$11,
IF(AU342=regle!$H$12,regle!$H$11,
IF(AU342=regle!$I$12,regle!$I$11,""))))))))))</f>
        <v/>
      </c>
      <c r="AB342" t="str">
        <f>IF(NOT($A342),"",
IF(AV342=-2,regle!$J$11,
IF(AV342=regle!$B$12,regle!$B$11,
IF(AV342=regle!$C$12,regle!$C$11,
IF(AV342=regle!$D$12,regle!$D$11,
IF(AV342=regle!$E$12,regle!$E$11,
IF(AV342=regle!$F$12,regle!$F$11,
IF(AV342=regle!$G$12,regle!$G$11,
IF(AV342=regle!$H$12,regle!$H$11,
IF(AV342=regle!$I$12,regle!$I$11,""))))))))))</f>
        <v/>
      </c>
      <c r="AC342" t="str">
        <f>IF(NOT($A342),"",
IF(AW342=-2,regle!$J$11,
IF(AW342=regle!$B$12,regle!$B$11,
IF(AW342=regle!$C$12,regle!$C$11,
IF(AW342=regle!$D$12,regle!$D$11,
IF(AW342=regle!$E$12,regle!$E$11,
IF(AW342=regle!$F$12,regle!$F$11,
IF(AW342=regle!$G$12,regle!$G$11,
IF(AW342=regle!$H$12,regle!$H$11,
IF(AW342=regle!$I$12,regle!$I$11,""))))))))))</f>
        <v>ENT2</v>
      </c>
      <c r="AD342" t="str">
        <f>IF(NOT($A342),"",
IF(AX342=-2,regle!$J$11,
IF(AX342=regle!$B$12,regle!$B$11,
IF(AX342=regle!$C$12,regle!$C$11,
IF(AX342=regle!$D$12,regle!$D$11,
IF(AX342=regle!$E$12,regle!$E$11,
IF(AX342=regle!$F$12,regle!$F$11,
IF(AX342=regle!$G$12,regle!$G$11,
IF(AX342=regle!$H$12,regle!$H$11,
IF(AX342=regle!$I$12,regle!$I$11,""))))))))))</f>
        <v/>
      </c>
      <c r="AE342" s="14">
        <f>IF($A342,$M342*(IF(U342=regle!$B$11,regle!$B$23,IF(U342=regle!$C$11,regle!$C$23,IF(U342=regle!$D$11,regle!$D$23,IF(U342=regle!$E$11,regle!$E$23,IF(U342=regle!$F$11,regle!$F$23,IF(U342=regle!$G$11,regle!$G$23,IF(U342=regle!$H$11,regle!$H$23,IF(U342=regle!$I$11,regle!$I$23,IF(U342=regle!$J$11,regle!$J$23,0)))))))))))</f>
        <v>-1603.95</v>
      </c>
      <c r="AF342" s="14">
        <f>IF($A342,$M342*(IF(V342=regle!$B$11,regle!$B$23,IF(V342=regle!$C$11,regle!$C$23,IF(V342=regle!$D$11,regle!$D$23,IF(V342=regle!$E$11,regle!$E$23,IF(V342=regle!$F$11,regle!$F$23,IF(V342=regle!$G$11,regle!$G$23,IF(V342=regle!$H$11,regle!$H$23,IF(V342=regle!$I$11,regle!$I$23,IF(V342=regle!$J$11,regle!$J$23,0)))))))))))</f>
        <v>0</v>
      </c>
      <c r="AG342" s="14">
        <f>IF($A342,$M342*(IF(W342=regle!$B$11,regle!$B$23,IF(W342=regle!$C$11,regle!$C$23,IF(W342=regle!$D$11,regle!$D$23,IF(W342=regle!$E$11,regle!$E$23,IF(W342=regle!$F$11,regle!$F$23,IF(W342=regle!$G$11,regle!$G$23,IF(W342=regle!$H$11,regle!$H$23,IF(W342=regle!$I$11,regle!$I$23,IF(W342=regle!$J$11,regle!$J$23,0)))))))))))</f>
        <v>-70.762500000000003</v>
      </c>
      <c r="AH342" s="14">
        <f>IF($A342,$M342*(IF(X342=regle!$B$11,regle!$B$23,IF(X342=regle!$C$11,regle!$C$23,IF(X342=regle!$D$11,regle!$D$23,IF(X342=regle!$E$11,regle!$E$23,IF(X342=regle!$F$11,regle!$F$23,IF(X342=regle!$G$11,regle!$G$23,IF(X342=regle!$H$11,regle!$H$23,IF(X342=regle!$I$11,regle!$I$23,IF(X342=regle!$J$11,regle!$J$23,0)))))))))))</f>
        <v>0</v>
      </c>
      <c r="AI342" s="14">
        <f>IF($A342,$M342*(IF(Y342=regle!$B$11,regle!$B$23,IF(Y342=regle!$C$11,regle!$C$23,IF(Y342=regle!$D$11,regle!$D$23,IF(Y342=regle!$E$11,regle!$E$23,IF(Y342=regle!$F$11,regle!$F$23,IF(Y342=regle!$G$11,regle!$G$23,IF(Y342=regle!$H$11,regle!$H$23,IF(Y342=regle!$I$11,regle!$I$23,IF(Y342=regle!$J$11,regle!$J$23,0)))))))))))</f>
        <v>0</v>
      </c>
      <c r="AJ342" s="14">
        <f>IF($A342,$M342*(IF(Z342=regle!$B$11,regle!$B$23,IF(Z342=regle!$C$11,regle!$C$23,IF(Z342=regle!$D$11,regle!$D$23,IF(Z342=regle!$E$11,regle!$E$23,IF(Z342=regle!$F$11,regle!$F$23,IF(Z342=regle!$G$11,regle!$G$23,IF(Z342=regle!$H$11,regle!$H$23,IF(Z342=regle!$I$11,regle!$I$23,IF(Z342=regle!$J$11,regle!$J$23,0)))))))))))</f>
        <v>-84.915000000000006</v>
      </c>
      <c r="AK342" s="14">
        <f>IF($A342,$M342*(IF(AA342=regle!$B$11,regle!$B$23,IF(AA342=regle!$C$11,regle!$C$23,IF(AA342=regle!$D$11,regle!$D$23,IF(AA342=regle!$E$11,regle!$E$23,IF(AA342=regle!$F$11,regle!$F$23,IF(AA342=regle!$G$11,regle!$G$23,IF(AA342=regle!$H$11,regle!$H$23,IF(AA342=regle!$I$11,regle!$I$23,IF(AA342=regle!$J$11,regle!$J$23,0)))))))))))</f>
        <v>0</v>
      </c>
      <c r="AL342" s="14">
        <f>IF($A342,$M342*(IF(AB342=regle!$B$11,regle!$B$23,IF(AB342=regle!$C$11,regle!$C$23,IF(AB342=regle!$D$11,regle!$D$23,IF(AB342=regle!$E$11,regle!$E$23,IF(AB342=regle!$F$11,regle!$F$23,IF(AB342=regle!$G$11,regle!$G$23,IF(AB342=regle!$H$11,regle!$H$23,IF(AB342=regle!$I$11,regle!$I$23,IF(AB342=regle!$J$11,regle!$J$23,0)))))))))))</f>
        <v>0</v>
      </c>
      <c r="AM342" s="14">
        <f>IF($A342,$M342*(IF(AC342=regle!$B$11,regle!$B$23,IF(AC342=regle!$C$11,regle!$C$23,IF(AC342=regle!$D$11,regle!$D$23,IF(AC342=regle!$E$11,regle!$E$23,IF(AC342=regle!$F$11,regle!$F$23,IF(AC342=regle!$G$11,regle!$G$23,IF(AC342=regle!$H$11,regle!$H$23,IF(AC342=regle!$I$11,regle!$I$23,IF(AC342=regle!$J$11,regle!$J$23,0)))))))))))</f>
        <v>-84.915000000000006</v>
      </c>
      <c r="AN342" s="14">
        <f>IF($A342,$M342*(IF(AD342=regle!$B$11,regle!$B$23,IF(AD342=regle!$C$11,regle!$C$23,IF(AD342=regle!$D$11,regle!$D$23,IF(AD342=regle!$E$11,regle!$E$23,IF(AD342=regle!$F$11,regle!$F$23,IF(AD342=regle!$G$11,regle!$G$23,IF(AD342=regle!$H$11,regle!$H$23,IF(AD342=regle!$I$11,regle!$I$23,IF(AD342=regle!$J$11,regle!$J$23,0)))))))))))</f>
        <v>0</v>
      </c>
      <c r="AO342">
        <f>IF(AO$1=$AO$1,IF(regle!B$2-$Q342&gt;=regle!$J$12,-2,IF($S342,IF(regle!$B$2-$Q342&gt;=2,0,-1),regle!B$2-$Q342)),IF(AN342+1&gt;=regle!$J$12,-2,AN342+1))</f>
        <v>0</v>
      </c>
      <c r="AP342">
        <f>IF(AP$1=$AO$1,IF(regle!C$2-$Q342&gt;=regle!$J$12,-2,IF($S342,IF(regle!$B$2-$Q342&gt;=2,0,-1),regle!C$2-$Q342)),IF(AO342+1&gt;=regle!$J$12,-2,AO342+1))</f>
        <v>1</v>
      </c>
      <c r="AQ342">
        <f>IF(AQ$1=$AO$1,IF(regle!D$2-$Q342&gt;=regle!$J$12,-2,IF($S342,IF(regle!$B$2-$Q342&gt;=2,0,-1),regle!D$2-$Q342)),IF(AP342+1&gt;=regle!$J$12,-2,AP342+1))</f>
        <v>2</v>
      </c>
      <c r="AR342">
        <f>IF(AR$1=$AO$1,IF(regle!E$2-$Q342&gt;=regle!$J$12,-2,IF($S342,IF(regle!$B$2-$Q342&gt;=2,0,-1),regle!E$2-$Q342)),IF(AQ342+1&gt;=regle!$J$12,-2,AQ342+1))</f>
        <v>3</v>
      </c>
      <c r="AS342">
        <f>IF(AS$1=$AO$1,IF(regle!F$2-$Q342&gt;=regle!$J$12,-2,IF($S342,IF(regle!$B$2-$Q342&gt;=2,0,-1),regle!F$2-$Q342)),IF(AR342+1&gt;=regle!$J$12,-2,AR342+1))</f>
        <v>4</v>
      </c>
      <c r="AT342">
        <f>IF(AT$1=$AO$1,IF(regle!G$2-$Q342&gt;=regle!$J$12,-2,IF($S342,IF(regle!$B$2-$Q342&gt;=2,0,-1),regle!G$2-$Q342)),IF(AS342+1&gt;=regle!$J$12,-2,AS342+1))</f>
        <v>5</v>
      </c>
      <c r="AU342">
        <f>IF(AU$1=$AO$1,IF(regle!H$2-$Q342&gt;=regle!$J$12,-2,IF($S342,IF(regle!$B$2-$Q342&gt;=2,0,-1),regle!H$2-$Q342)),IF(AT342+1&gt;=regle!$J$12,-2,AT342+1))</f>
        <v>6</v>
      </c>
      <c r="AV342">
        <f>IF(AV$1=$AO$1,IF(regle!I$2-$Q342&gt;=regle!$J$12,-2,IF($S342,IF(regle!$B$2-$Q342&gt;=2,0,-1),regle!I$2-$Q342)),IF(AU342+1&gt;=regle!$J$12,-2,AU342+1))</f>
        <v>7</v>
      </c>
      <c r="AW342">
        <f>IF(AW$1=$AO$1,IF(regle!J$2-$Q342&gt;=regle!$J$12,-2,IF($S342,IF(regle!$B$2-$Q342&gt;=2,0,-1),regle!J$2-$Q342)),IF(AV342+1&gt;=regle!$J$12,-2,AV342+1))</f>
        <v>8</v>
      </c>
      <c r="AX342">
        <f>IF(AX$1=$AO$1,IF(regle!K$2-$Q342&gt;=regle!$J$12,-2,IF($S342,IF(regle!$B$2-$Q342&gt;=2,0,-1),regle!K$2-$Q342)),IF(AW342+1&gt;=regle!$J$12,-2,AW342+1))</f>
        <v>9</v>
      </c>
    </row>
    <row r="343" spans="1:50" x14ac:dyDescent="0.25">
      <c r="A343" t="b">
        <f>AND(modif0[[#This Row],[cdstr]]&lt;&gt;0,OR(regle!$H$27=FALSE,modif0[[#This Row],[essnc]]="PM"))</f>
        <v>1</v>
      </c>
      <c r="B343">
        <f>ROW(objet!A396)</f>
        <v>396</v>
      </c>
      <c r="C343" s="10" t="str">
        <f>objet!D396</f>
        <v>2000000M0020</v>
      </c>
      <c r="D343" t="str">
        <f>LEFT(modif0[[#This Row],[cdstr]],3)</f>
        <v>200</v>
      </c>
      <c r="E343" s="10" t="str">
        <f>objet!G396</f>
        <v>MOUSTEY</v>
      </c>
      <c r="F343">
        <f>LEN(modif0[[#This Row],[l_dt]])</f>
        <v>5</v>
      </c>
      <c r="G343" s="10" t="str">
        <f>objet!H396</f>
        <v>Plata</v>
      </c>
      <c r="H343" s="10" t="str">
        <f>objet!C396</f>
        <v>M20</v>
      </c>
      <c r="I343" t="str">
        <f>IF(ISNUMBER(VALUE(RIGHT(LEFT(modif0[[#This Row],[idntfn]],2),1))),_xlfn.CONCAT(0,LEFT(modif0[[#This Row],[idntfn]],1)),LEFT(modif0[[#This Row],[idntfn]],2))</f>
        <v>0M</v>
      </c>
      <c r="J343">
        <f>VALUE(LEFT(RIGHT(modif0[[#This Row],[idntfn]],LEN(modif0[[#This Row],[idntfn]])-IF(LEFT(modif0[[#This Row],[sctn]],1)="0",1,2)),LEN(modif0[[#This Row],[idntfn]])-IF(LEFT(modif0[[#This Row],[sctn]],1)="0",1,2)-LEN(modif0[[#This Row],[lttr]])))</f>
        <v>20</v>
      </c>
      <c r="K343" t="str">
        <f>IF(ISNUMBER(VALUE(RIGHT(modif0[[#This Row],[idntfn]],1))),"",IF(ISNUMBER(VALUE(LEFT(RIGHT(modif0[[#This Row],[idntfn]],2),1))),RIGHT(modif0[[#This Row],[idntfn]],1),RIGHT(modif0[[#This Row],[idntfn]],2)))</f>
        <v/>
      </c>
      <c r="L343" s="10">
        <f>objet!I396</f>
        <v>5940</v>
      </c>
      <c r="M343" s="11">
        <f>modif0[[#This Row],[srfc]]/10000</f>
        <v>0.59399999999999997</v>
      </c>
      <c r="N343" s="10" t="str">
        <f>objet!Z396</f>
        <v>PM</v>
      </c>
      <c r="O343" s="10" t="str">
        <f>objet!AA396</f>
        <v>CR2022</v>
      </c>
      <c r="P343" t="str">
        <f>IF(ISNUMBER(modif0[[#This Row],[trvx]]),"",LEFT(modif0[[#This Row],[trvx]],LEN(modif0[[#This Row],[trvx]])-4))</f>
        <v>CR</v>
      </c>
      <c r="Q343">
        <f>VALUE(RIGHT(modif0[[#This Row],[trvx]],4))</f>
        <v>2022</v>
      </c>
      <c r="R343" t="str">
        <f>_xlfn.CONCAT(modif0[[#This Row],[tp]],"-",modif0[[#This Row],[essnc]],"_",modif0[[#This Row],[anns]])</f>
        <v>CR-PM_2022</v>
      </c>
      <c r="S343" t="b">
        <f>modif0[[#This Row],[tp]]="CR"</f>
        <v>1</v>
      </c>
      <c r="T343">
        <v>40</v>
      </c>
      <c r="U343" t="str">
        <f>IF(NOT($A343),"",
IF(AO343=-2,regle!$J$11,
IF(AO343=regle!$B$12,regle!$B$11,
IF(AO343=regle!$C$12,regle!$C$11,
IF(AO343=regle!$D$12,regle!$D$11,
IF(AO343=regle!$E$12,regle!$E$11,
IF(AO343=regle!$F$12,regle!$F$11,
IF(AO343=regle!$G$12,regle!$G$11,
IF(AO343=regle!$H$12,regle!$H$11,
IF(AO343=regle!$I$12,regle!$I$11,""))))))))))</f>
        <v>RBST</v>
      </c>
      <c r="V343" t="str">
        <f>IF(NOT($A343),"",
IF(AP343=-2,regle!$J$11,
IF(AP343=regle!$B$12,regle!$B$11,
IF(AP343=regle!$C$12,regle!$C$11,
IF(AP343=regle!$D$12,regle!$D$11,
IF(AP343=regle!$E$12,regle!$E$11,
IF(AP343=regle!$F$12,regle!$F$11,
IF(AP343=regle!$G$12,regle!$G$11,
IF(AP343=regle!$H$12,regle!$H$11,
IF(AP343=regle!$I$12,regle!$I$11,""))))))))))</f>
        <v/>
      </c>
      <c r="W343" t="str">
        <f>IF(NOT($A343),"",
IF(AQ343=-2,regle!$J$11,
IF(AQ343=regle!$B$12,regle!$B$11,
IF(AQ343=regle!$C$12,regle!$C$11,
IF(AQ343=regle!$D$12,regle!$D$11,
IF(AQ343=regle!$E$12,regle!$E$11,
IF(AQ343=regle!$F$12,regle!$F$11,
IF(AQ343=regle!$G$12,regle!$G$11,
IF(AQ343=regle!$H$12,regle!$H$11,
IF(AQ343=regle!$I$12,regle!$I$11,""))))))))))</f>
        <v>DGT</v>
      </c>
      <c r="X343" t="str">
        <f>IF(NOT($A343),"",
IF(AR343=-2,regle!$J$11,
IF(AR343=regle!$B$12,regle!$B$11,
IF(AR343=regle!$C$12,regle!$C$11,
IF(AR343=regle!$D$12,regle!$D$11,
IF(AR343=regle!$E$12,regle!$E$11,
IF(AR343=regle!$F$12,regle!$F$11,
IF(AR343=regle!$G$12,regle!$G$11,
IF(AR343=regle!$H$12,regle!$H$11,
IF(AR343=regle!$I$12,regle!$I$11,""))))))))))</f>
        <v/>
      </c>
      <c r="Y343" t="str">
        <f>IF(NOT($A343),"",
IF(AS343=-2,regle!$J$11,
IF(AS343=regle!$B$12,regle!$B$11,
IF(AS343=regle!$C$12,regle!$C$11,
IF(AS343=regle!$D$12,regle!$D$11,
IF(AS343=regle!$E$12,regle!$E$11,
IF(AS343=regle!$F$12,regle!$F$11,
IF(AS343=regle!$G$12,regle!$G$11,
IF(AS343=regle!$H$12,regle!$H$11,
IF(AS343=regle!$I$12,regle!$I$11,""))))))))))</f>
        <v/>
      </c>
      <c r="Z343" t="str">
        <f>IF(NOT($A343),"",
IF(AT343=-2,regle!$J$11,
IF(AT343=regle!$B$12,regle!$B$11,
IF(AT343=regle!$C$12,regle!$C$11,
IF(AT343=regle!$D$12,regle!$D$11,
IF(AT343=regle!$E$12,regle!$E$11,
IF(AT343=regle!$F$12,regle!$F$11,
IF(AT343=regle!$G$12,regle!$G$11,
IF(AT343=regle!$H$12,regle!$H$11,
IF(AT343=regle!$I$12,regle!$I$11,""))))))))))</f>
        <v>ENT1</v>
      </c>
      <c r="AA343" t="str">
        <f>IF(NOT($A343),"",
IF(AU343=-2,regle!$J$11,
IF(AU343=regle!$B$12,regle!$B$11,
IF(AU343=regle!$C$12,regle!$C$11,
IF(AU343=regle!$D$12,regle!$D$11,
IF(AU343=regle!$E$12,regle!$E$11,
IF(AU343=regle!$F$12,regle!$F$11,
IF(AU343=regle!$G$12,regle!$G$11,
IF(AU343=regle!$H$12,regle!$H$11,
IF(AU343=regle!$I$12,regle!$I$11,""))))))))))</f>
        <v/>
      </c>
      <c r="AB343" t="str">
        <f>IF(NOT($A343),"",
IF(AV343=-2,regle!$J$11,
IF(AV343=regle!$B$12,regle!$B$11,
IF(AV343=regle!$C$12,regle!$C$11,
IF(AV343=regle!$D$12,regle!$D$11,
IF(AV343=regle!$E$12,regle!$E$11,
IF(AV343=regle!$F$12,regle!$F$11,
IF(AV343=regle!$G$12,regle!$G$11,
IF(AV343=regle!$H$12,regle!$H$11,
IF(AV343=regle!$I$12,regle!$I$11,""))))))))))</f>
        <v/>
      </c>
      <c r="AC343" t="str">
        <f>IF(NOT($A343),"",
IF(AW343=-2,regle!$J$11,
IF(AW343=regle!$B$12,regle!$B$11,
IF(AW343=regle!$C$12,regle!$C$11,
IF(AW343=regle!$D$12,regle!$D$11,
IF(AW343=regle!$E$12,regle!$E$11,
IF(AW343=regle!$F$12,regle!$F$11,
IF(AW343=regle!$G$12,regle!$G$11,
IF(AW343=regle!$H$12,regle!$H$11,
IF(AW343=regle!$I$12,regle!$I$11,""))))))))))</f>
        <v>ENT2</v>
      </c>
      <c r="AD343" t="str">
        <f>IF(NOT($A343),"",
IF(AX343=-2,regle!$J$11,
IF(AX343=regle!$B$12,regle!$B$11,
IF(AX343=regle!$C$12,regle!$C$11,
IF(AX343=regle!$D$12,regle!$D$11,
IF(AX343=regle!$E$12,regle!$E$11,
IF(AX343=regle!$F$12,regle!$F$11,
IF(AX343=regle!$G$12,regle!$G$11,
IF(AX343=regle!$H$12,regle!$H$11,
IF(AX343=regle!$I$12,regle!$I$11,""))))))))))</f>
        <v/>
      </c>
      <c r="AE343" s="14">
        <f>IF($A343,$M343*(IF(U343=regle!$B$11,regle!$B$23,IF(U343=regle!$C$11,regle!$C$23,IF(U343=regle!$D$11,regle!$D$23,IF(U343=regle!$E$11,regle!$E$23,IF(U343=regle!$F$11,regle!$F$23,IF(U343=regle!$G$11,regle!$G$23,IF(U343=regle!$H$11,regle!$H$23,IF(U343=regle!$I$11,regle!$I$23,IF(U343=regle!$J$11,regle!$J$23,0)))))))))))</f>
        <v>-1009.8</v>
      </c>
      <c r="AF343" s="14">
        <f>IF($A343,$M343*(IF(V343=regle!$B$11,regle!$B$23,IF(V343=regle!$C$11,regle!$C$23,IF(V343=regle!$D$11,regle!$D$23,IF(V343=regle!$E$11,regle!$E$23,IF(V343=regle!$F$11,regle!$F$23,IF(V343=regle!$G$11,regle!$G$23,IF(V343=regle!$H$11,regle!$H$23,IF(V343=regle!$I$11,regle!$I$23,IF(V343=regle!$J$11,regle!$J$23,0)))))))))))</f>
        <v>0</v>
      </c>
      <c r="AG343" s="14">
        <f>IF($A343,$M343*(IF(W343=regle!$B$11,regle!$B$23,IF(W343=regle!$C$11,regle!$C$23,IF(W343=regle!$D$11,regle!$D$23,IF(W343=regle!$E$11,regle!$E$23,IF(W343=regle!$F$11,regle!$F$23,IF(W343=regle!$G$11,regle!$G$23,IF(W343=regle!$H$11,regle!$H$23,IF(W343=regle!$I$11,regle!$I$23,IF(W343=regle!$J$11,regle!$J$23,0)))))))))))</f>
        <v>-44.55</v>
      </c>
      <c r="AH343" s="14">
        <f>IF($A343,$M343*(IF(X343=regle!$B$11,regle!$B$23,IF(X343=regle!$C$11,regle!$C$23,IF(X343=regle!$D$11,regle!$D$23,IF(X343=regle!$E$11,regle!$E$23,IF(X343=regle!$F$11,regle!$F$23,IF(X343=regle!$G$11,regle!$G$23,IF(X343=regle!$H$11,regle!$H$23,IF(X343=regle!$I$11,regle!$I$23,IF(X343=regle!$J$11,regle!$J$23,0)))))))))))</f>
        <v>0</v>
      </c>
      <c r="AI343" s="14">
        <f>IF($A343,$M343*(IF(Y343=regle!$B$11,regle!$B$23,IF(Y343=regle!$C$11,regle!$C$23,IF(Y343=regle!$D$11,regle!$D$23,IF(Y343=regle!$E$11,regle!$E$23,IF(Y343=regle!$F$11,regle!$F$23,IF(Y343=regle!$G$11,regle!$G$23,IF(Y343=regle!$H$11,regle!$H$23,IF(Y343=regle!$I$11,regle!$I$23,IF(Y343=regle!$J$11,regle!$J$23,0)))))))))))</f>
        <v>0</v>
      </c>
      <c r="AJ343" s="14">
        <f>IF($A343,$M343*(IF(Z343=regle!$B$11,regle!$B$23,IF(Z343=regle!$C$11,regle!$C$23,IF(Z343=regle!$D$11,regle!$D$23,IF(Z343=regle!$E$11,regle!$E$23,IF(Z343=regle!$F$11,regle!$F$23,IF(Z343=regle!$G$11,regle!$G$23,IF(Z343=regle!$H$11,regle!$H$23,IF(Z343=regle!$I$11,regle!$I$23,IF(Z343=regle!$J$11,regle!$J$23,0)))))))))))</f>
        <v>-53.46</v>
      </c>
      <c r="AK343" s="14">
        <f>IF($A343,$M343*(IF(AA343=regle!$B$11,regle!$B$23,IF(AA343=regle!$C$11,regle!$C$23,IF(AA343=regle!$D$11,regle!$D$23,IF(AA343=regle!$E$11,regle!$E$23,IF(AA343=regle!$F$11,regle!$F$23,IF(AA343=regle!$G$11,regle!$G$23,IF(AA343=regle!$H$11,regle!$H$23,IF(AA343=regle!$I$11,regle!$I$23,IF(AA343=regle!$J$11,regle!$J$23,0)))))))))))</f>
        <v>0</v>
      </c>
      <c r="AL343" s="14">
        <f>IF($A343,$M343*(IF(AB343=regle!$B$11,regle!$B$23,IF(AB343=regle!$C$11,regle!$C$23,IF(AB343=regle!$D$11,regle!$D$23,IF(AB343=regle!$E$11,regle!$E$23,IF(AB343=regle!$F$11,regle!$F$23,IF(AB343=regle!$G$11,regle!$G$23,IF(AB343=regle!$H$11,regle!$H$23,IF(AB343=regle!$I$11,regle!$I$23,IF(AB343=regle!$J$11,regle!$J$23,0)))))))))))</f>
        <v>0</v>
      </c>
      <c r="AM343" s="14">
        <f>IF($A343,$M343*(IF(AC343=regle!$B$11,regle!$B$23,IF(AC343=regle!$C$11,regle!$C$23,IF(AC343=regle!$D$11,regle!$D$23,IF(AC343=regle!$E$11,regle!$E$23,IF(AC343=regle!$F$11,regle!$F$23,IF(AC343=regle!$G$11,regle!$G$23,IF(AC343=regle!$H$11,regle!$H$23,IF(AC343=regle!$I$11,regle!$I$23,IF(AC343=regle!$J$11,regle!$J$23,0)))))))))))</f>
        <v>-53.46</v>
      </c>
      <c r="AN343" s="14">
        <f>IF($A343,$M343*(IF(AD343=regle!$B$11,regle!$B$23,IF(AD343=regle!$C$11,regle!$C$23,IF(AD343=regle!$D$11,regle!$D$23,IF(AD343=regle!$E$11,regle!$E$23,IF(AD343=regle!$F$11,regle!$F$23,IF(AD343=regle!$G$11,regle!$G$23,IF(AD343=regle!$H$11,regle!$H$23,IF(AD343=regle!$I$11,regle!$I$23,IF(AD343=regle!$J$11,regle!$J$23,0)))))))))))</f>
        <v>0</v>
      </c>
      <c r="AO343">
        <f>IF(AO$1=$AO$1,IF(regle!B$2-$Q343&gt;=regle!$J$12,-2,IF($S343,IF(regle!$B$2-$Q343&gt;=2,0,-1),regle!B$2-$Q343)),IF(AN343+1&gt;=regle!$J$12,-2,AN343+1))</f>
        <v>0</v>
      </c>
      <c r="AP343">
        <f>IF(AP$1=$AO$1,IF(regle!C$2-$Q343&gt;=regle!$J$12,-2,IF($S343,IF(regle!$B$2-$Q343&gt;=2,0,-1),regle!C$2-$Q343)),IF(AO343+1&gt;=regle!$J$12,-2,AO343+1))</f>
        <v>1</v>
      </c>
      <c r="AQ343">
        <f>IF(AQ$1=$AO$1,IF(regle!D$2-$Q343&gt;=regle!$J$12,-2,IF($S343,IF(regle!$B$2-$Q343&gt;=2,0,-1),regle!D$2-$Q343)),IF(AP343+1&gt;=regle!$J$12,-2,AP343+1))</f>
        <v>2</v>
      </c>
      <c r="AR343">
        <f>IF(AR$1=$AO$1,IF(regle!E$2-$Q343&gt;=regle!$J$12,-2,IF($S343,IF(regle!$B$2-$Q343&gt;=2,0,-1),regle!E$2-$Q343)),IF(AQ343+1&gt;=regle!$J$12,-2,AQ343+1))</f>
        <v>3</v>
      </c>
      <c r="AS343">
        <f>IF(AS$1=$AO$1,IF(regle!F$2-$Q343&gt;=regle!$J$12,-2,IF($S343,IF(regle!$B$2-$Q343&gt;=2,0,-1),regle!F$2-$Q343)),IF(AR343+1&gt;=regle!$J$12,-2,AR343+1))</f>
        <v>4</v>
      </c>
      <c r="AT343">
        <f>IF(AT$1=$AO$1,IF(regle!G$2-$Q343&gt;=regle!$J$12,-2,IF($S343,IF(regle!$B$2-$Q343&gt;=2,0,-1),regle!G$2-$Q343)),IF(AS343+1&gt;=regle!$J$12,-2,AS343+1))</f>
        <v>5</v>
      </c>
      <c r="AU343">
        <f>IF(AU$1=$AO$1,IF(regle!H$2-$Q343&gt;=regle!$J$12,-2,IF($S343,IF(regle!$B$2-$Q343&gt;=2,0,-1),regle!H$2-$Q343)),IF(AT343+1&gt;=regle!$J$12,-2,AT343+1))</f>
        <v>6</v>
      </c>
      <c r="AV343">
        <f>IF(AV$1=$AO$1,IF(regle!I$2-$Q343&gt;=regle!$J$12,-2,IF($S343,IF(regle!$B$2-$Q343&gt;=2,0,-1),regle!I$2-$Q343)),IF(AU343+1&gt;=regle!$J$12,-2,AU343+1))</f>
        <v>7</v>
      </c>
      <c r="AW343">
        <f>IF(AW$1=$AO$1,IF(regle!J$2-$Q343&gt;=regle!$J$12,-2,IF($S343,IF(regle!$B$2-$Q343&gt;=2,0,-1),regle!J$2-$Q343)),IF(AV343+1&gt;=regle!$J$12,-2,AV343+1))</f>
        <v>8</v>
      </c>
      <c r="AX343">
        <f>IF(AX$1=$AO$1,IF(regle!K$2-$Q343&gt;=regle!$J$12,-2,IF($S343,IF(regle!$B$2-$Q343&gt;=2,0,-1),regle!K$2-$Q343)),IF(AW343+1&gt;=regle!$J$12,-2,AW343+1))</f>
        <v>9</v>
      </c>
    </row>
    <row r="344" spans="1:50" x14ac:dyDescent="0.25">
      <c r="A344" t="b">
        <f>AND(modif0[[#This Row],[cdstr]]&lt;&gt;0,OR(regle!$H$27=FALSE,modif0[[#This Row],[essnc]]="PM"))</f>
        <v>1</v>
      </c>
      <c r="B344">
        <f>ROW(objet!A397)</f>
        <v>397</v>
      </c>
      <c r="C344" s="10" t="str">
        <f>objet!D397</f>
        <v>2000000M0021</v>
      </c>
      <c r="D344" t="str">
        <f>LEFT(modif0[[#This Row],[cdstr]],3)</f>
        <v>200</v>
      </c>
      <c r="E344" s="10" t="str">
        <f>objet!G397</f>
        <v>MOUSTEY</v>
      </c>
      <c r="F344">
        <f>LEN(modif0[[#This Row],[l_dt]])</f>
        <v>5</v>
      </c>
      <c r="G344" s="10" t="str">
        <f>objet!H397</f>
        <v>Plata</v>
      </c>
      <c r="H344" s="10" t="str">
        <f>objet!C397</f>
        <v>M21a</v>
      </c>
      <c r="I344" t="str">
        <f>IF(ISNUMBER(VALUE(RIGHT(LEFT(modif0[[#This Row],[idntfn]],2),1))),_xlfn.CONCAT(0,LEFT(modif0[[#This Row],[idntfn]],1)),LEFT(modif0[[#This Row],[idntfn]],2))</f>
        <v>0M</v>
      </c>
      <c r="J344">
        <f>VALUE(LEFT(RIGHT(modif0[[#This Row],[idntfn]],LEN(modif0[[#This Row],[idntfn]])-IF(LEFT(modif0[[#This Row],[sctn]],1)="0",1,2)),LEN(modif0[[#This Row],[idntfn]])-IF(LEFT(modif0[[#This Row],[sctn]],1)="0",1,2)-LEN(modif0[[#This Row],[lttr]])))</f>
        <v>21</v>
      </c>
      <c r="K344" t="str">
        <f>IF(ISNUMBER(VALUE(RIGHT(modif0[[#This Row],[idntfn]],1))),"",IF(ISNUMBER(VALUE(LEFT(RIGHT(modif0[[#This Row],[idntfn]],2),1))),RIGHT(modif0[[#This Row],[idntfn]],1),RIGHT(modif0[[#This Row],[idntfn]],2)))</f>
        <v>a</v>
      </c>
      <c r="L344" s="10">
        <f>objet!I397</f>
        <v>2299</v>
      </c>
      <c r="M344" s="11">
        <f>modif0[[#This Row],[srfc]]/10000</f>
        <v>0.22989999999999999</v>
      </c>
      <c r="N344" s="10" t="str">
        <f>objet!Z397</f>
        <v>PM</v>
      </c>
      <c r="O344" s="10" t="str">
        <f>objet!AA397</f>
        <v>CR2022</v>
      </c>
      <c r="P344" t="str">
        <f>IF(ISNUMBER(modif0[[#This Row],[trvx]]),"",LEFT(modif0[[#This Row],[trvx]],LEN(modif0[[#This Row],[trvx]])-4))</f>
        <v>CR</v>
      </c>
      <c r="Q344">
        <f>VALUE(RIGHT(modif0[[#This Row],[trvx]],4))</f>
        <v>2022</v>
      </c>
      <c r="R344" t="str">
        <f>_xlfn.CONCAT(modif0[[#This Row],[tp]],"-",modif0[[#This Row],[essnc]],"_",modif0[[#This Row],[anns]])</f>
        <v>CR-PM_2022</v>
      </c>
      <c r="S344" t="b">
        <f>modif0[[#This Row],[tp]]="CR"</f>
        <v>1</v>
      </c>
      <c r="T344">
        <v>40</v>
      </c>
      <c r="U344" t="str">
        <f>IF(NOT($A344),"",
IF(AO344=-2,regle!$J$11,
IF(AO344=regle!$B$12,regle!$B$11,
IF(AO344=regle!$C$12,regle!$C$11,
IF(AO344=regle!$D$12,regle!$D$11,
IF(AO344=regle!$E$12,regle!$E$11,
IF(AO344=regle!$F$12,regle!$F$11,
IF(AO344=regle!$G$12,regle!$G$11,
IF(AO344=regle!$H$12,regle!$H$11,
IF(AO344=regle!$I$12,regle!$I$11,""))))))))))</f>
        <v>RBST</v>
      </c>
      <c r="V344" t="str">
        <f>IF(NOT($A344),"",
IF(AP344=-2,regle!$J$11,
IF(AP344=regle!$B$12,regle!$B$11,
IF(AP344=regle!$C$12,regle!$C$11,
IF(AP344=regle!$D$12,regle!$D$11,
IF(AP344=regle!$E$12,regle!$E$11,
IF(AP344=regle!$F$12,regle!$F$11,
IF(AP344=regle!$G$12,regle!$G$11,
IF(AP344=regle!$H$12,regle!$H$11,
IF(AP344=regle!$I$12,regle!$I$11,""))))))))))</f>
        <v/>
      </c>
      <c r="W344" t="str">
        <f>IF(NOT($A344),"",
IF(AQ344=-2,regle!$J$11,
IF(AQ344=regle!$B$12,regle!$B$11,
IF(AQ344=regle!$C$12,regle!$C$11,
IF(AQ344=regle!$D$12,regle!$D$11,
IF(AQ344=regle!$E$12,regle!$E$11,
IF(AQ344=regle!$F$12,regle!$F$11,
IF(AQ344=regle!$G$12,regle!$G$11,
IF(AQ344=regle!$H$12,regle!$H$11,
IF(AQ344=regle!$I$12,regle!$I$11,""))))))))))</f>
        <v>DGT</v>
      </c>
      <c r="X344" t="str">
        <f>IF(NOT($A344),"",
IF(AR344=-2,regle!$J$11,
IF(AR344=regle!$B$12,regle!$B$11,
IF(AR344=regle!$C$12,regle!$C$11,
IF(AR344=regle!$D$12,regle!$D$11,
IF(AR344=regle!$E$12,regle!$E$11,
IF(AR344=regle!$F$12,regle!$F$11,
IF(AR344=regle!$G$12,regle!$G$11,
IF(AR344=regle!$H$12,regle!$H$11,
IF(AR344=regle!$I$12,regle!$I$11,""))))))))))</f>
        <v/>
      </c>
      <c r="Y344" t="str">
        <f>IF(NOT($A344),"",
IF(AS344=-2,regle!$J$11,
IF(AS344=regle!$B$12,regle!$B$11,
IF(AS344=regle!$C$12,regle!$C$11,
IF(AS344=regle!$D$12,regle!$D$11,
IF(AS344=regle!$E$12,regle!$E$11,
IF(AS344=regle!$F$12,regle!$F$11,
IF(AS344=regle!$G$12,regle!$G$11,
IF(AS344=regle!$H$12,regle!$H$11,
IF(AS344=regle!$I$12,regle!$I$11,""))))))))))</f>
        <v/>
      </c>
      <c r="Z344" t="str">
        <f>IF(NOT($A344),"",
IF(AT344=-2,regle!$J$11,
IF(AT344=regle!$B$12,regle!$B$11,
IF(AT344=regle!$C$12,regle!$C$11,
IF(AT344=regle!$D$12,regle!$D$11,
IF(AT344=regle!$E$12,regle!$E$11,
IF(AT344=regle!$F$12,regle!$F$11,
IF(AT344=regle!$G$12,regle!$G$11,
IF(AT344=regle!$H$12,regle!$H$11,
IF(AT344=regle!$I$12,regle!$I$11,""))))))))))</f>
        <v>ENT1</v>
      </c>
      <c r="AA344" t="str">
        <f>IF(NOT($A344),"",
IF(AU344=-2,regle!$J$11,
IF(AU344=regle!$B$12,regle!$B$11,
IF(AU344=regle!$C$12,regle!$C$11,
IF(AU344=regle!$D$12,regle!$D$11,
IF(AU344=regle!$E$12,regle!$E$11,
IF(AU344=regle!$F$12,regle!$F$11,
IF(AU344=regle!$G$12,regle!$G$11,
IF(AU344=regle!$H$12,regle!$H$11,
IF(AU344=regle!$I$12,regle!$I$11,""))))))))))</f>
        <v/>
      </c>
      <c r="AB344" t="str">
        <f>IF(NOT($A344),"",
IF(AV344=-2,regle!$J$11,
IF(AV344=regle!$B$12,regle!$B$11,
IF(AV344=regle!$C$12,regle!$C$11,
IF(AV344=regle!$D$12,regle!$D$11,
IF(AV344=regle!$E$12,regle!$E$11,
IF(AV344=regle!$F$12,regle!$F$11,
IF(AV344=regle!$G$12,regle!$G$11,
IF(AV344=regle!$H$12,regle!$H$11,
IF(AV344=regle!$I$12,regle!$I$11,""))))))))))</f>
        <v/>
      </c>
      <c r="AC344" t="str">
        <f>IF(NOT($A344),"",
IF(AW344=-2,regle!$J$11,
IF(AW344=regle!$B$12,regle!$B$11,
IF(AW344=regle!$C$12,regle!$C$11,
IF(AW344=regle!$D$12,regle!$D$11,
IF(AW344=regle!$E$12,regle!$E$11,
IF(AW344=regle!$F$12,regle!$F$11,
IF(AW344=regle!$G$12,regle!$G$11,
IF(AW344=regle!$H$12,regle!$H$11,
IF(AW344=regle!$I$12,regle!$I$11,""))))))))))</f>
        <v>ENT2</v>
      </c>
      <c r="AD344" t="str">
        <f>IF(NOT($A344),"",
IF(AX344=-2,regle!$J$11,
IF(AX344=regle!$B$12,regle!$B$11,
IF(AX344=regle!$C$12,regle!$C$11,
IF(AX344=regle!$D$12,regle!$D$11,
IF(AX344=regle!$E$12,regle!$E$11,
IF(AX344=regle!$F$12,regle!$F$11,
IF(AX344=regle!$G$12,regle!$G$11,
IF(AX344=regle!$H$12,regle!$H$11,
IF(AX344=regle!$I$12,regle!$I$11,""))))))))))</f>
        <v/>
      </c>
      <c r="AE344" s="14">
        <f>IF($A344,$M344*(IF(U344=regle!$B$11,regle!$B$23,IF(U344=regle!$C$11,regle!$C$23,IF(U344=regle!$D$11,regle!$D$23,IF(U344=regle!$E$11,regle!$E$23,IF(U344=regle!$F$11,regle!$F$23,IF(U344=regle!$G$11,regle!$G$23,IF(U344=regle!$H$11,regle!$H$23,IF(U344=regle!$I$11,regle!$I$23,IF(U344=regle!$J$11,regle!$J$23,0)))))))))))</f>
        <v>-390.83</v>
      </c>
      <c r="AF344" s="14">
        <f>IF($A344,$M344*(IF(V344=regle!$B$11,regle!$B$23,IF(V344=regle!$C$11,regle!$C$23,IF(V344=regle!$D$11,regle!$D$23,IF(V344=regle!$E$11,regle!$E$23,IF(V344=regle!$F$11,regle!$F$23,IF(V344=regle!$G$11,regle!$G$23,IF(V344=regle!$H$11,regle!$H$23,IF(V344=regle!$I$11,regle!$I$23,IF(V344=regle!$J$11,regle!$J$23,0)))))))))))</f>
        <v>0</v>
      </c>
      <c r="AG344" s="14">
        <f>IF($A344,$M344*(IF(W344=regle!$B$11,regle!$B$23,IF(W344=regle!$C$11,regle!$C$23,IF(W344=regle!$D$11,regle!$D$23,IF(W344=regle!$E$11,regle!$E$23,IF(W344=regle!$F$11,regle!$F$23,IF(W344=regle!$G$11,regle!$G$23,IF(W344=regle!$H$11,regle!$H$23,IF(W344=regle!$I$11,regle!$I$23,IF(W344=regle!$J$11,regle!$J$23,0)))))))))))</f>
        <v>-17.2425</v>
      </c>
      <c r="AH344" s="14">
        <f>IF($A344,$M344*(IF(X344=regle!$B$11,regle!$B$23,IF(X344=regle!$C$11,regle!$C$23,IF(X344=regle!$D$11,regle!$D$23,IF(X344=regle!$E$11,regle!$E$23,IF(X344=regle!$F$11,regle!$F$23,IF(X344=regle!$G$11,regle!$G$23,IF(X344=regle!$H$11,regle!$H$23,IF(X344=regle!$I$11,regle!$I$23,IF(X344=regle!$J$11,regle!$J$23,0)))))))))))</f>
        <v>0</v>
      </c>
      <c r="AI344" s="14">
        <f>IF($A344,$M344*(IF(Y344=regle!$B$11,regle!$B$23,IF(Y344=regle!$C$11,regle!$C$23,IF(Y344=regle!$D$11,regle!$D$23,IF(Y344=regle!$E$11,regle!$E$23,IF(Y344=regle!$F$11,regle!$F$23,IF(Y344=regle!$G$11,regle!$G$23,IF(Y344=regle!$H$11,regle!$H$23,IF(Y344=regle!$I$11,regle!$I$23,IF(Y344=regle!$J$11,regle!$J$23,0)))))))))))</f>
        <v>0</v>
      </c>
      <c r="AJ344" s="14">
        <f>IF($A344,$M344*(IF(Z344=regle!$B$11,regle!$B$23,IF(Z344=regle!$C$11,regle!$C$23,IF(Z344=regle!$D$11,regle!$D$23,IF(Z344=regle!$E$11,regle!$E$23,IF(Z344=regle!$F$11,regle!$F$23,IF(Z344=regle!$G$11,regle!$G$23,IF(Z344=regle!$H$11,regle!$H$23,IF(Z344=regle!$I$11,regle!$I$23,IF(Z344=regle!$J$11,regle!$J$23,0)))))))))))</f>
        <v>-20.690999999999999</v>
      </c>
      <c r="AK344" s="14">
        <f>IF($A344,$M344*(IF(AA344=regle!$B$11,regle!$B$23,IF(AA344=regle!$C$11,regle!$C$23,IF(AA344=regle!$D$11,regle!$D$23,IF(AA344=regle!$E$11,regle!$E$23,IF(AA344=regle!$F$11,regle!$F$23,IF(AA344=regle!$G$11,regle!$G$23,IF(AA344=regle!$H$11,regle!$H$23,IF(AA344=regle!$I$11,regle!$I$23,IF(AA344=regle!$J$11,regle!$J$23,0)))))))))))</f>
        <v>0</v>
      </c>
      <c r="AL344" s="14">
        <f>IF($A344,$M344*(IF(AB344=regle!$B$11,regle!$B$23,IF(AB344=regle!$C$11,regle!$C$23,IF(AB344=regle!$D$11,regle!$D$23,IF(AB344=regle!$E$11,regle!$E$23,IF(AB344=regle!$F$11,regle!$F$23,IF(AB344=regle!$G$11,regle!$G$23,IF(AB344=regle!$H$11,regle!$H$23,IF(AB344=regle!$I$11,regle!$I$23,IF(AB344=regle!$J$11,regle!$J$23,0)))))))))))</f>
        <v>0</v>
      </c>
      <c r="AM344" s="14">
        <f>IF($A344,$M344*(IF(AC344=regle!$B$11,regle!$B$23,IF(AC344=regle!$C$11,regle!$C$23,IF(AC344=regle!$D$11,regle!$D$23,IF(AC344=regle!$E$11,regle!$E$23,IF(AC344=regle!$F$11,regle!$F$23,IF(AC344=regle!$G$11,regle!$G$23,IF(AC344=regle!$H$11,regle!$H$23,IF(AC344=regle!$I$11,regle!$I$23,IF(AC344=regle!$J$11,regle!$J$23,0)))))))))))</f>
        <v>-20.690999999999999</v>
      </c>
      <c r="AN344" s="14">
        <f>IF($A344,$M344*(IF(AD344=regle!$B$11,regle!$B$23,IF(AD344=regle!$C$11,regle!$C$23,IF(AD344=regle!$D$11,regle!$D$23,IF(AD344=regle!$E$11,regle!$E$23,IF(AD344=regle!$F$11,regle!$F$23,IF(AD344=regle!$G$11,regle!$G$23,IF(AD344=regle!$H$11,regle!$H$23,IF(AD344=regle!$I$11,regle!$I$23,IF(AD344=regle!$J$11,regle!$J$23,0)))))))))))</f>
        <v>0</v>
      </c>
      <c r="AO344">
        <f>IF(AO$1=$AO$1,IF(regle!B$2-$Q344&gt;=regle!$J$12,-2,IF($S344,IF(regle!$B$2-$Q344&gt;=2,0,-1),regle!B$2-$Q344)),IF(AN344+1&gt;=regle!$J$12,-2,AN344+1))</f>
        <v>0</v>
      </c>
      <c r="AP344">
        <f>IF(AP$1=$AO$1,IF(regle!C$2-$Q344&gt;=regle!$J$12,-2,IF($S344,IF(regle!$B$2-$Q344&gt;=2,0,-1),regle!C$2-$Q344)),IF(AO344+1&gt;=regle!$J$12,-2,AO344+1))</f>
        <v>1</v>
      </c>
      <c r="AQ344">
        <f>IF(AQ$1=$AO$1,IF(regle!D$2-$Q344&gt;=regle!$J$12,-2,IF($S344,IF(regle!$B$2-$Q344&gt;=2,0,-1),regle!D$2-$Q344)),IF(AP344+1&gt;=regle!$J$12,-2,AP344+1))</f>
        <v>2</v>
      </c>
      <c r="AR344">
        <f>IF(AR$1=$AO$1,IF(regle!E$2-$Q344&gt;=regle!$J$12,-2,IF($S344,IF(regle!$B$2-$Q344&gt;=2,0,-1),regle!E$2-$Q344)),IF(AQ344+1&gt;=regle!$J$12,-2,AQ344+1))</f>
        <v>3</v>
      </c>
      <c r="AS344">
        <f>IF(AS$1=$AO$1,IF(regle!F$2-$Q344&gt;=regle!$J$12,-2,IF($S344,IF(regle!$B$2-$Q344&gt;=2,0,-1),regle!F$2-$Q344)),IF(AR344+1&gt;=regle!$J$12,-2,AR344+1))</f>
        <v>4</v>
      </c>
      <c r="AT344">
        <f>IF(AT$1=$AO$1,IF(regle!G$2-$Q344&gt;=regle!$J$12,-2,IF($S344,IF(regle!$B$2-$Q344&gt;=2,0,-1),regle!G$2-$Q344)),IF(AS344+1&gt;=regle!$J$12,-2,AS344+1))</f>
        <v>5</v>
      </c>
      <c r="AU344">
        <f>IF(AU$1=$AO$1,IF(regle!H$2-$Q344&gt;=regle!$J$12,-2,IF($S344,IF(regle!$B$2-$Q344&gt;=2,0,-1),regle!H$2-$Q344)),IF(AT344+1&gt;=regle!$J$12,-2,AT344+1))</f>
        <v>6</v>
      </c>
      <c r="AV344">
        <f>IF(AV$1=$AO$1,IF(regle!I$2-$Q344&gt;=regle!$J$12,-2,IF($S344,IF(regle!$B$2-$Q344&gt;=2,0,-1),regle!I$2-$Q344)),IF(AU344+1&gt;=regle!$J$12,-2,AU344+1))</f>
        <v>7</v>
      </c>
      <c r="AW344">
        <f>IF(AW$1=$AO$1,IF(regle!J$2-$Q344&gt;=regle!$J$12,-2,IF($S344,IF(regle!$B$2-$Q344&gt;=2,0,-1),regle!J$2-$Q344)),IF(AV344+1&gt;=regle!$J$12,-2,AV344+1))</f>
        <v>8</v>
      </c>
      <c r="AX344">
        <f>IF(AX$1=$AO$1,IF(regle!K$2-$Q344&gt;=regle!$J$12,-2,IF($S344,IF(regle!$B$2-$Q344&gt;=2,0,-1),regle!K$2-$Q344)),IF(AW344+1&gt;=regle!$J$12,-2,AW344+1))</f>
        <v>9</v>
      </c>
    </row>
    <row r="345" spans="1:50" x14ac:dyDescent="0.25">
      <c r="A345" t="b">
        <f>AND(modif0[[#This Row],[cdstr]]&lt;&gt;0,OR(regle!$H$27=FALSE,modif0[[#This Row],[essnc]]="PM"))</f>
        <v>1</v>
      </c>
      <c r="B345">
        <f>ROW(objet!A400)</f>
        <v>400</v>
      </c>
      <c r="C345" s="10" t="str">
        <f>objet!D400</f>
        <v>2000000M0023</v>
      </c>
      <c r="D345" t="str">
        <f>LEFT(modif0[[#This Row],[cdstr]],3)</f>
        <v>200</v>
      </c>
      <c r="E345" s="10" t="str">
        <f>objet!G400</f>
        <v>MOUSTEY</v>
      </c>
      <c r="F345">
        <f>LEN(modif0[[#This Row],[l_dt]])</f>
        <v>5</v>
      </c>
      <c r="G345" s="10" t="str">
        <f>objet!H400</f>
        <v>Plata</v>
      </c>
      <c r="H345" s="10" t="str">
        <f>objet!C400</f>
        <v>M23a</v>
      </c>
      <c r="I345" t="str">
        <f>IF(ISNUMBER(VALUE(RIGHT(LEFT(modif0[[#This Row],[idntfn]],2),1))),_xlfn.CONCAT(0,LEFT(modif0[[#This Row],[idntfn]],1)),LEFT(modif0[[#This Row],[idntfn]],2))</f>
        <v>0M</v>
      </c>
      <c r="J345">
        <f>VALUE(LEFT(RIGHT(modif0[[#This Row],[idntfn]],LEN(modif0[[#This Row],[idntfn]])-IF(LEFT(modif0[[#This Row],[sctn]],1)="0",1,2)),LEN(modif0[[#This Row],[idntfn]])-IF(LEFT(modif0[[#This Row],[sctn]],1)="0",1,2)-LEN(modif0[[#This Row],[lttr]])))</f>
        <v>23</v>
      </c>
      <c r="K345" t="str">
        <f>IF(ISNUMBER(VALUE(RIGHT(modif0[[#This Row],[idntfn]],1))),"",IF(ISNUMBER(VALUE(LEFT(RIGHT(modif0[[#This Row],[idntfn]],2),1))),RIGHT(modif0[[#This Row],[idntfn]],1),RIGHT(modif0[[#This Row],[idntfn]],2)))</f>
        <v>a</v>
      </c>
      <c r="L345" s="10">
        <f>objet!I400</f>
        <v>11000</v>
      </c>
      <c r="M345" s="11">
        <f>modif0[[#This Row],[srfc]]/10000</f>
        <v>1.1000000000000001</v>
      </c>
      <c r="N345" s="10" t="str">
        <f>objet!Z400</f>
        <v>PM</v>
      </c>
      <c r="O345" s="10" t="str">
        <f>objet!AA400</f>
        <v>CR2022</v>
      </c>
      <c r="P345" t="str">
        <f>IF(ISNUMBER(modif0[[#This Row],[trvx]]),"",LEFT(modif0[[#This Row],[trvx]],LEN(modif0[[#This Row],[trvx]])-4))</f>
        <v>CR</v>
      </c>
      <c r="Q345">
        <f>VALUE(RIGHT(modif0[[#This Row],[trvx]],4))</f>
        <v>2022</v>
      </c>
      <c r="R345" t="str">
        <f>_xlfn.CONCAT(modif0[[#This Row],[tp]],"-",modif0[[#This Row],[essnc]],"_",modif0[[#This Row],[anns]])</f>
        <v>CR-PM_2022</v>
      </c>
      <c r="S345" t="b">
        <f>modif0[[#This Row],[tp]]="CR"</f>
        <v>1</v>
      </c>
      <c r="T345">
        <v>40</v>
      </c>
      <c r="U345" t="str">
        <f>IF(NOT($A345),"",
IF(AO345=-2,regle!$J$11,
IF(AO345=regle!$B$12,regle!$B$11,
IF(AO345=regle!$C$12,regle!$C$11,
IF(AO345=regle!$D$12,regle!$D$11,
IF(AO345=regle!$E$12,regle!$E$11,
IF(AO345=regle!$F$12,regle!$F$11,
IF(AO345=regle!$G$12,regle!$G$11,
IF(AO345=regle!$H$12,regle!$H$11,
IF(AO345=regle!$I$12,regle!$I$11,""))))))))))</f>
        <v>RBST</v>
      </c>
      <c r="V345" t="str">
        <f>IF(NOT($A345),"",
IF(AP345=-2,regle!$J$11,
IF(AP345=regle!$B$12,regle!$B$11,
IF(AP345=regle!$C$12,regle!$C$11,
IF(AP345=regle!$D$12,regle!$D$11,
IF(AP345=regle!$E$12,regle!$E$11,
IF(AP345=regle!$F$12,regle!$F$11,
IF(AP345=regle!$G$12,regle!$G$11,
IF(AP345=regle!$H$12,regle!$H$11,
IF(AP345=regle!$I$12,regle!$I$11,""))))))))))</f>
        <v/>
      </c>
      <c r="W345" t="str">
        <f>IF(NOT($A345),"",
IF(AQ345=-2,regle!$J$11,
IF(AQ345=regle!$B$12,regle!$B$11,
IF(AQ345=regle!$C$12,regle!$C$11,
IF(AQ345=regle!$D$12,regle!$D$11,
IF(AQ345=regle!$E$12,regle!$E$11,
IF(AQ345=regle!$F$12,regle!$F$11,
IF(AQ345=regle!$G$12,regle!$G$11,
IF(AQ345=regle!$H$12,regle!$H$11,
IF(AQ345=regle!$I$12,regle!$I$11,""))))))))))</f>
        <v>DGT</v>
      </c>
      <c r="X345" t="str">
        <f>IF(NOT($A345),"",
IF(AR345=-2,regle!$J$11,
IF(AR345=regle!$B$12,regle!$B$11,
IF(AR345=regle!$C$12,regle!$C$11,
IF(AR345=regle!$D$12,regle!$D$11,
IF(AR345=regle!$E$12,regle!$E$11,
IF(AR345=regle!$F$12,regle!$F$11,
IF(AR345=regle!$G$12,regle!$G$11,
IF(AR345=regle!$H$12,regle!$H$11,
IF(AR345=regle!$I$12,regle!$I$11,""))))))))))</f>
        <v/>
      </c>
      <c r="Y345" t="str">
        <f>IF(NOT($A345),"",
IF(AS345=-2,regle!$J$11,
IF(AS345=regle!$B$12,regle!$B$11,
IF(AS345=regle!$C$12,regle!$C$11,
IF(AS345=regle!$D$12,regle!$D$11,
IF(AS345=regle!$E$12,regle!$E$11,
IF(AS345=regle!$F$12,regle!$F$11,
IF(AS345=regle!$G$12,regle!$G$11,
IF(AS345=regle!$H$12,regle!$H$11,
IF(AS345=regle!$I$12,regle!$I$11,""))))))))))</f>
        <v/>
      </c>
      <c r="Z345" t="str">
        <f>IF(NOT($A345),"",
IF(AT345=-2,regle!$J$11,
IF(AT345=regle!$B$12,regle!$B$11,
IF(AT345=regle!$C$12,regle!$C$11,
IF(AT345=regle!$D$12,regle!$D$11,
IF(AT345=regle!$E$12,regle!$E$11,
IF(AT345=regle!$F$12,regle!$F$11,
IF(AT345=regle!$G$12,regle!$G$11,
IF(AT345=regle!$H$12,regle!$H$11,
IF(AT345=regle!$I$12,regle!$I$11,""))))))))))</f>
        <v>ENT1</v>
      </c>
      <c r="AA345" t="str">
        <f>IF(NOT($A345),"",
IF(AU345=-2,regle!$J$11,
IF(AU345=regle!$B$12,regle!$B$11,
IF(AU345=regle!$C$12,regle!$C$11,
IF(AU345=regle!$D$12,regle!$D$11,
IF(AU345=regle!$E$12,regle!$E$11,
IF(AU345=regle!$F$12,regle!$F$11,
IF(AU345=regle!$G$12,regle!$G$11,
IF(AU345=regle!$H$12,regle!$H$11,
IF(AU345=regle!$I$12,regle!$I$11,""))))))))))</f>
        <v/>
      </c>
      <c r="AB345" t="str">
        <f>IF(NOT($A345),"",
IF(AV345=-2,regle!$J$11,
IF(AV345=regle!$B$12,regle!$B$11,
IF(AV345=regle!$C$12,regle!$C$11,
IF(AV345=regle!$D$12,regle!$D$11,
IF(AV345=regle!$E$12,regle!$E$11,
IF(AV345=regle!$F$12,regle!$F$11,
IF(AV345=regle!$G$12,regle!$G$11,
IF(AV345=regle!$H$12,regle!$H$11,
IF(AV345=regle!$I$12,regle!$I$11,""))))))))))</f>
        <v/>
      </c>
      <c r="AC345" t="str">
        <f>IF(NOT($A345),"",
IF(AW345=-2,regle!$J$11,
IF(AW345=regle!$B$12,regle!$B$11,
IF(AW345=regle!$C$12,regle!$C$11,
IF(AW345=regle!$D$12,regle!$D$11,
IF(AW345=regle!$E$12,regle!$E$11,
IF(AW345=regle!$F$12,regle!$F$11,
IF(AW345=regle!$G$12,regle!$G$11,
IF(AW345=regle!$H$12,regle!$H$11,
IF(AW345=regle!$I$12,regle!$I$11,""))))))))))</f>
        <v>ENT2</v>
      </c>
      <c r="AD345" t="str">
        <f>IF(NOT($A345),"",
IF(AX345=-2,regle!$J$11,
IF(AX345=regle!$B$12,regle!$B$11,
IF(AX345=regle!$C$12,regle!$C$11,
IF(AX345=regle!$D$12,regle!$D$11,
IF(AX345=regle!$E$12,regle!$E$11,
IF(AX345=regle!$F$12,regle!$F$11,
IF(AX345=regle!$G$12,regle!$G$11,
IF(AX345=regle!$H$12,regle!$H$11,
IF(AX345=regle!$I$12,regle!$I$11,""))))))))))</f>
        <v/>
      </c>
      <c r="AE345" s="14">
        <f>IF($A345,$M345*(IF(U345=regle!$B$11,regle!$B$23,IF(U345=regle!$C$11,regle!$C$23,IF(U345=regle!$D$11,regle!$D$23,IF(U345=regle!$E$11,regle!$E$23,IF(U345=regle!$F$11,regle!$F$23,IF(U345=regle!$G$11,regle!$G$23,IF(U345=regle!$H$11,regle!$H$23,IF(U345=regle!$I$11,regle!$I$23,IF(U345=regle!$J$11,regle!$J$23,0)))))))))))</f>
        <v>-1870.0000000000002</v>
      </c>
      <c r="AF345" s="14">
        <f>IF($A345,$M345*(IF(V345=regle!$B$11,regle!$B$23,IF(V345=regle!$C$11,regle!$C$23,IF(V345=regle!$D$11,regle!$D$23,IF(V345=regle!$E$11,regle!$E$23,IF(V345=regle!$F$11,regle!$F$23,IF(V345=regle!$G$11,regle!$G$23,IF(V345=regle!$H$11,regle!$H$23,IF(V345=regle!$I$11,regle!$I$23,IF(V345=regle!$J$11,regle!$J$23,0)))))))))))</f>
        <v>0</v>
      </c>
      <c r="AG345" s="14">
        <f>IF($A345,$M345*(IF(W345=regle!$B$11,regle!$B$23,IF(W345=regle!$C$11,regle!$C$23,IF(W345=regle!$D$11,regle!$D$23,IF(W345=regle!$E$11,regle!$E$23,IF(W345=regle!$F$11,regle!$F$23,IF(W345=regle!$G$11,regle!$G$23,IF(W345=regle!$H$11,regle!$H$23,IF(W345=regle!$I$11,regle!$I$23,IF(W345=regle!$J$11,regle!$J$23,0)))))))))))</f>
        <v>-82.5</v>
      </c>
      <c r="AH345" s="14">
        <f>IF($A345,$M345*(IF(X345=regle!$B$11,regle!$B$23,IF(X345=regle!$C$11,regle!$C$23,IF(X345=regle!$D$11,regle!$D$23,IF(X345=regle!$E$11,regle!$E$23,IF(X345=regle!$F$11,regle!$F$23,IF(X345=regle!$G$11,regle!$G$23,IF(X345=regle!$H$11,regle!$H$23,IF(X345=regle!$I$11,regle!$I$23,IF(X345=regle!$J$11,regle!$J$23,0)))))))))))</f>
        <v>0</v>
      </c>
      <c r="AI345" s="14">
        <f>IF($A345,$M345*(IF(Y345=regle!$B$11,regle!$B$23,IF(Y345=regle!$C$11,regle!$C$23,IF(Y345=regle!$D$11,regle!$D$23,IF(Y345=regle!$E$11,regle!$E$23,IF(Y345=regle!$F$11,regle!$F$23,IF(Y345=regle!$G$11,regle!$G$23,IF(Y345=regle!$H$11,regle!$H$23,IF(Y345=regle!$I$11,regle!$I$23,IF(Y345=regle!$J$11,regle!$J$23,0)))))))))))</f>
        <v>0</v>
      </c>
      <c r="AJ345" s="14">
        <f>IF($A345,$M345*(IF(Z345=regle!$B$11,regle!$B$23,IF(Z345=regle!$C$11,regle!$C$23,IF(Z345=regle!$D$11,regle!$D$23,IF(Z345=regle!$E$11,regle!$E$23,IF(Z345=regle!$F$11,regle!$F$23,IF(Z345=regle!$G$11,regle!$G$23,IF(Z345=regle!$H$11,regle!$H$23,IF(Z345=regle!$I$11,regle!$I$23,IF(Z345=regle!$J$11,regle!$J$23,0)))))))))))</f>
        <v>-99.000000000000014</v>
      </c>
      <c r="AK345" s="14">
        <f>IF($A345,$M345*(IF(AA345=regle!$B$11,regle!$B$23,IF(AA345=regle!$C$11,regle!$C$23,IF(AA345=regle!$D$11,regle!$D$23,IF(AA345=regle!$E$11,regle!$E$23,IF(AA345=regle!$F$11,regle!$F$23,IF(AA345=regle!$G$11,regle!$G$23,IF(AA345=regle!$H$11,regle!$H$23,IF(AA345=regle!$I$11,regle!$I$23,IF(AA345=regle!$J$11,regle!$J$23,0)))))))))))</f>
        <v>0</v>
      </c>
      <c r="AL345" s="14">
        <f>IF($A345,$M345*(IF(AB345=regle!$B$11,regle!$B$23,IF(AB345=regle!$C$11,regle!$C$23,IF(AB345=regle!$D$11,regle!$D$23,IF(AB345=regle!$E$11,regle!$E$23,IF(AB345=regle!$F$11,regle!$F$23,IF(AB345=regle!$G$11,regle!$G$23,IF(AB345=regle!$H$11,regle!$H$23,IF(AB345=regle!$I$11,regle!$I$23,IF(AB345=regle!$J$11,regle!$J$23,0)))))))))))</f>
        <v>0</v>
      </c>
      <c r="AM345" s="14">
        <f>IF($A345,$M345*(IF(AC345=regle!$B$11,regle!$B$23,IF(AC345=regle!$C$11,regle!$C$23,IF(AC345=regle!$D$11,regle!$D$23,IF(AC345=regle!$E$11,regle!$E$23,IF(AC345=regle!$F$11,regle!$F$23,IF(AC345=regle!$G$11,regle!$G$23,IF(AC345=regle!$H$11,regle!$H$23,IF(AC345=regle!$I$11,regle!$I$23,IF(AC345=regle!$J$11,regle!$J$23,0)))))))))))</f>
        <v>-99.000000000000014</v>
      </c>
      <c r="AN345" s="14">
        <f>IF($A345,$M345*(IF(AD345=regle!$B$11,regle!$B$23,IF(AD345=regle!$C$11,regle!$C$23,IF(AD345=regle!$D$11,regle!$D$23,IF(AD345=regle!$E$11,regle!$E$23,IF(AD345=regle!$F$11,regle!$F$23,IF(AD345=regle!$G$11,regle!$G$23,IF(AD345=regle!$H$11,regle!$H$23,IF(AD345=regle!$I$11,regle!$I$23,IF(AD345=regle!$J$11,regle!$J$23,0)))))))))))</f>
        <v>0</v>
      </c>
      <c r="AO345">
        <f>IF(AO$1=$AO$1,IF(regle!B$2-$Q345&gt;=regle!$J$12,-2,IF($S345,IF(regle!$B$2-$Q345&gt;=2,0,-1),regle!B$2-$Q345)),IF(AN345+1&gt;=regle!$J$12,-2,AN345+1))</f>
        <v>0</v>
      </c>
      <c r="AP345">
        <f>IF(AP$1=$AO$1,IF(regle!C$2-$Q345&gt;=regle!$J$12,-2,IF($S345,IF(regle!$B$2-$Q345&gt;=2,0,-1),regle!C$2-$Q345)),IF(AO345+1&gt;=regle!$J$12,-2,AO345+1))</f>
        <v>1</v>
      </c>
      <c r="AQ345">
        <f>IF(AQ$1=$AO$1,IF(regle!D$2-$Q345&gt;=regle!$J$12,-2,IF($S345,IF(regle!$B$2-$Q345&gt;=2,0,-1),regle!D$2-$Q345)),IF(AP345+1&gt;=regle!$J$12,-2,AP345+1))</f>
        <v>2</v>
      </c>
      <c r="AR345">
        <f>IF(AR$1=$AO$1,IF(regle!E$2-$Q345&gt;=regle!$J$12,-2,IF($S345,IF(regle!$B$2-$Q345&gt;=2,0,-1),regle!E$2-$Q345)),IF(AQ345+1&gt;=regle!$J$12,-2,AQ345+1))</f>
        <v>3</v>
      </c>
      <c r="AS345">
        <f>IF(AS$1=$AO$1,IF(regle!F$2-$Q345&gt;=regle!$J$12,-2,IF($S345,IF(regle!$B$2-$Q345&gt;=2,0,-1),regle!F$2-$Q345)),IF(AR345+1&gt;=regle!$J$12,-2,AR345+1))</f>
        <v>4</v>
      </c>
      <c r="AT345">
        <f>IF(AT$1=$AO$1,IF(regle!G$2-$Q345&gt;=regle!$J$12,-2,IF($S345,IF(regle!$B$2-$Q345&gt;=2,0,-1),regle!G$2-$Q345)),IF(AS345+1&gt;=regle!$J$12,-2,AS345+1))</f>
        <v>5</v>
      </c>
      <c r="AU345">
        <f>IF(AU$1=$AO$1,IF(regle!H$2-$Q345&gt;=regle!$J$12,-2,IF($S345,IF(regle!$B$2-$Q345&gt;=2,0,-1),regle!H$2-$Q345)),IF(AT345+1&gt;=regle!$J$12,-2,AT345+1))</f>
        <v>6</v>
      </c>
      <c r="AV345">
        <f>IF(AV$1=$AO$1,IF(regle!I$2-$Q345&gt;=regle!$J$12,-2,IF($S345,IF(regle!$B$2-$Q345&gt;=2,0,-1),regle!I$2-$Q345)),IF(AU345+1&gt;=regle!$J$12,-2,AU345+1))</f>
        <v>7</v>
      </c>
      <c r="AW345">
        <f>IF(AW$1=$AO$1,IF(regle!J$2-$Q345&gt;=regle!$J$12,-2,IF($S345,IF(regle!$B$2-$Q345&gt;=2,0,-1),regle!J$2-$Q345)),IF(AV345+1&gt;=regle!$J$12,-2,AV345+1))</f>
        <v>8</v>
      </c>
      <c r="AX345">
        <f>IF(AX$1=$AO$1,IF(regle!K$2-$Q345&gt;=regle!$J$12,-2,IF($S345,IF(regle!$B$2-$Q345&gt;=2,0,-1),regle!K$2-$Q345)),IF(AW345+1&gt;=regle!$J$12,-2,AW345+1))</f>
        <v>9</v>
      </c>
    </row>
    <row r="346" spans="1:50" x14ac:dyDescent="0.25">
      <c r="A346" t="b">
        <f>AND(modif0[[#This Row],[cdstr]]&lt;&gt;0,OR(regle!$H$27=FALSE,modif0[[#This Row],[essnc]]="PM"))</f>
        <v>1</v>
      </c>
      <c r="B346">
        <f>ROW(objet!A402)</f>
        <v>402</v>
      </c>
      <c r="C346" s="10" t="str">
        <f>objet!D402</f>
        <v>2000000M0033</v>
      </c>
      <c r="D346" t="str">
        <f>LEFT(modif0[[#This Row],[cdstr]],3)</f>
        <v>200</v>
      </c>
      <c r="E346" s="10" t="str">
        <f>objet!G402</f>
        <v>MOUSTEY</v>
      </c>
      <c r="F346">
        <f>LEN(modif0[[#This Row],[l_dt]])</f>
        <v>4</v>
      </c>
      <c r="G346" s="10" t="str">
        <f>objet!H402</f>
        <v>Kycs</v>
      </c>
      <c r="H346" s="10" t="str">
        <f>objet!C402</f>
        <v>M33j</v>
      </c>
      <c r="I346" t="str">
        <f>IF(ISNUMBER(VALUE(RIGHT(LEFT(modif0[[#This Row],[idntfn]],2),1))),_xlfn.CONCAT(0,LEFT(modif0[[#This Row],[idntfn]],1)),LEFT(modif0[[#This Row],[idntfn]],2))</f>
        <v>0M</v>
      </c>
      <c r="J346">
        <f>VALUE(LEFT(RIGHT(modif0[[#This Row],[idntfn]],LEN(modif0[[#This Row],[idntfn]])-IF(LEFT(modif0[[#This Row],[sctn]],1)="0",1,2)),LEN(modif0[[#This Row],[idntfn]])-IF(LEFT(modif0[[#This Row],[sctn]],1)="0",1,2)-LEN(modif0[[#This Row],[lttr]])))</f>
        <v>33</v>
      </c>
      <c r="K346" t="str">
        <f>IF(ISNUMBER(VALUE(RIGHT(modif0[[#This Row],[idntfn]],1))),"",IF(ISNUMBER(VALUE(LEFT(RIGHT(modif0[[#This Row],[idntfn]],2),1))),RIGHT(modif0[[#This Row],[idntfn]],1),RIGHT(modif0[[#This Row],[idntfn]],2)))</f>
        <v>j</v>
      </c>
      <c r="L346" s="10">
        <f>objet!I402</f>
        <v>5256</v>
      </c>
      <c r="M346" s="11">
        <f>modif0[[#This Row],[srfc]]/10000</f>
        <v>0.52559999999999996</v>
      </c>
      <c r="N346" s="10" t="str">
        <f>objet!Z402</f>
        <v>PM</v>
      </c>
      <c r="O346" s="10" t="str">
        <f>objet!AA402</f>
        <v>PLA2014</v>
      </c>
      <c r="P346" t="str">
        <f>IF(ISNUMBER(modif0[[#This Row],[trvx]]),"",LEFT(modif0[[#This Row],[trvx]],LEN(modif0[[#This Row],[trvx]])-4))</f>
        <v>PLA</v>
      </c>
      <c r="Q346">
        <f>VALUE(RIGHT(modif0[[#This Row],[trvx]],4))</f>
        <v>2014</v>
      </c>
      <c r="R346" t="str">
        <f>_xlfn.CONCAT(modif0[[#This Row],[tp]],"-",modif0[[#This Row],[essnc]],"_",modif0[[#This Row],[anns]])</f>
        <v>PLA-PM_2014</v>
      </c>
      <c r="S346" t="b">
        <f>modif0[[#This Row],[tp]]="CR"</f>
        <v>0</v>
      </c>
      <c r="T346">
        <v>40</v>
      </c>
      <c r="U346" t="str">
        <f>IF(NOT($A346),"",
IF(AO346=-2,regle!$J$11,
IF(AO346=regle!$B$12,regle!$B$11,
IF(AO346=regle!$C$12,regle!$C$11,
IF(AO346=regle!$D$12,regle!$D$11,
IF(AO346=regle!$E$12,regle!$E$11,
IF(AO346=regle!$F$12,regle!$F$11,
IF(AO346=regle!$G$12,regle!$G$11,
IF(AO346=regle!$H$12,regle!$H$11,
IF(AO346=regle!$I$12,regle!$I$11,""))))))))))</f>
        <v/>
      </c>
      <c r="V346" t="str">
        <f>IF(NOT($A346),"",
IF(AP346=-2,regle!$J$11,
IF(AP346=regle!$B$12,regle!$B$11,
IF(AP346=regle!$C$12,regle!$C$11,
IF(AP346=regle!$D$12,regle!$D$11,
IF(AP346=regle!$E$12,regle!$E$11,
IF(AP346=regle!$F$12,regle!$F$11,
IF(AP346=regle!$G$12,regle!$G$11,
IF(AP346=regle!$H$12,regle!$H$11,
IF(AP346=regle!$I$12,regle!$I$11,""))))))))))</f>
        <v/>
      </c>
      <c r="W346" t="str">
        <f>IF(NOT($A346),"",
IF(AQ346=-2,regle!$J$11,
IF(AQ346=regle!$B$12,regle!$B$11,
IF(AQ346=regle!$C$12,regle!$C$11,
IF(AQ346=regle!$D$12,regle!$D$11,
IF(AQ346=regle!$E$12,regle!$E$11,
IF(AQ346=regle!$F$12,regle!$F$11,
IF(AQ346=regle!$G$12,regle!$G$11,
IF(AQ346=regle!$H$12,regle!$H$11,
IF(AQ346=regle!$I$12,regle!$I$11,""))))))))))</f>
        <v/>
      </c>
      <c r="X346" t="str">
        <f>IF(NOT($A346),"",
IF(AR346=-2,regle!$J$11,
IF(AR346=regle!$B$12,regle!$B$11,
IF(AR346=regle!$C$12,regle!$C$11,
IF(AR346=regle!$D$12,regle!$D$11,
IF(AR346=regle!$E$12,regle!$E$11,
IF(AR346=regle!$F$12,regle!$F$11,
IF(AR346=regle!$G$12,regle!$G$11,
IF(AR346=regle!$H$12,regle!$H$11,
IF(AR346=regle!$I$12,regle!$I$11,""))))))))))</f>
        <v>EC1</v>
      </c>
      <c r="Y346" t="str">
        <f>IF(NOT($A346),"",
IF(AS346=-2,regle!$J$11,
IF(AS346=regle!$B$12,regle!$B$11,
IF(AS346=regle!$C$12,regle!$C$11,
IF(AS346=regle!$D$12,regle!$D$11,
IF(AS346=regle!$E$12,regle!$E$11,
IF(AS346=regle!$F$12,regle!$F$11,
IF(AS346=regle!$G$12,regle!$G$11,
IF(AS346=regle!$H$12,regle!$H$11,
IF(AS346=regle!$I$12,regle!$I$11,""))))))))))</f>
        <v/>
      </c>
      <c r="Z346" t="str">
        <f>IF(NOT($A346),"",
IF(AT346=-2,regle!$J$11,
IF(AT346=regle!$B$12,regle!$B$11,
IF(AT346=regle!$C$12,regle!$C$11,
IF(AT346=regle!$D$12,regle!$D$11,
IF(AT346=regle!$E$12,regle!$E$11,
IF(AT346=regle!$F$12,regle!$F$11,
IF(AT346=regle!$G$12,regle!$G$11,
IF(AT346=regle!$H$12,regle!$H$11,
IF(AT346=regle!$I$12,regle!$I$11,""))))))))))</f>
        <v/>
      </c>
      <c r="AA346" t="str">
        <f>IF(NOT($A346),"",
IF(AU346=-2,regle!$J$11,
IF(AU346=regle!$B$12,regle!$B$11,
IF(AU346=regle!$C$12,regle!$C$11,
IF(AU346=regle!$D$12,regle!$D$11,
IF(AU346=regle!$E$12,regle!$E$11,
IF(AU346=regle!$F$12,regle!$F$11,
IF(AU346=regle!$G$12,regle!$G$11,
IF(AU346=regle!$H$12,regle!$H$11,
IF(AU346=regle!$I$12,regle!$I$11,""))))))))))</f>
        <v/>
      </c>
      <c r="AB346" t="str">
        <f>IF(NOT($A346),"",
IF(AV346=-2,regle!$J$11,
IF(AV346=regle!$B$12,regle!$B$11,
IF(AV346=regle!$C$12,regle!$C$11,
IF(AV346=regle!$D$12,regle!$D$11,
IF(AV346=regle!$E$12,regle!$E$11,
IF(AV346=regle!$F$12,regle!$F$11,
IF(AV346=regle!$G$12,regle!$G$11,
IF(AV346=regle!$H$12,regle!$H$11,
IF(AV346=regle!$I$12,regle!$I$11,""))))))))))</f>
        <v/>
      </c>
      <c r="AC346" t="str">
        <f>IF(NOT($A346),"",
IF(AW346=-2,regle!$J$11,
IF(AW346=regle!$B$12,regle!$B$11,
IF(AW346=regle!$C$12,regle!$C$11,
IF(AW346=regle!$D$12,regle!$D$11,
IF(AW346=regle!$E$12,regle!$E$11,
IF(AW346=regle!$F$12,regle!$F$11,
IF(AW346=regle!$G$12,regle!$G$11,
IF(AW346=regle!$H$12,regle!$H$11,
IF(AW346=regle!$I$12,regle!$I$11,""))))))))))</f>
        <v>EC2</v>
      </c>
      <c r="AD346" t="str">
        <f>IF(NOT($A346),"",
IF(AX346=-2,regle!$J$11,
IF(AX346=regle!$B$12,regle!$B$11,
IF(AX346=regle!$C$12,regle!$C$11,
IF(AX346=regle!$D$12,regle!$D$11,
IF(AX346=regle!$E$12,regle!$E$11,
IF(AX346=regle!$F$12,regle!$F$11,
IF(AX346=regle!$G$12,regle!$G$11,
IF(AX346=regle!$H$12,regle!$H$11,
IF(AX346=regle!$I$12,regle!$I$11,""))))))))))</f>
        <v/>
      </c>
      <c r="AE346" s="14">
        <f>IF($A346,$M346*(IF(U346=regle!$B$11,regle!$B$23,IF(U346=regle!$C$11,regle!$C$23,IF(U346=regle!$D$11,regle!$D$23,IF(U346=regle!$E$11,regle!$E$23,IF(U346=regle!$F$11,regle!$F$23,IF(U346=regle!$G$11,regle!$G$23,IF(U346=regle!$H$11,regle!$H$23,IF(U346=regle!$I$11,regle!$I$23,IF(U346=regle!$J$11,regle!$J$23,0)))))))))))</f>
        <v>0</v>
      </c>
      <c r="AF346" s="14">
        <f>IF($A346,$M346*(IF(V346=regle!$B$11,regle!$B$23,IF(V346=regle!$C$11,regle!$C$23,IF(V346=regle!$D$11,regle!$D$23,IF(V346=regle!$E$11,regle!$E$23,IF(V346=regle!$F$11,regle!$F$23,IF(V346=regle!$G$11,regle!$G$23,IF(V346=regle!$H$11,regle!$H$23,IF(V346=regle!$I$11,regle!$I$23,IF(V346=regle!$J$11,regle!$J$23,0)))))))))))</f>
        <v>0</v>
      </c>
      <c r="AG346" s="14">
        <f>IF($A346,$M346*(IF(W346=regle!$B$11,regle!$B$23,IF(W346=regle!$C$11,regle!$C$23,IF(W346=regle!$D$11,regle!$D$23,IF(W346=regle!$E$11,regle!$E$23,IF(W346=regle!$F$11,regle!$F$23,IF(W346=regle!$G$11,regle!$G$23,IF(W346=regle!$H$11,regle!$H$23,IF(W346=regle!$I$11,regle!$I$23,IF(W346=regle!$J$11,regle!$J$23,0)))))))))))</f>
        <v>0</v>
      </c>
      <c r="AH346" s="14">
        <f>IF($A346,$M346*(IF(X346=regle!$B$11,regle!$B$23,IF(X346=regle!$C$11,regle!$C$23,IF(X346=regle!$D$11,regle!$D$23,IF(X346=regle!$E$11,regle!$E$23,IF(X346=regle!$F$11,regle!$F$23,IF(X346=regle!$G$11,regle!$G$23,IF(X346=regle!$H$11,regle!$H$23,IF(X346=regle!$I$11,regle!$I$23,IF(X346=regle!$J$11,regle!$J$23,0)))))))))))</f>
        <v>302.74559999999997</v>
      </c>
      <c r="AI346" s="14">
        <f>IF($A346,$M346*(IF(Y346=regle!$B$11,regle!$B$23,IF(Y346=regle!$C$11,regle!$C$23,IF(Y346=regle!$D$11,regle!$D$23,IF(Y346=regle!$E$11,regle!$E$23,IF(Y346=regle!$F$11,regle!$F$23,IF(Y346=regle!$G$11,regle!$G$23,IF(Y346=regle!$H$11,regle!$H$23,IF(Y346=regle!$I$11,regle!$I$23,IF(Y346=regle!$J$11,regle!$J$23,0)))))))))))</f>
        <v>0</v>
      </c>
      <c r="AJ346" s="14">
        <f>IF($A346,$M346*(IF(Z346=regle!$B$11,regle!$B$23,IF(Z346=regle!$C$11,regle!$C$23,IF(Z346=regle!$D$11,regle!$D$23,IF(Z346=regle!$E$11,regle!$E$23,IF(Z346=regle!$F$11,regle!$F$23,IF(Z346=regle!$G$11,regle!$G$23,IF(Z346=regle!$H$11,regle!$H$23,IF(Z346=regle!$I$11,regle!$I$23,IF(Z346=regle!$J$11,regle!$J$23,0)))))))))))</f>
        <v>0</v>
      </c>
      <c r="AK346" s="14">
        <f>IF($A346,$M346*(IF(AA346=regle!$B$11,regle!$B$23,IF(AA346=regle!$C$11,regle!$C$23,IF(AA346=regle!$D$11,regle!$D$23,IF(AA346=regle!$E$11,regle!$E$23,IF(AA346=regle!$F$11,regle!$F$23,IF(AA346=regle!$G$11,regle!$G$23,IF(AA346=regle!$H$11,regle!$H$23,IF(AA346=regle!$I$11,regle!$I$23,IF(AA346=regle!$J$11,regle!$J$23,0)))))))))))</f>
        <v>0</v>
      </c>
      <c r="AL346" s="14">
        <f>IF($A346,$M346*(IF(AB346=regle!$B$11,regle!$B$23,IF(AB346=regle!$C$11,regle!$C$23,IF(AB346=regle!$D$11,regle!$D$23,IF(AB346=regle!$E$11,regle!$E$23,IF(AB346=regle!$F$11,regle!$F$23,IF(AB346=regle!$G$11,regle!$G$23,IF(AB346=regle!$H$11,regle!$H$23,IF(AB346=regle!$I$11,regle!$I$23,IF(AB346=regle!$J$11,regle!$J$23,0)))))))))))</f>
        <v>0</v>
      </c>
      <c r="AM346" s="14">
        <f>IF($A346,$M346*(IF(AC346=regle!$B$11,regle!$B$23,IF(AC346=regle!$C$11,regle!$C$23,IF(AC346=regle!$D$11,regle!$D$23,IF(AC346=regle!$E$11,regle!$E$23,IF(AC346=regle!$F$11,regle!$F$23,IF(AC346=regle!$G$11,regle!$G$23,IF(AC346=regle!$H$11,regle!$H$23,IF(AC346=regle!$I$11,regle!$I$23,IF(AC346=regle!$J$11,regle!$J$23,0)))))))))))</f>
        <v>441.50399999999996</v>
      </c>
      <c r="AN346" s="14">
        <f>IF($A346,$M346*(IF(AD346=regle!$B$11,regle!$B$23,IF(AD346=regle!$C$11,regle!$C$23,IF(AD346=regle!$D$11,regle!$D$23,IF(AD346=regle!$E$11,regle!$E$23,IF(AD346=regle!$F$11,regle!$F$23,IF(AD346=regle!$G$11,regle!$G$23,IF(AD346=regle!$H$11,regle!$H$23,IF(AD346=regle!$I$11,regle!$I$23,IF(AD346=regle!$J$11,regle!$J$23,0)))))))))))</f>
        <v>0</v>
      </c>
      <c r="AO346">
        <f>IF(AO$1=$AO$1,IF(regle!B$2-$Q346&gt;=regle!$J$12,-2,IF($S346,IF(regle!$B$2-$Q346&gt;=2,0,-1),regle!B$2-$Q346)),IF(AN346+1&gt;=regle!$J$12,-2,AN346+1))</f>
        <v>10</v>
      </c>
      <c r="AP346">
        <f>IF(AP$1=$AO$1,IF(regle!C$2-$Q346&gt;=regle!$J$12,-2,IF($S346,IF(regle!$B$2-$Q346&gt;=2,0,-1),regle!C$2-$Q346)),IF(AO346+1&gt;=regle!$J$12,-2,AO346+1))</f>
        <v>11</v>
      </c>
      <c r="AQ346">
        <f>IF(AQ$1=$AO$1,IF(regle!D$2-$Q346&gt;=regle!$J$12,-2,IF($S346,IF(regle!$B$2-$Q346&gt;=2,0,-1),regle!D$2-$Q346)),IF(AP346+1&gt;=regle!$J$12,-2,AP346+1))</f>
        <v>12</v>
      </c>
      <c r="AR346">
        <f>IF(AR$1=$AO$1,IF(regle!E$2-$Q346&gt;=regle!$J$12,-2,IF($S346,IF(regle!$B$2-$Q346&gt;=2,0,-1),regle!E$2-$Q346)),IF(AQ346+1&gt;=regle!$J$12,-2,AQ346+1))</f>
        <v>13</v>
      </c>
      <c r="AS346">
        <f>IF(AS$1=$AO$1,IF(regle!F$2-$Q346&gt;=regle!$J$12,-2,IF($S346,IF(regle!$B$2-$Q346&gt;=2,0,-1),regle!F$2-$Q346)),IF(AR346+1&gt;=regle!$J$12,-2,AR346+1))</f>
        <v>14</v>
      </c>
      <c r="AT346">
        <f>IF(AT$1=$AO$1,IF(regle!G$2-$Q346&gt;=regle!$J$12,-2,IF($S346,IF(regle!$B$2-$Q346&gt;=2,0,-1),regle!G$2-$Q346)),IF(AS346+1&gt;=regle!$J$12,-2,AS346+1))</f>
        <v>15</v>
      </c>
      <c r="AU346">
        <f>IF(AU$1=$AO$1,IF(regle!H$2-$Q346&gt;=regle!$J$12,-2,IF($S346,IF(regle!$B$2-$Q346&gt;=2,0,-1),regle!H$2-$Q346)),IF(AT346+1&gt;=regle!$J$12,-2,AT346+1))</f>
        <v>16</v>
      </c>
      <c r="AV346">
        <f>IF(AV$1=$AO$1,IF(regle!I$2-$Q346&gt;=regle!$J$12,-2,IF($S346,IF(regle!$B$2-$Q346&gt;=2,0,-1),regle!I$2-$Q346)),IF(AU346+1&gt;=regle!$J$12,-2,AU346+1))</f>
        <v>17</v>
      </c>
      <c r="AW346">
        <f>IF(AW$1=$AO$1,IF(regle!J$2-$Q346&gt;=regle!$J$12,-2,IF($S346,IF(regle!$B$2-$Q346&gt;=2,0,-1),regle!J$2-$Q346)),IF(AV346+1&gt;=regle!$J$12,-2,AV346+1))</f>
        <v>18</v>
      </c>
      <c r="AX346">
        <f>IF(AX$1=$AO$1,IF(regle!K$2-$Q346&gt;=regle!$J$12,-2,IF($S346,IF(regle!$B$2-$Q346&gt;=2,0,-1),regle!K$2-$Q346)),IF(AW346+1&gt;=regle!$J$12,-2,AW346+1))</f>
        <v>19</v>
      </c>
    </row>
    <row r="347" spans="1:50" x14ac:dyDescent="0.25">
      <c r="A347" t="b">
        <f>AND(modif0[[#This Row],[cdstr]]&lt;&gt;0,OR(regle!$H$27=FALSE,modif0[[#This Row],[essnc]]="PM"))</f>
        <v>1</v>
      </c>
      <c r="B347">
        <f>ROW(objet!A404)</f>
        <v>404</v>
      </c>
      <c r="C347" s="10" t="str">
        <f>objet!D404</f>
        <v>2000000M0033</v>
      </c>
      <c r="D347" t="str">
        <f>LEFT(modif0[[#This Row],[cdstr]],3)</f>
        <v>200</v>
      </c>
      <c r="E347" s="10" t="str">
        <f>objet!G404</f>
        <v>MOUSTEY</v>
      </c>
      <c r="F347">
        <f>LEN(modif0[[#This Row],[l_dt]])</f>
        <v>4</v>
      </c>
      <c r="G347" s="10" t="str">
        <f>objet!H404</f>
        <v>Kycs</v>
      </c>
      <c r="H347" s="10" t="str">
        <f>objet!C404</f>
        <v>M33l</v>
      </c>
      <c r="I347" t="str">
        <f>IF(ISNUMBER(VALUE(RIGHT(LEFT(modif0[[#This Row],[idntfn]],2),1))),_xlfn.CONCAT(0,LEFT(modif0[[#This Row],[idntfn]],1)),LEFT(modif0[[#This Row],[idntfn]],2))</f>
        <v>0M</v>
      </c>
      <c r="J347">
        <f>VALUE(LEFT(RIGHT(modif0[[#This Row],[idntfn]],LEN(modif0[[#This Row],[idntfn]])-IF(LEFT(modif0[[#This Row],[sctn]],1)="0",1,2)),LEN(modif0[[#This Row],[idntfn]])-IF(LEFT(modif0[[#This Row],[sctn]],1)="0",1,2)-LEN(modif0[[#This Row],[lttr]])))</f>
        <v>33</v>
      </c>
      <c r="K347" t="str">
        <f>IF(ISNUMBER(VALUE(RIGHT(modif0[[#This Row],[idntfn]],1))),"",IF(ISNUMBER(VALUE(LEFT(RIGHT(modif0[[#This Row],[idntfn]],2),1))),RIGHT(modif0[[#This Row],[idntfn]],1),RIGHT(modif0[[#This Row],[idntfn]],2)))</f>
        <v>l</v>
      </c>
      <c r="L347" s="10">
        <f>objet!I404</f>
        <v>99834</v>
      </c>
      <c r="M347" s="11">
        <f>modif0[[#This Row],[srfc]]/10000</f>
        <v>9.9833999999999996</v>
      </c>
      <c r="N347" s="10" t="str">
        <f>objet!Z404</f>
        <v>PM</v>
      </c>
      <c r="O347" s="10" t="str">
        <f>objet!AA404</f>
        <v>PLA2017</v>
      </c>
      <c r="P347" t="str">
        <f>IF(ISNUMBER(modif0[[#This Row],[trvx]]),"",LEFT(modif0[[#This Row],[trvx]],LEN(modif0[[#This Row],[trvx]])-4))</f>
        <v>PLA</v>
      </c>
      <c r="Q347">
        <f>VALUE(RIGHT(modif0[[#This Row],[trvx]],4))</f>
        <v>2017</v>
      </c>
      <c r="R347" t="str">
        <f>_xlfn.CONCAT(modif0[[#This Row],[tp]],"-",modif0[[#This Row],[essnc]],"_",modif0[[#This Row],[anns]])</f>
        <v>PLA-PM_2017</v>
      </c>
      <c r="S347" t="b">
        <f>modif0[[#This Row],[tp]]="CR"</f>
        <v>0</v>
      </c>
      <c r="T347">
        <v>40</v>
      </c>
      <c r="U347" t="str">
        <f>IF(NOT($A347),"",
IF(AO347=-2,regle!$J$11,
IF(AO347=regle!$B$12,regle!$B$11,
IF(AO347=regle!$C$12,regle!$C$11,
IF(AO347=regle!$D$12,regle!$D$11,
IF(AO347=regle!$E$12,regle!$E$11,
IF(AO347=regle!$F$12,regle!$F$11,
IF(AO347=regle!$G$12,regle!$G$11,
IF(AO347=regle!$H$12,regle!$H$11,
IF(AO347=regle!$I$12,regle!$I$11,""))))))))))</f>
        <v/>
      </c>
      <c r="V347" t="str">
        <f>IF(NOT($A347),"",
IF(AP347=-2,regle!$J$11,
IF(AP347=regle!$B$12,regle!$B$11,
IF(AP347=regle!$C$12,regle!$C$11,
IF(AP347=regle!$D$12,regle!$D$11,
IF(AP347=regle!$E$12,regle!$E$11,
IF(AP347=regle!$F$12,regle!$F$11,
IF(AP347=regle!$G$12,regle!$G$11,
IF(AP347=regle!$H$12,regle!$H$11,
IF(AP347=regle!$I$12,regle!$I$11,""))))))))))</f>
        <v>ENT2</v>
      </c>
      <c r="W347" t="str">
        <f>IF(NOT($A347),"",
IF(AQ347=-2,regle!$J$11,
IF(AQ347=regle!$B$12,regle!$B$11,
IF(AQ347=regle!$C$12,regle!$C$11,
IF(AQ347=regle!$D$12,regle!$D$11,
IF(AQ347=regle!$E$12,regle!$E$11,
IF(AQ347=regle!$F$12,regle!$F$11,
IF(AQ347=regle!$G$12,regle!$G$11,
IF(AQ347=regle!$H$12,regle!$H$11,
IF(AQ347=regle!$I$12,regle!$I$11,""))))))))))</f>
        <v/>
      </c>
      <c r="X347" t="str">
        <f>IF(NOT($A347),"",
IF(AR347=-2,regle!$J$11,
IF(AR347=regle!$B$12,regle!$B$11,
IF(AR347=regle!$C$12,regle!$C$11,
IF(AR347=regle!$D$12,regle!$D$11,
IF(AR347=regle!$E$12,regle!$E$11,
IF(AR347=regle!$F$12,regle!$F$11,
IF(AR347=regle!$G$12,regle!$G$11,
IF(AR347=regle!$H$12,regle!$H$11,
IF(AR347=regle!$I$12,regle!$I$11,""))))))))))</f>
        <v/>
      </c>
      <c r="Y347" t="str">
        <f>IF(NOT($A347),"",
IF(AS347=-2,regle!$J$11,
IF(AS347=regle!$B$12,regle!$B$11,
IF(AS347=regle!$C$12,regle!$C$11,
IF(AS347=regle!$D$12,regle!$D$11,
IF(AS347=regle!$E$12,regle!$E$11,
IF(AS347=regle!$F$12,regle!$F$11,
IF(AS347=regle!$G$12,regle!$G$11,
IF(AS347=regle!$H$12,regle!$H$11,
IF(AS347=regle!$I$12,regle!$I$11,""))))))))))</f>
        <v/>
      </c>
      <c r="Z347" t="str">
        <f>IF(NOT($A347),"",
IF(AT347=-2,regle!$J$11,
IF(AT347=regle!$B$12,regle!$B$11,
IF(AT347=regle!$C$12,regle!$C$11,
IF(AT347=regle!$D$12,regle!$D$11,
IF(AT347=regle!$E$12,regle!$E$11,
IF(AT347=regle!$F$12,regle!$F$11,
IF(AT347=regle!$G$12,regle!$G$11,
IF(AT347=regle!$H$12,regle!$H$11,
IF(AT347=regle!$I$12,regle!$I$11,""))))))))))</f>
        <v/>
      </c>
      <c r="AA347" t="str">
        <f>IF(NOT($A347),"",
IF(AU347=-2,regle!$J$11,
IF(AU347=regle!$B$12,regle!$B$11,
IF(AU347=regle!$C$12,regle!$C$11,
IF(AU347=regle!$D$12,regle!$D$11,
IF(AU347=regle!$E$12,regle!$E$11,
IF(AU347=regle!$F$12,regle!$F$11,
IF(AU347=regle!$G$12,regle!$G$11,
IF(AU347=regle!$H$12,regle!$H$11,
IF(AU347=regle!$I$12,regle!$I$11,""))))))))))</f>
        <v>EC1</v>
      </c>
      <c r="AB347" t="str">
        <f>IF(NOT($A347),"",
IF(AV347=-2,regle!$J$11,
IF(AV347=regle!$B$12,regle!$B$11,
IF(AV347=regle!$C$12,regle!$C$11,
IF(AV347=regle!$D$12,regle!$D$11,
IF(AV347=regle!$E$12,regle!$E$11,
IF(AV347=regle!$F$12,regle!$F$11,
IF(AV347=regle!$G$12,regle!$G$11,
IF(AV347=regle!$H$12,regle!$H$11,
IF(AV347=regle!$I$12,regle!$I$11,""))))))))))</f>
        <v/>
      </c>
      <c r="AC347" t="str">
        <f>IF(NOT($A347),"",
IF(AW347=-2,regle!$J$11,
IF(AW347=regle!$B$12,regle!$B$11,
IF(AW347=regle!$C$12,regle!$C$11,
IF(AW347=regle!$D$12,regle!$D$11,
IF(AW347=regle!$E$12,regle!$E$11,
IF(AW347=regle!$F$12,regle!$F$11,
IF(AW347=regle!$G$12,regle!$G$11,
IF(AW347=regle!$H$12,regle!$H$11,
IF(AW347=regle!$I$12,regle!$I$11,""))))))))))</f>
        <v/>
      </c>
      <c r="AD347" t="str">
        <f>IF(NOT($A347),"",
IF(AX347=-2,regle!$J$11,
IF(AX347=regle!$B$12,regle!$B$11,
IF(AX347=regle!$C$12,regle!$C$11,
IF(AX347=regle!$D$12,regle!$D$11,
IF(AX347=regle!$E$12,regle!$E$11,
IF(AX347=regle!$F$12,regle!$F$11,
IF(AX347=regle!$G$12,regle!$G$11,
IF(AX347=regle!$H$12,regle!$H$11,
IF(AX347=regle!$I$12,regle!$I$11,""))))))))))</f>
        <v/>
      </c>
      <c r="AE347" s="14">
        <f>IF($A347,$M347*(IF(U347=regle!$B$11,regle!$B$23,IF(U347=regle!$C$11,regle!$C$23,IF(U347=regle!$D$11,regle!$D$23,IF(U347=regle!$E$11,regle!$E$23,IF(U347=regle!$F$11,regle!$F$23,IF(U347=regle!$G$11,regle!$G$23,IF(U347=regle!$H$11,regle!$H$23,IF(U347=regle!$I$11,regle!$I$23,IF(U347=regle!$J$11,regle!$J$23,0)))))))))))</f>
        <v>0</v>
      </c>
      <c r="AF347" s="14">
        <f>IF($A347,$M347*(IF(V347=regle!$B$11,regle!$B$23,IF(V347=regle!$C$11,regle!$C$23,IF(V347=regle!$D$11,regle!$D$23,IF(V347=regle!$E$11,regle!$E$23,IF(V347=regle!$F$11,regle!$F$23,IF(V347=regle!$G$11,regle!$G$23,IF(V347=regle!$H$11,regle!$H$23,IF(V347=regle!$I$11,regle!$I$23,IF(V347=regle!$J$11,regle!$J$23,0)))))))))))</f>
        <v>-898.50599999999997</v>
      </c>
      <c r="AG347" s="14">
        <f>IF($A347,$M347*(IF(W347=regle!$B$11,regle!$B$23,IF(W347=regle!$C$11,regle!$C$23,IF(W347=regle!$D$11,regle!$D$23,IF(W347=regle!$E$11,regle!$E$23,IF(W347=regle!$F$11,regle!$F$23,IF(W347=regle!$G$11,regle!$G$23,IF(W347=regle!$H$11,regle!$H$23,IF(W347=regle!$I$11,regle!$I$23,IF(W347=regle!$J$11,regle!$J$23,0)))))))))))</f>
        <v>0</v>
      </c>
      <c r="AH347" s="14">
        <f>IF($A347,$M347*(IF(X347=regle!$B$11,regle!$B$23,IF(X347=regle!$C$11,regle!$C$23,IF(X347=regle!$D$11,regle!$D$23,IF(X347=regle!$E$11,regle!$E$23,IF(X347=regle!$F$11,regle!$F$23,IF(X347=regle!$G$11,regle!$G$23,IF(X347=regle!$H$11,regle!$H$23,IF(X347=regle!$I$11,regle!$I$23,IF(X347=regle!$J$11,regle!$J$23,0)))))))))))</f>
        <v>0</v>
      </c>
      <c r="AI347" s="14">
        <f>IF($A347,$M347*(IF(Y347=regle!$B$11,regle!$B$23,IF(Y347=regle!$C$11,regle!$C$23,IF(Y347=regle!$D$11,regle!$D$23,IF(Y347=regle!$E$11,regle!$E$23,IF(Y347=regle!$F$11,regle!$F$23,IF(Y347=regle!$G$11,regle!$G$23,IF(Y347=regle!$H$11,regle!$H$23,IF(Y347=regle!$I$11,regle!$I$23,IF(Y347=regle!$J$11,regle!$J$23,0)))))))))))</f>
        <v>0</v>
      </c>
      <c r="AJ347" s="14">
        <f>IF($A347,$M347*(IF(Z347=regle!$B$11,regle!$B$23,IF(Z347=regle!$C$11,regle!$C$23,IF(Z347=regle!$D$11,regle!$D$23,IF(Z347=regle!$E$11,regle!$E$23,IF(Z347=regle!$F$11,regle!$F$23,IF(Z347=regle!$G$11,regle!$G$23,IF(Z347=regle!$H$11,regle!$H$23,IF(Z347=regle!$I$11,regle!$I$23,IF(Z347=regle!$J$11,regle!$J$23,0)))))))))))</f>
        <v>0</v>
      </c>
      <c r="AK347" s="14">
        <f>IF($A347,$M347*(IF(AA347=regle!$B$11,regle!$B$23,IF(AA347=regle!$C$11,regle!$C$23,IF(AA347=regle!$D$11,regle!$D$23,IF(AA347=regle!$E$11,regle!$E$23,IF(AA347=regle!$F$11,regle!$F$23,IF(AA347=regle!$G$11,regle!$G$23,IF(AA347=regle!$H$11,regle!$H$23,IF(AA347=regle!$I$11,regle!$I$23,IF(AA347=regle!$J$11,regle!$J$23,0)))))))))))</f>
        <v>5750.4384</v>
      </c>
      <c r="AL347" s="14">
        <f>IF($A347,$M347*(IF(AB347=regle!$B$11,regle!$B$23,IF(AB347=regle!$C$11,regle!$C$23,IF(AB347=regle!$D$11,regle!$D$23,IF(AB347=regle!$E$11,regle!$E$23,IF(AB347=regle!$F$11,regle!$F$23,IF(AB347=regle!$G$11,regle!$G$23,IF(AB347=regle!$H$11,regle!$H$23,IF(AB347=regle!$I$11,regle!$I$23,IF(AB347=regle!$J$11,regle!$J$23,0)))))))))))</f>
        <v>0</v>
      </c>
      <c r="AM347" s="14">
        <f>IF($A347,$M347*(IF(AC347=regle!$B$11,regle!$B$23,IF(AC347=regle!$C$11,regle!$C$23,IF(AC347=regle!$D$11,regle!$D$23,IF(AC347=regle!$E$11,regle!$E$23,IF(AC347=regle!$F$11,regle!$F$23,IF(AC347=regle!$G$11,regle!$G$23,IF(AC347=regle!$H$11,regle!$H$23,IF(AC347=regle!$I$11,regle!$I$23,IF(AC347=regle!$J$11,regle!$J$23,0)))))))))))</f>
        <v>0</v>
      </c>
      <c r="AN347" s="14">
        <f>IF($A347,$M347*(IF(AD347=regle!$B$11,regle!$B$23,IF(AD347=regle!$C$11,regle!$C$23,IF(AD347=regle!$D$11,regle!$D$23,IF(AD347=regle!$E$11,regle!$E$23,IF(AD347=regle!$F$11,regle!$F$23,IF(AD347=regle!$G$11,regle!$G$23,IF(AD347=regle!$H$11,regle!$H$23,IF(AD347=regle!$I$11,regle!$I$23,IF(AD347=regle!$J$11,regle!$J$23,0)))))))))))</f>
        <v>0</v>
      </c>
      <c r="AO347">
        <f>IF(AO$1=$AO$1,IF(regle!B$2-$Q347&gt;=regle!$J$12,-2,IF($S347,IF(regle!$B$2-$Q347&gt;=2,0,-1),regle!B$2-$Q347)),IF(AN347+1&gt;=regle!$J$12,-2,AN347+1))</f>
        <v>7</v>
      </c>
      <c r="AP347">
        <f>IF(AP$1=$AO$1,IF(regle!C$2-$Q347&gt;=regle!$J$12,-2,IF($S347,IF(regle!$B$2-$Q347&gt;=2,0,-1),regle!C$2-$Q347)),IF(AO347+1&gt;=regle!$J$12,-2,AO347+1))</f>
        <v>8</v>
      </c>
      <c r="AQ347">
        <f>IF(AQ$1=$AO$1,IF(regle!D$2-$Q347&gt;=regle!$J$12,-2,IF($S347,IF(regle!$B$2-$Q347&gt;=2,0,-1),regle!D$2-$Q347)),IF(AP347+1&gt;=regle!$J$12,-2,AP347+1))</f>
        <v>9</v>
      </c>
      <c r="AR347">
        <f>IF(AR$1=$AO$1,IF(regle!E$2-$Q347&gt;=regle!$J$12,-2,IF($S347,IF(regle!$B$2-$Q347&gt;=2,0,-1),regle!E$2-$Q347)),IF(AQ347+1&gt;=regle!$J$12,-2,AQ347+1))</f>
        <v>10</v>
      </c>
      <c r="AS347">
        <f>IF(AS$1=$AO$1,IF(regle!F$2-$Q347&gt;=regle!$J$12,-2,IF($S347,IF(regle!$B$2-$Q347&gt;=2,0,-1),regle!F$2-$Q347)),IF(AR347+1&gt;=regle!$J$12,-2,AR347+1))</f>
        <v>11</v>
      </c>
      <c r="AT347">
        <f>IF(AT$1=$AO$1,IF(regle!G$2-$Q347&gt;=regle!$J$12,-2,IF($S347,IF(regle!$B$2-$Q347&gt;=2,0,-1),regle!G$2-$Q347)),IF(AS347+1&gt;=regle!$J$12,-2,AS347+1))</f>
        <v>12</v>
      </c>
      <c r="AU347">
        <f>IF(AU$1=$AO$1,IF(regle!H$2-$Q347&gt;=regle!$J$12,-2,IF($S347,IF(regle!$B$2-$Q347&gt;=2,0,-1),regle!H$2-$Q347)),IF(AT347+1&gt;=regle!$J$12,-2,AT347+1))</f>
        <v>13</v>
      </c>
      <c r="AV347">
        <f>IF(AV$1=$AO$1,IF(regle!I$2-$Q347&gt;=regle!$J$12,-2,IF($S347,IF(regle!$B$2-$Q347&gt;=2,0,-1),regle!I$2-$Q347)),IF(AU347+1&gt;=regle!$J$12,-2,AU347+1))</f>
        <v>14</v>
      </c>
      <c r="AW347">
        <f>IF(AW$1=$AO$1,IF(regle!J$2-$Q347&gt;=regle!$J$12,-2,IF($S347,IF(regle!$B$2-$Q347&gt;=2,0,-1),regle!J$2-$Q347)),IF(AV347+1&gt;=regle!$J$12,-2,AV347+1))</f>
        <v>15</v>
      </c>
      <c r="AX347">
        <f>IF(AX$1=$AO$1,IF(regle!K$2-$Q347&gt;=regle!$J$12,-2,IF($S347,IF(regle!$B$2-$Q347&gt;=2,0,-1),regle!K$2-$Q347)),IF(AW347+1&gt;=regle!$J$12,-2,AW347+1))</f>
        <v>16</v>
      </c>
    </row>
    <row r="348" spans="1:50" x14ac:dyDescent="0.25">
      <c r="A348" t="b">
        <f>AND(modif0[[#This Row],[cdstr]]&lt;&gt;0,OR(regle!$H$27=FALSE,modif0[[#This Row],[essnc]]="PM"))</f>
        <v>1</v>
      </c>
      <c r="B348">
        <f>ROW(objet!A405)</f>
        <v>405</v>
      </c>
      <c r="C348" s="10" t="str">
        <f>objet!D405</f>
        <v>2000000M0033</v>
      </c>
      <c r="D348" t="str">
        <f>LEFT(modif0[[#This Row],[cdstr]],3)</f>
        <v>200</v>
      </c>
      <c r="E348" s="10" t="str">
        <f>objet!G405</f>
        <v>MOUSTEY</v>
      </c>
      <c r="F348">
        <f>LEN(modif0[[#This Row],[l_dt]])</f>
        <v>4</v>
      </c>
      <c r="G348" s="10" t="str">
        <f>objet!H405</f>
        <v>Kycs</v>
      </c>
      <c r="H348" s="10" t="str">
        <f>objet!C405</f>
        <v>M33m</v>
      </c>
      <c r="I348" t="str">
        <f>IF(ISNUMBER(VALUE(RIGHT(LEFT(modif0[[#This Row],[idntfn]],2),1))),_xlfn.CONCAT(0,LEFT(modif0[[#This Row],[idntfn]],1)),LEFT(modif0[[#This Row],[idntfn]],2))</f>
        <v>0M</v>
      </c>
      <c r="J348">
        <f>VALUE(LEFT(RIGHT(modif0[[#This Row],[idntfn]],LEN(modif0[[#This Row],[idntfn]])-IF(LEFT(modif0[[#This Row],[sctn]],1)="0",1,2)),LEN(modif0[[#This Row],[idntfn]])-IF(LEFT(modif0[[#This Row],[sctn]],1)="0",1,2)-LEN(modif0[[#This Row],[lttr]])))</f>
        <v>33</v>
      </c>
      <c r="K348" t="str">
        <f>IF(ISNUMBER(VALUE(RIGHT(modif0[[#This Row],[idntfn]],1))),"",IF(ISNUMBER(VALUE(LEFT(RIGHT(modif0[[#This Row],[idntfn]],2),1))),RIGHT(modif0[[#This Row],[idntfn]],1),RIGHT(modif0[[#This Row],[idntfn]],2)))</f>
        <v>m</v>
      </c>
      <c r="L348" s="10">
        <f>objet!I405</f>
        <v>43066</v>
      </c>
      <c r="M348" s="11">
        <f>modif0[[#This Row],[srfc]]/10000</f>
        <v>4.3066000000000004</v>
      </c>
      <c r="N348" s="10" t="str">
        <f>objet!Z405</f>
        <v>PM</v>
      </c>
      <c r="O348" s="10" t="str">
        <f>objet!AA405</f>
        <v>PLA2014</v>
      </c>
      <c r="P348" t="str">
        <f>IF(ISNUMBER(modif0[[#This Row],[trvx]]),"",LEFT(modif0[[#This Row],[trvx]],LEN(modif0[[#This Row],[trvx]])-4))</f>
        <v>PLA</v>
      </c>
      <c r="Q348">
        <f>VALUE(RIGHT(modif0[[#This Row],[trvx]],4))</f>
        <v>2014</v>
      </c>
      <c r="R348" t="str">
        <f>_xlfn.CONCAT(modif0[[#This Row],[tp]],"-",modif0[[#This Row],[essnc]],"_",modif0[[#This Row],[anns]])</f>
        <v>PLA-PM_2014</v>
      </c>
      <c r="S348" t="b">
        <f>modif0[[#This Row],[tp]]="CR"</f>
        <v>0</v>
      </c>
      <c r="T348">
        <v>40</v>
      </c>
      <c r="U348" t="str">
        <f>IF(NOT($A348),"",
IF(AO348=-2,regle!$J$11,
IF(AO348=regle!$B$12,regle!$B$11,
IF(AO348=regle!$C$12,regle!$C$11,
IF(AO348=regle!$D$12,regle!$D$11,
IF(AO348=regle!$E$12,regle!$E$11,
IF(AO348=regle!$F$12,regle!$F$11,
IF(AO348=regle!$G$12,regle!$G$11,
IF(AO348=regle!$H$12,regle!$H$11,
IF(AO348=regle!$I$12,regle!$I$11,""))))))))))</f>
        <v/>
      </c>
      <c r="V348" t="str">
        <f>IF(NOT($A348),"",
IF(AP348=-2,regle!$J$11,
IF(AP348=regle!$B$12,regle!$B$11,
IF(AP348=regle!$C$12,regle!$C$11,
IF(AP348=regle!$D$12,regle!$D$11,
IF(AP348=regle!$E$12,regle!$E$11,
IF(AP348=regle!$F$12,regle!$F$11,
IF(AP348=regle!$G$12,regle!$G$11,
IF(AP348=regle!$H$12,regle!$H$11,
IF(AP348=regle!$I$12,regle!$I$11,""))))))))))</f>
        <v/>
      </c>
      <c r="W348" t="str">
        <f>IF(NOT($A348),"",
IF(AQ348=-2,regle!$J$11,
IF(AQ348=regle!$B$12,regle!$B$11,
IF(AQ348=regle!$C$12,regle!$C$11,
IF(AQ348=regle!$D$12,regle!$D$11,
IF(AQ348=regle!$E$12,regle!$E$11,
IF(AQ348=regle!$F$12,regle!$F$11,
IF(AQ348=regle!$G$12,regle!$G$11,
IF(AQ348=regle!$H$12,regle!$H$11,
IF(AQ348=regle!$I$12,regle!$I$11,""))))))))))</f>
        <v/>
      </c>
      <c r="X348" t="str">
        <f>IF(NOT($A348),"",
IF(AR348=-2,regle!$J$11,
IF(AR348=regle!$B$12,regle!$B$11,
IF(AR348=regle!$C$12,regle!$C$11,
IF(AR348=regle!$D$12,regle!$D$11,
IF(AR348=regle!$E$12,regle!$E$11,
IF(AR348=regle!$F$12,regle!$F$11,
IF(AR348=regle!$G$12,regle!$G$11,
IF(AR348=regle!$H$12,regle!$H$11,
IF(AR348=regle!$I$12,regle!$I$11,""))))))))))</f>
        <v>EC1</v>
      </c>
      <c r="Y348" t="str">
        <f>IF(NOT($A348),"",
IF(AS348=-2,regle!$J$11,
IF(AS348=regle!$B$12,regle!$B$11,
IF(AS348=regle!$C$12,regle!$C$11,
IF(AS348=regle!$D$12,regle!$D$11,
IF(AS348=regle!$E$12,regle!$E$11,
IF(AS348=regle!$F$12,regle!$F$11,
IF(AS348=regle!$G$12,regle!$G$11,
IF(AS348=regle!$H$12,regle!$H$11,
IF(AS348=regle!$I$12,regle!$I$11,""))))))))))</f>
        <v/>
      </c>
      <c r="Z348" t="str">
        <f>IF(NOT($A348),"",
IF(AT348=-2,regle!$J$11,
IF(AT348=regle!$B$12,regle!$B$11,
IF(AT348=regle!$C$12,regle!$C$11,
IF(AT348=regle!$D$12,regle!$D$11,
IF(AT348=regle!$E$12,regle!$E$11,
IF(AT348=regle!$F$12,regle!$F$11,
IF(AT348=regle!$G$12,regle!$G$11,
IF(AT348=regle!$H$12,regle!$H$11,
IF(AT348=regle!$I$12,regle!$I$11,""))))))))))</f>
        <v/>
      </c>
      <c r="AA348" t="str">
        <f>IF(NOT($A348),"",
IF(AU348=-2,regle!$J$11,
IF(AU348=regle!$B$12,regle!$B$11,
IF(AU348=regle!$C$12,regle!$C$11,
IF(AU348=regle!$D$12,regle!$D$11,
IF(AU348=regle!$E$12,regle!$E$11,
IF(AU348=regle!$F$12,regle!$F$11,
IF(AU348=regle!$G$12,regle!$G$11,
IF(AU348=regle!$H$12,regle!$H$11,
IF(AU348=regle!$I$12,regle!$I$11,""))))))))))</f>
        <v/>
      </c>
      <c r="AB348" t="str">
        <f>IF(NOT($A348),"",
IF(AV348=-2,regle!$J$11,
IF(AV348=regle!$B$12,regle!$B$11,
IF(AV348=regle!$C$12,regle!$C$11,
IF(AV348=regle!$D$12,regle!$D$11,
IF(AV348=regle!$E$12,regle!$E$11,
IF(AV348=regle!$F$12,regle!$F$11,
IF(AV348=regle!$G$12,regle!$G$11,
IF(AV348=regle!$H$12,regle!$H$11,
IF(AV348=regle!$I$12,regle!$I$11,""))))))))))</f>
        <v/>
      </c>
      <c r="AC348" t="str">
        <f>IF(NOT($A348),"",
IF(AW348=-2,regle!$J$11,
IF(AW348=regle!$B$12,regle!$B$11,
IF(AW348=regle!$C$12,regle!$C$11,
IF(AW348=regle!$D$12,regle!$D$11,
IF(AW348=regle!$E$12,regle!$E$11,
IF(AW348=regle!$F$12,regle!$F$11,
IF(AW348=regle!$G$12,regle!$G$11,
IF(AW348=regle!$H$12,regle!$H$11,
IF(AW348=regle!$I$12,regle!$I$11,""))))))))))</f>
        <v>EC2</v>
      </c>
      <c r="AD348" t="str">
        <f>IF(NOT($A348),"",
IF(AX348=-2,regle!$J$11,
IF(AX348=regle!$B$12,regle!$B$11,
IF(AX348=regle!$C$12,regle!$C$11,
IF(AX348=regle!$D$12,regle!$D$11,
IF(AX348=regle!$E$12,regle!$E$11,
IF(AX348=regle!$F$12,regle!$F$11,
IF(AX348=regle!$G$12,regle!$G$11,
IF(AX348=regle!$H$12,regle!$H$11,
IF(AX348=regle!$I$12,regle!$I$11,""))))))))))</f>
        <v/>
      </c>
      <c r="AE348" s="14">
        <f>IF($A348,$M348*(IF(U348=regle!$B$11,regle!$B$23,IF(U348=regle!$C$11,regle!$C$23,IF(U348=regle!$D$11,regle!$D$23,IF(U348=regle!$E$11,regle!$E$23,IF(U348=regle!$F$11,regle!$F$23,IF(U348=regle!$G$11,regle!$G$23,IF(U348=regle!$H$11,regle!$H$23,IF(U348=regle!$I$11,regle!$I$23,IF(U348=regle!$J$11,regle!$J$23,0)))))))))))</f>
        <v>0</v>
      </c>
      <c r="AF348" s="14">
        <f>IF($A348,$M348*(IF(V348=regle!$B$11,regle!$B$23,IF(V348=regle!$C$11,regle!$C$23,IF(V348=regle!$D$11,regle!$D$23,IF(V348=regle!$E$11,regle!$E$23,IF(V348=regle!$F$11,regle!$F$23,IF(V348=regle!$G$11,regle!$G$23,IF(V348=regle!$H$11,regle!$H$23,IF(V348=regle!$I$11,regle!$I$23,IF(V348=regle!$J$11,regle!$J$23,0)))))))))))</f>
        <v>0</v>
      </c>
      <c r="AG348" s="14">
        <f>IF($A348,$M348*(IF(W348=regle!$B$11,regle!$B$23,IF(W348=regle!$C$11,regle!$C$23,IF(W348=regle!$D$11,regle!$D$23,IF(W348=regle!$E$11,regle!$E$23,IF(W348=regle!$F$11,regle!$F$23,IF(W348=regle!$G$11,regle!$G$23,IF(W348=regle!$H$11,regle!$H$23,IF(W348=regle!$I$11,regle!$I$23,IF(W348=regle!$J$11,regle!$J$23,0)))))))))))</f>
        <v>0</v>
      </c>
      <c r="AH348" s="14">
        <f>IF($A348,$M348*(IF(X348=regle!$B$11,regle!$B$23,IF(X348=regle!$C$11,regle!$C$23,IF(X348=regle!$D$11,regle!$D$23,IF(X348=regle!$E$11,regle!$E$23,IF(X348=regle!$F$11,regle!$F$23,IF(X348=regle!$G$11,regle!$G$23,IF(X348=regle!$H$11,regle!$H$23,IF(X348=regle!$I$11,regle!$I$23,IF(X348=regle!$J$11,regle!$J$23,0)))))))))))</f>
        <v>2480.6016000000004</v>
      </c>
      <c r="AI348" s="14">
        <f>IF($A348,$M348*(IF(Y348=regle!$B$11,regle!$B$23,IF(Y348=regle!$C$11,regle!$C$23,IF(Y348=regle!$D$11,regle!$D$23,IF(Y348=regle!$E$11,regle!$E$23,IF(Y348=regle!$F$11,regle!$F$23,IF(Y348=regle!$G$11,regle!$G$23,IF(Y348=regle!$H$11,regle!$H$23,IF(Y348=regle!$I$11,regle!$I$23,IF(Y348=regle!$J$11,regle!$J$23,0)))))))))))</f>
        <v>0</v>
      </c>
      <c r="AJ348" s="14">
        <f>IF($A348,$M348*(IF(Z348=regle!$B$11,regle!$B$23,IF(Z348=regle!$C$11,regle!$C$23,IF(Z348=regle!$D$11,regle!$D$23,IF(Z348=regle!$E$11,regle!$E$23,IF(Z348=regle!$F$11,regle!$F$23,IF(Z348=regle!$G$11,regle!$G$23,IF(Z348=regle!$H$11,regle!$H$23,IF(Z348=regle!$I$11,regle!$I$23,IF(Z348=regle!$J$11,regle!$J$23,0)))))))))))</f>
        <v>0</v>
      </c>
      <c r="AK348" s="14">
        <f>IF($A348,$M348*(IF(AA348=regle!$B$11,regle!$B$23,IF(AA348=regle!$C$11,regle!$C$23,IF(AA348=regle!$D$11,regle!$D$23,IF(AA348=regle!$E$11,regle!$E$23,IF(AA348=regle!$F$11,regle!$F$23,IF(AA348=regle!$G$11,regle!$G$23,IF(AA348=regle!$H$11,regle!$H$23,IF(AA348=regle!$I$11,regle!$I$23,IF(AA348=regle!$J$11,regle!$J$23,0)))))))))))</f>
        <v>0</v>
      </c>
      <c r="AL348" s="14">
        <f>IF($A348,$M348*(IF(AB348=regle!$B$11,regle!$B$23,IF(AB348=regle!$C$11,regle!$C$23,IF(AB348=regle!$D$11,regle!$D$23,IF(AB348=regle!$E$11,regle!$E$23,IF(AB348=regle!$F$11,regle!$F$23,IF(AB348=regle!$G$11,regle!$G$23,IF(AB348=regle!$H$11,regle!$H$23,IF(AB348=regle!$I$11,regle!$I$23,IF(AB348=regle!$J$11,regle!$J$23,0)))))))))))</f>
        <v>0</v>
      </c>
      <c r="AM348" s="14">
        <f>IF($A348,$M348*(IF(AC348=regle!$B$11,regle!$B$23,IF(AC348=regle!$C$11,regle!$C$23,IF(AC348=regle!$D$11,regle!$D$23,IF(AC348=regle!$E$11,regle!$E$23,IF(AC348=regle!$F$11,regle!$F$23,IF(AC348=regle!$G$11,regle!$G$23,IF(AC348=regle!$H$11,regle!$H$23,IF(AC348=regle!$I$11,regle!$I$23,IF(AC348=regle!$J$11,regle!$J$23,0)))))))))))</f>
        <v>3617.5440000000003</v>
      </c>
      <c r="AN348" s="14">
        <f>IF($A348,$M348*(IF(AD348=regle!$B$11,regle!$B$23,IF(AD348=regle!$C$11,regle!$C$23,IF(AD348=regle!$D$11,regle!$D$23,IF(AD348=regle!$E$11,regle!$E$23,IF(AD348=regle!$F$11,regle!$F$23,IF(AD348=regle!$G$11,regle!$G$23,IF(AD348=regle!$H$11,regle!$H$23,IF(AD348=regle!$I$11,regle!$I$23,IF(AD348=regle!$J$11,regle!$J$23,0)))))))))))</f>
        <v>0</v>
      </c>
      <c r="AO348">
        <f>IF(AO$1=$AO$1,IF(regle!B$2-$Q348&gt;=regle!$J$12,-2,IF($S348,IF(regle!$B$2-$Q348&gt;=2,0,-1),regle!B$2-$Q348)),IF(AN348+1&gt;=regle!$J$12,-2,AN348+1))</f>
        <v>10</v>
      </c>
      <c r="AP348">
        <f>IF(AP$1=$AO$1,IF(regle!C$2-$Q348&gt;=regle!$J$12,-2,IF($S348,IF(regle!$B$2-$Q348&gt;=2,0,-1),regle!C$2-$Q348)),IF(AO348+1&gt;=regle!$J$12,-2,AO348+1))</f>
        <v>11</v>
      </c>
      <c r="AQ348">
        <f>IF(AQ$1=$AO$1,IF(regle!D$2-$Q348&gt;=regle!$J$12,-2,IF($S348,IF(regle!$B$2-$Q348&gt;=2,0,-1),regle!D$2-$Q348)),IF(AP348+1&gt;=regle!$J$12,-2,AP348+1))</f>
        <v>12</v>
      </c>
      <c r="AR348">
        <f>IF(AR$1=$AO$1,IF(regle!E$2-$Q348&gt;=regle!$J$12,-2,IF($S348,IF(regle!$B$2-$Q348&gt;=2,0,-1),regle!E$2-$Q348)),IF(AQ348+1&gt;=regle!$J$12,-2,AQ348+1))</f>
        <v>13</v>
      </c>
      <c r="AS348">
        <f>IF(AS$1=$AO$1,IF(regle!F$2-$Q348&gt;=regle!$J$12,-2,IF($S348,IF(regle!$B$2-$Q348&gt;=2,0,-1),regle!F$2-$Q348)),IF(AR348+1&gt;=regle!$J$12,-2,AR348+1))</f>
        <v>14</v>
      </c>
      <c r="AT348">
        <f>IF(AT$1=$AO$1,IF(regle!G$2-$Q348&gt;=regle!$J$12,-2,IF($S348,IF(regle!$B$2-$Q348&gt;=2,0,-1),regle!G$2-$Q348)),IF(AS348+1&gt;=regle!$J$12,-2,AS348+1))</f>
        <v>15</v>
      </c>
      <c r="AU348">
        <f>IF(AU$1=$AO$1,IF(regle!H$2-$Q348&gt;=regle!$J$12,-2,IF($S348,IF(regle!$B$2-$Q348&gt;=2,0,-1),regle!H$2-$Q348)),IF(AT348+1&gt;=regle!$J$12,-2,AT348+1))</f>
        <v>16</v>
      </c>
      <c r="AV348">
        <f>IF(AV$1=$AO$1,IF(regle!I$2-$Q348&gt;=regle!$J$12,-2,IF($S348,IF(regle!$B$2-$Q348&gt;=2,0,-1),regle!I$2-$Q348)),IF(AU348+1&gt;=regle!$J$12,-2,AU348+1))</f>
        <v>17</v>
      </c>
      <c r="AW348">
        <f>IF(AW$1=$AO$1,IF(regle!J$2-$Q348&gt;=regle!$J$12,-2,IF($S348,IF(regle!$B$2-$Q348&gt;=2,0,-1),regle!J$2-$Q348)),IF(AV348+1&gt;=regle!$J$12,-2,AV348+1))</f>
        <v>18</v>
      </c>
      <c r="AX348">
        <f>IF(AX$1=$AO$1,IF(regle!K$2-$Q348&gt;=regle!$J$12,-2,IF($S348,IF(regle!$B$2-$Q348&gt;=2,0,-1),regle!K$2-$Q348)),IF(AW348+1&gt;=regle!$J$12,-2,AW348+1))</f>
        <v>19</v>
      </c>
    </row>
    <row r="349" spans="1:50" x14ac:dyDescent="0.25">
      <c r="A349" t="b">
        <f>AND(modif0[[#This Row],[cdstr]]&lt;&gt;0,OR(regle!$H$27=FALSE,modif0[[#This Row],[essnc]]="PM"))</f>
        <v>1</v>
      </c>
      <c r="B349">
        <f>ROW(objet!A406)</f>
        <v>406</v>
      </c>
      <c r="C349" s="10" t="str">
        <f>objet!D406</f>
        <v>2000000M0035</v>
      </c>
      <c r="D349" t="str">
        <f>LEFT(modif0[[#This Row],[cdstr]],3)</f>
        <v>200</v>
      </c>
      <c r="E349" s="10" t="str">
        <f>objet!G406</f>
        <v>MOUSTEY</v>
      </c>
      <c r="F349">
        <f>LEN(modif0[[#This Row],[l_dt]])</f>
        <v>4</v>
      </c>
      <c r="G349" s="10" t="str">
        <f>objet!H406</f>
        <v>Kycs</v>
      </c>
      <c r="H349" s="10" t="str">
        <f>objet!C406</f>
        <v>M35</v>
      </c>
      <c r="I349" t="str">
        <f>IF(ISNUMBER(VALUE(RIGHT(LEFT(modif0[[#This Row],[idntfn]],2),1))),_xlfn.CONCAT(0,LEFT(modif0[[#This Row],[idntfn]],1)),LEFT(modif0[[#This Row],[idntfn]],2))</f>
        <v>0M</v>
      </c>
      <c r="J349">
        <f>VALUE(LEFT(RIGHT(modif0[[#This Row],[idntfn]],LEN(modif0[[#This Row],[idntfn]])-IF(LEFT(modif0[[#This Row],[sctn]],1)="0",1,2)),LEN(modif0[[#This Row],[idntfn]])-IF(LEFT(modif0[[#This Row],[sctn]],1)="0",1,2)-LEN(modif0[[#This Row],[lttr]])))</f>
        <v>35</v>
      </c>
      <c r="K349" t="str">
        <f>IF(ISNUMBER(VALUE(RIGHT(modif0[[#This Row],[idntfn]],1))),"",IF(ISNUMBER(VALUE(LEFT(RIGHT(modif0[[#This Row],[idntfn]],2),1))),RIGHT(modif0[[#This Row],[idntfn]],1),RIGHT(modif0[[#This Row],[idntfn]],2)))</f>
        <v/>
      </c>
      <c r="L349" s="10">
        <f>objet!I406</f>
        <v>140</v>
      </c>
      <c r="M349" s="11">
        <f>modif0[[#This Row],[srfc]]/10000</f>
        <v>1.4E-2</v>
      </c>
      <c r="N349" s="10" t="str">
        <f>objet!Z406</f>
        <v>PM</v>
      </c>
      <c r="O349" s="10" t="str">
        <f>objet!AA406</f>
        <v>PLA2014</v>
      </c>
      <c r="P349" t="str">
        <f>IF(ISNUMBER(modif0[[#This Row],[trvx]]),"",LEFT(modif0[[#This Row],[trvx]],LEN(modif0[[#This Row],[trvx]])-4))</f>
        <v>PLA</v>
      </c>
      <c r="Q349">
        <f>VALUE(RIGHT(modif0[[#This Row],[trvx]],4))</f>
        <v>2014</v>
      </c>
      <c r="R349" t="str">
        <f>_xlfn.CONCAT(modif0[[#This Row],[tp]],"-",modif0[[#This Row],[essnc]],"_",modif0[[#This Row],[anns]])</f>
        <v>PLA-PM_2014</v>
      </c>
      <c r="S349" t="b">
        <f>modif0[[#This Row],[tp]]="CR"</f>
        <v>0</v>
      </c>
      <c r="T349">
        <v>40</v>
      </c>
      <c r="U349" t="str">
        <f>IF(NOT($A349),"",
IF(AO349=-2,regle!$J$11,
IF(AO349=regle!$B$12,regle!$B$11,
IF(AO349=regle!$C$12,regle!$C$11,
IF(AO349=regle!$D$12,regle!$D$11,
IF(AO349=regle!$E$12,regle!$E$11,
IF(AO349=regle!$F$12,regle!$F$11,
IF(AO349=regle!$G$12,regle!$G$11,
IF(AO349=regle!$H$12,regle!$H$11,
IF(AO349=regle!$I$12,regle!$I$11,""))))))))))</f>
        <v/>
      </c>
      <c r="V349" t="str">
        <f>IF(NOT($A349),"",
IF(AP349=-2,regle!$J$11,
IF(AP349=regle!$B$12,regle!$B$11,
IF(AP349=regle!$C$12,regle!$C$11,
IF(AP349=regle!$D$12,regle!$D$11,
IF(AP349=regle!$E$12,regle!$E$11,
IF(AP349=regle!$F$12,regle!$F$11,
IF(AP349=regle!$G$12,regle!$G$11,
IF(AP349=regle!$H$12,regle!$H$11,
IF(AP349=regle!$I$12,regle!$I$11,""))))))))))</f>
        <v/>
      </c>
      <c r="W349" t="str">
        <f>IF(NOT($A349),"",
IF(AQ349=-2,regle!$J$11,
IF(AQ349=regle!$B$12,regle!$B$11,
IF(AQ349=regle!$C$12,regle!$C$11,
IF(AQ349=regle!$D$12,regle!$D$11,
IF(AQ349=regle!$E$12,regle!$E$11,
IF(AQ349=regle!$F$12,regle!$F$11,
IF(AQ349=regle!$G$12,regle!$G$11,
IF(AQ349=regle!$H$12,regle!$H$11,
IF(AQ349=regle!$I$12,regle!$I$11,""))))))))))</f>
        <v/>
      </c>
      <c r="X349" t="str">
        <f>IF(NOT($A349),"",
IF(AR349=-2,regle!$J$11,
IF(AR349=regle!$B$12,regle!$B$11,
IF(AR349=regle!$C$12,regle!$C$11,
IF(AR349=regle!$D$12,regle!$D$11,
IF(AR349=regle!$E$12,regle!$E$11,
IF(AR349=regle!$F$12,regle!$F$11,
IF(AR349=regle!$G$12,regle!$G$11,
IF(AR349=regle!$H$12,regle!$H$11,
IF(AR349=regle!$I$12,regle!$I$11,""))))))))))</f>
        <v>EC1</v>
      </c>
      <c r="Y349" t="str">
        <f>IF(NOT($A349),"",
IF(AS349=-2,regle!$J$11,
IF(AS349=regle!$B$12,regle!$B$11,
IF(AS349=regle!$C$12,regle!$C$11,
IF(AS349=regle!$D$12,regle!$D$11,
IF(AS349=regle!$E$12,regle!$E$11,
IF(AS349=regle!$F$12,regle!$F$11,
IF(AS349=regle!$G$12,regle!$G$11,
IF(AS349=regle!$H$12,regle!$H$11,
IF(AS349=regle!$I$12,regle!$I$11,""))))))))))</f>
        <v/>
      </c>
      <c r="Z349" t="str">
        <f>IF(NOT($A349),"",
IF(AT349=-2,regle!$J$11,
IF(AT349=regle!$B$12,regle!$B$11,
IF(AT349=regle!$C$12,regle!$C$11,
IF(AT349=regle!$D$12,regle!$D$11,
IF(AT349=regle!$E$12,regle!$E$11,
IF(AT349=regle!$F$12,regle!$F$11,
IF(AT349=regle!$G$12,regle!$G$11,
IF(AT349=regle!$H$12,regle!$H$11,
IF(AT349=regle!$I$12,regle!$I$11,""))))))))))</f>
        <v/>
      </c>
      <c r="AA349" t="str">
        <f>IF(NOT($A349),"",
IF(AU349=-2,regle!$J$11,
IF(AU349=regle!$B$12,regle!$B$11,
IF(AU349=regle!$C$12,regle!$C$11,
IF(AU349=regle!$D$12,regle!$D$11,
IF(AU349=regle!$E$12,regle!$E$11,
IF(AU349=regle!$F$12,regle!$F$11,
IF(AU349=regle!$G$12,regle!$G$11,
IF(AU349=regle!$H$12,regle!$H$11,
IF(AU349=regle!$I$12,regle!$I$11,""))))))))))</f>
        <v/>
      </c>
      <c r="AB349" t="str">
        <f>IF(NOT($A349),"",
IF(AV349=-2,regle!$J$11,
IF(AV349=regle!$B$12,regle!$B$11,
IF(AV349=regle!$C$12,regle!$C$11,
IF(AV349=regle!$D$12,regle!$D$11,
IF(AV349=regle!$E$12,regle!$E$11,
IF(AV349=regle!$F$12,regle!$F$11,
IF(AV349=regle!$G$12,regle!$G$11,
IF(AV349=regle!$H$12,regle!$H$11,
IF(AV349=regle!$I$12,regle!$I$11,""))))))))))</f>
        <v/>
      </c>
      <c r="AC349" t="str">
        <f>IF(NOT($A349),"",
IF(AW349=-2,regle!$J$11,
IF(AW349=regle!$B$12,regle!$B$11,
IF(AW349=regle!$C$12,regle!$C$11,
IF(AW349=regle!$D$12,regle!$D$11,
IF(AW349=regle!$E$12,regle!$E$11,
IF(AW349=regle!$F$12,regle!$F$11,
IF(AW349=regle!$G$12,regle!$G$11,
IF(AW349=regle!$H$12,regle!$H$11,
IF(AW349=regle!$I$12,regle!$I$11,""))))))))))</f>
        <v>EC2</v>
      </c>
      <c r="AD349" t="str">
        <f>IF(NOT($A349),"",
IF(AX349=-2,regle!$J$11,
IF(AX349=regle!$B$12,regle!$B$11,
IF(AX349=regle!$C$12,regle!$C$11,
IF(AX349=regle!$D$12,regle!$D$11,
IF(AX349=regle!$E$12,regle!$E$11,
IF(AX349=regle!$F$12,regle!$F$11,
IF(AX349=regle!$G$12,regle!$G$11,
IF(AX349=regle!$H$12,regle!$H$11,
IF(AX349=regle!$I$12,regle!$I$11,""))))))))))</f>
        <v/>
      </c>
      <c r="AE349" s="14">
        <f>IF($A349,$M349*(IF(U349=regle!$B$11,regle!$B$23,IF(U349=regle!$C$11,regle!$C$23,IF(U349=regle!$D$11,regle!$D$23,IF(U349=regle!$E$11,regle!$E$23,IF(U349=regle!$F$11,regle!$F$23,IF(U349=regle!$G$11,regle!$G$23,IF(U349=regle!$H$11,regle!$H$23,IF(U349=regle!$I$11,regle!$I$23,IF(U349=regle!$J$11,regle!$J$23,0)))))))))))</f>
        <v>0</v>
      </c>
      <c r="AF349" s="14">
        <f>IF($A349,$M349*(IF(V349=regle!$B$11,regle!$B$23,IF(V349=regle!$C$11,regle!$C$23,IF(V349=regle!$D$11,regle!$D$23,IF(V349=regle!$E$11,regle!$E$23,IF(V349=regle!$F$11,regle!$F$23,IF(V349=regle!$G$11,regle!$G$23,IF(V349=regle!$H$11,regle!$H$23,IF(V349=regle!$I$11,regle!$I$23,IF(V349=regle!$J$11,regle!$J$23,0)))))))))))</f>
        <v>0</v>
      </c>
      <c r="AG349" s="14">
        <f>IF($A349,$M349*(IF(W349=regle!$B$11,regle!$B$23,IF(W349=regle!$C$11,regle!$C$23,IF(W349=regle!$D$11,regle!$D$23,IF(W349=regle!$E$11,regle!$E$23,IF(W349=regle!$F$11,regle!$F$23,IF(W349=regle!$G$11,regle!$G$23,IF(W349=regle!$H$11,regle!$H$23,IF(W349=regle!$I$11,regle!$I$23,IF(W349=regle!$J$11,regle!$J$23,0)))))))))))</f>
        <v>0</v>
      </c>
      <c r="AH349" s="14">
        <f>IF($A349,$M349*(IF(X349=regle!$B$11,regle!$B$23,IF(X349=regle!$C$11,regle!$C$23,IF(X349=regle!$D$11,regle!$D$23,IF(X349=regle!$E$11,regle!$E$23,IF(X349=regle!$F$11,regle!$F$23,IF(X349=regle!$G$11,regle!$G$23,IF(X349=regle!$H$11,regle!$H$23,IF(X349=regle!$I$11,regle!$I$23,IF(X349=regle!$J$11,regle!$J$23,0)))))))))))</f>
        <v>8.0640000000000001</v>
      </c>
      <c r="AI349" s="14">
        <f>IF($A349,$M349*(IF(Y349=regle!$B$11,regle!$B$23,IF(Y349=regle!$C$11,regle!$C$23,IF(Y349=regle!$D$11,regle!$D$23,IF(Y349=regle!$E$11,regle!$E$23,IF(Y349=regle!$F$11,regle!$F$23,IF(Y349=regle!$G$11,regle!$G$23,IF(Y349=regle!$H$11,regle!$H$23,IF(Y349=regle!$I$11,regle!$I$23,IF(Y349=regle!$J$11,regle!$J$23,0)))))))))))</f>
        <v>0</v>
      </c>
      <c r="AJ349" s="14">
        <f>IF($A349,$M349*(IF(Z349=regle!$B$11,regle!$B$23,IF(Z349=regle!$C$11,regle!$C$23,IF(Z349=regle!$D$11,regle!$D$23,IF(Z349=regle!$E$11,regle!$E$23,IF(Z349=regle!$F$11,regle!$F$23,IF(Z349=regle!$G$11,regle!$G$23,IF(Z349=regle!$H$11,regle!$H$23,IF(Z349=regle!$I$11,regle!$I$23,IF(Z349=regle!$J$11,regle!$J$23,0)))))))))))</f>
        <v>0</v>
      </c>
      <c r="AK349" s="14">
        <f>IF($A349,$M349*(IF(AA349=regle!$B$11,regle!$B$23,IF(AA349=regle!$C$11,regle!$C$23,IF(AA349=regle!$D$11,regle!$D$23,IF(AA349=regle!$E$11,regle!$E$23,IF(AA349=regle!$F$11,regle!$F$23,IF(AA349=regle!$G$11,regle!$G$23,IF(AA349=regle!$H$11,regle!$H$23,IF(AA349=regle!$I$11,regle!$I$23,IF(AA349=regle!$J$11,regle!$J$23,0)))))))))))</f>
        <v>0</v>
      </c>
      <c r="AL349" s="14">
        <f>IF($A349,$M349*(IF(AB349=regle!$B$11,regle!$B$23,IF(AB349=regle!$C$11,regle!$C$23,IF(AB349=regle!$D$11,regle!$D$23,IF(AB349=regle!$E$11,regle!$E$23,IF(AB349=regle!$F$11,regle!$F$23,IF(AB349=regle!$G$11,regle!$G$23,IF(AB349=regle!$H$11,regle!$H$23,IF(AB349=regle!$I$11,regle!$I$23,IF(AB349=regle!$J$11,regle!$J$23,0)))))))))))</f>
        <v>0</v>
      </c>
      <c r="AM349" s="14">
        <f>IF($A349,$M349*(IF(AC349=regle!$B$11,regle!$B$23,IF(AC349=regle!$C$11,regle!$C$23,IF(AC349=regle!$D$11,regle!$D$23,IF(AC349=regle!$E$11,regle!$E$23,IF(AC349=regle!$F$11,regle!$F$23,IF(AC349=regle!$G$11,regle!$G$23,IF(AC349=regle!$H$11,regle!$H$23,IF(AC349=regle!$I$11,regle!$I$23,IF(AC349=regle!$J$11,regle!$J$23,0)))))))))))</f>
        <v>11.76</v>
      </c>
      <c r="AN349" s="14">
        <f>IF($A349,$M349*(IF(AD349=regle!$B$11,regle!$B$23,IF(AD349=regle!$C$11,regle!$C$23,IF(AD349=regle!$D$11,regle!$D$23,IF(AD349=regle!$E$11,regle!$E$23,IF(AD349=regle!$F$11,regle!$F$23,IF(AD349=regle!$G$11,regle!$G$23,IF(AD349=regle!$H$11,regle!$H$23,IF(AD349=regle!$I$11,regle!$I$23,IF(AD349=regle!$J$11,regle!$J$23,0)))))))))))</f>
        <v>0</v>
      </c>
      <c r="AO349">
        <f>IF(AO$1=$AO$1,IF(regle!B$2-$Q349&gt;=regle!$J$12,-2,IF($S349,IF(regle!$B$2-$Q349&gt;=2,0,-1),regle!B$2-$Q349)),IF(AN349+1&gt;=regle!$J$12,-2,AN349+1))</f>
        <v>10</v>
      </c>
      <c r="AP349">
        <f>IF(AP$1=$AO$1,IF(regle!C$2-$Q349&gt;=regle!$J$12,-2,IF($S349,IF(regle!$B$2-$Q349&gt;=2,0,-1),regle!C$2-$Q349)),IF(AO349+1&gt;=regle!$J$12,-2,AO349+1))</f>
        <v>11</v>
      </c>
      <c r="AQ349">
        <f>IF(AQ$1=$AO$1,IF(regle!D$2-$Q349&gt;=regle!$J$12,-2,IF($S349,IF(regle!$B$2-$Q349&gt;=2,0,-1),regle!D$2-$Q349)),IF(AP349+1&gt;=regle!$J$12,-2,AP349+1))</f>
        <v>12</v>
      </c>
      <c r="AR349">
        <f>IF(AR$1=$AO$1,IF(regle!E$2-$Q349&gt;=regle!$J$12,-2,IF($S349,IF(regle!$B$2-$Q349&gt;=2,0,-1),regle!E$2-$Q349)),IF(AQ349+1&gt;=regle!$J$12,-2,AQ349+1))</f>
        <v>13</v>
      </c>
      <c r="AS349">
        <f>IF(AS$1=$AO$1,IF(regle!F$2-$Q349&gt;=regle!$J$12,-2,IF($S349,IF(regle!$B$2-$Q349&gt;=2,0,-1),regle!F$2-$Q349)),IF(AR349+1&gt;=regle!$J$12,-2,AR349+1))</f>
        <v>14</v>
      </c>
      <c r="AT349">
        <f>IF(AT$1=$AO$1,IF(regle!G$2-$Q349&gt;=regle!$J$12,-2,IF($S349,IF(regle!$B$2-$Q349&gt;=2,0,-1),regle!G$2-$Q349)),IF(AS349+1&gt;=regle!$J$12,-2,AS349+1))</f>
        <v>15</v>
      </c>
      <c r="AU349">
        <f>IF(AU$1=$AO$1,IF(regle!H$2-$Q349&gt;=regle!$J$12,-2,IF($S349,IF(regle!$B$2-$Q349&gt;=2,0,-1),regle!H$2-$Q349)),IF(AT349+1&gt;=regle!$J$12,-2,AT349+1))</f>
        <v>16</v>
      </c>
      <c r="AV349">
        <f>IF(AV$1=$AO$1,IF(regle!I$2-$Q349&gt;=regle!$J$12,-2,IF($S349,IF(regle!$B$2-$Q349&gt;=2,0,-1),regle!I$2-$Q349)),IF(AU349+1&gt;=regle!$J$12,-2,AU349+1))</f>
        <v>17</v>
      </c>
      <c r="AW349">
        <f>IF(AW$1=$AO$1,IF(regle!J$2-$Q349&gt;=regle!$J$12,-2,IF($S349,IF(regle!$B$2-$Q349&gt;=2,0,-1),regle!J$2-$Q349)),IF(AV349+1&gt;=regle!$J$12,-2,AV349+1))</f>
        <v>18</v>
      </c>
      <c r="AX349">
        <f>IF(AX$1=$AO$1,IF(regle!K$2-$Q349&gt;=regle!$J$12,-2,IF($S349,IF(regle!$B$2-$Q349&gt;=2,0,-1),regle!K$2-$Q349)),IF(AW349+1&gt;=regle!$J$12,-2,AW349+1))</f>
        <v>19</v>
      </c>
    </row>
    <row r="350" spans="1:50" x14ac:dyDescent="0.25">
      <c r="A350" t="b">
        <f>AND(modif0[[#This Row],[cdstr]]&lt;&gt;0,OR(regle!$H$27=FALSE,modif0[[#This Row],[essnc]]="PM"))</f>
        <v>1</v>
      </c>
      <c r="B350">
        <f>ROW(objet!A407)</f>
        <v>407</v>
      </c>
      <c r="C350" s="10" t="str">
        <f>objet!D407</f>
        <v>2000000M0042</v>
      </c>
      <c r="D350" t="str">
        <f>LEFT(modif0[[#This Row],[cdstr]],3)</f>
        <v>200</v>
      </c>
      <c r="E350" s="10" t="str">
        <f>objet!G407</f>
        <v>MOUSTEY</v>
      </c>
      <c r="F350">
        <f>LEN(modif0[[#This Row],[l_dt]])</f>
        <v>4</v>
      </c>
      <c r="G350" s="10" t="str">
        <f>objet!H407</f>
        <v>Kycs</v>
      </c>
      <c r="H350" s="10" t="str">
        <f>objet!C407</f>
        <v>M42</v>
      </c>
      <c r="I350" t="str">
        <f>IF(ISNUMBER(VALUE(RIGHT(LEFT(modif0[[#This Row],[idntfn]],2),1))),_xlfn.CONCAT(0,LEFT(modif0[[#This Row],[idntfn]],1)),LEFT(modif0[[#This Row],[idntfn]],2))</f>
        <v>0M</v>
      </c>
      <c r="J350">
        <f>VALUE(LEFT(RIGHT(modif0[[#This Row],[idntfn]],LEN(modif0[[#This Row],[idntfn]])-IF(LEFT(modif0[[#This Row],[sctn]],1)="0",1,2)),LEN(modif0[[#This Row],[idntfn]])-IF(LEFT(modif0[[#This Row],[sctn]],1)="0",1,2)-LEN(modif0[[#This Row],[lttr]])))</f>
        <v>42</v>
      </c>
      <c r="K350" t="str">
        <f>IF(ISNUMBER(VALUE(RIGHT(modif0[[#This Row],[idntfn]],1))),"",IF(ISNUMBER(VALUE(LEFT(RIGHT(modif0[[#This Row],[idntfn]],2),1))),RIGHT(modif0[[#This Row],[idntfn]],1),RIGHT(modif0[[#This Row],[idntfn]],2)))</f>
        <v/>
      </c>
      <c r="L350" s="10">
        <f>objet!I407</f>
        <v>148</v>
      </c>
      <c r="M350" s="11">
        <f>modif0[[#This Row],[srfc]]/10000</f>
        <v>1.4800000000000001E-2</v>
      </c>
      <c r="N350" s="10" t="str">
        <f>objet!Z407</f>
        <v>PM</v>
      </c>
      <c r="O350" s="10" t="str">
        <f>objet!AA407</f>
        <v>PLA2014</v>
      </c>
      <c r="P350" t="str">
        <f>IF(ISNUMBER(modif0[[#This Row],[trvx]]),"",LEFT(modif0[[#This Row],[trvx]],LEN(modif0[[#This Row],[trvx]])-4))</f>
        <v>PLA</v>
      </c>
      <c r="Q350">
        <f>VALUE(RIGHT(modif0[[#This Row],[trvx]],4))</f>
        <v>2014</v>
      </c>
      <c r="R350" t="str">
        <f>_xlfn.CONCAT(modif0[[#This Row],[tp]],"-",modif0[[#This Row],[essnc]],"_",modif0[[#This Row],[anns]])</f>
        <v>PLA-PM_2014</v>
      </c>
      <c r="S350" t="b">
        <f>modif0[[#This Row],[tp]]="CR"</f>
        <v>0</v>
      </c>
      <c r="T350">
        <v>40</v>
      </c>
      <c r="U350" t="str">
        <f>IF(NOT($A350),"",
IF(AO350=-2,regle!$J$11,
IF(AO350=regle!$B$12,regle!$B$11,
IF(AO350=regle!$C$12,regle!$C$11,
IF(AO350=regle!$D$12,regle!$D$11,
IF(AO350=regle!$E$12,regle!$E$11,
IF(AO350=regle!$F$12,regle!$F$11,
IF(AO350=regle!$G$12,regle!$G$11,
IF(AO350=regle!$H$12,regle!$H$11,
IF(AO350=regle!$I$12,regle!$I$11,""))))))))))</f>
        <v/>
      </c>
      <c r="V350" t="str">
        <f>IF(NOT($A350),"",
IF(AP350=-2,regle!$J$11,
IF(AP350=regle!$B$12,regle!$B$11,
IF(AP350=regle!$C$12,regle!$C$11,
IF(AP350=regle!$D$12,regle!$D$11,
IF(AP350=regle!$E$12,regle!$E$11,
IF(AP350=regle!$F$12,regle!$F$11,
IF(AP350=regle!$G$12,regle!$G$11,
IF(AP350=regle!$H$12,regle!$H$11,
IF(AP350=regle!$I$12,regle!$I$11,""))))))))))</f>
        <v/>
      </c>
      <c r="W350" t="str">
        <f>IF(NOT($A350),"",
IF(AQ350=-2,regle!$J$11,
IF(AQ350=regle!$B$12,regle!$B$11,
IF(AQ350=regle!$C$12,regle!$C$11,
IF(AQ350=regle!$D$12,regle!$D$11,
IF(AQ350=regle!$E$12,regle!$E$11,
IF(AQ350=regle!$F$12,regle!$F$11,
IF(AQ350=regle!$G$12,regle!$G$11,
IF(AQ350=regle!$H$12,regle!$H$11,
IF(AQ350=regle!$I$12,regle!$I$11,""))))))))))</f>
        <v/>
      </c>
      <c r="X350" t="str">
        <f>IF(NOT($A350),"",
IF(AR350=-2,regle!$J$11,
IF(AR350=regle!$B$12,regle!$B$11,
IF(AR350=regle!$C$12,regle!$C$11,
IF(AR350=regle!$D$12,regle!$D$11,
IF(AR350=regle!$E$12,regle!$E$11,
IF(AR350=regle!$F$12,regle!$F$11,
IF(AR350=regle!$G$12,regle!$G$11,
IF(AR350=regle!$H$12,regle!$H$11,
IF(AR350=regle!$I$12,regle!$I$11,""))))))))))</f>
        <v>EC1</v>
      </c>
      <c r="Y350" t="str">
        <f>IF(NOT($A350),"",
IF(AS350=-2,regle!$J$11,
IF(AS350=regle!$B$12,regle!$B$11,
IF(AS350=regle!$C$12,regle!$C$11,
IF(AS350=regle!$D$12,regle!$D$11,
IF(AS350=regle!$E$12,regle!$E$11,
IF(AS350=regle!$F$12,regle!$F$11,
IF(AS350=regle!$G$12,regle!$G$11,
IF(AS350=regle!$H$12,regle!$H$11,
IF(AS350=regle!$I$12,regle!$I$11,""))))))))))</f>
        <v/>
      </c>
      <c r="Z350" t="str">
        <f>IF(NOT($A350),"",
IF(AT350=-2,regle!$J$11,
IF(AT350=regle!$B$12,regle!$B$11,
IF(AT350=regle!$C$12,regle!$C$11,
IF(AT350=regle!$D$12,regle!$D$11,
IF(AT350=regle!$E$12,regle!$E$11,
IF(AT350=regle!$F$12,regle!$F$11,
IF(AT350=regle!$G$12,regle!$G$11,
IF(AT350=regle!$H$12,regle!$H$11,
IF(AT350=regle!$I$12,regle!$I$11,""))))))))))</f>
        <v/>
      </c>
      <c r="AA350" t="str">
        <f>IF(NOT($A350),"",
IF(AU350=-2,regle!$J$11,
IF(AU350=regle!$B$12,regle!$B$11,
IF(AU350=regle!$C$12,regle!$C$11,
IF(AU350=regle!$D$12,regle!$D$11,
IF(AU350=regle!$E$12,regle!$E$11,
IF(AU350=regle!$F$12,regle!$F$11,
IF(AU350=regle!$G$12,regle!$G$11,
IF(AU350=regle!$H$12,regle!$H$11,
IF(AU350=regle!$I$12,regle!$I$11,""))))))))))</f>
        <v/>
      </c>
      <c r="AB350" t="str">
        <f>IF(NOT($A350),"",
IF(AV350=-2,regle!$J$11,
IF(AV350=regle!$B$12,regle!$B$11,
IF(AV350=regle!$C$12,regle!$C$11,
IF(AV350=regle!$D$12,regle!$D$11,
IF(AV350=regle!$E$12,regle!$E$11,
IF(AV350=regle!$F$12,regle!$F$11,
IF(AV350=regle!$G$12,regle!$G$11,
IF(AV350=regle!$H$12,regle!$H$11,
IF(AV350=regle!$I$12,regle!$I$11,""))))))))))</f>
        <v/>
      </c>
      <c r="AC350" t="str">
        <f>IF(NOT($A350),"",
IF(AW350=-2,regle!$J$11,
IF(AW350=regle!$B$12,regle!$B$11,
IF(AW350=regle!$C$12,regle!$C$11,
IF(AW350=regle!$D$12,regle!$D$11,
IF(AW350=regle!$E$12,regle!$E$11,
IF(AW350=regle!$F$12,regle!$F$11,
IF(AW350=regle!$G$12,regle!$G$11,
IF(AW350=regle!$H$12,regle!$H$11,
IF(AW350=regle!$I$12,regle!$I$11,""))))))))))</f>
        <v>EC2</v>
      </c>
      <c r="AD350" t="str">
        <f>IF(NOT($A350),"",
IF(AX350=-2,regle!$J$11,
IF(AX350=regle!$B$12,regle!$B$11,
IF(AX350=regle!$C$12,regle!$C$11,
IF(AX350=regle!$D$12,regle!$D$11,
IF(AX350=regle!$E$12,regle!$E$11,
IF(AX350=regle!$F$12,regle!$F$11,
IF(AX350=regle!$G$12,regle!$G$11,
IF(AX350=regle!$H$12,regle!$H$11,
IF(AX350=regle!$I$12,regle!$I$11,""))))))))))</f>
        <v/>
      </c>
      <c r="AE350" s="14">
        <f>IF($A350,$M350*(IF(U350=regle!$B$11,regle!$B$23,IF(U350=regle!$C$11,regle!$C$23,IF(U350=regle!$D$11,regle!$D$23,IF(U350=regle!$E$11,regle!$E$23,IF(U350=regle!$F$11,regle!$F$23,IF(U350=regle!$G$11,regle!$G$23,IF(U350=regle!$H$11,regle!$H$23,IF(U350=regle!$I$11,regle!$I$23,IF(U350=regle!$J$11,regle!$J$23,0)))))))))))</f>
        <v>0</v>
      </c>
      <c r="AF350" s="14">
        <f>IF($A350,$M350*(IF(V350=regle!$B$11,regle!$B$23,IF(V350=regle!$C$11,regle!$C$23,IF(V350=regle!$D$11,regle!$D$23,IF(V350=regle!$E$11,regle!$E$23,IF(V350=regle!$F$11,regle!$F$23,IF(V350=regle!$G$11,regle!$G$23,IF(V350=regle!$H$11,regle!$H$23,IF(V350=regle!$I$11,regle!$I$23,IF(V350=regle!$J$11,regle!$J$23,0)))))))))))</f>
        <v>0</v>
      </c>
      <c r="AG350" s="14">
        <f>IF($A350,$M350*(IF(W350=regle!$B$11,regle!$B$23,IF(W350=regle!$C$11,regle!$C$23,IF(W350=regle!$D$11,regle!$D$23,IF(W350=regle!$E$11,regle!$E$23,IF(W350=regle!$F$11,regle!$F$23,IF(W350=regle!$G$11,regle!$G$23,IF(W350=regle!$H$11,regle!$H$23,IF(W350=regle!$I$11,regle!$I$23,IF(W350=regle!$J$11,regle!$J$23,0)))))))))))</f>
        <v>0</v>
      </c>
      <c r="AH350" s="14">
        <f>IF($A350,$M350*(IF(X350=regle!$B$11,regle!$B$23,IF(X350=regle!$C$11,regle!$C$23,IF(X350=regle!$D$11,regle!$D$23,IF(X350=regle!$E$11,regle!$E$23,IF(X350=regle!$F$11,regle!$F$23,IF(X350=regle!$G$11,regle!$G$23,IF(X350=regle!$H$11,regle!$H$23,IF(X350=regle!$I$11,regle!$I$23,IF(X350=regle!$J$11,regle!$J$23,0)))))))))))</f>
        <v>8.5248000000000008</v>
      </c>
      <c r="AI350" s="14">
        <f>IF($A350,$M350*(IF(Y350=regle!$B$11,regle!$B$23,IF(Y350=regle!$C$11,regle!$C$23,IF(Y350=regle!$D$11,regle!$D$23,IF(Y350=regle!$E$11,regle!$E$23,IF(Y350=regle!$F$11,regle!$F$23,IF(Y350=regle!$G$11,regle!$G$23,IF(Y350=regle!$H$11,regle!$H$23,IF(Y350=regle!$I$11,regle!$I$23,IF(Y350=regle!$J$11,regle!$J$23,0)))))))))))</f>
        <v>0</v>
      </c>
      <c r="AJ350" s="14">
        <f>IF($A350,$M350*(IF(Z350=regle!$B$11,regle!$B$23,IF(Z350=regle!$C$11,regle!$C$23,IF(Z350=regle!$D$11,regle!$D$23,IF(Z350=regle!$E$11,regle!$E$23,IF(Z350=regle!$F$11,regle!$F$23,IF(Z350=regle!$G$11,regle!$G$23,IF(Z350=regle!$H$11,regle!$H$23,IF(Z350=regle!$I$11,regle!$I$23,IF(Z350=regle!$J$11,regle!$J$23,0)))))))))))</f>
        <v>0</v>
      </c>
      <c r="AK350" s="14">
        <f>IF($A350,$M350*(IF(AA350=regle!$B$11,regle!$B$23,IF(AA350=regle!$C$11,regle!$C$23,IF(AA350=regle!$D$11,regle!$D$23,IF(AA350=regle!$E$11,regle!$E$23,IF(AA350=regle!$F$11,regle!$F$23,IF(AA350=regle!$G$11,regle!$G$23,IF(AA350=regle!$H$11,regle!$H$23,IF(AA350=regle!$I$11,regle!$I$23,IF(AA350=regle!$J$11,regle!$J$23,0)))))))))))</f>
        <v>0</v>
      </c>
      <c r="AL350" s="14">
        <f>IF($A350,$M350*(IF(AB350=regle!$B$11,regle!$B$23,IF(AB350=regle!$C$11,regle!$C$23,IF(AB350=regle!$D$11,regle!$D$23,IF(AB350=regle!$E$11,regle!$E$23,IF(AB350=regle!$F$11,regle!$F$23,IF(AB350=regle!$G$11,regle!$G$23,IF(AB350=regle!$H$11,regle!$H$23,IF(AB350=regle!$I$11,regle!$I$23,IF(AB350=regle!$J$11,regle!$J$23,0)))))))))))</f>
        <v>0</v>
      </c>
      <c r="AM350" s="14">
        <f>IF($A350,$M350*(IF(AC350=regle!$B$11,regle!$B$23,IF(AC350=regle!$C$11,regle!$C$23,IF(AC350=regle!$D$11,regle!$D$23,IF(AC350=regle!$E$11,regle!$E$23,IF(AC350=regle!$F$11,regle!$F$23,IF(AC350=regle!$G$11,regle!$G$23,IF(AC350=regle!$H$11,regle!$H$23,IF(AC350=regle!$I$11,regle!$I$23,IF(AC350=regle!$J$11,regle!$J$23,0)))))))))))</f>
        <v>12.432</v>
      </c>
      <c r="AN350" s="14">
        <f>IF($A350,$M350*(IF(AD350=regle!$B$11,regle!$B$23,IF(AD350=regle!$C$11,regle!$C$23,IF(AD350=regle!$D$11,regle!$D$23,IF(AD350=regle!$E$11,regle!$E$23,IF(AD350=regle!$F$11,regle!$F$23,IF(AD350=regle!$G$11,regle!$G$23,IF(AD350=regle!$H$11,regle!$H$23,IF(AD350=regle!$I$11,regle!$I$23,IF(AD350=regle!$J$11,regle!$J$23,0)))))))))))</f>
        <v>0</v>
      </c>
      <c r="AO350">
        <f>IF(AO$1=$AO$1,IF(regle!B$2-$Q350&gt;=regle!$J$12,-2,IF($S350,IF(regle!$B$2-$Q350&gt;=2,0,-1),regle!B$2-$Q350)),IF(AN350+1&gt;=regle!$J$12,-2,AN350+1))</f>
        <v>10</v>
      </c>
      <c r="AP350">
        <f>IF(AP$1=$AO$1,IF(regle!C$2-$Q350&gt;=regle!$J$12,-2,IF($S350,IF(regle!$B$2-$Q350&gt;=2,0,-1),regle!C$2-$Q350)),IF(AO350+1&gt;=regle!$J$12,-2,AO350+1))</f>
        <v>11</v>
      </c>
      <c r="AQ350">
        <f>IF(AQ$1=$AO$1,IF(regle!D$2-$Q350&gt;=regle!$J$12,-2,IF($S350,IF(regle!$B$2-$Q350&gt;=2,0,-1),regle!D$2-$Q350)),IF(AP350+1&gt;=regle!$J$12,-2,AP350+1))</f>
        <v>12</v>
      </c>
      <c r="AR350">
        <f>IF(AR$1=$AO$1,IF(regle!E$2-$Q350&gt;=regle!$J$12,-2,IF($S350,IF(regle!$B$2-$Q350&gt;=2,0,-1),regle!E$2-$Q350)),IF(AQ350+1&gt;=regle!$J$12,-2,AQ350+1))</f>
        <v>13</v>
      </c>
      <c r="AS350">
        <f>IF(AS$1=$AO$1,IF(regle!F$2-$Q350&gt;=regle!$J$12,-2,IF($S350,IF(regle!$B$2-$Q350&gt;=2,0,-1),regle!F$2-$Q350)),IF(AR350+1&gt;=regle!$J$12,-2,AR350+1))</f>
        <v>14</v>
      </c>
      <c r="AT350">
        <f>IF(AT$1=$AO$1,IF(regle!G$2-$Q350&gt;=regle!$J$12,-2,IF($S350,IF(regle!$B$2-$Q350&gt;=2,0,-1),regle!G$2-$Q350)),IF(AS350+1&gt;=regle!$J$12,-2,AS350+1))</f>
        <v>15</v>
      </c>
      <c r="AU350">
        <f>IF(AU$1=$AO$1,IF(regle!H$2-$Q350&gt;=regle!$J$12,-2,IF($S350,IF(regle!$B$2-$Q350&gt;=2,0,-1),regle!H$2-$Q350)),IF(AT350+1&gt;=regle!$J$12,-2,AT350+1))</f>
        <v>16</v>
      </c>
      <c r="AV350">
        <f>IF(AV$1=$AO$1,IF(regle!I$2-$Q350&gt;=regle!$J$12,-2,IF($S350,IF(regle!$B$2-$Q350&gt;=2,0,-1),regle!I$2-$Q350)),IF(AU350+1&gt;=regle!$J$12,-2,AU350+1))</f>
        <v>17</v>
      </c>
      <c r="AW350">
        <f>IF(AW$1=$AO$1,IF(regle!J$2-$Q350&gt;=regle!$J$12,-2,IF($S350,IF(regle!$B$2-$Q350&gt;=2,0,-1),regle!J$2-$Q350)),IF(AV350+1&gt;=regle!$J$12,-2,AV350+1))</f>
        <v>18</v>
      </c>
      <c r="AX350">
        <f>IF(AX$1=$AO$1,IF(regle!K$2-$Q350&gt;=regle!$J$12,-2,IF($S350,IF(regle!$B$2-$Q350&gt;=2,0,-1),regle!K$2-$Q350)),IF(AW350+1&gt;=regle!$J$12,-2,AW350+1))</f>
        <v>19</v>
      </c>
    </row>
    <row r="351" spans="1:50" x14ac:dyDescent="0.25">
      <c r="A351" t="b">
        <f>AND(modif0[[#This Row],[cdstr]]&lt;&gt;0,OR(regle!$H$27=FALSE,modif0[[#This Row],[essnc]]="PM"))</f>
        <v>1</v>
      </c>
      <c r="B351">
        <f>ROW(objet!A408)</f>
        <v>408</v>
      </c>
      <c r="C351" s="10" t="str">
        <f>objet!D408</f>
        <v>2000000M0043</v>
      </c>
      <c r="D351" t="str">
        <f>LEFT(modif0[[#This Row],[cdstr]],3)</f>
        <v>200</v>
      </c>
      <c r="E351" s="10" t="str">
        <f>objet!G408</f>
        <v>MOUSTEY</v>
      </c>
      <c r="F351">
        <f>LEN(modif0[[#This Row],[l_dt]])</f>
        <v>4</v>
      </c>
      <c r="G351" s="10" t="str">
        <f>objet!H408</f>
        <v>Kycs</v>
      </c>
      <c r="H351" s="10" t="str">
        <f>objet!C408</f>
        <v>M43</v>
      </c>
      <c r="I351" t="str">
        <f>IF(ISNUMBER(VALUE(RIGHT(LEFT(modif0[[#This Row],[idntfn]],2),1))),_xlfn.CONCAT(0,LEFT(modif0[[#This Row],[idntfn]],1)),LEFT(modif0[[#This Row],[idntfn]],2))</f>
        <v>0M</v>
      </c>
      <c r="J351">
        <f>VALUE(LEFT(RIGHT(modif0[[#This Row],[idntfn]],LEN(modif0[[#This Row],[idntfn]])-IF(LEFT(modif0[[#This Row],[sctn]],1)="0",1,2)),LEN(modif0[[#This Row],[idntfn]])-IF(LEFT(modif0[[#This Row],[sctn]],1)="0",1,2)-LEN(modif0[[#This Row],[lttr]])))</f>
        <v>43</v>
      </c>
      <c r="K351" t="str">
        <f>IF(ISNUMBER(VALUE(RIGHT(modif0[[#This Row],[idntfn]],1))),"",IF(ISNUMBER(VALUE(LEFT(RIGHT(modif0[[#This Row],[idntfn]],2),1))),RIGHT(modif0[[#This Row],[idntfn]],1),RIGHT(modif0[[#This Row],[idntfn]],2)))</f>
        <v/>
      </c>
      <c r="L351" s="10">
        <f>objet!I408</f>
        <v>15200</v>
      </c>
      <c r="M351" s="11">
        <f>modif0[[#This Row],[srfc]]/10000</f>
        <v>1.52</v>
      </c>
      <c r="N351" s="10" t="str">
        <f>objet!Z408</f>
        <v>PM</v>
      </c>
      <c r="O351" s="10" t="str">
        <f>objet!AA408</f>
        <v>PLA2014</v>
      </c>
      <c r="P351" t="str">
        <f>IF(ISNUMBER(modif0[[#This Row],[trvx]]),"",LEFT(modif0[[#This Row],[trvx]],LEN(modif0[[#This Row],[trvx]])-4))</f>
        <v>PLA</v>
      </c>
      <c r="Q351">
        <f>VALUE(RIGHT(modif0[[#This Row],[trvx]],4))</f>
        <v>2014</v>
      </c>
      <c r="R351" t="str">
        <f>_xlfn.CONCAT(modif0[[#This Row],[tp]],"-",modif0[[#This Row],[essnc]],"_",modif0[[#This Row],[anns]])</f>
        <v>PLA-PM_2014</v>
      </c>
      <c r="S351" t="b">
        <f>modif0[[#This Row],[tp]]="CR"</f>
        <v>0</v>
      </c>
      <c r="T351">
        <v>40</v>
      </c>
      <c r="U351" t="str">
        <f>IF(NOT($A351),"",
IF(AO351=-2,regle!$J$11,
IF(AO351=regle!$B$12,regle!$B$11,
IF(AO351=regle!$C$12,regle!$C$11,
IF(AO351=regle!$D$12,regle!$D$11,
IF(AO351=regle!$E$12,regle!$E$11,
IF(AO351=regle!$F$12,regle!$F$11,
IF(AO351=regle!$G$12,regle!$G$11,
IF(AO351=regle!$H$12,regle!$H$11,
IF(AO351=regle!$I$12,regle!$I$11,""))))))))))</f>
        <v/>
      </c>
      <c r="V351" t="str">
        <f>IF(NOT($A351),"",
IF(AP351=-2,regle!$J$11,
IF(AP351=regle!$B$12,regle!$B$11,
IF(AP351=regle!$C$12,regle!$C$11,
IF(AP351=regle!$D$12,regle!$D$11,
IF(AP351=regle!$E$12,regle!$E$11,
IF(AP351=regle!$F$12,regle!$F$11,
IF(AP351=regle!$G$12,regle!$G$11,
IF(AP351=regle!$H$12,regle!$H$11,
IF(AP351=regle!$I$12,regle!$I$11,""))))))))))</f>
        <v/>
      </c>
      <c r="W351" t="str">
        <f>IF(NOT($A351),"",
IF(AQ351=-2,regle!$J$11,
IF(AQ351=regle!$B$12,regle!$B$11,
IF(AQ351=regle!$C$12,regle!$C$11,
IF(AQ351=regle!$D$12,regle!$D$11,
IF(AQ351=regle!$E$12,regle!$E$11,
IF(AQ351=regle!$F$12,regle!$F$11,
IF(AQ351=regle!$G$12,regle!$G$11,
IF(AQ351=regle!$H$12,regle!$H$11,
IF(AQ351=regle!$I$12,regle!$I$11,""))))))))))</f>
        <v/>
      </c>
      <c r="X351" t="str">
        <f>IF(NOT($A351),"",
IF(AR351=-2,regle!$J$11,
IF(AR351=regle!$B$12,regle!$B$11,
IF(AR351=regle!$C$12,regle!$C$11,
IF(AR351=regle!$D$12,regle!$D$11,
IF(AR351=regle!$E$12,regle!$E$11,
IF(AR351=regle!$F$12,regle!$F$11,
IF(AR351=regle!$G$12,regle!$G$11,
IF(AR351=regle!$H$12,regle!$H$11,
IF(AR351=regle!$I$12,regle!$I$11,""))))))))))</f>
        <v>EC1</v>
      </c>
      <c r="Y351" t="str">
        <f>IF(NOT($A351),"",
IF(AS351=-2,regle!$J$11,
IF(AS351=regle!$B$12,regle!$B$11,
IF(AS351=regle!$C$12,regle!$C$11,
IF(AS351=regle!$D$12,regle!$D$11,
IF(AS351=regle!$E$12,regle!$E$11,
IF(AS351=regle!$F$12,regle!$F$11,
IF(AS351=regle!$G$12,regle!$G$11,
IF(AS351=regle!$H$12,regle!$H$11,
IF(AS351=regle!$I$12,regle!$I$11,""))))))))))</f>
        <v/>
      </c>
      <c r="Z351" t="str">
        <f>IF(NOT($A351),"",
IF(AT351=-2,regle!$J$11,
IF(AT351=regle!$B$12,regle!$B$11,
IF(AT351=regle!$C$12,regle!$C$11,
IF(AT351=regle!$D$12,regle!$D$11,
IF(AT351=regle!$E$12,regle!$E$11,
IF(AT351=regle!$F$12,regle!$F$11,
IF(AT351=regle!$G$12,regle!$G$11,
IF(AT351=regle!$H$12,regle!$H$11,
IF(AT351=regle!$I$12,regle!$I$11,""))))))))))</f>
        <v/>
      </c>
      <c r="AA351" t="str">
        <f>IF(NOT($A351),"",
IF(AU351=-2,regle!$J$11,
IF(AU351=regle!$B$12,regle!$B$11,
IF(AU351=regle!$C$12,regle!$C$11,
IF(AU351=regle!$D$12,regle!$D$11,
IF(AU351=regle!$E$12,regle!$E$11,
IF(AU351=regle!$F$12,regle!$F$11,
IF(AU351=regle!$G$12,regle!$G$11,
IF(AU351=regle!$H$12,regle!$H$11,
IF(AU351=regle!$I$12,regle!$I$11,""))))))))))</f>
        <v/>
      </c>
      <c r="AB351" t="str">
        <f>IF(NOT($A351),"",
IF(AV351=-2,regle!$J$11,
IF(AV351=regle!$B$12,regle!$B$11,
IF(AV351=regle!$C$12,regle!$C$11,
IF(AV351=regle!$D$12,regle!$D$11,
IF(AV351=regle!$E$12,regle!$E$11,
IF(AV351=regle!$F$12,regle!$F$11,
IF(AV351=regle!$G$12,regle!$G$11,
IF(AV351=regle!$H$12,regle!$H$11,
IF(AV351=regle!$I$12,regle!$I$11,""))))))))))</f>
        <v/>
      </c>
      <c r="AC351" t="str">
        <f>IF(NOT($A351),"",
IF(AW351=-2,regle!$J$11,
IF(AW351=regle!$B$12,regle!$B$11,
IF(AW351=regle!$C$12,regle!$C$11,
IF(AW351=regle!$D$12,regle!$D$11,
IF(AW351=regle!$E$12,regle!$E$11,
IF(AW351=regle!$F$12,regle!$F$11,
IF(AW351=regle!$G$12,regle!$G$11,
IF(AW351=regle!$H$12,regle!$H$11,
IF(AW351=regle!$I$12,regle!$I$11,""))))))))))</f>
        <v>EC2</v>
      </c>
      <c r="AD351" t="str">
        <f>IF(NOT($A351),"",
IF(AX351=-2,regle!$J$11,
IF(AX351=regle!$B$12,regle!$B$11,
IF(AX351=regle!$C$12,regle!$C$11,
IF(AX351=regle!$D$12,regle!$D$11,
IF(AX351=regle!$E$12,regle!$E$11,
IF(AX351=regle!$F$12,regle!$F$11,
IF(AX351=regle!$G$12,regle!$G$11,
IF(AX351=regle!$H$12,regle!$H$11,
IF(AX351=regle!$I$12,regle!$I$11,""))))))))))</f>
        <v/>
      </c>
      <c r="AE351" s="14">
        <f>IF($A351,$M351*(IF(U351=regle!$B$11,regle!$B$23,IF(U351=regle!$C$11,regle!$C$23,IF(U351=regle!$D$11,regle!$D$23,IF(U351=regle!$E$11,regle!$E$23,IF(U351=regle!$F$11,regle!$F$23,IF(U351=regle!$G$11,regle!$G$23,IF(U351=regle!$H$11,regle!$H$23,IF(U351=regle!$I$11,regle!$I$23,IF(U351=regle!$J$11,regle!$J$23,0)))))))))))</f>
        <v>0</v>
      </c>
      <c r="AF351" s="14">
        <f>IF($A351,$M351*(IF(V351=regle!$B$11,regle!$B$23,IF(V351=regle!$C$11,regle!$C$23,IF(V351=regle!$D$11,regle!$D$23,IF(V351=regle!$E$11,regle!$E$23,IF(V351=regle!$F$11,regle!$F$23,IF(V351=regle!$G$11,regle!$G$23,IF(V351=regle!$H$11,regle!$H$23,IF(V351=regle!$I$11,regle!$I$23,IF(V351=regle!$J$11,regle!$J$23,0)))))))))))</f>
        <v>0</v>
      </c>
      <c r="AG351" s="14">
        <f>IF($A351,$M351*(IF(W351=regle!$B$11,regle!$B$23,IF(W351=regle!$C$11,regle!$C$23,IF(W351=regle!$D$11,regle!$D$23,IF(W351=regle!$E$11,regle!$E$23,IF(W351=regle!$F$11,regle!$F$23,IF(W351=regle!$G$11,regle!$G$23,IF(W351=regle!$H$11,regle!$H$23,IF(W351=regle!$I$11,regle!$I$23,IF(W351=regle!$J$11,regle!$J$23,0)))))))))))</f>
        <v>0</v>
      </c>
      <c r="AH351" s="14">
        <f>IF($A351,$M351*(IF(X351=regle!$B$11,regle!$B$23,IF(X351=regle!$C$11,regle!$C$23,IF(X351=regle!$D$11,regle!$D$23,IF(X351=regle!$E$11,regle!$E$23,IF(X351=regle!$F$11,regle!$F$23,IF(X351=regle!$G$11,regle!$G$23,IF(X351=regle!$H$11,regle!$H$23,IF(X351=regle!$I$11,regle!$I$23,IF(X351=regle!$J$11,regle!$J$23,0)))))))))))</f>
        <v>875.52</v>
      </c>
      <c r="AI351" s="14">
        <f>IF($A351,$M351*(IF(Y351=regle!$B$11,regle!$B$23,IF(Y351=regle!$C$11,regle!$C$23,IF(Y351=regle!$D$11,regle!$D$23,IF(Y351=regle!$E$11,regle!$E$23,IF(Y351=regle!$F$11,regle!$F$23,IF(Y351=regle!$G$11,regle!$G$23,IF(Y351=regle!$H$11,regle!$H$23,IF(Y351=regle!$I$11,regle!$I$23,IF(Y351=regle!$J$11,regle!$J$23,0)))))))))))</f>
        <v>0</v>
      </c>
      <c r="AJ351" s="14">
        <f>IF($A351,$M351*(IF(Z351=regle!$B$11,regle!$B$23,IF(Z351=regle!$C$11,regle!$C$23,IF(Z351=regle!$D$11,regle!$D$23,IF(Z351=regle!$E$11,regle!$E$23,IF(Z351=regle!$F$11,regle!$F$23,IF(Z351=regle!$G$11,regle!$G$23,IF(Z351=regle!$H$11,regle!$H$23,IF(Z351=regle!$I$11,regle!$I$23,IF(Z351=regle!$J$11,regle!$J$23,0)))))))))))</f>
        <v>0</v>
      </c>
      <c r="AK351" s="14">
        <f>IF($A351,$M351*(IF(AA351=regle!$B$11,regle!$B$23,IF(AA351=regle!$C$11,regle!$C$23,IF(AA351=regle!$D$11,regle!$D$23,IF(AA351=regle!$E$11,regle!$E$23,IF(AA351=regle!$F$11,regle!$F$23,IF(AA351=regle!$G$11,regle!$G$23,IF(AA351=regle!$H$11,regle!$H$23,IF(AA351=regle!$I$11,regle!$I$23,IF(AA351=regle!$J$11,regle!$J$23,0)))))))))))</f>
        <v>0</v>
      </c>
      <c r="AL351" s="14">
        <f>IF($A351,$M351*(IF(AB351=regle!$B$11,regle!$B$23,IF(AB351=regle!$C$11,regle!$C$23,IF(AB351=regle!$D$11,regle!$D$23,IF(AB351=regle!$E$11,regle!$E$23,IF(AB351=regle!$F$11,regle!$F$23,IF(AB351=regle!$G$11,regle!$G$23,IF(AB351=regle!$H$11,regle!$H$23,IF(AB351=regle!$I$11,regle!$I$23,IF(AB351=regle!$J$11,regle!$J$23,0)))))))))))</f>
        <v>0</v>
      </c>
      <c r="AM351" s="14">
        <f>IF($A351,$M351*(IF(AC351=regle!$B$11,regle!$B$23,IF(AC351=regle!$C$11,regle!$C$23,IF(AC351=regle!$D$11,regle!$D$23,IF(AC351=regle!$E$11,regle!$E$23,IF(AC351=regle!$F$11,regle!$F$23,IF(AC351=regle!$G$11,regle!$G$23,IF(AC351=regle!$H$11,regle!$H$23,IF(AC351=regle!$I$11,regle!$I$23,IF(AC351=regle!$J$11,regle!$J$23,0)))))))))))</f>
        <v>1276.8</v>
      </c>
      <c r="AN351" s="14">
        <f>IF($A351,$M351*(IF(AD351=regle!$B$11,regle!$B$23,IF(AD351=regle!$C$11,regle!$C$23,IF(AD351=regle!$D$11,regle!$D$23,IF(AD351=regle!$E$11,regle!$E$23,IF(AD351=regle!$F$11,regle!$F$23,IF(AD351=regle!$G$11,regle!$G$23,IF(AD351=regle!$H$11,regle!$H$23,IF(AD351=regle!$I$11,regle!$I$23,IF(AD351=regle!$J$11,regle!$J$23,0)))))))))))</f>
        <v>0</v>
      </c>
      <c r="AO351">
        <f>IF(AO$1=$AO$1,IF(regle!B$2-$Q351&gt;=regle!$J$12,-2,IF($S351,IF(regle!$B$2-$Q351&gt;=2,0,-1),regle!B$2-$Q351)),IF(AN351+1&gt;=regle!$J$12,-2,AN351+1))</f>
        <v>10</v>
      </c>
      <c r="AP351">
        <f>IF(AP$1=$AO$1,IF(regle!C$2-$Q351&gt;=regle!$J$12,-2,IF($S351,IF(regle!$B$2-$Q351&gt;=2,0,-1),regle!C$2-$Q351)),IF(AO351+1&gt;=regle!$J$12,-2,AO351+1))</f>
        <v>11</v>
      </c>
      <c r="AQ351">
        <f>IF(AQ$1=$AO$1,IF(regle!D$2-$Q351&gt;=regle!$J$12,-2,IF($S351,IF(regle!$B$2-$Q351&gt;=2,0,-1),regle!D$2-$Q351)),IF(AP351+1&gt;=regle!$J$12,-2,AP351+1))</f>
        <v>12</v>
      </c>
      <c r="AR351">
        <f>IF(AR$1=$AO$1,IF(regle!E$2-$Q351&gt;=regle!$J$12,-2,IF($S351,IF(regle!$B$2-$Q351&gt;=2,0,-1),regle!E$2-$Q351)),IF(AQ351+1&gt;=regle!$J$12,-2,AQ351+1))</f>
        <v>13</v>
      </c>
      <c r="AS351">
        <f>IF(AS$1=$AO$1,IF(regle!F$2-$Q351&gt;=regle!$J$12,-2,IF($S351,IF(regle!$B$2-$Q351&gt;=2,0,-1),regle!F$2-$Q351)),IF(AR351+1&gt;=regle!$J$12,-2,AR351+1))</f>
        <v>14</v>
      </c>
      <c r="AT351">
        <f>IF(AT$1=$AO$1,IF(regle!G$2-$Q351&gt;=regle!$J$12,-2,IF($S351,IF(regle!$B$2-$Q351&gt;=2,0,-1),regle!G$2-$Q351)),IF(AS351+1&gt;=regle!$J$12,-2,AS351+1))</f>
        <v>15</v>
      </c>
      <c r="AU351">
        <f>IF(AU$1=$AO$1,IF(regle!H$2-$Q351&gt;=regle!$J$12,-2,IF($S351,IF(regle!$B$2-$Q351&gt;=2,0,-1),regle!H$2-$Q351)),IF(AT351+1&gt;=regle!$J$12,-2,AT351+1))</f>
        <v>16</v>
      </c>
      <c r="AV351">
        <f>IF(AV$1=$AO$1,IF(regle!I$2-$Q351&gt;=regle!$J$12,-2,IF($S351,IF(regle!$B$2-$Q351&gt;=2,0,-1),regle!I$2-$Q351)),IF(AU351+1&gt;=regle!$J$12,-2,AU351+1))</f>
        <v>17</v>
      </c>
      <c r="AW351">
        <f>IF(AW$1=$AO$1,IF(regle!J$2-$Q351&gt;=regle!$J$12,-2,IF($S351,IF(regle!$B$2-$Q351&gt;=2,0,-1),regle!J$2-$Q351)),IF(AV351+1&gt;=regle!$J$12,-2,AV351+1))</f>
        <v>18</v>
      </c>
      <c r="AX351">
        <f>IF(AX$1=$AO$1,IF(regle!K$2-$Q351&gt;=regle!$J$12,-2,IF($S351,IF(regle!$B$2-$Q351&gt;=2,0,-1),regle!K$2-$Q351)),IF(AW351+1&gt;=regle!$J$12,-2,AW351+1))</f>
        <v>19</v>
      </c>
    </row>
    <row r="352" spans="1:50" x14ac:dyDescent="0.25">
      <c r="A352" t="b">
        <f>AND(modif0[[#This Row],[cdstr]]&lt;&gt;0,OR(regle!$H$27=FALSE,modif0[[#This Row],[essnc]]="PM"))</f>
        <v>1</v>
      </c>
      <c r="B352">
        <f>ROW(objet!A409)</f>
        <v>409</v>
      </c>
      <c r="C352" s="10" t="str">
        <f>objet!D409</f>
        <v>2000000M0048</v>
      </c>
      <c r="D352" t="str">
        <f>LEFT(modif0[[#This Row],[cdstr]],3)</f>
        <v>200</v>
      </c>
      <c r="E352" s="10" t="str">
        <f>objet!G409</f>
        <v>MOUSTEY</v>
      </c>
      <c r="F352">
        <f>LEN(modif0[[#This Row],[l_dt]])</f>
        <v>12</v>
      </c>
      <c r="G352" s="10" t="str">
        <f>objet!H409</f>
        <v>Lesbarreyres</v>
      </c>
      <c r="H352" s="10" t="str">
        <f>objet!C409</f>
        <v>M48</v>
      </c>
      <c r="I352" t="str">
        <f>IF(ISNUMBER(VALUE(RIGHT(LEFT(modif0[[#This Row],[idntfn]],2),1))),_xlfn.CONCAT(0,LEFT(modif0[[#This Row],[idntfn]],1)),LEFT(modif0[[#This Row],[idntfn]],2))</f>
        <v>0M</v>
      </c>
      <c r="J352">
        <f>VALUE(LEFT(RIGHT(modif0[[#This Row],[idntfn]],LEN(modif0[[#This Row],[idntfn]])-IF(LEFT(modif0[[#This Row],[sctn]],1)="0",1,2)),LEN(modif0[[#This Row],[idntfn]])-IF(LEFT(modif0[[#This Row],[sctn]],1)="0",1,2)-LEN(modif0[[#This Row],[lttr]])))</f>
        <v>48</v>
      </c>
      <c r="K352" t="str">
        <f>IF(ISNUMBER(VALUE(RIGHT(modif0[[#This Row],[idntfn]],1))),"",IF(ISNUMBER(VALUE(LEFT(RIGHT(modif0[[#This Row],[idntfn]],2),1))),RIGHT(modif0[[#This Row],[idntfn]],1),RIGHT(modif0[[#This Row],[idntfn]],2)))</f>
        <v/>
      </c>
      <c r="L352" s="10">
        <f>objet!I409</f>
        <v>27200</v>
      </c>
      <c r="M352" s="11">
        <f>modif0[[#This Row],[srfc]]/10000</f>
        <v>2.72</v>
      </c>
      <c r="N352" s="10" t="str">
        <f>objet!Z409</f>
        <v>PM</v>
      </c>
      <c r="O352" s="10" t="str">
        <f>objet!AA409</f>
        <v>CR2022</v>
      </c>
      <c r="P352" t="str">
        <f>IF(ISNUMBER(modif0[[#This Row],[trvx]]),"",LEFT(modif0[[#This Row],[trvx]],LEN(modif0[[#This Row],[trvx]])-4))</f>
        <v>CR</v>
      </c>
      <c r="Q352">
        <f>VALUE(RIGHT(modif0[[#This Row],[trvx]],4))</f>
        <v>2022</v>
      </c>
      <c r="R352" t="str">
        <f>_xlfn.CONCAT(modif0[[#This Row],[tp]],"-",modif0[[#This Row],[essnc]],"_",modif0[[#This Row],[anns]])</f>
        <v>CR-PM_2022</v>
      </c>
      <c r="S352" t="b">
        <f>modif0[[#This Row],[tp]]="CR"</f>
        <v>1</v>
      </c>
      <c r="T352">
        <v>40</v>
      </c>
      <c r="U352" t="str">
        <f>IF(NOT($A352),"",
IF(AO352=-2,regle!$J$11,
IF(AO352=regle!$B$12,regle!$B$11,
IF(AO352=regle!$C$12,regle!$C$11,
IF(AO352=regle!$D$12,regle!$D$11,
IF(AO352=regle!$E$12,regle!$E$11,
IF(AO352=regle!$F$12,regle!$F$11,
IF(AO352=regle!$G$12,regle!$G$11,
IF(AO352=regle!$H$12,regle!$H$11,
IF(AO352=regle!$I$12,regle!$I$11,""))))))))))</f>
        <v>RBST</v>
      </c>
      <c r="V352" t="str">
        <f>IF(NOT($A352),"",
IF(AP352=-2,regle!$J$11,
IF(AP352=regle!$B$12,regle!$B$11,
IF(AP352=regle!$C$12,regle!$C$11,
IF(AP352=regle!$D$12,regle!$D$11,
IF(AP352=regle!$E$12,regle!$E$11,
IF(AP352=regle!$F$12,regle!$F$11,
IF(AP352=regle!$G$12,regle!$G$11,
IF(AP352=regle!$H$12,regle!$H$11,
IF(AP352=regle!$I$12,regle!$I$11,""))))))))))</f>
        <v/>
      </c>
      <c r="W352" t="str">
        <f>IF(NOT($A352),"",
IF(AQ352=-2,regle!$J$11,
IF(AQ352=regle!$B$12,regle!$B$11,
IF(AQ352=regle!$C$12,regle!$C$11,
IF(AQ352=regle!$D$12,regle!$D$11,
IF(AQ352=regle!$E$12,regle!$E$11,
IF(AQ352=regle!$F$12,regle!$F$11,
IF(AQ352=regle!$G$12,regle!$G$11,
IF(AQ352=regle!$H$12,regle!$H$11,
IF(AQ352=regle!$I$12,regle!$I$11,""))))))))))</f>
        <v>DGT</v>
      </c>
      <c r="X352" t="str">
        <f>IF(NOT($A352),"",
IF(AR352=-2,regle!$J$11,
IF(AR352=regle!$B$12,regle!$B$11,
IF(AR352=regle!$C$12,regle!$C$11,
IF(AR352=regle!$D$12,regle!$D$11,
IF(AR352=regle!$E$12,regle!$E$11,
IF(AR352=regle!$F$12,regle!$F$11,
IF(AR352=regle!$G$12,regle!$G$11,
IF(AR352=regle!$H$12,regle!$H$11,
IF(AR352=regle!$I$12,regle!$I$11,""))))))))))</f>
        <v/>
      </c>
      <c r="Y352" t="str">
        <f>IF(NOT($A352),"",
IF(AS352=-2,regle!$J$11,
IF(AS352=regle!$B$12,regle!$B$11,
IF(AS352=regle!$C$12,regle!$C$11,
IF(AS352=regle!$D$12,regle!$D$11,
IF(AS352=regle!$E$12,regle!$E$11,
IF(AS352=regle!$F$12,regle!$F$11,
IF(AS352=regle!$G$12,regle!$G$11,
IF(AS352=regle!$H$12,regle!$H$11,
IF(AS352=regle!$I$12,regle!$I$11,""))))))))))</f>
        <v/>
      </c>
      <c r="Z352" t="str">
        <f>IF(NOT($A352),"",
IF(AT352=-2,regle!$J$11,
IF(AT352=regle!$B$12,regle!$B$11,
IF(AT352=regle!$C$12,regle!$C$11,
IF(AT352=regle!$D$12,regle!$D$11,
IF(AT352=regle!$E$12,regle!$E$11,
IF(AT352=regle!$F$12,regle!$F$11,
IF(AT352=regle!$G$12,regle!$G$11,
IF(AT352=regle!$H$12,regle!$H$11,
IF(AT352=regle!$I$12,regle!$I$11,""))))))))))</f>
        <v>ENT1</v>
      </c>
      <c r="AA352" t="str">
        <f>IF(NOT($A352),"",
IF(AU352=-2,regle!$J$11,
IF(AU352=regle!$B$12,regle!$B$11,
IF(AU352=regle!$C$12,regle!$C$11,
IF(AU352=regle!$D$12,regle!$D$11,
IF(AU352=regle!$E$12,regle!$E$11,
IF(AU352=regle!$F$12,regle!$F$11,
IF(AU352=regle!$G$12,regle!$G$11,
IF(AU352=regle!$H$12,regle!$H$11,
IF(AU352=regle!$I$12,regle!$I$11,""))))))))))</f>
        <v/>
      </c>
      <c r="AB352" t="str">
        <f>IF(NOT($A352),"",
IF(AV352=-2,regle!$J$11,
IF(AV352=regle!$B$12,regle!$B$11,
IF(AV352=regle!$C$12,regle!$C$11,
IF(AV352=regle!$D$12,regle!$D$11,
IF(AV352=regle!$E$12,regle!$E$11,
IF(AV352=regle!$F$12,regle!$F$11,
IF(AV352=regle!$G$12,regle!$G$11,
IF(AV352=regle!$H$12,regle!$H$11,
IF(AV352=regle!$I$12,regle!$I$11,""))))))))))</f>
        <v/>
      </c>
      <c r="AC352" t="str">
        <f>IF(NOT($A352),"",
IF(AW352=-2,regle!$J$11,
IF(AW352=regle!$B$12,regle!$B$11,
IF(AW352=regle!$C$12,regle!$C$11,
IF(AW352=regle!$D$12,regle!$D$11,
IF(AW352=regle!$E$12,regle!$E$11,
IF(AW352=regle!$F$12,regle!$F$11,
IF(AW352=regle!$G$12,regle!$G$11,
IF(AW352=regle!$H$12,regle!$H$11,
IF(AW352=regle!$I$12,regle!$I$11,""))))))))))</f>
        <v>ENT2</v>
      </c>
      <c r="AD352" t="str">
        <f>IF(NOT($A352),"",
IF(AX352=-2,regle!$J$11,
IF(AX352=regle!$B$12,regle!$B$11,
IF(AX352=regle!$C$12,regle!$C$11,
IF(AX352=regle!$D$12,regle!$D$11,
IF(AX352=regle!$E$12,regle!$E$11,
IF(AX352=regle!$F$12,regle!$F$11,
IF(AX352=regle!$G$12,regle!$G$11,
IF(AX352=regle!$H$12,regle!$H$11,
IF(AX352=regle!$I$12,regle!$I$11,""))))))))))</f>
        <v/>
      </c>
      <c r="AE352" s="14">
        <f>IF($A352,$M352*(IF(U352=regle!$B$11,regle!$B$23,IF(U352=regle!$C$11,regle!$C$23,IF(U352=regle!$D$11,regle!$D$23,IF(U352=regle!$E$11,regle!$E$23,IF(U352=regle!$F$11,regle!$F$23,IF(U352=regle!$G$11,regle!$G$23,IF(U352=regle!$H$11,regle!$H$23,IF(U352=regle!$I$11,regle!$I$23,IF(U352=regle!$J$11,regle!$J$23,0)))))))))))</f>
        <v>-4624</v>
      </c>
      <c r="AF352" s="14">
        <f>IF($A352,$M352*(IF(V352=regle!$B$11,regle!$B$23,IF(V352=regle!$C$11,regle!$C$23,IF(V352=regle!$D$11,regle!$D$23,IF(V352=regle!$E$11,regle!$E$23,IF(V352=regle!$F$11,regle!$F$23,IF(V352=regle!$G$11,regle!$G$23,IF(V352=regle!$H$11,regle!$H$23,IF(V352=regle!$I$11,regle!$I$23,IF(V352=regle!$J$11,regle!$J$23,0)))))))))))</f>
        <v>0</v>
      </c>
      <c r="AG352" s="14">
        <f>IF($A352,$M352*(IF(W352=regle!$B$11,regle!$B$23,IF(W352=regle!$C$11,regle!$C$23,IF(W352=regle!$D$11,regle!$D$23,IF(W352=regle!$E$11,regle!$E$23,IF(W352=regle!$F$11,regle!$F$23,IF(W352=regle!$G$11,regle!$G$23,IF(W352=regle!$H$11,regle!$H$23,IF(W352=regle!$I$11,regle!$I$23,IF(W352=regle!$J$11,regle!$J$23,0)))))))))))</f>
        <v>-204.00000000000003</v>
      </c>
      <c r="AH352" s="14">
        <f>IF($A352,$M352*(IF(X352=regle!$B$11,regle!$B$23,IF(X352=regle!$C$11,regle!$C$23,IF(X352=regle!$D$11,regle!$D$23,IF(X352=regle!$E$11,regle!$E$23,IF(X352=regle!$F$11,regle!$F$23,IF(X352=regle!$G$11,regle!$G$23,IF(X352=regle!$H$11,regle!$H$23,IF(X352=regle!$I$11,regle!$I$23,IF(X352=regle!$J$11,regle!$J$23,0)))))))))))</f>
        <v>0</v>
      </c>
      <c r="AI352" s="14">
        <f>IF($A352,$M352*(IF(Y352=regle!$B$11,regle!$B$23,IF(Y352=regle!$C$11,regle!$C$23,IF(Y352=regle!$D$11,regle!$D$23,IF(Y352=regle!$E$11,regle!$E$23,IF(Y352=regle!$F$11,regle!$F$23,IF(Y352=regle!$G$11,regle!$G$23,IF(Y352=regle!$H$11,regle!$H$23,IF(Y352=regle!$I$11,regle!$I$23,IF(Y352=regle!$J$11,regle!$J$23,0)))))))))))</f>
        <v>0</v>
      </c>
      <c r="AJ352" s="14">
        <f>IF($A352,$M352*(IF(Z352=regle!$B$11,regle!$B$23,IF(Z352=regle!$C$11,regle!$C$23,IF(Z352=regle!$D$11,regle!$D$23,IF(Z352=regle!$E$11,regle!$E$23,IF(Z352=regle!$F$11,regle!$F$23,IF(Z352=regle!$G$11,regle!$G$23,IF(Z352=regle!$H$11,regle!$H$23,IF(Z352=regle!$I$11,regle!$I$23,IF(Z352=regle!$J$11,regle!$J$23,0)))))))))))</f>
        <v>-244.8</v>
      </c>
      <c r="AK352" s="14">
        <f>IF($A352,$M352*(IF(AA352=regle!$B$11,regle!$B$23,IF(AA352=regle!$C$11,regle!$C$23,IF(AA352=regle!$D$11,regle!$D$23,IF(AA352=regle!$E$11,regle!$E$23,IF(AA352=regle!$F$11,regle!$F$23,IF(AA352=regle!$G$11,regle!$G$23,IF(AA352=regle!$H$11,regle!$H$23,IF(AA352=regle!$I$11,regle!$I$23,IF(AA352=regle!$J$11,regle!$J$23,0)))))))))))</f>
        <v>0</v>
      </c>
      <c r="AL352" s="14">
        <f>IF($A352,$M352*(IF(AB352=regle!$B$11,regle!$B$23,IF(AB352=regle!$C$11,regle!$C$23,IF(AB352=regle!$D$11,regle!$D$23,IF(AB352=regle!$E$11,regle!$E$23,IF(AB352=regle!$F$11,regle!$F$23,IF(AB352=regle!$G$11,regle!$G$23,IF(AB352=regle!$H$11,regle!$H$23,IF(AB352=regle!$I$11,regle!$I$23,IF(AB352=regle!$J$11,regle!$J$23,0)))))))))))</f>
        <v>0</v>
      </c>
      <c r="AM352" s="14">
        <f>IF($A352,$M352*(IF(AC352=regle!$B$11,regle!$B$23,IF(AC352=regle!$C$11,regle!$C$23,IF(AC352=regle!$D$11,regle!$D$23,IF(AC352=regle!$E$11,regle!$E$23,IF(AC352=regle!$F$11,regle!$F$23,IF(AC352=regle!$G$11,regle!$G$23,IF(AC352=regle!$H$11,regle!$H$23,IF(AC352=regle!$I$11,regle!$I$23,IF(AC352=regle!$J$11,regle!$J$23,0)))))))))))</f>
        <v>-244.8</v>
      </c>
      <c r="AN352" s="14">
        <f>IF($A352,$M352*(IF(AD352=regle!$B$11,regle!$B$23,IF(AD352=regle!$C$11,regle!$C$23,IF(AD352=regle!$D$11,regle!$D$23,IF(AD352=regle!$E$11,regle!$E$23,IF(AD352=regle!$F$11,regle!$F$23,IF(AD352=regle!$G$11,regle!$G$23,IF(AD352=regle!$H$11,regle!$H$23,IF(AD352=regle!$I$11,regle!$I$23,IF(AD352=regle!$J$11,regle!$J$23,0)))))))))))</f>
        <v>0</v>
      </c>
      <c r="AO352">
        <f>IF(AO$1=$AO$1,IF(regle!B$2-$Q352&gt;=regle!$J$12,-2,IF($S352,IF(regle!$B$2-$Q352&gt;=2,0,-1),regle!B$2-$Q352)),IF(AN352+1&gt;=regle!$J$12,-2,AN352+1))</f>
        <v>0</v>
      </c>
      <c r="AP352">
        <f>IF(AP$1=$AO$1,IF(regle!C$2-$Q352&gt;=regle!$J$12,-2,IF($S352,IF(regle!$B$2-$Q352&gt;=2,0,-1),regle!C$2-$Q352)),IF(AO352+1&gt;=regle!$J$12,-2,AO352+1))</f>
        <v>1</v>
      </c>
      <c r="AQ352">
        <f>IF(AQ$1=$AO$1,IF(regle!D$2-$Q352&gt;=regle!$J$12,-2,IF($S352,IF(regle!$B$2-$Q352&gt;=2,0,-1),regle!D$2-$Q352)),IF(AP352+1&gt;=regle!$J$12,-2,AP352+1))</f>
        <v>2</v>
      </c>
      <c r="AR352">
        <f>IF(AR$1=$AO$1,IF(regle!E$2-$Q352&gt;=regle!$J$12,-2,IF($S352,IF(regle!$B$2-$Q352&gt;=2,0,-1),regle!E$2-$Q352)),IF(AQ352+1&gt;=regle!$J$12,-2,AQ352+1))</f>
        <v>3</v>
      </c>
      <c r="AS352">
        <f>IF(AS$1=$AO$1,IF(regle!F$2-$Q352&gt;=regle!$J$12,-2,IF($S352,IF(regle!$B$2-$Q352&gt;=2,0,-1),regle!F$2-$Q352)),IF(AR352+1&gt;=regle!$J$12,-2,AR352+1))</f>
        <v>4</v>
      </c>
      <c r="AT352">
        <f>IF(AT$1=$AO$1,IF(regle!G$2-$Q352&gt;=regle!$J$12,-2,IF($S352,IF(regle!$B$2-$Q352&gt;=2,0,-1),regle!G$2-$Q352)),IF(AS352+1&gt;=regle!$J$12,-2,AS352+1))</f>
        <v>5</v>
      </c>
      <c r="AU352">
        <f>IF(AU$1=$AO$1,IF(regle!H$2-$Q352&gt;=regle!$J$12,-2,IF($S352,IF(regle!$B$2-$Q352&gt;=2,0,-1),regle!H$2-$Q352)),IF(AT352+1&gt;=regle!$J$12,-2,AT352+1))</f>
        <v>6</v>
      </c>
      <c r="AV352">
        <f>IF(AV$1=$AO$1,IF(regle!I$2-$Q352&gt;=regle!$J$12,-2,IF($S352,IF(regle!$B$2-$Q352&gt;=2,0,-1),regle!I$2-$Q352)),IF(AU352+1&gt;=regle!$J$12,-2,AU352+1))</f>
        <v>7</v>
      </c>
      <c r="AW352">
        <f>IF(AW$1=$AO$1,IF(regle!J$2-$Q352&gt;=regle!$J$12,-2,IF($S352,IF(regle!$B$2-$Q352&gt;=2,0,-1),regle!J$2-$Q352)),IF(AV352+1&gt;=regle!$J$12,-2,AV352+1))</f>
        <v>8</v>
      </c>
      <c r="AX352">
        <f>IF(AX$1=$AO$1,IF(regle!K$2-$Q352&gt;=regle!$J$12,-2,IF($S352,IF(regle!$B$2-$Q352&gt;=2,0,-1),regle!K$2-$Q352)),IF(AW352+1&gt;=regle!$J$12,-2,AW352+1))</f>
        <v>9</v>
      </c>
    </row>
    <row r="353" spans="1:50" x14ac:dyDescent="0.25">
      <c r="A353" t="b">
        <f>AND(modif0[[#This Row],[cdstr]]&lt;&gt;0,OR(regle!$H$27=FALSE,modif0[[#This Row],[essnc]]="PM"))</f>
        <v>1</v>
      </c>
      <c r="B353">
        <f>ROW(objet!A410)</f>
        <v>410</v>
      </c>
      <c r="C353" s="10" t="str">
        <f>objet!D410</f>
        <v>2000000M0062</v>
      </c>
      <c r="D353" t="str">
        <f>LEFT(modif0[[#This Row],[cdstr]],3)</f>
        <v>200</v>
      </c>
      <c r="E353" s="10" t="str">
        <f>objet!G410</f>
        <v>MOUSTEY</v>
      </c>
      <c r="F353">
        <f>LEN(modif0[[#This Row],[l_dt]])</f>
        <v>12</v>
      </c>
      <c r="G353" s="10" t="str">
        <f>objet!H410</f>
        <v>Lesbarreyres</v>
      </c>
      <c r="H353" s="10" t="str">
        <f>objet!C410</f>
        <v>M62a</v>
      </c>
      <c r="I353" t="str">
        <f>IF(ISNUMBER(VALUE(RIGHT(LEFT(modif0[[#This Row],[idntfn]],2),1))),_xlfn.CONCAT(0,LEFT(modif0[[#This Row],[idntfn]],1)),LEFT(modif0[[#This Row],[idntfn]],2))</f>
        <v>0M</v>
      </c>
      <c r="J353">
        <f>VALUE(LEFT(RIGHT(modif0[[#This Row],[idntfn]],LEN(modif0[[#This Row],[idntfn]])-IF(LEFT(modif0[[#This Row],[sctn]],1)="0",1,2)),LEN(modif0[[#This Row],[idntfn]])-IF(LEFT(modif0[[#This Row],[sctn]],1)="0",1,2)-LEN(modif0[[#This Row],[lttr]])))</f>
        <v>62</v>
      </c>
      <c r="K353" t="str">
        <f>IF(ISNUMBER(VALUE(RIGHT(modif0[[#This Row],[idntfn]],1))),"",IF(ISNUMBER(VALUE(LEFT(RIGHT(modif0[[#This Row],[idntfn]],2),1))),RIGHT(modif0[[#This Row],[idntfn]],1),RIGHT(modif0[[#This Row],[idntfn]],2)))</f>
        <v>a</v>
      </c>
      <c r="L353" s="10">
        <f>objet!I410</f>
        <v>57700</v>
      </c>
      <c r="M353" s="11">
        <f>modif0[[#This Row],[srfc]]/10000</f>
        <v>5.77</v>
      </c>
      <c r="N353" s="10" t="str">
        <f>objet!Z410</f>
        <v>PM</v>
      </c>
      <c r="O353" s="10" t="str">
        <f>objet!AA410</f>
        <v>CR2022</v>
      </c>
      <c r="P353" t="str">
        <f>IF(ISNUMBER(modif0[[#This Row],[trvx]]),"",LEFT(modif0[[#This Row],[trvx]],LEN(modif0[[#This Row],[trvx]])-4))</f>
        <v>CR</v>
      </c>
      <c r="Q353">
        <f>VALUE(RIGHT(modif0[[#This Row],[trvx]],4))</f>
        <v>2022</v>
      </c>
      <c r="R353" t="str">
        <f>_xlfn.CONCAT(modif0[[#This Row],[tp]],"-",modif0[[#This Row],[essnc]],"_",modif0[[#This Row],[anns]])</f>
        <v>CR-PM_2022</v>
      </c>
      <c r="S353" t="b">
        <f>modif0[[#This Row],[tp]]="CR"</f>
        <v>1</v>
      </c>
      <c r="T353">
        <v>40</v>
      </c>
      <c r="U353" t="str">
        <f>IF(NOT($A353),"",
IF(AO353=-2,regle!$J$11,
IF(AO353=regle!$B$12,regle!$B$11,
IF(AO353=regle!$C$12,regle!$C$11,
IF(AO353=regle!$D$12,regle!$D$11,
IF(AO353=regle!$E$12,regle!$E$11,
IF(AO353=regle!$F$12,regle!$F$11,
IF(AO353=regle!$G$12,regle!$G$11,
IF(AO353=regle!$H$12,regle!$H$11,
IF(AO353=regle!$I$12,regle!$I$11,""))))))))))</f>
        <v>RBST</v>
      </c>
      <c r="V353" t="str">
        <f>IF(NOT($A353),"",
IF(AP353=-2,regle!$J$11,
IF(AP353=regle!$B$12,regle!$B$11,
IF(AP353=regle!$C$12,regle!$C$11,
IF(AP353=regle!$D$12,regle!$D$11,
IF(AP353=regle!$E$12,regle!$E$11,
IF(AP353=regle!$F$12,regle!$F$11,
IF(AP353=regle!$G$12,regle!$G$11,
IF(AP353=regle!$H$12,regle!$H$11,
IF(AP353=regle!$I$12,regle!$I$11,""))))))))))</f>
        <v/>
      </c>
      <c r="W353" t="str">
        <f>IF(NOT($A353),"",
IF(AQ353=-2,regle!$J$11,
IF(AQ353=regle!$B$12,regle!$B$11,
IF(AQ353=regle!$C$12,regle!$C$11,
IF(AQ353=regle!$D$12,regle!$D$11,
IF(AQ353=regle!$E$12,regle!$E$11,
IF(AQ353=regle!$F$12,regle!$F$11,
IF(AQ353=regle!$G$12,regle!$G$11,
IF(AQ353=regle!$H$12,regle!$H$11,
IF(AQ353=regle!$I$12,regle!$I$11,""))))))))))</f>
        <v>DGT</v>
      </c>
      <c r="X353" t="str">
        <f>IF(NOT($A353),"",
IF(AR353=-2,regle!$J$11,
IF(AR353=regle!$B$12,regle!$B$11,
IF(AR353=regle!$C$12,regle!$C$11,
IF(AR353=regle!$D$12,regle!$D$11,
IF(AR353=regle!$E$12,regle!$E$11,
IF(AR353=regle!$F$12,regle!$F$11,
IF(AR353=regle!$G$12,regle!$G$11,
IF(AR353=regle!$H$12,regle!$H$11,
IF(AR353=regle!$I$12,regle!$I$11,""))))))))))</f>
        <v/>
      </c>
      <c r="Y353" t="str">
        <f>IF(NOT($A353),"",
IF(AS353=-2,regle!$J$11,
IF(AS353=regle!$B$12,regle!$B$11,
IF(AS353=regle!$C$12,regle!$C$11,
IF(AS353=regle!$D$12,regle!$D$11,
IF(AS353=regle!$E$12,regle!$E$11,
IF(AS353=regle!$F$12,regle!$F$11,
IF(AS353=regle!$G$12,regle!$G$11,
IF(AS353=regle!$H$12,regle!$H$11,
IF(AS353=regle!$I$12,regle!$I$11,""))))))))))</f>
        <v/>
      </c>
      <c r="Z353" t="str">
        <f>IF(NOT($A353),"",
IF(AT353=-2,regle!$J$11,
IF(AT353=regle!$B$12,regle!$B$11,
IF(AT353=regle!$C$12,regle!$C$11,
IF(AT353=regle!$D$12,regle!$D$11,
IF(AT353=regle!$E$12,regle!$E$11,
IF(AT353=regle!$F$12,regle!$F$11,
IF(AT353=regle!$G$12,regle!$G$11,
IF(AT353=regle!$H$12,regle!$H$11,
IF(AT353=regle!$I$12,regle!$I$11,""))))))))))</f>
        <v>ENT1</v>
      </c>
      <c r="AA353" t="str">
        <f>IF(NOT($A353),"",
IF(AU353=-2,regle!$J$11,
IF(AU353=regle!$B$12,regle!$B$11,
IF(AU353=regle!$C$12,regle!$C$11,
IF(AU353=regle!$D$12,regle!$D$11,
IF(AU353=regle!$E$12,regle!$E$11,
IF(AU353=regle!$F$12,regle!$F$11,
IF(AU353=regle!$G$12,regle!$G$11,
IF(AU353=regle!$H$12,regle!$H$11,
IF(AU353=regle!$I$12,regle!$I$11,""))))))))))</f>
        <v/>
      </c>
      <c r="AB353" t="str">
        <f>IF(NOT($A353),"",
IF(AV353=-2,regle!$J$11,
IF(AV353=regle!$B$12,regle!$B$11,
IF(AV353=regle!$C$12,regle!$C$11,
IF(AV353=regle!$D$12,regle!$D$11,
IF(AV353=regle!$E$12,regle!$E$11,
IF(AV353=regle!$F$12,regle!$F$11,
IF(AV353=regle!$G$12,regle!$G$11,
IF(AV353=regle!$H$12,regle!$H$11,
IF(AV353=regle!$I$12,regle!$I$11,""))))))))))</f>
        <v/>
      </c>
      <c r="AC353" t="str">
        <f>IF(NOT($A353),"",
IF(AW353=-2,regle!$J$11,
IF(AW353=regle!$B$12,regle!$B$11,
IF(AW353=regle!$C$12,regle!$C$11,
IF(AW353=regle!$D$12,regle!$D$11,
IF(AW353=regle!$E$12,regle!$E$11,
IF(AW353=regle!$F$12,regle!$F$11,
IF(AW353=regle!$G$12,regle!$G$11,
IF(AW353=regle!$H$12,regle!$H$11,
IF(AW353=regle!$I$12,regle!$I$11,""))))))))))</f>
        <v>ENT2</v>
      </c>
      <c r="AD353" t="str">
        <f>IF(NOT($A353),"",
IF(AX353=-2,regle!$J$11,
IF(AX353=regle!$B$12,regle!$B$11,
IF(AX353=regle!$C$12,regle!$C$11,
IF(AX353=regle!$D$12,regle!$D$11,
IF(AX353=regle!$E$12,regle!$E$11,
IF(AX353=regle!$F$12,regle!$F$11,
IF(AX353=regle!$G$12,regle!$G$11,
IF(AX353=regle!$H$12,regle!$H$11,
IF(AX353=regle!$I$12,regle!$I$11,""))))))))))</f>
        <v/>
      </c>
      <c r="AE353" s="14">
        <f>IF($A353,$M353*(IF(U353=regle!$B$11,regle!$B$23,IF(U353=regle!$C$11,regle!$C$23,IF(U353=regle!$D$11,regle!$D$23,IF(U353=regle!$E$11,regle!$E$23,IF(U353=regle!$F$11,regle!$F$23,IF(U353=regle!$G$11,regle!$G$23,IF(U353=regle!$H$11,regle!$H$23,IF(U353=regle!$I$11,regle!$I$23,IF(U353=regle!$J$11,regle!$J$23,0)))))))))))</f>
        <v>-9809</v>
      </c>
      <c r="AF353" s="14">
        <f>IF($A353,$M353*(IF(V353=regle!$B$11,regle!$B$23,IF(V353=regle!$C$11,regle!$C$23,IF(V353=regle!$D$11,regle!$D$23,IF(V353=regle!$E$11,regle!$E$23,IF(V353=regle!$F$11,regle!$F$23,IF(V353=regle!$G$11,regle!$G$23,IF(V353=regle!$H$11,regle!$H$23,IF(V353=regle!$I$11,regle!$I$23,IF(V353=regle!$J$11,regle!$J$23,0)))))))))))</f>
        <v>0</v>
      </c>
      <c r="AG353" s="14">
        <f>IF($A353,$M353*(IF(W353=regle!$B$11,regle!$B$23,IF(W353=regle!$C$11,regle!$C$23,IF(W353=regle!$D$11,regle!$D$23,IF(W353=regle!$E$11,regle!$E$23,IF(W353=regle!$F$11,regle!$F$23,IF(W353=regle!$G$11,regle!$G$23,IF(W353=regle!$H$11,regle!$H$23,IF(W353=regle!$I$11,regle!$I$23,IF(W353=regle!$J$11,regle!$J$23,0)))))))))))</f>
        <v>-432.74999999999994</v>
      </c>
      <c r="AH353" s="14">
        <f>IF($A353,$M353*(IF(X353=regle!$B$11,regle!$B$23,IF(X353=regle!$C$11,regle!$C$23,IF(X353=regle!$D$11,regle!$D$23,IF(X353=regle!$E$11,regle!$E$23,IF(X353=regle!$F$11,regle!$F$23,IF(X353=regle!$G$11,regle!$G$23,IF(X353=regle!$H$11,regle!$H$23,IF(X353=regle!$I$11,regle!$I$23,IF(X353=regle!$J$11,regle!$J$23,0)))))))))))</f>
        <v>0</v>
      </c>
      <c r="AI353" s="14">
        <f>IF($A353,$M353*(IF(Y353=regle!$B$11,regle!$B$23,IF(Y353=regle!$C$11,regle!$C$23,IF(Y353=regle!$D$11,regle!$D$23,IF(Y353=regle!$E$11,regle!$E$23,IF(Y353=regle!$F$11,regle!$F$23,IF(Y353=regle!$G$11,regle!$G$23,IF(Y353=regle!$H$11,regle!$H$23,IF(Y353=regle!$I$11,regle!$I$23,IF(Y353=regle!$J$11,regle!$J$23,0)))))))))))</f>
        <v>0</v>
      </c>
      <c r="AJ353" s="14">
        <f>IF($A353,$M353*(IF(Z353=regle!$B$11,regle!$B$23,IF(Z353=regle!$C$11,regle!$C$23,IF(Z353=regle!$D$11,regle!$D$23,IF(Z353=regle!$E$11,regle!$E$23,IF(Z353=regle!$F$11,regle!$F$23,IF(Z353=regle!$G$11,regle!$G$23,IF(Z353=regle!$H$11,regle!$H$23,IF(Z353=regle!$I$11,regle!$I$23,IF(Z353=regle!$J$11,regle!$J$23,0)))))))))))</f>
        <v>-519.29999999999995</v>
      </c>
      <c r="AK353" s="14">
        <f>IF($A353,$M353*(IF(AA353=regle!$B$11,regle!$B$23,IF(AA353=regle!$C$11,regle!$C$23,IF(AA353=regle!$D$11,regle!$D$23,IF(AA353=regle!$E$11,regle!$E$23,IF(AA353=regle!$F$11,regle!$F$23,IF(AA353=regle!$G$11,regle!$G$23,IF(AA353=regle!$H$11,regle!$H$23,IF(AA353=regle!$I$11,regle!$I$23,IF(AA353=regle!$J$11,regle!$J$23,0)))))))))))</f>
        <v>0</v>
      </c>
      <c r="AL353" s="14">
        <f>IF($A353,$M353*(IF(AB353=regle!$B$11,regle!$B$23,IF(AB353=regle!$C$11,regle!$C$23,IF(AB353=regle!$D$11,regle!$D$23,IF(AB353=regle!$E$11,regle!$E$23,IF(AB353=regle!$F$11,regle!$F$23,IF(AB353=regle!$G$11,regle!$G$23,IF(AB353=regle!$H$11,regle!$H$23,IF(AB353=regle!$I$11,regle!$I$23,IF(AB353=regle!$J$11,regle!$J$23,0)))))))))))</f>
        <v>0</v>
      </c>
      <c r="AM353" s="14">
        <f>IF($A353,$M353*(IF(AC353=regle!$B$11,regle!$B$23,IF(AC353=regle!$C$11,regle!$C$23,IF(AC353=regle!$D$11,regle!$D$23,IF(AC353=regle!$E$11,regle!$E$23,IF(AC353=regle!$F$11,regle!$F$23,IF(AC353=regle!$G$11,regle!$G$23,IF(AC353=regle!$H$11,regle!$H$23,IF(AC353=regle!$I$11,regle!$I$23,IF(AC353=regle!$J$11,regle!$J$23,0)))))))))))</f>
        <v>-519.29999999999995</v>
      </c>
      <c r="AN353" s="14">
        <f>IF($A353,$M353*(IF(AD353=regle!$B$11,regle!$B$23,IF(AD353=regle!$C$11,regle!$C$23,IF(AD353=regle!$D$11,regle!$D$23,IF(AD353=regle!$E$11,regle!$E$23,IF(AD353=regle!$F$11,regle!$F$23,IF(AD353=regle!$G$11,regle!$G$23,IF(AD353=regle!$H$11,regle!$H$23,IF(AD353=regle!$I$11,regle!$I$23,IF(AD353=regle!$J$11,regle!$J$23,0)))))))))))</f>
        <v>0</v>
      </c>
      <c r="AO353">
        <f>IF(AO$1=$AO$1,IF(regle!B$2-$Q353&gt;=regle!$J$12,-2,IF($S353,IF(regle!$B$2-$Q353&gt;=2,0,-1),regle!B$2-$Q353)),IF(AN353+1&gt;=regle!$J$12,-2,AN353+1))</f>
        <v>0</v>
      </c>
      <c r="AP353">
        <f>IF(AP$1=$AO$1,IF(regle!C$2-$Q353&gt;=regle!$J$12,-2,IF($S353,IF(regle!$B$2-$Q353&gt;=2,0,-1),regle!C$2-$Q353)),IF(AO353+1&gt;=regle!$J$12,-2,AO353+1))</f>
        <v>1</v>
      </c>
      <c r="AQ353">
        <f>IF(AQ$1=$AO$1,IF(regle!D$2-$Q353&gt;=regle!$J$12,-2,IF($S353,IF(regle!$B$2-$Q353&gt;=2,0,-1),regle!D$2-$Q353)),IF(AP353+1&gt;=regle!$J$12,-2,AP353+1))</f>
        <v>2</v>
      </c>
      <c r="AR353">
        <f>IF(AR$1=$AO$1,IF(regle!E$2-$Q353&gt;=regle!$J$12,-2,IF($S353,IF(regle!$B$2-$Q353&gt;=2,0,-1),regle!E$2-$Q353)),IF(AQ353+1&gt;=regle!$J$12,-2,AQ353+1))</f>
        <v>3</v>
      </c>
      <c r="AS353">
        <f>IF(AS$1=$AO$1,IF(regle!F$2-$Q353&gt;=regle!$J$12,-2,IF($S353,IF(regle!$B$2-$Q353&gt;=2,0,-1),regle!F$2-$Q353)),IF(AR353+1&gt;=regle!$J$12,-2,AR353+1))</f>
        <v>4</v>
      </c>
      <c r="AT353">
        <f>IF(AT$1=$AO$1,IF(regle!G$2-$Q353&gt;=regle!$J$12,-2,IF($S353,IF(regle!$B$2-$Q353&gt;=2,0,-1),regle!G$2-$Q353)),IF(AS353+1&gt;=regle!$J$12,-2,AS353+1))</f>
        <v>5</v>
      </c>
      <c r="AU353">
        <f>IF(AU$1=$AO$1,IF(regle!H$2-$Q353&gt;=regle!$J$12,-2,IF($S353,IF(regle!$B$2-$Q353&gt;=2,0,-1),regle!H$2-$Q353)),IF(AT353+1&gt;=regle!$J$12,-2,AT353+1))</f>
        <v>6</v>
      </c>
      <c r="AV353">
        <f>IF(AV$1=$AO$1,IF(regle!I$2-$Q353&gt;=regle!$J$12,-2,IF($S353,IF(regle!$B$2-$Q353&gt;=2,0,-1),regle!I$2-$Q353)),IF(AU353+1&gt;=regle!$J$12,-2,AU353+1))</f>
        <v>7</v>
      </c>
      <c r="AW353">
        <f>IF(AW$1=$AO$1,IF(regle!J$2-$Q353&gt;=regle!$J$12,-2,IF($S353,IF(regle!$B$2-$Q353&gt;=2,0,-1),regle!J$2-$Q353)),IF(AV353+1&gt;=regle!$J$12,-2,AV353+1))</f>
        <v>8</v>
      </c>
      <c r="AX353">
        <f>IF(AX$1=$AO$1,IF(regle!K$2-$Q353&gt;=regle!$J$12,-2,IF($S353,IF(regle!$B$2-$Q353&gt;=2,0,-1),regle!K$2-$Q353)),IF(AW353+1&gt;=regle!$J$12,-2,AW353+1))</f>
        <v>9</v>
      </c>
    </row>
    <row r="354" spans="1:50" x14ac:dyDescent="0.25">
      <c r="A354" t="b">
        <f>AND(modif0[[#This Row],[cdstr]]&lt;&gt;0,OR(regle!$H$27=FALSE,modif0[[#This Row],[essnc]]="PM"))</f>
        <v>1</v>
      </c>
      <c r="B354">
        <f>ROW(objet!A411)</f>
        <v>411</v>
      </c>
      <c r="C354" s="10" t="str">
        <f>objet!D411</f>
        <v>2000000M0066</v>
      </c>
      <c r="D354" t="str">
        <f>LEFT(modif0[[#This Row],[cdstr]],3)</f>
        <v>200</v>
      </c>
      <c r="E354" s="10" t="str">
        <f>objet!G411</f>
        <v>MOUSTEY</v>
      </c>
      <c r="F354">
        <f>LEN(modif0[[#This Row],[l_dt]])</f>
        <v>12</v>
      </c>
      <c r="G354" s="10" t="str">
        <f>objet!H411</f>
        <v>Lesbarreyres</v>
      </c>
      <c r="H354" s="10" t="str">
        <f>objet!C411</f>
        <v>M66a</v>
      </c>
      <c r="I354" t="str">
        <f>IF(ISNUMBER(VALUE(RIGHT(LEFT(modif0[[#This Row],[idntfn]],2),1))),_xlfn.CONCAT(0,LEFT(modif0[[#This Row],[idntfn]],1)),LEFT(modif0[[#This Row],[idntfn]],2))</f>
        <v>0M</v>
      </c>
      <c r="J354">
        <f>VALUE(LEFT(RIGHT(modif0[[#This Row],[idntfn]],LEN(modif0[[#This Row],[idntfn]])-IF(LEFT(modif0[[#This Row],[sctn]],1)="0",1,2)),LEN(modif0[[#This Row],[idntfn]])-IF(LEFT(modif0[[#This Row],[sctn]],1)="0",1,2)-LEN(modif0[[#This Row],[lttr]])))</f>
        <v>66</v>
      </c>
      <c r="K354" t="str">
        <f>IF(ISNUMBER(VALUE(RIGHT(modif0[[#This Row],[idntfn]],1))),"",IF(ISNUMBER(VALUE(LEFT(RIGHT(modif0[[#This Row],[idntfn]],2),1))),RIGHT(modif0[[#This Row],[idntfn]],1),RIGHT(modif0[[#This Row],[idntfn]],2)))</f>
        <v>a</v>
      </c>
      <c r="L354" s="10">
        <f>objet!I411</f>
        <v>5728</v>
      </c>
      <c r="M354" s="11">
        <f>modif0[[#This Row],[srfc]]/10000</f>
        <v>0.57279999999999998</v>
      </c>
      <c r="N354" s="10" t="str">
        <f>objet!Z411</f>
        <v>PM</v>
      </c>
      <c r="O354" s="10" t="str">
        <f>objet!AA411</f>
        <v>PLA2008</v>
      </c>
      <c r="P354" t="str">
        <f>IF(ISNUMBER(modif0[[#This Row],[trvx]]),"",LEFT(modif0[[#This Row],[trvx]],LEN(modif0[[#This Row],[trvx]])-4))</f>
        <v>PLA</v>
      </c>
      <c r="Q354">
        <f>VALUE(RIGHT(modif0[[#This Row],[trvx]],4))</f>
        <v>2008</v>
      </c>
      <c r="R354" t="str">
        <f>_xlfn.CONCAT(modif0[[#This Row],[tp]],"-",modif0[[#This Row],[essnc]],"_",modif0[[#This Row],[anns]])</f>
        <v>PLA-PM_2008</v>
      </c>
      <c r="S354" t="b">
        <f>modif0[[#This Row],[tp]]="CR"</f>
        <v>0</v>
      </c>
      <c r="T354">
        <v>40</v>
      </c>
      <c r="U354" t="str">
        <f>IF(NOT($A354),"",
IF(AO354=-2,regle!$J$11,
IF(AO354=regle!$B$12,regle!$B$11,
IF(AO354=regle!$C$12,regle!$C$11,
IF(AO354=regle!$D$12,regle!$D$11,
IF(AO354=regle!$E$12,regle!$E$11,
IF(AO354=regle!$F$12,regle!$F$11,
IF(AO354=regle!$G$12,regle!$G$11,
IF(AO354=regle!$H$12,regle!$H$11,
IF(AO354=regle!$I$12,regle!$I$11,""))))))))))</f>
        <v/>
      </c>
      <c r="V354" t="str">
        <f>IF(NOT($A354),"",
IF(AP354=-2,regle!$J$11,
IF(AP354=regle!$B$12,regle!$B$11,
IF(AP354=regle!$C$12,regle!$C$11,
IF(AP354=regle!$D$12,regle!$D$11,
IF(AP354=regle!$E$12,regle!$E$11,
IF(AP354=regle!$F$12,regle!$F$11,
IF(AP354=regle!$G$12,regle!$G$11,
IF(AP354=regle!$H$12,regle!$H$11,
IF(AP354=regle!$I$12,regle!$I$11,""))))))))))</f>
        <v/>
      </c>
      <c r="W354" t="str">
        <f>IF(NOT($A354),"",
IF(AQ354=-2,regle!$J$11,
IF(AQ354=regle!$B$12,regle!$B$11,
IF(AQ354=regle!$C$12,regle!$C$11,
IF(AQ354=regle!$D$12,regle!$D$11,
IF(AQ354=regle!$E$12,regle!$E$11,
IF(AQ354=regle!$F$12,regle!$F$11,
IF(AQ354=regle!$G$12,regle!$G$11,
IF(AQ354=regle!$H$12,regle!$H$11,
IF(AQ354=regle!$I$12,regle!$I$11,""))))))))))</f>
        <v>EC2</v>
      </c>
      <c r="X354" t="str">
        <f>IF(NOT($A354),"",
IF(AR354=-2,regle!$J$11,
IF(AR354=regle!$B$12,regle!$B$11,
IF(AR354=regle!$C$12,regle!$C$11,
IF(AR354=regle!$D$12,regle!$D$11,
IF(AR354=regle!$E$12,regle!$E$11,
IF(AR354=regle!$F$12,regle!$F$11,
IF(AR354=regle!$G$12,regle!$G$11,
IF(AR354=regle!$H$12,regle!$H$11,
IF(AR354=regle!$I$12,regle!$I$11,""))))))))))</f>
        <v/>
      </c>
      <c r="Y354" t="str">
        <f>IF(NOT($A354),"",
IF(AS354=-2,regle!$J$11,
IF(AS354=regle!$B$12,regle!$B$11,
IF(AS354=regle!$C$12,regle!$C$11,
IF(AS354=regle!$D$12,regle!$D$11,
IF(AS354=regle!$E$12,regle!$E$11,
IF(AS354=regle!$F$12,regle!$F$11,
IF(AS354=regle!$G$12,regle!$G$11,
IF(AS354=regle!$H$12,regle!$H$11,
IF(AS354=regle!$I$12,regle!$I$11,""))))))))))</f>
        <v/>
      </c>
      <c r="Z354" t="str">
        <f>IF(NOT($A354),"",
IF(AT354=-2,regle!$J$11,
IF(AT354=regle!$B$12,regle!$B$11,
IF(AT354=regle!$C$12,regle!$C$11,
IF(AT354=regle!$D$12,regle!$D$11,
IF(AT354=regle!$E$12,regle!$E$11,
IF(AT354=regle!$F$12,regle!$F$11,
IF(AT354=regle!$G$12,regle!$G$11,
IF(AT354=regle!$H$12,regle!$H$11,
IF(AT354=regle!$I$12,regle!$I$11,""))))))))))</f>
        <v/>
      </c>
      <c r="AA354" t="str">
        <f>IF(NOT($A354),"",
IF(AU354=-2,regle!$J$11,
IF(AU354=regle!$B$12,regle!$B$11,
IF(AU354=regle!$C$12,regle!$C$11,
IF(AU354=regle!$D$12,regle!$D$11,
IF(AU354=regle!$E$12,regle!$E$11,
IF(AU354=regle!$F$12,regle!$F$11,
IF(AU354=regle!$G$12,regle!$G$11,
IF(AU354=regle!$H$12,regle!$H$11,
IF(AU354=regle!$I$12,regle!$I$11,""))))))))))</f>
        <v/>
      </c>
      <c r="AB354" t="str">
        <f>IF(NOT($A354),"",
IF(AV354=-2,regle!$J$11,
IF(AV354=regle!$B$12,regle!$B$11,
IF(AV354=regle!$C$12,regle!$C$11,
IF(AV354=regle!$D$12,regle!$D$11,
IF(AV354=regle!$E$12,regle!$E$11,
IF(AV354=regle!$F$12,regle!$F$11,
IF(AV354=regle!$G$12,regle!$G$11,
IF(AV354=regle!$H$12,regle!$H$11,
IF(AV354=regle!$I$12,regle!$I$11,""))))))))))</f>
        <v>EC3</v>
      </c>
      <c r="AC354" t="str">
        <f>IF(NOT($A354),"",
IF(AW354=-2,regle!$J$11,
IF(AW354=regle!$B$12,regle!$B$11,
IF(AW354=regle!$C$12,regle!$C$11,
IF(AW354=regle!$D$12,regle!$D$11,
IF(AW354=regle!$E$12,regle!$E$11,
IF(AW354=regle!$F$12,regle!$F$11,
IF(AW354=regle!$G$12,regle!$G$11,
IF(AW354=regle!$H$12,regle!$H$11,
IF(AW354=regle!$I$12,regle!$I$11,""))))))))))</f>
        <v/>
      </c>
      <c r="AD354" t="str">
        <f>IF(NOT($A354),"",
IF(AX354=-2,regle!$J$11,
IF(AX354=regle!$B$12,regle!$B$11,
IF(AX354=regle!$C$12,regle!$C$11,
IF(AX354=regle!$D$12,regle!$D$11,
IF(AX354=regle!$E$12,regle!$E$11,
IF(AX354=regle!$F$12,regle!$F$11,
IF(AX354=regle!$G$12,regle!$G$11,
IF(AX354=regle!$H$12,regle!$H$11,
IF(AX354=regle!$I$12,regle!$I$11,""))))))))))</f>
        <v/>
      </c>
      <c r="AE354" s="14">
        <f>IF($A354,$M354*(IF(U354=regle!$B$11,regle!$B$23,IF(U354=regle!$C$11,regle!$C$23,IF(U354=regle!$D$11,regle!$D$23,IF(U354=regle!$E$11,regle!$E$23,IF(U354=regle!$F$11,regle!$F$23,IF(U354=regle!$G$11,regle!$G$23,IF(U354=regle!$H$11,regle!$H$23,IF(U354=regle!$I$11,regle!$I$23,IF(U354=regle!$J$11,regle!$J$23,0)))))))))))</f>
        <v>0</v>
      </c>
      <c r="AF354" s="14">
        <f>IF($A354,$M354*(IF(V354=regle!$B$11,regle!$B$23,IF(V354=regle!$C$11,regle!$C$23,IF(V354=regle!$D$11,regle!$D$23,IF(V354=regle!$E$11,regle!$E$23,IF(V354=regle!$F$11,regle!$F$23,IF(V354=regle!$G$11,regle!$G$23,IF(V354=regle!$H$11,regle!$H$23,IF(V354=regle!$I$11,regle!$I$23,IF(V354=regle!$J$11,regle!$J$23,0)))))))))))</f>
        <v>0</v>
      </c>
      <c r="AG354" s="14">
        <f>IF($A354,$M354*(IF(W354=regle!$B$11,regle!$B$23,IF(W354=regle!$C$11,regle!$C$23,IF(W354=regle!$D$11,regle!$D$23,IF(W354=regle!$E$11,regle!$E$23,IF(W354=regle!$F$11,regle!$F$23,IF(W354=regle!$G$11,regle!$G$23,IF(W354=regle!$H$11,regle!$H$23,IF(W354=regle!$I$11,regle!$I$23,IF(W354=regle!$J$11,regle!$J$23,0)))))))))))</f>
        <v>481.15199999999999</v>
      </c>
      <c r="AH354" s="14">
        <f>IF($A354,$M354*(IF(X354=regle!$B$11,regle!$B$23,IF(X354=regle!$C$11,regle!$C$23,IF(X354=regle!$D$11,regle!$D$23,IF(X354=regle!$E$11,regle!$E$23,IF(X354=regle!$F$11,regle!$F$23,IF(X354=regle!$G$11,regle!$G$23,IF(X354=regle!$H$11,regle!$H$23,IF(X354=regle!$I$11,regle!$I$23,IF(X354=regle!$J$11,regle!$J$23,0)))))))))))</f>
        <v>0</v>
      </c>
      <c r="AI354" s="14">
        <f>IF($A354,$M354*(IF(Y354=regle!$B$11,regle!$B$23,IF(Y354=regle!$C$11,regle!$C$23,IF(Y354=regle!$D$11,regle!$D$23,IF(Y354=regle!$E$11,regle!$E$23,IF(Y354=regle!$F$11,regle!$F$23,IF(Y354=regle!$G$11,regle!$G$23,IF(Y354=regle!$H$11,regle!$H$23,IF(Y354=regle!$I$11,regle!$I$23,IF(Y354=regle!$J$11,regle!$J$23,0)))))))))))</f>
        <v>0</v>
      </c>
      <c r="AJ354" s="14">
        <f>IF($A354,$M354*(IF(Z354=regle!$B$11,regle!$B$23,IF(Z354=regle!$C$11,regle!$C$23,IF(Z354=regle!$D$11,regle!$D$23,IF(Z354=regle!$E$11,regle!$E$23,IF(Z354=regle!$F$11,regle!$F$23,IF(Z354=regle!$G$11,regle!$G$23,IF(Z354=regle!$H$11,regle!$H$23,IF(Z354=regle!$I$11,regle!$I$23,IF(Z354=regle!$J$11,regle!$J$23,0)))))))))))</f>
        <v>0</v>
      </c>
      <c r="AK354" s="14">
        <f>IF($A354,$M354*(IF(AA354=regle!$B$11,regle!$B$23,IF(AA354=regle!$C$11,regle!$C$23,IF(AA354=regle!$D$11,regle!$D$23,IF(AA354=regle!$E$11,regle!$E$23,IF(AA354=regle!$F$11,regle!$F$23,IF(AA354=regle!$G$11,regle!$G$23,IF(AA354=regle!$H$11,regle!$H$23,IF(AA354=regle!$I$11,regle!$I$23,IF(AA354=regle!$J$11,regle!$J$23,0)))))))))))</f>
        <v>0</v>
      </c>
      <c r="AL354" s="14">
        <f>IF($A354,$M354*(IF(AB354=regle!$B$11,regle!$B$23,IF(AB354=regle!$C$11,regle!$C$23,IF(AB354=regle!$D$11,regle!$D$23,IF(AB354=regle!$E$11,regle!$E$23,IF(AB354=regle!$F$11,regle!$F$23,IF(AB354=regle!$G$11,regle!$G$23,IF(AB354=regle!$H$11,regle!$H$23,IF(AB354=regle!$I$11,regle!$I$23,IF(AB354=regle!$J$11,regle!$J$23,0)))))))))))</f>
        <v>806.50239999999997</v>
      </c>
      <c r="AM354" s="14">
        <f>IF($A354,$M354*(IF(AC354=regle!$B$11,regle!$B$23,IF(AC354=regle!$C$11,regle!$C$23,IF(AC354=regle!$D$11,regle!$D$23,IF(AC354=regle!$E$11,regle!$E$23,IF(AC354=regle!$F$11,regle!$F$23,IF(AC354=regle!$G$11,regle!$G$23,IF(AC354=regle!$H$11,regle!$H$23,IF(AC354=regle!$I$11,regle!$I$23,IF(AC354=regle!$J$11,regle!$J$23,0)))))))))))</f>
        <v>0</v>
      </c>
      <c r="AN354" s="14">
        <f>IF($A354,$M354*(IF(AD354=regle!$B$11,regle!$B$23,IF(AD354=regle!$C$11,regle!$C$23,IF(AD354=regle!$D$11,regle!$D$23,IF(AD354=regle!$E$11,regle!$E$23,IF(AD354=regle!$F$11,regle!$F$23,IF(AD354=regle!$G$11,regle!$G$23,IF(AD354=regle!$H$11,regle!$H$23,IF(AD354=regle!$I$11,regle!$I$23,IF(AD354=regle!$J$11,regle!$J$23,0)))))))))))</f>
        <v>0</v>
      </c>
      <c r="AO354">
        <f>IF(AO$1=$AO$1,IF(regle!B$2-$Q354&gt;=regle!$J$12,-2,IF($S354,IF(regle!$B$2-$Q354&gt;=2,0,-1),regle!B$2-$Q354)),IF(AN354+1&gt;=regle!$J$12,-2,AN354+1))</f>
        <v>16</v>
      </c>
      <c r="AP354">
        <f>IF(AP$1=$AO$1,IF(regle!C$2-$Q354&gt;=regle!$J$12,-2,IF($S354,IF(regle!$B$2-$Q354&gt;=2,0,-1),regle!C$2-$Q354)),IF(AO354+1&gt;=regle!$J$12,-2,AO354+1))</f>
        <v>17</v>
      </c>
      <c r="AQ354">
        <f>IF(AQ$1=$AO$1,IF(regle!D$2-$Q354&gt;=regle!$J$12,-2,IF($S354,IF(regle!$B$2-$Q354&gt;=2,0,-1),regle!D$2-$Q354)),IF(AP354+1&gt;=regle!$J$12,-2,AP354+1))</f>
        <v>18</v>
      </c>
      <c r="AR354">
        <f>IF(AR$1=$AO$1,IF(regle!E$2-$Q354&gt;=regle!$J$12,-2,IF($S354,IF(regle!$B$2-$Q354&gt;=2,0,-1),regle!E$2-$Q354)),IF(AQ354+1&gt;=regle!$J$12,-2,AQ354+1))</f>
        <v>19</v>
      </c>
      <c r="AS354">
        <f>IF(AS$1=$AO$1,IF(regle!F$2-$Q354&gt;=regle!$J$12,-2,IF($S354,IF(regle!$B$2-$Q354&gt;=2,0,-1),regle!F$2-$Q354)),IF(AR354+1&gt;=regle!$J$12,-2,AR354+1))</f>
        <v>20</v>
      </c>
      <c r="AT354">
        <f>IF(AT$1=$AO$1,IF(regle!G$2-$Q354&gt;=regle!$J$12,-2,IF($S354,IF(regle!$B$2-$Q354&gt;=2,0,-1),regle!G$2-$Q354)),IF(AS354+1&gt;=regle!$J$12,-2,AS354+1))</f>
        <v>21</v>
      </c>
      <c r="AU354">
        <f>IF(AU$1=$AO$1,IF(regle!H$2-$Q354&gt;=regle!$J$12,-2,IF($S354,IF(regle!$B$2-$Q354&gt;=2,0,-1),regle!H$2-$Q354)),IF(AT354+1&gt;=regle!$J$12,-2,AT354+1))</f>
        <v>22</v>
      </c>
      <c r="AV354">
        <f>IF(AV$1=$AO$1,IF(regle!I$2-$Q354&gt;=regle!$J$12,-2,IF($S354,IF(regle!$B$2-$Q354&gt;=2,0,-1),regle!I$2-$Q354)),IF(AU354+1&gt;=regle!$J$12,-2,AU354+1))</f>
        <v>23</v>
      </c>
      <c r="AW354">
        <f>IF(AW$1=$AO$1,IF(regle!J$2-$Q354&gt;=regle!$J$12,-2,IF($S354,IF(regle!$B$2-$Q354&gt;=2,0,-1),regle!J$2-$Q354)),IF(AV354+1&gt;=regle!$J$12,-2,AV354+1))</f>
        <v>24</v>
      </c>
      <c r="AX354">
        <f>IF(AX$1=$AO$1,IF(regle!K$2-$Q354&gt;=regle!$J$12,-2,IF($S354,IF(regle!$B$2-$Q354&gt;=2,0,-1),regle!K$2-$Q354)),IF(AW354+1&gt;=regle!$J$12,-2,AW354+1))</f>
        <v>25</v>
      </c>
    </row>
    <row r="355" spans="1:50" x14ac:dyDescent="0.25">
      <c r="A355" t="b">
        <f>AND(modif0[[#This Row],[cdstr]]&lt;&gt;0,OR(regle!$H$27=FALSE,modif0[[#This Row],[essnc]]="PM"))</f>
        <v>1</v>
      </c>
      <c r="B355">
        <f>ROW(objet!A412)</f>
        <v>412</v>
      </c>
      <c r="C355" s="10" t="str">
        <f>objet!D412</f>
        <v>2000000M0066</v>
      </c>
      <c r="D355" t="str">
        <f>LEFT(modif0[[#This Row],[cdstr]],3)</f>
        <v>200</v>
      </c>
      <c r="E355" s="10" t="str">
        <f>objet!G412</f>
        <v>MOUSTEY</v>
      </c>
      <c r="F355">
        <f>LEN(modif0[[#This Row],[l_dt]])</f>
        <v>12</v>
      </c>
      <c r="G355" s="10" t="str">
        <f>objet!H412</f>
        <v>Lesbarreyres</v>
      </c>
      <c r="H355" s="10" t="str">
        <f>objet!C412</f>
        <v>M66b</v>
      </c>
      <c r="I355" t="str">
        <f>IF(ISNUMBER(VALUE(RIGHT(LEFT(modif0[[#This Row],[idntfn]],2),1))),_xlfn.CONCAT(0,LEFT(modif0[[#This Row],[idntfn]],1)),LEFT(modif0[[#This Row],[idntfn]],2))</f>
        <v>0M</v>
      </c>
      <c r="J355">
        <f>VALUE(LEFT(RIGHT(modif0[[#This Row],[idntfn]],LEN(modif0[[#This Row],[idntfn]])-IF(LEFT(modif0[[#This Row],[sctn]],1)="0",1,2)),LEN(modif0[[#This Row],[idntfn]])-IF(LEFT(modif0[[#This Row],[sctn]],1)="0",1,2)-LEN(modif0[[#This Row],[lttr]])))</f>
        <v>66</v>
      </c>
      <c r="K355" t="str">
        <f>IF(ISNUMBER(VALUE(RIGHT(modif0[[#This Row],[idntfn]],1))),"",IF(ISNUMBER(VALUE(LEFT(RIGHT(modif0[[#This Row],[idntfn]],2),1))),RIGHT(modif0[[#This Row],[idntfn]],1),RIGHT(modif0[[#This Row],[idntfn]],2)))</f>
        <v>b</v>
      </c>
      <c r="L355" s="10">
        <f>objet!I412</f>
        <v>28188</v>
      </c>
      <c r="M355" s="11">
        <f>modif0[[#This Row],[srfc]]/10000</f>
        <v>2.8188</v>
      </c>
      <c r="N355" s="10" t="str">
        <f>objet!Z412</f>
        <v>PM</v>
      </c>
      <c r="O355" s="10" t="str">
        <f>objet!AA412</f>
        <v>PLA2014</v>
      </c>
      <c r="P355" t="str">
        <f>IF(ISNUMBER(modif0[[#This Row],[trvx]]),"",LEFT(modif0[[#This Row],[trvx]],LEN(modif0[[#This Row],[trvx]])-4))</f>
        <v>PLA</v>
      </c>
      <c r="Q355">
        <f>VALUE(RIGHT(modif0[[#This Row],[trvx]],4))</f>
        <v>2014</v>
      </c>
      <c r="R355" t="str">
        <f>_xlfn.CONCAT(modif0[[#This Row],[tp]],"-",modif0[[#This Row],[essnc]],"_",modif0[[#This Row],[anns]])</f>
        <v>PLA-PM_2014</v>
      </c>
      <c r="S355" t="b">
        <f>modif0[[#This Row],[tp]]="CR"</f>
        <v>0</v>
      </c>
      <c r="T355">
        <v>40</v>
      </c>
      <c r="U355" t="str">
        <f>IF(NOT($A355),"",
IF(AO355=-2,regle!$J$11,
IF(AO355=regle!$B$12,regle!$B$11,
IF(AO355=regle!$C$12,regle!$C$11,
IF(AO355=regle!$D$12,regle!$D$11,
IF(AO355=regle!$E$12,regle!$E$11,
IF(AO355=regle!$F$12,regle!$F$11,
IF(AO355=regle!$G$12,regle!$G$11,
IF(AO355=regle!$H$12,regle!$H$11,
IF(AO355=regle!$I$12,regle!$I$11,""))))))))))</f>
        <v/>
      </c>
      <c r="V355" t="str">
        <f>IF(NOT($A355),"",
IF(AP355=-2,regle!$J$11,
IF(AP355=regle!$B$12,regle!$B$11,
IF(AP355=regle!$C$12,regle!$C$11,
IF(AP355=regle!$D$12,regle!$D$11,
IF(AP355=regle!$E$12,regle!$E$11,
IF(AP355=regle!$F$12,regle!$F$11,
IF(AP355=regle!$G$12,regle!$G$11,
IF(AP355=regle!$H$12,regle!$H$11,
IF(AP355=regle!$I$12,regle!$I$11,""))))))))))</f>
        <v/>
      </c>
      <c r="W355" t="str">
        <f>IF(NOT($A355),"",
IF(AQ355=-2,regle!$J$11,
IF(AQ355=regle!$B$12,regle!$B$11,
IF(AQ355=regle!$C$12,regle!$C$11,
IF(AQ355=regle!$D$12,regle!$D$11,
IF(AQ355=regle!$E$12,regle!$E$11,
IF(AQ355=regle!$F$12,regle!$F$11,
IF(AQ355=regle!$G$12,regle!$G$11,
IF(AQ355=regle!$H$12,regle!$H$11,
IF(AQ355=regle!$I$12,regle!$I$11,""))))))))))</f>
        <v/>
      </c>
      <c r="X355" t="str">
        <f>IF(NOT($A355),"",
IF(AR355=-2,regle!$J$11,
IF(AR355=regle!$B$12,regle!$B$11,
IF(AR355=regle!$C$12,regle!$C$11,
IF(AR355=regle!$D$12,regle!$D$11,
IF(AR355=regle!$E$12,regle!$E$11,
IF(AR355=regle!$F$12,regle!$F$11,
IF(AR355=regle!$G$12,regle!$G$11,
IF(AR355=regle!$H$12,regle!$H$11,
IF(AR355=regle!$I$12,regle!$I$11,""))))))))))</f>
        <v>EC1</v>
      </c>
      <c r="Y355" t="str">
        <f>IF(NOT($A355),"",
IF(AS355=-2,regle!$J$11,
IF(AS355=regle!$B$12,regle!$B$11,
IF(AS355=regle!$C$12,regle!$C$11,
IF(AS355=regle!$D$12,regle!$D$11,
IF(AS355=regle!$E$12,regle!$E$11,
IF(AS355=regle!$F$12,regle!$F$11,
IF(AS355=regle!$G$12,regle!$G$11,
IF(AS355=regle!$H$12,regle!$H$11,
IF(AS355=regle!$I$12,regle!$I$11,""))))))))))</f>
        <v/>
      </c>
      <c r="Z355" t="str">
        <f>IF(NOT($A355),"",
IF(AT355=-2,regle!$J$11,
IF(AT355=regle!$B$12,regle!$B$11,
IF(AT355=regle!$C$12,regle!$C$11,
IF(AT355=regle!$D$12,regle!$D$11,
IF(AT355=regle!$E$12,regle!$E$11,
IF(AT355=regle!$F$12,regle!$F$11,
IF(AT355=regle!$G$12,regle!$G$11,
IF(AT355=regle!$H$12,regle!$H$11,
IF(AT355=regle!$I$12,regle!$I$11,""))))))))))</f>
        <v/>
      </c>
      <c r="AA355" t="str">
        <f>IF(NOT($A355),"",
IF(AU355=-2,regle!$J$11,
IF(AU355=regle!$B$12,regle!$B$11,
IF(AU355=regle!$C$12,regle!$C$11,
IF(AU355=regle!$D$12,regle!$D$11,
IF(AU355=regle!$E$12,regle!$E$11,
IF(AU355=regle!$F$12,regle!$F$11,
IF(AU355=regle!$G$12,regle!$G$11,
IF(AU355=regle!$H$12,regle!$H$11,
IF(AU355=regle!$I$12,regle!$I$11,""))))))))))</f>
        <v/>
      </c>
      <c r="AB355" t="str">
        <f>IF(NOT($A355),"",
IF(AV355=-2,regle!$J$11,
IF(AV355=regle!$B$12,regle!$B$11,
IF(AV355=regle!$C$12,regle!$C$11,
IF(AV355=regle!$D$12,regle!$D$11,
IF(AV355=regle!$E$12,regle!$E$11,
IF(AV355=regle!$F$12,regle!$F$11,
IF(AV355=regle!$G$12,regle!$G$11,
IF(AV355=regle!$H$12,regle!$H$11,
IF(AV355=regle!$I$12,regle!$I$11,""))))))))))</f>
        <v/>
      </c>
      <c r="AC355" t="str">
        <f>IF(NOT($A355),"",
IF(AW355=-2,regle!$J$11,
IF(AW355=regle!$B$12,regle!$B$11,
IF(AW355=regle!$C$12,regle!$C$11,
IF(AW355=regle!$D$12,regle!$D$11,
IF(AW355=regle!$E$12,regle!$E$11,
IF(AW355=regle!$F$12,regle!$F$11,
IF(AW355=regle!$G$12,regle!$G$11,
IF(AW355=regle!$H$12,regle!$H$11,
IF(AW355=regle!$I$12,regle!$I$11,""))))))))))</f>
        <v>EC2</v>
      </c>
      <c r="AD355" t="str">
        <f>IF(NOT($A355),"",
IF(AX355=-2,regle!$J$11,
IF(AX355=regle!$B$12,regle!$B$11,
IF(AX355=regle!$C$12,regle!$C$11,
IF(AX355=regle!$D$12,regle!$D$11,
IF(AX355=regle!$E$12,regle!$E$11,
IF(AX355=regle!$F$12,regle!$F$11,
IF(AX355=regle!$G$12,regle!$G$11,
IF(AX355=regle!$H$12,regle!$H$11,
IF(AX355=regle!$I$12,regle!$I$11,""))))))))))</f>
        <v/>
      </c>
      <c r="AE355" s="14">
        <f>IF($A355,$M355*(IF(U355=regle!$B$11,regle!$B$23,IF(U355=regle!$C$11,regle!$C$23,IF(U355=regle!$D$11,regle!$D$23,IF(U355=regle!$E$11,regle!$E$23,IF(U355=regle!$F$11,regle!$F$23,IF(U355=regle!$G$11,regle!$G$23,IF(U355=regle!$H$11,regle!$H$23,IF(U355=regle!$I$11,regle!$I$23,IF(U355=regle!$J$11,regle!$J$23,0)))))))))))</f>
        <v>0</v>
      </c>
      <c r="AF355" s="14">
        <f>IF($A355,$M355*(IF(V355=regle!$B$11,regle!$B$23,IF(V355=regle!$C$11,regle!$C$23,IF(V355=regle!$D$11,regle!$D$23,IF(V355=regle!$E$11,regle!$E$23,IF(V355=regle!$F$11,regle!$F$23,IF(V355=regle!$G$11,regle!$G$23,IF(V355=regle!$H$11,regle!$H$23,IF(V355=regle!$I$11,regle!$I$23,IF(V355=regle!$J$11,regle!$J$23,0)))))))))))</f>
        <v>0</v>
      </c>
      <c r="AG355" s="14">
        <f>IF($A355,$M355*(IF(W355=regle!$B$11,regle!$B$23,IF(W355=regle!$C$11,regle!$C$23,IF(W355=regle!$D$11,regle!$D$23,IF(W355=regle!$E$11,regle!$E$23,IF(W355=regle!$F$11,regle!$F$23,IF(W355=regle!$G$11,regle!$G$23,IF(W355=regle!$H$11,regle!$H$23,IF(W355=regle!$I$11,regle!$I$23,IF(W355=regle!$J$11,regle!$J$23,0)))))))))))</f>
        <v>0</v>
      </c>
      <c r="AH355" s="14">
        <f>IF($A355,$M355*(IF(X355=regle!$B$11,regle!$B$23,IF(X355=regle!$C$11,regle!$C$23,IF(X355=regle!$D$11,regle!$D$23,IF(X355=regle!$E$11,regle!$E$23,IF(X355=regle!$F$11,regle!$F$23,IF(X355=regle!$G$11,regle!$G$23,IF(X355=regle!$H$11,regle!$H$23,IF(X355=regle!$I$11,regle!$I$23,IF(X355=regle!$J$11,regle!$J$23,0)))))))))))</f>
        <v>1623.6288</v>
      </c>
      <c r="AI355" s="14">
        <f>IF($A355,$M355*(IF(Y355=regle!$B$11,regle!$B$23,IF(Y355=regle!$C$11,regle!$C$23,IF(Y355=regle!$D$11,regle!$D$23,IF(Y355=regle!$E$11,regle!$E$23,IF(Y355=regle!$F$11,regle!$F$23,IF(Y355=regle!$G$11,regle!$G$23,IF(Y355=regle!$H$11,regle!$H$23,IF(Y355=regle!$I$11,regle!$I$23,IF(Y355=regle!$J$11,regle!$J$23,0)))))))))))</f>
        <v>0</v>
      </c>
      <c r="AJ355" s="14">
        <f>IF($A355,$M355*(IF(Z355=regle!$B$11,regle!$B$23,IF(Z355=regle!$C$11,regle!$C$23,IF(Z355=regle!$D$11,regle!$D$23,IF(Z355=regle!$E$11,regle!$E$23,IF(Z355=regle!$F$11,regle!$F$23,IF(Z355=regle!$G$11,regle!$G$23,IF(Z355=regle!$H$11,regle!$H$23,IF(Z355=regle!$I$11,regle!$I$23,IF(Z355=regle!$J$11,regle!$J$23,0)))))))))))</f>
        <v>0</v>
      </c>
      <c r="AK355" s="14">
        <f>IF($A355,$M355*(IF(AA355=regle!$B$11,regle!$B$23,IF(AA355=regle!$C$11,regle!$C$23,IF(AA355=regle!$D$11,regle!$D$23,IF(AA355=regle!$E$11,regle!$E$23,IF(AA355=regle!$F$11,regle!$F$23,IF(AA355=regle!$G$11,regle!$G$23,IF(AA355=regle!$H$11,regle!$H$23,IF(AA355=regle!$I$11,regle!$I$23,IF(AA355=regle!$J$11,regle!$J$23,0)))))))))))</f>
        <v>0</v>
      </c>
      <c r="AL355" s="14">
        <f>IF($A355,$M355*(IF(AB355=regle!$B$11,regle!$B$23,IF(AB355=regle!$C$11,regle!$C$23,IF(AB355=regle!$D$11,regle!$D$23,IF(AB355=regle!$E$11,regle!$E$23,IF(AB355=regle!$F$11,regle!$F$23,IF(AB355=regle!$G$11,regle!$G$23,IF(AB355=regle!$H$11,regle!$H$23,IF(AB355=regle!$I$11,regle!$I$23,IF(AB355=regle!$J$11,regle!$J$23,0)))))))))))</f>
        <v>0</v>
      </c>
      <c r="AM355" s="14">
        <f>IF($A355,$M355*(IF(AC355=regle!$B$11,regle!$B$23,IF(AC355=regle!$C$11,regle!$C$23,IF(AC355=regle!$D$11,regle!$D$23,IF(AC355=regle!$E$11,regle!$E$23,IF(AC355=regle!$F$11,regle!$F$23,IF(AC355=regle!$G$11,regle!$G$23,IF(AC355=regle!$H$11,regle!$H$23,IF(AC355=regle!$I$11,regle!$I$23,IF(AC355=regle!$J$11,regle!$J$23,0)))))))))))</f>
        <v>2367.7919999999999</v>
      </c>
      <c r="AN355" s="14">
        <f>IF($A355,$M355*(IF(AD355=regle!$B$11,regle!$B$23,IF(AD355=regle!$C$11,regle!$C$23,IF(AD355=regle!$D$11,regle!$D$23,IF(AD355=regle!$E$11,regle!$E$23,IF(AD355=regle!$F$11,regle!$F$23,IF(AD355=regle!$G$11,regle!$G$23,IF(AD355=regle!$H$11,regle!$H$23,IF(AD355=regle!$I$11,regle!$I$23,IF(AD355=regle!$J$11,regle!$J$23,0)))))))))))</f>
        <v>0</v>
      </c>
      <c r="AO355">
        <f>IF(AO$1=$AO$1,IF(regle!B$2-$Q355&gt;=regle!$J$12,-2,IF($S355,IF(regle!$B$2-$Q355&gt;=2,0,-1),regle!B$2-$Q355)),IF(AN355+1&gt;=regle!$J$12,-2,AN355+1))</f>
        <v>10</v>
      </c>
      <c r="AP355">
        <f>IF(AP$1=$AO$1,IF(regle!C$2-$Q355&gt;=regle!$J$12,-2,IF($S355,IF(regle!$B$2-$Q355&gt;=2,0,-1),regle!C$2-$Q355)),IF(AO355+1&gt;=regle!$J$12,-2,AO355+1))</f>
        <v>11</v>
      </c>
      <c r="AQ355">
        <f>IF(AQ$1=$AO$1,IF(regle!D$2-$Q355&gt;=regle!$J$12,-2,IF($S355,IF(regle!$B$2-$Q355&gt;=2,0,-1),regle!D$2-$Q355)),IF(AP355+1&gt;=regle!$J$12,-2,AP355+1))</f>
        <v>12</v>
      </c>
      <c r="AR355">
        <f>IF(AR$1=$AO$1,IF(regle!E$2-$Q355&gt;=regle!$J$12,-2,IF($S355,IF(regle!$B$2-$Q355&gt;=2,0,-1),regle!E$2-$Q355)),IF(AQ355+1&gt;=regle!$J$12,-2,AQ355+1))</f>
        <v>13</v>
      </c>
      <c r="AS355">
        <f>IF(AS$1=$AO$1,IF(regle!F$2-$Q355&gt;=regle!$J$12,-2,IF($S355,IF(regle!$B$2-$Q355&gt;=2,0,-1),regle!F$2-$Q355)),IF(AR355+1&gt;=regle!$J$12,-2,AR355+1))</f>
        <v>14</v>
      </c>
      <c r="AT355">
        <f>IF(AT$1=$AO$1,IF(regle!G$2-$Q355&gt;=regle!$J$12,-2,IF($S355,IF(regle!$B$2-$Q355&gt;=2,0,-1),regle!G$2-$Q355)),IF(AS355+1&gt;=regle!$J$12,-2,AS355+1))</f>
        <v>15</v>
      </c>
      <c r="AU355">
        <f>IF(AU$1=$AO$1,IF(regle!H$2-$Q355&gt;=regle!$J$12,-2,IF($S355,IF(regle!$B$2-$Q355&gt;=2,0,-1),regle!H$2-$Q355)),IF(AT355+1&gt;=regle!$J$12,-2,AT355+1))</f>
        <v>16</v>
      </c>
      <c r="AV355">
        <f>IF(AV$1=$AO$1,IF(regle!I$2-$Q355&gt;=regle!$J$12,-2,IF($S355,IF(regle!$B$2-$Q355&gt;=2,0,-1),regle!I$2-$Q355)),IF(AU355+1&gt;=regle!$J$12,-2,AU355+1))</f>
        <v>17</v>
      </c>
      <c r="AW355">
        <f>IF(AW$1=$AO$1,IF(regle!J$2-$Q355&gt;=regle!$J$12,-2,IF($S355,IF(regle!$B$2-$Q355&gt;=2,0,-1),regle!J$2-$Q355)),IF(AV355+1&gt;=regle!$J$12,-2,AV355+1))</f>
        <v>18</v>
      </c>
      <c r="AX355">
        <f>IF(AX$1=$AO$1,IF(regle!K$2-$Q355&gt;=regle!$J$12,-2,IF($S355,IF(regle!$B$2-$Q355&gt;=2,0,-1),regle!K$2-$Q355)),IF(AW355+1&gt;=regle!$J$12,-2,AW355+1))</f>
        <v>19</v>
      </c>
    </row>
    <row r="356" spans="1:50" x14ac:dyDescent="0.25">
      <c r="A356" t="b">
        <f>AND(modif0[[#This Row],[cdstr]]&lt;&gt;0,OR(regle!$H$27=FALSE,modif0[[#This Row],[essnc]]="PM"))</f>
        <v>1</v>
      </c>
      <c r="B356">
        <f>ROW(objet!A413)</f>
        <v>413</v>
      </c>
      <c r="C356" s="10" t="str">
        <f>objet!D413</f>
        <v>2000000M0071</v>
      </c>
      <c r="D356" t="str">
        <f>LEFT(modif0[[#This Row],[cdstr]],3)</f>
        <v>200</v>
      </c>
      <c r="E356" s="10" t="str">
        <f>objet!G413</f>
        <v>MOUSTEY</v>
      </c>
      <c r="F356">
        <f>LEN(modif0[[#This Row],[l_dt]])</f>
        <v>4</v>
      </c>
      <c r="G356" s="10" t="str">
        <f>objet!H413</f>
        <v>Kycs</v>
      </c>
      <c r="H356" s="10" t="str">
        <f>objet!C413</f>
        <v>M71jk</v>
      </c>
      <c r="I356" t="str">
        <f>IF(ISNUMBER(VALUE(RIGHT(LEFT(modif0[[#This Row],[idntfn]],2),1))),_xlfn.CONCAT(0,LEFT(modif0[[#This Row],[idntfn]],1)),LEFT(modif0[[#This Row],[idntfn]],2))</f>
        <v>0M</v>
      </c>
      <c r="J356">
        <f>VALUE(LEFT(RIGHT(modif0[[#This Row],[idntfn]],LEN(modif0[[#This Row],[idntfn]])-IF(LEFT(modif0[[#This Row],[sctn]],1)="0",1,2)),LEN(modif0[[#This Row],[idntfn]])-IF(LEFT(modif0[[#This Row],[sctn]],1)="0",1,2)-LEN(modif0[[#This Row],[lttr]])))</f>
        <v>71</v>
      </c>
      <c r="K356" t="str">
        <f>IF(ISNUMBER(VALUE(RIGHT(modif0[[#This Row],[idntfn]],1))),"",IF(ISNUMBER(VALUE(LEFT(RIGHT(modif0[[#This Row],[idntfn]],2),1))),RIGHT(modif0[[#This Row],[idntfn]],1),RIGHT(modif0[[#This Row],[idntfn]],2)))</f>
        <v>jk</v>
      </c>
      <c r="L356" s="10">
        <f>objet!I413</f>
        <v>19626</v>
      </c>
      <c r="M356" s="11">
        <f>modif0[[#This Row],[srfc]]/10000</f>
        <v>1.9625999999999999</v>
      </c>
      <c r="N356" s="10" t="str">
        <f>objet!Z413</f>
        <v>PM</v>
      </c>
      <c r="O356" s="10" t="str">
        <f>objet!AA413</f>
        <v>PLA2017</v>
      </c>
      <c r="P356" t="str">
        <f>IF(ISNUMBER(modif0[[#This Row],[trvx]]),"",LEFT(modif0[[#This Row],[trvx]],LEN(modif0[[#This Row],[trvx]])-4))</f>
        <v>PLA</v>
      </c>
      <c r="Q356">
        <f>VALUE(RIGHT(modif0[[#This Row],[trvx]],4))</f>
        <v>2017</v>
      </c>
      <c r="R356" t="str">
        <f>_xlfn.CONCAT(modif0[[#This Row],[tp]],"-",modif0[[#This Row],[essnc]],"_",modif0[[#This Row],[anns]])</f>
        <v>PLA-PM_2017</v>
      </c>
      <c r="S356" t="b">
        <f>modif0[[#This Row],[tp]]="CR"</f>
        <v>0</v>
      </c>
      <c r="T356">
        <v>40</v>
      </c>
      <c r="U356" t="str">
        <f>IF(NOT($A356),"",
IF(AO356=-2,regle!$J$11,
IF(AO356=regle!$B$12,regle!$B$11,
IF(AO356=regle!$C$12,regle!$C$11,
IF(AO356=regle!$D$12,regle!$D$11,
IF(AO356=regle!$E$12,regle!$E$11,
IF(AO356=regle!$F$12,regle!$F$11,
IF(AO356=regle!$G$12,regle!$G$11,
IF(AO356=regle!$H$12,regle!$H$11,
IF(AO356=regle!$I$12,regle!$I$11,""))))))))))</f>
        <v/>
      </c>
      <c r="V356" t="str">
        <f>IF(NOT($A356),"",
IF(AP356=-2,regle!$J$11,
IF(AP356=regle!$B$12,regle!$B$11,
IF(AP356=regle!$C$12,regle!$C$11,
IF(AP356=regle!$D$12,regle!$D$11,
IF(AP356=regle!$E$12,regle!$E$11,
IF(AP356=regle!$F$12,regle!$F$11,
IF(AP356=regle!$G$12,regle!$G$11,
IF(AP356=regle!$H$12,regle!$H$11,
IF(AP356=regle!$I$12,regle!$I$11,""))))))))))</f>
        <v>ENT2</v>
      </c>
      <c r="W356" t="str">
        <f>IF(NOT($A356),"",
IF(AQ356=-2,regle!$J$11,
IF(AQ356=regle!$B$12,regle!$B$11,
IF(AQ356=regle!$C$12,regle!$C$11,
IF(AQ356=regle!$D$12,regle!$D$11,
IF(AQ356=regle!$E$12,regle!$E$11,
IF(AQ356=regle!$F$12,regle!$F$11,
IF(AQ356=regle!$G$12,regle!$G$11,
IF(AQ356=regle!$H$12,regle!$H$11,
IF(AQ356=regle!$I$12,regle!$I$11,""))))))))))</f>
        <v/>
      </c>
      <c r="X356" t="str">
        <f>IF(NOT($A356),"",
IF(AR356=-2,regle!$J$11,
IF(AR356=regle!$B$12,regle!$B$11,
IF(AR356=regle!$C$12,regle!$C$11,
IF(AR356=regle!$D$12,regle!$D$11,
IF(AR356=regle!$E$12,regle!$E$11,
IF(AR356=regle!$F$12,regle!$F$11,
IF(AR356=regle!$G$12,regle!$G$11,
IF(AR356=regle!$H$12,regle!$H$11,
IF(AR356=regle!$I$12,regle!$I$11,""))))))))))</f>
        <v/>
      </c>
      <c r="Y356" t="str">
        <f>IF(NOT($A356),"",
IF(AS356=-2,regle!$J$11,
IF(AS356=regle!$B$12,regle!$B$11,
IF(AS356=regle!$C$12,regle!$C$11,
IF(AS356=regle!$D$12,regle!$D$11,
IF(AS356=regle!$E$12,regle!$E$11,
IF(AS356=regle!$F$12,regle!$F$11,
IF(AS356=regle!$G$12,regle!$G$11,
IF(AS356=regle!$H$12,regle!$H$11,
IF(AS356=regle!$I$12,regle!$I$11,""))))))))))</f>
        <v/>
      </c>
      <c r="Z356" t="str">
        <f>IF(NOT($A356),"",
IF(AT356=-2,regle!$J$11,
IF(AT356=regle!$B$12,regle!$B$11,
IF(AT356=regle!$C$12,regle!$C$11,
IF(AT356=regle!$D$12,regle!$D$11,
IF(AT356=regle!$E$12,regle!$E$11,
IF(AT356=regle!$F$12,regle!$F$11,
IF(AT356=regle!$G$12,regle!$G$11,
IF(AT356=regle!$H$12,regle!$H$11,
IF(AT356=regle!$I$12,regle!$I$11,""))))))))))</f>
        <v/>
      </c>
      <c r="AA356" t="str">
        <f>IF(NOT($A356),"",
IF(AU356=-2,regle!$J$11,
IF(AU356=regle!$B$12,regle!$B$11,
IF(AU356=regle!$C$12,regle!$C$11,
IF(AU356=regle!$D$12,regle!$D$11,
IF(AU356=regle!$E$12,regle!$E$11,
IF(AU356=regle!$F$12,regle!$F$11,
IF(AU356=regle!$G$12,regle!$G$11,
IF(AU356=regle!$H$12,regle!$H$11,
IF(AU356=regle!$I$12,regle!$I$11,""))))))))))</f>
        <v>EC1</v>
      </c>
      <c r="AB356" t="str">
        <f>IF(NOT($A356),"",
IF(AV356=-2,regle!$J$11,
IF(AV356=regle!$B$12,regle!$B$11,
IF(AV356=regle!$C$12,regle!$C$11,
IF(AV356=regle!$D$12,regle!$D$11,
IF(AV356=regle!$E$12,regle!$E$11,
IF(AV356=regle!$F$12,regle!$F$11,
IF(AV356=regle!$G$12,regle!$G$11,
IF(AV356=regle!$H$12,regle!$H$11,
IF(AV356=regle!$I$12,regle!$I$11,""))))))))))</f>
        <v/>
      </c>
      <c r="AC356" t="str">
        <f>IF(NOT($A356),"",
IF(AW356=-2,regle!$J$11,
IF(AW356=regle!$B$12,regle!$B$11,
IF(AW356=regle!$C$12,regle!$C$11,
IF(AW356=regle!$D$12,regle!$D$11,
IF(AW356=regle!$E$12,regle!$E$11,
IF(AW356=regle!$F$12,regle!$F$11,
IF(AW356=regle!$G$12,regle!$G$11,
IF(AW356=regle!$H$12,regle!$H$11,
IF(AW356=regle!$I$12,regle!$I$11,""))))))))))</f>
        <v/>
      </c>
      <c r="AD356" t="str">
        <f>IF(NOT($A356),"",
IF(AX356=-2,regle!$J$11,
IF(AX356=regle!$B$12,regle!$B$11,
IF(AX356=regle!$C$12,regle!$C$11,
IF(AX356=regle!$D$12,regle!$D$11,
IF(AX356=regle!$E$12,regle!$E$11,
IF(AX356=regle!$F$12,regle!$F$11,
IF(AX356=regle!$G$12,regle!$G$11,
IF(AX356=regle!$H$12,regle!$H$11,
IF(AX356=regle!$I$12,regle!$I$11,""))))))))))</f>
        <v/>
      </c>
      <c r="AE356" s="14">
        <f>IF($A356,$M356*(IF(U356=regle!$B$11,regle!$B$23,IF(U356=regle!$C$11,regle!$C$23,IF(U356=regle!$D$11,regle!$D$23,IF(U356=regle!$E$11,regle!$E$23,IF(U356=regle!$F$11,regle!$F$23,IF(U356=regle!$G$11,regle!$G$23,IF(U356=regle!$H$11,regle!$H$23,IF(U356=regle!$I$11,regle!$I$23,IF(U356=regle!$J$11,regle!$J$23,0)))))))))))</f>
        <v>0</v>
      </c>
      <c r="AF356" s="14">
        <f>IF($A356,$M356*(IF(V356=regle!$B$11,regle!$B$23,IF(V356=regle!$C$11,regle!$C$23,IF(V356=regle!$D$11,regle!$D$23,IF(V356=regle!$E$11,regle!$E$23,IF(V356=regle!$F$11,regle!$F$23,IF(V356=regle!$G$11,regle!$G$23,IF(V356=regle!$H$11,regle!$H$23,IF(V356=regle!$I$11,regle!$I$23,IF(V356=regle!$J$11,regle!$J$23,0)))))))))))</f>
        <v>-176.63399999999999</v>
      </c>
      <c r="AG356" s="14">
        <f>IF($A356,$M356*(IF(W356=regle!$B$11,regle!$B$23,IF(W356=regle!$C$11,regle!$C$23,IF(W356=regle!$D$11,regle!$D$23,IF(W356=regle!$E$11,regle!$E$23,IF(W356=regle!$F$11,regle!$F$23,IF(W356=regle!$G$11,regle!$G$23,IF(W356=regle!$H$11,regle!$H$23,IF(W356=regle!$I$11,regle!$I$23,IF(W356=regle!$J$11,regle!$J$23,0)))))))))))</f>
        <v>0</v>
      </c>
      <c r="AH356" s="14">
        <f>IF($A356,$M356*(IF(X356=regle!$B$11,regle!$B$23,IF(X356=regle!$C$11,regle!$C$23,IF(X356=regle!$D$11,regle!$D$23,IF(X356=regle!$E$11,regle!$E$23,IF(X356=regle!$F$11,regle!$F$23,IF(X356=regle!$G$11,regle!$G$23,IF(X356=regle!$H$11,regle!$H$23,IF(X356=regle!$I$11,regle!$I$23,IF(X356=regle!$J$11,regle!$J$23,0)))))))))))</f>
        <v>0</v>
      </c>
      <c r="AI356" s="14">
        <f>IF($A356,$M356*(IF(Y356=regle!$B$11,regle!$B$23,IF(Y356=regle!$C$11,regle!$C$23,IF(Y356=regle!$D$11,regle!$D$23,IF(Y356=regle!$E$11,regle!$E$23,IF(Y356=regle!$F$11,regle!$F$23,IF(Y356=regle!$G$11,regle!$G$23,IF(Y356=regle!$H$11,regle!$H$23,IF(Y356=regle!$I$11,regle!$I$23,IF(Y356=regle!$J$11,regle!$J$23,0)))))))))))</f>
        <v>0</v>
      </c>
      <c r="AJ356" s="14">
        <f>IF($A356,$M356*(IF(Z356=regle!$B$11,regle!$B$23,IF(Z356=regle!$C$11,regle!$C$23,IF(Z356=regle!$D$11,regle!$D$23,IF(Z356=regle!$E$11,regle!$E$23,IF(Z356=regle!$F$11,regle!$F$23,IF(Z356=regle!$G$11,regle!$G$23,IF(Z356=regle!$H$11,regle!$H$23,IF(Z356=regle!$I$11,regle!$I$23,IF(Z356=regle!$J$11,regle!$J$23,0)))))))))))</f>
        <v>0</v>
      </c>
      <c r="AK356" s="14">
        <f>IF($A356,$M356*(IF(AA356=regle!$B$11,regle!$B$23,IF(AA356=regle!$C$11,regle!$C$23,IF(AA356=regle!$D$11,regle!$D$23,IF(AA356=regle!$E$11,regle!$E$23,IF(AA356=regle!$F$11,regle!$F$23,IF(AA356=regle!$G$11,regle!$G$23,IF(AA356=regle!$H$11,regle!$H$23,IF(AA356=regle!$I$11,regle!$I$23,IF(AA356=regle!$J$11,regle!$J$23,0)))))))))))</f>
        <v>1130.4576</v>
      </c>
      <c r="AL356" s="14">
        <f>IF($A356,$M356*(IF(AB356=regle!$B$11,regle!$B$23,IF(AB356=regle!$C$11,regle!$C$23,IF(AB356=regle!$D$11,regle!$D$23,IF(AB356=regle!$E$11,regle!$E$23,IF(AB356=regle!$F$11,regle!$F$23,IF(AB356=regle!$G$11,regle!$G$23,IF(AB356=regle!$H$11,regle!$H$23,IF(AB356=regle!$I$11,regle!$I$23,IF(AB356=regle!$J$11,regle!$J$23,0)))))))))))</f>
        <v>0</v>
      </c>
      <c r="AM356" s="14">
        <f>IF($A356,$M356*(IF(AC356=regle!$B$11,regle!$B$23,IF(AC356=regle!$C$11,regle!$C$23,IF(AC356=regle!$D$11,regle!$D$23,IF(AC356=regle!$E$11,regle!$E$23,IF(AC356=regle!$F$11,regle!$F$23,IF(AC356=regle!$G$11,regle!$G$23,IF(AC356=regle!$H$11,regle!$H$23,IF(AC356=regle!$I$11,regle!$I$23,IF(AC356=regle!$J$11,regle!$J$23,0)))))))))))</f>
        <v>0</v>
      </c>
      <c r="AN356" s="14">
        <f>IF($A356,$M356*(IF(AD356=regle!$B$11,regle!$B$23,IF(AD356=regle!$C$11,regle!$C$23,IF(AD356=regle!$D$11,regle!$D$23,IF(AD356=regle!$E$11,regle!$E$23,IF(AD356=regle!$F$11,regle!$F$23,IF(AD356=regle!$G$11,regle!$G$23,IF(AD356=regle!$H$11,regle!$H$23,IF(AD356=regle!$I$11,regle!$I$23,IF(AD356=regle!$J$11,regle!$J$23,0)))))))))))</f>
        <v>0</v>
      </c>
      <c r="AO356">
        <f>IF(AO$1=$AO$1,IF(regle!B$2-$Q356&gt;=regle!$J$12,-2,IF($S356,IF(regle!$B$2-$Q356&gt;=2,0,-1),regle!B$2-$Q356)),IF(AN356+1&gt;=regle!$J$12,-2,AN356+1))</f>
        <v>7</v>
      </c>
      <c r="AP356">
        <f>IF(AP$1=$AO$1,IF(regle!C$2-$Q356&gt;=regle!$J$12,-2,IF($S356,IF(regle!$B$2-$Q356&gt;=2,0,-1),regle!C$2-$Q356)),IF(AO356+1&gt;=regle!$J$12,-2,AO356+1))</f>
        <v>8</v>
      </c>
      <c r="AQ356">
        <f>IF(AQ$1=$AO$1,IF(regle!D$2-$Q356&gt;=regle!$J$12,-2,IF($S356,IF(regle!$B$2-$Q356&gt;=2,0,-1),regle!D$2-$Q356)),IF(AP356+1&gt;=regle!$J$12,-2,AP356+1))</f>
        <v>9</v>
      </c>
      <c r="AR356">
        <f>IF(AR$1=$AO$1,IF(regle!E$2-$Q356&gt;=regle!$J$12,-2,IF($S356,IF(regle!$B$2-$Q356&gt;=2,0,-1),regle!E$2-$Q356)),IF(AQ356+1&gt;=regle!$J$12,-2,AQ356+1))</f>
        <v>10</v>
      </c>
      <c r="AS356">
        <f>IF(AS$1=$AO$1,IF(regle!F$2-$Q356&gt;=regle!$J$12,-2,IF($S356,IF(regle!$B$2-$Q356&gt;=2,0,-1),regle!F$2-$Q356)),IF(AR356+1&gt;=regle!$J$12,-2,AR356+1))</f>
        <v>11</v>
      </c>
      <c r="AT356">
        <f>IF(AT$1=$AO$1,IF(regle!G$2-$Q356&gt;=regle!$J$12,-2,IF($S356,IF(regle!$B$2-$Q356&gt;=2,0,-1),regle!G$2-$Q356)),IF(AS356+1&gt;=regle!$J$12,-2,AS356+1))</f>
        <v>12</v>
      </c>
      <c r="AU356">
        <f>IF(AU$1=$AO$1,IF(regle!H$2-$Q356&gt;=regle!$J$12,-2,IF($S356,IF(regle!$B$2-$Q356&gt;=2,0,-1),regle!H$2-$Q356)),IF(AT356+1&gt;=regle!$J$12,-2,AT356+1))</f>
        <v>13</v>
      </c>
      <c r="AV356">
        <f>IF(AV$1=$AO$1,IF(regle!I$2-$Q356&gt;=regle!$J$12,-2,IF($S356,IF(regle!$B$2-$Q356&gt;=2,0,-1),regle!I$2-$Q356)),IF(AU356+1&gt;=regle!$J$12,-2,AU356+1))</f>
        <v>14</v>
      </c>
      <c r="AW356">
        <f>IF(AW$1=$AO$1,IF(regle!J$2-$Q356&gt;=regle!$J$12,-2,IF($S356,IF(regle!$B$2-$Q356&gt;=2,0,-1),regle!J$2-$Q356)),IF(AV356+1&gt;=regle!$J$12,-2,AV356+1))</f>
        <v>15</v>
      </c>
      <c r="AX356">
        <f>IF(AX$1=$AO$1,IF(regle!K$2-$Q356&gt;=regle!$J$12,-2,IF($S356,IF(regle!$B$2-$Q356&gt;=2,0,-1),regle!K$2-$Q356)),IF(AW356+1&gt;=regle!$J$12,-2,AW356+1))</f>
        <v>16</v>
      </c>
    </row>
    <row r="357" spans="1:50" x14ac:dyDescent="0.25">
      <c r="A357" t="b">
        <f>AND(modif0[[#This Row],[cdstr]]&lt;&gt;0,OR(regle!$H$27=FALSE,modif0[[#This Row],[essnc]]="PM"))</f>
        <v>1</v>
      </c>
      <c r="B357">
        <f>ROW(objet!A414)</f>
        <v>414</v>
      </c>
      <c r="C357" s="10" t="str">
        <f>objet!D414</f>
        <v>2000000M0071</v>
      </c>
      <c r="D357" t="str">
        <f>LEFT(modif0[[#This Row],[cdstr]],3)</f>
        <v>200</v>
      </c>
      <c r="E357" s="10" t="str">
        <f>objet!G414</f>
        <v>MOUSTEY</v>
      </c>
      <c r="F357">
        <f>LEN(modif0[[#This Row],[l_dt]])</f>
        <v>4</v>
      </c>
      <c r="G357" s="10" t="str">
        <f>objet!H414</f>
        <v>Kycs</v>
      </c>
      <c r="H357" s="10" t="str">
        <f>objet!C414</f>
        <v>M71jl</v>
      </c>
      <c r="I357" t="str">
        <f>IF(ISNUMBER(VALUE(RIGHT(LEFT(modif0[[#This Row],[idntfn]],2),1))),_xlfn.CONCAT(0,LEFT(modif0[[#This Row],[idntfn]],1)),LEFT(modif0[[#This Row],[idntfn]],2))</f>
        <v>0M</v>
      </c>
      <c r="J357">
        <f>VALUE(LEFT(RIGHT(modif0[[#This Row],[idntfn]],LEN(modif0[[#This Row],[idntfn]])-IF(LEFT(modif0[[#This Row],[sctn]],1)="0",1,2)),LEN(modif0[[#This Row],[idntfn]])-IF(LEFT(modif0[[#This Row],[sctn]],1)="0",1,2)-LEN(modif0[[#This Row],[lttr]])))</f>
        <v>71</v>
      </c>
      <c r="K357" t="str">
        <f>IF(ISNUMBER(VALUE(RIGHT(modif0[[#This Row],[idntfn]],1))),"",IF(ISNUMBER(VALUE(LEFT(RIGHT(modif0[[#This Row],[idntfn]],2),1))),RIGHT(modif0[[#This Row],[idntfn]],1),RIGHT(modif0[[#This Row],[idntfn]],2)))</f>
        <v>jl</v>
      </c>
      <c r="L357" s="10">
        <f>objet!I414</f>
        <v>15359</v>
      </c>
      <c r="M357" s="11">
        <f>modif0[[#This Row],[srfc]]/10000</f>
        <v>1.5359</v>
      </c>
      <c r="N357" s="10" t="str">
        <f>objet!Z414</f>
        <v>PM</v>
      </c>
      <c r="O357" s="10" t="str">
        <f>objet!AA414</f>
        <v>PLA2017</v>
      </c>
      <c r="P357" t="str">
        <f>IF(ISNUMBER(modif0[[#This Row],[trvx]]),"",LEFT(modif0[[#This Row],[trvx]],LEN(modif0[[#This Row],[trvx]])-4))</f>
        <v>PLA</v>
      </c>
      <c r="Q357">
        <f>VALUE(RIGHT(modif0[[#This Row],[trvx]],4))</f>
        <v>2017</v>
      </c>
      <c r="R357" t="str">
        <f>_xlfn.CONCAT(modif0[[#This Row],[tp]],"-",modif0[[#This Row],[essnc]],"_",modif0[[#This Row],[anns]])</f>
        <v>PLA-PM_2017</v>
      </c>
      <c r="S357" t="b">
        <f>modif0[[#This Row],[tp]]="CR"</f>
        <v>0</v>
      </c>
      <c r="T357">
        <v>40</v>
      </c>
      <c r="U357" t="str">
        <f>IF(NOT($A357),"",
IF(AO357=-2,regle!$J$11,
IF(AO357=regle!$B$12,regle!$B$11,
IF(AO357=regle!$C$12,regle!$C$11,
IF(AO357=regle!$D$12,regle!$D$11,
IF(AO357=regle!$E$12,regle!$E$11,
IF(AO357=regle!$F$12,regle!$F$11,
IF(AO357=regle!$G$12,regle!$G$11,
IF(AO357=regle!$H$12,regle!$H$11,
IF(AO357=regle!$I$12,regle!$I$11,""))))))))))</f>
        <v/>
      </c>
      <c r="V357" t="str">
        <f>IF(NOT($A357),"",
IF(AP357=-2,regle!$J$11,
IF(AP357=regle!$B$12,regle!$B$11,
IF(AP357=regle!$C$12,regle!$C$11,
IF(AP357=regle!$D$12,regle!$D$11,
IF(AP357=regle!$E$12,regle!$E$11,
IF(AP357=regle!$F$12,regle!$F$11,
IF(AP357=regle!$G$12,regle!$G$11,
IF(AP357=regle!$H$12,regle!$H$11,
IF(AP357=regle!$I$12,regle!$I$11,""))))))))))</f>
        <v>ENT2</v>
      </c>
      <c r="W357" t="str">
        <f>IF(NOT($A357),"",
IF(AQ357=-2,regle!$J$11,
IF(AQ357=regle!$B$12,regle!$B$11,
IF(AQ357=regle!$C$12,regle!$C$11,
IF(AQ357=regle!$D$12,regle!$D$11,
IF(AQ357=regle!$E$12,regle!$E$11,
IF(AQ357=regle!$F$12,regle!$F$11,
IF(AQ357=regle!$G$12,regle!$G$11,
IF(AQ357=regle!$H$12,regle!$H$11,
IF(AQ357=regle!$I$12,regle!$I$11,""))))))))))</f>
        <v/>
      </c>
      <c r="X357" t="str">
        <f>IF(NOT($A357),"",
IF(AR357=-2,regle!$J$11,
IF(AR357=regle!$B$12,regle!$B$11,
IF(AR357=regle!$C$12,regle!$C$11,
IF(AR357=regle!$D$12,regle!$D$11,
IF(AR357=regle!$E$12,regle!$E$11,
IF(AR357=regle!$F$12,regle!$F$11,
IF(AR357=regle!$G$12,regle!$G$11,
IF(AR357=regle!$H$12,regle!$H$11,
IF(AR357=regle!$I$12,regle!$I$11,""))))))))))</f>
        <v/>
      </c>
      <c r="Y357" t="str">
        <f>IF(NOT($A357),"",
IF(AS357=-2,regle!$J$11,
IF(AS357=regle!$B$12,regle!$B$11,
IF(AS357=regle!$C$12,regle!$C$11,
IF(AS357=regle!$D$12,regle!$D$11,
IF(AS357=regle!$E$12,regle!$E$11,
IF(AS357=regle!$F$12,regle!$F$11,
IF(AS357=regle!$G$12,regle!$G$11,
IF(AS357=regle!$H$12,regle!$H$11,
IF(AS357=regle!$I$12,regle!$I$11,""))))))))))</f>
        <v/>
      </c>
      <c r="Z357" t="str">
        <f>IF(NOT($A357),"",
IF(AT357=-2,regle!$J$11,
IF(AT357=regle!$B$12,regle!$B$11,
IF(AT357=regle!$C$12,regle!$C$11,
IF(AT357=regle!$D$12,regle!$D$11,
IF(AT357=regle!$E$12,regle!$E$11,
IF(AT357=regle!$F$12,regle!$F$11,
IF(AT357=regle!$G$12,regle!$G$11,
IF(AT357=regle!$H$12,regle!$H$11,
IF(AT357=regle!$I$12,regle!$I$11,""))))))))))</f>
        <v/>
      </c>
      <c r="AA357" t="str">
        <f>IF(NOT($A357),"",
IF(AU357=-2,regle!$J$11,
IF(AU357=regle!$B$12,regle!$B$11,
IF(AU357=regle!$C$12,regle!$C$11,
IF(AU357=regle!$D$12,regle!$D$11,
IF(AU357=regle!$E$12,regle!$E$11,
IF(AU357=regle!$F$12,regle!$F$11,
IF(AU357=regle!$G$12,regle!$G$11,
IF(AU357=regle!$H$12,regle!$H$11,
IF(AU357=regle!$I$12,regle!$I$11,""))))))))))</f>
        <v>EC1</v>
      </c>
      <c r="AB357" t="str">
        <f>IF(NOT($A357),"",
IF(AV357=-2,regle!$J$11,
IF(AV357=regle!$B$12,regle!$B$11,
IF(AV357=regle!$C$12,regle!$C$11,
IF(AV357=regle!$D$12,regle!$D$11,
IF(AV357=regle!$E$12,regle!$E$11,
IF(AV357=regle!$F$12,regle!$F$11,
IF(AV357=regle!$G$12,regle!$G$11,
IF(AV357=regle!$H$12,regle!$H$11,
IF(AV357=regle!$I$12,regle!$I$11,""))))))))))</f>
        <v/>
      </c>
      <c r="AC357" t="str">
        <f>IF(NOT($A357),"",
IF(AW357=-2,regle!$J$11,
IF(AW357=regle!$B$12,regle!$B$11,
IF(AW357=regle!$C$12,regle!$C$11,
IF(AW357=regle!$D$12,regle!$D$11,
IF(AW357=regle!$E$12,regle!$E$11,
IF(AW357=regle!$F$12,regle!$F$11,
IF(AW357=regle!$G$12,regle!$G$11,
IF(AW357=regle!$H$12,regle!$H$11,
IF(AW357=regle!$I$12,regle!$I$11,""))))))))))</f>
        <v/>
      </c>
      <c r="AD357" t="str">
        <f>IF(NOT($A357),"",
IF(AX357=-2,regle!$J$11,
IF(AX357=regle!$B$12,regle!$B$11,
IF(AX357=regle!$C$12,regle!$C$11,
IF(AX357=regle!$D$12,regle!$D$11,
IF(AX357=regle!$E$12,regle!$E$11,
IF(AX357=regle!$F$12,regle!$F$11,
IF(AX357=regle!$G$12,regle!$G$11,
IF(AX357=regle!$H$12,regle!$H$11,
IF(AX357=regle!$I$12,regle!$I$11,""))))))))))</f>
        <v/>
      </c>
      <c r="AE357" s="14">
        <f>IF($A357,$M357*(IF(U357=regle!$B$11,regle!$B$23,IF(U357=regle!$C$11,regle!$C$23,IF(U357=regle!$D$11,regle!$D$23,IF(U357=regle!$E$11,regle!$E$23,IF(U357=regle!$F$11,regle!$F$23,IF(U357=regle!$G$11,regle!$G$23,IF(U357=regle!$H$11,regle!$H$23,IF(U357=regle!$I$11,regle!$I$23,IF(U357=regle!$J$11,regle!$J$23,0)))))))))))</f>
        <v>0</v>
      </c>
      <c r="AF357" s="14">
        <f>IF($A357,$M357*(IF(V357=regle!$B$11,regle!$B$23,IF(V357=regle!$C$11,regle!$C$23,IF(V357=regle!$D$11,regle!$D$23,IF(V357=regle!$E$11,regle!$E$23,IF(V357=regle!$F$11,regle!$F$23,IF(V357=regle!$G$11,regle!$G$23,IF(V357=regle!$H$11,regle!$H$23,IF(V357=regle!$I$11,regle!$I$23,IF(V357=regle!$J$11,regle!$J$23,0)))))))))))</f>
        <v>-138.23099999999999</v>
      </c>
      <c r="AG357" s="14">
        <f>IF($A357,$M357*(IF(W357=regle!$B$11,regle!$B$23,IF(W357=regle!$C$11,regle!$C$23,IF(W357=regle!$D$11,regle!$D$23,IF(W357=regle!$E$11,regle!$E$23,IF(W357=regle!$F$11,regle!$F$23,IF(W357=regle!$G$11,regle!$G$23,IF(W357=regle!$H$11,regle!$H$23,IF(W357=regle!$I$11,regle!$I$23,IF(W357=regle!$J$11,regle!$J$23,0)))))))))))</f>
        <v>0</v>
      </c>
      <c r="AH357" s="14">
        <f>IF($A357,$M357*(IF(X357=regle!$B$11,regle!$B$23,IF(X357=regle!$C$11,regle!$C$23,IF(X357=regle!$D$11,regle!$D$23,IF(X357=regle!$E$11,regle!$E$23,IF(X357=regle!$F$11,regle!$F$23,IF(X357=regle!$G$11,regle!$G$23,IF(X357=regle!$H$11,regle!$H$23,IF(X357=regle!$I$11,regle!$I$23,IF(X357=regle!$J$11,regle!$J$23,0)))))))))))</f>
        <v>0</v>
      </c>
      <c r="AI357" s="14">
        <f>IF($A357,$M357*(IF(Y357=regle!$B$11,regle!$B$23,IF(Y357=regle!$C$11,regle!$C$23,IF(Y357=regle!$D$11,regle!$D$23,IF(Y357=regle!$E$11,regle!$E$23,IF(Y357=regle!$F$11,regle!$F$23,IF(Y357=regle!$G$11,regle!$G$23,IF(Y357=regle!$H$11,regle!$H$23,IF(Y357=regle!$I$11,regle!$I$23,IF(Y357=regle!$J$11,regle!$J$23,0)))))))))))</f>
        <v>0</v>
      </c>
      <c r="AJ357" s="14">
        <f>IF($A357,$M357*(IF(Z357=regle!$B$11,regle!$B$23,IF(Z357=regle!$C$11,regle!$C$23,IF(Z357=regle!$D$11,regle!$D$23,IF(Z357=regle!$E$11,regle!$E$23,IF(Z357=regle!$F$11,regle!$F$23,IF(Z357=regle!$G$11,regle!$G$23,IF(Z357=regle!$H$11,regle!$H$23,IF(Z357=regle!$I$11,regle!$I$23,IF(Z357=regle!$J$11,regle!$J$23,0)))))))))))</f>
        <v>0</v>
      </c>
      <c r="AK357" s="14">
        <f>IF($A357,$M357*(IF(AA357=regle!$B$11,regle!$B$23,IF(AA357=regle!$C$11,regle!$C$23,IF(AA357=regle!$D$11,regle!$D$23,IF(AA357=regle!$E$11,regle!$E$23,IF(AA357=regle!$F$11,regle!$F$23,IF(AA357=regle!$G$11,regle!$G$23,IF(AA357=regle!$H$11,regle!$H$23,IF(AA357=regle!$I$11,regle!$I$23,IF(AA357=regle!$J$11,regle!$J$23,0)))))))))))</f>
        <v>884.67840000000001</v>
      </c>
      <c r="AL357" s="14">
        <f>IF($A357,$M357*(IF(AB357=regle!$B$11,regle!$B$23,IF(AB357=regle!$C$11,regle!$C$23,IF(AB357=regle!$D$11,regle!$D$23,IF(AB357=regle!$E$11,regle!$E$23,IF(AB357=regle!$F$11,regle!$F$23,IF(AB357=regle!$G$11,regle!$G$23,IF(AB357=regle!$H$11,regle!$H$23,IF(AB357=regle!$I$11,regle!$I$23,IF(AB357=regle!$J$11,regle!$J$23,0)))))))))))</f>
        <v>0</v>
      </c>
      <c r="AM357" s="14">
        <f>IF($A357,$M357*(IF(AC357=regle!$B$11,regle!$B$23,IF(AC357=regle!$C$11,regle!$C$23,IF(AC357=regle!$D$11,regle!$D$23,IF(AC357=regle!$E$11,regle!$E$23,IF(AC357=regle!$F$11,regle!$F$23,IF(AC357=regle!$G$11,regle!$G$23,IF(AC357=regle!$H$11,regle!$H$23,IF(AC357=regle!$I$11,regle!$I$23,IF(AC357=regle!$J$11,regle!$J$23,0)))))))))))</f>
        <v>0</v>
      </c>
      <c r="AN357" s="14">
        <f>IF($A357,$M357*(IF(AD357=regle!$B$11,regle!$B$23,IF(AD357=regle!$C$11,regle!$C$23,IF(AD357=regle!$D$11,regle!$D$23,IF(AD357=regle!$E$11,regle!$E$23,IF(AD357=regle!$F$11,regle!$F$23,IF(AD357=regle!$G$11,regle!$G$23,IF(AD357=regle!$H$11,regle!$H$23,IF(AD357=regle!$I$11,regle!$I$23,IF(AD357=regle!$J$11,regle!$J$23,0)))))))))))</f>
        <v>0</v>
      </c>
      <c r="AO357">
        <f>IF(AO$1=$AO$1,IF(regle!B$2-$Q357&gt;=regle!$J$12,-2,IF($S357,IF(regle!$B$2-$Q357&gt;=2,0,-1),regle!B$2-$Q357)),IF(AN357+1&gt;=regle!$J$12,-2,AN357+1))</f>
        <v>7</v>
      </c>
      <c r="AP357">
        <f>IF(AP$1=$AO$1,IF(regle!C$2-$Q357&gt;=regle!$J$12,-2,IF($S357,IF(regle!$B$2-$Q357&gt;=2,0,-1),regle!C$2-$Q357)),IF(AO357+1&gt;=regle!$J$12,-2,AO357+1))</f>
        <v>8</v>
      </c>
      <c r="AQ357">
        <f>IF(AQ$1=$AO$1,IF(regle!D$2-$Q357&gt;=regle!$J$12,-2,IF($S357,IF(regle!$B$2-$Q357&gt;=2,0,-1),regle!D$2-$Q357)),IF(AP357+1&gt;=regle!$J$12,-2,AP357+1))</f>
        <v>9</v>
      </c>
      <c r="AR357">
        <f>IF(AR$1=$AO$1,IF(regle!E$2-$Q357&gt;=regle!$J$12,-2,IF($S357,IF(regle!$B$2-$Q357&gt;=2,0,-1),regle!E$2-$Q357)),IF(AQ357+1&gt;=regle!$J$12,-2,AQ357+1))</f>
        <v>10</v>
      </c>
      <c r="AS357">
        <f>IF(AS$1=$AO$1,IF(regle!F$2-$Q357&gt;=regle!$J$12,-2,IF($S357,IF(regle!$B$2-$Q357&gt;=2,0,-1),regle!F$2-$Q357)),IF(AR357+1&gt;=regle!$J$12,-2,AR357+1))</f>
        <v>11</v>
      </c>
      <c r="AT357">
        <f>IF(AT$1=$AO$1,IF(regle!G$2-$Q357&gt;=regle!$J$12,-2,IF($S357,IF(regle!$B$2-$Q357&gt;=2,0,-1),regle!G$2-$Q357)),IF(AS357+1&gt;=regle!$J$12,-2,AS357+1))</f>
        <v>12</v>
      </c>
      <c r="AU357">
        <f>IF(AU$1=$AO$1,IF(regle!H$2-$Q357&gt;=regle!$J$12,-2,IF($S357,IF(regle!$B$2-$Q357&gt;=2,0,-1),regle!H$2-$Q357)),IF(AT357+1&gt;=regle!$J$12,-2,AT357+1))</f>
        <v>13</v>
      </c>
      <c r="AV357">
        <f>IF(AV$1=$AO$1,IF(regle!I$2-$Q357&gt;=regle!$J$12,-2,IF($S357,IF(regle!$B$2-$Q357&gt;=2,0,-1),regle!I$2-$Q357)),IF(AU357+1&gt;=regle!$J$12,-2,AU357+1))</f>
        <v>14</v>
      </c>
      <c r="AW357">
        <f>IF(AW$1=$AO$1,IF(regle!J$2-$Q357&gt;=regle!$J$12,-2,IF($S357,IF(regle!$B$2-$Q357&gt;=2,0,-1),regle!J$2-$Q357)),IF(AV357+1&gt;=regle!$J$12,-2,AV357+1))</f>
        <v>15</v>
      </c>
      <c r="AX357">
        <f>IF(AX$1=$AO$1,IF(regle!K$2-$Q357&gt;=regle!$J$12,-2,IF($S357,IF(regle!$B$2-$Q357&gt;=2,0,-1),regle!K$2-$Q357)),IF(AW357+1&gt;=regle!$J$12,-2,AW357+1))</f>
        <v>16</v>
      </c>
    </row>
    <row r="358" spans="1:50" x14ac:dyDescent="0.25">
      <c r="A358" t="b">
        <f>AND(modif0[[#This Row],[cdstr]]&lt;&gt;0,OR(regle!$H$27=FALSE,modif0[[#This Row],[essnc]]="PM"))</f>
        <v>1</v>
      </c>
      <c r="B358">
        <f>ROW(objet!A416)</f>
        <v>416</v>
      </c>
      <c r="C358" s="10" t="str">
        <f>objet!D416</f>
        <v>2000000M0071</v>
      </c>
      <c r="D358" t="str">
        <f>LEFT(modif0[[#This Row],[cdstr]],3)</f>
        <v>200</v>
      </c>
      <c r="E358" s="10" t="str">
        <f>objet!G416</f>
        <v>MOUSTEY</v>
      </c>
      <c r="F358">
        <f>LEN(modif0[[#This Row],[l_dt]])</f>
        <v>4</v>
      </c>
      <c r="G358" s="10" t="str">
        <f>objet!H416</f>
        <v>Kycs</v>
      </c>
      <c r="H358" s="10" t="str">
        <f>objet!C416</f>
        <v>M71l</v>
      </c>
      <c r="I358" t="str">
        <f>IF(ISNUMBER(VALUE(RIGHT(LEFT(modif0[[#This Row],[idntfn]],2),1))),_xlfn.CONCAT(0,LEFT(modif0[[#This Row],[idntfn]],1)),LEFT(modif0[[#This Row],[idntfn]],2))</f>
        <v>0M</v>
      </c>
      <c r="J358">
        <f>VALUE(LEFT(RIGHT(modif0[[#This Row],[idntfn]],LEN(modif0[[#This Row],[idntfn]])-IF(LEFT(modif0[[#This Row],[sctn]],1)="0",1,2)),LEN(modif0[[#This Row],[idntfn]])-IF(LEFT(modif0[[#This Row],[sctn]],1)="0",1,2)-LEN(modif0[[#This Row],[lttr]])))</f>
        <v>71</v>
      </c>
      <c r="K358" t="str">
        <f>IF(ISNUMBER(VALUE(RIGHT(modif0[[#This Row],[idntfn]],1))),"",IF(ISNUMBER(VALUE(LEFT(RIGHT(modif0[[#This Row],[idntfn]],2),1))),RIGHT(modif0[[#This Row],[idntfn]],1),RIGHT(modif0[[#This Row],[idntfn]],2)))</f>
        <v>l</v>
      </c>
      <c r="L358" s="10">
        <f>objet!I416</f>
        <v>33747</v>
      </c>
      <c r="M358" s="11">
        <f>modif0[[#This Row],[srfc]]/10000</f>
        <v>3.3746999999999998</v>
      </c>
      <c r="N358" s="10" t="str">
        <f>objet!Z416</f>
        <v>PM</v>
      </c>
      <c r="O358" s="10" t="str">
        <f>objet!AA416</f>
        <v>PLA2014</v>
      </c>
      <c r="P358" t="str">
        <f>IF(ISNUMBER(modif0[[#This Row],[trvx]]),"",LEFT(modif0[[#This Row],[trvx]],LEN(modif0[[#This Row],[trvx]])-4))</f>
        <v>PLA</v>
      </c>
      <c r="Q358">
        <f>VALUE(RIGHT(modif0[[#This Row],[trvx]],4))</f>
        <v>2014</v>
      </c>
      <c r="R358" t="str">
        <f>_xlfn.CONCAT(modif0[[#This Row],[tp]],"-",modif0[[#This Row],[essnc]],"_",modif0[[#This Row],[anns]])</f>
        <v>PLA-PM_2014</v>
      </c>
      <c r="S358" t="b">
        <f>modif0[[#This Row],[tp]]="CR"</f>
        <v>0</v>
      </c>
      <c r="T358">
        <v>40</v>
      </c>
      <c r="U358" t="str">
        <f>IF(NOT($A358),"",
IF(AO358=-2,regle!$J$11,
IF(AO358=regle!$B$12,regle!$B$11,
IF(AO358=regle!$C$12,regle!$C$11,
IF(AO358=regle!$D$12,regle!$D$11,
IF(AO358=regle!$E$12,regle!$E$11,
IF(AO358=regle!$F$12,regle!$F$11,
IF(AO358=regle!$G$12,regle!$G$11,
IF(AO358=regle!$H$12,regle!$H$11,
IF(AO358=regle!$I$12,regle!$I$11,""))))))))))</f>
        <v/>
      </c>
      <c r="V358" t="str">
        <f>IF(NOT($A358),"",
IF(AP358=-2,regle!$J$11,
IF(AP358=regle!$B$12,regle!$B$11,
IF(AP358=regle!$C$12,regle!$C$11,
IF(AP358=regle!$D$12,regle!$D$11,
IF(AP358=regle!$E$12,regle!$E$11,
IF(AP358=regle!$F$12,regle!$F$11,
IF(AP358=regle!$G$12,regle!$G$11,
IF(AP358=regle!$H$12,regle!$H$11,
IF(AP358=regle!$I$12,regle!$I$11,""))))))))))</f>
        <v/>
      </c>
      <c r="W358" t="str">
        <f>IF(NOT($A358),"",
IF(AQ358=-2,regle!$J$11,
IF(AQ358=regle!$B$12,regle!$B$11,
IF(AQ358=regle!$C$12,regle!$C$11,
IF(AQ358=regle!$D$12,regle!$D$11,
IF(AQ358=regle!$E$12,regle!$E$11,
IF(AQ358=regle!$F$12,regle!$F$11,
IF(AQ358=regle!$G$12,regle!$G$11,
IF(AQ358=regle!$H$12,regle!$H$11,
IF(AQ358=regle!$I$12,regle!$I$11,""))))))))))</f>
        <v/>
      </c>
      <c r="X358" t="str">
        <f>IF(NOT($A358),"",
IF(AR358=-2,regle!$J$11,
IF(AR358=regle!$B$12,regle!$B$11,
IF(AR358=regle!$C$12,regle!$C$11,
IF(AR358=regle!$D$12,regle!$D$11,
IF(AR358=regle!$E$12,regle!$E$11,
IF(AR358=regle!$F$12,regle!$F$11,
IF(AR358=regle!$G$12,regle!$G$11,
IF(AR358=regle!$H$12,regle!$H$11,
IF(AR358=regle!$I$12,regle!$I$11,""))))))))))</f>
        <v>EC1</v>
      </c>
      <c r="Y358" t="str">
        <f>IF(NOT($A358),"",
IF(AS358=-2,regle!$J$11,
IF(AS358=regle!$B$12,regle!$B$11,
IF(AS358=regle!$C$12,regle!$C$11,
IF(AS358=regle!$D$12,regle!$D$11,
IF(AS358=regle!$E$12,regle!$E$11,
IF(AS358=regle!$F$12,regle!$F$11,
IF(AS358=regle!$G$12,regle!$G$11,
IF(AS358=regle!$H$12,regle!$H$11,
IF(AS358=regle!$I$12,regle!$I$11,""))))))))))</f>
        <v/>
      </c>
      <c r="Z358" t="str">
        <f>IF(NOT($A358),"",
IF(AT358=-2,regle!$J$11,
IF(AT358=regle!$B$12,regle!$B$11,
IF(AT358=regle!$C$12,regle!$C$11,
IF(AT358=regle!$D$12,regle!$D$11,
IF(AT358=regle!$E$12,regle!$E$11,
IF(AT358=regle!$F$12,regle!$F$11,
IF(AT358=regle!$G$12,regle!$G$11,
IF(AT358=regle!$H$12,regle!$H$11,
IF(AT358=regle!$I$12,regle!$I$11,""))))))))))</f>
        <v/>
      </c>
      <c r="AA358" t="str">
        <f>IF(NOT($A358),"",
IF(AU358=-2,regle!$J$11,
IF(AU358=regle!$B$12,regle!$B$11,
IF(AU358=regle!$C$12,regle!$C$11,
IF(AU358=regle!$D$12,regle!$D$11,
IF(AU358=regle!$E$12,regle!$E$11,
IF(AU358=regle!$F$12,regle!$F$11,
IF(AU358=regle!$G$12,regle!$G$11,
IF(AU358=regle!$H$12,regle!$H$11,
IF(AU358=regle!$I$12,regle!$I$11,""))))))))))</f>
        <v/>
      </c>
      <c r="AB358" t="str">
        <f>IF(NOT($A358),"",
IF(AV358=-2,regle!$J$11,
IF(AV358=regle!$B$12,regle!$B$11,
IF(AV358=regle!$C$12,regle!$C$11,
IF(AV358=regle!$D$12,regle!$D$11,
IF(AV358=regle!$E$12,regle!$E$11,
IF(AV358=regle!$F$12,regle!$F$11,
IF(AV358=regle!$G$12,regle!$G$11,
IF(AV358=regle!$H$12,regle!$H$11,
IF(AV358=regle!$I$12,regle!$I$11,""))))))))))</f>
        <v/>
      </c>
      <c r="AC358" t="str">
        <f>IF(NOT($A358),"",
IF(AW358=-2,regle!$J$11,
IF(AW358=regle!$B$12,regle!$B$11,
IF(AW358=regle!$C$12,regle!$C$11,
IF(AW358=regle!$D$12,regle!$D$11,
IF(AW358=regle!$E$12,regle!$E$11,
IF(AW358=regle!$F$12,regle!$F$11,
IF(AW358=regle!$G$12,regle!$G$11,
IF(AW358=regle!$H$12,regle!$H$11,
IF(AW358=regle!$I$12,regle!$I$11,""))))))))))</f>
        <v>EC2</v>
      </c>
      <c r="AD358" t="str">
        <f>IF(NOT($A358),"",
IF(AX358=-2,regle!$J$11,
IF(AX358=regle!$B$12,regle!$B$11,
IF(AX358=regle!$C$12,regle!$C$11,
IF(AX358=regle!$D$12,regle!$D$11,
IF(AX358=regle!$E$12,regle!$E$11,
IF(AX358=regle!$F$12,regle!$F$11,
IF(AX358=regle!$G$12,regle!$G$11,
IF(AX358=regle!$H$12,regle!$H$11,
IF(AX358=regle!$I$12,regle!$I$11,""))))))))))</f>
        <v/>
      </c>
      <c r="AE358" s="14">
        <f>IF($A358,$M358*(IF(U358=regle!$B$11,regle!$B$23,IF(U358=regle!$C$11,regle!$C$23,IF(U358=regle!$D$11,regle!$D$23,IF(U358=regle!$E$11,regle!$E$23,IF(U358=regle!$F$11,regle!$F$23,IF(U358=regle!$G$11,regle!$G$23,IF(U358=regle!$H$11,regle!$H$23,IF(U358=regle!$I$11,regle!$I$23,IF(U358=regle!$J$11,regle!$J$23,0)))))))))))</f>
        <v>0</v>
      </c>
      <c r="AF358" s="14">
        <f>IF($A358,$M358*(IF(V358=regle!$B$11,regle!$B$23,IF(V358=regle!$C$11,regle!$C$23,IF(V358=regle!$D$11,regle!$D$23,IF(V358=regle!$E$11,regle!$E$23,IF(V358=regle!$F$11,regle!$F$23,IF(V358=regle!$G$11,regle!$G$23,IF(V358=regle!$H$11,regle!$H$23,IF(V358=regle!$I$11,regle!$I$23,IF(V358=regle!$J$11,regle!$J$23,0)))))))))))</f>
        <v>0</v>
      </c>
      <c r="AG358" s="14">
        <f>IF($A358,$M358*(IF(W358=regle!$B$11,regle!$B$23,IF(W358=regle!$C$11,regle!$C$23,IF(W358=regle!$D$11,regle!$D$23,IF(W358=regle!$E$11,regle!$E$23,IF(W358=regle!$F$11,regle!$F$23,IF(W358=regle!$G$11,regle!$G$23,IF(W358=regle!$H$11,regle!$H$23,IF(W358=regle!$I$11,regle!$I$23,IF(W358=regle!$J$11,regle!$J$23,0)))))))))))</f>
        <v>0</v>
      </c>
      <c r="AH358" s="14">
        <f>IF($A358,$M358*(IF(X358=regle!$B$11,regle!$B$23,IF(X358=regle!$C$11,regle!$C$23,IF(X358=regle!$D$11,regle!$D$23,IF(X358=regle!$E$11,regle!$E$23,IF(X358=regle!$F$11,regle!$F$23,IF(X358=regle!$G$11,regle!$G$23,IF(X358=regle!$H$11,regle!$H$23,IF(X358=regle!$I$11,regle!$I$23,IF(X358=regle!$J$11,regle!$J$23,0)))))))))))</f>
        <v>1943.8271999999999</v>
      </c>
      <c r="AI358" s="14">
        <f>IF($A358,$M358*(IF(Y358=regle!$B$11,regle!$B$23,IF(Y358=regle!$C$11,regle!$C$23,IF(Y358=regle!$D$11,regle!$D$23,IF(Y358=regle!$E$11,regle!$E$23,IF(Y358=regle!$F$11,regle!$F$23,IF(Y358=regle!$G$11,regle!$G$23,IF(Y358=regle!$H$11,regle!$H$23,IF(Y358=regle!$I$11,regle!$I$23,IF(Y358=regle!$J$11,regle!$J$23,0)))))))))))</f>
        <v>0</v>
      </c>
      <c r="AJ358" s="14">
        <f>IF($A358,$M358*(IF(Z358=regle!$B$11,regle!$B$23,IF(Z358=regle!$C$11,regle!$C$23,IF(Z358=regle!$D$11,regle!$D$23,IF(Z358=regle!$E$11,regle!$E$23,IF(Z358=regle!$F$11,regle!$F$23,IF(Z358=regle!$G$11,regle!$G$23,IF(Z358=regle!$H$11,regle!$H$23,IF(Z358=regle!$I$11,regle!$I$23,IF(Z358=regle!$J$11,regle!$J$23,0)))))))))))</f>
        <v>0</v>
      </c>
      <c r="AK358" s="14">
        <f>IF($A358,$M358*(IF(AA358=regle!$B$11,regle!$B$23,IF(AA358=regle!$C$11,regle!$C$23,IF(AA358=regle!$D$11,regle!$D$23,IF(AA358=regle!$E$11,regle!$E$23,IF(AA358=regle!$F$11,regle!$F$23,IF(AA358=regle!$G$11,regle!$G$23,IF(AA358=regle!$H$11,regle!$H$23,IF(AA358=regle!$I$11,regle!$I$23,IF(AA358=regle!$J$11,regle!$J$23,0)))))))))))</f>
        <v>0</v>
      </c>
      <c r="AL358" s="14">
        <f>IF($A358,$M358*(IF(AB358=regle!$B$11,regle!$B$23,IF(AB358=regle!$C$11,regle!$C$23,IF(AB358=regle!$D$11,regle!$D$23,IF(AB358=regle!$E$11,regle!$E$23,IF(AB358=regle!$F$11,regle!$F$23,IF(AB358=regle!$G$11,regle!$G$23,IF(AB358=regle!$H$11,regle!$H$23,IF(AB358=regle!$I$11,regle!$I$23,IF(AB358=regle!$J$11,regle!$J$23,0)))))))))))</f>
        <v>0</v>
      </c>
      <c r="AM358" s="14">
        <f>IF($A358,$M358*(IF(AC358=regle!$B$11,regle!$B$23,IF(AC358=regle!$C$11,regle!$C$23,IF(AC358=regle!$D$11,regle!$D$23,IF(AC358=regle!$E$11,regle!$E$23,IF(AC358=regle!$F$11,regle!$F$23,IF(AC358=regle!$G$11,regle!$G$23,IF(AC358=regle!$H$11,regle!$H$23,IF(AC358=regle!$I$11,regle!$I$23,IF(AC358=regle!$J$11,regle!$J$23,0)))))))))))</f>
        <v>2834.748</v>
      </c>
      <c r="AN358" s="14">
        <f>IF($A358,$M358*(IF(AD358=regle!$B$11,regle!$B$23,IF(AD358=regle!$C$11,regle!$C$23,IF(AD358=regle!$D$11,regle!$D$23,IF(AD358=regle!$E$11,regle!$E$23,IF(AD358=regle!$F$11,regle!$F$23,IF(AD358=regle!$G$11,regle!$G$23,IF(AD358=regle!$H$11,regle!$H$23,IF(AD358=regle!$I$11,regle!$I$23,IF(AD358=regle!$J$11,regle!$J$23,0)))))))))))</f>
        <v>0</v>
      </c>
      <c r="AO358">
        <f>IF(AO$1=$AO$1,IF(regle!B$2-$Q358&gt;=regle!$J$12,-2,IF($S358,IF(regle!$B$2-$Q358&gt;=2,0,-1),regle!B$2-$Q358)),IF(AN358+1&gt;=regle!$J$12,-2,AN358+1))</f>
        <v>10</v>
      </c>
      <c r="AP358">
        <f>IF(AP$1=$AO$1,IF(regle!C$2-$Q358&gt;=regle!$J$12,-2,IF($S358,IF(regle!$B$2-$Q358&gt;=2,0,-1),regle!C$2-$Q358)),IF(AO358+1&gt;=regle!$J$12,-2,AO358+1))</f>
        <v>11</v>
      </c>
      <c r="AQ358">
        <f>IF(AQ$1=$AO$1,IF(regle!D$2-$Q358&gt;=regle!$J$12,-2,IF($S358,IF(regle!$B$2-$Q358&gt;=2,0,-1),regle!D$2-$Q358)),IF(AP358+1&gt;=regle!$J$12,-2,AP358+1))</f>
        <v>12</v>
      </c>
      <c r="AR358">
        <f>IF(AR$1=$AO$1,IF(regle!E$2-$Q358&gt;=regle!$J$12,-2,IF($S358,IF(regle!$B$2-$Q358&gt;=2,0,-1),regle!E$2-$Q358)),IF(AQ358+1&gt;=regle!$J$12,-2,AQ358+1))</f>
        <v>13</v>
      </c>
      <c r="AS358">
        <f>IF(AS$1=$AO$1,IF(regle!F$2-$Q358&gt;=regle!$J$12,-2,IF($S358,IF(regle!$B$2-$Q358&gt;=2,0,-1),regle!F$2-$Q358)),IF(AR358+1&gt;=regle!$J$12,-2,AR358+1))</f>
        <v>14</v>
      </c>
      <c r="AT358">
        <f>IF(AT$1=$AO$1,IF(regle!G$2-$Q358&gt;=regle!$J$12,-2,IF($S358,IF(regle!$B$2-$Q358&gt;=2,0,-1),regle!G$2-$Q358)),IF(AS358+1&gt;=regle!$J$12,-2,AS358+1))</f>
        <v>15</v>
      </c>
      <c r="AU358">
        <f>IF(AU$1=$AO$1,IF(regle!H$2-$Q358&gt;=regle!$J$12,-2,IF($S358,IF(regle!$B$2-$Q358&gt;=2,0,-1),regle!H$2-$Q358)),IF(AT358+1&gt;=regle!$J$12,-2,AT358+1))</f>
        <v>16</v>
      </c>
      <c r="AV358">
        <f>IF(AV$1=$AO$1,IF(regle!I$2-$Q358&gt;=regle!$J$12,-2,IF($S358,IF(regle!$B$2-$Q358&gt;=2,0,-1),regle!I$2-$Q358)),IF(AU358+1&gt;=regle!$J$12,-2,AU358+1))</f>
        <v>17</v>
      </c>
      <c r="AW358">
        <f>IF(AW$1=$AO$1,IF(regle!J$2-$Q358&gt;=regle!$J$12,-2,IF($S358,IF(regle!$B$2-$Q358&gt;=2,0,-1),regle!J$2-$Q358)),IF(AV358+1&gt;=regle!$J$12,-2,AV358+1))</f>
        <v>18</v>
      </c>
      <c r="AX358">
        <f>IF(AX$1=$AO$1,IF(regle!K$2-$Q358&gt;=regle!$J$12,-2,IF($S358,IF(regle!$B$2-$Q358&gt;=2,0,-1),regle!K$2-$Q358)),IF(AW358+1&gt;=regle!$J$12,-2,AW358+1))</f>
        <v>19</v>
      </c>
    </row>
    <row r="359" spans="1:50" x14ac:dyDescent="0.25">
      <c r="A359" t="b">
        <f>AND(modif0[[#This Row],[cdstr]]&lt;&gt;0,OR(regle!$H$27=FALSE,modif0[[#This Row],[essnc]]="PM"))</f>
        <v>1</v>
      </c>
      <c r="B359">
        <f>ROW(objet!A417)</f>
        <v>417</v>
      </c>
      <c r="C359" s="10" t="str">
        <f>objet!D417</f>
        <v>2000000M0007</v>
      </c>
      <c r="D359" t="str">
        <f>LEFT(modif0[[#This Row],[cdstr]],3)</f>
        <v>200</v>
      </c>
      <c r="E359" s="10" t="str">
        <f>objet!G417</f>
        <v>MOUSTEY</v>
      </c>
      <c r="F359">
        <f>LEN(modif0[[#This Row],[l_dt]])</f>
        <v>5</v>
      </c>
      <c r="G359" s="10" t="str">
        <f>objet!H417</f>
        <v>Plata</v>
      </c>
      <c r="H359" s="10" t="str">
        <f>objet!C417</f>
        <v>M7a</v>
      </c>
      <c r="I359" t="str">
        <f>IF(ISNUMBER(VALUE(RIGHT(LEFT(modif0[[#This Row],[idntfn]],2),1))),_xlfn.CONCAT(0,LEFT(modif0[[#This Row],[idntfn]],1)),LEFT(modif0[[#This Row],[idntfn]],2))</f>
        <v>0M</v>
      </c>
      <c r="J359">
        <f>VALUE(LEFT(RIGHT(modif0[[#This Row],[idntfn]],LEN(modif0[[#This Row],[idntfn]])-IF(LEFT(modif0[[#This Row],[sctn]],1)="0",1,2)),LEN(modif0[[#This Row],[idntfn]])-IF(LEFT(modif0[[#This Row],[sctn]],1)="0",1,2)-LEN(modif0[[#This Row],[lttr]])))</f>
        <v>7</v>
      </c>
      <c r="K359" t="str">
        <f>IF(ISNUMBER(VALUE(RIGHT(modif0[[#This Row],[idntfn]],1))),"",IF(ISNUMBER(VALUE(LEFT(RIGHT(modif0[[#This Row],[idntfn]],2),1))),RIGHT(modif0[[#This Row],[idntfn]],1),RIGHT(modif0[[#This Row],[idntfn]],2)))</f>
        <v>a</v>
      </c>
      <c r="L359" s="10">
        <f>objet!I417</f>
        <v>8461</v>
      </c>
      <c r="M359" s="11">
        <f>modif0[[#This Row],[srfc]]/10000</f>
        <v>0.84609999999999996</v>
      </c>
      <c r="N359" s="10" t="str">
        <f>objet!Z417</f>
        <v>PM</v>
      </c>
      <c r="O359" s="10" t="str">
        <f>objet!AA417</f>
        <v>CR2022</v>
      </c>
      <c r="P359" t="str">
        <f>IF(ISNUMBER(modif0[[#This Row],[trvx]]),"",LEFT(modif0[[#This Row],[trvx]],LEN(modif0[[#This Row],[trvx]])-4))</f>
        <v>CR</v>
      </c>
      <c r="Q359">
        <f>VALUE(RIGHT(modif0[[#This Row],[trvx]],4))</f>
        <v>2022</v>
      </c>
      <c r="R359" t="str">
        <f>_xlfn.CONCAT(modif0[[#This Row],[tp]],"-",modif0[[#This Row],[essnc]],"_",modif0[[#This Row],[anns]])</f>
        <v>CR-PM_2022</v>
      </c>
      <c r="S359" t="b">
        <f>modif0[[#This Row],[tp]]="CR"</f>
        <v>1</v>
      </c>
      <c r="T359">
        <v>40</v>
      </c>
      <c r="U359" t="str">
        <f>IF(NOT($A359),"",
IF(AO359=-2,regle!$J$11,
IF(AO359=regle!$B$12,regle!$B$11,
IF(AO359=regle!$C$12,regle!$C$11,
IF(AO359=regle!$D$12,regle!$D$11,
IF(AO359=regle!$E$12,regle!$E$11,
IF(AO359=regle!$F$12,regle!$F$11,
IF(AO359=regle!$G$12,regle!$G$11,
IF(AO359=regle!$H$12,regle!$H$11,
IF(AO359=regle!$I$12,regle!$I$11,""))))))))))</f>
        <v>RBST</v>
      </c>
      <c r="V359" t="str">
        <f>IF(NOT($A359),"",
IF(AP359=-2,regle!$J$11,
IF(AP359=regle!$B$12,regle!$B$11,
IF(AP359=regle!$C$12,regle!$C$11,
IF(AP359=regle!$D$12,regle!$D$11,
IF(AP359=regle!$E$12,regle!$E$11,
IF(AP359=regle!$F$12,regle!$F$11,
IF(AP359=regle!$G$12,regle!$G$11,
IF(AP359=regle!$H$12,regle!$H$11,
IF(AP359=regle!$I$12,regle!$I$11,""))))))))))</f>
        <v/>
      </c>
      <c r="W359" t="str">
        <f>IF(NOT($A359),"",
IF(AQ359=-2,regle!$J$11,
IF(AQ359=regle!$B$12,regle!$B$11,
IF(AQ359=regle!$C$12,regle!$C$11,
IF(AQ359=regle!$D$12,regle!$D$11,
IF(AQ359=regle!$E$12,regle!$E$11,
IF(AQ359=regle!$F$12,regle!$F$11,
IF(AQ359=regle!$G$12,regle!$G$11,
IF(AQ359=regle!$H$12,regle!$H$11,
IF(AQ359=regle!$I$12,regle!$I$11,""))))))))))</f>
        <v>DGT</v>
      </c>
      <c r="X359" t="str">
        <f>IF(NOT($A359),"",
IF(AR359=-2,regle!$J$11,
IF(AR359=regle!$B$12,regle!$B$11,
IF(AR359=regle!$C$12,regle!$C$11,
IF(AR359=regle!$D$12,regle!$D$11,
IF(AR359=regle!$E$12,regle!$E$11,
IF(AR359=regle!$F$12,regle!$F$11,
IF(AR359=regle!$G$12,regle!$G$11,
IF(AR359=regle!$H$12,regle!$H$11,
IF(AR359=regle!$I$12,regle!$I$11,""))))))))))</f>
        <v/>
      </c>
      <c r="Y359" t="str">
        <f>IF(NOT($A359),"",
IF(AS359=-2,regle!$J$11,
IF(AS359=regle!$B$12,regle!$B$11,
IF(AS359=regle!$C$12,regle!$C$11,
IF(AS359=regle!$D$12,regle!$D$11,
IF(AS359=regle!$E$12,regle!$E$11,
IF(AS359=regle!$F$12,regle!$F$11,
IF(AS359=regle!$G$12,regle!$G$11,
IF(AS359=regle!$H$12,regle!$H$11,
IF(AS359=regle!$I$12,regle!$I$11,""))))))))))</f>
        <v/>
      </c>
      <c r="Z359" t="str">
        <f>IF(NOT($A359),"",
IF(AT359=-2,regle!$J$11,
IF(AT359=regle!$B$12,regle!$B$11,
IF(AT359=regle!$C$12,regle!$C$11,
IF(AT359=regle!$D$12,regle!$D$11,
IF(AT359=regle!$E$12,regle!$E$11,
IF(AT359=regle!$F$12,regle!$F$11,
IF(AT359=regle!$G$12,regle!$G$11,
IF(AT359=regle!$H$12,regle!$H$11,
IF(AT359=regle!$I$12,regle!$I$11,""))))))))))</f>
        <v>ENT1</v>
      </c>
      <c r="AA359" t="str">
        <f>IF(NOT($A359),"",
IF(AU359=-2,regle!$J$11,
IF(AU359=regle!$B$12,regle!$B$11,
IF(AU359=regle!$C$12,regle!$C$11,
IF(AU359=regle!$D$12,regle!$D$11,
IF(AU359=regle!$E$12,regle!$E$11,
IF(AU359=regle!$F$12,regle!$F$11,
IF(AU359=regle!$G$12,regle!$G$11,
IF(AU359=regle!$H$12,regle!$H$11,
IF(AU359=regle!$I$12,regle!$I$11,""))))))))))</f>
        <v/>
      </c>
      <c r="AB359" t="str">
        <f>IF(NOT($A359),"",
IF(AV359=-2,regle!$J$11,
IF(AV359=regle!$B$12,regle!$B$11,
IF(AV359=regle!$C$12,regle!$C$11,
IF(AV359=regle!$D$12,regle!$D$11,
IF(AV359=regle!$E$12,regle!$E$11,
IF(AV359=regle!$F$12,regle!$F$11,
IF(AV359=regle!$G$12,regle!$G$11,
IF(AV359=regle!$H$12,regle!$H$11,
IF(AV359=regle!$I$12,regle!$I$11,""))))))))))</f>
        <v/>
      </c>
      <c r="AC359" t="str">
        <f>IF(NOT($A359),"",
IF(AW359=-2,regle!$J$11,
IF(AW359=regle!$B$12,regle!$B$11,
IF(AW359=regle!$C$12,regle!$C$11,
IF(AW359=regle!$D$12,regle!$D$11,
IF(AW359=regle!$E$12,regle!$E$11,
IF(AW359=regle!$F$12,regle!$F$11,
IF(AW359=regle!$G$12,regle!$G$11,
IF(AW359=regle!$H$12,regle!$H$11,
IF(AW359=regle!$I$12,regle!$I$11,""))))))))))</f>
        <v>ENT2</v>
      </c>
      <c r="AD359" t="str">
        <f>IF(NOT($A359),"",
IF(AX359=-2,regle!$J$11,
IF(AX359=regle!$B$12,regle!$B$11,
IF(AX359=regle!$C$12,regle!$C$11,
IF(AX359=regle!$D$12,regle!$D$11,
IF(AX359=regle!$E$12,regle!$E$11,
IF(AX359=regle!$F$12,regle!$F$11,
IF(AX359=regle!$G$12,regle!$G$11,
IF(AX359=regle!$H$12,regle!$H$11,
IF(AX359=regle!$I$12,regle!$I$11,""))))))))))</f>
        <v/>
      </c>
      <c r="AE359" s="14">
        <f>IF($A359,$M359*(IF(U359=regle!$B$11,regle!$B$23,IF(U359=regle!$C$11,regle!$C$23,IF(U359=regle!$D$11,regle!$D$23,IF(U359=regle!$E$11,regle!$E$23,IF(U359=regle!$F$11,regle!$F$23,IF(U359=regle!$G$11,regle!$G$23,IF(U359=regle!$H$11,regle!$H$23,IF(U359=regle!$I$11,regle!$I$23,IF(U359=regle!$J$11,regle!$J$23,0)))))))))))</f>
        <v>-1438.37</v>
      </c>
      <c r="AF359" s="14">
        <f>IF($A359,$M359*(IF(V359=regle!$B$11,regle!$B$23,IF(V359=regle!$C$11,regle!$C$23,IF(V359=regle!$D$11,regle!$D$23,IF(V359=regle!$E$11,regle!$E$23,IF(V359=regle!$F$11,regle!$F$23,IF(V359=regle!$G$11,regle!$G$23,IF(V359=regle!$H$11,regle!$H$23,IF(V359=regle!$I$11,regle!$I$23,IF(V359=regle!$J$11,regle!$J$23,0)))))))))))</f>
        <v>0</v>
      </c>
      <c r="AG359" s="14">
        <f>IF($A359,$M359*(IF(W359=regle!$B$11,regle!$B$23,IF(W359=regle!$C$11,regle!$C$23,IF(W359=regle!$D$11,regle!$D$23,IF(W359=regle!$E$11,regle!$E$23,IF(W359=regle!$F$11,regle!$F$23,IF(W359=regle!$G$11,regle!$G$23,IF(W359=regle!$H$11,regle!$H$23,IF(W359=regle!$I$11,regle!$I$23,IF(W359=regle!$J$11,regle!$J$23,0)))))))))))</f>
        <v>-63.457499999999996</v>
      </c>
      <c r="AH359" s="14">
        <f>IF($A359,$M359*(IF(X359=regle!$B$11,regle!$B$23,IF(X359=regle!$C$11,regle!$C$23,IF(X359=regle!$D$11,regle!$D$23,IF(X359=regle!$E$11,regle!$E$23,IF(X359=regle!$F$11,regle!$F$23,IF(X359=regle!$G$11,regle!$G$23,IF(X359=regle!$H$11,regle!$H$23,IF(X359=regle!$I$11,regle!$I$23,IF(X359=regle!$J$11,regle!$J$23,0)))))))))))</f>
        <v>0</v>
      </c>
      <c r="AI359" s="14">
        <f>IF($A359,$M359*(IF(Y359=regle!$B$11,regle!$B$23,IF(Y359=regle!$C$11,regle!$C$23,IF(Y359=regle!$D$11,regle!$D$23,IF(Y359=regle!$E$11,regle!$E$23,IF(Y359=regle!$F$11,regle!$F$23,IF(Y359=regle!$G$11,regle!$G$23,IF(Y359=regle!$H$11,regle!$H$23,IF(Y359=regle!$I$11,regle!$I$23,IF(Y359=regle!$J$11,regle!$J$23,0)))))))))))</f>
        <v>0</v>
      </c>
      <c r="AJ359" s="14">
        <f>IF($A359,$M359*(IF(Z359=regle!$B$11,regle!$B$23,IF(Z359=regle!$C$11,regle!$C$23,IF(Z359=regle!$D$11,regle!$D$23,IF(Z359=regle!$E$11,regle!$E$23,IF(Z359=regle!$F$11,regle!$F$23,IF(Z359=regle!$G$11,regle!$G$23,IF(Z359=regle!$H$11,regle!$H$23,IF(Z359=regle!$I$11,regle!$I$23,IF(Z359=regle!$J$11,regle!$J$23,0)))))))))))</f>
        <v>-76.149000000000001</v>
      </c>
      <c r="AK359" s="14">
        <f>IF($A359,$M359*(IF(AA359=regle!$B$11,regle!$B$23,IF(AA359=regle!$C$11,regle!$C$23,IF(AA359=regle!$D$11,regle!$D$23,IF(AA359=regle!$E$11,regle!$E$23,IF(AA359=regle!$F$11,regle!$F$23,IF(AA359=regle!$G$11,regle!$G$23,IF(AA359=regle!$H$11,regle!$H$23,IF(AA359=regle!$I$11,regle!$I$23,IF(AA359=regle!$J$11,regle!$J$23,0)))))))))))</f>
        <v>0</v>
      </c>
      <c r="AL359" s="14">
        <f>IF($A359,$M359*(IF(AB359=regle!$B$11,regle!$B$23,IF(AB359=regle!$C$11,regle!$C$23,IF(AB359=regle!$D$11,regle!$D$23,IF(AB359=regle!$E$11,regle!$E$23,IF(AB359=regle!$F$11,regle!$F$23,IF(AB359=regle!$G$11,regle!$G$23,IF(AB359=regle!$H$11,regle!$H$23,IF(AB359=regle!$I$11,regle!$I$23,IF(AB359=regle!$J$11,regle!$J$23,0)))))))))))</f>
        <v>0</v>
      </c>
      <c r="AM359" s="14">
        <f>IF($A359,$M359*(IF(AC359=regle!$B$11,regle!$B$23,IF(AC359=regle!$C$11,regle!$C$23,IF(AC359=regle!$D$11,regle!$D$23,IF(AC359=regle!$E$11,regle!$E$23,IF(AC359=regle!$F$11,regle!$F$23,IF(AC359=regle!$G$11,regle!$G$23,IF(AC359=regle!$H$11,regle!$H$23,IF(AC359=regle!$I$11,regle!$I$23,IF(AC359=regle!$J$11,regle!$J$23,0)))))))))))</f>
        <v>-76.149000000000001</v>
      </c>
      <c r="AN359" s="14">
        <f>IF($A359,$M359*(IF(AD359=regle!$B$11,regle!$B$23,IF(AD359=regle!$C$11,regle!$C$23,IF(AD359=regle!$D$11,regle!$D$23,IF(AD359=regle!$E$11,regle!$E$23,IF(AD359=regle!$F$11,regle!$F$23,IF(AD359=regle!$G$11,regle!$G$23,IF(AD359=regle!$H$11,regle!$H$23,IF(AD359=regle!$I$11,regle!$I$23,IF(AD359=regle!$J$11,regle!$J$23,0)))))))))))</f>
        <v>0</v>
      </c>
      <c r="AO359">
        <f>IF(AO$1=$AO$1,IF(regle!B$2-$Q359&gt;=regle!$J$12,-2,IF($S359,IF(regle!$B$2-$Q359&gt;=2,0,-1),regle!B$2-$Q359)),IF(AN359+1&gt;=regle!$J$12,-2,AN359+1))</f>
        <v>0</v>
      </c>
      <c r="AP359">
        <f>IF(AP$1=$AO$1,IF(regle!C$2-$Q359&gt;=regle!$J$12,-2,IF($S359,IF(regle!$B$2-$Q359&gt;=2,0,-1),regle!C$2-$Q359)),IF(AO359+1&gt;=regle!$J$12,-2,AO359+1))</f>
        <v>1</v>
      </c>
      <c r="AQ359">
        <f>IF(AQ$1=$AO$1,IF(regle!D$2-$Q359&gt;=regle!$J$12,-2,IF($S359,IF(regle!$B$2-$Q359&gt;=2,0,-1),regle!D$2-$Q359)),IF(AP359+1&gt;=regle!$J$12,-2,AP359+1))</f>
        <v>2</v>
      </c>
      <c r="AR359">
        <f>IF(AR$1=$AO$1,IF(regle!E$2-$Q359&gt;=regle!$J$12,-2,IF($S359,IF(regle!$B$2-$Q359&gt;=2,0,-1),regle!E$2-$Q359)),IF(AQ359+1&gt;=regle!$J$12,-2,AQ359+1))</f>
        <v>3</v>
      </c>
      <c r="AS359">
        <f>IF(AS$1=$AO$1,IF(regle!F$2-$Q359&gt;=regle!$J$12,-2,IF($S359,IF(regle!$B$2-$Q359&gt;=2,0,-1),regle!F$2-$Q359)),IF(AR359+1&gt;=regle!$J$12,-2,AR359+1))</f>
        <v>4</v>
      </c>
      <c r="AT359">
        <f>IF(AT$1=$AO$1,IF(regle!G$2-$Q359&gt;=regle!$J$12,-2,IF($S359,IF(regle!$B$2-$Q359&gt;=2,0,-1),regle!G$2-$Q359)),IF(AS359+1&gt;=regle!$J$12,-2,AS359+1))</f>
        <v>5</v>
      </c>
      <c r="AU359">
        <f>IF(AU$1=$AO$1,IF(regle!H$2-$Q359&gt;=regle!$J$12,-2,IF($S359,IF(regle!$B$2-$Q359&gt;=2,0,-1),regle!H$2-$Q359)),IF(AT359+1&gt;=regle!$J$12,-2,AT359+1))</f>
        <v>6</v>
      </c>
      <c r="AV359">
        <f>IF(AV$1=$AO$1,IF(regle!I$2-$Q359&gt;=regle!$J$12,-2,IF($S359,IF(regle!$B$2-$Q359&gt;=2,0,-1),regle!I$2-$Q359)),IF(AU359+1&gt;=regle!$J$12,-2,AU359+1))</f>
        <v>7</v>
      </c>
      <c r="AW359">
        <f>IF(AW$1=$AO$1,IF(regle!J$2-$Q359&gt;=regle!$J$12,-2,IF($S359,IF(regle!$B$2-$Q359&gt;=2,0,-1),regle!J$2-$Q359)),IF(AV359+1&gt;=regle!$J$12,-2,AV359+1))</f>
        <v>8</v>
      </c>
      <c r="AX359">
        <f>IF(AX$1=$AO$1,IF(regle!K$2-$Q359&gt;=regle!$J$12,-2,IF($S359,IF(regle!$B$2-$Q359&gt;=2,0,-1),regle!K$2-$Q359)),IF(AW359+1&gt;=regle!$J$12,-2,AW359+1))</f>
        <v>9</v>
      </c>
    </row>
    <row r="360" spans="1:50" x14ac:dyDescent="0.25">
      <c r="A360" t="b">
        <f>AND(modif0[[#This Row],[cdstr]]&lt;&gt;0,OR(regle!$H$27=FALSE,modif0[[#This Row],[essnc]]="PM"))</f>
        <v>1</v>
      </c>
      <c r="B360">
        <f>ROW(objet!A420)</f>
        <v>420</v>
      </c>
      <c r="C360" s="10" t="str">
        <f>objet!D420</f>
        <v>2000000M0080</v>
      </c>
      <c r="D360" t="str">
        <f>LEFT(modif0[[#This Row],[cdstr]],3)</f>
        <v>200</v>
      </c>
      <c r="E360" s="10" t="str">
        <f>objet!G420</f>
        <v>MOUSTEY</v>
      </c>
      <c r="F360">
        <f>LEN(modif0[[#This Row],[l_dt]])</f>
        <v>4</v>
      </c>
      <c r="G360" s="10" t="str">
        <f>objet!H420</f>
        <v>Kycs</v>
      </c>
      <c r="H360" s="10" t="str">
        <f>objet!C420</f>
        <v>M80k</v>
      </c>
      <c r="I360" t="str">
        <f>IF(ISNUMBER(VALUE(RIGHT(LEFT(modif0[[#This Row],[idntfn]],2),1))),_xlfn.CONCAT(0,LEFT(modif0[[#This Row],[idntfn]],1)),LEFT(modif0[[#This Row],[idntfn]],2))</f>
        <v>0M</v>
      </c>
      <c r="J360">
        <f>VALUE(LEFT(RIGHT(modif0[[#This Row],[idntfn]],LEN(modif0[[#This Row],[idntfn]])-IF(LEFT(modif0[[#This Row],[sctn]],1)="0",1,2)),LEN(modif0[[#This Row],[idntfn]])-IF(LEFT(modif0[[#This Row],[sctn]],1)="0",1,2)-LEN(modif0[[#This Row],[lttr]])))</f>
        <v>80</v>
      </c>
      <c r="K360" t="str">
        <f>IF(ISNUMBER(VALUE(RIGHT(modif0[[#This Row],[idntfn]],1))),"",IF(ISNUMBER(VALUE(LEFT(RIGHT(modif0[[#This Row],[idntfn]],2),1))),RIGHT(modif0[[#This Row],[idntfn]],1),RIGHT(modif0[[#This Row],[idntfn]],2)))</f>
        <v>k</v>
      </c>
      <c r="L360" s="10">
        <f>objet!I420</f>
        <v>38868</v>
      </c>
      <c r="M360" s="11">
        <f>modif0[[#This Row],[srfc]]/10000</f>
        <v>3.8868</v>
      </c>
      <c r="N360" s="10" t="str">
        <f>objet!Z420</f>
        <v>PM</v>
      </c>
      <c r="O360" s="10" t="str">
        <f>objet!AA420</f>
        <v>CR2021</v>
      </c>
      <c r="P360" t="str">
        <f>IF(ISNUMBER(modif0[[#This Row],[trvx]]),"",LEFT(modif0[[#This Row],[trvx]],LEN(modif0[[#This Row],[trvx]])-4))</f>
        <v>CR</v>
      </c>
      <c r="Q360">
        <f>VALUE(RIGHT(modif0[[#This Row],[trvx]],4))</f>
        <v>2021</v>
      </c>
      <c r="R360" t="str">
        <f>_xlfn.CONCAT(modif0[[#This Row],[tp]],"-",modif0[[#This Row],[essnc]],"_",modif0[[#This Row],[anns]])</f>
        <v>CR-PM_2021</v>
      </c>
      <c r="S360" t="b">
        <f>modif0[[#This Row],[tp]]="CR"</f>
        <v>1</v>
      </c>
      <c r="T360">
        <v>40</v>
      </c>
      <c r="U360" t="str">
        <f>IF(NOT($A360),"",
IF(AO360=-2,regle!$J$11,
IF(AO360=regle!$B$12,regle!$B$11,
IF(AO360=regle!$C$12,regle!$C$11,
IF(AO360=regle!$D$12,regle!$D$11,
IF(AO360=regle!$E$12,regle!$E$11,
IF(AO360=regle!$F$12,regle!$F$11,
IF(AO360=regle!$G$12,regle!$G$11,
IF(AO360=regle!$H$12,regle!$H$11,
IF(AO360=regle!$I$12,regle!$I$11,""))))))))))</f>
        <v>RBST</v>
      </c>
      <c r="V360" t="str">
        <f>IF(NOT($A360),"",
IF(AP360=-2,regle!$J$11,
IF(AP360=regle!$B$12,regle!$B$11,
IF(AP360=regle!$C$12,regle!$C$11,
IF(AP360=regle!$D$12,regle!$D$11,
IF(AP360=regle!$E$12,regle!$E$11,
IF(AP360=regle!$F$12,regle!$F$11,
IF(AP360=regle!$G$12,regle!$G$11,
IF(AP360=regle!$H$12,regle!$H$11,
IF(AP360=regle!$I$12,regle!$I$11,""))))))))))</f>
        <v/>
      </c>
      <c r="W360" t="str">
        <f>IF(NOT($A360),"",
IF(AQ360=-2,regle!$J$11,
IF(AQ360=regle!$B$12,regle!$B$11,
IF(AQ360=regle!$C$12,regle!$C$11,
IF(AQ360=regle!$D$12,regle!$D$11,
IF(AQ360=regle!$E$12,regle!$E$11,
IF(AQ360=regle!$F$12,regle!$F$11,
IF(AQ360=regle!$G$12,regle!$G$11,
IF(AQ360=regle!$H$12,regle!$H$11,
IF(AQ360=regle!$I$12,regle!$I$11,""))))))))))</f>
        <v>DGT</v>
      </c>
      <c r="X360" t="str">
        <f>IF(NOT($A360),"",
IF(AR360=-2,regle!$J$11,
IF(AR360=regle!$B$12,regle!$B$11,
IF(AR360=regle!$C$12,regle!$C$11,
IF(AR360=regle!$D$12,regle!$D$11,
IF(AR360=regle!$E$12,regle!$E$11,
IF(AR360=regle!$F$12,regle!$F$11,
IF(AR360=regle!$G$12,regle!$G$11,
IF(AR360=regle!$H$12,regle!$H$11,
IF(AR360=regle!$I$12,regle!$I$11,""))))))))))</f>
        <v/>
      </c>
      <c r="Y360" t="str">
        <f>IF(NOT($A360),"",
IF(AS360=-2,regle!$J$11,
IF(AS360=regle!$B$12,regle!$B$11,
IF(AS360=regle!$C$12,regle!$C$11,
IF(AS360=regle!$D$12,regle!$D$11,
IF(AS360=regle!$E$12,regle!$E$11,
IF(AS360=regle!$F$12,regle!$F$11,
IF(AS360=regle!$G$12,regle!$G$11,
IF(AS360=regle!$H$12,regle!$H$11,
IF(AS360=regle!$I$12,regle!$I$11,""))))))))))</f>
        <v/>
      </c>
      <c r="Z360" t="str">
        <f>IF(NOT($A360),"",
IF(AT360=-2,regle!$J$11,
IF(AT360=regle!$B$12,regle!$B$11,
IF(AT360=regle!$C$12,regle!$C$11,
IF(AT360=regle!$D$12,regle!$D$11,
IF(AT360=regle!$E$12,regle!$E$11,
IF(AT360=regle!$F$12,regle!$F$11,
IF(AT360=regle!$G$12,regle!$G$11,
IF(AT360=regle!$H$12,regle!$H$11,
IF(AT360=regle!$I$12,regle!$I$11,""))))))))))</f>
        <v>ENT1</v>
      </c>
      <c r="AA360" t="str">
        <f>IF(NOT($A360),"",
IF(AU360=-2,regle!$J$11,
IF(AU360=regle!$B$12,regle!$B$11,
IF(AU360=regle!$C$12,regle!$C$11,
IF(AU360=regle!$D$12,regle!$D$11,
IF(AU360=regle!$E$12,regle!$E$11,
IF(AU360=regle!$F$12,regle!$F$11,
IF(AU360=regle!$G$12,regle!$G$11,
IF(AU360=regle!$H$12,regle!$H$11,
IF(AU360=regle!$I$12,regle!$I$11,""))))))))))</f>
        <v/>
      </c>
      <c r="AB360" t="str">
        <f>IF(NOT($A360),"",
IF(AV360=-2,regle!$J$11,
IF(AV360=regle!$B$12,regle!$B$11,
IF(AV360=regle!$C$12,regle!$C$11,
IF(AV360=regle!$D$12,regle!$D$11,
IF(AV360=regle!$E$12,regle!$E$11,
IF(AV360=regle!$F$12,regle!$F$11,
IF(AV360=regle!$G$12,regle!$G$11,
IF(AV360=regle!$H$12,regle!$H$11,
IF(AV360=regle!$I$12,regle!$I$11,""))))))))))</f>
        <v/>
      </c>
      <c r="AC360" t="str">
        <f>IF(NOT($A360),"",
IF(AW360=-2,regle!$J$11,
IF(AW360=regle!$B$12,regle!$B$11,
IF(AW360=regle!$C$12,regle!$C$11,
IF(AW360=regle!$D$12,regle!$D$11,
IF(AW360=regle!$E$12,regle!$E$11,
IF(AW360=regle!$F$12,regle!$F$11,
IF(AW360=regle!$G$12,regle!$G$11,
IF(AW360=regle!$H$12,regle!$H$11,
IF(AW360=regle!$I$12,regle!$I$11,""))))))))))</f>
        <v>ENT2</v>
      </c>
      <c r="AD360" t="str">
        <f>IF(NOT($A360),"",
IF(AX360=-2,regle!$J$11,
IF(AX360=regle!$B$12,regle!$B$11,
IF(AX360=regle!$C$12,regle!$C$11,
IF(AX360=regle!$D$12,regle!$D$11,
IF(AX360=regle!$E$12,regle!$E$11,
IF(AX360=regle!$F$12,regle!$F$11,
IF(AX360=regle!$G$12,regle!$G$11,
IF(AX360=regle!$H$12,regle!$H$11,
IF(AX360=regle!$I$12,regle!$I$11,""))))))))))</f>
        <v/>
      </c>
      <c r="AE360" s="14">
        <f>IF($A360,$M360*(IF(U360=regle!$B$11,regle!$B$23,IF(U360=regle!$C$11,regle!$C$23,IF(U360=regle!$D$11,regle!$D$23,IF(U360=regle!$E$11,regle!$E$23,IF(U360=regle!$F$11,regle!$F$23,IF(U360=regle!$G$11,regle!$G$23,IF(U360=regle!$H$11,regle!$H$23,IF(U360=regle!$I$11,regle!$I$23,IF(U360=regle!$J$11,regle!$J$23,0)))))))))))</f>
        <v>-6607.56</v>
      </c>
      <c r="AF360" s="14">
        <f>IF($A360,$M360*(IF(V360=regle!$B$11,regle!$B$23,IF(V360=regle!$C$11,regle!$C$23,IF(V360=regle!$D$11,regle!$D$23,IF(V360=regle!$E$11,regle!$E$23,IF(V360=regle!$F$11,regle!$F$23,IF(V360=regle!$G$11,regle!$G$23,IF(V360=regle!$H$11,regle!$H$23,IF(V360=regle!$I$11,regle!$I$23,IF(V360=regle!$J$11,regle!$J$23,0)))))))))))</f>
        <v>0</v>
      </c>
      <c r="AG360" s="14">
        <f>IF($A360,$M360*(IF(W360=regle!$B$11,regle!$B$23,IF(W360=regle!$C$11,regle!$C$23,IF(W360=regle!$D$11,regle!$D$23,IF(W360=regle!$E$11,regle!$E$23,IF(W360=regle!$F$11,regle!$F$23,IF(W360=regle!$G$11,regle!$G$23,IF(W360=regle!$H$11,regle!$H$23,IF(W360=regle!$I$11,regle!$I$23,IF(W360=regle!$J$11,regle!$J$23,0)))))))))))</f>
        <v>-291.51</v>
      </c>
      <c r="AH360" s="14">
        <f>IF($A360,$M360*(IF(X360=regle!$B$11,regle!$B$23,IF(X360=regle!$C$11,regle!$C$23,IF(X360=regle!$D$11,regle!$D$23,IF(X360=regle!$E$11,regle!$E$23,IF(X360=regle!$F$11,regle!$F$23,IF(X360=regle!$G$11,regle!$G$23,IF(X360=regle!$H$11,regle!$H$23,IF(X360=regle!$I$11,regle!$I$23,IF(X360=regle!$J$11,regle!$J$23,0)))))))))))</f>
        <v>0</v>
      </c>
      <c r="AI360" s="14">
        <f>IF($A360,$M360*(IF(Y360=regle!$B$11,regle!$B$23,IF(Y360=regle!$C$11,regle!$C$23,IF(Y360=regle!$D$11,regle!$D$23,IF(Y360=regle!$E$11,regle!$E$23,IF(Y360=regle!$F$11,regle!$F$23,IF(Y360=regle!$G$11,regle!$G$23,IF(Y360=regle!$H$11,regle!$H$23,IF(Y360=regle!$I$11,regle!$I$23,IF(Y360=regle!$J$11,regle!$J$23,0)))))))))))</f>
        <v>0</v>
      </c>
      <c r="AJ360" s="14">
        <f>IF($A360,$M360*(IF(Z360=regle!$B$11,regle!$B$23,IF(Z360=regle!$C$11,regle!$C$23,IF(Z360=regle!$D$11,regle!$D$23,IF(Z360=regle!$E$11,regle!$E$23,IF(Z360=regle!$F$11,regle!$F$23,IF(Z360=regle!$G$11,regle!$G$23,IF(Z360=regle!$H$11,regle!$H$23,IF(Z360=regle!$I$11,regle!$I$23,IF(Z360=regle!$J$11,regle!$J$23,0)))))))))))</f>
        <v>-349.81200000000001</v>
      </c>
      <c r="AK360" s="14">
        <f>IF($A360,$M360*(IF(AA360=regle!$B$11,regle!$B$23,IF(AA360=regle!$C$11,regle!$C$23,IF(AA360=regle!$D$11,regle!$D$23,IF(AA360=regle!$E$11,regle!$E$23,IF(AA360=regle!$F$11,regle!$F$23,IF(AA360=regle!$G$11,regle!$G$23,IF(AA360=regle!$H$11,regle!$H$23,IF(AA360=regle!$I$11,regle!$I$23,IF(AA360=regle!$J$11,regle!$J$23,0)))))))))))</f>
        <v>0</v>
      </c>
      <c r="AL360" s="14">
        <f>IF($A360,$M360*(IF(AB360=regle!$B$11,regle!$B$23,IF(AB360=regle!$C$11,regle!$C$23,IF(AB360=regle!$D$11,regle!$D$23,IF(AB360=regle!$E$11,regle!$E$23,IF(AB360=regle!$F$11,regle!$F$23,IF(AB360=regle!$G$11,regle!$G$23,IF(AB360=regle!$H$11,regle!$H$23,IF(AB360=regle!$I$11,regle!$I$23,IF(AB360=regle!$J$11,regle!$J$23,0)))))))))))</f>
        <v>0</v>
      </c>
      <c r="AM360" s="14">
        <f>IF($A360,$M360*(IF(AC360=regle!$B$11,regle!$B$23,IF(AC360=regle!$C$11,regle!$C$23,IF(AC360=regle!$D$11,regle!$D$23,IF(AC360=regle!$E$11,regle!$E$23,IF(AC360=regle!$F$11,regle!$F$23,IF(AC360=regle!$G$11,regle!$G$23,IF(AC360=regle!$H$11,regle!$H$23,IF(AC360=regle!$I$11,regle!$I$23,IF(AC360=regle!$J$11,regle!$J$23,0)))))))))))</f>
        <v>-349.81200000000001</v>
      </c>
      <c r="AN360" s="14">
        <f>IF($A360,$M360*(IF(AD360=regle!$B$11,regle!$B$23,IF(AD360=regle!$C$11,regle!$C$23,IF(AD360=regle!$D$11,regle!$D$23,IF(AD360=regle!$E$11,regle!$E$23,IF(AD360=regle!$F$11,regle!$F$23,IF(AD360=regle!$G$11,regle!$G$23,IF(AD360=regle!$H$11,regle!$H$23,IF(AD360=regle!$I$11,regle!$I$23,IF(AD360=regle!$J$11,regle!$J$23,0)))))))))))</f>
        <v>0</v>
      </c>
      <c r="AO360">
        <f>IF(AO$1=$AO$1,IF(regle!B$2-$Q360&gt;=regle!$J$12,-2,IF($S360,IF(regle!$B$2-$Q360&gt;=2,0,-1),regle!B$2-$Q360)),IF(AN360+1&gt;=regle!$J$12,-2,AN360+1))</f>
        <v>0</v>
      </c>
      <c r="AP360">
        <f>IF(AP$1=$AO$1,IF(regle!C$2-$Q360&gt;=regle!$J$12,-2,IF($S360,IF(regle!$B$2-$Q360&gt;=2,0,-1),regle!C$2-$Q360)),IF(AO360+1&gt;=regle!$J$12,-2,AO360+1))</f>
        <v>1</v>
      </c>
      <c r="AQ360">
        <f>IF(AQ$1=$AO$1,IF(regle!D$2-$Q360&gt;=regle!$J$12,-2,IF($S360,IF(regle!$B$2-$Q360&gt;=2,0,-1),regle!D$2-$Q360)),IF(AP360+1&gt;=regle!$J$12,-2,AP360+1))</f>
        <v>2</v>
      </c>
      <c r="AR360">
        <f>IF(AR$1=$AO$1,IF(regle!E$2-$Q360&gt;=regle!$J$12,-2,IF($S360,IF(regle!$B$2-$Q360&gt;=2,0,-1),regle!E$2-$Q360)),IF(AQ360+1&gt;=regle!$J$12,-2,AQ360+1))</f>
        <v>3</v>
      </c>
      <c r="AS360">
        <f>IF(AS$1=$AO$1,IF(regle!F$2-$Q360&gt;=regle!$J$12,-2,IF($S360,IF(regle!$B$2-$Q360&gt;=2,0,-1),regle!F$2-$Q360)),IF(AR360+1&gt;=regle!$J$12,-2,AR360+1))</f>
        <v>4</v>
      </c>
      <c r="AT360">
        <f>IF(AT$1=$AO$1,IF(regle!G$2-$Q360&gt;=regle!$J$12,-2,IF($S360,IF(regle!$B$2-$Q360&gt;=2,0,-1),regle!G$2-$Q360)),IF(AS360+1&gt;=regle!$J$12,-2,AS360+1))</f>
        <v>5</v>
      </c>
      <c r="AU360">
        <f>IF(AU$1=$AO$1,IF(regle!H$2-$Q360&gt;=regle!$J$12,-2,IF($S360,IF(regle!$B$2-$Q360&gt;=2,0,-1),regle!H$2-$Q360)),IF(AT360+1&gt;=regle!$J$12,-2,AT360+1))</f>
        <v>6</v>
      </c>
      <c r="AV360">
        <f>IF(AV$1=$AO$1,IF(regle!I$2-$Q360&gt;=regle!$J$12,-2,IF($S360,IF(regle!$B$2-$Q360&gt;=2,0,-1),regle!I$2-$Q360)),IF(AU360+1&gt;=regle!$J$12,-2,AU360+1))</f>
        <v>7</v>
      </c>
      <c r="AW360">
        <f>IF(AW$1=$AO$1,IF(regle!J$2-$Q360&gt;=regle!$J$12,-2,IF($S360,IF(regle!$B$2-$Q360&gt;=2,0,-1),regle!J$2-$Q360)),IF(AV360+1&gt;=regle!$J$12,-2,AV360+1))</f>
        <v>8</v>
      </c>
      <c r="AX360">
        <f>IF(AX$1=$AO$1,IF(regle!K$2-$Q360&gt;=regle!$J$12,-2,IF($S360,IF(regle!$B$2-$Q360&gt;=2,0,-1),regle!K$2-$Q360)),IF(AW360+1&gt;=regle!$J$12,-2,AW360+1))</f>
        <v>9</v>
      </c>
    </row>
    <row r="361" spans="1:50" x14ac:dyDescent="0.25">
      <c r="A361" t="b">
        <f>AND(modif0[[#This Row],[cdstr]]&lt;&gt;0,OR(regle!$H$27=FALSE,modif0[[#This Row],[essnc]]="PM"))</f>
        <v>1</v>
      </c>
      <c r="B361">
        <f>ROW(objet!A421)</f>
        <v>421</v>
      </c>
      <c r="C361" s="10" t="str">
        <f>objet!D421</f>
        <v>2000000M0080</v>
      </c>
      <c r="D361" t="str">
        <f>LEFT(modif0[[#This Row],[cdstr]],3)</f>
        <v>200</v>
      </c>
      <c r="E361" s="10" t="str">
        <f>objet!G421</f>
        <v>MOUSTEY</v>
      </c>
      <c r="F361">
        <f>LEN(modif0[[#This Row],[l_dt]])</f>
        <v>4</v>
      </c>
      <c r="G361" s="10" t="str">
        <f>objet!H421</f>
        <v>Kycs</v>
      </c>
      <c r="H361" s="10" t="str">
        <f>objet!C421</f>
        <v>M80l</v>
      </c>
      <c r="I361" t="str">
        <f>IF(ISNUMBER(VALUE(RIGHT(LEFT(modif0[[#This Row],[idntfn]],2),1))),_xlfn.CONCAT(0,LEFT(modif0[[#This Row],[idntfn]],1)),LEFT(modif0[[#This Row],[idntfn]],2))</f>
        <v>0M</v>
      </c>
      <c r="J361">
        <f>VALUE(LEFT(RIGHT(modif0[[#This Row],[idntfn]],LEN(modif0[[#This Row],[idntfn]])-IF(LEFT(modif0[[#This Row],[sctn]],1)="0",1,2)),LEN(modif0[[#This Row],[idntfn]])-IF(LEFT(modif0[[#This Row],[sctn]],1)="0",1,2)-LEN(modif0[[#This Row],[lttr]])))</f>
        <v>80</v>
      </c>
      <c r="K361" t="str">
        <f>IF(ISNUMBER(VALUE(RIGHT(modif0[[#This Row],[idntfn]],1))),"",IF(ISNUMBER(VALUE(LEFT(RIGHT(modif0[[#This Row],[idntfn]],2),1))),RIGHT(modif0[[#This Row],[idntfn]],1),RIGHT(modif0[[#This Row],[idntfn]],2)))</f>
        <v>l</v>
      </c>
      <c r="L361" s="10">
        <f>objet!I421</f>
        <v>107025</v>
      </c>
      <c r="M361" s="11">
        <f>modif0[[#This Row],[srfc]]/10000</f>
        <v>10.702500000000001</v>
      </c>
      <c r="N361" s="10" t="str">
        <f>objet!Z421</f>
        <v>PM</v>
      </c>
      <c r="O361" s="10" t="str">
        <f>objet!AA421</f>
        <v>PLA2014</v>
      </c>
      <c r="P361" t="str">
        <f>IF(ISNUMBER(modif0[[#This Row],[trvx]]),"",LEFT(modif0[[#This Row],[trvx]],LEN(modif0[[#This Row],[trvx]])-4))</f>
        <v>PLA</v>
      </c>
      <c r="Q361">
        <f>VALUE(RIGHT(modif0[[#This Row],[trvx]],4))</f>
        <v>2014</v>
      </c>
      <c r="R361" t="str">
        <f>_xlfn.CONCAT(modif0[[#This Row],[tp]],"-",modif0[[#This Row],[essnc]],"_",modif0[[#This Row],[anns]])</f>
        <v>PLA-PM_2014</v>
      </c>
      <c r="S361" t="b">
        <f>modif0[[#This Row],[tp]]="CR"</f>
        <v>0</v>
      </c>
      <c r="T361">
        <v>40</v>
      </c>
      <c r="U361" t="str">
        <f>IF(NOT($A361),"",
IF(AO361=-2,regle!$J$11,
IF(AO361=regle!$B$12,regle!$B$11,
IF(AO361=regle!$C$12,regle!$C$11,
IF(AO361=regle!$D$12,regle!$D$11,
IF(AO361=regle!$E$12,regle!$E$11,
IF(AO361=regle!$F$12,regle!$F$11,
IF(AO361=regle!$G$12,regle!$G$11,
IF(AO361=regle!$H$12,regle!$H$11,
IF(AO361=regle!$I$12,regle!$I$11,""))))))))))</f>
        <v/>
      </c>
      <c r="V361" t="str">
        <f>IF(NOT($A361),"",
IF(AP361=-2,regle!$J$11,
IF(AP361=regle!$B$12,regle!$B$11,
IF(AP361=regle!$C$12,regle!$C$11,
IF(AP361=regle!$D$12,regle!$D$11,
IF(AP361=regle!$E$12,regle!$E$11,
IF(AP361=regle!$F$12,regle!$F$11,
IF(AP361=regle!$G$12,regle!$G$11,
IF(AP361=regle!$H$12,regle!$H$11,
IF(AP361=regle!$I$12,regle!$I$11,""))))))))))</f>
        <v/>
      </c>
      <c r="W361" t="str">
        <f>IF(NOT($A361),"",
IF(AQ361=-2,regle!$J$11,
IF(AQ361=regle!$B$12,regle!$B$11,
IF(AQ361=regle!$C$12,regle!$C$11,
IF(AQ361=regle!$D$12,regle!$D$11,
IF(AQ361=regle!$E$12,regle!$E$11,
IF(AQ361=regle!$F$12,regle!$F$11,
IF(AQ361=regle!$G$12,regle!$G$11,
IF(AQ361=regle!$H$12,regle!$H$11,
IF(AQ361=regle!$I$12,regle!$I$11,""))))))))))</f>
        <v/>
      </c>
      <c r="X361" t="str">
        <f>IF(NOT($A361),"",
IF(AR361=-2,regle!$J$11,
IF(AR361=regle!$B$12,regle!$B$11,
IF(AR361=regle!$C$12,regle!$C$11,
IF(AR361=regle!$D$12,regle!$D$11,
IF(AR361=regle!$E$12,regle!$E$11,
IF(AR361=regle!$F$12,regle!$F$11,
IF(AR361=regle!$G$12,regle!$G$11,
IF(AR361=regle!$H$12,regle!$H$11,
IF(AR361=regle!$I$12,regle!$I$11,""))))))))))</f>
        <v>EC1</v>
      </c>
      <c r="Y361" t="str">
        <f>IF(NOT($A361),"",
IF(AS361=-2,regle!$J$11,
IF(AS361=regle!$B$12,regle!$B$11,
IF(AS361=regle!$C$12,regle!$C$11,
IF(AS361=regle!$D$12,regle!$D$11,
IF(AS361=regle!$E$12,regle!$E$11,
IF(AS361=regle!$F$12,regle!$F$11,
IF(AS361=regle!$G$12,regle!$G$11,
IF(AS361=regle!$H$12,regle!$H$11,
IF(AS361=regle!$I$12,regle!$I$11,""))))))))))</f>
        <v/>
      </c>
      <c r="Z361" t="str">
        <f>IF(NOT($A361),"",
IF(AT361=-2,regle!$J$11,
IF(AT361=regle!$B$12,regle!$B$11,
IF(AT361=regle!$C$12,regle!$C$11,
IF(AT361=regle!$D$12,regle!$D$11,
IF(AT361=regle!$E$12,regle!$E$11,
IF(AT361=regle!$F$12,regle!$F$11,
IF(AT361=regle!$G$12,regle!$G$11,
IF(AT361=regle!$H$12,regle!$H$11,
IF(AT361=regle!$I$12,regle!$I$11,""))))))))))</f>
        <v/>
      </c>
      <c r="AA361" t="str">
        <f>IF(NOT($A361),"",
IF(AU361=-2,regle!$J$11,
IF(AU361=regle!$B$12,regle!$B$11,
IF(AU361=regle!$C$12,regle!$C$11,
IF(AU361=regle!$D$12,regle!$D$11,
IF(AU361=regle!$E$12,regle!$E$11,
IF(AU361=regle!$F$12,regle!$F$11,
IF(AU361=regle!$G$12,regle!$G$11,
IF(AU361=regle!$H$12,regle!$H$11,
IF(AU361=regle!$I$12,regle!$I$11,""))))))))))</f>
        <v/>
      </c>
      <c r="AB361" t="str">
        <f>IF(NOT($A361),"",
IF(AV361=-2,regle!$J$11,
IF(AV361=regle!$B$12,regle!$B$11,
IF(AV361=regle!$C$12,regle!$C$11,
IF(AV361=regle!$D$12,regle!$D$11,
IF(AV361=regle!$E$12,regle!$E$11,
IF(AV361=regle!$F$12,regle!$F$11,
IF(AV361=regle!$G$12,regle!$G$11,
IF(AV361=regle!$H$12,regle!$H$11,
IF(AV361=regle!$I$12,regle!$I$11,""))))))))))</f>
        <v/>
      </c>
      <c r="AC361" t="str">
        <f>IF(NOT($A361),"",
IF(AW361=-2,regle!$J$11,
IF(AW361=regle!$B$12,regle!$B$11,
IF(AW361=regle!$C$12,regle!$C$11,
IF(AW361=regle!$D$12,regle!$D$11,
IF(AW361=regle!$E$12,regle!$E$11,
IF(AW361=regle!$F$12,regle!$F$11,
IF(AW361=regle!$G$12,regle!$G$11,
IF(AW361=regle!$H$12,regle!$H$11,
IF(AW361=regle!$I$12,regle!$I$11,""))))))))))</f>
        <v>EC2</v>
      </c>
      <c r="AD361" t="str">
        <f>IF(NOT($A361),"",
IF(AX361=-2,regle!$J$11,
IF(AX361=regle!$B$12,regle!$B$11,
IF(AX361=regle!$C$12,regle!$C$11,
IF(AX361=regle!$D$12,regle!$D$11,
IF(AX361=regle!$E$12,regle!$E$11,
IF(AX361=regle!$F$12,regle!$F$11,
IF(AX361=regle!$G$12,regle!$G$11,
IF(AX361=regle!$H$12,regle!$H$11,
IF(AX361=regle!$I$12,regle!$I$11,""))))))))))</f>
        <v/>
      </c>
      <c r="AE361" s="14">
        <f>IF($A361,$M361*(IF(U361=regle!$B$11,regle!$B$23,IF(U361=regle!$C$11,regle!$C$23,IF(U361=regle!$D$11,regle!$D$23,IF(U361=regle!$E$11,regle!$E$23,IF(U361=regle!$F$11,regle!$F$23,IF(U361=regle!$G$11,regle!$G$23,IF(U361=regle!$H$11,regle!$H$23,IF(U361=regle!$I$11,regle!$I$23,IF(U361=regle!$J$11,regle!$J$23,0)))))))))))</f>
        <v>0</v>
      </c>
      <c r="AF361" s="14">
        <f>IF($A361,$M361*(IF(V361=regle!$B$11,regle!$B$23,IF(V361=regle!$C$11,regle!$C$23,IF(V361=regle!$D$11,regle!$D$23,IF(V361=regle!$E$11,regle!$E$23,IF(V361=regle!$F$11,regle!$F$23,IF(V361=regle!$G$11,regle!$G$23,IF(V361=regle!$H$11,regle!$H$23,IF(V361=regle!$I$11,regle!$I$23,IF(V361=regle!$J$11,regle!$J$23,0)))))))))))</f>
        <v>0</v>
      </c>
      <c r="AG361" s="14">
        <f>IF($A361,$M361*(IF(W361=regle!$B$11,regle!$B$23,IF(W361=regle!$C$11,regle!$C$23,IF(W361=regle!$D$11,regle!$D$23,IF(W361=regle!$E$11,regle!$E$23,IF(W361=regle!$F$11,regle!$F$23,IF(W361=regle!$G$11,regle!$G$23,IF(W361=regle!$H$11,regle!$H$23,IF(W361=regle!$I$11,regle!$I$23,IF(W361=regle!$J$11,regle!$J$23,0)))))))))))</f>
        <v>0</v>
      </c>
      <c r="AH361" s="14">
        <f>IF($A361,$M361*(IF(X361=regle!$B$11,regle!$B$23,IF(X361=regle!$C$11,regle!$C$23,IF(X361=regle!$D$11,regle!$D$23,IF(X361=regle!$E$11,regle!$E$23,IF(X361=regle!$F$11,regle!$F$23,IF(X361=regle!$G$11,regle!$G$23,IF(X361=regle!$H$11,regle!$H$23,IF(X361=regle!$I$11,regle!$I$23,IF(X361=regle!$J$11,regle!$J$23,0)))))))))))</f>
        <v>6164.64</v>
      </c>
      <c r="AI361" s="14">
        <f>IF($A361,$M361*(IF(Y361=regle!$B$11,regle!$B$23,IF(Y361=regle!$C$11,regle!$C$23,IF(Y361=regle!$D$11,regle!$D$23,IF(Y361=regle!$E$11,regle!$E$23,IF(Y361=regle!$F$11,regle!$F$23,IF(Y361=regle!$G$11,regle!$G$23,IF(Y361=regle!$H$11,regle!$H$23,IF(Y361=regle!$I$11,regle!$I$23,IF(Y361=regle!$J$11,regle!$J$23,0)))))))))))</f>
        <v>0</v>
      </c>
      <c r="AJ361" s="14">
        <f>IF($A361,$M361*(IF(Z361=regle!$B$11,regle!$B$23,IF(Z361=regle!$C$11,regle!$C$23,IF(Z361=regle!$D$11,regle!$D$23,IF(Z361=regle!$E$11,regle!$E$23,IF(Z361=regle!$F$11,regle!$F$23,IF(Z361=regle!$G$11,regle!$G$23,IF(Z361=regle!$H$11,regle!$H$23,IF(Z361=regle!$I$11,regle!$I$23,IF(Z361=regle!$J$11,regle!$J$23,0)))))))))))</f>
        <v>0</v>
      </c>
      <c r="AK361" s="14">
        <f>IF($A361,$M361*(IF(AA361=regle!$B$11,regle!$B$23,IF(AA361=regle!$C$11,regle!$C$23,IF(AA361=regle!$D$11,regle!$D$23,IF(AA361=regle!$E$11,regle!$E$23,IF(AA361=regle!$F$11,regle!$F$23,IF(AA361=regle!$G$11,regle!$G$23,IF(AA361=regle!$H$11,regle!$H$23,IF(AA361=regle!$I$11,regle!$I$23,IF(AA361=regle!$J$11,regle!$J$23,0)))))))))))</f>
        <v>0</v>
      </c>
      <c r="AL361" s="14">
        <f>IF($A361,$M361*(IF(AB361=regle!$B$11,regle!$B$23,IF(AB361=regle!$C$11,regle!$C$23,IF(AB361=regle!$D$11,regle!$D$23,IF(AB361=regle!$E$11,regle!$E$23,IF(AB361=regle!$F$11,regle!$F$23,IF(AB361=regle!$G$11,regle!$G$23,IF(AB361=regle!$H$11,regle!$H$23,IF(AB361=regle!$I$11,regle!$I$23,IF(AB361=regle!$J$11,regle!$J$23,0)))))))))))</f>
        <v>0</v>
      </c>
      <c r="AM361" s="14">
        <f>IF($A361,$M361*(IF(AC361=regle!$B$11,regle!$B$23,IF(AC361=regle!$C$11,regle!$C$23,IF(AC361=regle!$D$11,regle!$D$23,IF(AC361=regle!$E$11,regle!$E$23,IF(AC361=regle!$F$11,regle!$F$23,IF(AC361=regle!$G$11,regle!$G$23,IF(AC361=regle!$H$11,regle!$H$23,IF(AC361=regle!$I$11,regle!$I$23,IF(AC361=regle!$J$11,regle!$J$23,0)))))))))))</f>
        <v>8990.1</v>
      </c>
      <c r="AN361" s="14">
        <f>IF($A361,$M361*(IF(AD361=regle!$B$11,regle!$B$23,IF(AD361=regle!$C$11,regle!$C$23,IF(AD361=regle!$D$11,regle!$D$23,IF(AD361=regle!$E$11,regle!$E$23,IF(AD361=regle!$F$11,regle!$F$23,IF(AD361=regle!$G$11,regle!$G$23,IF(AD361=regle!$H$11,regle!$H$23,IF(AD361=regle!$I$11,regle!$I$23,IF(AD361=regle!$J$11,regle!$J$23,0)))))))))))</f>
        <v>0</v>
      </c>
      <c r="AO361">
        <f>IF(AO$1=$AO$1,IF(regle!B$2-$Q361&gt;=regle!$J$12,-2,IF($S361,IF(regle!$B$2-$Q361&gt;=2,0,-1),regle!B$2-$Q361)),IF(AN361+1&gt;=regle!$J$12,-2,AN361+1))</f>
        <v>10</v>
      </c>
      <c r="AP361">
        <f>IF(AP$1=$AO$1,IF(regle!C$2-$Q361&gt;=regle!$J$12,-2,IF($S361,IF(regle!$B$2-$Q361&gt;=2,0,-1),regle!C$2-$Q361)),IF(AO361+1&gt;=regle!$J$12,-2,AO361+1))</f>
        <v>11</v>
      </c>
      <c r="AQ361">
        <f>IF(AQ$1=$AO$1,IF(regle!D$2-$Q361&gt;=regle!$J$12,-2,IF($S361,IF(regle!$B$2-$Q361&gt;=2,0,-1),regle!D$2-$Q361)),IF(AP361+1&gt;=regle!$J$12,-2,AP361+1))</f>
        <v>12</v>
      </c>
      <c r="AR361">
        <f>IF(AR$1=$AO$1,IF(regle!E$2-$Q361&gt;=regle!$J$12,-2,IF($S361,IF(regle!$B$2-$Q361&gt;=2,0,-1),regle!E$2-$Q361)),IF(AQ361+1&gt;=regle!$J$12,-2,AQ361+1))</f>
        <v>13</v>
      </c>
      <c r="AS361">
        <f>IF(AS$1=$AO$1,IF(regle!F$2-$Q361&gt;=regle!$J$12,-2,IF($S361,IF(regle!$B$2-$Q361&gt;=2,0,-1),regle!F$2-$Q361)),IF(AR361+1&gt;=regle!$J$12,-2,AR361+1))</f>
        <v>14</v>
      </c>
      <c r="AT361">
        <f>IF(AT$1=$AO$1,IF(regle!G$2-$Q361&gt;=regle!$J$12,-2,IF($S361,IF(regle!$B$2-$Q361&gt;=2,0,-1),regle!G$2-$Q361)),IF(AS361+1&gt;=regle!$J$12,-2,AS361+1))</f>
        <v>15</v>
      </c>
      <c r="AU361">
        <f>IF(AU$1=$AO$1,IF(regle!H$2-$Q361&gt;=regle!$J$12,-2,IF($S361,IF(regle!$B$2-$Q361&gt;=2,0,-1),regle!H$2-$Q361)),IF(AT361+1&gt;=regle!$J$12,-2,AT361+1))</f>
        <v>16</v>
      </c>
      <c r="AV361">
        <f>IF(AV$1=$AO$1,IF(regle!I$2-$Q361&gt;=regle!$J$12,-2,IF($S361,IF(regle!$B$2-$Q361&gt;=2,0,-1),regle!I$2-$Q361)),IF(AU361+1&gt;=regle!$J$12,-2,AU361+1))</f>
        <v>17</v>
      </c>
      <c r="AW361">
        <f>IF(AW$1=$AO$1,IF(regle!J$2-$Q361&gt;=regle!$J$12,-2,IF($S361,IF(regle!$B$2-$Q361&gt;=2,0,-1),regle!J$2-$Q361)),IF(AV361+1&gt;=regle!$J$12,-2,AV361+1))</f>
        <v>18</v>
      </c>
      <c r="AX361">
        <f>IF(AX$1=$AO$1,IF(regle!K$2-$Q361&gt;=regle!$J$12,-2,IF($S361,IF(regle!$B$2-$Q361&gt;=2,0,-1),regle!K$2-$Q361)),IF(AW361+1&gt;=regle!$J$12,-2,AW361+1))</f>
        <v>19</v>
      </c>
    </row>
    <row r="362" spans="1:50" x14ac:dyDescent="0.25">
      <c r="A362" t="b">
        <f>AND(modif0[[#This Row],[cdstr]]&lt;&gt;0,OR(regle!$H$27=FALSE,modif0[[#This Row],[essnc]]="PM"))</f>
        <v>1</v>
      </c>
      <c r="B362">
        <f>ROW(objet!A422)</f>
        <v>422</v>
      </c>
      <c r="C362" s="10" t="str">
        <f>objet!D422</f>
        <v>2000000M0080</v>
      </c>
      <c r="D362" t="str">
        <f>LEFT(modif0[[#This Row],[cdstr]],3)</f>
        <v>200</v>
      </c>
      <c r="E362" s="10" t="str">
        <f>objet!G422</f>
        <v>MOUSTEY</v>
      </c>
      <c r="F362">
        <f>LEN(modif0[[#This Row],[l_dt]])</f>
        <v>4</v>
      </c>
      <c r="G362" s="10" t="str">
        <f>objet!H422</f>
        <v>Kycs</v>
      </c>
      <c r="H362" s="10" t="str">
        <f>objet!C422</f>
        <v>M80m</v>
      </c>
      <c r="I362" t="str">
        <f>IF(ISNUMBER(VALUE(RIGHT(LEFT(modif0[[#This Row],[idntfn]],2),1))),_xlfn.CONCAT(0,LEFT(modif0[[#This Row],[idntfn]],1)),LEFT(modif0[[#This Row],[idntfn]],2))</f>
        <v>0M</v>
      </c>
      <c r="J362">
        <f>VALUE(LEFT(RIGHT(modif0[[#This Row],[idntfn]],LEN(modif0[[#This Row],[idntfn]])-IF(LEFT(modif0[[#This Row],[sctn]],1)="0",1,2)),LEN(modif0[[#This Row],[idntfn]])-IF(LEFT(modif0[[#This Row],[sctn]],1)="0",1,2)-LEN(modif0[[#This Row],[lttr]])))</f>
        <v>80</v>
      </c>
      <c r="K362" t="str">
        <f>IF(ISNUMBER(VALUE(RIGHT(modif0[[#This Row],[idntfn]],1))),"",IF(ISNUMBER(VALUE(LEFT(RIGHT(modif0[[#This Row],[idntfn]],2),1))),RIGHT(modif0[[#This Row],[idntfn]],1),RIGHT(modif0[[#This Row],[idntfn]],2)))</f>
        <v>m</v>
      </c>
      <c r="L362" s="10">
        <f>objet!I422</f>
        <v>11144</v>
      </c>
      <c r="M362" s="11">
        <f>modif0[[#This Row],[srfc]]/10000</f>
        <v>1.1144000000000001</v>
      </c>
      <c r="N362" s="10" t="str">
        <f>objet!Z422</f>
        <v>PM</v>
      </c>
      <c r="O362" s="10" t="str">
        <f>objet!AA422</f>
        <v>CR2021</v>
      </c>
      <c r="P362" t="str">
        <f>IF(ISNUMBER(modif0[[#This Row],[trvx]]),"",LEFT(modif0[[#This Row],[trvx]],LEN(modif0[[#This Row],[trvx]])-4))</f>
        <v>CR</v>
      </c>
      <c r="Q362">
        <f>VALUE(RIGHT(modif0[[#This Row],[trvx]],4))</f>
        <v>2021</v>
      </c>
      <c r="R362" t="str">
        <f>_xlfn.CONCAT(modif0[[#This Row],[tp]],"-",modif0[[#This Row],[essnc]],"_",modif0[[#This Row],[anns]])</f>
        <v>CR-PM_2021</v>
      </c>
      <c r="S362" t="b">
        <f>modif0[[#This Row],[tp]]="CR"</f>
        <v>1</v>
      </c>
      <c r="T362">
        <v>40</v>
      </c>
      <c r="U362" t="str">
        <f>IF(NOT($A362),"",
IF(AO362=-2,regle!$J$11,
IF(AO362=regle!$B$12,regle!$B$11,
IF(AO362=regle!$C$12,regle!$C$11,
IF(AO362=regle!$D$12,regle!$D$11,
IF(AO362=regle!$E$12,regle!$E$11,
IF(AO362=regle!$F$12,regle!$F$11,
IF(AO362=regle!$G$12,regle!$G$11,
IF(AO362=regle!$H$12,regle!$H$11,
IF(AO362=regle!$I$12,regle!$I$11,""))))))))))</f>
        <v>RBST</v>
      </c>
      <c r="V362" t="str">
        <f>IF(NOT($A362),"",
IF(AP362=-2,regle!$J$11,
IF(AP362=regle!$B$12,regle!$B$11,
IF(AP362=regle!$C$12,regle!$C$11,
IF(AP362=regle!$D$12,regle!$D$11,
IF(AP362=regle!$E$12,regle!$E$11,
IF(AP362=regle!$F$12,regle!$F$11,
IF(AP362=regle!$G$12,regle!$G$11,
IF(AP362=regle!$H$12,regle!$H$11,
IF(AP362=regle!$I$12,regle!$I$11,""))))))))))</f>
        <v/>
      </c>
      <c r="W362" t="str">
        <f>IF(NOT($A362),"",
IF(AQ362=-2,regle!$J$11,
IF(AQ362=regle!$B$12,regle!$B$11,
IF(AQ362=regle!$C$12,regle!$C$11,
IF(AQ362=regle!$D$12,regle!$D$11,
IF(AQ362=regle!$E$12,regle!$E$11,
IF(AQ362=regle!$F$12,regle!$F$11,
IF(AQ362=regle!$G$12,regle!$G$11,
IF(AQ362=regle!$H$12,regle!$H$11,
IF(AQ362=regle!$I$12,regle!$I$11,""))))))))))</f>
        <v>DGT</v>
      </c>
      <c r="X362" t="str">
        <f>IF(NOT($A362),"",
IF(AR362=-2,regle!$J$11,
IF(AR362=regle!$B$12,regle!$B$11,
IF(AR362=regle!$C$12,regle!$C$11,
IF(AR362=regle!$D$12,regle!$D$11,
IF(AR362=regle!$E$12,regle!$E$11,
IF(AR362=regle!$F$12,regle!$F$11,
IF(AR362=regle!$G$12,regle!$G$11,
IF(AR362=regle!$H$12,regle!$H$11,
IF(AR362=regle!$I$12,regle!$I$11,""))))))))))</f>
        <v/>
      </c>
      <c r="Y362" t="str">
        <f>IF(NOT($A362),"",
IF(AS362=-2,regle!$J$11,
IF(AS362=regle!$B$12,regle!$B$11,
IF(AS362=regle!$C$12,regle!$C$11,
IF(AS362=regle!$D$12,regle!$D$11,
IF(AS362=regle!$E$12,regle!$E$11,
IF(AS362=regle!$F$12,regle!$F$11,
IF(AS362=regle!$G$12,regle!$G$11,
IF(AS362=regle!$H$12,regle!$H$11,
IF(AS362=regle!$I$12,regle!$I$11,""))))))))))</f>
        <v/>
      </c>
      <c r="Z362" t="str">
        <f>IF(NOT($A362),"",
IF(AT362=-2,regle!$J$11,
IF(AT362=regle!$B$12,regle!$B$11,
IF(AT362=regle!$C$12,regle!$C$11,
IF(AT362=regle!$D$12,regle!$D$11,
IF(AT362=regle!$E$12,regle!$E$11,
IF(AT362=regle!$F$12,regle!$F$11,
IF(AT362=regle!$G$12,regle!$G$11,
IF(AT362=regle!$H$12,regle!$H$11,
IF(AT362=regle!$I$12,regle!$I$11,""))))))))))</f>
        <v>ENT1</v>
      </c>
      <c r="AA362" t="str">
        <f>IF(NOT($A362),"",
IF(AU362=-2,regle!$J$11,
IF(AU362=regle!$B$12,regle!$B$11,
IF(AU362=regle!$C$12,regle!$C$11,
IF(AU362=regle!$D$12,regle!$D$11,
IF(AU362=regle!$E$12,regle!$E$11,
IF(AU362=regle!$F$12,regle!$F$11,
IF(AU362=regle!$G$12,regle!$G$11,
IF(AU362=regle!$H$12,regle!$H$11,
IF(AU362=regle!$I$12,regle!$I$11,""))))))))))</f>
        <v/>
      </c>
      <c r="AB362" t="str">
        <f>IF(NOT($A362),"",
IF(AV362=-2,regle!$J$11,
IF(AV362=regle!$B$12,regle!$B$11,
IF(AV362=regle!$C$12,regle!$C$11,
IF(AV362=regle!$D$12,regle!$D$11,
IF(AV362=regle!$E$12,regle!$E$11,
IF(AV362=regle!$F$12,regle!$F$11,
IF(AV362=regle!$G$12,regle!$G$11,
IF(AV362=regle!$H$12,regle!$H$11,
IF(AV362=regle!$I$12,regle!$I$11,""))))))))))</f>
        <v/>
      </c>
      <c r="AC362" t="str">
        <f>IF(NOT($A362),"",
IF(AW362=-2,regle!$J$11,
IF(AW362=regle!$B$12,regle!$B$11,
IF(AW362=regle!$C$12,regle!$C$11,
IF(AW362=regle!$D$12,regle!$D$11,
IF(AW362=regle!$E$12,regle!$E$11,
IF(AW362=regle!$F$12,regle!$F$11,
IF(AW362=regle!$G$12,regle!$G$11,
IF(AW362=regle!$H$12,regle!$H$11,
IF(AW362=regle!$I$12,regle!$I$11,""))))))))))</f>
        <v>ENT2</v>
      </c>
      <c r="AD362" t="str">
        <f>IF(NOT($A362),"",
IF(AX362=-2,regle!$J$11,
IF(AX362=regle!$B$12,regle!$B$11,
IF(AX362=regle!$C$12,regle!$C$11,
IF(AX362=regle!$D$12,regle!$D$11,
IF(AX362=regle!$E$12,regle!$E$11,
IF(AX362=regle!$F$12,regle!$F$11,
IF(AX362=regle!$G$12,regle!$G$11,
IF(AX362=regle!$H$12,regle!$H$11,
IF(AX362=regle!$I$12,regle!$I$11,""))))))))))</f>
        <v/>
      </c>
      <c r="AE362" s="14">
        <f>IF($A362,$M362*(IF(U362=regle!$B$11,regle!$B$23,IF(U362=regle!$C$11,regle!$C$23,IF(U362=regle!$D$11,regle!$D$23,IF(U362=regle!$E$11,regle!$E$23,IF(U362=regle!$F$11,regle!$F$23,IF(U362=regle!$G$11,regle!$G$23,IF(U362=regle!$H$11,regle!$H$23,IF(U362=regle!$I$11,regle!$I$23,IF(U362=regle!$J$11,regle!$J$23,0)))))))))))</f>
        <v>-1894.48</v>
      </c>
      <c r="AF362" s="14">
        <f>IF($A362,$M362*(IF(V362=regle!$B$11,regle!$B$23,IF(V362=regle!$C$11,regle!$C$23,IF(V362=regle!$D$11,regle!$D$23,IF(V362=regle!$E$11,regle!$E$23,IF(V362=regle!$F$11,regle!$F$23,IF(V362=regle!$G$11,regle!$G$23,IF(V362=regle!$H$11,regle!$H$23,IF(V362=regle!$I$11,regle!$I$23,IF(V362=regle!$J$11,regle!$J$23,0)))))))))))</f>
        <v>0</v>
      </c>
      <c r="AG362" s="14">
        <f>IF($A362,$M362*(IF(W362=regle!$B$11,regle!$B$23,IF(W362=regle!$C$11,regle!$C$23,IF(W362=regle!$D$11,regle!$D$23,IF(W362=regle!$E$11,regle!$E$23,IF(W362=regle!$F$11,regle!$F$23,IF(W362=regle!$G$11,regle!$G$23,IF(W362=regle!$H$11,regle!$H$23,IF(W362=regle!$I$11,regle!$I$23,IF(W362=regle!$J$11,regle!$J$23,0)))))))))))</f>
        <v>-83.58</v>
      </c>
      <c r="AH362" s="14">
        <f>IF($A362,$M362*(IF(X362=regle!$B$11,regle!$B$23,IF(X362=regle!$C$11,regle!$C$23,IF(X362=regle!$D$11,regle!$D$23,IF(X362=regle!$E$11,regle!$E$23,IF(X362=regle!$F$11,regle!$F$23,IF(X362=regle!$G$11,regle!$G$23,IF(X362=regle!$H$11,regle!$H$23,IF(X362=regle!$I$11,regle!$I$23,IF(X362=regle!$J$11,regle!$J$23,0)))))))))))</f>
        <v>0</v>
      </c>
      <c r="AI362" s="14">
        <f>IF($A362,$M362*(IF(Y362=regle!$B$11,regle!$B$23,IF(Y362=regle!$C$11,regle!$C$23,IF(Y362=regle!$D$11,regle!$D$23,IF(Y362=regle!$E$11,regle!$E$23,IF(Y362=regle!$F$11,regle!$F$23,IF(Y362=regle!$G$11,regle!$G$23,IF(Y362=regle!$H$11,regle!$H$23,IF(Y362=regle!$I$11,regle!$I$23,IF(Y362=regle!$J$11,regle!$J$23,0)))))))))))</f>
        <v>0</v>
      </c>
      <c r="AJ362" s="14">
        <f>IF($A362,$M362*(IF(Z362=regle!$B$11,regle!$B$23,IF(Z362=regle!$C$11,regle!$C$23,IF(Z362=regle!$D$11,regle!$D$23,IF(Z362=regle!$E$11,regle!$E$23,IF(Z362=regle!$F$11,regle!$F$23,IF(Z362=regle!$G$11,regle!$G$23,IF(Z362=regle!$H$11,regle!$H$23,IF(Z362=regle!$I$11,regle!$I$23,IF(Z362=regle!$J$11,regle!$J$23,0)))))))))))</f>
        <v>-100.29600000000001</v>
      </c>
      <c r="AK362" s="14">
        <f>IF($A362,$M362*(IF(AA362=regle!$B$11,regle!$B$23,IF(AA362=regle!$C$11,regle!$C$23,IF(AA362=regle!$D$11,regle!$D$23,IF(AA362=regle!$E$11,regle!$E$23,IF(AA362=regle!$F$11,regle!$F$23,IF(AA362=regle!$G$11,regle!$G$23,IF(AA362=regle!$H$11,regle!$H$23,IF(AA362=regle!$I$11,regle!$I$23,IF(AA362=regle!$J$11,regle!$J$23,0)))))))))))</f>
        <v>0</v>
      </c>
      <c r="AL362" s="14">
        <f>IF($A362,$M362*(IF(AB362=regle!$B$11,regle!$B$23,IF(AB362=regle!$C$11,regle!$C$23,IF(AB362=regle!$D$11,regle!$D$23,IF(AB362=regle!$E$11,regle!$E$23,IF(AB362=regle!$F$11,regle!$F$23,IF(AB362=regle!$G$11,regle!$G$23,IF(AB362=regle!$H$11,regle!$H$23,IF(AB362=regle!$I$11,regle!$I$23,IF(AB362=regle!$J$11,regle!$J$23,0)))))))))))</f>
        <v>0</v>
      </c>
      <c r="AM362" s="14">
        <f>IF($A362,$M362*(IF(AC362=regle!$B$11,regle!$B$23,IF(AC362=regle!$C$11,regle!$C$23,IF(AC362=regle!$D$11,regle!$D$23,IF(AC362=regle!$E$11,regle!$E$23,IF(AC362=regle!$F$11,regle!$F$23,IF(AC362=regle!$G$11,regle!$G$23,IF(AC362=regle!$H$11,regle!$H$23,IF(AC362=regle!$I$11,regle!$I$23,IF(AC362=regle!$J$11,regle!$J$23,0)))))))))))</f>
        <v>-100.29600000000001</v>
      </c>
      <c r="AN362" s="14">
        <f>IF($A362,$M362*(IF(AD362=regle!$B$11,regle!$B$23,IF(AD362=regle!$C$11,regle!$C$23,IF(AD362=regle!$D$11,regle!$D$23,IF(AD362=regle!$E$11,regle!$E$23,IF(AD362=regle!$F$11,regle!$F$23,IF(AD362=regle!$G$11,regle!$G$23,IF(AD362=regle!$H$11,regle!$H$23,IF(AD362=regle!$I$11,regle!$I$23,IF(AD362=regle!$J$11,regle!$J$23,0)))))))))))</f>
        <v>0</v>
      </c>
      <c r="AO362">
        <f>IF(AO$1=$AO$1,IF(regle!B$2-$Q362&gt;=regle!$J$12,-2,IF($S362,IF(regle!$B$2-$Q362&gt;=2,0,-1),regle!B$2-$Q362)),IF(AN362+1&gt;=regle!$J$12,-2,AN362+1))</f>
        <v>0</v>
      </c>
      <c r="AP362">
        <f>IF(AP$1=$AO$1,IF(regle!C$2-$Q362&gt;=regle!$J$12,-2,IF($S362,IF(regle!$B$2-$Q362&gt;=2,0,-1),regle!C$2-$Q362)),IF(AO362+1&gt;=regle!$J$12,-2,AO362+1))</f>
        <v>1</v>
      </c>
      <c r="AQ362">
        <f>IF(AQ$1=$AO$1,IF(regle!D$2-$Q362&gt;=regle!$J$12,-2,IF($S362,IF(regle!$B$2-$Q362&gt;=2,0,-1),regle!D$2-$Q362)),IF(AP362+1&gt;=regle!$J$12,-2,AP362+1))</f>
        <v>2</v>
      </c>
      <c r="AR362">
        <f>IF(AR$1=$AO$1,IF(regle!E$2-$Q362&gt;=regle!$J$12,-2,IF($S362,IF(regle!$B$2-$Q362&gt;=2,0,-1),regle!E$2-$Q362)),IF(AQ362+1&gt;=regle!$J$12,-2,AQ362+1))</f>
        <v>3</v>
      </c>
      <c r="AS362">
        <f>IF(AS$1=$AO$1,IF(regle!F$2-$Q362&gt;=regle!$J$12,-2,IF($S362,IF(regle!$B$2-$Q362&gt;=2,0,-1),regle!F$2-$Q362)),IF(AR362+1&gt;=regle!$J$12,-2,AR362+1))</f>
        <v>4</v>
      </c>
      <c r="AT362">
        <f>IF(AT$1=$AO$1,IF(regle!G$2-$Q362&gt;=regle!$J$12,-2,IF($S362,IF(regle!$B$2-$Q362&gt;=2,0,-1),regle!G$2-$Q362)),IF(AS362+1&gt;=regle!$J$12,-2,AS362+1))</f>
        <v>5</v>
      </c>
      <c r="AU362">
        <f>IF(AU$1=$AO$1,IF(regle!H$2-$Q362&gt;=regle!$J$12,-2,IF($S362,IF(regle!$B$2-$Q362&gt;=2,0,-1),regle!H$2-$Q362)),IF(AT362+1&gt;=regle!$J$12,-2,AT362+1))</f>
        <v>6</v>
      </c>
      <c r="AV362">
        <f>IF(AV$1=$AO$1,IF(regle!I$2-$Q362&gt;=regle!$J$12,-2,IF($S362,IF(regle!$B$2-$Q362&gt;=2,0,-1),regle!I$2-$Q362)),IF(AU362+1&gt;=regle!$J$12,-2,AU362+1))</f>
        <v>7</v>
      </c>
      <c r="AW362">
        <f>IF(AW$1=$AO$1,IF(regle!J$2-$Q362&gt;=regle!$J$12,-2,IF($S362,IF(regle!$B$2-$Q362&gt;=2,0,-1),regle!J$2-$Q362)),IF(AV362+1&gt;=regle!$J$12,-2,AV362+1))</f>
        <v>8</v>
      </c>
      <c r="AX362">
        <f>IF(AX$1=$AO$1,IF(regle!K$2-$Q362&gt;=regle!$J$12,-2,IF($S362,IF(regle!$B$2-$Q362&gt;=2,0,-1),regle!K$2-$Q362)),IF(AW362+1&gt;=regle!$J$12,-2,AW362+1))</f>
        <v>9</v>
      </c>
    </row>
    <row r="363" spans="1:50" x14ac:dyDescent="0.25">
      <c r="A363" t="b">
        <f>AND(modif0[[#This Row],[cdstr]]&lt;&gt;0,OR(regle!$H$27=FALSE,modif0[[#This Row],[essnc]]="PM"))</f>
        <v>1</v>
      </c>
      <c r="B363">
        <f>ROW(objet!A423)</f>
        <v>423</v>
      </c>
      <c r="C363" s="10" t="str">
        <f>objet!D423</f>
        <v>2000000M0080</v>
      </c>
      <c r="D363" t="str">
        <f>LEFT(modif0[[#This Row],[cdstr]],3)</f>
        <v>200</v>
      </c>
      <c r="E363" s="10" t="str">
        <f>objet!G423</f>
        <v>MOUSTEY</v>
      </c>
      <c r="F363">
        <f>LEN(modif0[[#This Row],[l_dt]])</f>
        <v>4</v>
      </c>
      <c r="G363" s="10" t="str">
        <f>objet!H423</f>
        <v>Kycs</v>
      </c>
      <c r="H363" s="10" t="str">
        <f>objet!C423</f>
        <v>M80n</v>
      </c>
      <c r="I363" t="str">
        <f>IF(ISNUMBER(VALUE(RIGHT(LEFT(modif0[[#This Row],[idntfn]],2),1))),_xlfn.CONCAT(0,LEFT(modif0[[#This Row],[idntfn]],1)),LEFT(modif0[[#This Row],[idntfn]],2))</f>
        <v>0M</v>
      </c>
      <c r="J363">
        <f>VALUE(LEFT(RIGHT(modif0[[#This Row],[idntfn]],LEN(modif0[[#This Row],[idntfn]])-IF(LEFT(modif0[[#This Row],[sctn]],1)="0",1,2)),LEN(modif0[[#This Row],[idntfn]])-IF(LEFT(modif0[[#This Row],[sctn]],1)="0",1,2)-LEN(modif0[[#This Row],[lttr]])))</f>
        <v>80</v>
      </c>
      <c r="K363" t="str">
        <f>IF(ISNUMBER(VALUE(RIGHT(modif0[[#This Row],[idntfn]],1))),"",IF(ISNUMBER(VALUE(LEFT(RIGHT(modif0[[#This Row],[idntfn]],2),1))),RIGHT(modif0[[#This Row],[idntfn]],1),RIGHT(modif0[[#This Row],[idntfn]],2)))</f>
        <v>n</v>
      </c>
      <c r="L363" s="10">
        <f>objet!I423</f>
        <v>260778</v>
      </c>
      <c r="M363" s="11">
        <f>modif0[[#This Row],[srfc]]/10000</f>
        <v>26.0778</v>
      </c>
      <c r="N363" s="10" t="str">
        <f>objet!Z423</f>
        <v>PM</v>
      </c>
      <c r="O363" s="10" t="str">
        <f>objet!AA423</f>
        <v>PLA2014</v>
      </c>
      <c r="P363" t="str">
        <f>IF(ISNUMBER(modif0[[#This Row],[trvx]]),"",LEFT(modif0[[#This Row],[trvx]],LEN(modif0[[#This Row],[trvx]])-4))</f>
        <v>PLA</v>
      </c>
      <c r="Q363">
        <f>VALUE(RIGHT(modif0[[#This Row],[trvx]],4))</f>
        <v>2014</v>
      </c>
      <c r="R363" t="str">
        <f>_xlfn.CONCAT(modif0[[#This Row],[tp]],"-",modif0[[#This Row],[essnc]],"_",modif0[[#This Row],[anns]])</f>
        <v>PLA-PM_2014</v>
      </c>
      <c r="S363" t="b">
        <f>modif0[[#This Row],[tp]]="CR"</f>
        <v>0</v>
      </c>
      <c r="T363">
        <v>40</v>
      </c>
      <c r="U363" t="str">
        <f>IF(NOT($A363),"",
IF(AO363=-2,regle!$J$11,
IF(AO363=regle!$B$12,regle!$B$11,
IF(AO363=regle!$C$12,regle!$C$11,
IF(AO363=regle!$D$12,regle!$D$11,
IF(AO363=regle!$E$12,regle!$E$11,
IF(AO363=regle!$F$12,regle!$F$11,
IF(AO363=regle!$G$12,regle!$G$11,
IF(AO363=regle!$H$12,regle!$H$11,
IF(AO363=regle!$I$12,regle!$I$11,""))))))))))</f>
        <v/>
      </c>
      <c r="V363" t="str">
        <f>IF(NOT($A363),"",
IF(AP363=-2,regle!$J$11,
IF(AP363=regle!$B$12,regle!$B$11,
IF(AP363=regle!$C$12,regle!$C$11,
IF(AP363=regle!$D$12,regle!$D$11,
IF(AP363=regle!$E$12,regle!$E$11,
IF(AP363=regle!$F$12,regle!$F$11,
IF(AP363=regle!$G$12,regle!$G$11,
IF(AP363=regle!$H$12,regle!$H$11,
IF(AP363=regle!$I$12,regle!$I$11,""))))))))))</f>
        <v/>
      </c>
      <c r="W363" t="str">
        <f>IF(NOT($A363),"",
IF(AQ363=-2,regle!$J$11,
IF(AQ363=regle!$B$12,regle!$B$11,
IF(AQ363=regle!$C$12,regle!$C$11,
IF(AQ363=regle!$D$12,regle!$D$11,
IF(AQ363=regle!$E$12,regle!$E$11,
IF(AQ363=regle!$F$12,regle!$F$11,
IF(AQ363=regle!$G$12,regle!$G$11,
IF(AQ363=regle!$H$12,regle!$H$11,
IF(AQ363=regle!$I$12,regle!$I$11,""))))))))))</f>
        <v/>
      </c>
      <c r="X363" t="str">
        <f>IF(NOT($A363),"",
IF(AR363=-2,regle!$J$11,
IF(AR363=regle!$B$12,regle!$B$11,
IF(AR363=regle!$C$12,regle!$C$11,
IF(AR363=regle!$D$12,regle!$D$11,
IF(AR363=regle!$E$12,regle!$E$11,
IF(AR363=regle!$F$12,regle!$F$11,
IF(AR363=regle!$G$12,regle!$G$11,
IF(AR363=regle!$H$12,regle!$H$11,
IF(AR363=regle!$I$12,regle!$I$11,""))))))))))</f>
        <v>EC1</v>
      </c>
      <c r="Y363" t="str">
        <f>IF(NOT($A363),"",
IF(AS363=-2,regle!$J$11,
IF(AS363=regle!$B$12,regle!$B$11,
IF(AS363=regle!$C$12,regle!$C$11,
IF(AS363=regle!$D$12,regle!$D$11,
IF(AS363=regle!$E$12,regle!$E$11,
IF(AS363=regle!$F$12,regle!$F$11,
IF(AS363=regle!$G$12,regle!$G$11,
IF(AS363=regle!$H$12,regle!$H$11,
IF(AS363=regle!$I$12,regle!$I$11,""))))))))))</f>
        <v/>
      </c>
      <c r="Z363" t="str">
        <f>IF(NOT($A363),"",
IF(AT363=-2,regle!$J$11,
IF(AT363=regle!$B$12,regle!$B$11,
IF(AT363=regle!$C$12,regle!$C$11,
IF(AT363=regle!$D$12,regle!$D$11,
IF(AT363=regle!$E$12,regle!$E$11,
IF(AT363=regle!$F$12,regle!$F$11,
IF(AT363=regle!$G$12,regle!$G$11,
IF(AT363=regle!$H$12,regle!$H$11,
IF(AT363=regle!$I$12,regle!$I$11,""))))))))))</f>
        <v/>
      </c>
      <c r="AA363" t="str">
        <f>IF(NOT($A363),"",
IF(AU363=-2,regle!$J$11,
IF(AU363=regle!$B$12,regle!$B$11,
IF(AU363=regle!$C$12,regle!$C$11,
IF(AU363=regle!$D$12,regle!$D$11,
IF(AU363=regle!$E$12,regle!$E$11,
IF(AU363=regle!$F$12,regle!$F$11,
IF(AU363=regle!$G$12,regle!$G$11,
IF(AU363=regle!$H$12,regle!$H$11,
IF(AU363=regle!$I$12,regle!$I$11,""))))))))))</f>
        <v/>
      </c>
      <c r="AB363" t="str">
        <f>IF(NOT($A363),"",
IF(AV363=-2,regle!$J$11,
IF(AV363=regle!$B$12,regle!$B$11,
IF(AV363=regle!$C$12,regle!$C$11,
IF(AV363=regle!$D$12,regle!$D$11,
IF(AV363=regle!$E$12,regle!$E$11,
IF(AV363=regle!$F$12,regle!$F$11,
IF(AV363=regle!$G$12,regle!$G$11,
IF(AV363=regle!$H$12,regle!$H$11,
IF(AV363=regle!$I$12,regle!$I$11,""))))))))))</f>
        <v/>
      </c>
      <c r="AC363" t="str">
        <f>IF(NOT($A363),"",
IF(AW363=-2,regle!$J$11,
IF(AW363=regle!$B$12,regle!$B$11,
IF(AW363=regle!$C$12,regle!$C$11,
IF(AW363=regle!$D$12,regle!$D$11,
IF(AW363=regle!$E$12,regle!$E$11,
IF(AW363=regle!$F$12,regle!$F$11,
IF(AW363=regle!$G$12,regle!$G$11,
IF(AW363=regle!$H$12,regle!$H$11,
IF(AW363=regle!$I$12,regle!$I$11,""))))))))))</f>
        <v>EC2</v>
      </c>
      <c r="AD363" t="str">
        <f>IF(NOT($A363),"",
IF(AX363=-2,regle!$J$11,
IF(AX363=regle!$B$12,regle!$B$11,
IF(AX363=regle!$C$12,regle!$C$11,
IF(AX363=regle!$D$12,regle!$D$11,
IF(AX363=regle!$E$12,regle!$E$11,
IF(AX363=regle!$F$12,regle!$F$11,
IF(AX363=regle!$G$12,regle!$G$11,
IF(AX363=regle!$H$12,regle!$H$11,
IF(AX363=regle!$I$12,regle!$I$11,""))))))))))</f>
        <v/>
      </c>
      <c r="AE363" s="14">
        <f>IF($A363,$M363*(IF(U363=regle!$B$11,regle!$B$23,IF(U363=regle!$C$11,regle!$C$23,IF(U363=regle!$D$11,regle!$D$23,IF(U363=regle!$E$11,regle!$E$23,IF(U363=regle!$F$11,regle!$F$23,IF(U363=regle!$G$11,regle!$G$23,IF(U363=regle!$H$11,regle!$H$23,IF(U363=regle!$I$11,regle!$I$23,IF(U363=regle!$J$11,regle!$J$23,0)))))))))))</f>
        <v>0</v>
      </c>
      <c r="AF363" s="14">
        <f>IF($A363,$M363*(IF(V363=regle!$B$11,regle!$B$23,IF(V363=regle!$C$11,regle!$C$23,IF(V363=regle!$D$11,regle!$D$23,IF(V363=regle!$E$11,regle!$E$23,IF(V363=regle!$F$11,regle!$F$23,IF(V363=regle!$G$11,regle!$G$23,IF(V363=regle!$H$11,regle!$H$23,IF(V363=regle!$I$11,regle!$I$23,IF(V363=regle!$J$11,regle!$J$23,0)))))))))))</f>
        <v>0</v>
      </c>
      <c r="AG363" s="14">
        <f>IF($A363,$M363*(IF(W363=regle!$B$11,regle!$B$23,IF(W363=regle!$C$11,regle!$C$23,IF(W363=regle!$D$11,regle!$D$23,IF(W363=regle!$E$11,regle!$E$23,IF(W363=regle!$F$11,regle!$F$23,IF(W363=regle!$G$11,regle!$G$23,IF(W363=regle!$H$11,regle!$H$23,IF(W363=regle!$I$11,regle!$I$23,IF(W363=regle!$J$11,regle!$J$23,0)))))))))))</f>
        <v>0</v>
      </c>
      <c r="AH363" s="14">
        <f>IF($A363,$M363*(IF(X363=regle!$B$11,regle!$B$23,IF(X363=regle!$C$11,regle!$C$23,IF(X363=regle!$D$11,regle!$D$23,IF(X363=regle!$E$11,regle!$E$23,IF(X363=regle!$F$11,regle!$F$23,IF(X363=regle!$G$11,regle!$G$23,IF(X363=regle!$H$11,regle!$H$23,IF(X363=regle!$I$11,regle!$I$23,IF(X363=regle!$J$11,regle!$J$23,0)))))))))))</f>
        <v>15020.8128</v>
      </c>
      <c r="AI363" s="14">
        <f>IF($A363,$M363*(IF(Y363=regle!$B$11,regle!$B$23,IF(Y363=regle!$C$11,regle!$C$23,IF(Y363=regle!$D$11,regle!$D$23,IF(Y363=regle!$E$11,regle!$E$23,IF(Y363=regle!$F$11,regle!$F$23,IF(Y363=regle!$G$11,regle!$G$23,IF(Y363=regle!$H$11,regle!$H$23,IF(Y363=regle!$I$11,regle!$I$23,IF(Y363=regle!$J$11,regle!$J$23,0)))))))))))</f>
        <v>0</v>
      </c>
      <c r="AJ363" s="14">
        <f>IF($A363,$M363*(IF(Z363=regle!$B$11,regle!$B$23,IF(Z363=regle!$C$11,regle!$C$23,IF(Z363=regle!$D$11,regle!$D$23,IF(Z363=regle!$E$11,regle!$E$23,IF(Z363=regle!$F$11,regle!$F$23,IF(Z363=regle!$G$11,regle!$G$23,IF(Z363=regle!$H$11,regle!$H$23,IF(Z363=regle!$I$11,regle!$I$23,IF(Z363=regle!$J$11,regle!$J$23,0)))))))))))</f>
        <v>0</v>
      </c>
      <c r="AK363" s="14">
        <f>IF($A363,$M363*(IF(AA363=regle!$B$11,regle!$B$23,IF(AA363=regle!$C$11,regle!$C$23,IF(AA363=regle!$D$11,regle!$D$23,IF(AA363=regle!$E$11,regle!$E$23,IF(AA363=regle!$F$11,regle!$F$23,IF(AA363=regle!$G$11,regle!$G$23,IF(AA363=regle!$H$11,regle!$H$23,IF(AA363=regle!$I$11,regle!$I$23,IF(AA363=regle!$J$11,regle!$J$23,0)))))))))))</f>
        <v>0</v>
      </c>
      <c r="AL363" s="14">
        <f>IF($A363,$M363*(IF(AB363=regle!$B$11,regle!$B$23,IF(AB363=regle!$C$11,regle!$C$23,IF(AB363=regle!$D$11,regle!$D$23,IF(AB363=regle!$E$11,regle!$E$23,IF(AB363=regle!$F$11,regle!$F$23,IF(AB363=regle!$G$11,regle!$G$23,IF(AB363=regle!$H$11,regle!$H$23,IF(AB363=regle!$I$11,regle!$I$23,IF(AB363=regle!$J$11,regle!$J$23,0)))))))))))</f>
        <v>0</v>
      </c>
      <c r="AM363" s="14">
        <f>IF($A363,$M363*(IF(AC363=regle!$B$11,regle!$B$23,IF(AC363=regle!$C$11,regle!$C$23,IF(AC363=regle!$D$11,regle!$D$23,IF(AC363=regle!$E$11,regle!$E$23,IF(AC363=regle!$F$11,regle!$F$23,IF(AC363=regle!$G$11,regle!$G$23,IF(AC363=regle!$H$11,regle!$H$23,IF(AC363=regle!$I$11,regle!$I$23,IF(AC363=regle!$J$11,regle!$J$23,0)))))))))))</f>
        <v>21905.351999999999</v>
      </c>
      <c r="AN363" s="14">
        <f>IF($A363,$M363*(IF(AD363=regle!$B$11,regle!$B$23,IF(AD363=regle!$C$11,regle!$C$23,IF(AD363=regle!$D$11,regle!$D$23,IF(AD363=regle!$E$11,regle!$E$23,IF(AD363=regle!$F$11,regle!$F$23,IF(AD363=regle!$G$11,regle!$G$23,IF(AD363=regle!$H$11,regle!$H$23,IF(AD363=regle!$I$11,regle!$I$23,IF(AD363=regle!$J$11,regle!$J$23,0)))))))))))</f>
        <v>0</v>
      </c>
      <c r="AO363">
        <f>IF(AO$1=$AO$1,IF(regle!B$2-$Q363&gt;=regle!$J$12,-2,IF($S363,IF(regle!$B$2-$Q363&gt;=2,0,-1),regle!B$2-$Q363)),IF(AN363+1&gt;=regle!$J$12,-2,AN363+1))</f>
        <v>10</v>
      </c>
      <c r="AP363">
        <f>IF(AP$1=$AO$1,IF(regle!C$2-$Q363&gt;=regle!$J$12,-2,IF($S363,IF(regle!$B$2-$Q363&gt;=2,0,-1),regle!C$2-$Q363)),IF(AO363+1&gt;=regle!$J$12,-2,AO363+1))</f>
        <v>11</v>
      </c>
      <c r="AQ363">
        <f>IF(AQ$1=$AO$1,IF(regle!D$2-$Q363&gt;=regle!$J$12,-2,IF($S363,IF(regle!$B$2-$Q363&gt;=2,0,-1),regle!D$2-$Q363)),IF(AP363+1&gt;=regle!$J$12,-2,AP363+1))</f>
        <v>12</v>
      </c>
      <c r="AR363">
        <f>IF(AR$1=$AO$1,IF(regle!E$2-$Q363&gt;=regle!$J$12,-2,IF($S363,IF(regle!$B$2-$Q363&gt;=2,0,-1),regle!E$2-$Q363)),IF(AQ363+1&gt;=regle!$J$12,-2,AQ363+1))</f>
        <v>13</v>
      </c>
      <c r="AS363">
        <f>IF(AS$1=$AO$1,IF(regle!F$2-$Q363&gt;=regle!$J$12,-2,IF($S363,IF(regle!$B$2-$Q363&gt;=2,0,-1),regle!F$2-$Q363)),IF(AR363+1&gt;=regle!$J$12,-2,AR363+1))</f>
        <v>14</v>
      </c>
      <c r="AT363">
        <f>IF(AT$1=$AO$1,IF(regle!G$2-$Q363&gt;=regle!$J$12,-2,IF($S363,IF(regle!$B$2-$Q363&gt;=2,0,-1),regle!G$2-$Q363)),IF(AS363+1&gt;=regle!$J$12,-2,AS363+1))</f>
        <v>15</v>
      </c>
      <c r="AU363">
        <f>IF(AU$1=$AO$1,IF(regle!H$2-$Q363&gt;=regle!$J$12,-2,IF($S363,IF(regle!$B$2-$Q363&gt;=2,0,-1),regle!H$2-$Q363)),IF(AT363+1&gt;=regle!$J$12,-2,AT363+1))</f>
        <v>16</v>
      </c>
      <c r="AV363">
        <f>IF(AV$1=$AO$1,IF(regle!I$2-$Q363&gt;=regle!$J$12,-2,IF($S363,IF(regle!$B$2-$Q363&gt;=2,0,-1),regle!I$2-$Q363)),IF(AU363+1&gt;=regle!$J$12,-2,AU363+1))</f>
        <v>17</v>
      </c>
      <c r="AW363">
        <f>IF(AW$1=$AO$1,IF(regle!J$2-$Q363&gt;=regle!$J$12,-2,IF($S363,IF(regle!$B$2-$Q363&gt;=2,0,-1),regle!J$2-$Q363)),IF(AV363+1&gt;=regle!$J$12,-2,AV363+1))</f>
        <v>18</v>
      </c>
      <c r="AX363">
        <f>IF(AX$1=$AO$1,IF(regle!K$2-$Q363&gt;=regle!$J$12,-2,IF($S363,IF(regle!$B$2-$Q363&gt;=2,0,-1),regle!K$2-$Q363)),IF(AW363+1&gt;=regle!$J$12,-2,AW363+1))</f>
        <v>19</v>
      </c>
    </row>
    <row r="364" spans="1:50" x14ac:dyDescent="0.25">
      <c r="A364" t="b">
        <f>AND(modif0[[#This Row],[cdstr]]&lt;&gt;0,OR(regle!$H$27=FALSE,modif0[[#This Row],[essnc]]="PM"))</f>
        <v>1</v>
      </c>
      <c r="B364">
        <f>ROW(objet!A424)</f>
        <v>424</v>
      </c>
      <c r="C364" s="10" t="str">
        <f>objet!D424</f>
        <v>2000000M0080</v>
      </c>
      <c r="D364" t="str">
        <f>LEFT(modif0[[#This Row],[cdstr]],3)</f>
        <v>200</v>
      </c>
      <c r="E364" s="10" t="str">
        <f>objet!G424</f>
        <v>MOUSTEY</v>
      </c>
      <c r="F364">
        <f>LEN(modif0[[#This Row],[l_dt]])</f>
        <v>4</v>
      </c>
      <c r="G364" s="10" t="str">
        <f>objet!H424</f>
        <v>Kycs</v>
      </c>
      <c r="H364" s="10" t="str">
        <f>objet!C424</f>
        <v>M80o</v>
      </c>
      <c r="I364" t="str">
        <f>IF(ISNUMBER(VALUE(RIGHT(LEFT(modif0[[#This Row],[idntfn]],2),1))),_xlfn.CONCAT(0,LEFT(modif0[[#This Row],[idntfn]],1)),LEFT(modif0[[#This Row],[idntfn]],2))</f>
        <v>0M</v>
      </c>
      <c r="J364">
        <f>VALUE(LEFT(RIGHT(modif0[[#This Row],[idntfn]],LEN(modif0[[#This Row],[idntfn]])-IF(LEFT(modif0[[#This Row],[sctn]],1)="0",1,2)),LEN(modif0[[#This Row],[idntfn]])-IF(LEFT(modif0[[#This Row],[sctn]],1)="0",1,2)-LEN(modif0[[#This Row],[lttr]])))</f>
        <v>80</v>
      </c>
      <c r="K364" t="str">
        <f>IF(ISNUMBER(VALUE(RIGHT(modif0[[#This Row],[idntfn]],1))),"",IF(ISNUMBER(VALUE(LEFT(RIGHT(modif0[[#This Row],[idntfn]],2),1))),RIGHT(modif0[[#This Row],[idntfn]],1),RIGHT(modif0[[#This Row],[idntfn]],2)))</f>
        <v>o</v>
      </c>
      <c r="L364" s="10">
        <f>objet!I424</f>
        <v>94913</v>
      </c>
      <c r="M364" s="11">
        <f>modif0[[#This Row],[srfc]]/10000</f>
        <v>9.4913000000000007</v>
      </c>
      <c r="N364" s="10" t="str">
        <f>objet!Z424</f>
        <v>PM</v>
      </c>
      <c r="O364" s="10" t="str">
        <f>objet!AA424</f>
        <v>PLA2017</v>
      </c>
      <c r="P364" t="str">
        <f>IF(ISNUMBER(modif0[[#This Row],[trvx]]),"",LEFT(modif0[[#This Row],[trvx]],LEN(modif0[[#This Row],[trvx]])-4))</f>
        <v>PLA</v>
      </c>
      <c r="Q364">
        <f>VALUE(RIGHT(modif0[[#This Row],[trvx]],4))</f>
        <v>2017</v>
      </c>
      <c r="R364" t="str">
        <f>_xlfn.CONCAT(modif0[[#This Row],[tp]],"-",modif0[[#This Row],[essnc]],"_",modif0[[#This Row],[anns]])</f>
        <v>PLA-PM_2017</v>
      </c>
      <c r="S364" t="b">
        <f>modif0[[#This Row],[tp]]="CR"</f>
        <v>0</v>
      </c>
      <c r="T364">
        <v>40</v>
      </c>
      <c r="U364" t="str">
        <f>IF(NOT($A364),"",
IF(AO364=-2,regle!$J$11,
IF(AO364=regle!$B$12,regle!$B$11,
IF(AO364=regle!$C$12,regle!$C$11,
IF(AO364=regle!$D$12,regle!$D$11,
IF(AO364=regle!$E$12,regle!$E$11,
IF(AO364=regle!$F$12,regle!$F$11,
IF(AO364=regle!$G$12,regle!$G$11,
IF(AO364=regle!$H$12,regle!$H$11,
IF(AO364=regle!$I$12,regle!$I$11,""))))))))))</f>
        <v/>
      </c>
      <c r="V364" t="str">
        <f>IF(NOT($A364),"",
IF(AP364=-2,regle!$J$11,
IF(AP364=regle!$B$12,regle!$B$11,
IF(AP364=regle!$C$12,regle!$C$11,
IF(AP364=regle!$D$12,regle!$D$11,
IF(AP364=regle!$E$12,regle!$E$11,
IF(AP364=regle!$F$12,regle!$F$11,
IF(AP364=regle!$G$12,regle!$G$11,
IF(AP364=regle!$H$12,regle!$H$11,
IF(AP364=regle!$I$12,regle!$I$11,""))))))))))</f>
        <v>ENT2</v>
      </c>
      <c r="W364" t="str">
        <f>IF(NOT($A364),"",
IF(AQ364=-2,regle!$J$11,
IF(AQ364=regle!$B$12,regle!$B$11,
IF(AQ364=regle!$C$12,regle!$C$11,
IF(AQ364=regle!$D$12,regle!$D$11,
IF(AQ364=regle!$E$12,regle!$E$11,
IF(AQ364=regle!$F$12,regle!$F$11,
IF(AQ364=regle!$G$12,regle!$G$11,
IF(AQ364=regle!$H$12,regle!$H$11,
IF(AQ364=regle!$I$12,regle!$I$11,""))))))))))</f>
        <v/>
      </c>
      <c r="X364" t="str">
        <f>IF(NOT($A364),"",
IF(AR364=-2,regle!$J$11,
IF(AR364=regle!$B$12,regle!$B$11,
IF(AR364=regle!$C$12,regle!$C$11,
IF(AR364=regle!$D$12,regle!$D$11,
IF(AR364=regle!$E$12,regle!$E$11,
IF(AR364=regle!$F$12,regle!$F$11,
IF(AR364=regle!$G$12,regle!$G$11,
IF(AR364=regle!$H$12,regle!$H$11,
IF(AR364=regle!$I$12,regle!$I$11,""))))))))))</f>
        <v/>
      </c>
      <c r="Y364" t="str">
        <f>IF(NOT($A364),"",
IF(AS364=-2,regle!$J$11,
IF(AS364=regle!$B$12,regle!$B$11,
IF(AS364=regle!$C$12,regle!$C$11,
IF(AS364=regle!$D$12,regle!$D$11,
IF(AS364=regle!$E$12,regle!$E$11,
IF(AS364=regle!$F$12,regle!$F$11,
IF(AS364=regle!$G$12,regle!$G$11,
IF(AS364=regle!$H$12,regle!$H$11,
IF(AS364=regle!$I$12,regle!$I$11,""))))))))))</f>
        <v/>
      </c>
      <c r="Z364" t="str">
        <f>IF(NOT($A364),"",
IF(AT364=-2,regle!$J$11,
IF(AT364=regle!$B$12,regle!$B$11,
IF(AT364=regle!$C$12,regle!$C$11,
IF(AT364=regle!$D$12,regle!$D$11,
IF(AT364=regle!$E$12,regle!$E$11,
IF(AT364=regle!$F$12,regle!$F$11,
IF(AT364=regle!$G$12,regle!$G$11,
IF(AT364=regle!$H$12,regle!$H$11,
IF(AT364=regle!$I$12,regle!$I$11,""))))))))))</f>
        <v/>
      </c>
      <c r="AA364" t="str">
        <f>IF(NOT($A364),"",
IF(AU364=-2,regle!$J$11,
IF(AU364=regle!$B$12,regle!$B$11,
IF(AU364=regle!$C$12,regle!$C$11,
IF(AU364=regle!$D$12,regle!$D$11,
IF(AU364=regle!$E$12,regle!$E$11,
IF(AU364=regle!$F$12,regle!$F$11,
IF(AU364=regle!$G$12,regle!$G$11,
IF(AU364=regle!$H$12,regle!$H$11,
IF(AU364=regle!$I$12,regle!$I$11,""))))))))))</f>
        <v>EC1</v>
      </c>
      <c r="AB364" t="str">
        <f>IF(NOT($A364),"",
IF(AV364=-2,regle!$J$11,
IF(AV364=regle!$B$12,regle!$B$11,
IF(AV364=regle!$C$12,regle!$C$11,
IF(AV364=regle!$D$12,regle!$D$11,
IF(AV364=regle!$E$12,regle!$E$11,
IF(AV364=regle!$F$12,regle!$F$11,
IF(AV364=regle!$G$12,regle!$G$11,
IF(AV364=regle!$H$12,regle!$H$11,
IF(AV364=regle!$I$12,regle!$I$11,""))))))))))</f>
        <v/>
      </c>
      <c r="AC364" t="str">
        <f>IF(NOT($A364),"",
IF(AW364=-2,regle!$J$11,
IF(AW364=regle!$B$12,regle!$B$11,
IF(AW364=regle!$C$12,regle!$C$11,
IF(AW364=regle!$D$12,regle!$D$11,
IF(AW364=regle!$E$12,regle!$E$11,
IF(AW364=regle!$F$12,regle!$F$11,
IF(AW364=regle!$G$12,regle!$G$11,
IF(AW364=regle!$H$12,regle!$H$11,
IF(AW364=regle!$I$12,regle!$I$11,""))))))))))</f>
        <v/>
      </c>
      <c r="AD364" t="str">
        <f>IF(NOT($A364),"",
IF(AX364=-2,regle!$J$11,
IF(AX364=regle!$B$12,regle!$B$11,
IF(AX364=regle!$C$12,regle!$C$11,
IF(AX364=regle!$D$12,regle!$D$11,
IF(AX364=regle!$E$12,regle!$E$11,
IF(AX364=regle!$F$12,regle!$F$11,
IF(AX364=regle!$G$12,regle!$G$11,
IF(AX364=regle!$H$12,regle!$H$11,
IF(AX364=regle!$I$12,regle!$I$11,""))))))))))</f>
        <v/>
      </c>
      <c r="AE364" s="14">
        <f>IF($A364,$M364*(IF(U364=regle!$B$11,regle!$B$23,IF(U364=regle!$C$11,regle!$C$23,IF(U364=regle!$D$11,regle!$D$23,IF(U364=regle!$E$11,regle!$E$23,IF(U364=regle!$F$11,regle!$F$23,IF(U364=regle!$G$11,regle!$G$23,IF(U364=regle!$H$11,regle!$H$23,IF(U364=regle!$I$11,regle!$I$23,IF(U364=regle!$J$11,regle!$J$23,0)))))))))))</f>
        <v>0</v>
      </c>
      <c r="AF364" s="14">
        <f>IF($A364,$M364*(IF(V364=regle!$B$11,regle!$B$23,IF(V364=regle!$C$11,regle!$C$23,IF(V364=regle!$D$11,regle!$D$23,IF(V364=regle!$E$11,regle!$E$23,IF(V364=regle!$F$11,regle!$F$23,IF(V364=regle!$G$11,regle!$G$23,IF(V364=regle!$H$11,regle!$H$23,IF(V364=regle!$I$11,regle!$I$23,IF(V364=regle!$J$11,regle!$J$23,0)))))))))))</f>
        <v>-854.2170000000001</v>
      </c>
      <c r="AG364" s="14">
        <f>IF($A364,$M364*(IF(W364=regle!$B$11,regle!$B$23,IF(W364=regle!$C$11,regle!$C$23,IF(W364=regle!$D$11,regle!$D$23,IF(W364=regle!$E$11,regle!$E$23,IF(W364=regle!$F$11,regle!$F$23,IF(W364=regle!$G$11,regle!$G$23,IF(W364=regle!$H$11,regle!$H$23,IF(W364=regle!$I$11,regle!$I$23,IF(W364=regle!$J$11,regle!$J$23,0)))))))))))</f>
        <v>0</v>
      </c>
      <c r="AH364" s="14">
        <f>IF($A364,$M364*(IF(X364=regle!$B$11,regle!$B$23,IF(X364=regle!$C$11,regle!$C$23,IF(X364=regle!$D$11,regle!$D$23,IF(X364=regle!$E$11,regle!$E$23,IF(X364=regle!$F$11,regle!$F$23,IF(X364=regle!$G$11,regle!$G$23,IF(X364=regle!$H$11,regle!$H$23,IF(X364=regle!$I$11,regle!$I$23,IF(X364=regle!$J$11,regle!$J$23,0)))))))))))</f>
        <v>0</v>
      </c>
      <c r="AI364" s="14">
        <f>IF($A364,$M364*(IF(Y364=regle!$B$11,regle!$B$23,IF(Y364=regle!$C$11,regle!$C$23,IF(Y364=regle!$D$11,regle!$D$23,IF(Y364=regle!$E$11,regle!$E$23,IF(Y364=regle!$F$11,regle!$F$23,IF(Y364=regle!$G$11,regle!$G$23,IF(Y364=regle!$H$11,regle!$H$23,IF(Y364=regle!$I$11,regle!$I$23,IF(Y364=regle!$J$11,regle!$J$23,0)))))))))))</f>
        <v>0</v>
      </c>
      <c r="AJ364" s="14">
        <f>IF($A364,$M364*(IF(Z364=regle!$B$11,regle!$B$23,IF(Z364=regle!$C$11,regle!$C$23,IF(Z364=regle!$D$11,regle!$D$23,IF(Z364=regle!$E$11,regle!$E$23,IF(Z364=regle!$F$11,regle!$F$23,IF(Z364=regle!$G$11,regle!$G$23,IF(Z364=regle!$H$11,regle!$H$23,IF(Z364=regle!$I$11,regle!$I$23,IF(Z364=regle!$J$11,regle!$J$23,0)))))))))))</f>
        <v>0</v>
      </c>
      <c r="AK364" s="14">
        <f>IF($A364,$M364*(IF(AA364=regle!$B$11,regle!$B$23,IF(AA364=regle!$C$11,regle!$C$23,IF(AA364=regle!$D$11,regle!$D$23,IF(AA364=regle!$E$11,regle!$E$23,IF(AA364=regle!$F$11,regle!$F$23,IF(AA364=regle!$G$11,regle!$G$23,IF(AA364=regle!$H$11,regle!$H$23,IF(AA364=regle!$I$11,regle!$I$23,IF(AA364=regle!$J$11,regle!$J$23,0)))))))))))</f>
        <v>5466.9888000000001</v>
      </c>
      <c r="AL364" s="14">
        <f>IF($A364,$M364*(IF(AB364=regle!$B$11,regle!$B$23,IF(AB364=regle!$C$11,regle!$C$23,IF(AB364=regle!$D$11,regle!$D$23,IF(AB364=regle!$E$11,regle!$E$23,IF(AB364=regle!$F$11,regle!$F$23,IF(AB364=regle!$G$11,regle!$G$23,IF(AB364=regle!$H$11,regle!$H$23,IF(AB364=regle!$I$11,regle!$I$23,IF(AB364=regle!$J$11,regle!$J$23,0)))))))))))</f>
        <v>0</v>
      </c>
      <c r="AM364" s="14">
        <f>IF($A364,$M364*(IF(AC364=regle!$B$11,regle!$B$23,IF(AC364=regle!$C$11,regle!$C$23,IF(AC364=regle!$D$11,regle!$D$23,IF(AC364=regle!$E$11,regle!$E$23,IF(AC364=regle!$F$11,regle!$F$23,IF(AC364=regle!$G$11,regle!$G$23,IF(AC364=regle!$H$11,regle!$H$23,IF(AC364=regle!$I$11,regle!$I$23,IF(AC364=regle!$J$11,regle!$J$23,0)))))))))))</f>
        <v>0</v>
      </c>
      <c r="AN364" s="14">
        <f>IF($A364,$M364*(IF(AD364=regle!$B$11,regle!$B$23,IF(AD364=regle!$C$11,regle!$C$23,IF(AD364=regle!$D$11,regle!$D$23,IF(AD364=regle!$E$11,regle!$E$23,IF(AD364=regle!$F$11,regle!$F$23,IF(AD364=regle!$G$11,regle!$G$23,IF(AD364=regle!$H$11,regle!$H$23,IF(AD364=regle!$I$11,regle!$I$23,IF(AD364=regle!$J$11,regle!$J$23,0)))))))))))</f>
        <v>0</v>
      </c>
      <c r="AO364">
        <f>IF(AO$1=$AO$1,IF(regle!B$2-$Q364&gt;=regle!$J$12,-2,IF($S364,IF(regle!$B$2-$Q364&gt;=2,0,-1),regle!B$2-$Q364)),IF(AN364+1&gt;=regle!$J$12,-2,AN364+1))</f>
        <v>7</v>
      </c>
      <c r="AP364">
        <f>IF(AP$1=$AO$1,IF(regle!C$2-$Q364&gt;=regle!$J$12,-2,IF($S364,IF(regle!$B$2-$Q364&gt;=2,0,-1),regle!C$2-$Q364)),IF(AO364+1&gt;=regle!$J$12,-2,AO364+1))</f>
        <v>8</v>
      </c>
      <c r="AQ364">
        <f>IF(AQ$1=$AO$1,IF(regle!D$2-$Q364&gt;=regle!$J$12,-2,IF($S364,IF(regle!$B$2-$Q364&gt;=2,0,-1),regle!D$2-$Q364)),IF(AP364+1&gt;=regle!$J$12,-2,AP364+1))</f>
        <v>9</v>
      </c>
      <c r="AR364">
        <f>IF(AR$1=$AO$1,IF(regle!E$2-$Q364&gt;=regle!$J$12,-2,IF($S364,IF(regle!$B$2-$Q364&gt;=2,0,-1),regle!E$2-$Q364)),IF(AQ364+1&gt;=regle!$J$12,-2,AQ364+1))</f>
        <v>10</v>
      </c>
      <c r="AS364">
        <f>IF(AS$1=$AO$1,IF(regle!F$2-$Q364&gt;=regle!$J$12,-2,IF($S364,IF(regle!$B$2-$Q364&gt;=2,0,-1),regle!F$2-$Q364)),IF(AR364+1&gt;=regle!$J$12,-2,AR364+1))</f>
        <v>11</v>
      </c>
      <c r="AT364">
        <f>IF(AT$1=$AO$1,IF(regle!G$2-$Q364&gt;=regle!$J$12,-2,IF($S364,IF(regle!$B$2-$Q364&gt;=2,0,-1),regle!G$2-$Q364)),IF(AS364+1&gt;=regle!$J$12,-2,AS364+1))</f>
        <v>12</v>
      </c>
      <c r="AU364">
        <f>IF(AU$1=$AO$1,IF(regle!H$2-$Q364&gt;=regle!$J$12,-2,IF($S364,IF(regle!$B$2-$Q364&gt;=2,0,-1),regle!H$2-$Q364)),IF(AT364+1&gt;=regle!$J$12,-2,AT364+1))</f>
        <v>13</v>
      </c>
      <c r="AV364">
        <f>IF(AV$1=$AO$1,IF(regle!I$2-$Q364&gt;=regle!$J$12,-2,IF($S364,IF(regle!$B$2-$Q364&gt;=2,0,-1),regle!I$2-$Q364)),IF(AU364+1&gt;=regle!$J$12,-2,AU364+1))</f>
        <v>14</v>
      </c>
      <c r="AW364">
        <f>IF(AW$1=$AO$1,IF(regle!J$2-$Q364&gt;=regle!$J$12,-2,IF($S364,IF(regle!$B$2-$Q364&gt;=2,0,-1),regle!J$2-$Q364)),IF(AV364+1&gt;=regle!$J$12,-2,AV364+1))</f>
        <v>15</v>
      </c>
      <c r="AX364">
        <f>IF(AX$1=$AO$1,IF(regle!K$2-$Q364&gt;=regle!$J$12,-2,IF($S364,IF(regle!$B$2-$Q364&gt;=2,0,-1),regle!K$2-$Q364)),IF(AW364+1&gt;=regle!$J$12,-2,AW364+1))</f>
        <v>16</v>
      </c>
    </row>
    <row r="365" spans="1:50" x14ac:dyDescent="0.25">
      <c r="A365" t="b">
        <f>AND(modif0[[#This Row],[cdstr]]&lt;&gt;0,OR(regle!$H$27=FALSE,modif0[[#This Row],[essnc]]="PM"))</f>
        <v>1</v>
      </c>
      <c r="B365">
        <f>ROW(objet!A425)</f>
        <v>425</v>
      </c>
      <c r="C365" s="10" t="str">
        <f>objet!D425</f>
        <v>2000000M0080</v>
      </c>
      <c r="D365" t="str">
        <f>LEFT(modif0[[#This Row],[cdstr]],3)</f>
        <v>200</v>
      </c>
      <c r="E365" s="10" t="str">
        <f>objet!G425</f>
        <v>MOUSTEY</v>
      </c>
      <c r="F365">
        <f>LEN(modif0[[#This Row],[l_dt]])</f>
        <v>4</v>
      </c>
      <c r="G365" s="10" t="str">
        <f>objet!H425</f>
        <v>Kycs</v>
      </c>
      <c r="H365" s="10" t="str">
        <f>objet!C425</f>
        <v>M80p</v>
      </c>
      <c r="I365" t="str">
        <f>IF(ISNUMBER(VALUE(RIGHT(LEFT(modif0[[#This Row],[idntfn]],2),1))),_xlfn.CONCAT(0,LEFT(modif0[[#This Row],[idntfn]],1)),LEFT(modif0[[#This Row],[idntfn]],2))</f>
        <v>0M</v>
      </c>
      <c r="J365">
        <f>VALUE(LEFT(RIGHT(modif0[[#This Row],[idntfn]],LEN(modif0[[#This Row],[idntfn]])-IF(LEFT(modif0[[#This Row],[sctn]],1)="0",1,2)),LEN(modif0[[#This Row],[idntfn]])-IF(LEFT(modif0[[#This Row],[sctn]],1)="0",1,2)-LEN(modif0[[#This Row],[lttr]])))</f>
        <v>80</v>
      </c>
      <c r="K365" t="str">
        <f>IF(ISNUMBER(VALUE(RIGHT(modif0[[#This Row],[idntfn]],1))),"",IF(ISNUMBER(VALUE(LEFT(RIGHT(modif0[[#This Row],[idntfn]],2),1))),RIGHT(modif0[[#This Row],[idntfn]],1),RIGHT(modif0[[#This Row],[idntfn]],2)))</f>
        <v>p</v>
      </c>
      <c r="L365" s="10">
        <f>objet!I425</f>
        <v>12216</v>
      </c>
      <c r="M365" s="11">
        <f>modif0[[#This Row],[srfc]]/10000</f>
        <v>1.2216</v>
      </c>
      <c r="N365" s="10" t="str">
        <f>objet!Z425</f>
        <v>PM</v>
      </c>
      <c r="O365" s="10" t="str">
        <f>objet!AA425</f>
        <v>PLA2017</v>
      </c>
      <c r="P365" t="str">
        <f>IF(ISNUMBER(modif0[[#This Row],[trvx]]),"",LEFT(modif0[[#This Row],[trvx]],LEN(modif0[[#This Row],[trvx]])-4))</f>
        <v>PLA</v>
      </c>
      <c r="Q365">
        <f>VALUE(RIGHT(modif0[[#This Row],[trvx]],4))</f>
        <v>2017</v>
      </c>
      <c r="R365" t="str">
        <f>_xlfn.CONCAT(modif0[[#This Row],[tp]],"-",modif0[[#This Row],[essnc]],"_",modif0[[#This Row],[anns]])</f>
        <v>PLA-PM_2017</v>
      </c>
      <c r="S365" t="b">
        <f>modif0[[#This Row],[tp]]="CR"</f>
        <v>0</v>
      </c>
      <c r="T365">
        <v>40</v>
      </c>
      <c r="U365" t="str">
        <f>IF(NOT($A365),"",
IF(AO365=-2,regle!$J$11,
IF(AO365=regle!$B$12,regle!$B$11,
IF(AO365=regle!$C$12,regle!$C$11,
IF(AO365=regle!$D$12,regle!$D$11,
IF(AO365=regle!$E$12,regle!$E$11,
IF(AO365=regle!$F$12,regle!$F$11,
IF(AO365=regle!$G$12,regle!$G$11,
IF(AO365=regle!$H$12,regle!$H$11,
IF(AO365=regle!$I$12,regle!$I$11,""))))))))))</f>
        <v/>
      </c>
      <c r="V365" t="str">
        <f>IF(NOT($A365),"",
IF(AP365=-2,regle!$J$11,
IF(AP365=regle!$B$12,regle!$B$11,
IF(AP365=regle!$C$12,regle!$C$11,
IF(AP365=regle!$D$12,regle!$D$11,
IF(AP365=regle!$E$12,regle!$E$11,
IF(AP365=regle!$F$12,regle!$F$11,
IF(AP365=regle!$G$12,regle!$G$11,
IF(AP365=regle!$H$12,regle!$H$11,
IF(AP365=regle!$I$12,regle!$I$11,""))))))))))</f>
        <v>ENT2</v>
      </c>
      <c r="W365" t="str">
        <f>IF(NOT($A365),"",
IF(AQ365=-2,regle!$J$11,
IF(AQ365=regle!$B$12,regle!$B$11,
IF(AQ365=regle!$C$12,regle!$C$11,
IF(AQ365=regle!$D$12,regle!$D$11,
IF(AQ365=regle!$E$12,regle!$E$11,
IF(AQ365=regle!$F$12,regle!$F$11,
IF(AQ365=regle!$G$12,regle!$G$11,
IF(AQ365=regle!$H$12,regle!$H$11,
IF(AQ365=regle!$I$12,regle!$I$11,""))))))))))</f>
        <v/>
      </c>
      <c r="X365" t="str">
        <f>IF(NOT($A365),"",
IF(AR365=-2,regle!$J$11,
IF(AR365=regle!$B$12,regle!$B$11,
IF(AR365=regle!$C$12,regle!$C$11,
IF(AR365=regle!$D$12,regle!$D$11,
IF(AR365=regle!$E$12,regle!$E$11,
IF(AR365=regle!$F$12,regle!$F$11,
IF(AR365=regle!$G$12,regle!$G$11,
IF(AR365=regle!$H$12,regle!$H$11,
IF(AR365=regle!$I$12,regle!$I$11,""))))))))))</f>
        <v/>
      </c>
      <c r="Y365" t="str">
        <f>IF(NOT($A365),"",
IF(AS365=-2,regle!$J$11,
IF(AS365=regle!$B$12,regle!$B$11,
IF(AS365=regle!$C$12,regle!$C$11,
IF(AS365=regle!$D$12,regle!$D$11,
IF(AS365=regle!$E$12,regle!$E$11,
IF(AS365=regle!$F$12,regle!$F$11,
IF(AS365=regle!$G$12,regle!$G$11,
IF(AS365=regle!$H$12,regle!$H$11,
IF(AS365=regle!$I$12,regle!$I$11,""))))))))))</f>
        <v/>
      </c>
      <c r="Z365" t="str">
        <f>IF(NOT($A365),"",
IF(AT365=-2,regle!$J$11,
IF(AT365=regle!$B$12,regle!$B$11,
IF(AT365=regle!$C$12,regle!$C$11,
IF(AT365=regle!$D$12,regle!$D$11,
IF(AT365=regle!$E$12,regle!$E$11,
IF(AT365=regle!$F$12,regle!$F$11,
IF(AT365=regle!$G$12,regle!$G$11,
IF(AT365=regle!$H$12,regle!$H$11,
IF(AT365=regle!$I$12,regle!$I$11,""))))))))))</f>
        <v/>
      </c>
      <c r="AA365" t="str">
        <f>IF(NOT($A365),"",
IF(AU365=-2,regle!$J$11,
IF(AU365=regle!$B$12,regle!$B$11,
IF(AU365=regle!$C$12,regle!$C$11,
IF(AU365=regle!$D$12,regle!$D$11,
IF(AU365=regle!$E$12,regle!$E$11,
IF(AU365=regle!$F$12,regle!$F$11,
IF(AU365=regle!$G$12,regle!$G$11,
IF(AU365=regle!$H$12,regle!$H$11,
IF(AU365=regle!$I$12,regle!$I$11,""))))))))))</f>
        <v>EC1</v>
      </c>
      <c r="AB365" t="str">
        <f>IF(NOT($A365),"",
IF(AV365=-2,regle!$J$11,
IF(AV365=regle!$B$12,regle!$B$11,
IF(AV365=regle!$C$12,regle!$C$11,
IF(AV365=regle!$D$12,regle!$D$11,
IF(AV365=regle!$E$12,regle!$E$11,
IF(AV365=regle!$F$12,regle!$F$11,
IF(AV365=regle!$G$12,regle!$G$11,
IF(AV365=regle!$H$12,regle!$H$11,
IF(AV365=regle!$I$12,regle!$I$11,""))))))))))</f>
        <v/>
      </c>
      <c r="AC365" t="str">
        <f>IF(NOT($A365),"",
IF(AW365=-2,regle!$J$11,
IF(AW365=regle!$B$12,regle!$B$11,
IF(AW365=regle!$C$12,regle!$C$11,
IF(AW365=regle!$D$12,regle!$D$11,
IF(AW365=regle!$E$12,regle!$E$11,
IF(AW365=regle!$F$12,regle!$F$11,
IF(AW365=regle!$G$12,regle!$G$11,
IF(AW365=regle!$H$12,regle!$H$11,
IF(AW365=regle!$I$12,regle!$I$11,""))))))))))</f>
        <v/>
      </c>
      <c r="AD365" t="str">
        <f>IF(NOT($A365),"",
IF(AX365=-2,regle!$J$11,
IF(AX365=regle!$B$12,regle!$B$11,
IF(AX365=regle!$C$12,regle!$C$11,
IF(AX365=regle!$D$12,regle!$D$11,
IF(AX365=regle!$E$12,regle!$E$11,
IF(AX365=regle!$F$12,regle!$F$11,
IF(AX365=regle!$G$12,regle!$G$11,
IF(AX365=regle!$H$12,regle!$H$11,
IF(AX365=regle!$I$12,regle!$I$11,""))))))))))</f>
        <v/>
      </c>
      <c r="AE365" s="14">
        <f>IF($A365,$M365*(IF(U365=regle!$B$11,regle!$B$23,IF(U365=regle!$C$11,regle!$C$23,IF(U365=regle!$D$11,regle!$D$23,IF(U365=regle!$E$11,regle!$E$23,IF(U365=regle!$F$11,regle!$F$23,IF(U365=regle!$G$11,regle!$G$23,IF(U365=regle!$H$11,regle!$H$23,IF(U365=regle!$I$11,regle!$I$23,IF(U365=regle!$J$11,regle!$J$23,0)))))))))))</f>
        <v>0</v>
      </c>
      <c r="AF365" s="14">
        <f>IF($A365,$M365*(IF(V365=regle!$B$11,regle!$B$23,IF(V365=regle!$C$11,regle!$C$23,IF(V365=regle!$D$11,regle!$D$23,IF(V365=regle!$E$11,regle!$E$23,IF(V365=regle!$F$11,regle!$F$23,IF(V365=regle!$G$11,regle!$G$23,IF(V365=regle!$H$11,regle!$H$23,IF(V365=regle!$I$11,regle!$I$23,IF(V365=regle!$J$11,regle!$J$23,0)))))))))))</f>
        <v>-109.944</v>
      </c>
      <c r="AG365" s="14">
        <f>IF($A365,$M365*(IF(W365=regle!$B$11,regle!$B$23,IF(W365=regle!$C$11,regle!$C$23,IF(W365=regle!$D$11,regle!$D$23,IF(W365=regle!$E$11,regle!$E$23,IF(W365=regle!$F$11,regle!$F$23,IF(W365=regle!$G$11,regle!$G$23,IF(W365=regle!$H$11,regle!$H$23,IF(W365=regle!$I$11,regle!$I$23,IF(W365=regle!$J$11,regle!$J$23,0)))))))))))</f>
        <v>0</v>
      </c>
      <c r="AH365" s="14">
        <f>IF($A365,$M365*(IF(X365=regle!$B$11,regle!$B$23,IF(X365=regle!$C$11,regle!$C$23,IF(X365=regle!$D$11,regle!$D$23,IF(X365=regle!$E$11,regle!$E$23,IF(X365=regle!$F$11,regle!$F$23,IF(X365=regle!$G$11,regle!$G$23,IF(X365=regle!$H$11,regle!$H$23,IF(X365=regle!$I$11,regle!$I$23,IF(X365=regle!$J$11,regle!$J$23,0)))))))))))</f>
        <v>0</v>
      </c>
      <c r="AI365" s="14">
        <f>IF($A365,$M365*(IF(Y365=regle!$B$11,regle!$B$23,IF(Y365=regle!$C$11,regle!$C$23,IF(Y365=regle!$D$11,regle!$D$23,IF(Y365=regle!$E$11,regle!$E$23,IF(Y365=regle!$F$11,regle!$F$23,IF(Y365=regle!$G$11,regle!$G$23,IF(Y365=regle!$H$11,regle!$H$23,IF(Y365=regle!$I$11,regle!$I$23,IF(Y365=regle!$J$11,regle!$J$23,0)))))))))))</f>
        <v>0</v>
      </c>
      <c r="AJ365" s="14">
        <f>IF($A365,$M365*(IF(Z365=regle!$B$11,regle!$B$23,IF(Z365=regle!$C$11,regle!$C$23,IF(Z365=regle!$D$11,regle!$D$23,IF(Z365=regle!$E$11,regle!$E$23,IF(Z365=regle!$F$11,regle!$F$23,IF(Z365=regle!$G$11,regle!$G$23,IF(Z365=regle!$H$11,regle!$H$23,IF(Z365=regle!$I$11,regle!$I$23,IF(Z365=regle!$J$11,regle!$J$23,0)))))))))))</f>
        <v>0</v>
      </c>
      <c r="AK365" s="14">
        <f>IF($A365,$M365*(IF(AA365=regle!$B$11,regle!$B$23,IF(AA365=regle!$C$11,regle!$C$23,IF(AA365=regle!$D$11,regle!$D$23,IF(AA365=regle!$E$11,regle!$E$23,IF(AA365=regle!$F$11,regle!$F$23,IF(AA365=regle!$G$11,regle!$G$23,IF(AA365=regle!$H$11,regle!$H$23,IF(AA365=regle!$I$11,regle!$I$23,IF(AA365=regle!$J$11,regle!$J$23,0)))))))))))</f>
        <v>703.64160000000004</v>
      </c>
      <c r="AL365" s="14">
        <f>IF($A365,$M365*(IF(AB365=regle!$B$11,regle!$B$23,IF(AB365=regle!$C$11,regle!$C$23,IF(AB365=regle!$D$11,regle!$D$23,IF(AB365=regle!$E$11,regle!$E$23,IF(AB365=regle!$F$11,regle!$F$23,IF(AB365=regle!$G$11,regle!$G$23,IF(AB365=regle!$H$11,regle!$H$23,IF(AB365=regle!$I$11,regle!$I$23,IF(AB365=regle!$J$11,regle!$J$23,0)))))))))))</f>
        <v>0</v>
      </c>
      <c r="AM365" s="14">
        <f>IF($A365,$M365*(IF(AC365=regle!$B$11,regle!$B$23,IF(AC365=regle!$C$11,regle!$C$23,IF(AC365=regle!$D$11,regle!$D$23,IF(AC365=regle!$E$11,regle!$E$23,IF(AC365=regle!$F$11,regle!$F$23,IF(AC365=regle!$G$11,regle!$G$23,IF(AC365=regle!$H$11,regle!$H$23,IF(AC365=regle!$I$11,regle!$I$23,IF(AC365=regle!$J$11,regle!$J$23,0)))))))))))</f>
        <v>0</v>
      </c>
      <c r="AN365" s="14">
        <f>IF($A365,$M365*(IF(AD365=regle!$B$11,regle!$B$23,IF(AD365=regle!$C$11,regle!$C$23,IF(AD365=regle!$D$11,regle!$D$23,IF(AD365=regle!$E$11,regle!$E$23,IF(AD365=regle!$F$11,regle!$F$23,IF(AD365=regle!$G$11,regle!$G$23,IF(AD365=regle!$H$11,regle!$H$23,IF(AD365=regle!$I$11,regle!$I$23,IF(AD365=regle!$J$11,regle!$J$23,0)))))))))))</f>
        <v>0</v>
      </c>
      <c r="AO365">
        <f>IF(AO$1=$AO$1,IF(regle!B$2-$Q365&gt;=regle!$J$12,-2,IF($S365,IF(regle!$B$2-$Q365&gt;=2,0,-1),regle!B$2-$Q365)),IF(AN365+1&gt;=regle!$J$12,-2,AN365+1))</f>
        <v>7</v>
      </c>
      <c r="AP365">
        <f>IF(AP$1=$AO$1,IF(regle!C$2-$Q365&gt;=regle!$J$12,-2,IF($S365,IF(regle!$B$2-$Q365&gt;=2,0,-1),regle!C$2-$Q365)),IF(AO365+1&gt;=regle!$J$12,-2,AO365+1))</f>
        <v>8</v>
      </c>
      <c r="AQ365">
        <f>IF(AQ$1=$AO$1,IF(regle!D$2-$Q365&gt;=regle!$J$12,-2,IF($S365,IF(regle!$B$2-$Q365&gt;=2,0,-1),regle!D$2-$Q365)),IF(AP365+1&gt;=regle!$J$12,-2,AP365+1))</f>
        <v>9</v>
      </c>
      <c r="AR365">
        <f>IF(AR$1=$AO$1,IF(regle!E$2-$Q365&gt;=regle!$J$12,-2,IF($S365,IF(regle!$B$2-$Q365&gt;=2,0,-1),regle!E$2-$Q365)),IF(AQ365+1&gt;=regle!$J$12,-2,AQ365+1))</f>
        <v>10</v>
      </c>
      <c r="AS365">
        <f>IF(AS$1=$AO$1,IF(regle!F$2-$Q365&gt;=regle!$J$12,-2,IF($S365,IF(regle!$B$2-$Q365&gt;=2,0,-1),regle!F$2-$Q365)),IF(AR365+1&gt;=regle!$J$12,-2,AR365+1))</f>
        <v>11</v>
      </c>
      <c r="AT365">
        <f>IF(AT$1=$AO$1,IF(regle!G$2-$Q365&gt;=regle!$J$12,-2,IF($S365,IF(regle!$B$2-$Q365&gt;=2,0,-1),regle!G$2-$Q365)),IF(AS365+1&gt;=regle!$J$12,-2,AS365+1))</f>
        <v>12</v>
      </c>
      <c r="AU365">
        <f>IF(AU$1=$AO$1,IF(regle!H$2-$Q365&gt;=regle!$J$12,-2,IF($S365,IF(regle!$B$2-$Q365&gt;=2,0,-1),regle!H$2-$Q365)),IF(AT365+1&gt;=regle!$J$12,-2,AT365+1))</f>
        <v>13</v>
      </c>
      <c r="AV365">
        <f>IF(AV$1=$AO$1,IF(regle!I$2-$Q365&gt;=regle!$J$12,-2,IF($S365,IF(regle!$B$2-$Q365&gt;=2,0,-1),regle!I$2-$Q365)),IF(AU365+1&gt;=regle!$J$12,-2,AU365+1))</f>
        <v>14</v>
      </c>
      <c r="AW365">
        <f>IF(AW$1=$AO$1,IF(regle!J$2-$Q365&gt;=regle!$J$12,-2,IF($S365,IF(regle!$B$2-$Q365&gt;=2,0,-1),regle!J$2-$Q365)),IF(AV365+1&gt;=regle!$J$12,-2,AV365+1))</f>
        <v>15</v>
      </c>
      <c r="AX365">
        <f>IF(AX$1=$AO$1,IF(regle!K$2-$Q365&gt;=regle!$J$12,-2,IF($S365,IF(regle!$B$2-$Q365&gt;=2,0,-1),regle!K$2-$Q365)),IF(AW365+1&gt;=regle!$J$12,-2,AW365+1))</f>
        <v>16</v>
      </c>
    </row>
    <row r="366" spans="1:50" x14ac:dyDescent="0.25">
      <c r="A366" t="b">
        <f>AND(modif0[[#This Row],[cdstr]]&lt;&gt;0,OR(regle!$H$27=FALSE,modif0[[#This Row],[essnc]]="PM"))</f>
        <v>1</v>
      </c>
      <c r="B366">
        <f>ROW(objet!A427)</f>
        <v>427</v>
      </c>
      <c r="C366" s="10" t="str">
        <f>objet!D427</f>
        <v>2000000M0009</v>
      </c>
      <c r="D366" t="str">
        <f>LEFT(modif0[[#This Row],[cdstr]],3)</f>
        <v>200</v>
      </c>
      <c r="E366" s="10" t="str">
        <f>objet!G427</f>
        <v>MOUSTEY</v>
      </c>
      <c r="F366">
        <f>LEN(modif0[[#This Row],[l_dt]])</f>
        <v>5</v>
      </c>
      <c r="G366" s="10" t="str">
        <f>objet!H427</f>
        <v>Plata</v>
      </c>
      <c r="H366" s="10" t="str">
        <f>objet!C427</f>
        <v>M9a</v>
      </c>
      <c r="I366" t="str">
        <f>IF(ISNUMBER(VALUE(RIGHT(LEFT(modif0[[#This Row],[idntfn]],2),1))),_xlfn.CONCAT(0,LEFT(modif0[[#This Row],[idntfn]],1)),LEFT(modif0[[#This Row],[idntfn]],2))</f>
        <v>0M</v>
      </c>
      <c r="J366">
        <f>VALUE(LEFT(RIGHT(modif0[[#This Row],[idntfn]],LEN(modif0[[#This Row],[idntfn]])-IF(LEFT(modif0[[#This Row],[sctn]],1)="0",1,2)),LEN(modif0[[#This Row],[idntfn]])-IF(LEFT(modif0[[#This Row],[sctn]],1)="0",1,2)-LEN(modif0[[#This Row],[lttr]])))</f>
        <v>9</v>
      </c>
      <c r="K366" t="str">
        <f>IF(ISNUMBER(VALUE(RIGHT(modif0[[#This Row],[idntfn]],1))),"",IF(ISNUMBER(VALUE(LEFT(RIGHT(modif0[[#This Row],[idntfn]],2),1))),RIGHT(modif0[[#This Row],[idntfn]],1),RIGHT(modif0[[#This Row],[idntfn]],2)))</f>
        <v>a</v>
      </c>
      <c r="L366" s="10">
        <f>objet!I427</f>
        <v>10283</v>
      </c>
      <c r="M366" s="11">
        <f>modif0[[#This Row],[srfc]]/10000</f>
        <v>1.0283</v>
      </c>
      <c r="N366" s="10" t="str">
        <f>objet!Z427</f>
        <v>PM</v>
      </c>
      <c r="O366" s="10" t="str">
        <f>objet!AA427</f>
        <v>CR2022</v>
      </c>
      <c r="P366" t="str">
        <f>IF(ISNUMBER(modif0[[#This Row],[trvx]]),"",LEFT(modif0[[#This Row],[trvx]],LEN(modif0[[#This Row],[trvx]])-4))</f>
        <v>CR</v>
      </c>
      <c r="Q366">
        <f>VALUE(RIGHT(modif0[[#This Row],[trvx]],4))</f>
        <v>2022</v>
      </c>
      <c r="R366" t="str">
        <f>_xlfn.CONCAT(modif0[[#This Row],[tp]],"-",modif0[[#This Row],[essnc]],"_",modif0[[#This Row],[anns]])</f>
        <v>CR-PM_2022</v>
      </c>
      <c r="S366" t="b">
        <f>modif0[[#This Row],[tp]]="CR"</f>
        <v>1</v>
      </c>
      <c r="T366">
        <v>40</v>
      </c>
      <c r="U366" t="str">
        <f>IF(NOT($A366),"",
IF(AO366=-2,regle!$J$11,
IF(AO366=regle!$B$12,regle!$B$11,
IF(AO366=regle!$C$12,regle!$C$11,
IF(AO366=regle!$D$12,regle!$D$11,
IF(AO366=regle!$E$12,regle!$E$11,
IF(AO366=regle!$F$12,regle!$F$11,
IF(AO366=regle!$G$12,regle!$G$11,
IF(AO366=regle!$H$12,regle!$H$11,
IF(AO366=regle!$I$12,regle!$I$11,""))))))))))</f>
        <v>RBST</v>
      </c>
      <c r="V366" t="str">
        <f>IF(NOT($A366),"",
IF(AP366=-2,regle!$J$11,
IF(AP366=regle!$B$12,regle!$B$11,
IF(AP366=regle!$C$12,regle!$C$11,
IF(AP366=regle!$D$12,regle!$D$11,
IF(AP366=regle!$E$12,regle!$E$11,
IF(AP366=regle!$F$12,regle!$F$11,
IF(AP366=regle!$G$12,regle!$G$11,
IF(AP366=regle!$H$12,regle!$H$11,
IF(AP366=regle!$I$12,regle!$I$11,""))))))))))</f>
        <v/>
      </c>
      <c r="W366" t="str">
        <f>IF(NOT($A366),"",
IF(AQ366=-2,regle!$J$11,
IF(AQ366=regle!$B$12,regle!$B$11,
IF(AQ366=regle!$C$12,regle!$C$11,
IF(AQ366=regle!$D$12,regle!$D$11,
IF(AQ366=regle!$E$12,regle!$E$11,
IF(AQ366=regle!$F$12,regle!$F$11,
IF(AQ366=regle!$G$12,regle!$G$11,
IF(AQ366=regle!$H$12,regle!$H$11,
IF(AQ366=regle!$I$12,regle!$I$11,""))))))))))</f>
        <v>DGT</v>
      </c>
      <c r="X366" t="str">
        <f>IF(NOT($A366),"",
IF(AR366=-2,regle!$J$11,
IF(AR366=regle!$B$12,regle!$B$11,
IF(AR366=regle!$C$12,regle!$C$11,
IF(AR366=regle!$D$12,regle!$D$11,
IF(AR366=regle!$E$12,regle!$E$11,
IF(AR366=regle!$F$12,regle!$F$11,
IF(AR366=regle!$G$12,regle!$G$11,
IF(AR366=regle!$H$12,regle!$H$11,
IF(AR366=regle!$I$12,regle!$I$11,""))))))))))</f>
        <v/>
      </c>
      <c r="Y366" t="str">
        <f>IF(NOT($A366),"",
IF(AS366=-2,regle!$J$11,
IF(AS366=regle!$B$12,regle!$B$11,
IF(AS366=regle!$C$12,regle!$C$11,
IF(AS366=regle!$D$12,regle!$D$11,
IF(AS366=regle!$E$12,regle!$E$11,
IF(AS366=regle!$F$12,regle!$F$11,
IF(AS366=regle!$G$12,regle!$G$11,
IF(AS366=regle!$H$12,regle!$H$11,
IF(AS366=regle!$I$12,regle!$I$11,""))))))))))</f>
        <v/>
      </c>
      <c r="Z366" t="str">
        <f>IF(NOT($A366),"",
IF(AT366=-2,regle!$J$11,
IF(AT366=regle!$B$12,regle!$B$11,
IF(AT366=regle!$C$12,regle!$C$11,
IF(AT366=regle!$D$12,regle!$D$11,
IF(AT366=regle!$E$12,regle!$E$11,
IF(AT366=regle!$F$12,regle!$F$11,
IF(AT366=regle!$G$12,regle!$G$11,
IF(AT366=regle!$H$12,regle!$H$11,
IF(AT366=regle!$I$12,regle!$I$11,""))))))))))</f>
        <v>ENT1</v>
      </c>
      <c r="AA366" t="str">
        <f>IF(NOT($A366),"",
IF(AU366=-2,regle!$J$11,
IF(AU366=regle!$B$12,regle!$B$11,
IF(AU366=regle!$C$12,regle!$C$11,
IF(AU366=regle!$D$12,regle!$D$11,
IF(AU366=regle!$E$12,regle!$E$11,
IF(AU366=regle!$F$12,regle!$F$11,
IF(AU366=regle!$G$12,regle!$G$11,
IF(AU366=regle!$H$12,regle!$H$11,
IF(AU366=regle!$I$12,regle!$I$11,""))))))))))</f>
        <v/>
      </c>
      <c r="AB366" t="str">
        <f>IF(NOT($A366),"",
IF(AV366=-2,regle!$J$11,
IF(AV366=regle!$B$12,regle!$B$11,
IF(AV366=regle!$C$12,regle!$C$11,
IF(AV366=regle!$D$12,regle!$D$11,
IF(AV366=regle!$E$12,regle!$E$11,
IF(AV366=regle!$F$12,regle!$F$11,
IF(AV366=regle!$G$12,regle!$G$11,
IF(AV366=regle!$H$12,regle!$H$11,
IF(AV366=regle!$I$12,regle!$I$11,""))))))))))</f>
        <v/>
      </c>
      <c r="AC366" t="str">
        <f>IF(NOT($A366),"",
IF(AW366=-2,regle!$J$11,
IF(AW366=regle!$B$12,regle!$B$11,
IF(AW366=regle!$C$12,regle!$C$11,
IF(AW366=regle!$D$12,regle!$D$11,
IF(AW366=regle!$E$12,regle!$E$11,
IF(AW366=regle!$F$12,regle!$F$11,
IF(AW366=regle!$G$12,regle!$G$11,
IF(AW366=regle!$H$12,regle!$H$11,
IF(AW366=regle!$I$12,regle!$I$11,""))))))))))</f>
        <v>ENT2</v>
      </c>
      <c r="AD366" t="str">
        <f>IF(NOT($A366),"",
IF(AX366=-2,regle!$J$11,
IF(AX366=regle!$B$12,regle!$B$11,
IF(AX366=regle!$C$12,regle!$C$11,
IF(AX366=regle!$D$12,regle!$D$11,
IF(AX366=regle!$E$12,regle!$E$11,
IF(AX366=regle!$F$12,regle!$F$11,
IF(AX366=regle!$G$12,regle!$G$11,
IF(AX366=regle!$H$12,regle!$H$11,
IF(AX366=regle!$I$12,regle!$I$11,""))))))))))</f>
        <v/>
      </c>
      <c r="AE366" s="14">
        <f>IF($A366,$M366*(IF(U366=regle!$B$11,regle!$B$23,IF(U366=regle!$C$11,regle!$C$23,IF(U366=regle!$D$11,regle!$D$23,IF(U366=regle!$E$11,regle!$E$23,IF(U366=regle!$F$11,regle!$F$23,IF(U366=regle!$G$11,regle!$G$23,IF(U366=regle!$H$11,regle!$H$23,IF(U366=regle!$I$11,regle!$I$23,IF(U366=regle!$J$11,regle!$J$23,0)))))))))))</f>
        <v>-1748.11</v>
      </c>
      <c r="AF366" s="14">
        <f>IF($A366,$M366*(IF(V366=regle!$B$11,regle!$B$23,IF(V366=regle!$C$11,regle!$C$23,IF(V366=regle!$D$11,regle!$D$23,IF(V366=regle!$E$11,regle!$E$23,IF(V366=regle!$F$11,regle!$F$23,IF(V366=regle!$G$11,regle!$G$23,IF(V366=regle!$H$11,regle!$H$23,IF(V366=regle!$I$11,regle!$I$23,IF(V366=regle!$J$11,regle!$J$23,0)))))))))))</f>
        <v>0</v>
      </c>
      <c r="AG366" s="14">
        <f>IF($A366,$M366*(IF(W366=regle!$B$11,regle!$B$23,IF(W366=regle!$C$11,regle!$C$23,IF(W366=regle!$D$11,regle!$D$23,IF(W366=regle!$E$11,regle!$E$23,IF(W366=regle!$F$11,regle!$F$23,IF(W366=regle!$G$11,regle!$G$23,IF(W366=regle!$H$11,regle!$H$23,IF(W366=regle!$I$11,regle!$I$23,IF(W366=regle!$J$11,regle!$J$23,0)))))))))))</f>
        <v>-77.122500000000002</v>
      </c>
      <c r="AH366" s="14">
        <f>IF($A366,$M366*(IF(X366=regle!$B$11,regle!$B$23,IF(X366=regle!$C$11,regle!$C$23,IF(X366=regle!$D$11,regle!$D$23,IF(X366=regle!$E$11,regle!$E$23,IF(X366=regle!$F$11,regle!$F$23,IF(X366=regle!$G$11,regle!$G$23,IF(X366=regle!$H$11,regle!$H$23,IF(X366=regle!$I$11,regle!$I$23,IF(X366=regle!$J$11,regle!$J$23,0)))))))))))</f>
        <v>0</v>
      </c>
      <c r="AI366" s="14">
        <f>IF($A366,$M366*(IF(Y366=regle!$B$11,regle!$B$23,IF(Y366=regle!$C$11,regle!$C$23,IF(Y366=regle!$D$11,regle!$D$23,IF(Y366=regle!$E$11,regle!$E$23,IF(Y366=regle!$F$11,regle!$F$23,IF(Y366=regle!$G$11,regle!$G$23,IF(Y366=regle!$H$11,regle!$H$23,IF(Y366=regle!$I$11,regle!$I$23,IF(Y366=regle!$J$11,regle!$J$23,0)))))))))))</f>
        <v>0</v>
      </c>
      <c r="AJ366" s="14">
        <f>IF($A366,$M366*(IF(Z366=regle!$B$11,regle!$B$23,IF(Z366=regle!$C$11,regle!$C$23,IF(Z366=regle!$D$11,regle!$D$23,IF(Z366=regle!$E$11,regle!$E$23,IF(Z366=regle!$F$11,regle!$F$23,IF(Z366=regle!$G$11,regle!$G$23,IF(Z366=regle!$H$11,regle!$H$23,IF(Z366=regle!$I$11,regle!$I$23,IF(Z366=regle!$J$11,regle!$J$23,0)))))))))))</f>
        <v>-92.546999999999997</v>
      </c>
      <c r="AK366" s="14">
        <f>IF($A366,$M366*(IF(AA366=regle!$B$11,regle!$B$23,IF(AA366=regle!$C$11,regle!$C$23,IF(AA366=regle!$D$11,regle!$D$23,IF(AA366=regle!$E$11,regle!$E$23,IF(AA366=regle!$F$11,regle!$F$23,IF(AA366=regle!$G$11,regle!$G$23,IF(AA366=regle!$H$11,regle!$H$23,IF(AA366=regle!$I$11,regle!$I$23,IF(AA366=regle!$J$11,regle!$J$23,0)))))))))))</f>
        <v>0</v>
      </c>
      <c r="AL366" s="14">
        <f>IF($A366,$M366*(IF(AB366=regle!$B$11,regle!$B$23,IF(AB366=regle!$C$11,regle!$C$23,IF(AB366=regle!$D$11,regle!$D$23,IF(AB366=regle!$E$11,regle!$E$23,IF(AB366=regle!$F$11,regle!$F$23,IF(AB366=regle!$G$11,regle!$G$23,IF(AB366=regle!$H$11,regle!$H$23,IF(AB366=regle!$I$11,regle!$I$23,IF(AB366=regle!$J$11,regle!$J$23,0)))))))))))</f>
        <v>0</v>
      </c>
      <c r="AM366" s="14">
        <f>IF($A366,$M366*(IF(AC366=regle!$B$11,regle!$B$23,IF(AC366=regle!$C$11,regle!$C$23,IF(AC366=regle!$D$11,regle!$D$23,IF(AC366=regle!$E$11,regle!$E$23,IF(AC366=regle!$F$11,regle!$F$23,IF(AC366=regle!$G$11,regle!$G$23,IF(AC366=regle!$H$11,regle!$H$23,IF(AC366=regle!$I$11,regle!$I$23,IF(AC366=regle!$J$11,regle!$J$23,0)))))))))))</f>
        <v>-92.546999999999997</v>
      </c>
      <c r="AN366" s="14">
        <f>IF($A366,$M366*(IF(AD366=regle!$B$11,regle!$B$23,IF(AD366=regle!$C$11,regle!$C$23,IF(AD366=regle!$D$11,regle!$D$23,IF(AD366=regle!$E$11,regle!$E$23,IF(AD366=regle!$F$11,regle!$F$23,IF(AD366=regle!$G$11,regle!$G$23,IF(AD366=regle!$H$11,regle!$H$23,IF(AD366=regle!$I$11,regle!$I$23,IF(AD366=regle!$J$11,regle!$J$23,0)))))))))))</f>
        <v>0</v>
      </c>
      <c r="AO366">
        <f>IF(AO$1=$AO$1,IF(regle!B$2-$Q366&gt;=regle!$J$12,-2,IF($S366,IF(regle!$B$2-$Q366&gt;=2,0,-1),regle!B$2-$Q366)),IF(AN366+1&gt;=regle!$J$12,-2,AN366+1))</f>
        <v>0</v>
      </c>
      <c r="AP366">
        <f>IF(AP$1=$AO$1,IF(regle!C$2-$Q366&gt;=regle!$J$12,-2,IF($S366,IF(regle!$B$2-$Q366&gt;=2,0,-1),regle!C$2-$Q366)),IF(AO366+1&gt;=regle!$J$12,-2,AO366+1))</f>
        <v>1</v>
      </c>
      <c r="AQ366">
        <f>IF(AQ$1=$AO$1,IF(regle!D$2-$Q366&gt;=regle!$J$12,-2,IF($S366,IF(regle!$B$2-$Q366&gt;=2,0,-1),regle!D$2-$Q366)),IF(AP366+1&gt;=regle!$J$12,-2,AP366+1))</f>
        <v>2</v>
      </c>
      <c r="AR366">
        <f>IF(AR$1=$AO$1,IF(regle!E$2-$Q366&gt;=regle!$J$12,-2,IF($S366,IF(regle!$B$2-$Q366&gt;=2,0,-1),regle!E$2-$Q366)),IF(AQ366+1&gt;=regle!$J$12,-2,AQ366+1))</f>
        <v>3</v>
      </c>
      <c r="AS366">
        <f>IF(AS$1=$AO$1,IF(regle!F$2-$Q366&gt;=regle!$J$12,-2,IF($S366,IF(regle!$B$2-$Q366&gt;=2,0,-1),regle!F$2-$Q366)),IF(AR366+1&gt;=regle!$J$12,-2,AR366+1))</f>
        <v>4</v>
      </c>
      <c r="AT366">
        <f>IF(AT$1=$AO$1,IF(regle!G$2-$Q366&gt;=regle!$J$12,-2,IF($S366,IF(regle!$B$2-$Q366&gt;=2,0,-1),regle!G$2-$Q366)),IF(AS366+1&gt;=regle!$J$12,-2,AS366+1))</f>
        <v>5</v>
      </c>
      <c r="AU366">
        <f>IF(AU$1=$AO$1,IF(regle!H$2-$Q366&gt;=regle!$J$12,-2,IF($S366,IF(regle!$B$2-$Q366&gt;=2,0,-1),regle!H$2-$Q366)),IF(AT366+1&gt;=regle!$J$12,-2,AT366+1))</f>
        <v>6</v>
      </c>
      <c r="AV366">
        <f>IF(AV$1=$AO$1,IF(regle!I$2-$Q366&gt;=regle!$J$12,-2,IF($S366,IF(regle!$B$2-$Q366&gt;=2,0,-1),regle!I$2-$Q366)),IF(AU366+1&gt;=regle!$J$12,-2,AU366+1))</f>
        <v>7</v>
      </c>
      <c r="AW366">
        <f>IF(AW$1=$AO$1,IF(regle!J$2-$Q366&gt;=regle!$J$12,-2,IF($S366,IF(regle!$B$2-$Q366&gt;=2,0,-1),regle!J$2-$Q366)),IF(AV366+1&gt;=regle!$J$12,-2,AV366+1))</f>
        <v>8</v>
      </c>
      <c r="AX366">
        <f>IF(AX$1=$AO$1,IF(regle!K$2-$Q366&gt;=regle!$J$12,-2,IF($S366,IF(regle!$B$2-$Q366&gt;=2,0,-1),regle!K$2-$Q366)),IF(AW366+1&gt;=regle!$J$12,-2,AW366+1))</f>
        <v>9</v>
      </c>
    </row>
    <row r="367" spans="1:50" x14ac:dyDescent="0.25">
      <c r="A367" t="b">
        <f>AND(modif0[[#This Row],[cdstr]]&lt;&gt;0,OR(regle!$H$27=FALSE,modif0[[#This Row],[essnc]]="PM"))</f>
        <v>1</v>
      </c>
      <c r="B367">
        <f>ROW(objet!A429)</f>
        <v>429</v>
      </c>
      <c r="C367" s="10" t="str">
        <f>objet!D429</f>
        <v>2000000N0146</v>
      </c>
      <c r="D367" t="str">
        <f>LEFT(modif0[[#This Row],[cdstr]],3)</f>
        <v>200</v>
      </c>
      <c r="E367" s="10" t="str">
        <f>objet!G429</f>
        <v>MOUSTEY</v>
      </c>
      <c r="F367">
        <f>LEN(modif0[[#This Row],[l_dt]])</f>
        <v>18</v>
      </c>
      <c r="G367" s="10" t="str">
        <f>objet!H429</f>
        <v>Quartier de Capsus</v>
      </c>
      <c r="H367" s="10" t="str">
        <f>objet!C429</f>
        <v>N146</v>
      </c>
      <c r="I367" t="str">
        <f>IF(ISNUMBER(VALUE(RIGHT(LEFT(modif0[[#This Row],[idntfn]],2),1))),_xlfn.CONCAT(0,LEFT(modif0[[#This Row],[idntfn]],1)),LEFT(modif0[[#This Row],[idntfn]],2))</f>
        <v>0N</v>
      </c>
      <c r="J367">
        <f>VALUE(LEFT(RIGHT(modif0[[#This Row],[idntfn]],LEN(modif0[[#This Row],[idntfn]])-IF(LEFT(modif0[[#This Row],[sctn]],1)="0",1,2)),LEN(modif0[[#This Row],[idntfn]])-IF(LEFT(modif0[[#This Row],[sctn]],1)="0",1,2)-LEN(modif0[[#This Row],[lttr]])))</f>
        <v>146</v>
      </c>
      <c r="K367" t="str">
        <f>IF(ISNUMBER(VALUE(RIGHT(modif0[[#This Row],[idntfn]],1))),"",IF(ISNUMBER(VALUE(LEFT(RIGHT(modif0[[#This Row],[idntfn]],2),1))),RIGHT(modif0[[#This Row],[idntfn]],1),RIGHT(modif0[[#This Row],[idntfn]],2)))</f>
        <v/>
      </c>
      <c r="L367" s="10">
        <f>objet!I429</f>
        <v>465</v>
      </c>
      <c r="M367" s="11">
        <f>modif0[[#This Row],[srfc]]/10000</f>
        <v>4.65E-2</v>
      </c>
      <c r="N367" s="10" t="str">
        <f>objet!Z429</f>
        <v>PM</v>
      </c>
      <c r="O367" s="10" t="str">
        <f>objet!AA429</f>
        <v>CR2022</v>
      </c>
      <c r="P367" t="str">
        <f>IF(ISNUMBER(modif0[[#This Row],[trvx]]),"",LEFT(modif0[[#This Row],[trvx]],LEN(modif0[[#This Row],[trvx]])-4))</f>
        <v>CR</v>
      </c>
      <c r="Q367">
        <f>VALUE(RIGHT(modif0[[#This Row],[trvx]],4))</f>
        <v>2022</v>
      </c>
      <c r="R367" t="str">
        <f>_xlfn.CONCAT(modif0[[#This Row],[tp]],"-",modif0[[#This Row],[essnc]],"_",modif0[[#This Row],[anns]])</f>
        <v>CR-PM_2022</v>
      </c>
      <c r="S367" t="b">
        <f>modif0[[#This Row],[tp]]="CR"</f>
        <v>1</v>
      </c>
      <c r="T367">
        <v>40</v>
      </c>
      <c r="U367" t="str">
        <f>IF(NOT($A367),"",
IF(AO367=-2,regle!$J$11,
IF(AO367=regle!$B$12,regle!$B$11,
IF(AO367=regle!$C$12,regle!$C$11,
IF(AO367=regle!$D$12,regle!$D$11,
IF(AO367=regle!$E$12,regle!$E$11,
IF(AO367=regle!$F$12,regle!$F$11,
IF(AO367=regle!$G$12,regle!$G$11,
IF(AO367=regle!$H$12,regle!$H$11,
IF(AO367=regle!$I$12,regle!$I$11,""))))))))))</f>
        <v>RBST</v>
      </c>
      <c r="V367" t="str">
        <f>IF(NOT($A367),"",
IF(AP367=-2,regle!$J$11,
IF(AP367=regle!$B$12,regle!$B$11,
IF(AP367=regle!$C$12,regle!$C$11,
IF(AP367=regle!$D$12,regle!$D$11,
IF(AP367=regle!$E$12,regle!$E$11,
IF(AP367=regle!$F$12,regle!$F$11,
IF(AP367=regle!$G$12,regle!$G$11,
IF(AP367=regle!$H$12,regle!$H$11,
IF(AP367=regle!$I$12,regle!$I$11,""))))))))))</f>
        <v/>
      </c>
      <c r="W367" t="str">
        <f>IF(NOT($A367),"",
IF(AQ367=-2,regle!$J$11,
IF(AQ367=regle!$B$12,regle!$B$11,
IF(AQ367=regle!$C$12,regle!$C$11,
IF(AQ367=regle!$D$12,regle!$D$11,
IF(AQ367=regle!$E$12,regle!$E$11,
IF(AQ367=regle!$F$12,regle!$F$11,
IF(AQ367=regle!$G$12,regle!$G$11,
IF(AQ367=regle!$H$12,regle!$H$11,
IF(AQ367=regle!$I$12,regle!$I$11,""))))))))))</f>
        <v>DGT</v>
      </c>
      <c r="X367" t="str">
        <f>IF(NOT($A367),"",
IF(AR367=-2,regle!$J$11,
IF(AR367=regle!$B$12,regle!$B$11,
IF(AR367=regle!$C$12,regle!$C$11,
IF(AR367=regle!$D$12,regle!$D$11,
IF(AR367=regle!$E$12,regle!$E$11,
IF(AR367=regle!$F$12,regle!$F$11,
IF(AR367=regle!$G$12,regle!$G$11,
IF(AR367=regle!$H$12,regle!$H$11,
IF(AR367=regle!$I$12,regle!$I$11,""))))))))))</f>
        <v/>
      </c>
      <c r="Y367" t="str">
        <f>IF(NOT($A367),"",
IF(AS367=-2,regle!$J$11,
IF(AS367=regle!$B$12,regle!$B$11,
IF(AS367=regle!$C$12,regle!$C$11,
IF(AS367=regle!$D$12,regle!$D$11,
IF(AS367=regle!$E$12,regle!$E$11,
IF(AS367=regle!$F$12,regle!$F$11,
IF(AS367=regle!$G$12,regle!$G$11,
IF(AS367=regle!$H$12,regle!$H$11,
IF(AS367=regle!$I$12,regle!$I$11,""))))))))))</f>
        <v/>
      </c>
      <c r="Z367" t="str">
        <f>IF(NOT($A367),"",
IF(AT367=-2,regle!$J$11,
IF(AT367=regle!$B$12,regle!$B$11,
IF(AT367=regle!$C$12,regle!$C$11,
IF(AT367=regle!$D$12,regle!$D$11,
IF(AT367=regle!$E$12,regle!$E$11,
IF(AT367=regle!$F$12,regle!$F$11,
IF(AT367=regle!$G$12,regle!$G$11,
IF(AT367=regle!$H$12,regle!$H$11,
IF(AT367=regle!$I$12,regle!$I$11,""))))))))))</f>
        <v>ENT1</v>
      </c>
      <c r="AA367" t="str">
        <f>IF(NOT($A367),"",
IF(AU367=-2,regle!$J$11,
IF(AU367=regle!$B$12,regle!$B$11,
IF(AU367=regle!$C$12,regle!$C$11,
IF(AU367=regle!$D$12,regle!$D$11,
IF(AU367=regle!$E$12,regle!$E$11,
IF(AU367=regle!$F$12,regle!$F$11,
IF(AU367=regle!$G$12,regle!$G$11,
IF(AU367=regle!$H$12,regle!$H$11,
IF(AU367=regle!$I$12,regle!$I$11,""))))))))))</f>
        <v/>
      </c>
      <c r="AB367" t="str">
        <f>IF(NOT($A367),"",
IF(AV367=-2,regle!$J$11,
IF(AV367=regle!$B$12,regle!$B$11,
IF(AV367=regle!$C$12,regle!$C$11,
IF(AV367=regle!$D$12,regle!$D$11,
IF(AV367=regle!$E$12,regle!$E$11,
IF(AV367=regle!$F$12,regle!$F$11,
IF(AV367=regle!$G$12,regle!$G$11,
IF(AV367=regle!$H$12,regle!$H$11,
IF(AV367=regle!$I$12,regle!$I$11,""))))))))))</f>
        <v/>
      </c>
      <c r="AC367" t="str">
        <f>IF(NOT($A367),"",
IF(AW367=-2,regle!$J$11,
IF(AW367=regle!$B$12,regle!$B$11,
IF(AW367=regle!$C$12,regle!$C$11,
IF(AW367=regle!$D$12,regle!$D$11,
IF(AW367=regle!$E$12,regle!$E$11,
IF(AW367=regle!$F$12,regle!$F$11,
IF(AW367=regle!$G$12,regle!$G$11,
IF(AW367=regle!$H$12,regle!$H$11,
IF(AW367=regle!$I$12,regle!$I$11,""))))))))))</f>
        <v>ENT2</v>
      </c>
      <c r="AD367" t="str">
        <f>IF(NOT($A367),"",
IF(AX367=-2,regle!$J$11,
IF(AX367=regle!$B$12,regle!$B$11,
IF(AX367=regle!$C$12,regle!$C$11,
IF(AX367=regle!$D$12,regle!$D$11,
IF(AX367=regle!$E$12,regle!$E$11,
IF(AX367=regle!$F$12,regle!$F$11,
IF(AX367=regle!$G$12,regle!$G$11,
IF(AX367=regle!$H$12,regle!$H$11,
IF(AX367=regle!$I$12,regle!$I$11,""))))))))))</f>
        <v/>
      </c>
      <c r="AE367" s="14">
        <f>IF($A367,$M367*(IF(U367=regle!$B$11,regle!$B$23,IF(U367=regle!$C$11,regle!$C$23,IF(U367=regle!$D$11,regle!$D$23,IF(U367=regle!$E$11,regle!$E$23,IF(U367=regle!$F$11,regle!$F$23,IF(U367=regle!$G$11,regle!$G$23,IF(U367=regle!$H$11,regle!$H$23,IF(U367=regle!$I$11,regle!$I$23,IF(U367=regle!$J$11,regle!$J$23,0)))))))))))</f>
        <v>-79.05</v>
      </c>
      <c r="AF367" s="14">
        <f>IF($A367,$M367*(IF(V367=regle!$B$11,regle!$B$23,IF(V367=regle!$C$11,regle!$C$23,IF(V367=regle!$D$11,regle!$D$23,IF(V367=regle!$E$11,regle!$E$23,IF(V367=regle!$F$11,regle!$F$23,IF(V367=regle!$G$11,regle!$G$23,IF(V367=regle!$H$11,regle!$H$23,IF(V367=regle!$I$11,regle!$I$23,IF(V367=regle!$J$11,regle!$J$23,0)))))))))))</f>
        <v>0</v>
      </c>
      <c r="AG367" s="14">
        <f>IF($A367,$M367*(IF(W367=regle!$B$11,regle!$B$23,IF(W367=regle!$C$11,regle!$C$23,IF(W367=regle!$D$11,regle!$D$23,IF(W367=regle!$E$11,regle!$E$23,IF(W367=regle!$F$11,regle!$F$23,IF(W367=regle!$G$11,regle!$G$23,IF(W367=regle!$H$11,regle!$H$23,IF(W367=regle!$I$11,regle!$I$23,IF(W367=regle!$J$11,regle!$J$23,0)))))))))))</f>
        <v>-3.4874999999999998</v>
      </c>
      <c r="AH367" s="14">
        <f>IF($A367,$M367*(IF(X367=regle!$B$11,regle!$B$23,IF(X367=regle!$C$11,regle!$C$23,IF(X367=regle!$D$11,regle!$D$23,IF(X367=regle!$E$11,regle!$E$23,IF(X367=regle!$F$11,regle!$F$23,IF(X367=regle!$G$11,regle!$G$23,IF(X367=regle!$H$11,regle!$H$23,IF(X367=regle!$I$11,regle!$I$23,IF(X367=regle!$J$11,regle!$J$23,0)))))))))))</f>
        <v>0</v>
      </c>
      <c r="AI367" s="14">
        <f>IF($A367,$M367*(IF(Y367=regle!$B$11,regle!$B$23,IF(Y367=regle!$C$11,regle!$C$23,IF(Y367=regle!$D$11,regle!$D$23,IF(Y367=regle!$E$11,regle!$E$23,IF(Y367=regle!$F$11,regle!$F$23,IF(Y367=regle!$G$11,regle!$G$23,IF(Y367=regle!$H$11,regle!$H$23,IF(Y367=regle!$I$11,regle!$I$23,IF(Y367=regle!$J$11,regle!$J$23,0)))))))))))</f>
        <v>0</v>
      </c>
      <c r="AJ367" s="14">
        <f>IF($A367,$M367*(IF(Z367=regle!$B$11,regle!$B$23,IF(Z367=regle!$C$11,regle!$C$23,IF(Z367=regle!$D$11,regle!$D$23,IF(Z367=regle!$E$11,regle!$E$23,IF(Z367=regle!$F$11,regle!$F$23,IF(Z367=regle!$G$11,regle!$G$23,IF(Z367=regle!$H$11,regle!$H$23,IF(Z367=regle!$I$11,regle!$I$23,IF(Z367=regle!$J$11,regle!$J$23,0)))))))))))</f>
        <v>-4.1849999999999996</v>
      </c>
      <c r="AK367" s="14">
        <f>IF($A367,$M367*(IF(AA367=regle!$B$11,regle!$B$23,IF(AA367=regle!$C$11,regle!$C$23,IF(AA367=regle!$D$11,regle!$D$23,IF(AA367=regle!$E$11,regle!$E$23,IF(AA367=regle!$F$11,regle!$F$23,IF(AA367=regle!$G$11,regle!$G$23,IF(AA367=regle!$H$11,regle!$H$23,IF(AA367=regle!$I$11,regle!$I$23,IF(AA367=regle!$J$11,regle!$J$23,0)))))))))))</f>
        <v>0</v>
      </c>
      <c r="AL367" s="14">
        <f>IF($A367,$M367*(IF(AB367=regle!$B$11,regle!$B$23,IF(AB367=regle!$C$11,regle!$C$23,IF(AB367=regle!$D$11,regle!$D$23,IF(AB367=regle!$E$11,regle!$E$23,IF(AB367=regle!$F$11,regle!$F$23,IF(AB367=regle!$G$11,regle!$G$23,IF(AB367=regle!$H$11,regle!$H$23,IF(AB367=regle!$I$11,regle!$I$23,IF(AB367=regle!$J$11,regle!$J$23,0)))))))))))</f>
        <v>0</v>
      </c>
      <c r="AM367" s="14">
        <f>IF($A367,$M367*(IF(AC367=regle!$B$11,regle!$B$23,IF(AC367=regle!$C$11,regle!$C$23,IF(AC367=regle!$D$11,regle!$D$23,IF(AC367=regle!$E$11,regle!$E$23,IF(AC367=regle!$F$11,regle!$F$23,IF(AC367=regle!$G$11,regle!$G$23,IF(AC367=regle!$H$11,regle!$H$23,IF(AC367=regle!$I$11,regle!$I$23,IF(AC367=regle!$J$11,regle!$J$23,0)))))))))))</f>
        <v>-4.1849999999999996</v>
      </c>
      <c r="AN367" s="14">
        <f>IF($A367,$M367*(IF(AD367=regle!$B$11,regle!$B$23,IF(AD367=regle!$C$11,regle!$C$23,IF(AD367=regle!$D$11,regle!$D$23,IF(AD367=regle!$E$11,regle!$E$23,IF(AD367=regle!$F$11,regle!$F$23,IF(AD367=regle!$G$11,regle!$G$23,IF(AD367=regle!$H$11,regle!$H$23,IF(AD367=regle!$I$11,regle!$I$23,IF(AD367=regle!$J$11,regle!$J$23,0)))))))))))</f>
        <v>0</v>
      </c>
      <c r="AO367">
        <f>IF(AO$1=$AO$1,IF(regle!B$2-$Q367&gt;=regle!$J$12,-2,IF($S367,IF(regle!$B$2-$Q367&gt;=2,0,-1),regle!B$2-$Q367)),IF(AN367+1&gt;=regle!$J$12,-2,AN367+1))</f>
        <v>0</v>
      </c>
      <c r="AP367">
        <f>IF(AP$1=$AO$1,IF(regle!C$2-$Q367&gt;=regle!$J$12,-2,IF($S367,IF(regle!$B$2-$Q367&gt;=2,0,-1),regle!C$2-$Q367)),IF(AO367+1&gt;=regle!$J$12,-2,AO367+1))</f>
        <v>1</v>
      </c>
      <c r="AQ367">
        <f>IF(AQ$1=$AO$1,IF(regle!D$2-$Q367&gt;=regle!$J$12,-2,IF($S367,IF(regle!$B$2-$Q367&gt;=2,0,-1),regle!D$2-$Q367)),IF(AP367+1&gt;=regle!$J$12,-2,AP367+1))</f>
        <v>2</v>
      </c>
      <c r="AR367">
        <f>IF(AR$1=$AO$1,IF(regle!E$2-$Q367&gt;=regle!$J$12,-2,IF($S367,IF(regle!$B$2-$Q367&gt;=2,0,-1),regle!E$2-$Q367)),IF(AQ367+1&gt;=regle!$J$12,-2,AQ367+1))</f>
        <v>3</v>
      </c>
      <c r="AS367">
        <f>IF(AS$1=$AO$1,IF(regle!F$2-$Q367&gt;=regle!$J$12,-2,IF($S367,IF(regle!$B$2-$Q367&gt;=2,0,-1),regle!F$2-$Q367)),IF(AR367+1&gt;=regle!$J$12,-2,AR367+1))</f>
        <v>4</v>
      </c>
      <c r="AT367">
        <f>IF(AT$1=$AO$1,IF(regle!G$2-$Q367&gt;=regle!$J$12,-2,IF($S367,IF(regle!$B$2-$Q367&gt;=2,0,-1),regle!G$2-$Q367)),IF(AS367+1&gt;=regle!$J$12,-2,AS367+1))</f>
        <v>5</v>
      </c>
      <c r="AU367">
        <f>IF(AU$1=$AO$1,IF(regle!H$2-$Q367&gt;=regle!$J$12,-2,IF($S367,IF(regle!$B$2-$Q367&gt;=2,0,-1),regle!H$2-$Q367)),IF(AT367+1&gt;=regle!$J$12,-2,AT367+1))</f>
        <v>6</v>
      </c>
      <c r="AV367">
        <f>IF(AV$1=$AO$1,IF(regle!I$2-$Q367&gt;=regle!$J$12,-2,IF($S367,IF(regle!$B$2-$Q367&gt;=2,0,-1),regle!I$2-$Q367)),IF(AU367+1&gt;=regle!$J$12,-2,AU367+1))</f>
        <v>7</v>
      </c>
      <c r="AW367">
        <f>IF(AW$1=$AO$1,IF(regle!J$2-$Q367&gt;=regle!$J$12,-2,IF($S367,IF(regle!$B$2-$Q367&gt;=2,0,-1),regle!J$2-$Q367)),IF(AV367+1&gt;=regle!$J$12,-2,AV367+1))</f>
        <v>8</v>
      </c>
      <c r="AX367">
        <f>IF(AX$1=$AO$1,IF(regle!K$2-$Q367&gt;=regle!$J$12,-2,IF($S367,IF(regle!$B$2-$Q367&gt;=2,0,-1),regle!K$2-$Q367)),IF(AW367+1&gt;=regle!$J$12,-2,AW367+1))</f>
        <v>9</v>
      </c>
    </row>
    <row r="368" spans="1:50" x14ac:dyDescent="0.25">
      <c r="A368" t="b">
        <f>AND(modif0[[#This Row],[cdstr]]&lt;&gt;0,OR(regle!$H$27=FALSE,modif0[[#This Row],[essnc]]="PM"))</f>
        <v>1</v>
      </c>
      <c r="B368">
        <f>ROW(objet!A431)</f>
        <v>431</v>
      </c>
      <c r="C368" s="10" t="str">
        <f>objet!D431</f>
        <v>2000000N0161</v>
      </c>
      <c r="D368" t="str">
        <f>LEFT(modif0[[#This Row],[cdstr]],3)</f>
        <v>200</v>
      </c>
      <c r="E368" s="10" t="str">
        <f>objet!G431</f>
        <v>MOUSTEY</v>
      </c>
      <c r="F368">
        <f>LEN(modif0[[#This Row],[l_dt]])</f>
        <v>9</v>
      </c>
      <c r="G368" s="10" t="str">
        <f>objet!H431</f>
        <v>Peyroulet</v>
      </c>
      <c r="H368" s="10" t="str">
        <f>objet!C431</f>
        <v>N161a</v>
      </c>
      <c r="I368" t="str">
        <f>IF(ISNUMBER(VALUE(RIGHT(LEFT(modif0[[#This Row],[idntfn]],2),1))),_xlfn.CONCAT(0,LEFT(modif0[[#This Row],[idntfn]],1)),LEFT(modif0[[#This Row],[idntfn]],2))</f>
        <v>0N</v>
      </c>
      <c r="J368">
        <f>VALUE(LEFT(RIGHT(modif0[[#This Row],[idntfn]],LEN(modif0[[#This Row],[idntfn]])-IF(LEFT(modif0[[#This Row],[sctn]],1)="0",1,2)),LEN(modif0[[#This Row],[idntfn]])-IF(LEFT(modif0[[#This Row],[sctn]],1)="0",1,2)-LEN(modif0[[#This Row],[lttr]])))</f>
        <v>161</v>
      </c>
      <c r="K368" t="str">
        <f>IF(ISNUMBER(VALUE(RIGHT(modif0[[#This Row],[idntfn]],1))),"",IF(ISNUMBER(VALUE(LEFT(RIGHT(modif0[[#This Row],[idntfn]],2),1))),RIGHT(modif0[[#This Row],[idntfn]],1),RIGHT(modif0[[#This Row],[idntfn]],2)))</f>
        <v>a</v>
      </c>
      <c r="L368" s="10">
        <f>objet!I431</f>
        <v>21000</v>
      </c>
      <c r="M368" s="11">
        <f>modif0[[#This Row],[srfc]]/10000</f>
        <v>2.1</v>
      </c>
      <c r="N368" s="10" t="str">
        <f>objet!Z431</f>
        <v>PM</v>
      </c>
      <c r="O368" s="10" t="str">
        <f>objet!AA431</f>
        <v>CR2019</v>
      </c>
      <c r="P368" t="str">
        <f>IF(ISNUMBER(modif0[[#This Row],[trvx]]),"",LEFT(modif0[[#This Row],[trvx]],LEN(modif0[[#This Row],[trvx]])-4))</f>
        <v>CR</v>
      </c>
      <c r="Q368">
        <f>VALUE(RIGHT(modif0[[#This Row],[trvx]],4))</f>
        <v>2019</v>
      </c>
      <c r="R368" t="str">
        <f>_xlfn.CONCAT(modif0[[#This Row],[tp]],"-",modif0[[#This Row],[essnc]],"_",modif0[[#This Row],[anns]])</f>
        <v>CR-PM_2019</v>
      </c>
      <c r="S368" t="b">
        <f>modif0[[#This Row],[tp]]="CR"</f>
        <v>1</v>
      </c>
      <c r="T368">
        <v>40</v>
      </c>
      <c r="U368" t="str">
        <f>IF(NOT($A368),"",
IF(AO368=-2,regle!$J$11,
IF(AO368=regle!$B$12,regle!$B$11,
IF(AO368=regle!$C$12,regle!$C$11,
IF(AO368=regle!$D$12,regle!$D$11,
IF(AO368=regle!$E$12,regle!$E$11,
IF(AO368=regle!$F$12,regle!$F$11,
IF(AO368=regle!$G$12,regle!$G$11,
IF(AO368=regle!$H$12,regle!$H$11,
IF(AO368=regle!$I$12,regle!$I$11,""))))))))))</f>
        <v>RBST</v>
      </c>
      <c r="V368" t="str">
        <f>IF(NOT($A368),"",
IF(AP368=-2,regle!$J$11,
IF(AP368=regle!$B$12,regle!$B$11,
IF(AP368=regle!$C$12,regle!$C$11,
IF(AP368=regle!$D$12,regle!$D$11,
IF(AP368=regle!$E$12,regle!$E$11,
IF(AP368=regle!$F$12,regle!$F$11,
IF(AP368=regle!$G$12,regle!$G$11,
IF(AP368=regle!$H$12,regle!$H$11,
IF(AP368=regle!$I$12,regle!$I$11,""))))))))))</f>
        <v/>
      </c>
      <c r="W368" t="str">
        <f>IF(NOT($A368),"",
IF(AQ368=-2,regle!$J$11,
IF(AQ368=regle!$B$12,regle!$B$11,
IF(AQ368=regle!$C$12,regle!$C$11,
IF(AQ368=regle!$D$12,regle!$D$11,
IF(AQ368=regle!$E$12,regle!$E$11,
IF(AQ368=regle!$F$12,regle!$F$11,
IF(AQ368=regle!$G$12,regle!$G$11,
IF(AQ368=regle!$H$12,regle!$H$11,
IF(AQ368=regle!$I$12,regle!$I$11,""))))))))))</f>
        <v>DGT</v>
      </c>
      <c r="X368" t="str">
        <f>IF(NOT($A368),"",
IF(AR368=-2,regle!$J$11,
IF(AR368=regle!$B$12,regle!$B$11,
IF(AR368=regle!$C$12,regle!$C$11,
IF(AR368=regle!$D$12,regle!$D$11,
IF(AR368=regle!$E$12,regle!$E$11,
IF(AR368=regle!$F$12,regle!$F$11,
IF(AR368=regle!$G$12,regle!$G$11,
IF(AR368=regle!$H$12,regle!$H$11,
IF(AR368=regle!$I$12,regle!$I$11,""))))))))))</f>
        <v/>
      </c>
      <c r="Y368" t="str">
        <f>IF(NOT($A368),"",
IF(AS368=-2,regle!$J$11,
IF(AS368=regle!$B$12,regle!$B$11,
IF(AS368=regle!$C$12,regle!$C$11,
IF(AS368=regle!$D$12,regle!$D$11,
IF(AS368=regle!$E$12,regle!$E$11,
IF(AS368=regle!$F$12,regle!$F$11,
IF(AS368=regle!$G$12,regle!$G$11,
IF(AS368=regle!$H$12,regle!$H$11,
IF(AS368=regle!$I$12,regle!$I$11,""))))))))))</f>
        <v/>
      </c>
      <c r="Z368" t="str">
        <f>IF(NOT($A368),"",
IF(AT368=-2,regle!$J$11,
IF(AT368=regle!$B$12,regle!$B$11,
IF(AT368=regle!$C$12,regle!$C$11,
IF(AT368=regle!$D$12,regle!$D$11,
IF(AT368=regle!$E$12,regle!$E$11,
IF(AT368=regle!$F$12,regle!$F$11,
IF(AT368=regle!$G$12,regle!$G$11,
IF(AT368=regle!$H$12,regle!$H$11,
IF(AT368=regle!$I$12,regle!$I$11,""))))))))))</f>
        <v>ENT1</v>
      </c>
      <c r="AA368" t="str">
        <f>IF(NOT($A368),"",
IF(AU368=-2,regle!$J$11,
IF(AU368=regle!$B$12,regle!$B$11,
IF(AU368=regle!$C$12,regle!$C$11,
IF(AU368=regle!$D$12,regle!$D$11,
IF(AU368=regle!$E$12,regle!$E$11,
IF(AU368=regle!$F$12,regle!$F$11,
IF(AU368=regle!$G$12,regle!$G$11,
IF(AU368=regle!$H$12,regle!$H$11,
IF(AU368=regle!$I$12,regle!$I$11,""))))))))))</f>
        <v/>
      </c>
      <c r="AB368" t="str">
        <f>IF(NOT($A368),"",
IF(AV368=-2,regle!$J$11,
IF(AV368=regle!$B$12,regle!$B$11,
IF(AV368=regle!$C$12,regle!$C$11,
IF(AV368=regle!$D$12,regle!$D$11,
IF(AV368=regle!$E$12,regle!$E$11,
IF(AV368=regle!$F$12,regle!$F$11,
IF(AV368=regle!$G$12,regle!$G$11,
IF(AV368=regle!$H$12,regle!$H$11,
IF(AV368=regle!$I$12,regle!$I$11,""))))))))))</f>
        <v/>
      </c>
      <c r="AC368" t="str">
        <f>IF(NOT($A368),"",
IF(AW368=-2,regle!$J$11,
IF(AW368=regle!$B$12,regle!$B$11,
IF(AW368=regle!$C$12,regle!$C$11,
IF(AW368=regle!$D$12,regle!$D$11,
IF(AW368=regle!$E$12,regle!$E$11,
IF(AW368=regle!$F$12,regle!$F$11,
IF(AW368=regle!$G$12,regle!$G$11,
IF(AW368=regle!$H$12,regle!$H$11,
IF(AW368=regle!$I$12,regle!$I$11,""))))))))))</f>
        <v>ENT2</v>
      </c>
      <c r="AD368" t="str">
        <f>IF(NOT($A368),"",
IF(AX368=-2,regle!$J$11,
IF(AX368=regle!$B$12,regle!$B$11,
IF(AX368=regle!$C$12,regle!$C$11,
IF(AX368=regle!$D$12,regle!$D$11,
IF(AX368=regle!$E$12,regle!$E$11,
IF(AX368=regle!$F$12,regle!$F$11,
IF(AX368=regle!$G$12,regle!$G$11,
IF(AX368=regle!$H$12,regle!$H$11,
IF(AX368=regle!$I$12,regle!$I$11,""))))))))))</f>
        <v/>
      </c>
      <c r="AE368" s="14">
        <f>IF($A368,$M368*(IF(U368=regle!$B$11,regle!$B$23,IF(U368=regle!$C$11,regle!$C$23,IF(U368=regle!$D$11,regle!$D$23,IF(U368=regle!$E$11,regle!$E$23,IF(U368=regle!$F$11,regle!$F$23,IF(U368=regle!$G$11,regle!$G$23,IF(U368=regle!$H$11,regle!$H$23,IF(U368=regle!$I$11,regle!$I$23,IF(U368=regle!$J$11,regle!$J$23,0)))))))))))</f>
        <v>-3570</v>
      </c>
      <c r="AF368" s="14">
        <f>IF($A368,$M368*(IF(V368=regle!$B$11,regle!$B$23,IF(V368=regle!$C$11,regle!$C$23,IF(V368=regle!$D$11,regle!$D$23,IF(V368=regle!$E$11,regle!$E$23,IF(V368=regle!$F$11,regle!$F$23,IF(V368=regle!$G$11,regle!$G$23,IF(V368=regle!$H$11,regle!$H$23,IF(V368=regle!$I$11,regle!$I$23,IF(V368=regle!$J$11,regle!$J$23,0)))))))))))</f>
        <v>0</v>
      </c>
      <c r="AG368" s="14">
        <f>IF($A368,$M368*(IF(W368=regle!$B$11,regle!$B$23,IF(W368=regle!$C$11,regle!$C$23,IF(W368=regle!$D$11,regle!$D$23,IF(W368=regle!$E$11,regle!$E$23,IF(W368=regle!$F$11,regle!$F$23,IF(W368=regle!$G$11,regle!$G$23,IF(W368=regle!$H$11,regle!$H$23,IF(W368=regle!$I$11,regle!$I$23,IF(W368=regle!$J$11,regle!$J$23,0)))))))))))</f>
        <v>-157.5</v>
      </c>
      <c r="AH368" s="14">
        <f>IF($A368,$M368*(IF(X368=regle!$B$11,regle!$B$23,IF(X368=regle!$C$11,regle!$C$23,IF(X368=regle!$D$11,regle!$D$23,IF(X368=regle!$E$11,regle!$E$23,IF(X368=regle!$F$11,regle!$F$23,IF(X368=regle!$G$11,regle!$G$23,IF(X368=regle!$H$11,regle!$H$23,IF(X368=regle!$I$11,regle!$I$23,IF(X368=regle!$J$11,regle!$J$23,0)))))))))))</f>
        <v>0</v>
      </c>
      <c r="AI368" s="14">
        <f>IF($A368,$M368*(IF(Y368=regle!$B$11,regle!$B$23,IF(Y368=regle!$C$11,regle!$C$23,IF(Y368=regle!$D$11,regle!$D$23,IF(Y368=regle!$E$11,regle!$E$23,IF(Y368=regle!$F$11,regle!$F$23,IF(Y368=regle!$G$11,regle!$G$23,IF(Y368=regle!$H$11,regle!$H$23,IF(Y368=regle!$I$11,regle!$I$23,IF(Y368=regle!$J$11,regle!$J$23,0)))))))))))</f>
        <v>0</v>
      </c>
      <c r="AJ368" s="14">
        <f>IF($A368,$M368*(IF(Z368=regle!$B$11,regle!$B$23,IF(Z368=regle!$C$11,regle!$C$23,IF(Z368=regle!$D$11,regle!$D$23,IF(Z368=regle!$E$11,regle!$E$23,IF(Z368=regle!$F$11,regle!$F$23,IF(Z368=regle!$G$11,regle!$G$23,IF(Z368=regle!$H$11,regle!$H$23,IF(Z368=regle!$I$11,regle!$I$23,IF(Z368=regle!$J$11,regle!$J$23,0)))))))))))</f>
        <v>-189</v>
      </c>
      <c r="AK368" s="14">
        <f>IF($A368,$M368*(IF(AA368=regle!$B$11,regle!$B$23,IF(AA368=regle!$C$11,regle!$C$23,IF(AA368=regle!$D$11,regle!$D$23,IF(AA368=regle!$E$11,regle!$E$23,IF(AA368=regle!$F$11,regle!$F$23,IF(AA368=regle!$G$11,regle!$G$23,IF(AA368=regle!$H$11,regle!$H$23,IF(AA368=regle!$I$11,regle!$I$23,IF(AA368=regle!$J$11,regle!$J$23,0)))))))))))</f>
        <v>0</v>
      </c>
      <c r="AL368" s="14">
        <f>IF($A368,$M368*(IF(AB368=regle!$B$11,regle!$B$23,IF(AB368=regle!$C$11,regle!$C$23,IF(AB368=regle!$D$11,regle!$D$23,IF(AB368=regle!$E$11,regle!$E$23,IF(AB368=regle!$F$11,regle!$F$23,IF(AB368=regle!$G$11,regle!$G$23,IF(AB368=regle!$H$11,regle!$H$23,IF(AB368=regle!$I$11,regle!$I$23,IF(AB368=regle!$J$11,regle!$J$23,0)))))))))))</f>
        <v>0</v>
      </c>
      <c r="AM368" s="14">
        <f>IF($A368,$M368*(IF(AC368=regle!$B$11,regle!$B$23,IF(AC368=regle!$C$11,regle!$C$23,IF(AC368=regle!$D$11,regle!$D$23,IF(AC368=regle!$E$11,regle!$E$23,IF(AC368=regle!$F$11,regle!$F$23,IF(AC368=regle!$G$11,regle!$G$23,IF(AC368=regle!$H$11,regle!$H$23,IF(AC368=regle!$I$11,regle!$I$23,IF(AC368=regle!$J$11,regle!$J$23,0)))))))))))</f>
        <v>-189</v>
      </c>
      <c r="AN368" s="14">
        <f>IF($A368,$M368*(IF(AD368=regle!$B$11,regle!$B$23,IF(AD368=regle!$C$11,regle!$C$23,IF(AD368=regle!$D$11,regle!$D$23,IF(AD368=regle!$E$11,regle!$E$23,IF(AD368=regle!$F$11,regle!$F$23,IF(AD368=regle!$G$11,regle!$G$23,IF(AD368=regle!$H$11,regle!$H$23,IF(AD368=regle!$I$11,regle!$I$23,IF(AD368=regle!$J$11,regle!$J$23,0)))))))))))</f>
        <v>0</v>
      </c>
      <c r="AO368">
        <f>IF(AO$1=$AO$1,IF(regle!B$2-$Q368&gt;=regle!$J$12,-2,IF($S368,IF(regle!$B$2-$Q368&gt;=2,0,-1),regle!B$2-$Q368)),IF(AN368+1&gt;=regle!$J$12,-2,AN368+1))</f>
        <v>0</v>
      </c>
      <c r="AP368">
        <f>IF(AP$1=$AO$1,IF(regle!C$2-$Q368&gt;=regle!$J$12,-2,IF($S368,IF(regle!$B$2-$Q368&gt;=2,0,-1),regle!C$2-$Q368)),IF(AO368+1&gt;=regle!$J$12,-2,AO368+1))</f>
        <v>1</v>
      </c>
      <c r="AQ368">
        <f>IF(AQ$1=$AO$1,IF(regle!D$2-$Q368&gt;=regle!$J$12,-2,IF($S368,IF(regle!$B$2-$Q368&gt;=2,0,-1),regle!D$2-$Q368)),IF(AP368+1&gt;=regle!$J$12,-2,AP368+1))</f>
        <v>2</v>
      </c>
      <c r="AR368">
        <f>IF(AR$1=$AO$1,IF(regle!E$2-$Q368&gt;=regle!$J$12,-2,IF($S368,IF(regle!$B$2-$Q368&gt;=2,0,-1),regle!E$2-$Q368)),IF(AQ368+1&gt;=regle!$J$12,-2,AQ368+1))</f>
        <v>3</v>
      </c>
      <c r="AS368">
        <f>IF(AS$1=$AO$1,IF(regle!F$2-$Q368&gt;=regle!$J$12,-2,IF($S368,IF(regle!$B$2-$Q368&gt;=2,0,-1),regle!F$2-$Q368)),IF(AR368+1&gt;=regle!$J$12,-2,AR368+1))</f>
        <v>4</v>
      </c>
      <c r="AT368">
        <f>IF(AT$1=$AO$1,IF(regle!G$2-$Q368&gt;=regle!$J$12,-2,IF($S368,IF(regle!$B$2-$Q368&gt;=2,0,-1),regle!G$2-$Q368)),IF(AS368+1&gt;=regle!$J$12,-2,AS368+1))</f>
        <v>5</v>
      </c>
      <c r="AU368">
        <f>IF(AU$1=$AO$1,IF(regle!H$2-$Q368&gt;=regle!$J$12,-2,IF($S368,IF(regle!$B$2-$Q368&gt;=2,0,-1),regle!H$2-$Q368)),IF(AT368+1&gt;=regle!$J$12,-2,AT368+1))</f>
        <v>6</v>
      </c>
      <c r="AV368">
        <f>IF(AV$1=$AO$1,IF(regle!I$2-$Q368&gt;=regle!$J$12,-2,IF($S368,IF(regle!$B$2-$Q368&gt;=2,0,-1),regle!I$2-$Q368)),IF(AU368+1&gt;=regle!$J$12,-2,AU368+1))</f>
        <v>7</v>
      </c>
      <c r="AW368">
        <f>IF(AW$1=$AO$1,IF(regle!J$2-$Q368&gt;=regle!$J$12,-2,IF($S368,IF(regle!$B$2-$Q368&gt;=2,0,-1),regle!J$2-$Q368)),IF(AV368+1&gt;=regle!$J$12,-2,AV368+1))</f>
        <v>8</v>
      </c>
      <c r="AX368">
        <f>IF(AX$1=$AO$1,IF(regle!K$2-$Q368&gt;=regle!$J$12,-2,IF($S368,IF(regle!$B$2-$Q368&gt;=2,0,-1),regle!K$2-$Q368)),IF(AW368+1&gt;=regle!$J$12,-2,AW368+1))</f>
        <v>9</v>
      </c>
    </row>
    <row r="369" spans="1:50" x14ac:dyDescent="0.25">
      <c r="A369" t="b">
        <f>AND(modif0[[#This Row],[cdstr]]&lt;&gt;0,OR(regle!$H$27=FALSE,modif0[[#This Row],[essnc]]="PM"))</f>
        <v>1</v>
      </c>
      <c r="B369">
        <f>ROW(objet!A432)</f>
        <v>432</v>
      </c>
      <c r="C369" s="10" t="str">
        <f>objet!D432</f>
        <v>2000000N0161</v>
      </c>
      <c r="D369" t="str">
        <f>LEFT(modif0[[#This Row],[cdstr]],3)</f>
        <v>200</v>
      </c>
      <c r="E369" s="10" t="str">
        <f>objet!G432</f>
        <v>MOUSTEY</v>
      </c>
      <c r="F369">
        <f>LEN(modif0[[#This Row],[l_dt]])</f>
        <v>9</v>
      </c>
      <c r="G369" s="10" t="str">
        <f>objet!H432</f>
        <v>Peyroulet</v>
      </c>
      <c r="H369" s="10" t="str">
        <f>objet!C432</f>
        <v>N161b</v>
      </c>
      <c r="I369" t="str">
        <f>IF(ISNUMBER(VALUE(RIGHT(LEFT(modif0[[#This Row],[idntfn]],2),1))),_xlfn.CONCAT(0,LEFT(modif0[[#This Row],[idntfn]],1)),LEFT(modif0[[#This Row],[idntfn]],2))</f>
        <v>0N</v>
      </c>
      <c r="J369">
        <f>VALUE(LEFT(RIGHT(modif0[[#This Row],[idntfn]],LEN(modif0[[#This Row],[idntfn]])-IF(LEFT(modif0[[#This Row],[sctn]],1)="0",1,2)),LEN(modif0[[#This Row],[idntfn]])-IF(LEFT(modif0[[#This Row],[sctn]],1)="0",1,2)-LEN(modif0[[#This Row],[lttr]])))</f>
        <v>161</v>
      </c>
      <c r="K369" t="str">
        <f>IF(ISNUMBER(VALUE(RIGHT(modif0[[#This Row],[idntfn]],1))),"",IF(ISNUMBER(VALUE(LEFT(RIGHT(modif0[[#This Row],[idntfn]],2),1))),RIGHT(modif0[[#This Row],[idntfn]],1),RIGHT(modif0[[#This Row],[idntfn]],2)))</f>
        <v>b</v>
      </c>
      <c r="L369" s="10">
        <f>objet!I432</f>
        <v>12435</v>
      </c>
      <c r="M369" s="11">
        <f>modif0[[#This Row],[srfc]]/10000</f>
        <v>1.2435</v>
      </c>
      <c r="N369" s="10" t="str">
        <f>objet!Z432</f>
        <v>PM</v>
      </c>
      <c r="O369" s="10" t="str">
        <f>objet!AA432</f>
        <v>CR2022</v>
      </c>
      <c r="P369" t="str">
        <f>IF(ISNUMBER(modif0[[#This Row],[trvx]]),"",LEFT(modif0[[#This Row],[trvx]],LEN(modif0[[#This Row],[trvx]])-4))</f>
        <v>CR</v>
      </c>
      <c r="Q369">
        <f>VALUE(RIGHT(modif0[[#This Row],[trvx]],4))</f>
        <v>2022</v>
      </c>
      <c r="R369" t="str">
        <f>_xlfn.CONCAT(modif0[[#This Row],[tp]],"-",modif0[[#This Row],[essnc]],"_",modif0[[#This Row],[anns]])</f>
        <v>CR-PM_2022</v>
      </c>
      <c r="S369" t="b">
        <f>modif0[[#This Row],[tp]]="CR"</f>
        <v>1</v>
      </c>
      <c r="T369">
        <v>40</v>
      </c>
      <c r="U369" t="str">
        <f>IF(NOT($A369),"",
IF(AO369=-2,regle!$J$11,
IF(AO369=regle!$B$12,regle!$B$11,
IF(AO369=regle!$C$12,regle!$C$11,
IF(AO369=regle!$D$12,regle!$D$11,
IF(AO369=regle!$E$12,regle!$E$11,
IF(AO369=regle!$F$12,regle!$F$11,
IF(AO369=regle!$G$12,regle!$G$11,
IF(AO369=regle!$H$12,regle!$H$11,
IF(AO369=regle!$I$12,regle!$I$11,""))))))))))</f>
        <v>RBST</v>
      </c>
      <c r="V369" t="str">
        <f>IF(NOT($A369),"",
IF(AP369=-2,regle!$J$11,
IF(AP369=regle!$B$12,regle!$B$11,
IF(AP369=regle!$C$12,regle!$C$11,
IF(AP369=regle!$D$12,regle!$D$11,
IF(AP369=regle!$E$12,regle!$E$11,
IF(AP369=regle!$F$12,regle!$F$11,
IF(AP369=regle!$G$12,regle!$G$11,
IF(AP369=regle!$H$12,regle!$H$11,
IF(AP369=regle!$I$12,regle!$I$11,""))))))))))</f>
        <v/>
      </c>
      <c r="W369" t="str">
        <f>IF(NOT($A369),"",
IF(AQ369=-2,regle!$J$11,
IF(AQ369=regle!$B$12,regle!$B$11,
IF(AQ369=regle!$C$12,regle!$C$11,
IF(AQ369=regle!$D$12,regle!$D$11,
IF(AQ369=regle!$E$12,regle!$E$11,
IF(AQ369=regle!$F$12,regle!$F$11,
IF(AQ369=regle!$G$12,regle!$G$11,
IF(AQ369=regle!$H$12,regle!$H$11,
IF(AQ369=regle!$I$12,regle!$I$11,""))))))))))</f>
        <v>DGT</v>
      </c>
      <c r="X369" t="str">
        <f>IF(NOT($A369),"",
IF(AR369=-2,regle!$J$11,
IF(AR369=regle!$B$12,regle!$B$11,
IF(AR369=regle!$C$12,regle!$C$11,
IF(AR369=regle!$D$12,regle!$D$11,
IF(AR369=regle!$E$12,regle!$E$11,
IF(AR369=regle!$F$12,regle!$F$11,
IF(AR369=regle!$G$12,regle!$G$11,
IF(AR369=regle!$H$12,regle!$H$11,
IF(AR369=regle!$I$12,regle!$I$11,""))))))))))</f>
        <v/>
      </c>
      <c r="Y369" t="str">
        <f>IF(NOT($A369),"",
IF(AS369=-2,regle!$J$11,
IF(AS369=regle!$B$12,regle!$B$11,
IF(AS369=regle!$C$12,regle!$C$11,
IF(AS369=regle!$D$12,regle!$D$11,
IF(AS369=regle!$E$12,regle!$E$11,
IF(AS369=regle!$F$12,regle!$F$11,
IF(AS369=regle!$G$12,regle!$G$11,
IF(AS369=regle!$H$12,regle!$H$11,
IF(AS369=regle!$I$12,regle!$I$11,""))))))))))</f>
        <v/>
      </c>
      <c r="Z369" t="str">
        <f>IF(NOT($A369),"",
IF(AT369=-2,regle!$J$11,
IF(AT369=regle!$B$12,regle!$B$11,
IF(AT369=regle!$C$12,regle!$C$11,
IF(AT369=regle!$D$12,regle!$D$11,
IF(AT369=regle!$E$12,regle!$E$11,
IF(AT369=regle!$F$12,regle!$F$11,
IF(AT369=regle!$G$12,regle!$G$11,
IF(AT369=regle!$H$12,regle!$H$11,
IF(AT369=regle!$I$12,regle!$I$11,""))))))))))</f>
        <v>ENT1</v>
      </c>
      <c r="AA369" t="str">
        <f>IF(NOT($A369),"",
IF(AU369=-2,regle!$J$11,
IF(AU369=regle!$B$12,regle!$B$11,
IF(AU369=regle!$C$12,regle!$C$11,
IF(AU369=regle!$D$12,regle!$D$11,
IF(AU369=regle!$E$12,regle!$E$11,
IF(AU369=regle!$F$12,regle!$F$11,
IF(AU369=regle!$G$12,regle!$G$11,
IF(AU369=regle!$H$12,regle!$H$11,
IF(AU369=regle!$I$12,regle!$I$11,""))))))))))</f>
        <v/>
      </c>
      <c r="AB369" t="str">
        <f>IF(NOT($A369),"",
IF(AV369=-2,regle!$J$11,
IF(AV369=regle!$B$12,regle!$B$11,
IF(AV369=regle!$C$12,regle!$C$11,
IF(AV369=regle!$D$12,regle!$D$11,
IF(AV369=regle!$E$12,regle!$E$11,
IF(AV369=regle!$F$12,regle!$F$11,
IF(AV369=regle!$G$12,regle!$G$11,
IF(AV369=regle!$H$12,regle!$H$11,
IF(AV369=regle!$I$12,regle!$I$11,""))))))))))</f>
        <v/>
      </c>
      <c r="AC369" t="str">
        <f>IF(NOT($A369),"",
IF(AW369=-2,regle!$J$11,
IF(AW369=regle!$B$12,regle!$B$11,
IF(AW369=regle!$C$12,regle!$C$11,
IF(AW369=regle!$D$12,regle!$D$11,
IF(AW369=regle!$E$12,regle!$E$11,
IF(AW369=regle!$F$12,regle!$F$11,
IF(AW369=regle!$G$12,regle!$G$11,
IF(AW369=regle!$H$12,regle!$H$11,
IF(AW369=regle!$I$12,regle!$I$11,""))))))))))</f>
        <v>ENT2</v>
      </c>
      <c r="AD369" t="str">
        <f>IF(NOT($A369),"",
IF(AX369=-2,regle!$J$11,
IF(AX369=regle!$B$12,regle!$B$11,
IF(AX369=regle!$C$12,regle!$C$11,
IF(AX369=regle!$D$12,regle!$D$11,
IF(AX369=regle!$E$12,regle!$E$11,
IF(AX369=regle!$F$12,regle!$F$11,
IF(AX369=regle!$G$12,regle!$G$11,
IF(AX369=regle!$H$12,regle!$H$11,
IF(AX369=regle!$I$12,regle!$I$11,""))))))))))</f>
        <v/>
      </c>
      <c r="AE369" s="14">
        <f>IF($A369,$M369*(IF(U369=regle!$B$11,regle!$B$23,IF(U369=regle!$C$11,regle!$C$23,IF(U369=regle!$D$11,regle!$D$23,IF(U369=regle!$E$11,regle!$E$23,IF(U369=regle!$F$11,regle!$F$23,IF(U369=regle!$G$11,regle!$G$23,IF(U369=regle!$H$11,regle!$H$23,IF(U369=regle!$I$11,regle!$I$23,IF(U369=regle!$J$11,regle!$J$23,0)))))))))))</f>
        <v>-2113.9500000000003</v>
      </c>
      <c r="AF369" s="14">
        <f>IF($A369,$M369*(IF(V369=regle!$B$11,regle!$B$23,IF(V369=regle!$C$11,regle!$C$23,IF(V369=regle!$D$11,regle!$D$23,IF(V369=regle!$E$11,regle!$E$23,IF(V369=regle!$F$11,regle!$F$23,IF(V369=regle!$G$11,regle!$G$23,IF(V369=regle!$H$11,regle!$H$23,IF(V369=regle!$I$11,regle!$I$23,IF(V369=regle!$J$11,regle!$J$23,0)))))))))))</f>
        <v>0</v>
      </c>
      <c r="AG369" s="14">
        <f>IF($A369,$M369*(IF(W369=regle!$B$11,regle!$B$23,IF(W369=regle!$C$11,regle!$C$23,IF(W369=regle!$D$11,regle!$D$23,IF(W369=regle!$E$11,regle!$E$23,IF(W369=regle!$F$11,regle!$F$23,IF(W369=regle!$G$11,regle!$G$23,IF(W369=regle!$H$11,regle!$H$23,IF(W369=regle!$I$11,regle!$I$23,IF(W369=regle!$J$11,regle!$J$23,0)))))))))))</f>
        <v>-93.262500000000003</v>
      </c>
      <c r="AH369" s="14">
        <f>IF($A369,$M369*(IF(X369=regle!$B$11,regle!$B$23,IF(X369=regle!$C$11,regle!$C$23,IF(X369=regle!$D$11,regle!$D$23,IF(X369=regle!$E$11,regle!$E$23,IF(X369=regle!$F$11,regle!$F$23,IF(X369=regle!$G$11,regle!$G$23,IF(X369=regle!$H$11,regle!$H$23,IF(X369=regle!$I$11,regle!$I$23,IF(X369=regle!$J$11,regle!$J$23,0)))))))))))</f>
        <v>0</v>
      </c>
      <c r="AI369" s="14">
        <f>IF($A369,$M369*(IF(Y369=regle!$B$11,regle!$B$23,IF(Y369=regle!$C$11,regle!$C$23,IF(Y369=regle!$D$11,regle!$D$23,IF(Y369=regle!$E$11,regle!$E$23,IF(Y369=regle!$F$11,regle!$F$23,IF(Y369=regle!$G$11,regle!$G$23,IF(Y369=regle!$H$11,regle!$H$23,IF(Y369=regle!$I$11,regle!$I$23,IF(Y369=regle!$J$11,regle!$J$23,0)))))))))))</f>
        <v>0</v>
      </c>
      <c r="AJ369" s="14">
        <f>IF($A369,$M369*(IF(Z369=regle!$B$11,regle!$B$23,IF(Z369=regle!$C$11,regle!$C$23,IF(Z369=regle!$D$11,regle!$D$23,IF(Z369=regle!$E$11,regle!$E$23,IF(Z369=regle!$F$11,regle!$F$23,IF(Z369=regle!$G$11,regle!$G$23,IF(Z369=regle!$H$11,regle!$H$23,IF(Z369=regle!$I$11,regle!$I$23,IF(Z369=regle!$J$11,regle!$J$23,0)))))))))))</f>
        <v>-111.91500000000001</v>
      </c>
      <c r="AK369" s="14">
        <f>IF($A369,$M369*(IF(AA369=regle!$B$11,regle!$B$23,IF(AA369=regle!$C$11,regle!$C$23,IF(AA369=regle!$D$11,regle!$D$23,IF(AA369=regle!$E$11,regle!$E$23,IF(AA369=regle!$F$11,regle!$F$23,IF(AA369=regle!$G$11,regle!$G$23,IF(AA369=regle!$H$11,regle!$H$23,IF(AA369=regle!$I$11,regle!$I$23,IF(AA369=regle!$J$11,regle!$J$23,0)))))))))))</f>
        <v>0</v>
      </c>
      <c r="AL369" s="14">
        <f>IF($A369,$M369*(IF(AB369=regle!$B$11,regle!$B$23,IF(AB369=regle!$C$11,regle!$C$23,IF(AB369=regle!$D$11,regle!$D$23,IF(AB369=regle!$E$11,regle!$E$23,IF(AB369=regle!$F$11,regle!$F$23,IF(AB369=regle!$G$11,regle!$G$23,IF(AB369=regle!$H$11,regle!$H$23,IF(AB369=regle!$I$11,regle!$I$23,IF(AB369=regle!$J$11,regle!$J$23,0)))))))))))</f>
        <v>0</v>
      </c>
      <c r="AM369" s="14">
        <f>IF($A369,$M369*(IF(AC369=regle!$B$11,regle!$B$23,IF(AC369=regle!$C$11,regle!$C$23,IF(AC369=regle!$D$11,regle!$D$23,IF(AC369=regle!$E$11,regle!$E$23,IF(AC369=regle!$F$11,regle!$F$23,IF(AC369=regle!$G$11,regle!$G$23,IF(AC369=regle!$H$11,regle!$H$23,IF(AC369=regle!$I$11,regle!$I$23,IF(AC369=regle!$J$11,regle!$J$23,0)))))))))))</f>
        <v>-111.91500000000001</v>
      </c>
      <c r="AN369" s="14">
        <f>IF($A369,$M369*(IF(AD369=regle!$B$11,regle!$B$23,IF(AD369=regle!$C$11,regle!$C$23,IF(AD369=regle!$D$11,regle!$D$23,IF(AD369=regle!$E$11,regle!$E$23,IF(AD369=regle!$F$11,regle!$F$23,IF(AD369=regle!$G$11,regle!$G$23,IF(AD369=regle!$H$11,regle!$H$23,IF(AD369=regle!$I$11,regle!$I$23,IF(AD369=regle!$J$11,regle!$J$23,0)))))))))))</f>
        <v>0</v>
      </c>
      <c r="AO369">
        <f>IF(AO$1=$AO$1,IF(regle!B$2-$Q369&gt;=regle!$J$12,-2,IF($S369,IF(regle!$B$2-$Q369&gt;=2,0,-1),regle!B$2-$Q369)),IF(AN369+1&gt;=regle!$J$12,-2,AN369+1))</f>
        <v>0</v>
      </c>
      <c r="AP369">
        <f>IF(AP$1=$AO$1,IF(regle!C$2-$Q369&gt;=regle!$J$12,-2,IF($S369,IF(regle!$B$2-$Q369&gt;=2,0,-1),regle!C$2-$Q369)),IF(AO369+1&gt;=regle!$J$12,-2,AO369+1))</f>
        <v>1</v>
      </c>
      <c r="AQ369">
        <f>IF(AQ$1=$AO$1,IF(regle!D$2-$Q369&gt;=regle!$J$12,-2,IF($S369,IF(regle!$B$2-$Q369&gt;=2,0,-1),regle!D$2-$Q369)),IF(AP369+1&gt;=regle!$J$12,-2,AP369+1))</f>
        <v>2</v>
      </c>
      <c r="AR369">
        <f>IF(AR$1=$AO$1,IF(regle!E$2-$Q369&gt;=regle!$J$12,-2,IF($S369,IF(regle!$B$2-$Q369&gt;=2,0,-1),regle!E$2-$Q369)),IF(AQ369+1&gt;=regle!$J$12,-2,AQ369+1))</f>
        <v>3</v>
      </c>
      <c r="AS369">
        <f>IF(AS$1=$AO$1,IF(regle!F$2-$Q369&gt;=regle!$J$12,-2,IF($S369,IF(regle!$B$2-$Q369&gt;=2,0,-1),regle!F$2-$Q369)),IF(AR369+1&gt;=regle!$J$12,-2,AR369+1))</f>
        <v>4</v>
      </c>
      <c r="AT369">
        <f>IF(AT$1=$AO$1,IF(regle!G$2-$Q369&gt;=regle!$J$12,-2,IF($S369,IF(regle!$B$2-$Q369&gt;=2,0,-1),regle!G$2-$Q369)),IF(AS369+1&gt;=regle!$J$12,-2,AS369+1))</f>
        <v>5</v>
      </c>
      <c r="AU369">
        <f>IF(AU$1=$AO$1,IF(regle!H$2-$Q369&gt;=regle!$J$12,-2,IF($S369,IF(regle!$B$2-$Q369&gt;=2,0,-1),regle!H$2-$Q369)),IF(AT369+1&gt;=regle!$J$12,-2,AT369+1))</f>
        <v>6</v>
      </c>
      <c r="AV369">
        <f>IF(AV$1=$AO$1,IF(regle!I$2-$Q369&gt;=regle!$J$12,-2,IF($S369,IF(regle!$B$2-$Q369&gt;=2,0,-1),regle!I$2-$Q369)),IF(AU369+1&gt;=regle!$J$12,-2,AU369+1))</f>
        <v>7</v>
      </c>
      <c r="AW369">
        <f>IF(AW$1=$AO$1,IF(regle!J$2-$Q369&gt;=regle!$J$12,-2,IF($S369,IF(regle!$B$2-$Q369&gt;=2,0,-1),regle!J$2-$Q369)),IF(AV369+1&gt;=regle!$J$12,-2,AV369+1))</f>
        <v>8</v>
      </c>
      <c r="AX369">
        <f>IF(AX$1=$AO$1,IF(regle!K$2-$Q369&gt;=regle!$J$12,-2,IF($S369,IF(regle!$B$2-$Q369&gt;=2,0,-1),regle!K$2-$Q369)),IF(AW369+1&gt;=regle!$J$12,-2,AW369+1))</f>
        <v>9</v>
      </c>
    </row>
    <row r="370" spans="1:50" x14ac:dyDescent="0.25">
      <c r="A370" t="b">
        <f>AND(modif0[[#This Row],[cdstr]]&lt;&gt;0,OR(regle!$H$27=FALSE,modif0[[#This Row],[essnc]]="PM"))</f>
        <v>1</v>
      </c>
      <c r="B370">
        <f>ROW(objet!A435)</f>
        <v>435</v>
      </c>
      <c r="C370" s="10" t="str">
        <f>objet!D435</f>
        <v>2000000N0180</v>
      </c>
      <c r="D370" t="str">
        <f>LEFT(modif0[[#This Row],[cdstr]],3)</f>
        <v>200</v>
      </c>
      <c r="E370" s="10" t="str">
        <f>objet!G435</f>
        <v>MOUSTEY</v>
      </c>
      <c r="F370">
        <f>LEN(modif0[[#This Row],[l_dt]])</f>
        <v>9</v>
      </c>
      <c r="G370" s="10" t="str">
        <f>objet!H435</f>
        <v>Peyroulet</v>
      </c>
      <c r="H370" s="10" t="str">
        <f>objet!C435</f>
        <v>N180</v>
      </c>
      <c r="I370" t="str">
        <f>IF(ISNUMBER(VALUE(RIGHT(LEFT(modif0[[#This Row],[idntfn]],2),1))),_xlfn.CONCAT(0,LEFT(modif0[[#This Row],[idntfn]],1)),LEFT(modif0[[#This Row],[idntfn]],2))</f>
        <v>0N</v>
      </c>
      <c r="J370">
        <f>VALUE(LEFT(RIGHT(modif0[[#This Row],[idntfn]],LEN(modif0[[#This Row],[idntfn]])-IF(LEFT(modif0[[#This Row],[sctn]],1)="0",1,2)),LEN(modif0[[#This Row],[idntfn]])-IF(LEFT(modif0[[#This Row],[sctn]],1)="0",1,2)-LEN(modif0[[#This Row],[lttr]])))</f>
        <v>180</v>
      </c>
      <c r="K370" t="str">
        <f>IF(ISNUMBER(VALUE(RIGHT(modif0[[#This Row],[idntfn]],1))),"",IF(ISNUMBER(VALUE(LEFT(RIGHT(modif0[[#This Row],[idntfn]],2),1))),RIGHT(modif0[[#This Row],[idntfn]],1),RIGHT(modif0[[#This Row],[idntfn]],2)))</f>
        <v/>
      </c>
      <c r="L370" s="10">
        <f>objet!I435</f>
        <v>1440</v>
      </c>
      <c r="M370" s="11">
        <f>modif0[[#This Row],[srfc]]/10000</f>
        <v>0.14399999999999999</v>
      </c>
      <c r="N370" s="10" t="str">
        <f>objet!Z435</f>
        <v>PM</v>
      </c>
      <c r="O370" s="10" t="str">
        <f>objet!AA435</f>
        <v>CR2022</v>
      </c>
      <c r="P370" t="str">
        <f>IF(ISNUMBER(modif0[[#This Row],[trvx]]),"",LEFT(modif0[[#This Row],[trvx]],LEN(modif0[[#This Row],[trvx]])-4))</f>
        <v>CR</v>
      </c>
      <c r="Q370">
        <f>VALUE(RIGHT(modif0[[#This Row],[trvx]],4))</f>
        <v>2022</v>
      </c>
      <c r="R370" t="str">
        <f>_xlfn.CONCAT(modif0[[#This Row],[tp]],"-",modif0[[#This Row],[essnc]],"_",modif0[[#This Row],[anns]])</f>
        <v>CR-PM_2022</v>
      </c>
      <c r="S370" t="b">
        <f>modif0[[#This Row],[tp]]="CR"</f>
        <v>1</v>
      </c>
      <c r="T370">
        <v>40</v>
      </c>
      <c r="U370" t="str">
        <f>IF(NOT($A370),"",
IF(AO370=-2,regle!$J$11,
IF(AO370=regle!$B$12,regle!$B$11,
IF(AO370=regle!$C$12,regle!$C$11,
IF(AO370=regle!$D$12,regle!$D$11,
IF(AO370=regle!$E$12,regle!$E$11,
IF(AO370=regle!$F$12,regle!$F$11,
IF(AO370=regle!$G$12,regle!$G$11,
IF(AO370=regle!$H$12,regle!$H$11,
IF(AO370=regle!$I$12,regle!$I$11,""))))))))))</f>
        <v>RBST</v>
      </c>
      <c r="V370" t="str">
        <f>IF(NOT($A370),"",
IF(AP370=-2,regle!$J$11,
IF(AP370=regle!$B$12,regle!$B$11,
IF(AP370=regle!$C$12,regle!$C$11,
IF(AP370=regle!$D$12,regle!$D$11,
IF(AP370=regle!$E$12,regle!$E$11,
IF(AP370=regle!$F$12,regle!$F$11,
IF(AP370=regle!$G$12,regle!$G$11,
IF(AP370=regle!$H$12,regle!$H$11,
IF(AP370=regle!$I$12,regle!$I$11,""))))))))))</f>
        <v/>
      </c>
      <c r="W370" t="str">
        <f>IF(NOT($A370),"",
IF(AQ370=-2,regle!$J$11,
IF(AQ370=regle!$B$12,regle!$B$11,
IF(AQ370=regle!$C$12,regle!$C$11,
IF(AQ370=regle!$D$12,regle!$D$11,
IF(AQ370=regle!$E$12,regle!$E$11,
IF(AQ370=regle!$F$12,regle!$F$11,
IF(AQ370=regle!$G$12,regle!$G$11,
IF(AQ370=regle!$H$12,regle!$H$11,
IF(AQ370=regle!$I$12,regle!$I$11,""))))))))))</f>
        <v>DGT</v>
      </c>
      <c r="X370" t="str">
        <f>IF(NOT($A370),"",
IF(AR370=-2,regle!$J$11,
IF(AR370=regle!$B$12,regle!$B$11,
IF(AR370=regle!$C$12,regle!$C$11,
IF(AR370=regle!$D$12,regle!$D$11,
IF(AR370=regle!$E$12,regle!$E$11,
IF(AR370=regle!$F$12,regle!$F$11,
IF(AR370=regle!$G$12,regle!$G$11,
IF(AR370=regle!$H$12,regle!$H$11,
IF(AR370=regle!$I$12,regle!$I$11,""))))))))))</f>
        <v/>
      </c>
      <c r="Y370" t="str">
        <f>IF(NOT($A370),"",
IF(AS370=-2,regle!$J$11,
IF(AS370=regle!$B$12,regle!$B$11,
IF(AS370=regle!$C$12,regle!$C$11,
IF(AS370=regle!$D$12,regle!$D$11,
IF(AS370=regle!$E$12,regle!$E$11,
IF(AS370=regle!$F$12,regle!$F$11,
IF(AS370=regle!$G$12,regle!$G$11,
IF(AS370=regle!$H$12,regle!$H$11,
IF(AS370=regle!$I$12,regle!$I$11,""))))))))))</f>
        <v/>
      </c>
      <c r="Z370" t="str">
        <f>IF(NOT($A370),"",
IF(AT370=-2,regle!$J$11,
IF(AT370=regle!$B$12,regle!$B$11,
IF(AT370=regle!$C$12,regle!$C$11,
IF(AT370=regle!$D$12,regle!$D$11,
IF(AT370=regle!$E$12,regle!$E$11,
IF(AT370=regle!$F$12,regle!$F$11,
IF(AT370=regle!$G$12,regle!$G$11,
IF(AT370=regle!$H$12,regle!$H$11,
IF(AT370=regle!$I$12,regle!$I$11,""))))))))))</f>
        <v>ENT1</v>
      </c>
      <c r="AA370" t="str">
        <f>IF(NOT($A370),"",
IF(AU370=-2,regle!$J$11,
IF(AU370=regle!$B$12,regle!$B$11,
IF(AU370=regle!$C$12,regle!$C$11,
IF(AU370=regle!$D$12,regle!$D$11,
IF(AU370=regle!$E$12,regle!$E$11,
IF(AU370=regle!$F$12,regle!$F$11,
IF(AU370=regle!$G$12,regle!$G$11,
IF(AU370=regle!$H$12,regle!$H$11,
IF(AU370=regle!$I$12,regle!$I$11,""))))))))))</f>
        <v/>
      </c>
      <c r="AB370" t="str">
        <f>IF(NOT($A370),"",
IF(AV370=-2,regle!$J$11,
IF(AV370=regle!$B$12,regle!$B$11,
IF(AV370=regle!$C$12,regle!$C$11,
IF(AV370=regle!$D$12,regle!$D$11,
IF(AV370=regle!$E$12,regle!$E$11,
IF(AV370=regle!$F$12,regle!$F$11,
IF(AV370=regle!$G$12,regle!$G$11,
IF(AV370=regle!$H$12,regle!$H$11,
IF(AV370=regle!$I$12,regle!$I$11,""))))))))))</f>
        <v/>
      </c>
      <c r="AC370" t="str">
        <f>IF(NOT($A370),"",
IF(AW370=-2,regle!$J$11,
IF(AW370=regle!$B$12,regle!$B$11,
IF(AW370=regle!$C$12,regle!$C$11,
IF(AW370=regle!$D$12,regle!$D$11,
IF(AW370=regle!$E$12,regle!$E$11,
IF(AW370=regle!$F$12,regle!$F$11,
IF(AW370=regle!$G$12,regle!$G$11,
IF(AW370=regle!$H$12,regle!$H$11,
IF(AW370=regle!$I$12,regle!$I$11,""))))))))))</f>
        <v>ENT2</v>
      </c>
      <c r="AD370" t="str">
        <f>IF(NOT($A370),"",
IF(AX370=-2,regle!$J$11,
IF(AX370=regle!$B$12,regle!$B$11,
IF(AX370=regle!$C$12,regle!$C$11,
IF(AX370=regle!$D$12,regle!$D$11,
IF(AX370=regle!$E$12,regle!$E$11,
IF(AX370=regle!$F$12,regle!$F$11,
IF(AX370=regle!$G$12,regle!$G$11,
IF(AX370=regle!$H$12,regle!$H$11,
IF(AX370=regle!$I$12,regle!$I$11,""))))))))))</f>
        <v/>
      </c>
      <c r="AE370" s="14">
        <f>IF($A370,$M370*(IF(U370=regle!$B$11,regle!$B$23,IF(U370=regle!$C$11,regle!$C$23,IF(U370=regle!$D$11,regle!$D$23,IF(U370=regle!$E$11,regle!$E$23,IF(U370=regle!$F$11,regle!$F$23,IF(U370=regle!$G$11,regle!$G$23,IF(U370=regle!$H$11,regle!$H$23,IF(U370=regle!$I$11,regle!$I$23,IF(U370=regle!$J$11,regle!$J$23,0)))))))))))</f>
        <v>-244.79999999999998</v>
      </c>
      <c r="AF370" s="14">
        <f>IF($A370,$M370*(IF(V370=regle!$B$11,regle!$B$23,IF(V370=regle!$C$11,regle!$C$23,IF(V370=regle!$D$11,regle!$D$23,IF(V370=regle!$E$11,regle!$E$23,IF(V370=regle!$F$11,regle!$F$23,IF(V370=regle!$G$11,regle!$G$23,IF(V370=regle!$H$11,regle!$H$23,IF(V370=regle!$I$11,regle!$I$23,IF(V370=regle!$J$11,regle!$J$23,0)))))))))))</f>
        <v>0</v>
      </c>
      <c r="AG370" s="14">
        <f>IF($A370,$M370*(IF(W370=regle!$B$11,regle!$B$23,IF(W370=regle!$C$11,regle!$C$23,IF(W370=regle!$D$11,regle!$D$23,IF(W370=regle!$E$11,regle!$E$23,IF(W370=regle!$F$11,regle!$F$23,IF(W370=regle!$G$11,regle!$G$23,IF(W370=regle!$H$11,regle!$H$23,IF(W370=regle!$I$11,regle!$I$23,IF(W370=regle!$J$11,regle!$J$23,0)))))))))))</f>
        <v>-10.799999999999999</v>
      </c>
      <c r="AH370" s="14">
        <f>IF($A370,$M370*(IF(X370=regle!$B$11,regle!$B$23,IF(X370=regle!$C$11,regle!$C$23,IF(X370=regle!$D$11,regle!$D$23,IF(X370=regle!$E$11,regle!$E$23,IF(X370=regle!$F$11,regle!$F$23,IF(X370=regle!$G$11,regle!$G$23,IF(X370=regle!$H$11,regle!$H$23,IF(X370=regle!$I$11,regle!$I$23,IF(X370=regle!$J$11,regle!$J$23,0)))))))))))</f>
        <v>0</v>
      </c>
      <c r="AI370" s="14">
        <f>IF($A370,$M370*(IF(Y370=regle!$B$11,regle!$B$23,IF(Y370=regle!$C$11,regle!$C$23,IF(Y370=regle!$D$11,regle!$D$23,IF(Y370=regle!$E$11,regle!$E$23,IF(Y370=regle!$F$11,regle!$F$23,IF(Y370=regle!$G$11,regle!$G$23,IF(Y370=regle!$H$11,regle!$H$23,IF(Y370=regle!$I$11,regle!$I$23,IF(Y370=regle!$J$11,regle!$J$23,0)))))))))))</f>
        <v>0</v>
      </c>
      <c r="AJ370" s="14">
        <f>IF($A370,$M370*(IF(Z370=regle!$B$11,regle!$B$23,IF(Z370=regle!$C$11,regle!$C$23,IF(Z370=regle!$D$11,regle!$D$23,IF(Z370=regle!$E$11,regle!$E$23,IF(Z370=regle!$F$11,regle!$F$23,IF(Z370=regle!$G$11,regle!$G$23,IF(Z370=regle!$H$11,regle!$H$23,IF(Z370=regle!$I$11,regle!$I$23,IF(Z370=regle!$J$11,regle!$J$23,0)))))))))))</f>
        <v>-12.959999999999999</v>
      </c>
      <c r="AK370" s="14">
        <f>IF($A370,$M370*(IF(AA370=regle!$B$11,regle!$B$23,IF(AA370=regle!$C$11,regle!$C$23,IF(AA370=regle!$D$11,regle!$D$23,IF(AA370=regle!$E$11,regle!$E$23,IF(AA370=regle!$F$11,regle!$F$23,IF(AA370=regle!$G$11,regle!$G$23,IF(AA370=regle!$H$11,regle!$H$23,IF(AA370=regle!$I$11,regle!$I$23,IF(AA370=regle!$J$11,regle!$J$23,0)))))))))))</f>
        <v>0</v>
      </c>
      <c r="AL370" s="14">
        <f>IF($A370,$M370*(IF(AB370=regle!$B$11,regle!$B$23,IF(AB370=regle!$C$11,regle!$C$23,IF(AB370=regle!$D$11,regle!$D$23,IF(AB370=regle!$E$11,regle!$E$23,IF(AB370=regle!$F$11,regle!$F$23,IF(AB370=regle!$G$11,regle!$G$23,IF(AB370=regle!$H$11,regle!$H$23,IF(AB370=regle!$I$11,regle!$I$23,IF(AB370=regle!$J$11,regle!$J$23,0)))))))))))</f>
        <v>0</v>
      </c>
      <c r="AM370" s="14">
        <f>IF($A370,$M370*(IF(AC370=regle!$B$11,regle!$B$23,IF(AC370=regle!$C$11,regle!$C$23,IF(AC370=regle!$D$11,regle!$D$23,IF(AC370=regle!$E$11,regle!$E$23,IF(AC370=regle!$F$11,regle!$F$23,IF(AC370=regle!$G$11,regle!$G$23,IF(AC370=regle!$H$11,regle!$H$23,IF(AC370=regle!$I$11,regle!$I$23,IF(AC370=regle!$J$11,regle!$J$23,0)))))))))))</f>
        <v>-12.959999999999999</v>
      </c>
      <c r="AN370" s="14">
        <f>IF($A370,$M370*(IF(AD370=regle!$B$11,regle!$B$23,IF(AD370=regle!$C$11,regle!$C$23,IF(AD370=regle!$D$11,regle!$D$23,IF(AD370=regle!$E$11,regle!$E$23,IF(AD370=regle!$F$11,regle!$F$23,IF(AD370=regle!$G$11,regle!$G$23,IF(AD370=regle!$H$11,regle!$H$23,IF(AD370=regle!$I$11,regle!$I$23,IF(AD370=regle!$J$11,regle!$J$23,0)))))))))))</f>
        <v>0</v>
      </c>
      <c r="AO370">
        <f>IF(AO$1=$AO$1,IF(regle!B$2-$Q370&gt;=regle!$J$12,-2,IF($S370,IF(regle!$B$2-$Q370&gt;=2,0,-1),regle!B$2-$Q370)),IF(AN370+1&gt;=regle!$J$12,-2,AN370+1))</f>
        <v>0</v>
      </c>
      <c r="AP370">
        <f>IF(AP$1=$AO$1,IF(regle!C$2-$Q370&gt;=regle!$J$12,-2,IF($S370,IF(regle!$B$2-$Q370&gt;=2,0,-1),regle!C$2-$Q370)),IF(AO370+1&gt;=regle!$J$12,-2,AO370+1))</f>
        <v>1</v>
      </c>
      <c r="AQ370">
        <f>IF(AQ$1=$AO$1,IF(regle!D$2-$Q370&gt;=regle!$J$12,-2,IF($S370,IF(regle!$B$2-$Q370&gt;=2,0,-1),regle!D$2-$Q370)),IF(AP370+1&gt;=regle!$J$12,-2,AP370+1))</f>
        <v>2</v>
      </c>
      <c r="AR370">
        <f>IF(AR$1=$AO$1,IF(regle!E$2-$Q370&gt;=regle!$J$12,-2,IF($S370,IF(regle!$B$2-$Q370&gt;=2,0,-1),regle!E$2-$Q370)),IF(AQ370+1&gt;=regle!$J$12,-2,AQ370+1))</f>
        <v>3</v>
      </c>
      <c r="AS370">
        <f>IF(AS$1=$AO$1,IF(regle!F$2-$Q370&gt;=regle!$J$12,-2,IF($S370,IF(regle!$B$2-$Q370&gt;=2,0,-1),regle!F$2-$Q370)),IF(AR370+1&gt;=regle!$J$12,-2,AR370+1))</f>
        <v>4</v>
      </c>
      <c r="AT370">
        <f>IF(AT$1=$AO$1,IF(regle!G$2-$Q370&gt;=regle!$J$12,-2,IF($S370,IF(regle!$B$2-$Q370&gt;=2,0,-1),regle!G$2-$Q370)),IF(AS370+1&gt;=regle!$J$12,-2,AS370+1))</f>
        <v>5</v>
      </c>
      <c r="AU370">
        <f>IF(AU$1=$AO$1,IF(regle!H$2-$Q370&gt;=regle!$J$12,-2,IF($S370,IF(regle!$B$2-$Q370&gt;=2,0,-1),regle!H$2-$Q370)),IF(AT370+1&gt;=regle!$J$12,-2,AT370+1))</f>
        <v>6</v>
      </c>
      <c r="AV370">
        <f>IF(AV$1=$AO$1,IF(regle!I$2-$Q370&gt;=regle!$J$12,-2,IF($S370,IF(regle!$B$2-$Q370&gt;=2,0,-1),regle!I$2-$Q370)),IF(AU370+1&gt;=regle!$J$12,-2,AU370+1))</f>
        <v>7</v>
      </c>
      <c r="AW370">
        <f>IF(AW$1=$AO$1,IF(regle!J$2-$Q370&gt;=regle!$J$12,-2,IF($S370,IF(regle!$B$2-$Q370&gt;=2,0,-1),regle!J$2-$Q370)),IF(AV370+1&gt;=regle!$J$12,-2,AV370+1))</f>
        <v>8</v>
      </c>
      <c r="AX370">
        <f>IF(AX$1=$AO$1,IF(regle!K$2-$Q370&gt;=regle!$J$12,-2,IF($S370,IF(regle!$B$2-$Q370&gt;=2,0,-1),regle!K$2-$Q370)),IF(AW370+1&gt;=regle!$J$12,-2,AW370+1))</f>
        <v>9</v>
      </c>
    </row>
    <row r="371" spans="1:50" x14ac:dyDescent="0.25">
      <c r="A371" t="b">
        <f>AND(modif0[[#This Row],[cdstr]]&lt;&gt;0,OR(regle!$H$27=FALSE,modif0[[#This Row],[essnc]]="PM"))</f>
        <v>1</v>
      </c>
      <c r="B371">
        <f>ROW(objet!A436)</f>
        <v>436</v>
      </c>
      <c r="C371" s="10" t="str">
        <f>objet!D436</f>
        <v>2000000N0181</v>
      </c>
      <c r="D371" t="str">
        <f>LEFT(modif0[[#This Row],[cdstr]],3)</f>
        <v>200</v>
      </c>
      <c r="E371" s="10" t="str">
        <f>objet!G436</f>
        <v>MOUSTEY</v>
      </c>
      <c r="F371">
        <f>LEN(modif0[[#This Row],[l_dt]])</f>
        <v>9</v>
      </c>
      <c r="G371" s="10" t="str">
        <f>objet!H436</f>
        <v>Peyroulet</v>
      </c>
      <c r="H371" s="10" t="str">
        <f>objet!C436</f>
        <v>N181</v>
      </c>
      <c r="I371" t="str">
        <f>IF(ISNUMBER(VALUE(RIGHT(LEFT(modif0[[#This Row],[idntfn]],2),1))),_xlfn.CONCAT(0,LEFT(modif0[[#This Row],[idntfn]],1)),LEFT(modif0[[#This Row],[idntfn]],2))</f>
        <v>0N</v>
      </c>
      <c r="J371">
        <f>VALUE(LEFT(RIGHT(modif0[[#This Row],[idntfn]],LEN(modif0[[#This Row],[idntfn]])-IF(LEFT(modif0[[#This Row],[sctn]],1)="0",1,2)),LEN(modif0[[#This Row],[idntfn]])-IF(LEFT(modif0[[#This Row],[sctn]],1)="0",1,2)-LEN(modif0[[#This Row],[lttr]])))</f>
        <v>181</v>
      </c>
      <c r="K371" t="str">
        <f>IF(ISNUMBER(VALUE(RIGHT(modif0[[#This Row],[idntfn]],1))),"",IF(ISNUMBER(VALUE(LEFT(RIGHT(modif0[[#This Row],[idntfn]],2),1))),RIGHT(modif0[[#This Row],[idntfn]],1),RIGHT(modif0[[#This Row],[idntfn]],2)))</f>
        <v/>
      </c>
      <c r="L371" s="10">
        <f>objet!I436</f>
        <v>14860</v>
      </c>
      <c r="M371" s="11">
        <f>modif0[[#This Row],[srfc]]/10000</f>
        <v>1.486</v>
      </c>
      <c r="N371" s="10" t="str">
        <f>objet!Z436</f>
        <v>PM</v>
      </c>
      <c r="O371" s="10" t="str">
        <f>objet!AA436</f>
        <v>CR2022</v>
      </c>
      <c r="P371" t="str">
        <f>IF(ISNUMBER(modif0[[#This Row],[trvx]]),"",LEFT(modif0[[#This Row],[trvx]],LEN(modif0[[#This Row],[trvx]])-4))</f>
        <v>CR</v>
      </c>
      <c r="Q371">
        <f>VALUE(RIGHT(modif0[[#This Row],[trvx]],4))</f>
        <v>2022</v>
      </c>
      <c r="R371" t="str">
        <f>_xlfn.CONCAT(modif0[[#This Row],[tp]],"-",modif0[[#This Row],[essnc]],"_",modif0[[#This Row],[anns]])</f>
        <v>CR-PM_2022</v>
      </c>
      <c r="S371" t="b">
        <f>modif0[[#This Row],[tp]]="CR"</f>
        <v>1</v>
      </c>
      <c r="T371">
        <v>40</v>
      </c>
      <c r="U371" t="str">
        <f>IF(NOT($A371),"",
IF(AO371=-2,regle!$J$11,
IF(AO371=regle!$B$12,regle!$B$11,
IF(AO371=regle!$C$12,regle!$C$11,
IF(AO371=regle!$D$12,regle!$D$11,
IF(AO371=regle!$E$12,regle!$E$11,
IF(AO371=regle!$F$12,regle!$F$11,
IF(AO371=regle!$G$12,regle!$G$11,
IF(AO371=regle!$H$12,regle!$H$11,
IF(AO371=regle!$I$12,regle!$I$11,""))))))))))</f>
        <v>RBST</v>
      </c>
      <c r="V371" t="str">
        <f>IF(NOT($A371),"",
IF(AP371=-2,regle!$J$11,
IF(AP371=regle!$B$12,regle!$B$11,
IF(AP371=regle!$C$12,regle!$C$11,
IF(AP371=regle!$D$12,regle!$D$11,
IF(AP371=regle!$E$12,regle!$E$11,
IF(AP371=regle!$F$12,regle!$F$11,
IF(AP371=regle!$G$12,regle!$G$11,
IF(AP371=regle!$H$12,regle!$H$11,
IF(AP371=regle!$I$12,regle!$I$11,""))))))))))</f>
        <v/>
      </c>
      <c r="W371" t="str">
        <f>IF(NOT($A371),"",
IF(AQ371=-2,regle!$J$11,
IF(AQ371=regle!$B$12,regle!$B$11,
IF(AQ371=regle!$C$12,regle!$C$11,
IF(AQ371=regle!$D$12,regle!$D$11,
IF(AQ371=regle!$E$12,regle!$E$11,
IF(AQ371=regle!$F$12,regle!$F$11,
IF(AQ371=regle!$G$12,regle!$G$11,
IF(AQ371=regle!$H$12,regle!$H$11,
IF(AQ371=regle!$I$12,regle!$I$11,""))))))))))</f>
        <v>DGT</v>
      </c>
      <c r="X371" t="str">
        <f>IF(NOT($A371),"",
IF(AR371=-2,regle!$J$11,
IF(AR371=regle!$B$12,regle!$B$11,
IF(AR371=regle!$C$12,regle!$C$11,
IF(AR371=regle!$D$12,regle!$D$11,
IF(AR371=regle!$E$12,regle!$E$11,
IF(AR371=regle!$F$12,regle!$F$11,
IF(AR371=regle!$G$12,regle!$G$11,
IF(AR371=regle!$H$12,regle!$H$11,
IF(AR371=regle!$I$12,regle!$I$11,""))))))))))</f>
        <v/>
      </c>
      <c r="Y371" t="str">
        <f>IF(NOT($A371),"",
IF(AS371=-2,regle!$J$11,
IF(AS371=regle!$B$12,regle!$B$11,
IF(AS371=regle!$C$12,regle!$C$11,
IF(AS371=regle!$D$12,regle!$D$11,
IF(AS371=regle!$E$12,regle!$E$11,
IF(AS371=regle!$F$12,regle!$F$11,
IF(AS371=regle!$G$12,regle!$G$11,
IF(AS371=regle!$H$12,regle!$H$11,
IF(AS371=regle!$I$12,regle!$I$11,""))))))))))</f>
        <v/>
      </c>
      <c r="Z371" t="str">
        <f>IF(NOT($A371),"",
IF(AT371=-2,regle!$J$11,
IF(AT371=regle!$B$12,regle!$B$11,
IF(AT371=regle!$C$12,regle!$C$11,
IF(AT371=regle!$D$12,regle!$D$11,
IF(AT371=regle!$E$12,regle!$E$11,
IF(AT371=regle!$F$12,regle!$F$11,
IF(AT371=regle!$G$12,regle!$G$11,
IF(AT371=regle!$H$12,regle!$H$11,
IF(AT371=regle!$I$12,regle!$I$11,""))))))))))</f>
        <v>ENT1</v>
      </c>
      <c r="AA371" t="str">
        <f>IF(NOT($A371),"",
IF(AU371=-2,regle!$J$11,
IF(AU371=regle!$B$12,regle!$B$11,
IF(AU371=regle!$C$12,regle!$C$11,
IF(AU371=regle!$D$12,regle!$D$11,
IF(AU371=regle!$E$12,regle!$E$11,
IF(AU371=regle!$F$12,regle!$F$11,
IF(AU371=regle!$G$12,regle!$G$11,
IF(AU371=regle!$H$12,regle!$H$11,
IF(AU371=regle!$I$12,regle!$I$11,""))))))))))</f>
        <v/>
      </c>
      <c r="AB371" t="str">
        <f>IF(NOT($A371),"",
IF(AV371=-2,regle!$J$11,
IF(AV371=regle!$B$12,regle!$B$11,
IF(AV371=regle!$C$12,regle!$C$11,
IF(AV371=regle!$D$12,regle!$D$11,
IF(AV371=regle!$E$12,regle!$E$11,
IF(AV371=regle!$F$12,regle!$F$11,
IF(AV371=regle!$G$12,regle!$G$11,
IF(AV371=regle!$H$12,regle!$H$11,
IF(AV371=regle!$I$12,regle!$I$11,""))))))))))</f>
        <v/>
      </c>
      <c r="AC371" t="str">
        <f>IF(NOT($A371),"",
IF(AW371=-2,regle!$J$11,
IF(AW371=regle!$B$12,regle!$B$11,
IF(AW371=regle!$C$12,regle!$C$11,
IF(AW371=regle!$D$12,regle!$D$11,
IF(AW371=regle!$E$12,regle!$E$11,
IF(AW371=regle!$F$12,regle!$F$11,
IF(AW371=regle!$G$12,regle!$G$11,
IF(AW371=regle!$H$12,regle!$H$11,
IF(AW371=regle!$I$12,regle!$I$11,""))))))))))</f>
        <v>ENT2</v>
      </c>
      <c r="AD371" t="str">
        <f>IF(NOT($A371),"",
IF(AX371=-2,regle!$J$11,
IF(AX371=regle!$B$12,regle!$B$11,
IF(AX371=regle!$C$12,regle!$C$11,
IF(AX371=regle!$D$12,regle!$D$11,
IF(AX371=regle!$E$12,regle!$E$11,
IF(AX371=regle!$F$12,regle!$F$11,
IF(AX371=regle!$G$12,regle!$G$11,
IF(AX371=regle!$H$12,regle!$H$11,
IF(AX371=regle!$I$12,regle!$I$11,""))))))))))</f>
        <v/>
      </c>
      <c r="AE371" s="14">
        <f>IF($A371,$M371*(IF(U371=regle!$B$11,regle!$B$23,IF(U371=regle!$C$11,regle!$C$23,IF(U371=regle!$D$11,regle!$D$23,IF(U371=regle!$E$11,regle!$E$23,IF(U371=regle!$F$11,regle!$F$23,IF(U371=regle!$G$11,regle!$G$23,IF(U371=regle!$H$11,regle!$H$23,IF(U371=regle!$I$11,regle!$I$23,IF(U371=regle!$J$11,regle!$J$23,0)))))))))))</f>
        <v>-2526.1999999999998</v>
      </c>
      <c r="AF371" s="14">
        <f>IF($A371,$M371*(IF(V371=regle!$B$11,regle!$B$23,IF(V371=regle!$C$11,regle!$C$23,IF(V371=regle!$D$11,regle!$D$23,IF(V371=regle!$E$11,regle!$E$23,IF(V371=regle!$F$11,regle!$F$23,IF(V371=regle!$G$11,regle!$G$23,IF(V371=regle!$H$11,regle!$H$23,IF(V371=regle!$I$11,regle!$I$23,IF(V371=regle!$J$11,regle!$J$23,0)))))))))))</f>
        <v>0</v>
      </c>
      <c r="AG371" s="14">
        <f>IF($A371,$M371*(IF(W371=regle!$B$11,regle!$B$23,IF(W371=regle!$C$11,regle!$C$23,IF(W371=regle!$D$11,regle!$D$23,IF(W371=regle!$E$11,regle!$E$23,IF(W371=regle!$F$11,regle!$F$23,IF(W371=regle!$G$11,regle!$G$23,IF(W371=regle!$H$11,regle!$H$23,IF(W371=regle!$I$11,regle!$I$23,IF(W371=regle!$J$11,regle!$J$23,0)))))))))))</f>
        <v>-111.45</v>
      </c>
      <c r="AH371" s="14">
        <f>IF($A371,$M371*(IF(X371=regle!$B$11,regle!$B$23,IF(X371=regle!$C$11,regle!$C$23,IF(X371=regle!$D$11,regle!$D$23,IF(X371=regle!$E$11,regle!$E$23,IF(X371=regle!$F$11,regle!$F$23,IF(X371=regle!$G$11,regle!$G$23,IF(X371=regle!$H$11,regle!$H$23,IF(X371=regle!$I$11,regle!$I$23,IF(X371=regle!$J$11,regle!$J$23,0)))))))))))</f>
        <v>0</v>
      </c>
      <c r="AI371" s="14">
        <f>IF($A371,$M371*(IF(Y371=regle!$B$11,regle!$B$23,IF(Y371=regle!$C$11,regle!$C$23,IF(Y371=regle!$D$11,regle!$D$23,IF(Y371=regle!$E$11,regle!$E$23,IF(Y371=regle!$F$11,regle!$F$23,IF(Y371=regle!$G$11,regle!$G$23,IF(Y371=regle!$H$11,regle!$H$23,IF(Y371=regle!$I$11,regle!$I$23,IF(Y371=regle!$J$11,regle!$J$23,0)))))))))))</f>
        <v>0</v>
      </c>
      <c r="AJ371" s="14">
        <f>IF($A371,$M371*(IF(Z371=regle!$B$11,regle!$B$23,IF(Z371=regle!$C$11,regle!$C$23,IF(Z371=regle!$D$11,regle!$D$23,IF(Z371=regle!$E$11,regle!$E$23,IF(Z371=regle!$F$11,regle!$F$23,IF(Z371=regle!$G$11,regle!$G$23,IF(Z371=regle!$H$11,regle!$H$23,IF(Z371=regle!$I$11,regle!$I$23,IF(Z371=regle!$J$11,regle!$J$23,0)))))))))))</f>
        <v>-133.74</v>
      </c>
      <c r="AK371" s="14">
        <f>IF($A371,$M371*(IF(AA371=regle!$B$11,regle!$B$23,IF(AA371=regle!$C$11,regle!$C$23,IF(AA371=regle!$D$11,regle!$D$23,IF(AA371=regle!$E$11,regle!$E$23,IF(AA371=regle!$F$11,regle!$F$23,IF(AA371=regle!$G$11,regle!$G$23,IF(AA371=regle!$H$11,regle!$H$23,IF(AA371=regle!$I$11,regle!$I$23,IF(AA371=regle!$J$11,regle!$J$23,0)))))))))))</f>
        <v>0</v>
      </c>
      <c r="AL371" s="14">
        <f>IF($A371,$M371*(IF(AB371=regle!$B$11,regle!$B$23,IF(AB371=regle!$C$11,regle!$C$23,IF(AB371=regle!$D$11,regle!$D$23,IF(AB371=regle!$E$11,regle!$E$23,IF(AB371=regle!$F$11,regle!$F$23,IF(AB371=regle!$G$11,regle!$G$23,IF(AB371=regle!$H$11,regle!$H$23,IF(AB371=regle!$I$11,regle!$I$23,IF(AB371=regle!$J$11,regle!$J$23,0)))))))))))</f>
        <v>0</v>
      </c>
      <c r="AM371" s="14">
        <f>IF($A371,$M371*(IF(AC371=regle!$B$11,regle!$B$23,IF(AC371=regle!$C$11,regle!$C$23,IF(AC371=regle!$D$11,regle!$D$23,IF(AC371=regle!$E$11,regle!$E$23,IF(AC371=regle!$F$11,regle!$F$23,IF(AC371=regle!$G$11,regle!$G$23,IF(AC371=regle!$H$11,regle!$H$23,IF(AC371=regle!$I$11,regle!$I$23,IF(AC371=regle!$J$11,regle!$J$23,0)))))))))))</f>
        <v>-133.74</v>
      </c>
      <c r="AN371" s="14">
        <f>IF($A371,$M371*(IF(AD371=regle!$B$11,regle!$B$23,IF(AD371=regle!$C$11,regle!$C$23,IF(AD371=regle!$D$11,regle!$D$23,IF(AD371=regle!$E$11,regle!$E$23,IF(AD371=regle!$F$11,regle!$F$23,IF(AD371=regle!$G$11,regle!$G$23,IF(AD371=regle!$H$11,regle!$H$23,IF(AD371=regle!$I$11,regle!$I$23,IF(AD371=regle!$J$11,regle!$J$23,0)))))))))))</f>
        <v>0</v>
      </c>
      <c r="AO371">
        <f>IF(AO$1=$AO$1,IF(regle!B$2-$Q371&gt;=regle!$J$12,-2,IF($S371,IF(regle!$B$2-$Q371&gt;=2,0,-1),regle!B$2-$Q371)),IF(AN371+1&gt;=regle!$J$12,-2,AN371+1))</f>
        <v>0</v>
      </c>
      <c r="AP371">
        <f>IF(AP$1=$AO$1,IF(regle!C$2-$Q371&gt;=regle!$J$12,-2,IF($S371,IF(regle!$B$2-$Q371&gt;=2,0,-1),regle!C$2-$Q371)),IF(AO371+1&gt;=regle!$J$12,-2,AO371+1))</f>
        <v>1</v>
      </c>
      <c r="AQ371">
        <f>IF(AQ$1=$AO$1,IF(regle!D$2-$Q371&gt;=regle!$J$12,-2,IF($S371,IF(regle!$B$2-$Q371&gt;=2,0,-1),regle!D$2-$Q371)),IF(AP371+1&gt;=regle!$J$12,-2,AP371+1))</f>
        <v>2</v>
      </c>
      <c r="AR371">
        <f>IF(AR$1=$AO$1,IF(regle!E$2-$Q371&gt;=regle!$J$12,-2,IF($S371,IF(regle!$B$2-$Q371&gt;=2,0,-1),regle!E$2-$Q371)),IF(AQ371+1&gt;=regle!$J$12,-2,AQ371+1))</f>
        <v>3</v>
      </c>
      <c r="AS371">
        <f>IF(AS$1=$AO$1,IF(regle!F$2-$Q371&gt;=regle!$J$12,-2,IF($S371,IF(regle!$B$2-$Q371&gt;=2,0,-1),regle!F$2-$Q371)),IF(AR371+1&gt;=regle!$J$12,-2,AR371+1))</f>
        <v>4</v>
      </c>
      <c r="AT371">
        <f>IF(AT$1=$AO$1,IF(regle!G$2-$Q371&gt;=regle!$J$12,-2,IF($S371,IF(regle!$B$2-$Q371&gt;=2,0,-1),regle!G$2-$Q371)),IF(AS371+1&gt;=regle!$J$12,-2,AS371+1))</f>
        <v>5</v>
      </c>
      <c r="AU371">
        <f>IF(AU$1=$AO$1,IF(regle!H$2-$Q371&gt;=regle!$J$12,-2,IF($S371,IF(regle!$B$2-$Q371&gt;=2,0,-1),regle!H$2-$Q371)),IF(AT371+1&gt;=regle!$J$12,-2,AT371+1))</f>
        <v>6</v>
      </c>
      <c r="AV371">
        <f>IF(AV$1=$AO$1,IF(regle!I$2-$Q371&gt;=regle!$J$12,-2,IF($S371,IF(regle!$B$2-$Q371&gt;=2,0,-1),regle!I$2-$Q371)),IF(AU371+1&gt;=regle!$J$12,-2,AU371+1))</f>
        <v>7</v>
      </c>
      <c r="AW371">
        <f>IF(AW$1=$AO$1,IF(regle!J$2-$Q371&gt;=regle!$J$12,-2,IF($S371,IF(regle!$B$2-$Q371&gt;=2,0,-1),regle!J$2-$Q371)),IF(AV371+1&gt;=regle!$J$12,-2,AV371+1))</f>
        <v>8</v>
      </c>
      <c r="AX371">
        <f>IF(AX$1=$AO$1,IF(regle!K$2-$Q371&gt;=regle!$J$12,-2,IF($S371,IF(regle!$B$2-$Q371&gt;=2,0,-1),regle!K$2-$Q371)),IF(AW371+1&gt;=regle!$J$12,-2,AW371+1))</f>
        <v>9</v>
      </c>
    </row>
    <row r="372" spans="1:50" x14ac:dyDescent="0.25">
      <c r="A372" t="b">
        <f>AND(modif0[[#This Row],[cdstr]]&lt;&gt;0,OR(regle!$H$27=FALSE,modif0[[#This Row],[essnc]]="PM"))</f>
        <v>1</v>
      </c>
      <c r="B372">
        <f>ROW(objet!A437)</f>
        <v>437</v>
      </c>
      <c r="C372" s="10" t="str">
        <f>objet!D437</f>
        <v>2000000N0005</v>
      </c>
      <c r="D372" t="str">
        <f>LEFT(modif0[[#This Row],[cdstr]],3)</f>
        <v>200</v>
      </c>
      <c r="E372" s="10" t="str">
        <f>objet!G437</f>
        <v>MOUSTEY</v>
      </c>
      <c r="F372">
        <f>LEN(modif0[[#This Row],[l_dt]])</f>
        <v>18</v>
      </c>
      <c r="G372" s="10" t="str">
        <f>objet!H437</f>
        <v>Quartier de Capsus</v>
      </c>
      <c r="H372" s="10" t="str">
        <f>objet!C437</f>
        <v>N5</v>
      </c>
      <c r="I372" t="str">
        <f>IF(ISNUMBER(VALUE(RIGHT(LEFT(modif0[[#This Row],[idntfn]],2),1))),_xlfn.CONCAT(0,LEFT(modif0[[#This Row],[idntfn]],1)),LEFT(modif0[[#This Row],[idntfn]],2))</f>
        <v>0N</v>
      </c>
      <c r="J372">
        <f>VALUE(LEFT(RIGHT(modif0[[#This Row],[idntfn]],LEN(modif0[[#This Row],[idntfn]])-IF(LEFT(modif0[[#This Row],[sctn]],1)="0",1,2)),LEN(modif0[[#This Row],[idntfn]])-IF(LEFT(modif0[[#This Row],[sctn]],1)="0",1,2)-LEN(modif0[[#This Row],[lttr]])))</f>
        <v>5</v>
      </c>
      <c r="K372" t="str">
        <f>IF(ISNUMBER(VALUE(RIGHT(modif0[[#This Row],[idntfn]],1))),"",IF(ISNUMBER(VALUE(LEFT(RIGHT(modif0[[#This Row],[idntfn]],2),1))),RIGHT(modif0[[#This Row],[idntfn]],1),RIGHT(modif0[[#This Row],[idntfn]],2)))</f>
        <v/>
      </c>
      <c r="L372" s="10">
        <f>objet!I437</f>
        <v>3120</v>
      </c>
      <c r="M372" s="11">
        <f>modif0[[#This Row],[srfc]]/10000</f>
        <v>0.312</v>
      </c>
      <c r="N372" s="10" t="str">
        <f>objet!Z437</f>
        <v>PM</v>
      </c>
      <c r="O372" s="10" t="str">
        <f>objet!AA437</f>
        <v>PLA2017</v>
      </c>
      <c r="P372" t="str">
        <f>IF(ISNUMBER(modif0[[#This Row],[trvx]]),"",LEFT(modif0[[#This Row],[trvx]],LEN(modif0[[#This Row],[trvx]])-4))</f>
        <v>PLA</v>
      </c>
      <c r="Q372">
        <f>VALUE(RIGHT(modif0[[#This Row],[trvx]],4))</f>
        <v>2017</v>
      </c>
      <c r="R372" t="str">
        <f>_xlfn.CONCAT(modif0[[#This Row],[tp]],"-",modif0[[#This Row],[essnc]],"_",modif0[[#This Row],[anns]])</f>
        <v>PLA-PM_2017</v>
      </c>
      <c r="S372" t="b">
        <f>modif0[[#This Row],[tp]]="CR"</f>
        <v>0</v>
      </c>
      <c r="T372">
        <v>40</v>
      </c>
      <c r="U372" t="str">
        <f>IF(NOT($A372),"",
IF(AO372=-2,regle!$J$11,
IF(AO372=regle!$B$12,regle!$B$11,
IF(AO372=regle!$C$12,regle!$C$11,
IF(AO372=regle!$D$12,regle!$D$11,
IF(AO372=regle!$E$12,regle!$E$11,
IF(AO372=regle!$F$12,regle!$F$11,
IF(AO372=regle!$G$12,regle!$G$11,
IF(AO372=regle!$H$12,regle!$H$11,
IF(AO372=regle!$I$12,regle!$I$11,""))))))))))</f>
        <v/>
      </c>
      <c r="V372" t="str">
        <f>IF(NOT($A372),"",
IF(AP372=-2,regle!$J$11,
IF(AP372=regle!$B$12,regle!$B$11,
IF(AP372=regle!$C$12,regle!$C$11,
IF(AP372=regle!$D$12,regle!$D$11,
IF(AP372=regle!$E$12,regle!$E$11,
IF(AP372=regle!$F$12,regle!$F$11,
IF(AP372=regle!$G$12,regle!$G$11,
IF(AP372=regle!$H$12,regle!$H$11,
IF(AP372=regle!$I$12,regle!$I$11,""))))))))))</f>
        <v>ENT2</v>
      </c>
      <c r="W372" t="str">
        <f>IF(NOT($A372),"",
IF(AQ372=-2,regle!$J$11,
IF(AQ372=regle!$B$12,regle!$B$11,
IF(AQ372=regle!$C$12,regle!$C$11,
IF(AQ372=regle!$D$12,regle!$D$11,
IF(AQ372=regle!$E$12,regle!$E$11,
IF(AQ372=regle!$F$12,regle!$F$11,
IF(AQ372=regle!$G$12,regle!$G$11,
IF(AQ372=regle!$H$12,regle!$H$11,
IF(AQ372=regle!$I$12,regle!$I$11,""))))))))))</f>
        <v/>
      </c>
      <c r="X372" t="str">
        <f>IF(NOT($A372),"",
IF(AR372=-2,regle!$J$11,
IF(AR372=regle!$B$12,regle!$B$11,
IF(AR372=regle!$C$12,regle!$C$11,
IF(AR372=regle!$D$12,regle!$D$11,
IF(AR372=regle!$E$12,regle!$E$11,
IF(AR372=regle!$F$12,regle!$F$11,
IF(AR372=regle!$G$12,regle!$G$11,
IF(AR372=regle!$H$12,regle!$H$11,
IF(AR372=regle!$I$12,regle!$I$11,""))))))))))</f>
        <v/>
      </c>
      <c r="Y372" t="str">
        <f>IF(NOT($A372),"",
IF(AS372=-2,regle!$J$11,
IF(AS372=regle!$B$12,regle!$B$11,
IF(AS372=regle!$C$12,regle!$C$11,
IF(AS372=regle!$D$12,regle!$D$11,
IF(AS372=regle!$E$12,regle!$E$11,
IF(AS372=regle!$F$12,regle!$F$11,
IF(AS372=regle!$G$12,regle!$G$11,
IF(AS372=regle!$H$12,regle!$H$11,
IF(AS372=regle!$I$12,regle!$I$11,""))))))))))</f>
        <v/>
      </c>
      <c r="Z372" t="str">
        <f>IF(NOT($A372),"",
IF(AT372=-2,regle!$J$11,
IF(AT372=regle!$B$12,regle!$B$11,
IF(AT372=regle!$C$12,regle!$C$11,
IF(AT372=regle!$D$12,regle!$D$11,
IF(AT372=regle!$E$12,regle!$E$11,
IF(AT372=regle!$F$12,regle!$F$11,
IF(AT372=regle!$G$12,regle!$G$11,
IF(AT372=regle!$H$12,regle!$H$11,
IF(AT372=regle!$I$12,regle!$I$11,""))))))))))</f>
        <v/>
      </c>
      <c r="AA372" t="str">
        <f>IF(NOT($A372),"",
IF(AU372=-2,regle!$J$11,
IF(AU372=regle!$B$12,regle!$B$11,
IF(AU372=regle!$C$12,regle!$C$11,
IF(AU372=regle!$D$12,regle!$D$11,
IF(AU372=regle!$E$12,regle!$E$11,
IF(AU372=regle!$F$12,regle!$F$11,
IF(AU372=regle!$G$12,regle!$G$11,
IF(AU372=regle!$H$12,regle!$H$11,
IF(AU372=regle!$I$12,regle!$I$11,""))))))))))</f>
        <v>EC1</v>
      </c>
      <c r="AB372" t="str">
        <f>IF(NOT($A372),"",
IF(AV372=-2,regle!$J$11,
IF(AV372=regle!$B$12,regle!$B$11,
IF(AV372=regle!$C$12,regle!$C$11,
IF(AV372=regle!$D$12,regle!$D$11,
IF(AV372=regle!$E$12,regle!$E$11,
IF(AV372=regle!$F$12,regle!$F$11,
IF(AV372=regle!$G$12,regle!$G$11,
IF(AV372=regle!$H$12,regle!$H$11,
IF(AV372=regle!$I$12,regle!$I$11,""))))))))))</f>
        <v/>
      </c>
      <c r="AC372" t="str">
        <f>IF(NOT($A372),"",
IF(AW372=-2,regle!$J$11,
IF(AW372=regle!$B$12,regle!$B$11,
IF(AW372=regle!$C$12,regle!$C$11,
IF(AW372=regle!$D$12,regle!$D$11,
IF(AW372=regle!$E$12,regle!$E$11,
IF(AW372=regle!$F$12,regle!$F$11,
IF(AW372=regle!$G$12,regle!$G$11,
IF(AW372=regle!$H$12,regle!$H$11,
IF(AW372=regle!$I$12,regle!$I$11,""))))))))))</f>
        <v/>
      </c>
      <c r="AD372" t="str">
        <f>IF(NOT($A372),"",
IF(AX372=-2,regle!$J$11,
IF(AX372=regle!$B$12,regle!$B$11,
IF(AX372=regle!$C$12,regle!$C$11,
IF(AX372=regle!$D$12,regle!$D$11,
IF(AX372=regle!$E$12,regle!$E$11,
IF(AX372=regle!$F$12,regle!$F$11,
IF(AX372=regle!$G$12,regle!$G$11,
IF(AX372=regle!$H$12,regle!$H$11,
IF(AX372=regle!$I$12,regle!$I$11,""))))))))))</f>
        <v/>
      </c>
      <c r="AE372" s="14">
        <f>IF($A372,$M372*(IF(U372=regle!$B$11,regle!$B$23,IF(U372=regle!$C$11,regle!$C$23,IF(U372=regle!$D$11,regle!$D$23,IF(U372=regle!$E$11,regle!$E$23,IF(U372=regle!$F$11,regle!$F$23,IF(U372=regle!$G$11,regle!$G$23,IF(U372=regle!$H$11,regle!$H$23,IF(U372=regle!$I$11,regle!$I$23,IF(U372=regle!$J$11,regle!$J$23,0)))))))))))</f>
        <v>0</v>
      </c>
      <c r="AF372" s="14">
        <f>IF($A372,$M372*(IF(V372=regle!$B$11,regle!$B$23,IF(V372=regle!$C$11,regle!$C$23,IF(V372=regle!$D$11,regle!$D$23,IF(V372=regle!$E$11,regle!$E$23,IF(V372=regle!$F$11,regle!$F$23,IF(V372=regle!$G$11,regle!$G$23,IF(V372=regle!$H$11,regle!$H$23,IF(V372=regle!$I$11,regle!$I$23,IF(V372=regle!$J$11,regle!$J$23,0)))))))))))</f>
        <v>-28.08</v>
      </c>
      <c r="AG372" s="14">
        <f>IF($A372,$M372*(IF(W372=regle!$B$11,regle!$B$23,IF(W372=regle!$C$11,regle!$C$23,IF(W372=regle!$D$11,regle!$D$23,IF(W372=regle!$E$11,regle!$E$23,IF(W372=regle!$F$11,regle!$F$23,IF(W372=regle!$G$11,regle!$G$23,IF(W372=regle!$H$11,regle!$H$23,IF(W372=regle!$I$11,regle!$I$23,IF(W372=regle!$J$11,regle!$J$23,0)))))))))))</f>
        <v>0</v>
      </c>
      <c r="AH372" s="14">
        <f>IF($A372,$M372*(IF(X372=regle!$B$11,regle!$B$23,IF(X372=regle!$C$11,regle!$C$23,IF(X372=regle!$D$11,regle!$D$23,IF(X372=regle!$E$11,regle!$E$23,IF(X372=regle!$F$11,regle!$F$23,IF(X372=regle!$G$11,regle!$G$23,IF(X372=regle!$H$11,regle!$H$23,IF(X372=regle!$I$11,regle!$I$23,IF(X372=regle!$J$11,regle!$J$23,0)))))))))))</f>
        <v>0</v>
      </c>
      <c r="AI372" s="14">
        <f>IF($A372,$M372*(IF(Y372=regle!$B$11,regle!$B$23,IF(Y372=regle!$C$11,regle!$C$23,IF(Y372=regle!$D$11,regle!$D$23,IF(Y372=regle!$E$11,regle!$E$23,IF(Y372=regle!$F$11,regle!$F$23,IF(Y372=regle!$G$11,regle!$G$23,IF(Y372=regle!$H$11,regle!$H$23,IF(Y372=regle!$I$11,regle!$I$23,IF(Y372=regle!$J$11,regle!$J$23,0)))))))))))</f>
        <v>0</v>
      </c>
      <c r="AJ372" s="14">
        <f>IF($A372,$M372*(IF(Z372=regle!$B$11,regle!$B$23,IF(Z372=regle!$C$11,regle!$C$23,IF(Z372=regle!$D$11,regle!$D$23,IF(Z372=regle!$E$11,regle!$E$23,IF(Z372=regle!$F$11,regle!$F$23,IF(Z372=regle!$G$11,regle!$G$23,IF(Z372=regle!$H$11,regle!$H$23,IF(Z372=regle!$I$11,regle!$I$23,IF(Z372=regle!$J$11,regle!$J$23,0)))))))))))</f>
        <v>0</v>
      </c>
      <c r="AK372" s="14">
        <f>IF($A372,$M372*(IF(AA372=regle!$B$11,regle!$B$23,IF(AA372=regle!$C$11,regle!$C$23,IF(AA372=regle!$D$11,regle!$D$23,IF(AA372=regle!$E$11,regle!$E$23,IF(AA372=regle!$F$11,regle!$F$23,IF(AA372=regle!$G$11,regle!$G$23,IF(AA372=regle!$H$11,regle!$H$23,IF(AA372=regle!$I$11,regle!$I$23,IF(AA372=regle!$J$11,regle!$J$23,0)))))))))))</f>
        <v>179.71199999999999</v>
      </c>
      <c r="AL372" s="14">
        <f>IF($A372,$M372*(IF(AB372=regle!$B$11,regle!$B$23,IF(AB372=regle!$C$11,regle!$C$23,IF(AB372=regle!$D$11,regle!$D$23,IF(AB372=regle!$E$11,regle!$E$23,IF(AB372=regle!$F$11,regle!$F$23,IF(AB372=regle!$G$11,regle!$G$23,IF(AB372=regle!$H$11,regle!$H$23,IF(AB372=regle!$I$11,regle!$I$23,IF(AB372=regle!$J$11,regle!$J$23,0)))))))))))</f>
        <v>0</v>
      </c>
      <c r="AM372" s="14">
        <f>IF($A372,$M372*(IF(AC372=regle!$B$11,regle!$B$23,IF(AC372=regle!$C$11,regle!$C$23,IF(AC372=regle!$D$11,regle!$D$23,IF(AC372=regle!$E$11,regle!$E$23,IF(AC372=regle!$F$11,regle!$F$23,IF(AC372=regle!$G$11,regle!$G$23,IF(AC372=regle!$H$11,regle!$H$23,IF(AC372=regle!$I$11,regle!$I$23,IF(AC372=regle!$J$11,regle!$J$23,0)))))))))))</f>
        <v>0</v>
      </c>
      <c r="AN372" s="14">
        <f>IF($A372,$M372*(IF(AD372=regle!$B$11,regle!$B$23,IF(AD372=regle!$C$11,regle!$C$23,IF(AD372=regle!$D$11,regle!$D$23,IF(AD372=regle!$E$11,regle!$E$23,IF(AD372=regle!$F$11,regle!$F$23,IF(AD372=regle!$G$11,regle!$G$23,IF(AD372=regle!$H$11,regle!$H$23,IF(AD372=regle!$I$11,regle!$I$23,IF(AD372=regle!$J$11,regle!$J$23,0)))))))))))</f>
        <v>0</v>
      </c>
      <c r="AO372">
        <f>IF(AO$1=$AO$1,IF(regle!B$2-$Q372&gt;=regle!$J$12,-2,IF($S372,IF(regle!$B$2-$Q372&gt;=2,0,-1),regle!B$2-$Q372)),IF(AN372+1&gt;=regle!$J$12,-2,AN372+1))</f>
        <v>7</v>
      </c>
      <c r="AP372">
        <f>IF(AP$1=$AO$1,IF(regle!C$2-$Q372&gt;=regle!$J$12,-2,IF($S372,IF(regle!$B$2-$Q372&gt;=2,0,-1),regle!C$2-$Q372)),IF(AO372+1&gt;=regle!$J$12,-2,AO372+1))</f>
        <v>8</v>
      </c>
      <c r="AQ372">
        <f>IF(AQ$1=$AO$1,IF(regle!D$2-$Q372&gt;=regle!$J$12,-2,IF($S372,IF(regle!$B$2-$Q372&gt;=2,0,-1),regle!D$2-$Q372)),IF(AP372+1&gt;=regle!$J$12,-2,AP372+1))</f>
        <v>9</v>
      </c>
      <c r="AR372">
        <f>IF(AR$1=$AO$1,IF(regle!E$2-$Q372&gt;=regle!$J$12,-2,IF($S372,IF(regle!$B$2-$Q372&gt;=2,0,-1),regle!E$2-$Q372)),IF(AQ372+1&gt;=regle!$J$12,-2,AQ372+1))</f>
        <v>10</v>
      </c>
      <c r="AS372">
        <f>IF(AS$1=$AO$1,IF(regle!F$2-$Q372&gt;=regle!$J$12,-2,IF($S372,IF(regle!$B$2-$Q372&gt;=2,0,-1),regle!F$2-$Q372)),IF(AR372+1&gt;=regle!$J$12,-2,AR372+1))</f>
        <v>11</v>
      </c>
      <c r="AT372">
        <f>IF(AT$1=$AO$1,IF(regle!G$2-$Q372&gt;=regle!$J$12,-2,IF($S372,IF(regle!$B$2-$Q372&gt;=2,0,-1),regle!G$2-$Q372)),IF(AS372+1&gt;=regle!$J$12,-2,AS372+1))</f>
        <v>12</v>
      </c>
      <c r="AU372">
        <f>IF(AU$1=$AO$1,IF(regle!H$2-$Q372&gt;=regle!$J$12,-2,IF($S372,IF(regle!$B$2-$Q372&gt;=2,0,-1),regle!H$2-$Q372)),IF(AT372+1&gt;=regle!$J$12,-2,AT372+1))</f>
        <v>13</v>
      </c>
      <c r="AV372">
        <f>IF(AV$1=$AO$1,IF(regle!I$2-$Q372&gt;=regle!$J$12,-2,IF($S372,IF(regle!$B$2-$Q372&gt;=2,0,-1),regle!I$2-$Q372)),IF(AU372+1&gt;=regle!$J$12,-2,AU372+1))</f>
        <v>14</v>
      </c>
      <c r="AW372">
        <f>IF(AW$1=$AO$1,IF(regle!J$2-$Q372&gt;=regle!$J$12,-2,IF($S372,IF(regle!$B$2-$Q372&gt;=2,0,-1),regle!J$2-$Q372)),IF(AV372+1&gt;=regle!$J$12,-2,AV372+1))</f>
        <v>15</v>
      </c>
      <c r="AX372">
        <f>IF(AX$1=$AO$1,IF(regle!K$2-$Q372&gt;=regle!$J$12,-2,IF($S372,IF(regle!$B$2-$Q372&gt;=2,0,-1),regle!K$2-$Q372)),IF(AW372+1&gt;=regle!$J$12,-2,AW372+1))</f>
        <v>16</v>
      </c>
    </row>
    <row r="373" spans="1:50" x14ac:dyDescent="0.25">
      <c r="A373" t="b">
        <f>AND(modif0[[#This Row],[cdstr]]&lt;&gt;0,OR(regle!$H$27=FALSE,modif0[[#This Row],[essnc]]="PM"))</f>
        <v>1</v>
      </c>
      <c r="B373">
        <f>ROW(objet!A438)</f>
        <v>438</v>
      </c>
      <c r="C373" s="10" t="str">
        <f>objet!D438</f>
        <v>2000000N0627</v>
      </c>
      <c r="D373" t="str">
        <f>LEFT(modif0[[#This Row],[cdstr]],3)</f>
        <v>200</v>
      </c>
      <c r="E373" s="10" t="str">
        <f>objet!G438</f>
        <v>MOUSTEY</v>
      </c>
      <c r="F373">
        <f>LEN(modif0[[#This Row],[l_dt]])</f>
        <v>18</v>
      </c>
      <c r="G373" s="10" t="str">
        <f>objet!H438</f>
        <v>Quartier de Capsus</v>
      </c>
      <c r="H373" s="10" t="str">
        <f>objet!C438</f>
        <v>N627</v>
      </c>
      <c r="I373" t="str">
        <f>IF(ISNUMBER(VALUE(RIGHT(LEFT(modif0[[#This Row],[idntfn]],2),1))),_xlfn.CONCAT(0,LEFT(modif0[[#This Row],[idntfn]],1)),LEFT(modif0[[#This Row],[idntfn]],2))</f>
        <v>0N</v>
      </c>
      <c r="J373">
        <f>VALUE(LEFT(RIGHT(modif0[[#This Row],[idntfn]],LEN(modif0[[#This Row],[idntfn]])-IF(LEFT(modif0[[#This Row],[sctn]],1)="0",1,2)),LEN(modif0[[#This Row],[idntfn]])-IF(LEFT(modif0[[#This Row],[sctn]],1)="0",1,2)-LEN(modif0[[#This Row],[lttr]])))</f>
        <v>627</v>
      </c>
      <c r="K373" t="str">
        <f>IF(ISNUMBER(VALUE(RIGHT(modif0[[#This Row],[idntfn]],1))),"",IF(ISNUMBER(VALUE(LEFT(RIGHT(modif0[[#This Row],[idntfn]],2),1))),RIGHT(modif0[[#This Row],[idntfn]],1),RIGHT(modif0[[#This Row],[idntfn]],2)))</f>
        <v/>
      </c>
      <c r="L373" s="10">
        <f>objet!I438</f>
        <v>32818</v>
      </c>
      <c r="M373" s="11">
        <f>modif0[[#This Row],[srfc]]/10000</f>
        <v>3.2818000000000001</v>
      </c>
      <c r="N373" s="10" t="str">
        <f>objet!Z438</f>
        <v>PM</v>
      </c>
      <c r="O373" s="10" t="str">
        <f>objet!AA438</f>
        <v>CR2022</v>
      </c>
      <c r="P373" t="str">
        <f>IF(ISNUMBER(modif0[[#This Row],[trvx]]),"",LEFT(modif0[[#This Row],[trvx]],LEN(modif0[[#This Row],[trvx]])-4))</f>
        <v>CR</v>
      </c>
      <c r="Q373">
        <f>VALUE(RIGHT(modif0[[#This Row],[trvx]],4))</f>
        <v>2022</v>
      </c>
      <c r="R373" t="str">
        <f>_xlfn.CONCAT(modif0[[#This Row],[tp]],"-",modif0[[#This Row],[essnc]],"_",modif0[[#This Row],[anns]])</f>
        <v>CR-PM_2022</v>
      </c>
      <c r="S373" t="b">
        <f>modif0[[#This Row],[tp]]="CR"</f>
        <v>1</v>
      </c>
      <c r="T373">
        <v>40</v>
      </c>
      <c r="U373" t="str">
        <f>IF(NOT($A373),"",
IF(AO373=-2,regle!$J$11,
IF(AO373=regle!$B$12,regle!$B$11,
IF(AO373=regle!$C$12,regle!$C$11,
IF(AO373=regle!$D$12,regle!$D$11,
IF(AO373=regle!$E$12,regle!$E$11,
IF(AO373=regle!$F$12,regle!$F$11,
IF(AO373=regle!$G$12,regle!$G$11,
IF(AO373=regle!$H$12,regle!$H$11,
IF(AO373=regle!$I$12,regle!$I$11,""))))))))))</f>
        <v>RBST</v>
      </c>
      <c r="V373" t="str">
        <f>IF(NOT($A373),"",
IF(AP373=-2,regle!$J$11,
IF(AP373=regle!$B$12,regle!$B$11,
IF(AP373=regle!$C$12,regle!$C$11,
IF(AP373=regle!$D$12,regle!$D$11,
IF(AP373=regle!$E$12,regle!$E$11,
IF(AP373=regle!$F$12,regle!$F$11,
IF(AP373=regle!$G$12,regle!$G$11,
IF(AP373=regle!$H$12,regle!$H$11,
IF(AP373=regle!$I$12,regle!$I$11,""))))))))))</f>
        <v/>
      </c>
      <c r="W373" t="str">
        <f>IF(NOT($A373),"",
IF(AQ373=-2,regle!$J$11,
IF(AQ373=regle!$B$12,regle!$B$11,
IF(AQ373=regle!$C$12,regle!$C$11,
IF(AQ373=regle!$D$12,regle!$D$11,
IF(AQ373=regle!$E$12,regle!$E$11,
IF(AQ373=regle!$F$12,regle!$F$11,
IF(AQ373=regle!$G$12,regle!$G$11,
IF(AQ373=regle!$H$12,regle!$H$11,
IF(AQ373=regle!$I$12,regle!$I$11,""))))))))))</f>
        <v>DGT</v>
      </c>
      <c r="X373" t="str">
        <f>IF(NOT($A373),"",
IF(AR373=-2,regle!$J$11,
IF(AR373=regle!$B$12,regle!$B$11,
IF(AR373=regle!$C$12,regle!$C$11,
IF(AR373=regle!$D$12,regle!$D$11,
IF(AR373=regle!$E$12,regle!$E$11,
IF(AR373=regle!$F$12,regle!$F$11,
IF(AR373=regle!$G$12,regle!$G$11,
IF(AR373=regle!$H$12,regle!$H$11,
IF(AR373=regle!$I$12,regle!$I$11,""))))))))))</f>
        <v/>
      </c>
      <c r="Y373" t="str">
        <f>IF(NOT($A373),"",
IF(AS373=-2,regle!$J$11,
IF(AS373=regle!$B$12,regle!$B$11,
IF(AS373=regle!$C$12,regle!$C$11,
IF(AS373=regle!$D$12,regle!$D$11,
IF(AS373=regle!$E$12,regle!$E$11,
IF(AS373=regle!$F$12,regle!$F$11,
IF(AS373=regle!$G$12,regle!$G$11,
IF(AS373=regle!$H$12,regle!$H$11,
IF(AS373=regle!$I$12,regle!$I$11,""))))))))))</f>
        <v/>
      </c>
      <c r="Z373" t="str">
        <f>IF(NOT($A373),"",
IF(AT373=-2,regle!$J$11,
IF(AT373=regle!$B$12,regle!$B$11,
IF(AT373=regle!$C$12,regle!$C$11,
IF(AT373=regle!$D$12,regle!$D$11,
IF(AT373=regle!$E$12,regle!$E$11,
IF(AT373=regle!$F$12,regle!$F$11,
IF(AT373=regle!$G$12,regle!$G$11,
IF(AT373=regle!$H$12,regle!$H$11,
IF(AT373=regle!$I$12,regle!$I$11,""))))))))))</f>
        <v>ENT1</v>
      </c>
      <c r="AA373" t="str">
        <f>IF(NOT($A373),"",
IF(AU373=-2,regle!$J$11,
IF(AU373=regle!$B$12,regle!$B$11,
IF(AU373=regle!$C$12,regle!$C$11,
IF(AU373=regle!$D$12,regle!$D$11,
IF(AU373=regle!$E$12,regle!$E$11,
IF(AU373=regle!$F$12,regle!$F$11,
IF(AU373=regle!$G$12,regle!$G$11,
IF(AU373=regle!$H$12,regle!$H$11,
IF(AU373=regle!$I$12,regle!$I$11,""))))))))))</f>
        <v/>
      </c>
      <c r="AB373" t="str">
        <f>IF(NOT($A373),"",
IF(AV373=-2,regle!$J$11,
IF(AV373=regle!$B$12,regle!$B$11,
IF(AV373=regle!$C$12,regle!$C$11,
IF(AV373=regle!$D$12,regle!$D$11,
IF(AV373=regle!$E$12,regle!$E$11,
IF(AV373=regle!$F$12,regle!$F$11,
IF(AV373=regle!$G$12,regle!$G$11,
IF(AV373=regle!$H$12,regle!$H$11,
IF(AV373=regle!$I$12,regle!$I$11,""))))))))))</f>
        <v/>
      </c>
      <c r="AC373" t="str">
        <f>IF(NOT($A373),"",
IF(AW373=-2,regle!$J$11,
IF(AW373=regle!$B$12,regle!$B$11,
IF(AW373=regle!$C$12,regle!$C$11,
IF(AW373=regle!$D$12,regle!$D$11,
IF(AW373=regle!$E$12,regle!$E$11,
IF(AW373=regle!$F$12,regle!$F$11,
IF(AW373=regle!$G$12,regle!$G$11,
IF(AW373=regle!$H$12,regle!$H$11,
IF(AW373=regle!$I$12,regle!$I$11,""))))))))))</f>
        <v>ENT2</v>
      </c>
      <c r="AD373" t="str">
        <f>IF(NOT($A373),"",
IF(AX373=-2,regle!$J$11,
IF(AX373=regle!$B$12,regle!$B$11,
IF(AX373=regle!$C$12,regle!$C$11,
IF(AX373=regle!$D$12,regle!$D$11,
IF(AX373=regle!$E$12,regle!$E$11,
IF(AX373=regle!$F$12,regle!$F$11,
IF(AX373=regle!$G$12,regle!$G$11,
IF(AX373=regle!$H$12,regle!$H$11,
IF(AX373=regle!$I$12,regle!$I$11,""))))))))))</f>
        <v/>
      </c>
      <c r="AE373" s="14">
        <f>IF($A373,$M373*(IF(U373=regle!$B$11,regle!$B$23,IF(U373=regle!$C$11,regle!$C$23,IF(U373=regle!$D$11,regle!$D$23,IF(U373=regle!$E$11,regle!$E$23,IF(U373=regle!$F$11,regle!$F$23,IF(U373=regle!$G$11,regle!$G$23,IF(U373=regle!$H$11,regle!$H$23,IF(U373=regle!$I$11,regle!$I$23,IF(U373=regle!$J$11,regle!$J$23,0)))))))))))</f>
        <v>-5579.06</v>
      </c>
      <c r="AF373" s="14">
        <f>IF($A373,$M373*(IF(V373=regle!$B$11,regle!$B$23,IF(V373=regle!$C$11,regle!$C$23,IF(V373=regle!$D$11,regle!$D$23,IF(V373=regle!$E$11,regle!$E$23,IF(V373=regle!$F$11,regle!$F$23,IF(V373=regle!$G$11,regle!$G$23,IF(V373=regle!$H$11,regle!$H$23,IF(V373=regle!$I$11,regle!$I$23,IF(V373=regle!$J$11,regle!$J$23,0)))))))))))</f>
        <v>0</v>
      </c>
      <c r="AG373" s="14">
        <f>IF($A373,$M373*(IF(W373=regle!$B$11,regle!$B$23,IF(W373=regle!$C$11,regle!$C$23,IF(W373=regle!$D$11,regle!$D$23,IF(W373=regle!$E$11,regle!$E$23,IF(W373=regle!$F$11,regle!$F$23,IF(W373=regle!$G$11,regle!$G$23,IF(W373=regle!$H$11,regle!$H$23,IF(W373=regle!$I$11,regle!$I$23,IF(W373=regle!$J$11,regle!$J$23,0)))))))))))</f>
        <v>-246.13499999999999</v>
      </c>
      <c r="AH373" s="14">
        <f>IF($A373,$M373*(IF(X373=regle!$B$11,regle!$B$23,IF(X373=regle!$C$11,regle!$C$23,IF(X373=regle!$D$11,regle!$D$23,IF(X373=regle!$E$11,regle!$E$23,IF(X373=regle!$F$11,regle!$F$23,IF(X373=regle!$G$11,regle!$G$23,IF(X373=regle!$H$11,regle!$H$23,IF(X373=regle!$I$11,regle!$I$23,IF(X373=regle!$J$11,regle!$J$23,0)))))))))))</f>
        <v>0</v>
      </c>
      <c r="AI373" s="14">
        <f>IF($A373,$M373*(IF(Y373=regle!$B$11,regle!$B$23,IF(Y373=regle!$C$11,regle!$C$23,IF(Y373=regle!$D$11,regle!$D$23,IF(Y373=regle!$E$11,regle!$E$23,IF(Y373=regle!$F$11,regle!$F$23,IF(Y373=regle!$G$11,regle!$G$23,IF(Y373=regle!$H$11,regle!$H$23,IF(Y373=regle!$I$11,regle!$I$23,IF(Y373=regle!$J$11,regle!$J$23,0)))))))))))</f>
        <v>0</v>
      </c>
      <c r="AJ373" s="14">
        <f>IF($A373,$M373*(IF(Z373=regle!$B$11,regle!$B$23,IF(Z373=regle!$C$11,regle!$C$23,IF(Z373=regle!$D$11,regle!$D$23,IF(Z373=regle!$E$11,regle!$E$23,IF(Z373=regle!$F$11,regle!$F$23,IF(Z373=regle!$G$11,regle!$G$23,IF(Z373=regle!$H$11,regle!$H$23,IF(Z373=regle!$I$11,regle!$I$23,IF(Z373=regle!$J$11,regle!$J$23,0)))))))))))</f>
        <v>-295.36200000000002</v>
      </c>
      <c r="AK373" s="14">
        <f>IF($A373,$M373*(IF(AA373=regle!$B$11,regle!$B$23,IF(AA373=regle!$C$11,regle!$C$23,IF(AA373=regle!$D$11,regle!$D$23,IF(AA373=regle!$E$11,regle!$E$23,IF(AA373=regle!$F$11,regle!$F$23,IF(AA373=regle!$G$11,regle!$G$23,IF(AA373=regle!$H$11,regle!$H$23,IF(AA373=regle!$I$11,regle!$I$23,IF(AA373=regle!$J$11,regle!$J$23,0)))))))))))</f>
        <v>0</v>
      </c>
      <c r="AL373" s="14">
        <f>IF($A373,$M373*(IF(AB373=regle!$B$11,regle!$B$23,IF(AB373=regle!$C$11,regle!$C$23,IF(AB373=regle!$D$11,regle!$D$23,IF(AB373=regle!$E$11,regle!$E$23,IF(AB373=regle!$F$11,regle!$F$23,IF(AB373=regle!$G$11,regle!$G$23,IF(AB373=regle!$H$11,regle!$H$23,IF(AB373=regle!$I$11,regle!$I$23,IF(AB373=regle!$J$11,regle!$J$23,0)))))))))))</f>
        <v>0</v>
      </c>
      <c r="AM373" s="14">
        <f>IF($A373,$M373*(IF(AC373=regle!$B$11,regle!$B$23,IF(AC373=regle!$C$11,regle!$C$23,IF(AC373=regle!$D$11,regle!$D$23,IF(AC373=regle!$E$11,regle!$E$23,IF(AC373=regle!$F$11,regle!$F$23,IF(AC373=regle!$G$11,regle!$G$23,IF(AC373=regle!$H$11,regle!$H$23,IF(AC373=regle!$I$11,regle!$I$23,IF(AC373=regle!$J$11,regle!$J$23,0)))))))))))</f>
        <v>-295.36200000000002</v>
      </c>
      <c r="AN373" s="14">
        <f>IF($A373,$M373*(IF(AD373=regle!$B$11,regle!$B$23,IF(AD373=regle!$C$11,regle!$C$23,IF(AD373=regle!$D$11,regle!$D$23,IF(AD373=regle!$E$11,regle!$E$23,IF(AD373=regle!$F$11,regle!$F$23,IF(AD373=regle!$G$11,regle!$G$23,IF(AD373=regle!$H$11,regle!$H$23,IF(AD373=regle!$I$11,regle!$I$23,IF(AD373=regle!$J$11,regle!$J$23,0)))))))))))</f>
        <v>0</v>
      </c>
      <c r="AO373">
        <f>IF(AO$1=$AO$1,IF(regle!B$2-$Q373&gt;=regle!$J$12,-2,IF($S373,IF(regle!$B$2-$Q373&gt;=2,0,-1),regle!B$2-$Q373)),IF(AN373+1&gt;=regle!$J$12,-2,AN373+1))</f>
        <v>0</v>
      </c>
      <c r="AP373">
        <f>IF(AP$1=$AO$1,IF(regle!C$2-$Q373&gt;=regle!$J$12,-2,IF($S373,IF(regle!$B$2-$Q373&gt;=2,0,-1),regle!C$2-$Q373)),IF(AO373+1&gt;=regle!$J$12,-2,AO373+1))</f>
        <v>1</v>
      </c>
      <c r="AQ373">
        <f>IF(AQ$1=$AO$1,IF(regle!D$2-$Q373&gt;=regle!$J$12,-2,IF($S373,IF(regle!$B$2-$Q373&gt;=2,0,-1),regle!D$2-$Q373)),IF(AP373+1&gt;=regle!$J$12,-2,AP373+1))</f>
        <v>2</v>
      </c>
      <c r="AR373">
        <f>IF(AR$1=$AO$1,IF(regle!E$2-$Q373&gt;=regle!$J$12,-2,IF($S373,IF(regle!$B$2-$Q373&gt;=2,0,-1),regle!E$2-$Q373)),IF(AQ373+1&gt;=regle!$J$12,-2,AQ373+1))</f>
        <v>3</v>
      </c>
      <c r="AS373">
        <f>IF(AS$1=$AO$1,IF(regle!F$2-$Q373&gt;=regle!$J$12,-2,IF($S373,IF(regle!$B$2-$Q373&gt;=2,0,-1),regle!F$2-$Q373)),IF(AR373+1&gt;=regle!$J$12,-2,AR373+1))</f>
        <v>4</v>
      </c>
      <c r="AT373">
        <f>IF(AT$1=$AO$1,IF(regle!G$2-$Q373&gt;=regle!$J$12,-2,IF($S373,IF(regle!$B$2-$Q373&gt;=2,0,-1),regle!G$2-$Q373)),IF(AS373+1&gt;=regle!$J$12,-2,AS373+1))</f>
        <v>5</v>
      </c>
      <c r="AU373">
        <f>IF(AU$1=$AO$1,IF(regle!H$2-$Q373&gt;=regle!$J$12,-2,IF($S373,IF(regle!$B$2-$Q373&gt;=2,0,-1),regle!H$2-$Q373)),IF(AT373+1&gt;=regle!$J$12,-2,AT373+1))</f>
        <v>6</v>
      </c>
      <c r="AV373">
        <f>IF(AV$1=$AO$1,IF(regle!I$2-$Q373&gt;=regle!$J$12,-2,IF($S373,IF(regle!$B$2-$Q373&gt;=2,0,-1),regle!I$2-$Q373)),IF(AU373+1&gt;=regle!$J$12,-2,AU373+1))</f>
        <v>7</v>
      </c>
      <c r="AW373">
        <f>IF(AW$1=$AO$1,IF(regle!J$2-$Q373&gt;=regle!$J$12,-2,IF($S373,IF(regle!$B$2-$Q373&gt;=2,0,-1),regle!J$2-$Q373)),IF(AV373+1&gt;=regle!$J$12,-2,AV373+1))</f>
        <v>8</v>
      </c>
      <c r="AX373">
        <f>IF(AX$1=$AO$1,IF(regle!K$2-$Q373&gt;=regle!$J$12,-2,IF($S373,IF(regle!$B$2-$Q373&gt;=2,0,-1),regle!K$2-$Q373)),IF(AW373+1&gt;=regle!$J$12,-2,AW373+1))</f>
        <v>9</v>
      </c>
    </row>
    <row r="374" spans="1:50" x14ac:dyDescent="0.25">
      <c r="A374" t="b">
        <f>AND(modif0[[#This Row],[cdstr]]&lt;&gt;0,OR(regle!$H$27=FALSE,modif0[[#This Row],[essnc]]="PM"))</f>
        <v>1</v>
      </c>
      <c r="B374">
        <f>ROW(objet!A440)</f>
        <v>440</v>
      </c>
      <c r="C374" s="10" t="str">
        <f>objet!D440</f>
        <v>2000000N0717</v>
      </c>
      <c r="D374" t="str">
        <f>LEFT(modif0[[#This Row],[cdstr]],3)</f>
        <v>200</v>
      </c>
      <c r="E374" s="10" t="str">
        <f>objet!G440</f>
        <v>MOUSTEY</v>
      </c>
      <c r="F374">
        <f>LEN(modif0[[#This Row],[l_dt]])</f>
        <v>18</v>
      </c>
      <c r="G374" s="10" t="str">
        <f>objet!H440</f>
        <v>Quartier de Capsus</v>
      </c>
      <c r="H374" s="10" t="str">
        <f>objet!C440</f>
        <v>N717</v>
      </c>
      <c r="I374" t="str">
        <f>IF(ISNUMBER(VALUE(RIGHT(LEFT(modif0[[#This Row],[idntfn]],2),1))),_xlfn.CONCAT(0,LEFT(modif0[[#This Row],[idntfn]],1)),LEFT(modif0[[#This Row],[idntfn]],2))</f>
        <v>0N</v>
      </c>
      <c r="J374">
        <f>VALUE(LEFT(RIGHT(modif0[[#This Row],[idntfn]],LEN(modif0[[#This Row],[idntfn]])-IF(LEFT(modif0[[#This Row],[sctn]],1)="0",1,2)),LEN(modif0[[#This Row],[idntfn]])-IF(LEFT(modif0[[#This Row],[sctn]],1)="0",1,2)-LEN(modif0[[#This Row],[lttr]])))</f>
        <v>717</v>
      </c>
      <c r="K374" t="str">
        <f>IF(ISNUMBER(VALUE(RIGHT(modif0[[#This Row],[idntfn]],1))),"",IF(ISNUMBER(VALUE(LEFT(RIGHT(modif0[[#This Row],[idntfn]],2),1))),RIGHT(modif0[[#This Row],[idntfn]],1),RIGHT(modif0[[#This Row],[idntfn]],2)))</f>
        <v/>
      </c>
      <c r="L374" s="10">
        <f>objet!I440</f>
        <v>8588</v>
      </c>
      <c r="M374" s="11">
        <f>modif0[[#This Row],[srfc]]/10000</f>
        <v>0.85880000000000001</v>
      </c>
      <c r="N374" s="10" t="str">
        <f>objet!Z440</f>
        <v>PM</v>
      </c>
      <c r="O374" s="10" t="str">
        <f>objet!AA440</f>
        <v>CR2019</v>
      </c>
      <c r="P374" t="str">
        <f>IF(ISNUMBER(modif0[[#This Row],[trvx]]),"",LEFT(modif0[[#This Row],[trvx]],LEN(modif0[[#This Row],[trvx]])-4))</f>
        <v>CR</v>
      </c>
      <c r="Q374">
        <f>VALUE(RIGHT(modif0[[#This Row],[trvx]],4))</f>
        <v>2019</v>
      </c>
      <c r="R374" t="str">
        <f>_xlfn.CONCAT(modif0[[#This Row],[tp]],"-",modif0[[#This Row],[essnc]],"_",modif0[[#This Row],[anns]])</f>
        <v>CR-PM_2019</v>
      </c>
      <c r="S374" t="b">
        <f>modif0[[#This Row],[tp]]="CR"</f>
        <v>1</v>
      </c>
      <c r="T374">
        <v>40</v>
      </c>
      <c r="U374" t="str">
        <f>IF(NOT($A374),"",
IF(AO374=-2,regle!$J$11,
IF(AO374=regle!$B$12,regle!$B$11,
IF(AO374=regle!$C$12,regle!$C$11,
IF(AO374=regle!$D$12,regle!$D$11,
IF(AO374=regle!$E$12,regle!$E$11,
IF(AO374=regle!$F$12,regle!$F$11,
IF(AO374=regle!$G$12,regle!$G$11,
IF(AO374=regle!$H$12,regle!$H$11,
IF(AO374=regle!$I$12,regle!$I$11,""))))))))))</f>
        <v>RBST</v>
      </c>
      <c r="V374" t="str">
        <f>IF(NOT($A374),"",
IF(AP374=-2,regle!$J$11,
IF(AP374=regle!$B$12,regle!$B$11,
IF(AP374=regle!$C$12,regle!$C$11,
IF(AP374=regle!$D$12,regle!$D$11,
IF(AP374=regle!$E$12,regle!$E$11,
IF(AP374=regle!$F$12,regle!$F$11,
IF(AP374=regle!$G$12,regle!$G$11,
IF(AP374=regle!$H$12,regle!$H$11,
IF(AP374=regle!$I$12,regle!$I$11,""))))))))))</f>
        <v/>
      </c>
      <c r="W374" t="str">
        <f>IF(NOT($A374),"",
IF(AQ374=-2,regle!$J$11,
IF(AQ374=regle!$B$12,regle!$B$11,
IF(AQ374=regle!$C$12,regle!$C$11,
IF(AQ374=regle!$D$12,regle!$D$11,
IF(AQ374=regle!$E$12,regle!$E$11,
IF(AQ374=regle!$F$12,regle!$F$11,
IF(AQ374=regle!$G$12,regle!$G$11,
IF(AQ374=regle!$H$12,regle!$H$11,
IF(AQ374=regle!$I$12,regle!$I$11,""))))))))))</f>
        <v>DGT</v>
      </c>
      <c r="X374" t="str">
        <f>IF(NOT($A374),"",
IF(AR374=-2,regle!$J$11,
IF(AR374=regle!$B$12,regle!$B$11,
IF(AR374=regle!$C$12,regle!$C$11,
IF(AR374=regle!$D$12,regle!$D$11,
IF(AR374=regle!$E$12,regle!$E$11,
IF(AR374=regle!$F$12,regle!$F$11,
IF(AR374=regle!$G$12,regle!$G$11,
IF(AR374=regle!$H$12,regle!$H$11,
IF(AR374=regle!$I$12,regle!$I$11,""))))))))))</f>
        <v/>
      </c>
      <c r="Y374" t="str">
        <f>IF(NOT($A374),"",
IF(AS374=-2,regle!$J$11,
IF(AS374=regle!$B$12,regle!$B$11,
IF(AS374=regle!$C$12,regle!$C$11,
IF(AS374=regle!$D$12,regle!$D$11,
IF(AS374=regle!$E$12,regle!$E$11,
IF(AS374=regle!$F$12,regle!$F$11,
IF(AS374=regle!$G$12,regle!$G$11,
IF(AS374=regle!$H$12,regle!$H$11,
IF(AS374=regle!$I$12,regle!$I$11,""))))))))))</f>
        <v/>
      </c>
      <c r="Z374" t="str">
        <f>IF(NOT($A374),"",
IF(AT374=-2,regle!$J$11,
IF(AT374=regle!$B$12,regle!$B$11,
IF(AT374=regle!$C$12,regle!$C$11,
IF(AT374=regle!$D$12,regle!$D$11,
IF(AT374=regle!$E$12,regle!$E$11,
IF(AT374=regle!$F$12,regle!$F$11,
IF(AT374=regle!$G$12,regle!$G$11,
IF(AT374=regle!$H$12,regle!$H$11,
IF(AT374=regle!$I$12,regle!$I$11,""))))))))))</f>
        <v>ENT1</v>
      </c>
      <c r="AA374" t="str">
        <f>IF(NOT($A374),"",
IF(AU374=-2,regle!$J$11,
IF(AU374=regle!$B$12,regle!$B$11,
IF(AU374=regle!$C$12,regle!$C$11,
IF(AU374=regle!$D$12,regle!$D$11,
IF(AU374=regle!$E$12,regle!$E$11,
IF(AU374=regle!$F$12,regle!$F$11,
IF(AU374=regle!$G$12,regle!$G$11,
IF(AU374=regle!$H$12,regle!$H$11,
IF(AU374=regle!$I$12,regle!$I$11,""))))))))))</f>
        <v/>
      </c>
      <c r="AB374" t="str">
        <f>IF(NOT($A374),"",
IF(AV374=-2,regle!$J$11,
IF(AV374=regle!$B$12,regle!$B$11,
IF(AV374=regle!$C$12,regle!$C$11,
IF(AV374=regle!$D$12,regle!$D$11,
IF(AV374=regle!$E$12,regle!$E$11,
IF(AV374=regle!$F$12,regle!$F$11,
IF(AV374=regle!$G$12,regle!$G$11,
IF(AV374=regle!$H$12,regle!$H$11,
IF(AV374=regle!$I$12,regle!$I$11,""))))))))))</f>
        <v/>
      </c>
      <c r="AC374" t="str">
        <f>IF(NOT($A374),"",
IF(AW374=-2,regle!$J$11,
IF(AW374=regle!$B$12,regle!$B$11,
IF(AW374=regle!$C$12,regle!$C$11,
IF(AW374=regle!$D$12,regle!$D$11,
IF(AW374=regle!$E$12,regle!$E$11,
IF(AW374=regle!$F$12,regle!$F$11,
IF(AW374=regle!$G$12,regle!$G$11,
IF(AW374=regle!$H$12,regle!$H$11,
IF(AW374=regle!$I$12,regle!$I$11,""))))))))))</f>
        <v>ENT2</v>
      </c>
      <c r="AD374" t="str">
        <f>IF(NOT($A374),"",
IF(AX374=-2,regle!$J$11,
IF(AX374=regle!$B$12,regle!$B$11,
IF(AX374=regle!$C$12,regle!$C$11,
IF(AX374=regle!$D$12,regle!$D$11,
IF(AX374=regle!$E$12,regle!$E$11,
IF(AX374=regle!$F$12,regle!$F$11,
IF(AX374=regle!$G$12,regle!$G$11,
IF(AX374=regle!$H$12,regle!$H$11,
IF(AX374=regle!$I$12,regle!$I$11,""))))))))))</f>
        <v/>
      </c>
      <c r="AE374" s="14">
        <f>IF($A374,$M374*(IF(U374=regle!$B$11,regle!$B$23,IF(U374=regle!$C$11,regle!$C$23,IF(U374=regle!$D$11,regle!$D$23,IF(U374=regle!$E$11,regle!$E$23,IF(U374=regle!$F$11,regle!$F$23,IF(U374=regle!$G$11,regle!$G$23,IF(U374=regle!$H$11,regle!$H$23,IF(U374=regle!$I$11,regle!$I$23,IF(U374=regle!$J$11,regle!$J$23,0)))))))))))</f>
        <v>-1459.96</v>
      </c>
      <c r="AF374" s="14">
        <f>IF($A374,$M374*(IF(V374=regle!$B$11,regle!$B$23,IF(V374=regle!$C$11,regle!$C$23,IF(V374=regle!$D$11,regle!$D$23,IF(V374=regle!$E$11,regle!$E$23,IF(V374=regle!$F$11,regle!$F$23,IF(V374=regle!$G$11,regle!$G$23,IF(V374=regle!$H$11,regle!$H$23,IF(V374=regle!$I$11,regle!$I$23,IF(V374=regle!$J$11,regle!$J$23,0)))))))))))</f>
        <v>0</v>
      </c>
      <c r="AG374" s="14">
        <f>IF($A374,$M374*(IF(W374=regle!$B$11,regle!$B$23,IF(W374=regle!$C$11,regle!$C$23,IF(W374=regle!$D$11,regle!$D$23,IF(W374=regle!$E$11,regle!$E$23,IF(W374=regle!$F$11,regle!$F$23,IF(W374=regle!$G$11,regle!$G$23,IF(W374=regle!$H$11,regle!$H$23,IF(W374=regle!$I$11,regle!$I$23,IF(W374=regle!$J$11,regle!$J$23,0)))))))))))</f>
        <v>-64.41</v>
      </c>
      <c r="AH374" s="14">
        <f>IF($A374,$M374*(IF(X374=regle!$B$11,regle!$B$23,IF(X374=regle!$C$11,regle!$C$23,IF(X374=regle!$D$11,regle!$D$23,IF(X374=regle!$E$11,regle!$E$23,IF(X374=regle!$F$11,regle!$F$23,IF(X374=regle!$G$11,regle!$G$23,IF(X374=regle!$H$11,regle!$H$23,IF(X374=regle!$I$11,regle!$I$23,IF(X374=regle!$J$11,regle!$J$23,0)))))))))))</f>
        <v>0</v>
      </c>
      <c r="AI374" s="14">
        <f>IF($A374,$M374*(IF(Y374=regle!$B$11,regle!$B$23,IF(Y374=regle!$C$11,regle!$C$23,IF(Y374=regle!$D$11,regle!$D$23,IF(Y374=regle!$E$11,regle!$E$23,IF(Y374=regle!$F$11,regle!$F$23,IF(Y374=regle!$G$11,regle!$G$23,IF(Y374=regle!$H$11,regle!$H$23,IF(Y374=regle!$I$11,regle!$I$23,IF(Y374=regle!$J$11,regle!$J$23,0)))))))))))</f>
        <v>0</v>
      </c>
      <c r="AJ374" s="14">
        <f>IF($A374,$M374*(IF(Z374=regle!$B$11,regle!$B$23,IF(Z374=regle!$C$11,regle!$C$23,IF(Z374=regle!$D$11,regle!$D$23,IF(Z374=regle!$E$11,regle!$E$23,IF(Z374=regle!$F$11,regle!$F$23,IF(Z374=regle!$G$11,regle!$G$23,IF(Z374=regle!$H$11,regle!$H$23,IF(Z374=regle!$I$11,regle!$I$23,IF(Z374=regle!$J$11,regle!$J$23,0)))))))))))</f>
        <v>-77.292000000000002</v>
      </c>
      <c r="AK374" s="14">
        <f>IF($A374,$M374*(IF(AA374=regle!$B$11,regle!$B$23,IF(AA374=regle!$C$11,regle!$C$23,IF(AA374=regle!$D$11,regle!$D$23,IF(AA374=regle!$E$11,regle!$E$23,IF(AA374=regle!$F$11,regle!$F$23,IF(AA374=regle!$G$11,regle!$G$23,IF(AA374=regle!$H$11,regle!$H$23,IF(AA374=regle!$I$11,regle!$I$23,IF(AA374=regle!$J$11,regle!$J$23,0)))))))))))</f>
        <v>0</v>
      </c>
      <c r="AL374" s="14">
        <f>IF($A374,$M374*(IF(AB374=regle!$B$11,regle!$B$23,IF(AB374=regle!$C$11,regle!$C$23,IF(AB374=regle!$D$11,regle!$D$23,IF(AB374=regle!$E$11,regle!$E$23,IF(AB374=regle!$F$11,regle!$F$23,IF(AB374=regle!$G$11,regle!$G$23,IF(AB374=regle!$H$11,regle!$H$23,IF(AB374=regle!$I$11,regle!$I$23,IF(AB374=regle!$J$11,regle!$J$23,0)))))))))))</f>
        <v>0</v>
      </c>
      <c r="AM374" s="14">
        <f>IF($A374,$M374*(IF(AC374=regle!$B$11,regle!$B$23,IF(AC374=regle!$C$11,regle!$C$23,IF(AC374=regle!$D$11,regle!$D$23,IF(AC374=regle!$E$11,regle!$E$23,IF(AC374=regle!$F$11,regle!$F$23,IF(AC374=regle!$G$11,regle!$G$23,IF(AC374=regle!$H$11,regle!$H$23,IF(AC374=regle!$I$11,regle!$I$23,IF(AC374=regle!$J$11,regle!$J$23,0)))))))))))</f>
        <v>-77.292000000000002</v>
      </c>
      <c r="AN374" s="14">
        <f>IF($A374,$M374*(IF(AD374=regle!$B$11,regle!$B$23,IF(AD374=regle!$C$11,regle!$C$23,IF(AD374=regle!$D$11,regle!$D$23,IF(AD374=regle!$E$11,regle!$E$23,IF(AD374=regle!$F$11,regle!$F$23,IF(AD374=regle!$G$11,regle!$G$23,IF(AD374=regle!$H$11,regle!$H$23,IF(AD374=regle!$I$11,regle!$I$23,IF(AD374=regle!$J$11,regle!$J$23,0)))))))))))</f>
        <v>0</v>
      </c>
      <c r="AO374">
        <f>IF(AO$1=$AO$1,IF(regle!B$2-$Q374&gt;=regle!$J$12,-2,IF($S374,IF(regle!$B$2-$Q374&gt;=2,0,-1),regle!B$2-$Q374)),IF(AN374+1&gt;=regle!$J$12,-2,AN374+1))</f>
        <v>0</v>
      </c>
      <c r="AP374">
        <f>IF(AP$1=$AO$1,IF(regle!C$2-$Q374&gt;=regle!$J$12,-2,IF($S374,IF(regle!$B$2-$Q374&gt;=2,0,-1),regle!C$2-$Q374)),IF(AO374+1&gt;=regle!$J$12,-2,AO374+1))</f>
        <v>1</v>
      </c>
      <c r="AQ374">
        <f>IF(AQ$1=$AO$1,IF(regle!D$2-$Q374&gt;=regle!$J$12,-2,IF($S374,IF(regle!$B$2-$Q374&gt;=2,0,-1),regle!D$2-$Q374)),IF(AP374+1&gt;=regle!$J$12,-2,AP374+1))</f>
        <v>2</v>
      </c>
      <c r="AR374">
        <f>IF(AR$1=$AO$1,IF(regle!E$2-$Q374&gt;=regle!$J$12,-2,IF($S374,IF(regle!$B$2-$Q374&gt;=2,0,-1),regle!E$2-$Q374)),IF(AQ374+1&gt;=regle!$J$12,-2,AQ374+1))</f>
        <v>3</v>
      </c>
      <c r="AS374">
        <f>IF(AS$1=$AO$1,IF(regle!F$2-$Q374&gt;=regle!$J$12,-2,IF($S374,IF(regle!$B$2-$Q374&gt;=2,0,-1),regle!F$2-$Q374)),IF(AR374+1&gt;=regle!$J$12,-2,AR374+1))</f>
        <v>4</v>
      </c>
      <c r="AT374">
        <f>IF(AT$1=$AO$1,IF(regle!G$2-$Q374&gt;=regle!$J$12,-2,IF($S374,IF(regle!$B$2-$Q374&gt;=2,0,-1),regle!G$2-$Q374)),IF(AS374+1&gt;=regle!$J$12,-2,AS374+1))</f>
        <v>5</v>
      </c>
      <c r="AU374">
        <f>IF(AU$1=$AO$1,IF(regle!H$2-$Q374&gt;=regle!$J$12,-2,IF($S374,IF(regle!$B$2-$Q374&gt;=2,0,-1),regle!H$2-$Q374)),IF(AT374+1&gt;=regle!$J$12,-2,AT374+1))</f>
        <v>6</v>
      </c>
      <c r="AV374">
        <f>IF(AV$1=$AO$1,IF(regle!I$2-$Q374&gt;=regle!$J$12,-2,IF($S374,IF(regle!$B$2-$Q374&gt;=2,0,-1),regle!I$2-$Q374)),IF(AU374+1&gt;=regle!$J$12,-2,AU374+1))</f>
        <v>7</v>
      </c>
      <c r="AW374">
        <f>IF(AW$1=$AO$1,IF(regle!J$2-$Q374&gt;=regle!$J$12,-2,IF($S374,IF(regle!$B$2-$Q374&gt;=2,0,-1),regle!J$2-$Q374)),IF(AV374+1&gt;=regle!$J$12,-2,AV374+1))</f>
        <v>8</v>
      </c>
      <c r="AX374">
        <f>IF(AX$1=$AO$1,IF(regle!K$2-$Q374&gt;=regle!$J$12,-2,IF($S374,IF(regle!$B$2-$Q374&gt;=2,0,-1),regle!K$2-$Q374)),IF(AW374+1&gt;=regle!$J$12,-2,AW374+1))</f>
        <v>9</v>
      </c>
    </row>
    <row r="375" spans="1:50" x14ac:dyDescent="0.25">
      <c r="A375" t="b">
        <f>AND(modif0[[#This Row],[cdstr]]&lt;&gt;0,OR(regle!$H$27=FALSE,modif0[[#This Row],[essnc]]="PM"))</f>
        <v>1</v>
      </c>
      <c r="B375">
        <f>ROW(objet!A441)</f>
        <v>441</v>
      </c>
      <c r="C375" s="10" t="str">
        <f>objet!D441</f>
        <v>2000000N0762</v>
      </c>
      <c r="D375" t="str">
        <f>LEFT(modif0[[#This Row],[cdstr]],3)</f>
        <v>200</v>
      </c>
      <c r="E375" s="10" t="str">
        <f>objet!G441</f>
        <v>MOUSTEY</v>
      </c>
      <c r="F375">
        <f>LEN(modif0[[#This Row],[l_dt]])</f>
        <v>18</v>
      </c>
      <c r="G375" s="10" t="str">
        <f>objet!H441</f>
        <v>Quartier de Capsus</v>
      </c>
      <c r="H375" s="10" t="str">
        <f>objet!C441</f>
        <v>N762</v>
      </c>
      <c r="I375" t="str">
        <f>IF(ISNUMBER(VALUE(RIGHT(LEFT(modif0[[#This Row],[idntfn]],2),1))),_xlfn.CONCAT(0,LEFT(modif0[[#This Row],[idntfn]],1)),LEFT(modif0[[#This Row],[idntfn]],2))</f>
        <v>0N</v>
      </c>
      <c r="J375">
        <f>VALUE(LEFT(RIGHT(modif0[[#This Row],[idntfn]],LEN(modif0[[#This Row],[idntfn]])-IF(LEFT(modif0[[#This Row],[sctn]],1)="0",1,2)),LEN(modif0[[#This Row],[idntfn]])-IF(LEFT(modif0[[#This Row],[sctn]],1)="0",1,2)-LEN(modif0[[#This Row],[lttr]])))</f>
        <v>762</v>
      </c>
      <c r="K375" t="str">
        <f>IF(ISNUMBER(VALUE(RIGHT(modif0[[#This Row],[idntfn]],1))),"",IF(ISNUMBER(VALUE(LEFT(RIGHT(modif0[[#This Row],[idntfn]],2),1))),RIGHT(modif0[[#This Row],[idntfn]],1),RIGHT(modif0[[#This Row],[idntfn]],2)))</f>
        <v/>
      </c>
      <c r="L375" s="10">
        <f>objet!I441</f>
        <v>49961</v>
      </c>
      <c r="M375" s="11">
        <f>modif0[[#This Row],[srfc]]/10000</f>
        <v>4.9961000000000002</v>
      </c>
      <c r="N375" s="10" t="str">
        <f>objet!Z441</f>
        <v>PM</v>
      </c>
      <c r="O375" s="10" t="str">
        <f>objet!AA441</f>
        <v>PLA2017</v>
      </c>
      <c r="P375" t="str">
        <f>IF(ISNUMBER(modif0[[#This Row],[trvx]]),"",LEFT(modif0[[#This Row],[trvx]],LEN(modif0[[#This Row],[trvx]])-4))</f>
        <v>PLA</v>
      </c>
      <c r="Q375">
        <f>VALUE(RIGHT(modif0[[#This Row],[trvx]],4))</f>
        <v>2017</v>
      </c>
      <c r="R375" t="str">
        <f>_xlfn.CONCAT(modif0[[#This Row],[tp]],"-",modif0[[#This Row],[essnc]],"_",modif0[[#This Row],[anns]])</f>
        <v>PLA-PM_2017</v>
      </c>
      <c r="S375" t="b">
        <f>modif0[[#This Row],[tp]]="CR"</f>
        <v>0</v>
      </c>
      <c r="T375">
        <v>40</v>
      </c>
      <c r="U375" t="str">
        <f>IF(NOT($A375),"",
IF(AO375=-2,regle!$J$11,
IF(AO375=regle!$B$12,regle!$B$11,
IF(AO375=regle!$C$12,regle!$C$11,
IF(AO375=regle!$D$12,regle!$D$11,
IF(AO375=regle!$E$12,regle!$E$11,
IF(AO375=regle!$F$12,regle!$F$11,
IF(AO375=regle!$G$12,regle!$G$11,
IF(AO375=regle!$H$12,regle!$H$11,
IF(AO375=regle!$I$12,regle!$I$11,""))))))))))</f>
        <v/>
      </c>
      <c r="V375" t="str">
        <f>IF(NOT($A375),"",
IF(AP375=-2,regle!$J$11,
IF(AP375=regle!$B$12,regle!$B$11,
IF(AP375=regle!$C$12,regle!$C$11,
IF(AP375=regle!$D$12,regle!$D$11,
IF(AP375=regle!$E$12,regle!$E$11,
IF(AP375=regle!$F$12,regle!$F$11,
IF(AP375=regle!$G$12,regle!$G$11,
IF(AP375=regle!$H$12,regle!$H$11,
IF(AP375=regle!$I$12,regle!$I$11,""))))))))))</f>
        <v>ENT2</v>
      </c>
      <c r="W375" t="str">
        <f>IF(NOT($A375),"",
IF(AQ375=-2,regle!$J$11,
IF(AQ375=regle!$B$12,regle!$B$11,
IF(AQ375=regle!$C$12,regle!$C$11,
IF(AQ375=regle!$D$12,regle!$D$11,
IF(AQ375=regle!$E$12,regle!$E$11,
IF(AQ375=regle!$F$12,regle!$F$11,
IF(AQ375=regle!$G$12,regle!$G$11,
IF(AQ375=regle!$H$12,regle!$H$11,
IF(AQ375=regle!$I$12,regle!$I$11,""))))))))))</f>
        <v/>
      </c>
      <c r="X375" t="str">
        <f>IF(NOT($A375),"",
IF(AR375=-2,regle!$J$11,
IF(AR375=regle!$B$12,regle!$B$11,
IF(AR375=regle!$C$12,regle!$C$11,
IF(AR375=regle!$D$12,regle!$D$11,
IF(AR375=regle!$E$12,regle!$E$11,
IF(AR375=regle!$F$12,regle!$F$11,
IF(AR375=regle!$G$12,regle!$G$11,
IF(AR375=regle!$H$12,regle!$H$11,
IF(AR375=regle!$I$12,regle!$I$11,""))))))))))</f>
        <v/>
      </c>
      <c r="Y375" t="str">
        <f>IF(NOT($A375),"",
IF(AS375=-2,regle!$J$11,
IF(AS375=regle!$B$12,regle!$B$11,
IF(AS375=regle!$C$12,regle!$C$11,
IF(AS375=regle!$D$12,regle!$D$11,
IF(AS375=regle!$E$12,regle!$E$11,
IF(AS375=regle!$F$12,regle!$F$11,
IF(AS375=regle!$G$12,regle!$G$11,
IF(AS375=regle!$H$12,regle!$H$11,
IF(AS375=regle!$I$12,regle!$I$11,""))))))))))</f>
        <v/>
      </c>
      <c r="Z375" t="str">
        <f>IF(NOT($A375),"",
IF(AT375=-2,regle!$J$11,
IF(AT375=regle!$B$12,regle!$B$11,
IF(AT375=regle!$C$12,regle!$C$11,
IF(AT375=regle!$D$12,regle!$D$11,
IF(AT375=regle!$E$12,regle!$E$11,
IF(AT375=regle!$F$12,regle!$F$11,
IF(AT375=regle!$G$12,regle!$G$11,
IF(AT375=regle!$H$12,regle!$H$11,
IF(AT375=regle!$I$12,regle!$I$11,""))))))))))</f>
        <v/>
      </c>
      <c r="AA375" t="str">
        <f>IF(NOT($A375),"",
IF(AU375=-2,regle!$J$11,
IF(AU375=regle!$B$12,regle!$B$11,
IF(AU375=regle!$C$12,regle!$C$11,
IF(AU375=regle!$D$12,regle!$D$11,
IF(AU375=regle!$E$12,regle!$E$11,
IF(AU375=regle!$F$12,regle!$F$11,
IF(AU375=regle!$G$12,regle!$G$11,
IF(AU375=regle!$H$12,regle!$H$11,
IF(AU375=regle!$I$12,regle!$I$11,""))))))))))</f>
        <v>EC1</v>
      </c>
      <c r="AB375" t="str">
        <f>IF(NOT($A375),"",
IF(AV375=-2,regle!$J$11,
IF(AV375=regle!$B$12,regle!$B$11,
IF(AV375=regle!$C$12,regle!$C$11,
IF(AV375=regle!$D$12,regle!$D$11,
IF(AV375=regle!$E$12,regle!$E$11,
IF(AV375=regle!$F$12,regle!$F$11,
IF(AV375=regle!$G$12,regle!$G$11,
IF(AV375=regle!$H$12,regle!$H$11,
IF(AV375=regle!$I$12,regle!$I$11,""))))))))))</f>
        <v/>
      </c>
      <c r="AC375" t="str">
        <f>IF(NOT($A375),"",
IF(AW375=-2,regle!$J$11,
IF(AW375=regle!$B$12,regle!$B$11,
IF(AW375=regle!$C$12,regle!$C$11,
IF(AW375=regle!$D$12,regle!$D$11,
IF(AW375=regle!$E$12,regle!$E$11,
IF(AW375=regle!$F$12,regle!$F$11,
IF(AW375=regle!$G$12,regle!$G$11,
IF(AW375=regle!$H$12,regle!$H$11,
IF(AW375=regle!$I$12,regle!$I$11,""))))))))))</f>
        <v/>
      </c>
      <c r="AD375" t="str">
        <f>IF(NOT($A375),"",
IF(AX375=-2,regle!$J$11,
IF(AX375=regle!$B$12,regle!$B$11,
IF(AX375=regle!$C$12,regle!$C$11,
IF(AX375=regle!$D$12,regle!$D$11,
IF(AX375=regle!$E$12,regle!$E$11,
IF(AX375=regle!$F$12,regle!$F$11,
IF(AX375=regle!$G$12,regle!$G$11,
IF(AX375=regle!$H$12,regle!$H$11,
IF(AX375=regle!$I$12,regle!$I$11,""))))))))))</f>
        <v/>
      </c>
      <c r="AE375" s="14">
        <f>IF($A375,$M375*(IF(U375=regle!$B$11,regle!$B$23,IF(U375=regle!$C$11,regle!$C$23,IF(U375=regle!$D$11,regle!$D$23,IF(U375=regle!$E$11,regle!$E$23,IF(U375=regle!$F$11,regle!$F$23,IF(U375=regle!$G$11,regle!$G$23,IF(U375=regle!$H$11,regle!$H$23,IF(U375=regle!$I$11,regle!$I$23,IF(U375=regle!$J$11,regle!$J$23,0)))))))))))</f>
        <v>0</v>
      </c>
      <c r="AF375" s="14">
        <f>IF($A375,$M375*(IF(V375=regle!$B$11,regle!$B$23,IF(V375=regle!$C$11,regle!$C$23,IF(V375=regle!$D$11,regle!$D$23,IF(V375=regle!$E$11,regle!$E$23,IF(V375=regle!$F$11,regle!$F$23,IF(V375=regle!$G$11,regle!$G$23,IF(V375=regle!$H$11,regle!$H$23,IF(V375=regle!$I$11,regle!$I$23,IF(V375=regle!$J$11,regle!$J$23,0)))))))))))</f>
        <v>-449.649</v>
      </c>
      <c r="AG375" s="14">
        <f>IF($A375,$M375*(IF(W375=regle!$B$11,regle!$B$23,IF(W375=regle!$C$11,regle!$C$23,IF(W375=regle!$D$11,regle!$D$23,IF(W375=regle!$E$11,regle!$E$23,IF(W375=regle!$F$11,regle!$F$23,IF(W375=regle!$G$11,regle!$G$23,IF(W375=regle!$H$11,regle!$H$23,IF(W375=regle!$I$11,regle!$I$23,IF(W375=regle!$J$11,regle!$J$23,0)))))))))))</f>
        <v>0</v>
      </c>
      <c r="AH375" s="14">
        <f>IF($A375,$M375*(IF(X375=regle!$B$11,regle!$B$23,IF(X375=regle!$C$11,regle!$C$23,IF(X375=regle!$D$11,regle!$D$23,IF(X375=regle!$E$11,regle!$E$23,IF(X375=regle!$F$11,regle!$F$23,IF(X375=regle!$G$11,regle!$G$23,IF(X375=regle!$H$11,regle!$H$23,IF(X375=regle!$I$11,regle!$I$23,IF(X375=regle!$J$11,regle!$J$23,0)))))))))))</f>
        <v>0</v>
      </c>
      <c r="AI375" s="14">
        <f>IF($A375,$M375*(IF(Y375=regle!$B$11,regle!$B$23,IF(Y375=regle!$C$11,regle!$C$23,IF(Y375=regle!$D$11,regle!$D$23,IF(Y375=regle!$E$11,regle!$E$23,IF(Y375=regle!$F$11,regle!$F$23,IF(Y375=regle!$G$11,regle!$G$23,IF(Y375=regle!$H$11,regle!$H$23,IF(Y375=regle!$I$11,regle!$I$23,IF(Y375=regle!$J$11,regle!$J$23,0)))))))))))</f>
        <v>0</v>
      </c>
      <c r="AJ375" s="14">
        <f>IF($A375,$M375*(IF(Z375=regle!$B$11,regle!$B$23,IF(Z375=regle!$C$11,regle!$C$23,IF(Z375=regle!$D$11,regle!$D$23,IF(Z375=regle!$E$11,regle!$E$23,IF(Z375=regle!$F$11,regle!$F$23,IF(Z375=regle!$G$11,regle!$G$23,IF(Z375=regle!$H$11,regle!$H$23,IF(Z375=regle!$I$11,regle!$I$23,IF(Z375=regle!$J$11,regle!$J$23,0)))))))))))</f>
        <v>0</v>
      </c>
      <c r="AK375" s="14">
        <f>IF($A375,$M375*(IF(AA375=regle!$B$11,regle!$B$23,IF(AA375=regle!$C$11,regle!$C$23,IF(AA375=regle!$D$11,regle!$D$23,IF(AA375=regle!$E$11,regle!$E$23,IF(AA375=regle!$F$11,regle!$F$23,IF(AA375=regle!$G$11,regle!$G$23,IF(AA375=regle!$H$11,regle!$H$23,IF(AA375=regle!$I$11,regle!$I$23,IF(AA375=regle!$J$11,regle!$J$23,0)))))))))))</f>
        <v>2877.7536</v>
      </c>
      <c r="AL375" s="14">
        <f>IF($A375,$M375*(IF(AB375=regle!$B$11,regle!$B$23,IF(AB375=regle!$C$11,regle!$C$23,IF(AB375=regle!$D$11,regle!$D$23,IF(AB375=regle!$E$11,regle!$E$23,IF(AB375=regle!$F$11,regle!$F$23,IF(AB375=regle!$G$11,regle!$G$23,IF(AB375=regle!$H$11,regle!$H$23,IF(AB375=regle!$I$11,regle!$I$23,IF(AB375=regle!$J$11,regle!$J$23,0)))))))))))</f>
        <v>0</v>
      </c>
      <c r="AM375" s="14">
        <f>IF($A375,$M375*(IF(AC375=regle!$B$11,regle!$B$23,IF(AC375=regle!$C$11,regle!$C$23,IF(AC375=regle!$D$11,regle!$D$23,IF(AC375=regle!$E$11,regle!$E$23,IF(AC375=regle!$F$11,regle!$F$23,IF(AC375=regle!$G$11,regle!$G$23,IF(AC375=regle!$H$11,regle!$H$23,IF(AC375=regle!$I$11,regle!$I$23,IF(AC375=regle!$J$11,regle!$J$23,0)))))))))))</f>
        <v>0</v>
      </c>
      <c r="AN375" s="14">
        <f>IF($A375,$M375*(IF(AD375=regle!$B$11,regle!$B$23,IF(AD375=regle!$C$11,regle!$C$23,IF(AD375=regle!$D$11,regle!$D$23,IF(AD375=regle!$E$11,regle!$E$23,IF(AD375=regle!$F$11,regle!$F$23,IF(AD375=regle!$G$11,regle!$G$23,IF(AD375=regle!$H$11,regle!$H$23,IF(AD375=regle!$I$11,regle!$I$23,IF(AD375=regle!$J$11,regle!$J$23,0)))))))))))</f>
        <v>0</v>
      </c>
      <c r="AO375">
        <f>IF(AO$1=$AO$1,IF(regle!B$2-$Q375&gt;=regle!$J$12,-2,IF($S375,IF(regle!$B$2-$Q375&gt;=2,0,-1),regle!B$2-$Q375)),IF(AN375+1&gt;=regle!$J$12,-2,AN375+1))</f>
        <v>7</v>
      </c>
      <c r="AP375">
        <f>IF(AP$1=$AO$1,IF(regle!C$2-$Q375&gt;=regle!$J$12,-2,IF($S375,IF(regle!$B$2-$Q375&gt;=2,0,-1),regle!C$2-$Q375)),IF(AO375+1&gt;=regle!$J$12,-2,AO375+1))</f>
        <v>8</v>
      </c>
      <c r="AQ375">
        <f>IF(AQ$1=$AO$1,IF(regle!D$2-$Q375&gt;=regle!$J$12,-2,IF($S375,IF(regle!$B$2-$Q375&gt;=2,0,-1),regle!D$2-$Q375)),IF(AP375+1&gt;=regle!$J$12,-2,AP375+1))</f>
        <v>9</v>
      </c>
      <c r="AR375">
        <f>IF(AR$1=$AO$1,IF(regle!E$2-$Q375&gt;=regle!$J$12,-2,IF($S375,IF(regle!$B$2-$Q375&gt;=2,0,-1),regle!E$2-$Q375)),IF(AQ375+1&gt;=regle!$J$12,-2,AQ375+1))</f>
        <v>10</v>
      </c>
      <c r="AS375">
        <f>IF(AS$1=$AO$1,IF(regle!F$2-$Q375&gt;=regle!$J$12,-2,IF($S375,IF(regle!$B$2-$Q375&gt;=2,0,-1),regle!F$2-$Q375)),IF(AR375+1&gt;=regle!$J$12,-2,AR375+1))</f>
        <v>11</v>
      </c>
      <c r="AT375">
        <f>IF(AT$1=$AO$1,IF(regle!G$2-$Q375&gt;=regle!$J$12,-2,IF($S375,IF(regle!$B$2-$Q375&gt;=2,0,-1),regle!G$2-$Q375)),IF(AS375+1&gt;=regle!$J$12,-2,AS375+1))</f>
        <v>12</v>
      </c>
      <c r="AU375">
        <f>IF(AU$1=$AO$1,IF(regle!H$2-$Q375&gt;=regle!$J$12,-2,IF($S375,IF(regle!$B$2-$Q375&gt;=2,0,-1),regle!H$2-$Q375)),IF(AT375+1&gt;=regle!$J$12,-2,AT375+1))</f>
        <v>13</v>
      </c>
      <c r="AV375">
        <f>IF(AV$1=$AO$1,IF(regle!I$2-$Q375&gt;=regle!$J$12,-2,IF($S375,IF(regle!$B$2-$Q375&gt;=2,0,-1),regle!I$2-$Q375)),IF(AU375+1&gt;=regle!$J$12,-2,AU375+1))</f>
        <v>14</v>
      </c>
      <c r="AW375">
        <f>IF(AW$1=$AO$1,IF(regle!J$2-$Q375&gt;=regle!$J$12,-2,IF($S375,IF(regle!$B$2-$Q375&gt;=2,0,-1),regle!J$2-$Q375)),IF(AV375+1&gt;=regle!$J$12,-2,AV375+1))</f>
        <v>15</v>
      </c>
      <c r="AX375">
        <f>IF(AX$1=$AO$1,IF(regle!K$2-$Q375&gt;=regle!$J$12,-2,IF($S375,IF(regle!$B$2-$Q375&gt;=2,0,-1),regle!K$2-$Q375)),IF(AW375+1&gt;=regle!$J$12,-2,AW375+1))</f>
        <v>16</v>
      </c>
    </row>
    <row r="376" spans="1:50" x14ac:dyDescent="0.25">
      <c r="A376" t="b">
        <f>AND(modif0[[#This Row],[cdstr]]&lt;&gt;0,OR(regle!$H$27=FALSE,modif0[[#This Row],[essnc]]="PM"))</f>
        <v>1</v>
      </c>
      <c r="B376">
        <f>ROW(objet!A442)</f>
        <v>442</v>
      </c>
      <c r="C376" s="10" t="str">
        <f>objet!D442</f>
        <v>2000000N0787</v>
      </c>
      <c r="D376" t="str">
        <f>LEFT(modif0[[#This Row],[cdstr]],3)</f>
        <v>200</v>
      </c>
      <c r="E376" s="10" t="str">
        <f>objet!G442</f>
        <v>MOUSTEY</v>
      </c>
      <c r="F376">
        <f>LEN(modif0[[#This Row],[l_dt]])</f>
        <v>18</v>
      </c>
      <c r="G376" s="10" t="str">
        <f>objet!H442</f>
        <v>Quartier de Capsus</v>
      </c>
      <c r="H376" s="10" t="str">
        <f>objet!C442</f>
        <v>N787</v>
      </c>
      <c r="I376" t="str">
        <f>IF(ISNUMBER(VALUE(RIGHT(LEFT(modif0[[#This Row],[idntfn]],2),1))),_xlfn.CONCAT(0,LEFT(modif0[[#This Row],[idntfn]],1)),LEFT(modif0[[#This Row],[idntfn]],2))</f>
        <v>0N</v>
      </c>
      <c r="J376">
        <f>VALUE(LEFT(RIGHT(modif0[[#This Row],[idntfn]],LEN(modif0[[#This Row],[idntfn]])-IF(LEFT(modif0[[#This Row],[sctn]],1)="0",1,2)),LEN(modif0[[#This Row],[idntfn]])-IF(LEFT(modif0[[#This Row],[sctn]],1)="0",1,2)-LEN(modif0[[#This Row],[lttr]])))</f>
        <v>787</v>
      </c>
      <c r="K376" t="str">
        <f>IF(ISNUMBER(VALUE(RIGHT(modif0[[#This Row],[idntfn]],1))),"",IF(ISNUMBER(VALUE(LEFT(RIGHT(modif0[[#This Row],[idntfn]],2),1))),RIGHT(modif0[[#This Row],[idntfn]],1),RIGHT(modif0[[#This Row],[idntfn]],2)))</f>
        <v/>
      </c>
      <c r="L376" s="10">
        <f>objet!I442</f>
        <v>10985</v>
      </c>
      <c r="M376" s="11">
        <f>modif0[[#This Row],[srfc]]/10000</f>
        <v>1.0985</v>
      </c>
      <c r="N376" s="10" t="str">
        <f>objet!Z442</f>
        <v>PM</v>
      </c>
      <c r="O376" s="10" t="str">
        <f>objet!AA442</f>
        <v>CR2019</v>
      </c>
      <c r="P376" t="str">
        <f>IF(ISNUMBER(modif0[[#This Row],[trvx]]),"",LEFT(modif0[[#This Row],[trvx]],LEN(modif0[[#This Row],[trvx]])-4))</f>
        <v>CR</v>
      </c>
      <c r="Q376">
        <f>VALUE(RIGHT(modif0[[#This Row],[trvx]],4))</f>
        <v>2019</v>
      </c>
      <c r="R376" t="str">
        <f>_xlfn.CONCAT(modif0[[#This Row],[tp]],"-",modif0[[#This Row],[essnc]],"_",modif0[[#This Row],[anns]])</f>
        <v>CR-PM_2019</v>
      </c>
      <c r="S376" t="b">
        <f>modif0[[#This Row],[tp]]="CR"</f>
        <v>1</v>
      </c>
      <c r="T376">
        <v>40</v>
      </c>
      <c r="U376" t="str">
        <f>IF(NOT($A376),"",
IF(AO376=-2,regle!$J$11,
IF(AO376=regle!$B$12,regle!$B$11,
IF(AO376=regle!$C$12,regle!$C$11,
IF(AO376=regle!$D$12,regle!$D$11,
IF(AO376=regle!$E$12,regle!$E$11,
IF(AO376=regle!$F$12,regle!$F$11,
IF(AO376=regle!$G$12,regle!$G$11,
IF(AO376=regle!$H$12,regle!$H$11,
IF(AO376=regle!$I$12,regle!$I$11,""))))))))))</f>
        <v>RBST</v>
      </c>
      <c r="V376" t="str">
        <f>IF(NOT($A376),"",
IF(AP376=-2,regle!$J$11,
IF(AP376=regle!$B$12,regle!$B$11,
IF(AP376=regle!$C$12,regle!$C$11,
IF(AP376=regle!$D$12,regle!$D$11,
IF(AP376=regle!$E$12,regle!$E$11,
IF(AP376=regle!$F$12,regle!$F$11,
IF(AP376=regle!$G$12,regle!$G$11,
IF(AP376=regle!$H$12,regle!$H$11,
IF(AP376=regle!$I$12,regle!$I$11,""))))))))))</f>
        <v/>
      </c>
      <c r="W376" t="str">
        <f>IF(NOT($A376),"",
IF(AQ376=-2,regle!$J$11,
IF(AQ376=regle!$B$12,regle!$B$11,
IF(AQ376=regle!$C$12,regle!$C$11,
IF(AQ376=regle!$D$12,regle!$D$11,
IF(AQ376=regle!$E$12,regle!$E$11,
IF(AQ376=regle!$F$12,regle!$F$11,
IF(AQ376=regle!$G$12,regle!$G$11,
IF(AQ376=regle!$H$12,regle!$H$11,
IF(AQ376=regle!$I$12,regle!$I$11,""))))))))))</f>
        <v>DGT</v>
      </c>
      <c r="X376" t="str">
        <f>IF(NOT($A376),"",
IF(AR376=-2,regle!$J$11,
IF(AR376=regle!$B$12,regle!$B$11,
IF(AR376=regle!$C$12,regle!$C$11,
IF(AR376=regle!$D$12,regle!$D$11,
IF(AR376=regle!$E$12,regle!$E$11,
IF(AR376=regle!$F$12,regle!$F$11,
IF(AR376=regle!$G$12,regle!$G$11,
IF(AR376=regle!$H$12,regle!$H$11,
IF(AR376=regle!$I$12,regle!$I$11,""))))))))))</f>
        <v/>
      </c>
      <c r="Y376" t="str">
        <f>IF(NOT($A376),"",
IF(AS376=-2,regle!$J$11,
IF(AS376=regle!$B$12,regle!$B$11,
IF(AS376=regle!$C$12,regle!$C$11,
IF(AS376=regle!$D$12,regle!$D$11,
IF(AS376=regle!$E$12,regle!$E$11,
IF(AS376=regle!$F$12,regle!$F$11,
IF(AS376=regle!$G$12,regle!$G$11,
IF(AS376=regle!$H$12,regle!$H$11,
IF(AS376=regle!$I$12,regle!$I$11,""))))))))))</f>
        <v/>
      </c>
      <c r="Z376" t="str">
        <f>IF(NOT($A376),"",
IF(AT376=-2,regle!$J$11,
IF(AT376=regle!$B$12,regle!$B$11,
IF(AT376=regle!$C$12,regle!$C$11,
IF(AT376=regle!$D$12,regle!$D$11,
IF(AT376=regle!$E$12,regle!$E$11,
IF(AT376=regle!$F$12,regle!$F$11,
IF(AT376=regle!$G$12,regle!$G$11,
IF(AT376=regle!$H$12,regle!$H$11,
IF(AT376=regle!$I$12,regle!$I$11,""))))))))))</f>
        <v>ENT1</v>
      </c>
      <c r="AA376" t="str">
        <f>IF(NOT($A376),"",
IF(AU376=-2,regle!$J$11,
IF(AU376=regle!$B$12,regle!$B$11,
IF(AU376=regle!$C$12,regle!$C$11,
IF(AU376=regle!$D$12,regle!$D$11,
IF(AU376=regle!$E$12,regle!$E$11,
IF(AU376=regle!$F$12,regle!$F$11,
IF(AU376=regle!$G$12,regle!$G$11,
IF(AU376=regle!$H$12,regle!$H$11,
IF(AU376=regle!$I$12,regle!$I$11,""))))))))))</f>
        <v/>
      </c>
      <c r="AB376" t="str">
        <f>IF(NOT($A376),"",
IF(AV376=-2,regle!$J$11,
IF(AV376=regle!$B$12,regle!$B$11,
IF(AV376=regle!$C$12,regle!$C$11,
IF(AV376=regle!$D$12,regle!$D$11,
IF(AV376=regle!$E$12,regle!$E$11,
IF(AV376=regle!$F$12,regle!$F$11,
IF(AV376=regle!$G$12,regle!$G$11,
IF(AV376=regle!$H$12,regle!$H$11,
IF(AV376=regle!$I$12,regle!$I$11,""))))))))))</f>
        <v/>
      </c>
      <c r="AC376" t="str">
        <f>IF(NOT($A376),"",
IF(AW376=-2,regle!$J$11,
IF(AW376=regle!$B$12,regle!$B$11,
IF(AW376=regle!$C$12,regle!$C$11,
IF(AW376=regle!$D$12,regle!$D$11,
IF(AW376=regle!$E$12,regle!$E$11,
IF(AW376=regle!$F$12,regle!$F$11,
IF(AW376=regle!$G$12,regle!$G$11,
IF(AW376=regle!$H$12,regle!$H$11,
IF(AW376=regle!$I$12,regle!$I$11,""))))))))))</f>
        <v>ENT2</v>
      </c>
      <c r="AD376" t="str">
        <f>IF(NOT($A376),"",
IF(AX376=-2,regle!$J$11,
IF(AX376=regle!$B$12,regle!$B$11,
IF(AX376=regle!$C$12,regle!$C$11,
IF(AX376=regle!$D$12,regle!$D$11,
IF(AX376=regle!$E$12,regle!$E$11,
IF(AX376=regle!$F$12,regle!$F$11,
IF(AX376=regle!$G$12,regle!$G$11,
IF(AX376=regle!$H$12,regle!$H$11,
IF(AX376=regle!$I$12,regle!$I$11,""))))))))))</f>
        <v/>
      </c>
      <c r="AE376" s="14">
        <f>IF($A376,$M376*(IF(U376=regle!$B$11,regle!$B$23,IF(U376=regle!$C$11,regle!$C$23,IF(U376=regle!$D$11,regle!$D$23,IF(U376=regle!$E$11,regle!$E$23,IF(U376=regle!$F$11,regle!$F$23,IF(U376=regle!$G$11,regle!$G$23,IF(U376=regle!$H$11,regle!$H$23,IF(U376=regle!$I$11,regle!$I$23,IF(U376=regle!$J$11,regle!$J$23,0)))))))))))</f>
        <v>-1867.45</v>
      </c>
      <c r="AF376" s="14">
        <f>IF($A376,$M376*(IF(V376=regle!$B$11,regle!$B$23,IF(V376=regle!$C$11,regle!$C$23,IF(V376=regle!$D$11,regle!$D$23,IF(V376=regle!$E$11,regle!$E$23,IF(V376=regle!$F$11,regle!$F$23,IF(V376=regle!$G$11,regle!$G$23,IF(V376=regle!$H$11,regle!$H$23,IF(V376=regle!$I$11,regle!$I$23,IF(V376=regle!$J$11,regle!$J$23,0)))))))))))</f>
        <v>0</v>
      </c>
      <c r="AG376" s="14">
        <f>IF($A376,$M376*(IF(W376=regle!$B$11,regle!$B$23,IF(W376=regle!$C$11,regle!$C$23,IF(W376=regle!$D$11,regle!$D$23,IF(W376=regle!$E$11,regle!$E$23,IF(W376=regle!$F$11,regle!$F$23,IF(W376=regle!$G$11,regle!$G$23,IF(W376=regle!$H$11,regle!$H$23,IF(W376=regle!$I$11,regle!$I$23,IF(W376=regle!$J$11,regle!$J$23,0)))))))))))</f>
        <v>-82.387500000000003</v>
      </c>
      <c r="AH376" s="14">
        <f>IF($A376,$M376*(IF(X376=regle!$B$11,regle!$B$23,IF(X376=regle!$C$11,regle!$C$23,IF(X376=regle!$D$11,regle!$D$23,IF(X376=regle!$E$11,regle!$E$23,IF(X376=regle!$F$11,regle!$F$23,IF(X376=regle!$G$11,regle!$G$23,IF(X376=regle!$H$11,regle!$H$23,IF(X376=regle!$I$11,regle!$I$23,IF(X376=regle!$J$11,regle!$J$23,0)))))))))))</f>
        <v>0</v>
      </c>
      <c r="AI376" s="14">
        <f>IF($A376,$M376*(IF(Y376=regle!$B$11,regle!$B$23,IF(Y376=regle!$C$11,regle!$C$23,IF(Y376=regle!$D$11,regle!$D$23,IF(Y376=regle!$E$11,regle!$E$23,IF(Y376=regle!$F$11,regle!$F$23,IF(Y376=regle!$G$11,regle!$G$23,IF(Y376=regle!$H$11,regle!$H$23,IF(Y376=regle!$I$11,regle!$I$23,IF(Y376=regle!$J$11,regle!$J$23,0)))))))))))</f>
        <v>0</v>
      </c>
      <c r="AJ376" s="14">
        <f>IF($A376,$M376*(IF(Z376=regle!$B$11,regle!$B$23,IF(Z376=regle!$C$11,regle!$C$23,IF(Z376=regle!$D$11,regle!$D$23,IF(Z376=regle!$E$11,regle!$E$23,IF(Z376=regle!$F$11,regle!$F$23,IF(Z376=regle!$G$11,regle!$G$23,IF(Z376=regle!$H$11,regle!$H$23,IF(Z376=regle!$I$11,regle!$I$23,IF(Z376=regle!$J$11,regle!$J$23,0)))))))))))</f>
        <v>-98.865000000000009</v>
      </c>
      <c r="AK376" s="14">
        <f>IF($A376,$M376*(IF(AA376=regle!$B$11,regle!$B$23,IF(AA376=regle!$C$11,regle!$C$23,IF(AA376=regle!$D$11,regle!$D$23,IF(AA376=regle!$E$11,regle!$E$23,IF(AA376=regle!$F$11,regle!$F$23,IF(AA376=regle!$G$11,regle!$G$23,IF(AA376=regle!$H$11,regle!$H$23,IF(AA376=regle!$I$11,regle!$I$23,IF(AA376=regle!$J$11,regle!$J$23,0)))))))))))</f>
        <v>0</v>
      </c>
      <c r="AL376" s="14">
        <f>IF($A376,$M376*(IF(AB376=regle!$B$11,regle!$B$23,IF(AB376=regle!$C$11,regle!$C$23,IF(AB376=regle!$D$11,regle!$D$23,IF(AB376=regle!$E$11,regle!$E$23,IF(AB376=regle!$F$11,regle!$F$23,IF(AB376=regle!$G$11,regle!$G$23,IF(AB376=regle!$H$11,regle!$H$23,IF(AB376=regle!$I$11,regle!$I$23,IF(AB376=regle!$J$11,regle!$J$23,0)))))))))))</f>
        <v>0</v>
      </c>
      <c r="AM376" s="14">
        <f>IF($A376,$M376*(IF(AC376=regle!$B$11,regle!$B$23,IF(AC376=regle!$C$11,regle!$C$23,IF(AC376=regle!$D$11,regle!$D$23,IF(AC376=regle!$E$11,regle!$E$23,IF(AC376=regle!$F$11,regle!$F$23,IF(AC376=regle!$G$11,regle!$G$23,IF(AC376=regle!$H$11,regle!$H$23,IF(AC376=regle!$I$11,regle!$I$23,IF(AC376=regle!$J$11,regle!$J$23,0)))))))))))</f>
        <v>-98.865000000000009</v>
      </c>
      <c r="AN376" s="14">
        <f>IF($A376,$M376*(IF(AD376=regle!$B$11,regle!$B$23,IF(AD376=regle!$C$11,regle!$C$23,IF(AD376=regle!$D$11,regle!$D$23,IF(AD376=regle!$E$11,regle!$E$23,IF(AD376=regle!$F$11,regle!$F$23,IF(AD376=regle!$G$11,regle!$G$23,IF(AD376=regle!$H$11,regle!$H$23,IF(AD376=regle!$I$11,regle!$I$23,IF(AD376=regle!$J$11,regle!$J$23,0)))))))))))</f>
        <v>0</v>
      </c>
      <c r="AO376">
        <f>IF(AO$1=$AO$1,IF(regle!B$2-$Q376&gt;=regle!$J$12,-2,IF($S376,IF(regle!$B$2-$Q376&gt;=2,0,-1),regle!B$2-$Q376)),IF(AN376+1&gt;=regle!$J$12,-2,AN376+1))</f>
        <v>0</v>
      </c>
      <c r="AP376">
        <f>IF(AP$1=$AO$1,IF(regle!C$2-$Q376&gt;=regle!$J$12,-2,IF($S376,IF(regle!$B$2-$Q376&gt;=2,0,-1),regle!C$2-$Q376)),IF(AO376+1&gt;=regle!$J$12,-2,AO376+1))</f>
        <v>1</v>
      </c>
      <c r="AQ376">
        <f>IF(AQ$1=$AO$1,IF(regle!D$2-$Q376&gt;=regle!$J$12,-2,IF($S376,IF(regle!$B$2-$Q376&gt;=2,0,-1),regle!D$2-$Q376)),IF(AP376+1&gt;=regle!$J$12,-2,AP376+1))</f>
        <v>2</v>
      </c>
      <c r="AR376">
        <f>IF(AR$1=$AO$1,IF(regle!E$2-$Q376&gt;=regle!$J$12,-2,IF($S376,IF(regle!$B$2-$Q376&gt;=2,0,-1),regle!E$2-$Q376)),IF(AQ376+1&gt;=regle!$J$12,-2,AQ376+1))</f>
        <v>3</v>
      </c>
      <c r="AS376">
        <f>IF(AS$1=$AO$1,IF(regle!F$2-$Q376&gt;=regle!$J$12,-2,IF($S376,IF(regle!$B$2-$Q376&gt;=2,0,-1),regle!F$2-$Q376)),IF(AR376+1&gt;=regle!$J$12,-2,AR376+1))</f>
        <v>4</v>
      </c>
      <c r="AT376">
        <f>IF(AT$1=$AO$1,IF(regle!G$2-$Q376&gt;=regle!$J$12,-2,IF($S376,IF(regle!$B$2-$Q376&gt;=2,0,-1),regle!G$2-$Q376)),IF(AS376+1&gt;=regle!$J$12,-2,AS376+1))</f>
        <v>5</v>
      </c>
      <c r="AU376">
        <f>IF(AU$1=$AO$1,IF(regle!H$2-$Q376&gt;=regle!$J$12,-2,IF($S376,IF(regle!$B$2-$Q376&gt;=2,0,-1),regle!H$2-$Q376)),IF(AT376+1&gt;=regle!$J$12,-2,AT376+1))</f>
        <v>6</v>
      </c>
      <c r="AV376">
        <f>IF(AV$1=$AO$1,IF(regle!I$2-$Q376&gt;=regle!$J$12,-2,IF($S376,IF(regle!$B$2-$Q376&gt;=2,0,-1),regle!I$2-$Q376)),IF(AU376+1&gt;=regle!$J$12,-2,AU376+1))</f>
        <v>7</v>
      </c>
      <c r="AW376">
        <f>IF(AW$1=$AO$1,IF(regle!J$2-$Q376&gt;=regle!$J$12,-2,IF($S376,IF(regle!$B$2-$Q376&gt;=2,0,-1),regle!J$2-$Q376)),IF(AV376+1&gt;=regle!$J$12,-2,AV376+1))</f>
        <v>8</v>
      </c>
      <c r="AX376">
        <f>IF(AX$1=$AO$1,IF(regle!K$2-$Q376&gt;=regle!$J$12,-2,IF($S376,IF(regle!$B$2-$Q376&gt;=2,0,-1),regle!K$2-$Q376)),IF(AW376+1&gt;=regle!$J$12,-2,AW376+1))</f>
        <v>9</v>
      </c>
    </row>
    <row r="377" spans="1:50" x14ac:dyDescent="0.25">
      <c r="A377" t="b">
        <f>AND(modif0[[#This Row],[cdstr]]&lt;&gt;0,OR(regle!$H$27=FALSE,modif0[[#This Row],[essnc]]="PM"))</f>
        <v>0</v>
      </c>
      <c r="B377">
        <f>ROW(objet!A15)</f>
        <v>15</v>
      </c>
      <c r="C377" s="10" t="str">
        <f>objet!D15</f>
        <v>5360000A0254</v>
      </c>
      <c r="D377" t="str">
        <f>LEFT(modif0[[#This Row],[cdstr]],3)</f>
        <v>536</v>
      </c>
      <c r="E377" s="10" t="str">
        <f>objet!G15</f>
        <v>LE TUZAN</v>
      </c>
      <c r="F377">
        <f>LEN(modif0[[#This Row],[l_dt]])</f>
        <v>11</v>
      </c>
      <c r="G377" s="10" t="str">
        <f>objet!H15</f>
        <v>LA HONTEYRE</v>
      </c>
      <c r="H377" s="10" t="str">
        <f>objet!C15</f>
        <v>A254j</v>
      </c>
      <c r="I377" t="str">
        <f>IF(ISNUMBER(VALUE(RIGHT(LEFT(modif0[[#This Row],[idntfn]],2),1))),_xlfn.CONCAT(0,LEFT(modif0[[#This Row],[idntfn]],1)),LEFT(modif0[[#This Row],[idntfn]],2))</f>
        <v>0A</v>
      </c>
      <c r="J377">
        <f>VALUE(LEFT(RIGHT(modif0[[#This Row],[idntfn]],LEN(modif0[[#This Row],[idntfn]])-IF(LEFT(modif0[[#This Row],[sctn]],1)="0",1,2)),LEN(modif0[[#This Row],[idntfn]])-IF(LEFT(modif0[[#This Row],[sctn]],1)="0",1,2)-LEN(modif0[[#This Row],[lttr]])))</f>
        <v>254</v>
      </c>
      <c r="K377" t="str">
        <f>IF(ISNUMBER(VALUE(RIGHT(modif0[[#This Row],[idntfn]],1))),"",IF(ISNUMBER(VALUE(LEFT(RIGHT(modif0[[#This Row],[idntfn]],2),1))),RIGHT(modif0[[#This Row],[idntfn]],1),RIGHT(modif0[[#This Row],[idntfn]],2)))</f>
        <v>j</v>
      </c>
      <c r="L377" s="10">
        <f>objet!I15</f>
        <v>5034</v>
      </c>
      <c r="M377" s="11">
        <f>modif0[[#This Row],[srfc]]/10000</f>
        <v>0.50339999999999996</v>
      </c>
      <c r="N377" s="10" t="str">
        <f>objet!Z15</f>
        <v>FEUIL</v>
      </c>
      <c r="O377" s="10" t="str">
        <f>objet!AA15</f>
        <v>TAIL2015</v>
      </c>
      <c r="P377" t="str">
        <f>IF(ISNUMBER(modif0[[#This Row],[trvx]]),"",LEFT(modif0[[#This Row],[trvx]],LEN(modif0[[#This Row],[trvx]])-4))</f>
        <v>TAIL</v>
      </c>
      <c r="Q377">
        <f>VALUE(RIGHT(modif0[[#This Row],[trvx]],4))</f>
        <v>2015</v>
      </c>
      <c r="R377" t="str">
        <f>_xlfn.CONCAT(modif0[[#This Row],[tp]],"-",modif0[[#This Row],[essnc]],"_",modif0[[#This Row],[anns]])</f>
        <v>TAIL-FEUIL_2015</v>
      </c>
      <c r="S377" t="b">
        <f>modif0[[#This Row],[tp]]="CR"</f>
        <v>0</v>
      </c>
      <c r="T377">
        <v>40</v>
      </c>
      <c r="U377" t="str">
        <f>IF(NOT($A377),"",
IF(AO377=-2,regle!$J$11,
IF(AO377=regle!$B$12,regle!$B$11,
IF(AO377=regle!$C$12,regle!$C$11,
IF(AO377=regle!$D$12,regle!$D$11,
IF(AO377=regle!$E$12,regle!$E$11,
IF(AO377=regle!$F$12,regle!$F$11,
IF(AO377=regle!$G$12,regle!$G$11,
IF(AO377=regle!$H$12,regle!$H$11,
IF(AO377=regle!$I$12,regle!$I$11,""))))))))))</f>
        <v/>
      </c>
      <c r="V377" t="str">
        <f>IF(NOT($A377),"",
IF(AP377=-2,regle!$J$11,
IF(AP377=regle!$B$12,regle!$B$11,
IF(AP377=regle!$C$12,regle!$C$11,
IF(AP377=regle!$D$12,regle!$D$11,
IF(AP377=regle!$E$12,regle!$E$11,
IF(AP377=regle!$F$12,regle!$F$11,
IF(AP377=regle!$G$12,regle!$G$11,
IF(AP377=regle!$H$12,regle!$H$11,
IF(AP377=regle!$I$12,regle!$I$11,""))))))))))</f>
        <v/>
      </c>
      <c r="W377" t="str">
        <f>IF(NOT($A377),"",
IF(AQ377=-2,regle!$J$11,
IF(AQ377=regle!$B$12,regle!$B$11,
IF(AQ377=regle!$C$12,regle!$C$11,
IF(AQ377=regle!$D$12,regle!$D$11,
IF(AQ377=regle!$E$12,regle!$E$11,
IF(AQ377=regle!$F$12,regle!$F$11,
IF(AQ377=regle!$G$12,regle!$G$11,
IF(AQ377=regle!$H$12,regle!$H$11,
IF(AQ377=regle!$I$12,regle!$I$11,""))))))))))</f>
        <v/>
      </c>
      <c r="X377" t="str">
        <f>IF(NOT($A377),"",
IF(AR377=-2,regle!$J$11,
IF(AR377=regle!$B$12,regle!$B$11,
IF(AR377=regle!$C$12,regle!$C$11,
IF(AR377=regle!$D$12,regle!$D$11,
IF(AR377=regle!$E$12,regle!$E$11,
IF(AR377=regle!$F$12,regle!$F$11,
IF(AR377=regle!$G$12,regle!$G$11,
IF(AR377=regle!$H$12,regle!$H$11,
IF(AR377=regle!$I$12,regle!$I$11,""))))))))))</f>
        <v/>
      </c>
      <c r="Y377" t="str">
        <f>IF(NOT($A377),"",
IF(AS377=-2,regle!$J$11,
IF(AS377=regle!$B$12,regle!$B$11,
IF(AS377=regle!$C$12,regle!$C$11,
IF(AS377=regle!$D$12,regle!$D$11,
IF(AS377=regle!$E$12,regle!$E$11,
IF(AS377=regle!$F$12,regle!$F$11,
IF(AS377=regle!$G$12,regle!$G$11,
IF(AS377=regle!$H$12,regle!$H$11,
IF(AS377=regle!$I$12,regle!$I$11,""))))))))))</f>
        <v/>
      </c>
      <c r="Z377" t="str">
        <f>IF(NOT($A377),"",
IF(AT377=-2,regle!$J$11,
IF(AT377=regle!$B$12,regle!$B$11,
IF(AT377=regle!$C$12,regle!$C$11,
IF(AT377=regle!$D$12,regle!$D$11,
IF(AT377=regle!$E$12,regle!$E$11,
IF(AT377=regle!$F$12,regle!$F$11,
IF(AT377=regle!$G$12,regle!$G$11,
IF(AT377=regle!$H$12,regle!$H$11,
IF(AT377=regle!$I$12,regle!$I$11,""))))))))))</f>
        <v/>
      </c>
      <c r="AA377" t="str">
        <f>IF(NOT($A377),"",
IF(AU377=-2,regle!$J$11,
IF(AU377=regle!$B$12,regle!$B$11,
IF(AU377=regle!$C$12,regle!$C$11,
IF(AU377=regle!$D$12,regle!$D$11,
IF(AU377=regle!$E$12,regle!$E$11,
IF(AU377=regle!$F$12,regle!$F$11,
IF(AU377=regle!$G$12,regle!$G$11,
IF(AU377=regle!$H$12,regle!$H$11,
IF(AU377=regle!$I$12,regle!$I$11,""))))))))))</f>
        <v/>
      </c>
      <c r="AB377" t="str">
        <f>IF(NOT($A377),"",
IF(AV377=-2,regle!$J$11,
IF(AV377=regle!$B$12,regle!$B$11,
IF(AV377=regle!$C$12,regle!$C$11,
IF(AV377=regle!$D$12,regle!$D$11,
IF(AV377=regle!$E$12,regle!$E$11,
IF(AV377=regle!$F$12,regle!$F$11,
IF(AV377=regle!$G$12,regle!$G$11,
IF(AV377=regle!$H$12,regle!$H$11,
IF(AV377=regle!$I$12,regle!$I$11,""))))))))))</f>
        <v/>
      </c>
      <c r="AC377" t="str">
        <f>IF(NOT($A377),"",
IF(AW377=-2,regle!$J$11,
IF(AW377=regle!$B$12,regle!$B$11,
IF(AW377=regle!$C$12,regle!$C$11,
IF(AW377=regle!$D$12,regle!$D$11,
IF(AW377=regle!$E$12,regle!$E$11,
IF(AW377=regle!$F$12,regle!$F$11,
IF(AW377=regle!$G$12,regle!$G$11,
IF(AW377=regle!$H$12,regle!$H$11,
IF(AW377=regle!$I$12,regle!$I$11,""))))))))))</f>
        <v/>
      </c>
      <c r="AD377" t="str">
        <f>IF(NOT($A377),"",
IF(AX377=-2,regle!$J$11,
IF(AX377=regle!$B$12,regle!$B$11,
IF(AX377=regle!$C$12,regle!$C$11,
IF(AX377=regle!$D$12,regle!$D$11,
IF(AX377=regle!$E$12,regle!$E$11,
IF(AX377=regle!$F$12,regle!$F$11,
IF(AX377=regle!$G$12,regle!$G$11,
IF(AX377=regle!$H$12,regle!$H$11,
IF(AX377=regle!$I$12,regle!$I$11,""))))))))))</f>
        <v/>
      </c>
      <c r="AE377" s="14" t="b">
        <f>IF($A377,$M377*(IF(U377=regle!$B$11,regle!$B$23,IF(U377=regle!$C$11,regle!$C$23,IF(U377=regle!$D$11,regle!$D$23,IF(U377=regle!$E$11,regle!$E$23,IF(U377=regle!$F$11,regle!$F$23,IF(U377=regle!$G$11,regle!$G$23,IF(U377=regle!$H$11,regle!$H$23,IF(U377=regle!$I$11,regle!$I$23,IF(U377=regle!$J$11,regle!$J$23,0)))))))))))</f>
        <v>0</v>
      </c>
      <c r="AF377" s="14" t="b">
        <f>IF($A377,$M377*(IF(V377=regle!$B$11,regle!$B$23,IF(V377=regle!$C$11,regle!$C$23,IF(V377=regle!$D$11,regle!$D$23,IF(V377=regle!$E$11,regle!$E$23,IF(V377=regle!$F$11,regle!$F$23,IF(V377=regle!$G$11,regle!$G$23,IF(V377=regle!$H$11,regle!$H$23,IF(V377=regle!$I$11,regle!$I$23,IF(V377=regle!$J$11,regle!$J$23,0)))))))))))</f>
        <v>0</v>
      </c>
      <c r="AG377" s="14" t="b">
        <f>IF($A377,$M377*(IF(W377=regle!$B$11,regle!$B$23,IF(W377=regle!$C$11,regle!$C$23,IF(W377=regle!$D$11,regle!$D$23,IF(W377=regle!$E$11,regle!$E$23,IF(W377=regle!$F$11,regle!$F$23,IF(W377=regle!$G$11,regle!$G$23,IF(W377=regle!$H$11,regle!$H$23,IF(W377=regle!$I$11,regle!$I$23,IF(W377=regle!$J$11,regle!$J$23,0)))))))))))</f>
        <v>0</v>
      </c>
      <c r="AH377" s="14" t="b">
        <f>IF($A377,$M377*(IF(X377=regle!$B$11,regle!$B$23,IF(X377=regle!$C$11,regle!$C$23,IF(X377=regle!$D$11,regle!$D$23,IF(X377=regle!$E$11,regle!$E$23,IF(X377=regle!$F$11,regle!$F$23,IF(X377=regle!$G$11,regle!$G$23,IF(X377=regle!$H$11,regle!$H$23,IF(X377=regle!$I$11,regle!$I$23,IF(X377=regle!$J$11,regle!$J$23,0)))))))))))</f>
        <v>0</v>
      </c>
      <c r="AI377" s="14" t="b">
        <f>IF($A377,$M377*(IF(Y377=regle!$B$11,regle!$B$23,IF(Y377=regle!$C$11,regle!$C$23,IF(Y377=regle!$D$11,regle!$D$23,IF(Y377=regle!$E$11,regle!$E$23,IF(Y377=regle!$F$11,regle!$F$23,IF(Y377=regle!$G$11,regle!$G$23,IF(Y377=regle!$H$11,regle!$H$23,IF(Y377=regle!$I$11,regle!$I$23,IF(Y377=regle!$J$11,regle!$J$23,0)))))))))))</f>
        <v>0</v>
      </c>
      <c r="AJ377" s="14" t="b">
        <f>IF($A377,$M377*(IF(Z377=regle!$B$11,regle!$B$23,IF(Z377=regle!$C$11,regle!$C$23,IF(Z377=regle!$D$11,regle!$D$23,IF(Z377=regle!$E$11,regle!$E$23,IF(Z377=regle!$F$11,regle!$F$23,IF(Z377=regle!$G$11,regle!$G$23,IF(Z377=regle!$H$11,regle!$H$23,IF(Z377=regle!$I$11,regle!$I$23,IF(Z377=regle!$J$11,regle!$J$23,0)))))))))))</f>
        <v>0</v>
      </c>
      <c r="AK377" s="14" t="b">
        <f>IF($A377,$M377*(IF(AA377=regle!$B$11,regle!$B$23,IF(AA377=regle!$C$11,regle!$C$23,IF(AA377=regle!$D$11,regle!$D$23,IF(AA377=regle!$E$11,regle!$E$23,IF(AA377=regle!$F$11,regle!$F$23,IF(AA377=regle!$G$11,regle!$G$23,IF(AA377=regle!$H$11,regle!$H$23,IF(AA377=regle!$I$11,regle!$I$23,IF(AA377=regle!$J$11,regle!$J$23,0)))))))))))</f>
        <v>0</v>
      </c>
      <c r="AL377" s="14" t="b">
        <f>IF($A377,$M377*(IF(AB377=regle!$B$11,regle!$B$23,IF(AB377=regle!$C$11,regle!$C$23,IF(AB377=regle!$D$11,regle!$D$23,IF(AB377=regle!$E$11,regle!$E$23,IF(AB377=regle!$F$11,regle!$F$23,IF(AB377=regle!$G$11,regle!$G$23,IF(AB377=regle!$H$11,regle!$H$23,IF(AB377=regle!$I$11,regle!$I$23,IF(AB377=regle!$J$11,regle!$J$23,0)))))))))))</f>
        <v>0</v>
      </c>
      <c r="AM377" s="14" t="b">
        <f>IF($A377,$M377*(IF(AC377=regle!$B$11,regle!$B$23,IF(AC377=regle!$C$11,regle!$C$23,IF(AC377=regle!$D$11,regle!$D$23,IF(AC377=regle!$E$11,regle!$E$23,IF(AC377=regle!$F$11,regle!$F$23,IF(AC377=regle!$G$11,regle!$G$23,IF(AC377=regle!$H$11,regle!$H$23,IF(AC377=regle!$I$11,regle!$I$23,IF(AC377=regle!$J$11,regle!$J$23,0)))))))))))</f>
        <v>0</v>
      </c>
      <c r="AN377" s="14" t="b">
        <f>IF($A377,$M377*(IF(AD377=regle!$B$11,regle!$B$23,IF(AD377=regle!$C$11,regle!$C$23,IF(AD377=regle!$D$11,regle!$D$23,IF(AD377=regle!$E$11,regle!$E$23,IF(AD377=regle!$F$11,regle!$F$23,IF(AD377=regle!$G$11,regle!$G$23,IF(AD377=regle!$H$11,regle!$H$23,IF(AD377=regle!$I$11,regle!$I$23,IF(AD377=regle!$J$11,regle!$J$23,0)))))))))))</f>
        <v>0</v>
      </c>
      <c r="AO377">
        <f>IF(AO$1=$AO$1,IF(regle!B$2-$Q377&gt;=regle!$J$12,-2,IF($S377,IF(regle!$B$2-$Q377&gt;=2,0,-1),regle!B$2-$Q377)),IF(AN377+1&gt;=regle!$J$12,-2,AN377+1))</f>
        <v>9</v>
      </c>
      <c r="AP377">
        <f>IF(AP$1=$AO$1,IF(regle!C$2-$Q377&gt;=regle!$J$12,-2,IF($S377,IF(regle!$B$2-$Q377&gt;=2,0,-1),regle!C$2-$Q377)),IF(AO377+1&gt;=regle!$J$12,-2,AO377+1))</f>
        <v>10</v>
      </c>
      <c r="AQ377">
        <f>IF(AQ$1=$AO$1,IF(regle!D$2-$Q377&gt;=regle!$J$12,-2,IF($S377,IF(regle!$B$2-$Q377&gt;=2,0,-1),regle!D$2-$Q377)),IF(AP377+1&gt;=regle!$J$12,-2,AP377+1))</f>
        <v>11</v>
      </c>
      <c r="AR377">
        <f>IF(AR$1=$AO$1,IF(regle!E$2-$Q377&gt;=regle!$J$12,-2,IF($S377,IF(regle!$B$2-$Q377&gt;=2,0,-1),regle!E$2-$Q377)),IF(AQ377+1&gt;=regle!$J$12,-2,AQ377+1))</f>
        <v>12</v>
      </c>
      <c r="AS377">
        <f>IF(AS$1=$AO$1,IF(regle!F$2-$Q377&gt;=regle!$J$12,-2,IF($S377,IF(regle!$B$2-$Q377&gt;=2,0,-1),regle!F$2-$Q377)),IF(AR377+1&gt;=regle!$J$12,-2,AR377+1))</f>
        <v>13</v>
      </c>
      <c r="AT377">
        <f>IF(AT$1=$AO$1,IF(regle!G$2-$Q377&gt;=regle!$J$12,-2,IF($S377,IF(regle!$B$2-$Q377&gt;=2,0,-1),regle!G$2-$Q377)),IF(AS377+1&gt;=regle!$J$12,-2,AS377+1))</f>
        <v>14</v>
      </c>
      <c r="AU377">
        <f>IF(AU$1=$AO$1,IF(regle!H$2-$Q377&gt;=regle!$J$12,-2,IF($S377,IF(regle!$B$2-$Q377&gt;=2,0,-1),regle!H$2-$Q377)),IF(AT377+1&gt;=regle!$J$12,-2,AT377+1))</f>
        <v>15</v>
      </c>
      <c r="AV377">
        <f>IF(AV$1=$AO$1,IF(regle!I$2-$Q377&gt;=regle!$J$12,-2,IF($S377,IF(regle!$B$2-$Q377&gt;=2,0,-1),regle!I$2-$Q377)),IF(AU377+1&gt;=regle!$J$12,-2,AU377+1))</f>
        <v>16</v>
      </c>
      <c r="AW377">
        <f>IF(AW$1=$AO$1,IF(regle!J$2-$Q377&gt;=regle!$J$12,-2,IF($S377,IF(regle!$B$2-$Q377&gt;=2,0,-1),regle!J$2-$Q377)),IF(AV377+1&gt;=regle!$J$12,-2,AV377+1))</f>
        <v>17</v>
      </c>
      <c r="AX377">
        <f>IF(AX$1=$AO$1,IF(regle!K$2-$Q377&gt;=regle!$J$12,-2,IF($S377,IF(regle!$B$2-$Q377&gt;=2,0,-1),regle!K$2-$Q377)),IF(AW377+1&gt;=regle!$J$12,-2,AW377+1))</f>
        <v>18</v>
      </c>
    </row>
    <row r="378" spans="1:50" x14ac:dyDescent="0.25">
      <c r="A378" t="b">
        <f>AND(modif0[[#This Row],[cdstr]]&lt;&gt;0,OR(regle!$H$27=FALSE,modif0[[#This Row],[essnc]]="PM"))</f>
        <v>0</v>
      </c>
      <c r="B378">
        <f>ROW(objet!A17)</f>
        <v>17</v>
      </c>
      <c r="C378" s="10" t="str">
        <f>objet!D17</f>
        <v>5360000A0254</v>
      </c>
      <c r="D378" t="str">
        <f>LEFT(modif0[[#This Row],[cdstr]],3)</f>
        <v>536</v>
      </c>
      <c r="E378" s="10" t="str">
        <f>objet!G17</f>
        <v>LE TUZAN</v>
      </c>
      <c r="F378">
        <f>LEN(modif0[[#This Row],[l_dt]])</f>
        <v>11</v>
      </c>
      <c r="G378" s="10" t="str">
        <f>objet!H17</f>
        <v>LA HONTEYRE</v>
      </c>
      <c r="H378" s="10" t="str">
        <f>objet!C17</f>
        <v>A254l</v>
      </c>
      <c r="I378" t="str">
        <f>IF(ISNUMBER(VALUE(RIGHT(LEFT(modif0[[#This Row],[idntfn]],2),1))),_xlfn.CONCAT(0,LEFT(modif0[[#This Row],[idntfn]],1)),LEFT(modif0[[#This Row],[idntfn]],2))</f>
        <v>0A</v>
      </c>
      <c r="J378">
        <f>VALUE(LEFT(RIGHT(modif0[[#This Row],[idntfn]],LEN(modif0[[#This Row],[idntfn]])-IF(LEFT(modif0[[#This Row],[sctn]],1)="0",1,2)),LEN(modif0[[#This Row],[idntfn]])-IF(LEFT(modif0[[#This Row],[sctn]],1)="0",1,2)-LEN(modif0[[#This Row],[lttr]])))</f>
        <v>254</v>
      </c>
      <c r="K378" t="str">
        <f>IF(ISNUMBER(VALUE(RIGHT(modif0[[#This Row],[idntfn]],1))),"",IF(ISNUMBER(VALUE(LEFT(RIGHT(modif0[[#This Row],[idntfn]],2),1))),RIGHT(modif0[[#This Row],[idntfn]],1),RIGHT(modif0[[#This Row],[idntfn]],2)))</f>
        <v>l</v>
      </c>
      <c r="L378" s="10">
        <f>objet!I17</f>
        <v>4231</v>
      </c>
      <c r="M378" s="11">
        <f>modif0[[#This Row],[srfc]]/10000</f>
        <v>0.42309999999999998</v>
      </c>
      <c r="N378" s="10" t="str">
        <f>objet!Z17</f>
        <v>FEUIL</v>
      </c>
      <c r="O378" s="10" t="str">
        <f>objet!AA17</f>
        <v>TAIL1990</v>
      </c>
      <c r="P378" t="str">
        <f>IF(ISNUMBER(modif0[[#This Row],[trvx]]),"",LEFT(modif0[[#This Row],[trvx]],LEN(modif0[[#This Row],[trvx]])-4))</f>
        <v>TAIL</v>
      </c>
      <c r="Q378">
        <f>VALUE(RIGHT(modif0[[#This Row],[trvx]],4))</f>
        <v>1990</v>
      </c>
      <c r="R378" t="str">
        <f>_xlfn.CONCAT(modif0[[#This Row],[tp]],"-",modif0[[#This Row],[essnc]],"_",modif0[[#This Row],[anns]])</f>
        <v>TAIL-FEUIL_1990</v>
      </c>
      <c r="S378" t="b">
        <f>modif0[[#This Row],[tp]]="CR"</f>
        <v>0</v>
      </c>
      <c r="T378">
        <v>40</v>
      </c>
      <c r="U378" t="str">
        <f>IF(NOT($A378),"",
IF(AO378=-2,regle!$J$11,
IF(AO378=regle!$B$12,regle!$B$11,
IF(AO378=regle!$C$12,regle!$C$11,
IF(AO378=regle!$D$12,regle!$D$11,
IF(AO378=regle!$E$12,regle!$E$11,
IF(AO378=regle!$F$12,regle!$F$11,
IF(AO378=regle!$G$12,regle!$G$11,
IF(AO378=regle!$H$12,regle!$H$11,
IF(AO378=regle!$I$12,regle!$I$11,""))))))))))</f>
        <v/>
      </c>
      <c r="V378" t="str">
        <f>IF(NOT($A378),"",
IF(AP378=-2,regle!$J$11,
IF(AP378=regle!$B$12,regle!$B$11,
IF(AP378=regle!$C$12,regle!$C$11,
IF(AP378=regle!$D$12,regle!$D$11,
IF(AP378=regle!$E$12,regle!$E$11,
IF(AP378=regle!$F$12,regle!$F$11,
IF(AP378=regle!$G$12,regle!$G$11,
IF(AP378=regle!$H$12,regle!$H$11,
IF(AP378=regle!$I$12,regle!$I$11,""))))))))))</f>
        <v/>
      </c>
      <c r="W378" t="str">
        <f>IF(NOT($A378),"",
IF(AQ378=-2,regle!$J$11,
IF(AQ378=regle!$B$12,regle!$B$11,
IF(AQ378=regle!$C$12,regle!$C$11,
IF(AQ378=regle!$D$12,regle!$D$11,
IF(AQ378=regle!$E$12,regle!$E$11,
IF(AQ378=regle!$F$12,regle!$F$11,
IF(AQ378=regle!$G$12,regle!$G$11,
IF(AQ378=regle!$H$12,regle!$H$11,
IF(AQ378=regle!$I$12,regle!$I$11,""))))))))))</f>
        <v/>
      </c>
      <c r="X378" t="str">
        <f>IF(NOT($A378),"",
IF(AR378=-2,regle!$J$11,
IF(AR378=regle!$B$12,regle!$B$11,
IF(AR378=regle!$C$12,regle!$C$11,
IF(AR378=regle!$D$12,regle!$D$11,
IF(AR378=regle!$E$12,regle!$E$11,
IF(AR378=regle!$F$12,regle!$F$11,
IF(AR378=regle!$G$12,regle!$G$11,
IF(AR378=regle!$H$12,regle!$H$11,
IF(AR378=regle!$I$12,regle!$I$11,""))))))))))</f>
        <v/>
      </c>
      <c r="Y378" t="str">
        <f>IF(NOT($A378),"",
IF(AS378=-2,regle!$J$11,
IF(AS378=regle!$B$12,regle!$B$11,
IF(AS378=regle!$C$12,regle!$C$11,
IF(AS378=regle!$D$12,regle!$D$11,
IF(AS378=regle!$E$12,regle!$E$11,
IF(AS378=regle!$F$12,regle!$F$11,
IF(AS378=regle!$G$12,regle!$G$11,
IF(AS378=regle!$H$12,regle!$H$11,
IF(AS378=regle!$I$12,regle!$I$11,""))))))))))</f>
        <v/>
      </c>
      <c r="Z378" t="str">
        <f>IF(NOT($A378),"",
IF(AT378=-2,regle!$J$11,
IF(AT378=regle!$B$12,regle!$B$11,
IF(AT378=regle!$C$12,regle!$C$11,
IF(AT378=regle!$D$12,regle!$D$11,
IF(AT378=regle!$E$12,regle!$E$11,
IF(AT378=regle!$F$12,regle!$F$11,
IF(AT378=regle!$G$12,regle!$G$11,
IF(AT378=regle!$H$12,regle!$H$11,
IF(AT378=regle!$I$12,regle!$I$11,""))))))))))</f>
        <v/>
      </c>
      <c r="AA378" t="str">
        <f>IF(NOT($A378),"",
IF(AU378=-2,regle!$J$11,
IF(AU378=regle!$B$12,regle!$B$11,
IF(AU378=regle!$C$12,regle!$C$11,
IF(AU378=regle!$D$12,regle!$D$11,
IF(AU378=regle!$E$12,regle!$E$11,
IF(AU378=regle!$F$12,regle!$F$11,
IF(AU378=regle!$G$12,regle!$G$11,
IF(AU378=regle!$H$12,regle!$H$11,
IF(AU378=regle!$I$12,regle!$I$11,""))))))))))</f>
        <v/>
      </c>
      <c r="AB378" t="str">
        <f>IF(NOT($A378),"",
IF(AV378=-2,regle!$J$11,
IF(AV378=regle!$B$12,regle!$B$11,
IF(AV378=regle!$C$12,regle!$C$11,
IF(AV378=regle!$D$12,regle!$D$11,
IF(AV378=regle!$E$12,regle!$E$11,
IF(AV378=regle!$F$12,regle!$F$11,
IF(AV378=regle!$G$12,regle!$G$11,
IF(AV378=regle!$H$12,regle!$H$11,
IF(AV378=regle!$I$12,regle!$I$11,""))))))))))</f>
        <v/>
      </c>
      <c r="AC378" t="str">
        <f>IF(NOT($A378),"",
IF(AW378=-2,regle!$J$11,
IF(AW378=regle!$B$12,regle!$B$11,
IF(AW378=regle!$C$12,regle!$C$11,
IF(AW378=regle!$D$12,regle!$D$11,
IF(AW378=regle!$E$12,regle!$E$11,
IF(AW378=regle!$F$12,regle!$F$11,
IF(AW378=regle!$G$12,regle!$G$11,
IF(AW378=regle!$H$12,regle!$H$11,
IF(AW378=regle!$I$12,regle!$I$11,""))))))))))</f>
        <v/>
      </c>
      <c r="AD378" t="str">
        <f>IF(NOT($A378),"",
IF(AX378=-2,regle!$J$11,
IF(AX378=regle!$B$12,regle!$B$11,
IF(AX378=regle!$C$12,regle!$C$11,
IF(AX378=regle!$D$12,regle!$D$11,
IF(AX378=regle!$E$12,regle!$E$11,
IF(AX378=regle!$F$12,regle!$F$11,
IF(AX378=regle!$G$12,regle!$G$11,
IF(AX378=regle!$H$12,regle!$H$11,
IF(AX378=regle!$I$12,regle!$I$11,""))))))))))</f>
        <v/>
      </c>
      <c r="AE378" s="14" t="b">
        <f>IF($A378,$M378*(IF(U378=regle!$B$11,regle!$B$23,IF(U378=regle!$C$11,regle!$C$23,IF(U378=regle!$D$11,regle!$D$23,IF(U378=regle!$E$11,regle!$E$23,IF(U378=regle!$F$11,regle!$F$23,IF(U378=regle!$G$11,regle!$G$23,IF(U378=regle!$H$11,regle!$H$23,IF(U378=regle!$I$11,regle!$I$23,IF(U378=regle!$J$11,regle!$J$23,0)))))))))))</f>
        <v>0</v>
      </c>
      <c r="AF378" s="14" t="b">
        <f>IF($A378,$M378*(IF(V378=regle!$B$11,regle!$B$23,IF(V378=regle!$C$11,regle!$C$23,IF(V378=regle!$D$11,regle!$D$23,IF(V378=regle!$E$11,regle!$E$23,IF(V378=regle!$F$11,regle!$F$23,IF(V378=regle!$G$11,regle!$G$23,IF(V378=regle!$H$11,regle!$H$23,IF(V378=regle!$I$11,regle!$I$23,IF(V378=regle!$J$11,regle!$J$23,0)))))))))))</f>
        <v>0</v>
      </c>
      <c r="AG378" s="14" t="b">
        <f>IF($A378,$M378*(IF(W378=regle!$B$11,regle!$B$23,IF(W378=regle!$C$11,regle!$C$23,IF(W378=regle!$D$11,regle!$D$23,IF(W378=regle!$E$11,regle!$E$23,IF(W378=regle!$F$11,regle!$F$23,IF(W378=regle!$G$11,regle!$G$23,IF(W378=regle!$H$11,regle!$H$23,IF(W378=regle!$I$11,regle!$I$23,IF(W378=regle!$J$11,regle!$J$23,0)))))))))))</f>
        <v>0</v>
      </c>
      <c r="AH378" s="14" t="b">
        <f>IF($A378,$M378*(IF(X378=regle!$B$11,regle!$B$23,IF(X378=regle!$C$11,regle!$C$23,IF(X378=regle!$D$11,regle!$D$23,IF(X378=regle!$E$11,regle!$E$23,IF(X378=regle!$F$11,regle!$F$23,IF(X378=regle!$G$11,regle!$G$23,IF(X378=regle!$H$11,regle!$H$23,IF(X378=regle!$I$11,regle!$I$23,IF(X378=regle!$J$11,regle!$J$23,0)))))))))))</f>
        <v>0</v>
      </c>
      <c r="AI378" s="14" t="b">
        <f>IF($A378,$M378*(IF(Y378=regle!$B$11,regle!$B$23,IF(Y378=regle!$C$11,regle!$C$23,IF(Y378=regle!$D$11,regle!$D$23,IF(Y378=regle!$E$11,regle!$E$23,IF(Y378=regle!$F$11,regle!$F$23,IF(Y378=regle!$G$11,regle!$G$23,IF(Y378=regle!$H$11,regle!$H$23,IF(Y378=regle!$I$11,regle!$I$23,IF(Y378=regle!$J$11,regle!$J$23,0)))))))))))</f>
        <v>0</v>
      </c>
      <c r="AJ378" s="14" t="b">
        <f>IF($A378,$M378*(IF(Z378=regle!$B$11,regle!$B$23,IF(Z378=regle!$C$11,regle!$C$23,IF(Z378=regle!$D$11,regle!$D$23,IF(Z378=regle!$E$11,regle!$E$23,IF(Z378=regle!$F$11,regle!$F$23,IF(Z378=regle!$G$11,regle!$G$23,IF(Z378=regle!$H$11,regle!$H$23,IF(Z378=regle!$I$11,regle!$I$23,IF(Z378=regle!$J$11,regle!$J$23,0)))))))))))</f>
        <v>0</v>
      </c>
      <c r="AK378" s="14" t="b">
        <f>IF($A378,$M378*(IF(AA378=regle!$B$11,regle!$B$23,IF(AA378=regle!$C$11,regle!$C$23,IF(AA378=regle!$D$11,regle!$D$23,IF(AA378=regle!$E$11,regle!$E$23,IF(AA378=regle!$F$11,regle!$F$23,IF(AA378=regle!$G$11,regle!$G$23,IF(AA378=regle!$H$11,regle!$H$23,IF(AA378=regle!$I$11,regle!$I$23,IF(AA378=regle!$J$11,regle!$J$23,0)))))))))))</f>
        <v>0</v>
      </c>
      <c r="AL378" s="14" t="b">
        <f>IF($A378,$M378*(IF(AB378=regle!$B$11,regle!$B$23,IF(AB378=regle!$C$11,regle!$C$23,IF(AB378=regle!$D$11,regle!$D$23,IF(AB378=regle!$E$11,regle!$E$23,IF(AB378=regle!$F$11,regle!$F$23,IF(AB378=regle!$G$11,regle!$G$23,IF(AB378=regle!$H$11,regle!$H$23,IF(AB378=regle!$I$11,regle!$I$23,IF(AB378=regle!$J$11,regle!$J$23,0)))))))))))</f>
        <v>0</v>
      </c>
      <c r="AM378" s="14" t="b">
        <f>IF($A378,$M378*(IF(AC378=regle!$B$11,regle!$B$23,IF(AC378=regle!$C$11,regle!$C$23,IF(AC378=regle!$D$11,regle!$D$23,IF(AC378=regle!$E$11,regle!$E$23,IF(AC378=regle!$F$11,regle!$F$23,IF(AC378=regle!$G$11,regle!$G$23,IF(AC378=regle!$H$11,regle!$H$23,IF(AC378=regle!$I$11,regle!$I$23,IF(AC378=regle!$J$11,regle!$J$23,0)))))))))))</f>
        <v>0</v>
      </c>
      <c r="AN378" s="14" t="b">
        <f>IF($A378,$M378*(IF(AD378=regle!$B$11,regle!$B$23,IF(AD378=regle!$C$11,regle!$C$23,IF(AD378=regle!$D$11,regle!$D$23,IF(AD378=regle!$E$11,regle!$E$23,IF(AD378=regle!$F$11,regle!$F$23,IF(AD378=regle!$G$11,regle!$G$23,IF(AD378=regle!$H$11,regle!$H$23,IF(AD378=regle!$I$11,regle!$I$23,IF(AD378=regle!$J$11,regle!$J$23,0)))))))))))</f>
        <v>0</v>
      </c>
      <c r="AO378">
        <f>IF(AO$1=$AO$1,IF(regle!B$2-$Q378&gt;=regle!$J$12,-2,IF($S378,IF(regle!$B$2-$Q378&gt;=2,0,-1),regle!B$2-$Q378)),IF(AN378+1&gt;=regle!$J$12,-2,AN378+1))</f>
        <v>34</v>
      </c>
      <c r="AP378">
        <f>IF(AP$1=$AO$1,IF(regle!C$2-$Q378&gt;=regle!$J$12,-2,IF($S378,IF(regle!$B$2-$Q378&gt;=2,0,-1),regle!C$2-$Q378)),IF(AO378+1&gt;=regle!$J$12,-2,AO378+1))</f>
        <v>35</v>
      </c>
      <c r="AQ378">
        <f>IF(AQ$1=$AO$1,IF(regle!D$2-$Q378&gt;=regle!$J$12,-2,IF($S378,IF(regle!$B$2-$Q378&gt;=2,0,-1),regle!D$2-$Q378)),IF(AP378+1&gt;=regle!$J$12,-2,AP378+1))</f>
        <v>36</v>
      </c>
      <c r="AR378">
        <f>IF(AR$1=$AO$1,IF(regle!E$2-$Q378&gt;=regle!$J$12,-2,IF($S378,IF(regle!$B$2-$Q378&gt;=2,0,-1),regle!E$2-$Q378)),IF(AQ378+1&gt;=regle!$J$12,-2,AQ378+1))</f>
        <v>37</v>
      </c>
      <c r="AS378">
        <f>IF(AS$1=$AO$1,IF(regle!F$2-$Q378&gt;=regle!$J$12,-2,IF($S378,IF(regle!$B$2-$Q378&gt;=2,0,-1),regle!F$2-$Q378)),IF(AR378+1&gt;=regle!$J$12,-2,AR378+1))</f>
        <v>38</v>
      </c>
      <c r="AT378">
        <f>IF(AT$1=$AO$1,IF(regle!G$2-$Q378&gt;=regle!$J$12,-2,IF($S378,IF(regle!$B$2-$Q378&gt;=2,0,-1),regle!G$2-$Q378)),IF(AS378+1&gt;=regle!$J$12,-2,AS378+1))</f>
        <v>39</v>
      </c>
      <c r="AU378">
        <f>IF(AU$1=$AO$1,IF(regle!H$2-$Q378&gt;=regle!$J$12,-2,IF($S378,IF(regle!$B$2-$Q378&gt;=2,0,-1),regle!H$2-$Q378)),IF(AT378+1&gt;=regle!$J$12,-2,AT378+1))</f>
        <v>-2</v>
      </c>
      <c r="AV378">
        <f>IF(AV$1=$AO$1,IF(regle!I$2-$Q378&gt;=regle!$J$12,-2,IF($S378,IF(regle!$B$2-$Q378&gt;=2,0,-1),regle!I$2-$Q378)),IF(AU378+1&gt;=regle!$J$12,-2,AU378+1))</f>
        <v>-1</v>
      </c>
      <c r="AW378">
        <f>IF(AW$1=$AO$1,IF(regle!J$2-$Q378&gt;=regle!$J$12,-2,IF($S378,IF(regle!$B$2-$Q378&gt;=2,0,-1),regle!J$2-$Q378)),IF(AV378+1&gt;=regle!$J$12,-2,AV378+1))</f>
        <v>0</v>
      </c>
      <c r="AX378">
        <f>IF(AX$1=$AO$1,IF(regle!K$2-$Q378&gt;=regle!$J$12,-2,IF($S378,IF(regle!$B$2-$Q378&gt;=2,0,-1),regle!K$2-$Q378)),IF(AW378+1&gt;=regle!$J$12,-2,AW378+1))</f>
        <v>1</v>
      </c>
    </row>
    <row r="379" spans="1:50" x14ac:dyDescent="0.25">
      <c r="A379" t="b">
        <f>AND(modif0[[#This Row],[cdstr]]&lt;&gt;0,OR(regle!$H$27=FALSE,modif0[[#This Row],[essnc]]="PM"))</f>
        <v>0</v>
      </c>
      <c r="B379">
        <f>ROW(objet!A19)</f>
        <v>19</v>
      </c>
      <c r="C379" s="10" t="str">
        <f>objet!D19</f>
        <v>5360000A0255</v>
      </c>
      <c r="D379" t="str">
        <f>LEFT(modif0[[#This Row],[cdstr]],3)</f>
        <v>536</v>
      </c>
      <c r="E379" s="10" t="str">
        <f>objet!G19</f>
        <v>LE TUZAN</v>
      </c>
      <c r="F379">
        <f>LEN(modif0[[#This Row],[l_dt]])</f>
        <v>11</v>
      </c>
      <c r="G379" s="10" t="str">
        <f>objet!H19</f>
        <v>LA HONTEYRE</v>
      </c>
      <c r="H379" s="10" t="str">
        <f>objet!C19</f>
        <v>A255</v>
      </c>
      <c r="I379" t="str">
        <f>IF(ISNUMBER(VALUE(RIGHT(LEFT(modif0[[#This Row],[idntfn]],2),1))),_xlfn.CONCAT(0,LEFT(modif0[[#This Row],[idntfn]],1)),LEFT(modif0[[#This Row],[idntfn]],2))</f>
        <v>0A</v>
      </c>
      <c r="J379">
        <f>VALUE(LEFT(RIGHT(modif0[[#This Row],[idntfn]],LEN(modif0[[#This Row],[idntfn]])-IF(LEFT(modif0[[#This Row],[sctn]],1)="0",1,2)),LEN(modif0[[#This Row],[idntfn]])-IF(LEFT(modif0[[#This Row],[sctn]],1)="0",1,2)-LEN(modif0[[#This Row],[lttr]])))</f>
        <v>255</v>
      </c>
      <c r="K379" t="str">
        <f>IF(ISNUMBER(VALUE(RIGHT(modif0[[#This Row],[idntfn]],1))),"",IF(ISNUMBER(VALUE(LEFT(RIGHT(modif0[[#This Row],[idntfn]],2),1))),RIGHT(modif0[[#This Row],[idntfn]],1),RIGHT(modif0[[#This Row],[idntfn]],2)))</f>
        <v/>
      </c>
      <c r="L379" s="10">
        <f>objet!I19</f>
        <v>6680</v>
      </c>
      <c r="M379" s="11">
        <f>modif0[[#This Row],[srfc]]/10000</f>
        <v>0.66800000000000004</v>
      </c>
      <c r="N379" s="10" t="str">
        <f>objet!Z19</f>
        <v>FEUIL</v>
      </c>
      <c r="O379" s="10" t="str">
        <f>objet!AA19</f>
        <v>TAIL1980</v>
      </c>
      <c r="P379" t="str">
        <f>IF(ISNUMBER(modif0[[#This Row],[trvx]]),"",LEFT(modif0[[#This Row],[trvx]],LEN(modif0[[#This Row],[trvx]])-4))</f>
        <v>TAIL</v>
      </c>
      <c r="Q379">
        <f>VALUE(RIGHT(modif0[[#This Row],[trvx]],4))</f>
        <v>1980</v>
      </c>
      <c r="R379" t="str">
        <f>_xlfn.CONCAT(modif0[[#This Row],[tp]],"-",modif0[[#This Row],[essnc]],"_",modif0[[#This Row],[anns]])</f>
        <v>TAIL-FEUIL_1980</v>
      </c>
      <c r="S379" t="b">
        <f>modif0[[#This Row],[tp]]="CR"</f>
        <v>0</v>
      </c>
      <c r="T379">
        <v>40</v>
      </c>
      <c r="U379" t="str">
        <f>IF(NOT($A379),"",
IF(AO379=-2,regle!$J$11,
IF(AO379=regle!$B$12,regle!$B$11,
IF(AO379=regle!$C$12,regle!$C$11,
IF(AO379=regle!$D$12,regle!$D$11,
IF(AO379=regle!$E$12,regle!$E$11,
IF(AO379=regle!$F$12,regle!$F$11,
IF(AO379=regle!$G$12,regle!$G$11,
IF(AO379=regle!$H$12,regle!$H$11,
IF(AO379=regle!$I$12,regle!$I$11,""))))))))))</f>
        <v/>
      </c>
      <c r="V379" t="str">
        <f>IF(NOT($A379),"",
IF(AP379=-2,regle!$J$11,
IF(AP379=regle!$B$12,regle!$B$11,
IF(AP379=regle!$C$12,regle!$C$11,
IF(AP379=regle!$D$12,regle!$D$11,
IF(AP379=regle!$E$12,regle!$E$11,
IF(AP379=regle!$F$12,regle!$F$11,
IF(AP379=regle!$G$12,regle!$G$11,
IF(AP379=regle!$H$12,regle!$H$11,
IF(AP379=regle!$I$12,regle!$I$11,""))))))))))</f>
        <v/>
      </c>
      <c r="W379" t="str">
        <f>IF(NOT($A379),"",
IF(AQ379=-2,regle!$J$11,
IF(AQ379=regle!$B$12,regle!$B$11,
IF(AQ379=regle!$C$12,regle!$C$11,
IF(AQ379=regle!$D$12,regle!$D$11,
IF(AQ379=regle!$E$12,regle!$E$11,
IF(AQ379=regle!$F$12,regle!$F$11,
IF(AQ379=regle!$G$12,regle!$G$11,
IF(AQ379=regle!$H$12,regle!$H$11,
IF(AQ379=regle!$I$12,regle!$I$11,""))))))))))</f>
        <v/>
      </c>
      <c r="X379" t="str">
        <f>IF(NOT($A379),"",
IF(AR379=-2,regle!$J$11,
IF(AR379=regle!$B$12,regle!$B$11,
IF(AR379=regle!$C$12,regle!$C$11,
IF(AR379=regle!$D$12,regle!$D$11,
IF(AR379=regle!$E$12,regle!$E$11,
IF(AR379=regle!$F$12,regle!$F$11,
IF(AR379=regle!$G$12,regle!$G$11,
IF(AR379=regle!$H$12,regle!$H$11,
IF(AR379=regle!$I$12,regle!$I$11,""))))))))))</f>
        <v/>
      </c>
      <c r="Y379" t="str">
        <f>IF(NOT($A379),"",
IF(AS379=-2,regle!$J$11,
IF(AS379=regle!$B$12,regle!$B$11,
IF(AS379=regle!$C$12,regle!$C$11,
IF(AS379=regle!$D$12,regle!$D$11,
IF(AS379=regle!$E$12,regle!$E$11,
IF(AS379=regle!$F$12,regle!$F$11,
IF(AS379=regle!$G$12,regle!$G$11,
IF(AS379=regle!$H$12,regle!$H$11,
IF(AS379=regle!$I$12,regle!$I$11,""))))))))))</f>
        <v/>
      </c>
      <c r="Z379" t="str">
        <f>IF(NOT($A379),"",
IF(AT379=-2,regle!$J$11,
IF(AT379=regle!$B$12,regle!$B$11,
IF(AT379=regle!$C$12,regle!$C$11,
IF(AT379=regle!$D$12,regle!$D$11,
IF(AT379=regle!$E$12,regle!$E$11,
IF(AT379=regle!$F$12,regle!$F$11,
IF(AT379=regle!$G$12,regle!$G$11,
IF(AT379=regle!$H$12,regle!$H$11,
IF(AT379=regle!$I$12,regle!$I$11,""))))))))))</f>
        <v/>
      </c>
      <c r="AA379" t="str">
        <f>IF(NOT($A379),"",
IF(AU379=-2,regle!$J$11,
IF(AU379=regle!$B$12,regle!$B$11,
IF(AU379=regle!$C$12,regle!$C$11,
IF(AU379=regle!$D$12,regle!$D$11,
IF(AU379=regle!$E$12,regle!$E$11,
IF(AU379=regle!$F$12,regle!$F$11,
IF(AU379=regle!$G$12,regle!$G$11,
IF(AU379=regle!$H$12,regle!$H$11,
IF(AU379=regle!$I$12,regle!$I$11,""))))))))))</f>
        <v/>
      </c>
      <c r="AB379" t="str">
        <f>IF(NOT($A379),"",
IF(AV379=-2,regle!$J$11,
IF(AV379=regle!$B$12,regle!$B$11,
IF(AV379=regle!$C$12,regle!$C$11,
IF(AV379=regle!$D$12,regle!$D$11,
IF(AV379=regle!$E$12,regle!$E$11,
IF(AV379=regle!$F$12,regle!$F$11,
IF(AV379=regle!$G$12,regle!$G$11,
IF(AV379=regle!$H$12,regle!$H$11,
IF(AV379=regle!$I$12,regle!$I$11,""))))))))))</f>
        <v/>
      </c>
      <c r="AC379" t="str">
        <f>IF(NOT($A379),"",
IF(AW379=-2,regle!$J$11,
IF(AW379=regle!$B$12,regle!$B$11,
IF(AW379=regle!$C$12,regle!$C$11,
IF(AW379=regle!$D$12,regle!$D$11,
IF(AW379=regle!$E$12,regle!$E$11,
IF(AW379=regle!$F$12,regle!$F$11,
IF(AW379=regle!$G$12,regle!$G$11,
IF(AW379=regle!$H$12,regle!$H$11,
IF(AW379=regle!$I$12,regle!$I$11,""))))))))))</f>
        <v/>
      </c>
      <c r="AD379" t="str">
        <f>IF(NOT($A379),"",
IF(AX379=-2,regle!$J$11,
IF(AX379=regle!$B$12,regle!$B$11,
IF(AX379=regle!$C$12,regle!$C$11,
IF(AX379=regle!$D$12,regle!$D$11,
IF(AX379=regle!$E$12,regle!$E$11,
IF(AX379=regle!$F$12,regle!$F$11,
IF(AX379=regle!$G$12,regle!$G$11,
IF(AX379=regle!$H$12,regle!$H$11,
IF(AX379=regle!$I$12,regle!$I$11,""))))))))))</f>
        <v/>
      </c>
      <c r="AE379" s="14" t="b">
        <f>IF($A379,$M379*(IF(U379=regle!$B$11,regle!$B$23,IF(U379=regle!$C$11,regle!$C$23,IF(U379=regle!$D$11,regle!$D$23,IF(U379=regle!$E$11,regle!$E$23,IF(U379=regle!$F$11,regle!$F$23,IF(U379=regle!$G$11,regle!$G$23,IF(U379=regle!$H$11,regle!$H$23,IF(U379=regle!$I$11,regle!$I$23,IF(U379=regle!$J$11,regle!$J$23,0)))))))))))</f>
        <v>0</v>
      </c>
      <c r="AF379" s="14" t="b">
        <f>IF($A379,$M379*(IF(V379=regle!$B$11,regle!$B$23,IF(V379=regle!$C$11,regle!$C$23,IF(V379=regle!$D$11,regle!$D$23,IF(V379=regle!$E$11,regle!$E$23,IF(V379=regle!$F$11,regle!$F$23,IF(V379=regle!$G$11,regle!$G$23,IF(V379=regle!$H$11,regle!$H$23,IF(V379=regle!$I$11,regle!$I$23,IF(V379=regle!$J$11,regle!$J$23,0)))))))))))</f>
        <v>0</v>
      </c>
      <c r="AG379" s="14" t="b">
        <f>IF($A379,$M379*(IF(W379=regle!$B$11,regle!$B$23,IF(W379=regle!$C$11,regle!$C$23,IF(W379=regle!$D$11,regle!$D$23,IF(W379=regle!$E$11,regle!$E$23,IF(W379=regle!$F$11,regle!$F$23,IF(W379=regle!$G$11,regle!$G$23,IF(W379=regle!$H$11,regle!$H$23,IF(W379=regle!$I$11,regle!$I$23,IF(W379=regle!$J$11,regle!$J$23,0)))))))))))</f>
        <v>0</v>
      </c>
      <c r="AH379" s="14" t="b">
        <f>IF($A379,$M379*(IF(X379=regle!$B$11,regle!$B$23,IF(X379=regle!$C$11,regle!$C$23,IF(X379=regle!$D$11,regle!$D$23,IF(X379=regle!$E$11,regle!$E$23,IF(X379=regle!$F$11,regle!$F$23,IF(X379=regle!$G$11,regle!$G$23,IF(X379=regle!$H$11,regle!$H$23,IF(X379=regle!$I$11,regle!$I$23,IF(X379=regle!$J$11,regle!$J$23,0)))))))))))</f>
        <v>0</v>
      </c>
      <c r="AI379" s="14" t="b">
        <f>IF($A379,$M379*(IF(Y379=regle!$B$11,regle!$B$23,IF(Y379=regle!$C$11,regle!$C$23,IF(Y379=regle!$D$11,regle!$D$23,IF(Y379=regle!$E$11,regle!$E$23,IF(Y379=regle!$F$11,regle!$F$23,IF(Y379=regle!$G$11,regle!$G$23,IF(Y379=regle!$H$11,regle!$H$23,IF(Y379=regle!$I$11,regle!$I$23,IF(Y379=regle!$J$11,regle!$J$23,0)))))))))))</f>
        <v>0</v>
      </c>
      <c r="AJ379" s="14" t="b">
        <f>IF($A379,$M379*(IF(Z379=regle!$B$11,regle!$B$23,IF(Z379=regle!$C$11,regle!$C$23,IF(Z379=regle!$D$11,regle!$D$23,IF(Z379=regle!$E$11,regle!$E$23,IF(Z379=regle!$F$11,regle!$F$23,IF(Z379=regle!$G$11,regle!$G$23,IF(Z379=regle!$H$11,regle!$H$23,IF(Z379=regle!$I$11,regle!$I$23,IF(Z379=regle!$J$11,regle!$J$23,0)))))))))))</f>
        <v>0</v>
      </c>
      <c r="AK379" s="14" t="b">
        <f>IF($A379,$M379*(IF(AA379=regle!$B$11,regle!$B$23,IF(AA379=regle!$C$11,regle!$C$23,IF(AA379=regle!$D$11,regle!$D$23,IF(AA379=regle!$E$11,regle!$E$23,IF(AA379=regle!$F$11,regle!$F$23,IF(AA379=regle!$G$11,regle!$G$23,IF(AA379=regle!$H$11,regle!$H$23,IF(AA379=regle!$I$11,regle!$I$23,IF(AA379=regle!$J$11,regle!$J$23,0)))))))))))</f>
        <v>0</v>
      </c>
      <c r="AL379" s="14" t="b">
        <f>IF($A379,$M379*(IF(AB379=regle!$B$11,regle!$B$23,IF(AB379=regle!$C$11,regle!$C$23,IF(AB379=regle!$D$11,regle!$D$23,IF(AB379=regle!$E$11,regle!$E$23,IF(AB379=regle!$F$11,regle!$F$23,IF(AB379=regle!$G$11,regle!$G$23,IF(AB379=regle!$H$11,regle!$H$23,IF(AB379=regle!$I$11,regle!$I$23,IF(AB379=regle!$J$11,regle!$J$23,0)))))))))))</f>
        <v>0</v>
      </c>
      <c r="AM379" s="14" t="b">
        <f>IF($A379,$M379*(IF(AC379=regle!$B$11,regle!$B$23,IF(AC379=regle!$C$11,regle!$C$23,IF(AC379=regle!$D$11,regle!$D$23,IF(AC379=regle!$E$11,regle!$E$23,IF(AC379=regle!$F$11,regle!$F$23,IF(AC379=regle!$G$11,regle!$G$23,IF(AC379=regle!$H$11,regle!$H$23,IF(AC379=regle!$I$11,regle!$I$23,IF(AC379=regle!$J$11,regle!$J$23,0)))))))))))</f>
        <v>0</v>
      </c>
      <c r="AN379" s="14" t="b">
        <f>IF($A379,$M379*(IF(AD379=regle!$B$11,regle!$B$23,IF(AD379=regle!$C$11,regle!$C$23,IF(AD379=regle!$D$11,regle!$D$23,IF(AD379=regle!$E$11,regle!$E$23,IF(AD379=regle!$F$11,regle!$F$23,IF(AD379=regle!$G$11,regle!$G$23,IF(AD379=regle!$H$11,regle!$H$23,IF(AD379=regle!$I$11,regle!$I$23,IF(AD379=regle!$J$11,regle!$J$23,0)))))))))))</f>
        <v>0</v>
      </c>
      <c r="AO379">
        <f>IF(AO$1=$AO$1,IF(regle!B$2-$Q379&gt;=regle!$J$12,-2,IF($S379,IF(regle!$B$2-$Q379&gt;=2,0,-1),regle!B$2-$Q379)),IF(AN379+1&gt;=regle!$J$12,-2,AN379+1))</f>
        <v>-2</v>
      </c>
      <c r="AP379">
        <f>IF(AP$1=$AO$1,IF(regle!C$2-$Q379&gt;=regle!$J$12,-2,IF($S379,IF(regle!$B$2-$Q379&gt;=2,0,-1),regle!C$2-$Q379)),IF(AO379+1&gt;=regle!$J$12,-2,AO379+1))</f>
        <v>-1</v>
      </c>
      <c r="AQ379">
        <f>IF(AQ$1=$AO$1,IF(regle!D$2-$Q379&gt;=regle!$J$12,-2,IF($S379,IF(regle!$B$2-$Q379&gt;=2,0,-1),regle!D$2-$Q379)),IF(AP379+1&gt;=regle!$J$12,-2,AP379+1))</f>
        <v>0</v>
      </c>
      <c r="AR379">
        <f>IF(AR$1=$AO$1,IF(regle!E$2-$Q379&gt;=regle!$J$12,-2,IF($S379,IF(regle!$B$2-$Q379&gt;=2,0,-1),regle!E$2-$Q379)),IF(AQ379+1&gt;=regle!$J$12,-2,AQ379+1))</f>
        <v>1</v>
      </c>
      <c r="AS379">
        <f>IF(AS$1=$AO$1,IF(regle!F$2-$Q379&gt;=regle!$J$12,-2,IF($S379,IF(regle!$B$2-$Q379&gt;=2,0,-1),regle!F$2-$Q379)),IF(AR379+1&gt;=regle!$J$12,-2,AR379+1))</f>
        <v>2</v>
      </c>
      <c r="AT379">
        <f>IF(AT$1=$AO$1,IF(regle!G$2-$Q379&gt;=regle!$J$12,-2,IF($S379,IF(regle!$B$2-$Q379&gt;=2,0,-1),regle!G$2-$Q379)),IF(AS379+1&gt;=regle!$J$12,-2,AS379+1))</f>
        <v>3</v>
      </c>
      <c r="AU379">
        <f>IF(AU$1=$AO$1,IF(regle!H$2-$Q379&gt;=regle!$J$12,-2,IF($S379,IF(regle!$B$2-$Q379&gt;=2,0,-1),regle!H$2-$Q379)),IF(AT379+1&gt;=regle!$J$12,-2,AT379+1))</f>
        <v>4</v>
      </c>
      <c r="AV379">
        <f>IF(AV$1=$AO$1,IF(regle!I$2-$Q379&gt;=regle!$J$12,-2,IF($S379,IF(regle!$B$2-$Q379&gt;=2,0,-1),regle!I$2-$Q379)),IF(AU379+1&gt;=regle!$J$12,-2,AU379+1))</f>
        <v>5</v>
      </c>
      <c r="AW379">
        <f>IF(AW$1=$AO$1,IF(regle!J$2-$Q379&gt;=regle!$J$12,-2,IF($S379,IF(regle!$B$2-$Q379&gt;=2,0,-1),regle!J$2-$Q379)),IF(AV379+1&gt;=regle!$J$12,-2,AV379+1))</f>
        <v>6</v>
      </c>
      <c r="AX379">
        <f>IF(AX$1=$AO$1,IF(regle!K$2-$Q379&gt;=regle!$J$12,-2,IF($S379,IF(regle!$B$2-$Q379&gt;=2,0,-1),regle!K$2-$Q379)),IF(AW379+1&gt;=regle!$J$12,-2,AW379+1))</f>
        <v>7</v>
      </c>
    </row>
    <row r="380" spans="1:50" x14ac:dyDescent="0.25">
      <c r="A380" t="b">
        <f>AND(modif0[[#This Row],[cdstr]]&lt;&gt;0,OR(regle!$H$27=FALSE,modif0[[#This Row],[essnc]]="PM"))</f>
        <v>0</v>
      </c>
      <c r="B380">
        <f>ROW(objet!A20)</f>
        <v>20</v>
      </c>
      <c r="C380" s="10" t="str">
        <f>objet!D20</f>
        <v>5360000A0256</v>
      </c>
      <c r="D380" t="str">
        <f>LEFT(modif0[[#This Row],[cdstr]],3)</f>
        <v>536</v>
      </c>
      <c r="E380" s="10" t="str">
        <f>objet!G20</f>
        <v>LE TUZAN</v>
      </c>
      <c r="F380">
        <f>LEN(modif0[[#This Row],[l_dt]])</f>
        <v>11</v>
      </c>
      <c r="G380" s="10" t="str">
        <f>objet!H20</f>
        <v>LA HONTEYRE</v>
      </c>
      <c r="H380" s="10" t="str">
        <f>objet!C20</f>
        <v>A256j</v>
      </c>
      <c r="I380" t="str">
        <f>IF(ISNUMBER(VALUE(RIGHT(LEFT(modif0[[#This Row],[idntfn]],2),1))),_xlfn.CONCAT(0,LEFT(modif0[[#This Row],[idntfn]],1)),LEFT(modif0[[#This Row],[idntfn]],2))</f>
        <v>0A</v>
      </c>
      <c r="J380">
        <f>VALUE(LEFT(RIGHT(modif0[[#This Row],[idntfn]],LEN(modif0[[#This Row],[idntfn]])-IF(LEFT(modif0[[#This Row],[sctn]],1)="0",1,2)),LEN(modif0[[#This Row],[idntfn]])-IF(LEFT(modif0[[#This Row],[sctn]],1)="0",1,2)-LEN(modif0[[#This Row],[lttr]])))</f>
        <v>256</v>
      </c>
      <c r="K380" t="str">
        <f>IF(ISNUMBER(VALUE(RIGHT(modif0[[#This Row],[idntfn]],1))),"",IF(ISNUMBER(VALUE(LEFT(RIGHT(modif0[[#This Row],[idntfn]],2),1))),RIGHT(modif0[[#This Row],[idntfn]],1),RIGHT(modif0[[#This Row],[idntfn]],2)))</f>
        <v>j</v>
      </c>
      <c r="L380" s="10">
        <f>objet!I20</f>
        <v>4451</v>
      </c>
      <c r="M380" s="11">
        <f>modif0[[#This Row],[srfc]]/10000</f>
        <v>0.4451</v>
      </c>
      <c r="N380" s="10" t="str">
        <f>objet!Z20</f>
        <v>FEUIL</v>
      </c>
      <c r="O380" s="10" t="str">
        <f>objet!AA20</f>
        <v>TAIL1990</v>
      </c>
      <c r="P380" t="str">
        <f>IF(ISNUMBER(modif0[[#This Row],[trvx]]),"",LEFT(modif0[[#This Row],[trvx]],LEN(modif0[[#This Row],[trvx]])-4))</f>
        <v>TAIL</v>
      </c>
      <c r="Q380">
        <f>VALUE(RIGHT(modif0[[#This Row],[trvx]],4))</f>
        <v>1990</v>
      </c>
      <c r="R380" t="str">
        <f>_xlfn.CONCAT(modif0[[#This Row],[tp]],"-",modif0[[#This Row],[essnc]],"_",modif0[[#This Row],[anns]])</f>
        <v>TAIL-FEUIL_1990</v>
      </c>
      <c r="S380" t="b">
        <f>modif0[[#This Row],[tp]]="CR"</f>
        <v>0</v>
      </c>
      <c r="T380">
        <v>40</v>
      </c>
      <c r="U380" t="str">
        <f>IF(NOT($A380),"",
IF(AO380=-2,regle!$J$11,
IF(AO380=regle!$B$12,regle!$B$11,
IF(AO380=regle!$C$12,regle!$C$11,
IF(AO380=regle!$D$12,regle!$D$11,
IF(AO380=regle!$E$12,regle!$E$11,
IF(AO380=regle!$F$12,regle!$F$11,
IF(AO380=regle!$G$12,regle!$G$11,
IF(AO380=regle!$H$12,regle!$H$11,
IF(AO380=regle!$I$12,regle!$I$11,""))))))))))</f>
        <v/>
      </c>
      <c r="V380" t="str">
        <f>IF(NOT($A380),"",
IF(AP380=-2,regle!$J$11,
IF(AP380=regle!$B$12,regle!$B$11,
IF(AP380=regle!$C$12,regle!$C$11,
IF(AP380=regle!$D$12,regle!$D$11,
IF(AP380=regle!$E$12,regle!$E$11,
IF(AP380=regle!$F$12,regle!$F$11,
IF(AP380=regle!$G$12,regle!$G$11,
IF(AP380=regle!$H$12,regle!$H$11,
IF(AP380=regle!$I$12,regle!$I$11,""))))))))))</f>
        <v/>
      </c>
      <c r="W380" t="str">
        <f>IF(NOT($A380),"",
IF(AQ380=-2,regle!$J$11,
IF(AQ380=regle!$B$12,regle!$B$11,
IF(AQ380=regle!$C$12,regle!$C$11,
IF(AQ380=regle!$D$12,regle!$D$11,
IF(AQ380=regle!$E$12,regle!$E$11,
IF(AQ380=regle!$F$12,regle!$F$11,
IF(AQ380=regle!$G$12,regle!$G$11,
IF(AQ380=regle!$H$12,regle!$H$11,
IF(AQ380=regle!$I$12,regle!$I$11,""))))))))))</f>
        <v/>
      </c>
      <c r="X380" t="str">
        <f>IF(NOT($A380),"",
IF(AR380=-2,regle!$J$11,
IF(AR380=regle!$B$12,regle!$B$11,
IF(AR380=regle!$C$12,regle!$C$11,
IF(AR380=regle!$D$12,regle!$D$11,
IF(AR380=regle!$E$12,regle!$E$11,
IF(AR380=regle!$F$12,regle!$F$11,
IF(AR380=regle!$G$12,regle!$G$11,
IF(AR380=regle!$H$12,regle!$H$11,
IF(AR380=regle!$I$12,regle!$I$11,""))))))))))</f>
        <v/>
      </c>
      <c r="Y380" t="str">
        <f>IF(NOT($A380),"",
IF(AS380=-2,regle!$J$11,
IF(AS380=regle!$B$12,regle!$B$11,
IF(AS380=regle!$C$12,regle!$C$11,
IF(AS380=regle!$D$12,regle!$D$11,
IF(AS380=regle!$E$12,regle!$E$11,
IF(AS380=regle!$F$12,regle!$F$11,
IF(AS380=regle!$G$12,regle!$G$11,
IF(AS380=regle!$H$12,regle!$H$11,
IF(AS380=regle!$I$12,regle!$I$11,""))))))))))</f>
        <v/>
      </c>
      <c r="Z380" t="str">
        <f>IF(NOT($A380),"",
IF(AT380=-2,regle!$J$11,
IF(AT380=regle!$B$12,regle!$B$11,
IF(AT380=regle!$C$12,regle!$C$11,
IF(AT380=regle!$D$12,regle!$D$11,
IF(AT380=regle!$E$12,regle!$E$11,
IF(AT380=regle!$F$12,regle!$F$11,
IF(AT380=regle!$G$12,regle!$G$11,
IF(AT380=regle!$H$12,regle!$H$11,
IF(AT380=regle!$I$12,regle!$I$11,""))))))))))</f>
        <v/>
      </c>
      <c r="AA380" t="str">
        <f>IF(NOT($A380),"",
IF(AU380=-2,regle!$J$11,
IF(AU380=regle!$B$12,regle!$B$11,
IF(AU380=regle!$C$12,regle!$C$11,
IF(AU380=regle!$D$12,regle!$D$11,
IF(AU380=regle!$E$12,regle!$E$11,
IF(AU380=regle!$F$12,regle!$F$11,
IF(AU380=regle!$G$12,regle!$G$11,
IF(AU380=regle!$H$12,regle!$H$11,
IF(AU380=regle!$I$12,regle!$I$11,""))))))))))</f>
        <v/>
      </c>
      <c r="AB380" t="str">
        <f>IF(NOT($A380),"",
IF(AV380=-2,regle!$J$11,
IF(AV380=regle!$B$12,regle!$B$11,
IF(AV380=regle!$C$12,regle!$C$11,
IF(AV380=regle!$D$12,regle!$D$11,
IF(AV380=regle!$E$12,regle!$E$11,
IF(AV380=regle!$F$12,regle!$F$11,
IF(AV380=regle!$G$12,regle!$G$11,
IF(AV380=regle!$H$12,regle!$H$11,
IF(AV380=regle!$I$12,regle!$I$11,""))))))))))</f>
        <v/>
      </c>
      <c r="AC380" t="str">
        <f>IF(NOT($A380),"",
IF(AW380=-2,regle!$J$11,
IF(AW380=regle!$B$12,regle!$B$11,
IF(AW380=regle!$C$12,regle!$C$11,
IF(AW380=regle!$D$12,regle!$D$11,
IF(AW380=regle!$E$12,regle!$E$11,
IF(AW380=regle!$F$12,regle!$F$11,
IF(AW380=regle!$G$12,regle!$G$11,
IF(AW380=regle!$H$12,regle!$H$11,
IF(AW380=regle!$I$12,regle!$I$11,""))))))))))</f>
        <v/>
      </c>
      <c r="AD380" t="str">
        <f>IF(NOT($A380),"",
IF(AX380=-2,regle!$J$11,
IF(AX380=regle!$B$12,regle!$B$11,
IF(AX380=regle!$C$12,regle!$C$11,
IF(AX380=regle!$D$12,regle!$D$11,
IF(AX380=regle!$E$12,regle!$E$11,
IF(AX380=regle!$F$12,regle!$F$11,
IF(AX380=regle!$G$12,regle!$G$11,
IF(AX380=regle!$H$12,regle!$H$11,
IF(AX380=regle!$I$12,regle!$I$11,""))))))))))</f>
        <v/>
      </c>
      <c r="AE380" s="14" t="b">
        <f>IF($A380,$M380*(IF(U380=regle!$B$11,regle!$B$23,IF(U380=regle!$C$11,regle!$C$23,IF(U380=regle!$D$11,regle!$D$23,IF(U380=regle!$E$11,regle!$E$23,IF(U380=regle!$F$11,regle!$F$23,IF(U380=regle!$G$11,regle!$G$23,IF(U380=regle!$H$11,regle!$H$23,IF(U380=regle!$I$11,regle!$I$23,IF(U380=regle!$J$11,regle!$J$23,0)))))))))))</f>
        <v>0</v>
      </c>
      <c r="AF380" s="14" t="b">
        <f>IF($A380,$M380*(IF(V380=regle!$B$11,regle!$B$23,IF(V380=regle!$C$11,regle!$C$23,IF(V380=regle!$D$11,regle!$D$23,IF(V380=regle!$E$11,regle!$E$23,IF(V380=regle!$F$11,regle!$F$23,IF(V380=regle!$G$11,regle!$G$23,IF(V380=regle!$H$11,regle!$H$23,IF(V380=regle!$I$11,regle!$I$23,IF(V380=regle!$J$11,regle!$J$23,0)))))))))))</f>
        <v>0</v>
      </c>
      <c r="AG380" s="14" t="b">
        <f>IF($A380,$M380*(IF(W380=regle!$B$11,regle!$B$23,IF(W380=regle!$C$11,regle!$C$23,IF(W380=regle!$D$11,regle!$D$23,IF(W380=regle!$E$11,regle!$E$23,IF(W380=regle!$F$11,regle!$F$23,IF(W380=regle!$G$11,regle!$G$23,IF(W380=regle!$H$11,regle!$H$23,IF(W380=regle!$I$11,regle!$I$23,IF(W380=regle!$J$11,regle!$J$23,0)))))))))))</f>
        <v>0</v>
      </c>
      <c r="AH380" s="14" t="b">
        <f>IF($A380,$M380*(IF(X380=regle!$B$11,regle!$B$23,IF(X380=regle!$C$11,regle!$C$23,IF(X380=regle!$D$11,regle!$D$23,IF(X380=regle!$E$11,regle!$E$23,IF(X380=regle!$F$11,regle!$F$23,IF(X380=regle!$G$11,regle!$G$23,IF(X380=regle!$H$11,regle!$H$23,IF(X380=regle!$I$11,regle!$I$23,IF(X380=regle!$J$11,regle!$J$23,0)))))))))))</f>
        <v>0</v>
      </c>
      <c r="AI380" s="14" t="b">
        <f>IF($A380,$M380*(IF(Y380=regle!$B$11,regle!$B$23,IF(Y380=regle!$C$11,regle!$C$23,IF(Y380=regle!$D$11,regle!$D$23,IF(Y380=regle!$E$11,regle!$E$23,IF(Y380=regle!$F$11,regle!$F$23,IF(Y380=regle!$G$11,regle!$G$23,IF(Y380=regle!$H$11,regle!$H$23,IF(Y380=regle!$I$11,regle!$I$23,IF(Y380=regle!$J$11,regle!$J$23,0)))))))))))</f>
        <v>0</v>
      </c>
      <c r="AJ380" s="14" t="b">
        <f>IF($A380,$M380*(IF(Z380=regle!$B$11,regle!$B$23,IF(Z380=regle!$C$11,regle!$C$23,IF(Z380=regle!$D$11,regle!$D$23,IF(Z380=regle!$E$11,regle!$E$23,IF(Z380=regle!$F$11,regle!$F$23,IF(Z380=regle!$G$11,regle!$G$23,IF(Z380=regle!$H$11,regle!$H$23,IF(Z380=regle!$I$11,regle!$I$23,IF(Z380=regle!$J$11,regle!$J$23,0)))))))))))</f>
        <v>0</v>
      </c>
      <c r="AK380" s="14" t="b">
        <f>IF($A380,$M380*(IF(AA380=regle!$B$11,regle!$B$23,IF(AA380=regle!$C$11,regle!$C$23,IF(AA380=regle!$D$11,regle!$D$23,IF(AA380=regle!$E$11,regle!$E$23,IF(AA380=regle!$F$11,regle!$F$23,IF(AA380=regle!$G$11,regle!$G$23,IF(AA380=regle!$H$11,regle!$H$23,IF(AA380=regle!$I$11,regle!$I$23,IF(AA380=regle!$J$11,regle!$J$23,0)))))))))))</f>
        <v>0</v>
      </c>
      <c r="AL380" s="14" t="b">
        <f>IF($A380,$M380*(IF(AB380=regle!$B$11,regle!$B$23,IF(AB380=regle!$C$11,regle!$C$23,IF(AB380=regle!$D$11,regle!$D$23,IF(AB380=regle!$E$11,regle!$E$23,IF(AB380=regle!$F$11,regle!$F$23,IF(AB380=regle!$G$11,regle!$G$23,IF(AB380=regle!$H$11,regle!$H$23,IF(AB380=regle!$I$11,regle!$I$23,IF(AB380=regle!$J$11,regle!$J$23,0)))))))))))</f>
        <v>0</v>
      </c>
      <c r="AM380" s="14" t="b">
        <f>IF($A380,$M380*(IF(AC380=regle!$B$11,regle!$B$23,IF(AC380=regle!$C$11,regle!$C$23,IF(AC380=regle!$D$11,regle!$D$23,IF(AC380=regle!$E$11,regle!$E$23,IF(AC380=regle!$F$11,regle!$F$23,IF(AC380=regle!$G$11,regle!$G$23,IF(AC380=regle!$H$11,regle!$H$23,IF(AC380=regle!$I$11,regle!$I$23,IF(AC380=regle!$J$11,regle!$J$23,0)))))))))))</f>
        <v>0</v>
      </c>
      <c r="AN380" s="14" t="b">
        <f>IF($A380,$M380*(IF(AD380=regle!$B$11,regle!$B$23,IF(AD380=regle!$C$11,regle!$C$23,IF(AD380=regle!$D$11,regle!$D$23,IF(AD380=regle!$E$11,regle!$E$23,IF(AD380=regle!$F$11,regle!$F$23,IF(AD380=regle!$G$11,regle!$G$23,IF(AD380=regle!$H$11,regle!$H$23,IF(AD380=regle!$I$11,regle!$I$23,IF(AD380=regle!$J$11,regle!$J$23,0)))))))))))</f>
        <v>0</v>
      </c>
      <c r="AO380">
        <f>IF(AO$1=$AO$1,IF(regle!B$2-$Q380&gt;=regle!$J$12,-2,IF($S380,IF(regle!$B$2-$Q380&gt;=2,0,-1),regle!B$2-$Q380)),IF(AN380+1&gt;=regle!$J$12,-2,AN380+1))</f>
        <v>34</v>
      </c>
      <c r="AP380">
        <f>IF(AP$1=$AO$1,IF(regle!C$2-$Q380&gt;=regle!$J$12,-2,IF($S380,IF(regle!$B$2-$Q380&gt;=2,0,-1),regle!C$2-$Q380)),IF(AO380+1&gt;=regle!$J$12,-2,AO380+1))</f>
        <v>35</v>
      </c>
      <c r="AQ380">
        <f>IF(AQ$1=$AO$1,IF(regle!D$2-$Q380&gt;=regle!$J$12,-2,IF($S380,IF(regle!$B$2-$Q380&gt;=2,0,-1),regle!D$2-$Q380)),IF(AP380+1&gt;=regle!$J$12,-2,AP380+1))</f>
        <v>36</v>
      </c>
      <c r="AR380">
        <f>IF(AR$1=$AO$1,IF(regle!E$2-$Q380&gt;=regle!$J$12,-2,IF($S380,IF(regle!$B$2-$Q380&gt;=2,0,-1),regle!E$2-$Q380)),IF(AQ380+1&gt;=regle!$J$12,-2,AQ380+1))</f>
        <v>37</v>
      </c>
      <c r="AS380">
        <f>IF(AS$1=$AO$1,IF(regle!F$2-$Q380&gt;=regle!$J$12,-2,IF($S380,IF(regle!$B$2-$Q380&gt;=2,0,-1),regle!F$2-$Q380)),IF(AR380+1&gt;=regle!$J$12,-2,AR380+1))</f>
        <v>38</v>
      </c>
      <c r="AT380">
        <f>IF(AT$1=$AO$1,IF(regle!G$2-$Q380&gt;=regle!$J$12,-2,IF($S380,IF(regle!$B$2-$Q380&gt;=2,0,-1),regle!G$2-$Q380)),IF(AS380+1&gt;=regle!$J$12,-2,AS380+1))</f>
        <v>39</v>
      </c>
      <c r="AU380">
        <f>IF(AU$1=$AO$1,IF(regle!H$2-$Q380&gt;=regle!$J$12,-2,IF($S380,IF(regle!$B$2-$Q380&gt;=2,0,-1),regle!H$2-$Q380)),IF(AT380+1&gt;=regle!$J$12,-2,AT380+1))</f>
        <v>-2</v>
      </c>
      <c r="AV380">
        <f>IF(AV$1=$AO$1,IF(regle!I$2-$Q380&gt;=regle!$J$12,-2,IF($S380,IF(regle!$B$2-$Q380&gt;=2,0,-1),regle!I$2-$Q380)),IF(AU380+1&gt;=regle!$J$12,-2,AU380+1))</f>
        <v>-1</v>
      </c>
      <c r="AW380">
        <f>IF(AW$1=$AO$1,IF(regle!J$2-$Q380&gt;=regle!$J$12,-2,IF($S380,IF(regle!$B$2-$Q380&gt;=2,0,-1),regle!J$2-$Q380)),IF(AV380+1&gt;=regle!$J$12,-2,AV380+1))</f>
        <v>0</v>
      </c>
      <c r="AX380">
        <f>IF(AX$1=$AO$1,IF(regle!K$2-$Q380&gt;=regle!$J$12,-2,IF($S380,IF(regle!$B$2-$Q380&gt;=2,0,-1),regle!K$2-$Q380)),IF(AW380+1&gt;=regle!$J$12,-2,AW380+1))</f>
        <v>1</v>
      </c>
    </row>
    <row r="381" spans="1:50" x14ac:dyDescent="0.25">
      <c r="A381" t="b">
        <f>AND(modif0[[#This Row],[cdstr]]&lt;&gt;0,OR(regle!$H$27=FALSE,modif0[[#This Row],[essnc]]="PM"))</f>
        <v>0</v>
      </c>
      <c r="B381">
        <f>ROW(objet!A23)</f>
        <v>23</v>
      </c>
      <c r="C381" s="10" t="str">
        <f>objet!D23</f>
        <v>5360000A0313</v>
      </c>
      <c r="D381" t="str">
        <f>LEFT(modif0[[#This Row],[cdstr]],3)</f>
        <v>536</v>
      </c>
      <c r="E381" s="10" t="str">
        <f>objet!G23</f>
        <v>LE TUZAN</v>
      </c>
      <c r="F381">
        <f>LEN(modif0[[#This Row],[l_dt]])</f>
        <v>16</v>
      </c>
      <c r="G381" s="10" t="str">
        <f>objet!H23</f>
        <v>LA GRAVE REDONNE</v>
      </c>
      <c r="H381" s="10" t="str">
        <f>objet!C23</f>
        <v>A313</v>
      </c>
      <c r="I381" t="str">
        <f>IF(ISNUMBER(VALUE(RIGHT(LEFT(modif0[[#This Row],[idntfn]],2),1))),_xlfn.CONCAT(0,LEFT(modif0[[#This Row],[idntfn]],1)),LEFT(modif0[[#This Row],[idntfn]],2))</f>
        <v>0A</v>
      </c>
      <c r="J381">
        <f>VALUE(LEFT(RIGHT(modif0[[#This Row],[idntfn]],LEN(modif0[[#This Row],[idntfn]])-IF(LEFT(modif0[[#This Row],[sctn]],1)="0",1,2)),LEN(modif0[[#This Row],[idntfn]])-IF(LEFT(modif0[[#This Row],[sctn]],1)="0",1,2)-LEN(modif0[[#This Row],[lttr]])))</f>
        <v>313</v>
      </c>
      <c r="K381" t="str">
        <f>IF(ISNUMBER(VALUE(RIGHT(modif0[[#This Row],[idntfn]],1))),"",IF(ISNUMBER(VALUE(LEFT(RIGHT(modif0[[#This Row],[idntfn]],2),1))),RIGHT(modif0[[#This Row],[idntfn]],1),RIGHT(modif0[[#This Row],[idntfn]],2)))</f>
        <v/>
      </c>
      <c r="L381" s="10">
        <f>objet!I23</f>
        <v>600</v>
      </c>
      <c r="M381" s="11">
        <f>modif0[[#This Row],[srfc]]/10000</f>
        <v>0.06</v>
      </c>
      <c r="N381" s="10" t="str">
        <f>objet!Z23</f>
        <v>FEUIL</v>
      </c>
      <c r="O381" s="10" t="str">
        <f>objet!AA23</f>
        <v>TAIL1980</v>
      </c>
      <c r="P381" t="str">
        <f>IF(ISNUMBER(modif0[[#This Row],[trvx]]),"",LEFT(modif0[[#This Row],[trvx]],LEN(modif0[[#This Row],[trvx]])-4))</f>
        <v>TAIL</v>
      </c>
      <c r="Q381">
        <f>VALUE(RIGHT(modif0[[#This Row],[trvx]],4))</f>
        <v>1980</v>
      </c>
      <c r="R381" t="str">
        <f>_xlfn.CONCAT(modif0[[#This Row],[tp]],"-",modif0[[#This Row],[essnc]],"_",modif0[[#This Row],[anns]])</f>
        <v>TAIL-FEUIL_1980</v>
      </c>
      <c r="S381" t="b">
        <f>modif0[[#This Row],[tp]]="CR"</f>
        <v>0</v>
      </c>
      <c r="T381">
        <v>40</v>
      </c>
      <c r="U381" t="str">
        <f>IF(NOT($A381),"",
IF(AO381=-2,regle!$J$11,
IF(AO381=regle!$B$12,regle!$B$11,
IF(AO381=regle!$C$12,regle!$C$11,
IF(AO381=regle!$D$12,regle!$D$11,
IF(AO381=regle!$E$12,regle!$E$11,
IF(AO381=regle!$F$12,regle!$F$11,
IF(AO381=regle!$G$12,regle!$G$11,
IF(AO381=regle!$H$12,regle!$H$11,
IF(AO381=regle!$I$12,regle!$I$11,""))))))))))</f>
        <v/>
      </c>
      <c r="V381" t="str">
        <f>IF(NOT($A381),"",
IF(AP381=-2,regle!$J$11,
IF(AP381=regle!$B$12,regle!$B$11,
IF(AP381=regle!$C$12,regle!$C$11,
IF(AP381=regle!$D$12,regle!$D$11,
IF(AP381=regle!$E$12,regle!$E$11,
IF(AP381=regle!$F$12,regle!$F$11,
IF(AP381=regle!$G$12,regle!$G$11,
IF(AP381=regle!$H$12,regle!$H$11,
IF(AP381=regle!$I$12,regle!$I$11,""))))))))))</f>
        <v/>
      </c>
      <c r="W381" t="str">
        <f>IF(NOT($A381),"",
IF(AQ381=-2,regle!$J$11,
IF(AQ381=regle!$B$12,regle!$B$11,
IF(AQ381=regle!$C$12,regle!$C$11,
IF(AQ381=regle!$D$12,regle!$D$11,
IF(AQ381=regle!$E$12,regle!$E$11,
IF(AQ381=regle!$F$12,regle!$F$11,
IF(AQ381=regle!$G$12,regle!$G$11,
IF(AQ381=regle!$H$12,regle!$H$11,
IF(AQ381=regle!$I$12,regle!$I$11,""))))))))))</f>
        <v/>
      </c>
      <c r="X381" t="str">
        <f>IF(NOT($A381),"",
IF(AR381=-2,regle!$J$11,
IF(AR381=regle!$B$12,regle!$B$11,
IF(AR381=regle!$C$12,regle!$C$11,
IF(AR381=regle!$D$12,regle!$D$11,
IF(AR381=regle!$E$12,regle!$E$11,
IF(AR381=regle!$F$12,regle!$F$11,
IF(AR381=regle!$G$12,regle!$G$11,
IF(AR381=regle!$H$12,regle!$H$11,
IF(AR381=regle!$I$12,regle!$I$11,""))))))))))</f>
        <v/>
      </c>
      <c r="Y381" t="str">
        <f>IF(NOT($A381),"",
IF(AS381=-2,regle!$J$11,
IF(AS381=regle!$B$12,regle!$B$11,
IF(AS381=regle!$C$12,regle!$C$11,
IF(AS381=regle!$D$12,regle!$D$11,
IF(AS381=regle!$E$12,regle!$E$11,
IF(AS381=regle!$F$12,regle!$F$11,
IF(AS381=regle!$G$12,regle!$G$11,
IF(AS381=regle!$H$12,regle!$H$11,
IF(AS381=regle!$I$12,regle!$I$11,""))))))))))</f>
        <v/>
      </c>
      <c r="Z381" t="str">
        <f>IF(NOT($A381),"",
IF(AT381=-2,regle!$J$11,
IF(AT381=regle!$B$12,regle!$B$11,
IF(AT381=regle!$C$12,regle!$C$11,
IF(AT381=regle!$D$12,regle!$D$11,
IF(AT381=regle!$E$12,regle!$E$11,
IF(AT381=regle!$F$12,regle!$F$11,
IF(AT381=regle!$G$12,regle!$G$11,
IF(AT381=regle!$H$12,regle!$H$11,
IF(AT381=regle!$I$12,regle!$I$11,""))))))))))</f>
        <v/>
      </c>
      <c r="AA381" t="str">
        <f>IF(NOT($A381),"",
IF(AU381=-2,regle!$J$11,
IF(AU381=regle!$B$12,regle!$B$11,
IF(AU381=regle!$C$12,regle!$C$11,
IF(AU381=regle!$D$12,regle!$D$11,
IF(AU381=regle!$E$12,regle!$E$11,
IF(AU381=regle!$F$12,regle!$F$11,
IF(AU381=regle!$G$12,regle!$G$11,
IF(AU381=regle!$H$12,regle!$H$11,
IF(AU381=regle!$I$12,regle!$I$11,""))))))))))</f>
        <v/>
      </c>
      <c r="AB381" t="str">
        <f>IF(NOT($A381),"",
IF(AV381=-2,regle!$J$11,
IF(AV381=regle!$B$12,regle!$B$11,
IF(AV381=regle!$C$12,regle!$C$11,
IF(AV381=regle!$D$12,regle!$D$11,
IF(AV381=regle!$E$12,regle!$E$11,
IF(AV381=regle!$F$12,regle!$F$11,
IF(AV381=regle!$G$12,regle!$G$11,
IF(AV381=regle!$H$12,regle!$H$11,
IF(AV381=regle!$I$12,regle!$I$11,""))))))))))</f>
        <v/>
      </c>
      <c r="AC381" t="str">
        <f>IF(NOT($A381),"",
IF(AW381=-2,regle!$J$11,
IF(AW381=regle!$B$12,regle!$B$11,
IF(AW381=regle!$C$12,regle!$C$11,
IF(AW381=regle!$D$12,regle!$D$11,
IF(AW381=regle!$E$12,regle!$E$11,
IF(AW381=regle!$F$12,regle!$F$11,
IF(AW381=regle!$G$12,regle!$G$11,
IF(AW381=regle!$H$12,regle!$H$11,
IF(AW381=regle!$I$12,regle!$I$11,""))))))))))</f>
        <v/>
      </c>
      <c r="AD381" t="str">
        <f>IF(NOT($A381),"",
IF(AX381=-2,regle!$J$11,
IF(AX381=regle!$B$12,regle!$B$11,
IF(AX381=regle!$C$12,regle!$C$11,
IF(AX381=regle!$D$12,regle!$D$11,
IF(AX381=regle!$E$12,regle!$E$11,
IF(AX381=regle!$F$12,regle!$F$11,
IF(AX381=regle!$G$12,regle!$G$11,
IF(AX381=regle!$H$12,regle!$H$11,
IF(AX381=regle!$I$12,regle!$I$11,""))))))))))</f>
        <v/>
      </c>
      <c r="AE381" s="14" t="b">
        <f>IF($A381,$M381*(IF(U381=regle!$B$11,regle!$B$23,IF(U381=regle!$C$11,regle!$C$23,IF(U381=regle!$D$11,regle!$D$23,IF(U381=regle!$E$11,regle!$E$23,IF(U381=regle!$F$11,regle!$F$23,IF(U381=regle!$G$11,regle!$G$23,IF(U381=regle!$H$11,regle!$H$23,IF(U381=regle!$I$11,regle!$I$23,IF(U381=regle!$J$11,regle!$J$23,0)))))))))))</f>
        <v>0</v>
      </c>
      <c r="AF381" s="14" t="b">
        <f>IF($A381,$M381*(IF(V381=regle!$B$11,regle!$B$23,IF(V381=regle!$C$11,regle!$C$23,IF(V381=regle!$D$11,regle!$D$23,IF(V381=regle!$E$11,regle!$E$23,IF(V381=regle!$F$11,regle!$F$23,IF(V381=regle!$G$11,regle!$G$23,IF(V381=regle!$H$11,regle!$H$23,IF(V381=regle!$I$11,regle!$I$23,IF(V381=regle!$J$11,regle!$J$23,0)))))))))))</f>
        <v>0</v>
      </c>
      <c r="AG381" s="14" t="b">
        <f>IF($A381,$M381*(IF(W381=regle!$B$11,regle!$B$23,IF(W381=regle!$C$11,regle!$C$23,IF(W381=regle!$D$11,regle!$D$23,IF(W381=regle!$E$11,regle!$E$23,IF(W381=regle!$F$11,regle!$F$23,IF(W381=regle!$G$11,regle!$G$23,IF(W381=regle!$H$11,regle!$H$23,IF(W381=regle!$I$11,regle!$I$23,IF(W381=regle!$J$11,regle!$J$23,0)))))))))))</f>
        <v>0</v>
      </c>
      <c r="AH381" s="14" t="b">
        <f>IF($A381,$M381*(IF(X381=regle!$B$11,regle!$B$23,IF(X381=regle!$C$11,regle!$C$23,IF(X381=regle!$D$11,regle!$D$23,IF(X381=regle!$E$11,regle!$E$23,IF(X381=regle!$F$11,regle!$F$23,IF(X381=regle!$G$11,regle!$G$23,IF(X381=regle!$H$11,regle!$H$23,IF(X381=regle!$I$11,regle!$I$23,IF(X381=regle!$J$11,regle!$J$23,0)))))))))))</f>
        <v>0</v>
      </c>
      <c r="AI381" s="14" t="b">
        <f>IF($A381,$M381*(IF(Y381=regle!$B$11,regle!$B$23,IF(Y381=regle!$C$11,regle!$C$23,IF(Y381=regle!$D$11,regle!$D$23,IF(Y381=regle!$E$11,regle!$E$23,IF(Y381=regle!$F$11,regle!$F$23,IF(Y381=regle!$G$11,regle!$G$23,IF(Y381=regle!$H$11,regle!$H$23,IF(Y381=regle!$I$11,regle!$I$23,IF(Y381=regle!$J$11,regle!$J$23,0)))))))))))</f>
        <v>0</v>
      </c>
      <c r="AJ381" s="14" t="b">
        <f>IF($A381,$M381*(IF(Z381=regle!$B$11,regle!$B$23,IF(Z381=regle!$C$11,regle!$C$23,IF(Z381=regle!$D$11,regle!$D$23,IF(Z381=regle!$E$11,regle!$E$23,IF(Z381=regle!$F$11,regle!$F$23,IF(Z381=regle!$G$11,regle!$G$23,IF(Z381=regle!$H$11,regle!$H$23,IF(Z381=regle!$I$11,regle!$I$23,IF(Z381=regle!$J$11,regle!$J$23,0)))))))))))</f>
        <v>0</v>
      </c>
      <c r="AK381" s="14" t="b">
        <f>IF($A381,$M381*(IF(AA381=regle!$B$11,regle!$B$23,IF(AA381=regle!$C$11,regle!$C$23,IF(AA381=regle!$D$11,regle!$D$23,IF(AA381=regle!$E$11,regle!$E$23,IF(AA381=regle!$F$11,regle!$F$23,IF(AA381=regle!$G$11,regle!$G$23,IF(AA381=regle!$H$11,regle!$H$23,IF(AA381=regle!$I$11,regle!$I$23,IF(AA381=regle!$J$11,regle!$J$23,0)))))))))))</f>
        <v>0</v>
      </c>
      <c r="AL381" s="14" t="b">
        <f>IF($A381,$M381*(IF(AB381=regle!$B$11,regle!$B$23,IF(AB381=regle!$C$11,regle!$C$23,IF(AB381=regle!$D$11,regle!$D$23,IF(AB381=regle!$E$11,regle!$E$23,IF(AB381=regle!$F$11,regle!$F$23,IF(AB381=regle!$G$11,regle!$G$23,IF(AB381=regle!$H$11,regle!$H$23,IF(AB381=regle!$I$11,regle!$I$23,IF(AB381=regle!$J$11,regle!$J$23,0)))))))))))</f>
        <v>0</v>
      </c>
      <c r="AM381" s="14" t="b">
        <f>IF($A381,$M381*(IF(AC381=regle!$B$11,regle!$B$23,IF(AC381=regle!$C$11,regle!$C$23,IF(AC381=regle!$D$11,regle!$D$23,IF(AC381=regle!$E$11,regle!$E$23,IF(AC381=regle!$F$11,regle!$F$23,IF(AC381=regle!$G$11,regle!$G$23,IF(AC381=regle!$H$11,regle!$H$23,IF(AC381=regle!$I$11,regle!$I$23,IF(AC381=regle!$J$11,regle!$J$23,0)))))))))))</f>
        <v>0</v>
      </c>
      <c r="AN381" s="14" t="b">
        <f>IF($A381,$M381*(IF(AD381=regle!$B$11,regle!$B$23,IF(AD381=regle!$C$11,regle!$C$23,IF(AD381=regle!$D$11,regle!$D$23,IF(AD381=regle!$E$11,regle!$E$23,IF(AD381=regle!$F$11,regle!$F$23,IF(AD381=regle!$G$11,regle!$G$23,IF(AD381=regle!$H$11,regle!$H$23,IF(AD381=regle!$I$11,regle!$I$23,IF(AD381=regle!$J$11,regle!$J$23,0)))))))))))</f>
        <v>0</v>
      </c>
      <c r="AO381">
        <f>IF(AO$1=$AO$1,IF(regle!B$2-$Q381&gt;=regle!$J$12,-2,IF($S381,IF(regle!$B$2-$Q381&gt;=2,0,-1),regle!B$2-$Q381)),IF(AN381+1&gt;=regle!$J$12,-2,AN381+1))</f>
        <v>-2</v>
      </c>
      <c r="AP381">
        <f>IF(AP$1=$AO$1,IF(regle!C$2-$Q381&gt;=regle!$J$12,-2,IF($S381,IF(regle!$B$2-$Q381&gt;=2,0,-1),regle!C$2-$Q381)),IF(AO381+1&gt;=regle!$J$12,-2,AO381+1))</f>
        <v>-1</v>
      </c>
      <c r="AQ381">
        <f>IF(AQ$1=$AO$1,IF(regle!D$2-$Q381&gt;=regle!$J$12,-2,IF($S381,IF(regle!$B$2-$Q381&gt;=2,0,-1),regle!D$2-$Q381)),IF(AP381+1&gt;=regle!$J$12,-2,AP381+1))</f>
        <v>0</v>
      </c>
      <c r="AR381">
        <f>IF(AR$1=$AO$1,IF(regle!E$2-$Q381&gt;=regle!$J$12,-2,IF($S381,IF(regle!$B$2-$Q381&gt;=2,0,-1),regle!E$2-$Q381)),IF(AQ381+1&gt;=regle!$J$12,-2,AQ381+1))</f>
        <v>1</v>
      </c>
      <c r="AS381">
        <f>IF(AS$1=$AO$1,IF(regle!F$2-$Q381&gt;=regle!$J$12,-2,IF($S381,IF(regle!$B$2-$Q381&gt;=2,0,-1),regle!F$2-$Q381)),IF(AR381+1&gt;=regle!$J$12,-2,AR381+1))</f>
        <v>2</v>
      </c>
      <c r="AT381">
        <f>IF(AT$1=$AO$1,IF(regle!G$2-$Q381&gt;=regle!$J$12,-2,IF($S381,IF(regle!$B$2-$Q381&gt;=2,0,-1),regle!G$2-$Q381)),IF(AS381+1&gt;=regle!$J$12,-2,AS381+1))</f>
        <v>3</v>
      </c>
      <c r="AU381">
        <f>IF(AU$1=$AO$1,IF(regle!H$2-$Q381&gt;=regle!$J$12,-2,IF($S381,IF(regle!$B$2-$Q381&gt;=2,0,-1),regle!H$2-$Q381)),IF(AT381+1&gt;=regle!$J$12,-2,AT381+1))</f>
        <v>4</v>
      </c>
      <c r="AV381">
        <f>IF(AV$1=$AO$1,IF(regle!I$2-$Q381&gt;=regle!$J$12,-2,IF($S381,IF(regle!$B$2-$Q381&gt;=2,0,-1),regle!I$2-$Q381)),IF(AU381+1&gt;=regle!$J$12,-2,AU381+1))</f>
        <v>5</v>
      </c>
      <c r="AW381">
        <f>IF(AW$1=$AO$1,IF(regle!J$2-$Q381&gt;=regle!$J$12,-2,IF($S381,IF(regle!$B$2-$Q381&gt;=2,0,-1),regle!J$2-$Q381)),IF(AV381+1&gt;=regle!$J$12,-2,AV381+1))</f>
        <v>6</v>
      </c>
      <c r="AX381">
        <f>IF(AX$1=$AO$1,IF(regle!K$2-$Q381&gt;=regle!$J$12,-2,IF($S381,IF(regle!$B$2-$Q381&gt;=2,0,-1),regle!K$2-$Q381)),IF(AW381+1&gt;=regle!$J$12,-2,AW381+1))</f>
        <v>7</v>
      </c>
    </row>
    <row r="382" spans="1:50" x14ac:dyDescent="0.25">
      <c r="A382" t="b">
        <f>AND(modif0[[#This Row],[cdstr]]&lt;&gt;0,OR(regle!$H$27=FALSE,modif0[[#This Row],[essnc]]="PM"))</f>
        <v>0</v>
      </c>
      <c r="B382">
        <f>ROW(objet!A28)</f>
        <v>28</v>
      </c>
      <c r="C382" s="10" t="str">
        <f>objet!D28</f>
        <v>5360000A0407</v>
      </c>
      <c r="D382" t="str">
        <f>LEFT(modif0[[#This Row],[cdstr]],3)</f>
        <v>536</v>
      </c>
      <c r="E382" s="10" t="str">
        <f>objet!G28</f>
        <v>LE TUZAN</v>
      </c>
      <c r="F382">
        <f>LEN(modif0[[#This Row],[l_dt]])</f>
        <v>21</v>
      </c>
      <c r="G382" s="10" t="str">
        <f>objet!H28</f>
        <v>METAIRIES DE TABARTON</v>
      </c>
      <c r="H382" s="10" t="str">
        <f>objet!C28</f>
        <v>A407c</v>
      </c>
      <c r="I382" t="str">
        <f>IF(ISNUMBER(VALUE(RIGHT(LEFT(modif0[[#This Row],[idntfn]],2),1))),_xlfn.CONCAT(0,LEFT(modif0[[#This Row],[idntfn]],1)),LEFT(modif0[[#This Row],[idntfn]],2))</f>
        <v>0A</v>
      </c>
      <c r="J382">
        <f>VALUE(LEFT(RIGHT(modif0[[#This Row],[idntfn]],LEN(modif0[[#This Row],[idntfn]])-IF(LEFT(modif0[[#This Row],[sctn]],1)="0",1,2)),LEN(modif0[[#This Row],[idntfn]])-IF(LEFT(modif0[[#This Row],[sctn]],1)="0",1,2)-LEN(modif0[[#This Row],[lttr]])))</f>
        <v>407</v>
      </c>
      <c r="K382" t="str">
        <f>IF(ISNUMBER(VALUE(RIGHT(modif0[[#This Row],[idntfn]],1))),"",IF(ISNUMBER(VALUE(LEFT(RIGHT(modif0[[#This Row],[idntfn]],2),1))),RIGHT(modif0[[#This Row],[idntfn]],1),RIGHT(modif0[[#This Row],[idntfn]],2)))</f>
        <v>c</v>
      </c>
      <c r="L382" s="10">
        <f>objet!I28</f>
        <v>13096</v>
      </c>
      <c r="M382" s="11">
        <f>modif0[[#This Row],[srfc]]/10000</f>
        <v>1.3096000000000001</v>
      </c>
      <c r="N382" s="10" t="str">
        <f>objet!Z28</f>
        <v>FEUIL</v>
      </c>
      <c r="O382" s="10" t="str">
        <f>objet!AA28</f>
        <v>TAIL1987</v>
      </c>
      <c r="P382" t="str">
        <f>IF(ISNUMBER(modif0[[#This Row],[trvx]]),"",LEFT(modif0[[#This Row],[trvx]],LEN(modif0[[#This Row],[trvx]])-4))</f>
        <v>TAIL</v>
      </c>
      <c r="Q382">
        <f>VALUE(RIGHT(modif0[[#This Row],[trvx]],4))</f>
        <v>1987</v>
      </c>
      <c r="R382" t="str">
        <f>_xlfn.CONCAT(modif0[[#This Row],[tp]],"-",modif0[[#This Row],[essnc]],"_",modif0[[#This Row],[anns]])</f>
        <v>TAIL-FEUIL_1987</v>
      </c>
      <c r="S382" t="b">
        <f>modif0[[#This Row],[tp]]="CR"</f>
        <v>0</v>
      </c>
      <c r="T382">
        <v>40</v>
      </c>
      <c r="U382" t="str">
        <f>IF(NOT($A382),"",
IF(AO382=-2,regle!$J$11,
IF(AO382=regle!$B$12,regle!$B$11,
IF(AO382=regle!$C$12,regle!$C$11,
IF(AO382=regle!$D$12,regle!$D$11,
IF(AO382=regle!$E$12,regle!$E$11,
IF(AO382=regle!$F$12,regle!$F$11,
IF(AO382=regle!$G$12,regle!$G$11,
IF(AO382=regle!$H$12,regle!$H$11,
IF(AO382=regle!$I$12,regle!$I$11,""))))))))))</f>
        <v/>
      </c>
      <c r="V382" t="str">
        <f>IF(NOT($A382),"",
IF(AP382=-2,regle!$J$11,
IF(AP382=regle!$B$12,regle!$B$11,
IF(AP382=regle!$C$12,regle!$C$11,
IF(AP382=regle!$D$12,regle!$D$11,
IF(AP382=regle!$E$12,regle!$E$11,
IF(AP382=regle!$F$12,regle!$F$11,
IF(AP382=regle!$G$12,regle!$G$11,
IF(AP382=regle!$H$12,regle!$H$11,
IF(AP382=regle!$I$12,regle!$I$11,""))))))))))</f>
        <v/>
      </c>
      <c r="W382" t="str">
        <f>IF(NOT($A382),"",
IF(AQ382=-2,regle!$J$11,
IF(AQ382=regle!$B$12,regle!$B$11,
IF(AQ382=regle!$C$12,regle!$C$11,
IF(AQ382=regle!$D$12,regle!$D$11,
IF(AQ382=regle!$E$12,regle!$E$11,
IF(AQ382=regle!$F$12,regle!$F$11,
IF(AQ382=regle!$G$12,regle!$G$11,
IF(AQ382=regle!$H$12,regle!$H$11,
IF(AQ382=regle!$I$12,regle!$I$11,""))))))))))</f>
        <v/>
      </c>
      <c r="X382" t="str">
        <f>IF(NOT($A382),"",
IF(AR382=-2,regle!$J$11,
IF(AR382=regle!$B$12,regle!$B$11,
IF(AR382=regle!$C$12,regle!$C$11,
IF(AR382=regle!$D$12,regle!$D$11,
IF(AR382=regle!$E$12,regle!$E$11,
IF(AR382=regle!$F$12,regle!$F$11,
IF(AR382=regle!$G$12,regle!$G$11,
IF(AR382=regle!$H$12,regle!$H$11,
IF(AR382=regle!$I$12,regle!$I$11,""))))))))))</f>
        <v/>
      </c>
      <c r="Y382" t="str">
        <f>IF(NOT($A382),"",
IF(AS382=-2,regle!$J$11,
IF(AS382=regle!$B$12,regle!$B$11,
IF(AS382=regle!$C$12,regle!$C$11,
IF(AS382=regle!$D$12,regle!$D$11,
IF(AS382=regle!$E$12,regle!$E$11,
IF(AS382=regle!$F$12,regle!$F$11,
IF(AS382=regle!$G$12,regle!$G$11,
IF(AS382=regle!$H$12,regle!$H$11,
IF(AS382=regle!$I$12,regle!$I$11,""))))))))))</f>
        <v/>
      </c>
      <c r="Z382" t="str">
        <f>IF(NOT($A382),"",
IF(AT382=-2,regle!$J$11,
IF(AT382=regle!$B$12,regle!$B$11,
IF(AT382=regle!$C$12,regle!$C$11,
IF(AT382=regle!$D$12,regle!$D$11,
IF(AT382=regle!$E$12,regle!$E$11,
IF(AT382=regle!$F$12,regle!$F$11,
IF(AT382=regle!$G$12,regle!$G$11,
IF(AT382=regle!$H$12,regle!$H$11,
IF(AT382=regle!$I$12,regle!$I$11,""))))))))))</f>
        <v/>
      </c>
      <c r="AA382" t="str">
        <f>IF(NOT($A382),"",
IF(AU382=-2,regle!$J$11,
IF(AU382=regle!$B$12,regle!$B$11,
IF(AU382=regle!$C$12,regle!$C$11,
IF(AU382=regle!$D$12,regle!$D$11,
IF(AU382=regle!$E$12,regle!$E$11,
IF(AU382=regle!$F$12,regle!$F$11,
IF(AU382=regle!$G$12,regle!$G$11,
IF(AU382=regle!$H$12,regle!$H$11,
IF(AU382=regle!$I$12,regle!$I$11,""))))))))))</f>
        <v/>
      </c>
      <c r="AB382" t="str">
        <f>IF(NOT($A382),"",
IF(AV382=-2,regle!$J$11,
IF(AV382=regle!$B$12,regle!$B$11,
IF(AV382=regle!$C$12,regle!$C$11,
IF(AV382=regle!$D$12,regle!$D$11,
IF(AV382=regle!$E$12,regle!$E$11,
IF(AV382=regle!$F$12,regle!$F$11,
IF(AV382=regle!$G$12,regle!$G$11,
IF(AV382=regle!$H$12,regle!$H$11,
IF(AV382=regle!$I$12,regle!$I$11,""))))))))))</f>
        <v/>
      </c>
      <c r="AC382" t="str">
        <f>IF(NOT($A382),"",
IF(AW382=-2,regle!$J$11,
IF(AW382=regle!$B$12,regle!$B$11,
IF(AW382=regle!$C$12,regle!$C$11,
IF(AW382=regle!$D$12,regle!$D$11,
IF(AW382=regle!$E$12,regle!$E$11,
IF(AW382=regle!$F$12,regle!$F$11,
IF(AW382=regle!$G$12,regle!$G$11,
IF(AW382=regle!$H$12,regle!$H$11,
IF(AW382=regle!$I$12,regle!$I$11,""))))))))))</f>
        <v/>
      </c>
      <c r="AD382" t="str">
        <f>IF(NOT($A382),"",
IF(AX382=-2,regle!$J$11,
IF(AX382=regle!$B$12,regle!$B$11,
IF(AX382=regle!$C$12,regle!$C$11,
IF(AX382=regle!$D$12,regle!$D$11,
IF(AX382=regle!$E$12,regle!$E$11,
IF(AX382=regle!$F$12,regle!$F$11,
IF(AX382=regle!$G$12,regle!$G$11,
IF(AX382=regle!$H$12,regle!$H$11,
IF(AX382=regle!$I$12,regle!$I$11,""))))))))))</f>
        <v/>
      </c>
      <c r="AE382" s="14" t="b">
        <f>IF($A382,$M382*(IF(U382=regle!$B$11,regle!$B$23,IF(U382=regle!$C$11,regle!$C$23,IF(U382=regle!$D$11,regle!$D$23,IF(U382=regle!$E$11,regle!$E$23,IF(U382=regle!$F$11,regle!$F$23,IF(U382=regle!$G$11,regle!$G$23,IF(U382=regle!$H$11,regle!$H$23,IF(U382=regle!$I$11,regle!$I$23,IF(U382=regle!$J$11,regle!$J$23,0)))))))))))</f>
        <v>0</v>
      </c>
      <c r="AF382" s="14" t="b">
        <f>IF($A382,$M382*(IF(V382=regle!$B$11,regle!$B$23,IF(V382=regle!$C$11,regle!$C$23,IF(V382=regle!$D$11,regle!$D$23,IF(V382=regle!$E$11,regle!$E$23,IF(V382=regle!$F$11,regle!$F$23,IF(V382=regle!$G$11,regle!$G$23,IF(V382=regle!$H$11,regle!$H$23,IF(V382=regle!$I$11,regle!$I$23,IF(V382=regle!$J$11,regle!$J$23,0)))))))))))</f>
        <v>0</v>
      </c>
      <c r="AG382" s="14" t="b">
        <f>IF($A382,$M382*(IF(W382=regle!$B$11,regle!$B$23,IF(W382=regle!$C$11,regle!$C$23,IF(W382=regle!$D$11,regle!$D$23,IF(W382=regle!$E$11,regle!$E$23,IF(W382=regle!$F$11,regle!$F$23,IF(W382=regle!$G$11,regle!$G$23,IF(W382=regle!$H$11,regle!$H$23,IF(W382=regle!$I$11,regle!$I$23,IF(W382=regle!$J$11,regle!$J$23,0)))))))))))</f>
        <v>0</v>
      </c>
      <c r="AH382" s="14" t="b">
        <f>IF($A382,$M382*(IF(X382=regle!$B$11,regle!$B$23,IF(X382=regle!$C$11,regle!$C$23,IF(X382=regle!$D$11,regle!$D$23,IF(X382=regle!$E$11,regle!$E$23,IF(X382=regle!$F$11,regle!$F$23,IF(X382=regle!$G$11,regle!$G$23,IF(X382=regle!$H$11,regle!$H$23,IF(X382=regle!$I$11,regle!$I$23,IF(X382=regle!$J$11,regle!$J$23,0)))))))))))</f>
        <v>0</v>
      </c>
      <c r="AI382" s="14" t="b">
        <f>IF($A382,$M382*(IF(Y382=regle!$B$11,regle!$B$23,IF(Y382=regle!$C$11,regle!$C$23,IF(Y382=regle!$D$11,regle!$D$23,IF(Y382=regle!$E$11,regle!$E$23,IF(Y382=regle!$F$11,regle!$F$23,IF(Y382=regle!$G$11,regle!$G$23,IF(Y382=regle!$H$11,regle!$H$23,IF(Y382=regle!$I$11,regle!$I$23,IF(Y382=regle!$J$11,regle!$J$23,0)))))))))))</f>
        <v>0</v>
      </c>
      <c r="AJ382" s="14" t="b">
        <f>IF($A382,$M382*(IF(Z382=regle!$B$11,regle!$B$23,IF(Z382=regle!$C$11,regle!$C$23,IF(Z382=regle!$D$11,regle!$D$23,IF(Z382=regle!$E$11,regle!$E$23,IF(Z382=regle!$F$11,regle!$F$23,IF(Z382=regle!$G$11,regle!$G$23,IF(Z382=regle!$H$11,regle!$H$23,IF(Z382=regle!$I$11,regle!$I$23,IF(Z382=regle!$J$11,regle!$J$23,0)))))))))))</f>
        <v>0</v>
      </c>
      <c r="AK382" s="14" t="b">
        <f>IF($A382,$M382*(IF(AA382=regle!$B$11,regle!$B$23,IF(AA382=regle!$C$11,regle!$C$23,IF(AA382=regle!$D$11,regle!$D$23,IF(AA382=regle!$E$11,regle!$E$23,IF(AA382=regle!$F$11,regle!$F$23,IF(AA382=regle!$G$11,regle!$G$23,IF(AA382=regle!$H$11,regle!$H$23,IF(AA382=regle!$I$11,regle!$I$23,IF(AA382=regle!$J$11,regle!$J$23,0)))))))))))</f>
        <v>0</v>
      </c>
      <c r="AL382" s="14" t="b">
        <f>IF($A382,$M382*(IF(AB382=regle!$B$11,regle!$B$23,IF(AB382=regle!$C$11,regle!$C$23,IF(AB382=regle!$D$11,regle!$D$23,IF(AB382=regle!$E$11,regle!$E$23,IF(AB382=regle!$F$11,regle!$F$23,IF(AB382=regle!$G$11,regle!$G$23,IF(AB382=regle!$H$11,regle!$H$23,IF(AB382=regle!$I$11,regle!$I$23,IF(AB382=regle!$J$11,regle!$J$23,0)))))))))))</f>
        <v>0</v>
      </c>
      <c r="AM382" s="14" t="b">
        <f>IF($A382,$M382*(IF(AC382=regle!$B$11,regle!$B$23,IF(AC382=regle!$C$11,regle!$C$23,IF(AC382=regle!$D$11,regle!$D$23,IF(AC382=regle!$E$11,regle!$E$23,IF(AC382=regle!$F$11,regle!$F$23,IF(AC382=regle!$G$11,regle!$G$23,IF(AC382=regle!$H$11,regle!$H$23,IF(AC382=regle!$I$11,regle!$I$23,IF(AC382=regle!$J$11,regle!$J$23,0)))))))))))</f>
        <v>0</v>
      </c>
      <c r="AN382" s="14" t="b">
        <f>IF($A382,$M382*(IF(AD382=regle!$B$11,regle!$B$23,IF(AD382=regle!$C$11,regle!$C$23,IF(AD382=regle!$D$11,regle!$D$23,IF(AD382=regle!$E$11,regle!$E$23,IF(AD382=regle!$F$11,regle!$F$23,IF(AD382=regle!$G$11,regle!$G$23,IF(AD382=regle!$H$11,regle!$H$23,IF(AD382=regle!$I$11,regle!$I$23,IF(AD382=regle!$J$11,regle!$J$23,0)))))))))))</f>
        <v>0</v>
      </c>
      <c r="AO382">
        <f>IF(AO$1=$AO$1,IF(regle!B$2-$Q382&gt;=regle!$J$12,-2,IF($S382,IF(regle!$B$2-$Q382&gt;=2,0,-1),regle!B$2-$Q382)),IF(AN382+1&gt;=regle!$J$12,-2,AN382+1))</f>
        <v>37</v>
      </c>
      <c r="AP382">
        <f>IF(AP$1=$AO$1,IF(regle!C$2-$Q382&gt;=regle!$J$12,-2,IF($S382,IF(regle!$B$2-$Q382&gt;=2,0,-1),regle!C$2-$Q382)),IF(AO382+1&gt;=regle!$J$12,-2,AO382+1))</f>
        <v>38</v>
      </c>
      <c r="AQ382">
        <f>IF(AQ$1=$AO$1,IF(regle!D$2-$Q382&gt;=regle!$J$12,-2,IF($S382,IF(regle!$B$2-$Q382&gt;=2,0,-1),regle!D$2-$Q382)),IF(AP382+1&gt;=regle!$J$12,-2,AP382+1))</f>
        <v>39</v>
      </c>
      <c r="AR382">
        <f>IF(AR$1=$AO$1,IF(regle!E$2-$Q382&gt;=regle!$J$12,-2,IF($S382,IF(regle!$B$2-$Q382&gt;=2,0,-1),regle!E$2-$Q382)),IF(AQ382+1&gt;=regle!$J$12,-2,AQ382+1))</f>
        <v>-2</v>
      </c>
      <c r="AS382">
        <f>IF(AS$1=$AO$1,IF(regle!F$2-$Q382&gt;=regle!$J$12,-2,IF($S382,IF(regle!$B$2-$Q382&gt;=2,0,-1),regle!F$2-$Q382)),IF(AR382+1&gt;=regle!$J$12,-2,AR382+1))</f>
        <v>-1</v>
      </c>
      <c r="AT382">
        <f>IF(AT$1=$AO$1,IF(regle!G$2-$Q382&gt;=regle!$J$12,-2,IF($S382,IF(regle!$B$2-$Q382&gt;=2,0,-1),regle!G$2-$Q382)),IF(AS382+1&gt;=regle!$J$12,-2,AS382+1))</f>
        <v>0</v>
      </c>
      <c r="AU382">
        <f>IF(AU$1=$AO$1,IF(regle!H$2-$Q382&gt;=regle!$J$12,-2,IF($S382,IF(regle!$B$2-$Q382&gt;=2,0,-1),regle!H$2-$Q382)),IF(AT382+1&gt;=regle!$J$12,-2,AT382+1))</f>
        <v>1</v>
      </c>
      <c r="AV382">
        <f>IF(AV$1=$AO$1,IF(regle!I$2-$Q382&gt;=regle!$J$12,-2,IF($S382,IF(regle!$B$2-$Q382&gt;=2,0,-1),regle!I$2-$Q382)),IF(AU382+1&gt;=regle!$J$12,-2,AU382+1))</f>
        <v>2</v>
      </c>
      <c r="AW382">
        <f>IF(AW$1=$AO$1,IF(regle!J$2-$Q382&gt;=regle!$J$12,-2,IF($S382,IF(regle!$B$2-$Q382&gt;=2,0,-1),regle!J$2-$Q382)),IF(AV382+1&gt;=regle!$J$12,-2,AV382+1))</f>
        <v>3</v>
      </c>
      <c r="AX382">
        <f>IF(AX$1=$AO$1,IF(regle!K$2-$Q382&gt;=regle!$J$12,-2,IF($S382,IF(regle!$B$2-$Q382&gt;=2,0,-1),regle!K$2-$Q382)),IF(AW382+1&gt;=regle!$J$12,-2,AW382+1))</f>
        <v>4</v>
      </c>
    </row>
    <row r="383" spans="1:50" x14ac:dyDescent="0.25">
      <c r="A383" t="b">
        <f>AND(modif0[[#This Row],[cdstr]]&lt;&gt;0,OR(regle!$H$27=FALSE,modif0[[#This Row],[essnc]]="PM"))</f>
        <v>0</v>
      </c>
      <c r="B383">
        <f>ROW(objet!A30)</f>
        <v>30</v>
      </c>
      <c r="C383" s="10" t="str">
        <f>objet!D30</f>
        <v>5360000A0407</v>
      </c>
      <c r="D383" t="str">
        <f>LEFT(modif0[[#This Row],[cdstr]],3)</f>
        <v>536</v>
      </c>
      <c r="E383" s="10" t="str">
        <f>objet!G30</f>
        <v>LE TUZAN</v>
      </c>
      <c r="F383">
        <f>LEN(modif0[[#This Row],[l_dt]])</f>
        <v>21</v>
      </c>
      <c r="G383" s="10" t="str">
        <f>objet!H30</f>
        <v>METAIRIES DE TABARTON</v>
      </c>
      <c r="H383" s="10" t="str">
        <f>objet!C30</f>
        <v>A407e</v>
      </c>
      <c r="I383" t="str">
        <f>IF(ISNUMBER(VALUE(RIGHT(LEFT(modif0[[#This Row],[idntfn]],2),1))),_xlfn.CONCAT(0,LEFT(modif0[[#This Row],[idntfn]],1)),LEFT(modif0[[#This Row],[idntfn]],2))</f>
        <v>0A</v>
      </c>
      <c r="J383">
        <f>VALUE(LEFT(RIGHT(modif0[[#This Row],[idntfn]],LEN(modif0[[#This Row],[idntfn]])-IF(LEFT(modif0[[#This Row],[sctn]],1)="0",1,2)),LEN(modif0[[#This Row],[idntfn]])-IF(LEFT(modif0[[#This Row],[sctn]],1)="0",1,2)-LEN(modif0[[#This Row],[lttr]])))</f>
        <v>407</v>
      </c>
      <c r="K383" t="str">
        <f>IF(ISNUMBER(VALUE(RIGHT(modif0[[#This Row],[idntfn]],1))),"",IF(ISNUMBER(VALUE(LEFT(RIGHT(modif0[[#This Row],[idntfn]],2),1))),RIGHT(modif0[[#This Row],[idntfn]],1),RIGHT(modif0[[#This Row],[idntfn]],2)))</f>
        <v>e</v>
      </c>
      <c r="L383" s="10">
        <f>objet!I30</f>
        <v>1248</v>
      </c>
      <c r="M383" s="11">
        <f>modif0[[#This Row],[srfc]]/10000</f>
        <v>0.12479999999999999</v>
      </c>
      <c r="N383" s="10" t="str">
        <f>objet!Z30</f>
        <v>FEUIL</v>
      </c>
      <c r="O383" s="10" t="str">
        <f>objet!AA30</f>
        <v>TAIL1987</v>
      </c>
      <c r="P383" t="str">
        <f>IF(ISNUMBER(modif0[[#This Row],[trvx]]),"",LEFT(modif0[[#This Row],[trvx]],LEN(modif0[[#This Row],[trvx]])-4))</f>
        <v>TAIL</v>
      </c>
      <c r="Q383">
        <f>VALUE(RIGHT(modif0[[#This Row],[trvx]],4))</f>
        <v>1987</v>
      </c>
      <c r="R383" t="str">
        <f>_xlfn.CONCAT(modif0[[#This Row],[tp]],"-",modif0[[#This Row],[essnc]],"_",modif0[[#This Row],[anns]])</f>
        <v>TAIL-FEUIL_1987</v>
      </c>
      <c r="S383" t="b">
        <f>modif0[[#This Row],[tp]]="CR"</f>
        <v>0</v>
      </c>
      <c r="T383">
        <v>40</v>
      </c>
      <c r="U383" t="str">
        <f>IF(NOT($A383),"",
IF(AO383=-2,regle!$J$11,
IF(AO383=regle!$B$12,regle!$B$11,
IF(AO383=regle!$C$12,regle!$C$11,
IF(AO383=regle!$D$12,regle!$D$11,
IF(AO383=regle!$E$12,regle!$E$11,
IF(AO383=regle!$F$12,regle!$F$11,
IF(AO383=regle!$G$12,regle!$G$11,
IF(AO383=regle!$H$12,regle!$H$11,
IF(AO383=regle!$I$12,regle!$I$11,""))))))))))</f>
        <v/>
      </c>
      <c r="V383" t="str">
        <f>IF(NOT($A383),"",
IF(AP383=-2,regle!$J$11,
IF(AP383=regle!$B$12,regle!$B$11,
IF(AP383=regle!$C$12,regle!$C$11,
IF(AP383=regle!$D$12,regle!$D$11,
IF(AP383=regle!$E$12,regle!$E$11,
IF(AP383=regle!$F$12,regle!$F$11,
IF(AP383=regle!$G$12,regle!$G$11,
IF(AP383=regle!$H$12,regle!$H$11,
IF(AP383=regle!$I$12,regle!$I$11,""))))))))))</f>
        <v/>
      </c>
      <c r="W383" t="str">
        <f>IF(NOT($A383),"",
IF(AQ383=-2,regle!$J$11,
IF(AQ383=regle!$B$12,regle!$B$11,
IF(AQ383=regle!$C$12,regle!$C$11,
IF(AQ383=regle!$D$12,regle!$D$11,
IF(AQ383=regle!$E$12,regle!$E$11,
IF(AQ383=regle!$F$12,regle!$F$11,
IF(AQ383=regle!$G$12,regle!$G$11,
IF(AQ383=regle!$H$12,regle!$H$11,
IF(AQ383=regle!$I$12,regle!$I$11,""))))))))))</f>
        <v/>
      </c>
      <c r="X383" t="str">
        <f>IF(NOT($A383),"",
IF(AR383=-2,regle!$J$11,
IF(AR383=regle!$B$12,regle!$B$11,
IF(AR383=regle!$C$12,regle!$C$11,
IF(AR383=regle!$D$12,regle!$D$11,
IF(AR383=regle!$E$12,regle!$E$11,
IF(AR383=regle!$F$12,regle!$F$11,
IF(AR383=regle!$G$12,regle!$G$11,
IF(AR383=regle!$H$12,regle!$H$11,
IF(AR383=regle!$I$12,regle!$I$11,""))))))))))</f>
        <v/>
      </c>
      <c r="Y383" t="str">
        <f>IF(NOT($A383),"",
IF(AS383=-2,regle!$J$11,
IF(AS383=regle!$B$12,regle!$B$11,
IF(AS383=regle!$C$12,regle!$C$11,
IF(AS383=regle!$D$12,regle!$D$11,
IF(AS383=regle!$E$12,regle!$E$11,
IF(AS383=regle!$F$12,regle!$F$11,
IF(AS383=regle!$G$12,regle!$G$11,
IF(AS383=regle!$H$12,regle!$H$11,
IF(AS383=regle!$I$12,regle!$I$11,""))))))))))</f>
        <v/>
      </c>
      <c r="Z383" t="str">
        <f>IF(NOT($A383),"",
IF(AT383=-2,regle!$J$11,
IF(AT383=regle!$B$12,regle!$B$11,
IF(AT383=regle!$C$12,regle!$C$11,
IF(AT383=regle!$D$12,regle!$D$11,
IF(AT383=regle!$E$12,regle!$E$11,
IF(AT383=regle!$F$12,regle!$F$11,
IF(AT383=regle!$G$12,regle!$G$11,
IF(AT383=regle!$H$12,regle!$H$11,
IF(AT383=regle!$I$12,regle!$I$11,""))))))))))</f>
        <v/>
      </c>
      <c r="AA383" t="str">
        <f>IF(NOT($A383),"",
IF(AU383=-2,regle!$J$11,
IF(AU383=regle!$B$12,regle!$B$11,
IF(AU383=regle!$C$12,regle!$C$11,
IF(AU383=regle!$D$12,regle!$D$11,
IF(AU383=regle!$E$12,regle!$E$11,
IF(AU383=regle!$F$12,regle!$F$11,
IF(AU383=regle!$G$12,regle!$G$11,
IF(AU383=regle!$H$12,regle!$H$11,
IF(AU383=regle!$I$12,regle!$I$11,""))))))))))</f>
        <v/>
      </c>
      <c r="AB383" t="str">
        <f>IF(NOT($A383),"",
IF(AV383=-2,regle!$J$11,
IF(AV383=regle!$B$12,regle!$B$11,
IF(AV383=regle!$C$12,regle!$C$11,
IF(AV383=regle!$D$12,regle!$D$11,
IF(AV383=regle!$E$12,regle!$E$11,
IF(AV383=regle!$F$12,regle!$F$11,
IF(AV383=regle!$G$12,regle!$G$11,
IF(AV383=regle!$H$12,regle!$H$11,
IF(AV383=regle!$I$12,regle!$I$11,""))))))))))</f>
        <v/>
      </c>
      <c r="AC383" t="str">
        <f>IF(NOT($A383),"",
IF(AW383=-2,regle!$J$11,
IF(AW383=regle!$B$12,regle!$B$11,
IF(AW383=regle!$C$12,regle!$C$11,
IF(AW383=regle!$D$12,regle!$D$11,
IF(AW383=regle!$E$12,regle!$E$11,
IF(AW383=regle!$F$12,regle!$F$11,
IF(AW383=regle!$G$12,regle!$G$11,
IF(AW383=regle!$H$12,regle!$H$11,
IF(AW383=regle!$I$12,regle!$I$11,""))))))))))</f>
        <v/>
      </c>
      <c r="AD383" t="str">
        <f>IF(NOT($A383),"",
IF(AX383=-2,regle!$J$11,
IF(AX383=regle!$B$12,regle!$B$11,
IF(AX383=regle!$C$12,regle!$C$11,
IF(AX383=regle!$D$12,regle!$D$11,
IF(AX383=regle!$E$12,regle!$E$11,
IF(AX383=regle!$F$12,regle!$F$11,
IF(AX383=regle!$G$12,regle!$G$11,
IF(AX383=regle!$H$12,regle!$H$11,
IF(AX383=regle!$I$12,regle!$I$11,""))))))))))</f>
        <v/>
      </c>
      <c r="AE383" s="14" t="b">
        <f>IF($A383,$M383*(IF(U383=regle!$B$11,regle!$B$23,IF(U383=regle!$C$11,regle!$C$23,IF(U383=regle!$D$11,regle!$D$23,IF(U383=regle!$E$11,regle!$E$23,IF(U383=regle!$F$11,regle!$F$23,IF(U383=regle!$G$11,regle!$G$23,IF(U383=regle!$H$11,regle!$H$23,IF(U383=regle!$I$11,regle!$I$23,IF(U383=regle!$J$11,regle!$J$23,0)))))))))))</f>
        <v>0</v>
      </c>
      <c r="AF383" s="14" t="b">
        <f>IF($A383,$M383*(IF(V383=regle!$B$11,regle!$B$23,IF(V383=regle!$C$11,regle!$C$23,IF(V383=regle!$D$11,regle!$D$23,IF(V383=regle!$E$11,regle!$E$23,IF(V383=regle!$F$11,regle!$F$23,IF(V383=regle!$G$11,regle!$G$23,IF(V383=regle!$H$11,regle!$H$23,IF(V383=regle!$I$11,regle!$I$23,IF(V383=regle!$J$11,regle!$J$23,0)))))))))))</f>
        <v>0</v>
      </c>
      <c r="AG383" s="14" t="b">
        <f>IF($A383,$M383*(IF(W383=regle!$B$11,regle!$B$23,IF(W383=regle!$C$11,regle!$C$23,IF(W383=regle!$D$11,regle!$D$23,IF(W383=regle!$E$11,regle!$E$23,IF(W383=regle!$F$11,regle!$F$23,IF(W383=regle!$G$11,regle!$G$23,IF(W383=regle!$H$11,regle!$H$23,IF(W383=regle!$I$11,regle!$I$23,IF(W383=regle!$J$11,regle!$J$23,0)))))))))))</f>
        <v>0</v>
      </c>
      <c r="AH383" s="14" t="b">
        <f>IF($A383,$M383*(IF(X383=regle!$B$11,regle!$B$23,IF(X383=regle!$C$11,regle!$C$23,IF(X383=regle!$D$11,regle!$D$23,IF(X383=regle!$E$11,regle!$E$23,IF(X383=regle!$F$11,regle!$F$23,IF(X383=regle!$G$11,regle!$G$23,IF(X383=regle!$H$11,regle!$H$23,IF(X383=regle!$I$11,regle!$I$23,IF(X383=regle!$J$11,regle!$J$23,0)))))))))))</f>
        <v>0</v>
      </c>
      <c r="AI383" s="14" t="b">
        <f>IF($A383,$M383*(IF(Y383=regle!$B$11,regle!$B$23,IF(Y383=regle!$C$11,regle!$C$23,IF(Y383=regle!$D$11,regle!$D$23,IF(Y383=regle!$E$11,regle!$E$23,IF(Y383=regle!$F$11,regle!$F$23,IF(Y383=regle!$G$11,regle!$G$23,IF(Y383=regle!$H$11,regle!$H$23,IF(Y383=regle!$I$11,regle!$I$23,IF(Y383=regle!$J$11,regle!$J$23,0)))))))))))</f>
        <v>0</v>
      </c>
      <c r="AJ383" s="14" t="b">
        <f>IF($A383,$M383*(IF(Z383=regle!$B$11,regle!$B$23,IF(Z383=regle!$C$11,regle!$C$23,IF(Z383=regle!$D$11,regle!$D$23,IF(Z383=regle!$E$11,regle!$E$23,IF(Z383=regle!$F$11,regle!$F$23,IF(Z383=regle!$G$11,regle!$G$23,IF(Z383=regle!$H$11,regle!$H$23,IF(Z383=regle!$I$11,regle!$I$23,IF(Z383=regle!$J$11,regle!$J$23,0)))))))))))</f>
        <v>0</v>
      </c>
      <c r="AK383" s="14" t="b">
        <f>IF($A383,$M383*(IF(AA383=regle!$B$11,regle!$B$23,IF(AA383=regle!$C$11,regle!$C$23,IF(AA383=regle!$D$11,regle!$D$23,IF(AA383=regle!$E$11,regle!$E$23,IF(AA383=regle!$F$11,regle!$F$23,IF(AA383=regle!$G$11,regle!$G$23,IF(AA383=regle!$H$11,regle!$H$23,IF(AA383=regle!$I$11,regle!$I$23,IF(AA383=regle!$J$11,regle!$J$23,0)))))))))))</f>
        <v>0</v>
      </c>
      <c r="AL383" s="14" t="b">
        <f>IF($A383,$M383*(IF(AB383=regle!$B$11,regle!$B$23,IF(AB383=regle!$C$11,regle!$C$23,IF(AB383=regle!$D$11,regle!$D$23,IF(AB383=regle!$E$11,regle!$E$23,IF(AB383=regle!$F$11,regle!$F$23,IF(AB383=regle!$G$11,regle!$G$23,IF(AB383=regle!$H$11,regle!$H$23,IF(AB383=regle!$I$11,regle!$I$23,IF(AB383=regle!$J$11,regle!$J$23,0)))))))))))</f>
        <v>0</v>
      </c>
      <c r="AM383" s="14" t="b">
        <f>IF($A383,$M383*(IF(AC383=regle!$B$11,regle!$B$23,IF(AC383=regle!$C$11,regle!$C$23,IF(AC383=regle!$D$11,regle!$D$23,IF(AC383=regle!$E$11,regle!$E$23,IF(AC383=regle!$F$11,regle!$F$23,IF(AC383=regle!$G$11,regle!$G$23,IF(AC383=regle!$H$11,regle!$H$23,IF(AC383=regle!$I$11,regle!$I$23,IF(AC383=regle!$J$11,regle!$J$23,0)))))))))))</f>
        <v>0</v>
      </c>
      <c r="AN383" s="14" t="b">
        <f>IF($A383,$M383*(IF(AD383=regle!$B$11,regle!$B$23,IF(AD383=regle!$C$11,regle!$C$23,IF(AD383=regle!$D$11,regle!$D$23,IF(AD383=regle!$E$11,regle!$E$23,IF(AD383=regle!$F$11,regle!$F$23,IF(AD383=regle!$G$11,regle!$G$23,IF(AD383=regle!$H$11,regle!$H$23,IF(AD383=regle!$I$11,regle!$I$23,IF(AD383=regle!$J$11,regle!$J$23,0)))))))))))</f>
        <v>0</v>
      </c>
      <c r="AO383">
        <f>IF(AO$1=$AO$1,IF(regle!B$2-$Q383&gt;=regle!$J$12,-2,IF($S383,IF(regle!$B$2-$Q383&gt;=2,0,-1),regle!B$2-$Q383)),IF(AN383+1&gt;=regle!$J$12,-2,AN383+1))</f>
        <v>37</v>
      </c>
      <c r="AP383">
        <f>IF(AP$1=$AO$1,IF(regle!C$2-$Q383&gt;=regle!$J$12,-2,IF($S383,IF(regle!$B$2-$Q383&gt;=2,0,-1),regle!C$2-$Q383)),IF(AO383+1&gt;=regle!$J$12,-2,AO383+1))</f>
        <v>38</v>
      </c>
      <c r="AQ383">
        <f>IF(AQ$1=$AO$1,IF(regle!D$2-$Q383&gt;=regle!$J$12,-2,IF($S383,IF(regle!$B$2-$Q383&gt;=2,0,-1),regle!D$2-$Q383)),IF(AP383+1&gt;=regle!$J$12,-2,AP383+1))</f>
        <v>39</v>
      </c>
      <c r="AR383">
        <f>IF(AR$1=$AO$1,IF(regle!E$2-$Q383&gt;=regle!$J$12,-2,IF($S383,IF(regle!$B$2-$Q383&gt;=2,0,-1),regle!E$2-$Q383)),IF(AQ383+1&gt;=regle!$J$12,-2,AQ383+1))</f>
        <v>-2</v>
      </c>
      <c r="AS383">
        <f>IF(AS$1=$AO$1,IF(regle!F$2-$Q383&gt;=regle!$J$12,-2,IF($S383,IF(regle!$B$2-$Q383&gt;=2,0,-1),regle!F$2-$Q383)),IF(AR383+1&gt;=regle!$J$12,-2,AR383+1))</f>
        <v>-1</v>
      </c>
      <c r="AT383">
        <f>IF(AT$1=$AO$1,IF(regle!G$2-$Q383&gt;=regle!$J$12,-2,IF($S383,IF(regle!$B$2-$Q383&gt;=2,0,-1),regle!G$2-$Q383)),IF(AS383+1&gt;=regle!$J$12,-2,AS383+1))</f>
        <v>0</v>
      </c>
      <c r="AU383">
        <f>IF(AU$1=$AO$1,IF(regle!H$2-$Q383&gt;=regle!$J$12,-2,IF($S383,IF(regle!$B$2-$Q383&gt;=2,0,-1),regle!H$2-$Q383)),IF(AT383+1&gt;=regle!$J$12,-2,AT383+1))</f>
        <v>1</v>
      </c>
      <c r="AV383">
        <f>IF(AV$1=$AO$1,IF(regle!I$2-$Q383&gt;=regle!$J$12,-2,IF($S383,IF(regle!$B$2-$Q383&gt;=2,0,-1),regle!I$2-$Q383)),IF(AU383+1&gt;=regle!$J$12,-2,AU383+1))</f>
        <v>2</v>
      </c>
      <c r="AW383">
        <f>IF(AW$1=$AO$1,IF(regle!J$2-$Q383&gt;=regle!$J$12,-2,IF($S383,IF(regle!$B$2-$Q383&gt;=2,0,-1),regle!J$2-$Q383)),IF(AV383+1&gt;=regle!$J$12,-2,AV383+1))</f>
        <v>3</v>
      </c>
      <c r="AX383">
        <f>IF(AX$1=$AO$1,IF(regle!K$2-$Q383&gt;=regle!$J$12,-2,IF($S383,IF(regle!$B$2-$Q383&gt;=2,0,-1),regle!K$2-$Q383)),IF(AW383+1&gt;=regle!$J$12,-2,AW383+1))</f>
        <v>4</v>
      </c>
    </row>
    <row r="384" spans="1:50" x14ac:dyDescent="0.25">
      <c r="A384" t="b">
        <f>AND(modif0[[#This Row],[cdstr]]&lt;&gt;0,OR(regle!$H$27=FALSE,modif0[[#This Row],[essnc]]="PM"))</f>
        <v>0</v>
      </c>
      <c r="B384">
        <f>ROW(objet!A36)</f>
        <v>36</v>
      </c>
      <c r="C384" s="10" t="str">
        <f>objet!D36</f>
        <v>5360000A0409</v>
      </c>
      <c r="D384" t="str">
        <f>LEFT(modif0[[#This Row],[cdstr]],3)</f>
        <v>536</v>
      </c>
      <c r="E384" s="10" t="str">
        <f>objet!G36</f>
        <v>LE TUZAN</v>
      </c>
      <c r="F384">
        <f>LEN(modif0[[#This Row],[l_dt]])</f>
        <v>21</v>
      </c>
      <c r="G384" s="10" t="str">
        <f>objet!H36</f>
        <v>METAIRIES DE TABARTON</v>
      </c>
      <c r="H384" s="10" t="str">
        <f>objet!C36</f>
        <v>A409j</v>
      </c>
      <c r="I384" t="str">
        <f>IF(ISNUMBER(VALUE(RIGHT(LEFT(modif0[[#This Row],[idntfn]],2),1))),_xlfn.CONCAT(0,LEFT(modif0[[#This Row],[idntfn]],1)),LEFT(modif0[[#This Row],[idntfn]],2))</f>
        <v>0A</v>
      </c>
      <c r="J384">
        <f>VALUE(LEFT(RIGHT(modif0[[#This Row],[idntfn]],LEN(modif0[[#This Row],[idntfn]])-IF(LEFT(modif0[[#This Row],[sctn]],1)="0",1,2)),LEN(modif0[[#This Row],[idntfn]])-IF(LEFT(modif0[[#This Row],[sctn]],1)="0",1,2)-LEN(modif0[[#This Row],[lttr]])))</f>
        <v>409</v>
      </c>
      <c r="K384" t="str">
        <f>IF(ISNUMBER(VALUE(RIGHT(modif0[[#This Row],[idntfn]],1))),"",IF(ISNUMBER(VALUE(LEFT(RIGHT(modif0[[#This Row],[idntfn]],2),1))),RIGHT(modif0[[#This Row],[idntfn]],1),RIGHT(modif0[[#This Row],[idntfn]],2)))</f>
        <v>j</v>
      </c>
      <c r="L384" s="10">
        <f>objet!I36</f>
        <v>2111</v>
      </c>
      <c r="M384" s="11">
        <f>modif0[[#This Row],[srfc]]/10000</f>
        <v>0.21110000000000001</v>
      </c>
      <c r="N384" s="10" t="str">
        <f>objet!Z36</f>
        <v>FEUIL</v>
      </c>
      <c r="O384" s="10" t="str">
        <f>objet!AA36</f>
        <v>TAIL1985</v>
      </c>
      <c r="P384" t="str">
        <f>IF(ISNUMBER(modif0[[#This Row],[trvx]]),"",LEFT(modif0[[#This Row],[trvx]],LEN(modif0[[#This Row],[trvx]])-4))</f>
        <v>TAIL</v>
      </c>
      <c r="Q384">
        <f>VALUE(RIGHT(modif0[[#This Row],[trvx]],4))</f>
        <v>1985</v>
      </c>
      <c r="R384" t="str">
        <f>_xlfn.CONCAT(modif0[[#This Row],[tp]],"-",modif0[[#This Row],[essnc]],"_",modif0[[#This Row],[anns]])</f>
        <v>TAIL-FEUIL_1985</v>
      </c>
      <c r="S384" t="b">
        <f>modif0[[#This Row],[tp]]="CR"</f>
        <v>0</v>
      </c>
      <c r="T384">
        <v>40</v>
      </c>
      <c r="U384" t="str">
        <f>IF(NOT($A384),"",
IF(AO384=-2,regle!$J$11,
IF(AO384=regle!$B$12,regle!$B$11,
IF(AO384=regle!$C$12,regle!$C$11,
IF(AO384=regle!$D$12,regle!$D$11,
IF(AO384=regle!$E$12,regle!$E$11,
IF(AO384=regle!$F$12,regle!$F$11,
IF(AO384=regle!$G$12,regle!$G$11,
IF(AO384=regle!$H$12,regle!$H$11,
IF(AO384=regle!$I$12,regle!$I$11,""))))))))))</f>
        <v/>
      </c>
      <c r="V384" t="str">
        <f>IF(NOT($A384),"",
IF(AP384=-2,regle!$J$11,
IF(AP384=regle!$B$12,regle!$B$11,
IF(AP384=regle!$C$12,regle!$C$11,
IF(AP384=regle!$D$12,regle!$D$11,
IF(AP384=regle!$E$12,regle!$E$11,
IF(AP384=regle!$F$12,regle!$F$11,
IF(AP384=regle!$G$12,regle!$G$11,
IF(AP384=regle!$H$12,regle!$H$11,
IF(AP384=regle!$I$12,regle!$I$11,""))))))))))</f>
        <v/>
      </c>
      <c r="W384" t="str">
        <f>IF(NOT($A384),"",
IF(AQ384=-2,regle!$J$11,
IF(AQ384=regle!$B$12,regle!$B$11,
IF(AQ384=regle!$C$12,regle!$C$11,
IF(AQ384=regle!$D$12,regle!$D$11,
IF(AQ384=regle!$E$12,regle!$E$11,
IF(AQ384=regle!$F$12,regle!$F$11,
IF(AQ384=regle!$G$12,regle!$G$11,
IF(AQ384=regle!$H$12,regle!$H$11,
IF(AQ384=regle!$I$12,regle!$I$11,""))))))))))</f>
        <v/>
      </c>
      <c r="X384" t="str">
        <f>IF(NOT($A384),"",
IF(AR384=-2,regle!$J$11,
IF(AR384=regle!$B$12,regle!$B$11,
IF(AR384=regle!$C$12,regle!$C$11,
IF(AR384=regle!$D$12,regle!$D$11,
IF(AR384=regle!$E$12,regle!$E$11,
IF(AR384=regle!$F$12,regle!$F$11,
IF(AR384=regle!$G$12,regle!$G$11,
IF(AR384=regle!$H$12,regle!$H$11,
IF(AR384=regle!$I$12,regle!$I$11,""))))))))))</f>
        <v/>
      </c>
      <c r="Y384" t="str">
        <f>IF(NOT($A384),"",
IF(AS384=-2,regle!$J$11,
IF(AS384=regle!$B$12,regle!$B$11,
IF(AS384=regle!$C$12,regle!$C$11,
IF(AS384=regle!$D$12,regle!$D$11,
IF(AS384=regle!$E$12,regle!$E$11,
IF(AS384=regle!$F$12,regle!$F$11,
IF(AS384=regle!$G$12,regle!$G$11,
IF(AS384=regle!$H$12,regle!$H$11,
IF(AS384=regle!$I$12,regle!$I$11,""))))))))))</f>
        <v/>
      </c>
      <c r="Z384" t="str">
        <f>IF(NOT($A384),"",
IF(AT384=-2,regle!$J$11,
IF(AT384=regle!$B$12,regle!$B$11,
IF(AT384=regle!$C$12,regle!$C$11,
IF(AT384=regle!$D$12,regle!$D$11,
IF(AT384=regle!$E$12,regle!$E$11,
IF(AT384=regle!$F$12,regle!$F$11,
IF(AT384=regle!$G$12,regle!$G$11,
IF(AT384=regle!$H$12,regle!$H$11,
IF(AT384=regle!$I$12,regle!$I$11,""))))))))))</f>
        <v/>
      </c>
      <c r="AA384" t="str">
        <f>IF(NOT($A384),"",
IF(AU384=-2,regle!$J$11,
IF(AU384=regle!$B$12,regle!$B$11,
IF(AU384=regle!$C$12,regle!$C$11,
IF(AU384=regle!$D$12,regle!$D$11,
IF(AU384=regle!$E$12,regle!$E$11,
IF(AU384=regle!$F$12,regle!$F$11,
IF(AU384=regle!$G$12,regle!$G$11,
IF(AU384=regle!$H$12,regle!$H$11,
IF(AU384=regle!$I$12,regle!$I$11,""))))))))))</f>
        <v/>
      </c>
      <c r="AB384" t="str">
        <f>IF(NOT($A384),"",
IF(AV384=-2,regle!$J$11,
IF(AV384=regle!$B$12,regle!$B$11,
IF(AV384=regle!$C$12,regle!$C$11,
IF(AV384=regle!$D$12,regle!$D$11,
IF(AV384=regle!$E$12,regle!$E$11,
IF(AV384=regle!$F$12,regle!$F$11,
IF(AV384=regle!$G$12,regle!$G$11,
IF(AV384=regle!$H$12,regle!$H$11,
IF(AV384=regle!$I$12,regle!$I$11,""))))))))))</f>
        <v/>
      </c>
      <c r="AC384" t="str">
        <f>IF(NOT($A384),"",
IF(AW384=-2,regle!$J$11,
IF(AW384=regle!$B$12,regle!$B$11,
IF(AW384=regle!$C$12,regle!$C$11,
IF(AW384=regle!$D$12,regle!$D$11,
IF(AW384=regle!$E$12,regle!$E$11,
IF(AW384=regle!$F$12,regle!$F$11,
IF(AW384=regle!$G$12,regle!$G$11,
IF(AW384=regle!$H$12,regle!$H$11,
IF(AW384=regle!$I$12,regle!$I$11,""))))))))))</f>
        <v/>
      </c>
      <c r="AD384" t="str">
        <f>IF(NOT($A384),"",
IF(AX384=-2,regle!$J$11,
IF(AX384=regle!$B$12,regle!$B$11,
IF(AX384=regle!$C$12,regle!$C$11,
IF(AX384=regle!$D$12,regle!$D$11,
IF(AX384=regle!$E$12,regle!$E$11,
IF(AX384=regle!$F$12,regle!$F$11,
IF(AX384=regle!$G$12,regle!$G$11,
IF(AX384=regle!$H$12,regle!$H$11,
IF(AX384=regle!$I$12,regle!$I$11,""))))))))))</f>
        <v/>
      </c>
      <c r="AE384" s="14" t="b">
        <f>IF($A384,$M384*(IF(U384=regle!$B$11,regle!$B$23,IF(U384=regle!$C$11,regle!$C$23,IF(U384=regle!$D$11,regle!$D$23,IF(U384=regle!$E$11,regle!$E$23,IF(U384=regle!$F$11,regle!$F$23,IF(U384=regle!$G$11,regle!$G$23,IF(U384=regle!$H$11,regle!$H$23,IF(U384=regle!$I$11,regle!$I$23,IF(U384=regle!$J$11,regle!$J$23,0)))))))))))</f>
        <v>0</v>
      </c>
      <c r="AF384" s="14" t="b">
        <f>IF($A384,$M384*(IF(V384=regle!$B$11,regle!$B$23,IF(V384=regle!$C$11,regle!$C$23,IF(V384=regle!$D$11,regle!$D$23,IF(V384=regle!$E$11,regle!$E$23,IF(V384=regle!$F$11,regle!$F$23,IF(V384=regle!$G$11,regle!$G$23,IF(V384=regle!$H$11,regle!$H$23,IF(V384=regle!$I$11,regle!$I$23,IF(V384=regle!$J$11,regle!$J$23,0)))))))))))</f>
        <v>0</v>
      </c>
      <c r="AG384" s="14" t="b">
        <f>IF($A384,$M384*(IF(W384=regle!$B$11,regle!$B$23,IF(W384=regle!$C$11,regle!$C$23,IF(W384=regle!$D$11,regle!$D$23,IF(W384=regle!$E$11,regle!$E$23,IF(W384=regle!$F$11,regle!$F$23,IF(W384=regle!$G$11,regle!$G$23,IF(W384=regle!$H$11,regle!$H$23,IF(W384=regle!$I$11,regle!$I$23,IF(W384=regle!$J$11,regle!$J$23,0)))))))))))</f>
        <v>0</v>
      </c>
      <c r="AH384" s="14" t="b">
        <f>IF($A384,$M384*(IF(X384=regle!$B$11,regle!$B$23,IF(X384=regle!$C$11,regle!$C$23,IF(X384=regle!$D$11,regle!$D$23,IF(X384=regle!$E$11,regle!$E$23,IF(X384=regle!$F$11,regle!$F$23,IF(X384=regle!$G$11,regle!$G$23,IF(X384=regle!$H$11,regle!$H$23,IF(X384=regle!$I$11,regle!$I$23,IF(X384=regle!$J$11,regle!$J$23,0)))))))))))</f>
        <v>0</v>
      </c>
      <c r="AI384" s="14" t="b">
        <f>IF($A384,$M384*(IF(Y384=regle!$B$11,regle!$B$23,IF(Y384=regle!$C$11,regle!$C$23,IF(Y384=regle!$D$11,regle!$D$23,IF(Y384=regle!$E$11,regle!$E$23,IF(Y384=regle!$F$11,regle!$F$23,IF(Y384=regle!$G$11,regle!$G$23,IF(Y384=regle!$H$11,regle!$H$23,IF(Y384=regle!$I$11,regle!$I$23,IF(Y384=regle!$J$11,regle!$J$23,0)))))))))))</f>
        <v>0</v>
      </c>
      <c r="AJ384" s="14" t="b">
        <f>IF($A384,$M384*(IF(Z384=regle!$B$11,regle!$B$23,IF(Z384=regle!$C$11,regle!$C$23,IF(Z384=regle!$D$11,regle!$D$23,IF(Z384=regle!$E$11,regle!$E$23,IF(Z384=regle!$F$11,regle!$F$23,IF(Z384=regle!$G$11,regle!$G$23,IF(Z384=regle!$H$11,regle!$H$23,IF(Z384=regle!$I$11,regle!$I$23,IF(Z384=regle!$J$11,regle!$J$23,0)))))))))))</f>
        <v>0</v>
      </c>
      <c r="AK384" s="14" t="b">
        <f>IF($A384,$M384*(IF(AA384=regle!$B$11,regle!$B$23,IF(AA384=regle!$C$11,regle!$C$23,IF(AA384=regle!$D$11,regle!$D$23,IF(AA384=regle!$E$11,regle!$E$23,IF(AA384=regle!$F$11,regle!$F$23,IF(AA384=regle!$G$11,regle!$G$23,IF(AA384=regle!$H$11,regle!$H$23,IF(AA384=regle!$I$11,regle!$I$23,IF(AA384=regle!$J$11,regle!$J$23,0)))))))))))</f>
        <v>0</v>
      </c>
      <c r="AL384" s="14" t="b">
        <f>IF($A384,$M384*(IF(AB384=regle!$B$11,regle!$B$23,IF(AB384=regle!$C$11,regle!$C$23,IF(AB384=regle!$D$11,regle!$D$23,IF(AB384=regle!$E$11,regle!$E$23,IF(AB384=regle!$F$11,regle!$F$23,IF(AB384=regle!$G$11,regle!$G$23,IF(AB384=regle!$H$11,regle!$H$23,IF(AB384=regle!$I$11,regle!$I$23,IF(AB384=regle!$J$11,regle!$J$23,0)))))))))))</f>
        <v>0</v>
      </c>
      <c r="AM384" s="14" t="b">
        <f>IF($A384,$M384*(IF(AC384=regle!$B$11,regle!$B$23,IF(AC384=regle!$C$11,regle!$C$23,IF(AC384=regle!$D$11,regle!$D$23,IF(AC384=regle!$E$11,regle!$E$23,IF(AC384=regle!$F$11,regle!$F$23,IF(AC384=regle!$G$11,regle!$G$23,IF(AC384=regle!$H$11,regle!$H$23,IF(AC384=regle!$I$11,regle!$I$23,IF(AC384=regle!$J$11,regle!$J$23,0)))))))))))</f>
        <v>0</v>
      </c>
      <c r="AN384" s="14" t="b">
        <f>IF($A384,$M384*(IF(AD384=regle!$B$11,regle!$B$23,IF(AD384=regle!$C$11,regle!$C$23,IF(AD384=regle!$D$11,regle!$D$23,IF(AD384=regle!$E$11,regle!$E$23,IF(AD384=regle!$F$11,regle!$F$23,IF(AD384=regle!$G$11,regle!$G$23,IF(AD384=regle!$H$11,regle!$H$23,IF(AD384=regle!$I$11,regle!$I$23,IF(AD384=regle!$J$11,regle!$J$23,0)))))))))))</f>
        <v>0</v>
      </c>
      <c r="AO384">
        <f>IF(AO$1=$AO$1,IF(regle!B$2-$Q384&gt;=regle!$J$12,-2,IF($S384,IF(regle!$B$2-$Q384&gt;=2,0,-1),regle!B$2-$Q384)),IF(AN384+1&gt;=regle!$J$12,-2,AN384+1))</f>
        <v>39</v>
      </c>
      <c r="AP384">
        <f>IF(AP$1=$AO$1,IF(regle!C$2-$Q384&gt;=regle!$J$12,-2,IF($S384,IF(regle!$B$2-$Q384&gt;=2,0,-1),regle!C$2-$Q384)),IF(AO384+1&gt;=regle!$J$12,-2,AO384+1))</f>
        <v>-2</v>
      </c>
      <c r="AQ384">
        <f>IF(AQ$1=$AO$1,IF(regle!D$2-$Q384&gt;=regle!$J$12,-2,IF($S384,IF(regle!$B$2-$Q384&gt;=2,0,-1),regle!D$2-$Q384)),IF(AP384+1&gt;=regle!$J$12,-2,AP384+1))</f>
        <v>-1</v>
      </c>
      <c r="AR384">
        <f>IF(AR$1=$AO$1,IF(regle!E$2-$Q384&gt;=regle!$J$12,-2,IF($S384,IF(regle!$B$2-$Q384&gt;=2,0,-1),regle!E$2-$Q384)),IF(AQ384+1&gt;=regle!$J$12,-2,AQ384+1))</f>
        <v>0</v>
      </c>
      <c r="AS384">
        <f>IF(AS$1=$AO$1,IF(regle!F$2-$Q384&gt;=regle!$J$12,-2,IF($S384,IF(regle!$B$2-$Q384&gt;=2,0,-1),regle!F$2-$Q384)),IF(AR384+1&gt;=regle!$J$12,-2,AR384+1))</f>
        <v>1</v>
      </c>
      <c r="AT384">
        <f>IF(AT$1=$AO$1,IF(regle!G$2-$Q384&gt;=regle!$J$12,-2,IF($S384,IF(regle!$B$2-$Q384&gt;=2,0,-1),regle!G$2-$Q384)),IF(AS384+1&gt;=regle!$J$12,-2,AS384+1))</f>
        <v>2</v>
      </c>
      <c r="AU384">
        <f>IF(AU$1=$AO$1,IF(regle!H$2-$Q384&gt;=regle!$J$12,-2,IF($S384,IF(regle!$B$2-$Q384&gt;=2,0,-1),regle!H$2-$Q384)),IF(AT384+1&gt;=regle!$J$12,-2,AT384+1))</f>
        <v>3</v>
      </c>
      <c r="AV384">
        <f>IF(AV$1=$AO$1,IF(regle!I$2-$Q384&gt;=regle!$J$12,-2,IF($S384,IF(regle!$B$2-$Q384&gt;=2,0,-1),regle!I$2-$Q384)),IF(AU384+1&gt;=regle!$J$12,-2,AU384+1))</f>
        <v>4</v>
      </c>
      <c r="AW384">
        <f>IF(AW$1=$AO$1,IF(regle!J$2-$Q384&gt;=regle!$J$12,-2,IF($S384,IF(regle!$B$2-$Q384&gt;=2,0,-1),regle!J$2-$Q384)),IF(AV384+1&gt;=regle!$J$12,-2,AV384+1))</f>
        <v>5</v>
      </c>
      <c r="AX384">
        <f>IF(AX$1=$AO$1,IF(regle!K$2-$Q384&gt;=regle!$J$12,-2,IF($S384,IF(regle!$B$2-$Q384&gt;=2,0,-1),regle!K$2-$Q384)),IF(AW384+1&gt;=regle!$J$12,-2,AW384+1))</f>
        <v>6</v>
      </c>
    </row>
    <row r="385" spans="1:50" x14ac:dyDescent="0.25">
      <c r="A385" t="b">
        <f>AND(modif0[[#This Row],[cdstr]]&lt;&gt;0,OR(regle!$H$27=FALSE,modif0[[#This Row],[essnc]]="PM"))</f>
        <v>0</v>
      </c>
      <c r="B385">
        <f>ROW(objet!A38)</f>
        <v>38</v>
      </c>
      <c r="C385" s="10" t="str">
        <f>objet!D38</f>
        <v>5360000A0410</v>
      </c>
      <c r="D385" t="str">
        <f>LEFT(modif0[[#This Row],[cdstr]],3)</f>
        <v>536</v>
      </c>
      <c r="E385" s="10" t="str">
        <f>objet!G38</f>
        <v>LE TUZAN</v>
      </c>
      <c r="F385">
        <f>LEN(modif0[[#This Row],[l_dt]])</f>
        <v>21</v>
      </c>
      <c r="G385" s="10" t="str">
        <f>objet!H38</f>
        <v>METAIRIES DE TABARTON</v>
      </c>
      <c r="H385" s="10" t="str">
        <f>objet!C38</f>
        <v>A410</v>
      </c>
      <c r="I385" t="str">
        <f>IF(ISNUMBER(VALUE(RIGHT(LEFT(modif0[[#This Row],[idntfn]],2),1))),_xlfn.CONCAT(0,LEFT(modif0[[#This Row],[idntfn]],1)),LEFT(modif0[[#This Row],[idntfn]],2))</f>
        <v>0A</v>
      </c>
      <c r="J385">
        <f>VALUE(LEFT(RIGHT(modif0[[#This Row],[idntfn]],LEN(modif0[[#This Row],[idntfn]])-IF(LEFT(modif0[[#This Row],[sctn]],1)="0",1,2)),LEN(modif0[[#This Row],[idntfn]])-IF(LEFT(modif0[[#This Row],[sctn]],1)="0",1,2)-LEN(modif0[[#This Row],[lttr]])))</f>
        <v>410</v>
      </c>
      <c r="K385" t="str">
        <f>IF(ISNUMBER(VALUE(RIGHT(modif0[[#This Row],[idntfn]],1))),"",IF(ISNUMBER(VALUE(LEFT(RIGHT(modif0[[#This Row],[idntfn]],2),1))),RIGHT(modif0[[#This Row],[idntfn]],1),RIGHT(modif0[[#This Row],[idntfn]],2)))</f>
        <v/>
      </c>
      <c r="L385" s="10">
        <f>objet!I38</f>
        <v>3310</v>
      </c>
      <c r="M385" s="11">
        <f>modif0[[#This Row],[srfc]]/10000</f>
        <v>0.33100000000000002</v>
      </c>
      <c r="N385" s="10" t="str">
        <f>objet!Z38</f>
        <v>FEUIL</v>
      </c>
      <c r="O385" s="10" t="str">
        <f>objet!AA38</f>
        <v>TAIL1975</v>
      </c>
      <c r="P385" t="str">
        <f>IF(ISNUMBER(modif0[[#This Row],[trvx]]),"",LEFT(modif0[[#This Row],[trvx]],LEN(modif0[[#This Row],[trvx]])-4))</f>
        <v>TAIL</v>
      </c>
      <c r="Q385">
        <f>VALUE(RIGHT(modif0[[#This Row],[trvx]],4))</f>
        <v>1975</v>
      </c>
      <c r="R385" t="str">
        <f>_xlfn.CONCAT(modif0[[#This Row],[tp]],"-",modif0[[#This Row],[essnc]],"_",modif0[[#This Row],[anns]])</f>
        <v>TAIL-FEUIL_1975</v>
      </c>
      <c r="S385" t="b">
        <f>modif0[[#This Row],[tp]]="CR"</f>
        <v>0</v>
      </c>
      <c r="T385">
        <v>40</v>
      </c>
      <c r="U385" t="str">
        <f>IF(NOT($A385),"",
IF(AO385=-2,regle!$J$11,
IF(AO385=regle!$B$12,regle!$B$11,
IF(AO385=regle!$C$12,regle!$C$11,
IF(AO385=regle!$D$12,regle!$D$11,
IF(AO385=regle!$E$12,regle!$E$11,
IF(AO385=regle!$F$12,regle!$F$11,
IF(AO385=regle!$G$12,regle!$G$11,
IF(AO385=regle!$H$12,regle!$H$11,
IF(AO385=regle!$I$12,regle!$I$11,""))))))))))</f>
        <v/>
      </c>
      <c r="V385" t="str">
        <f>IF(NOT($A385),"",
IF(AP385=-2,regle!$J$11,
IF(AP385=regle!$B$12,regle!$B$11,
IF(AP385=regle!$C$12,regle!$C$11,
IF(AP385=regle!$D$12,regle!$D$11,
IF(AP385=regle!$E$12,regle!$E$11,
IF(AP385=regle!$F$12,regle!$F$11,
IF(AP385=regle!$G$12,regle!$G$11,
IF(AP385=regle!$H$12,regle!$H$11,
IF(AP385=regle!$I$12,regle!$I$11,""))))))))))</f>
        <v/>
      </c>
      <c r="W385" t="str">
        <f>IF(NOT($A385),"",
IF(AQ385=-2,regle!$J$11,
IF(AQ385=regle!$B$12,regle!$B$11,
IF(AQ385=regle!$C$12,regle!$C$11,
IF(AQ385=regle!$D$12,regle!$D$11,
IF(AQ385=regle!$E$12,regle!$E$11,
IF(AQ385=regle!$F$12,regle!$F$11,
IF(AQ385=regle!$G$12,regle!$G$11,
IF(AQ385=regle!$H$12,regle!$H$11,
IF(AQ385=regle!$I$12,regle!$I$11,""))))))))))</f>
        <v/>
      </c>
      <c r="X385" t="str">
        <f>IF(NOT($A385),"",
IF(AR385=-2,regle!$J$11,
IF(AR385=regle!$B$12,regle!$B$11,
IF(AR385=regle!$C$12,regle!$C$11,
IF(AR385=regle!$D$12,regle!$D$11,
IF(AR385=regle!$E$12,regle!$E$11,
IF(AR385=regle!$F$12,regle!$F$11,
IF(AR385=regle!$G$12,regle!$G$11,
IF(AR385=regle!$H$12,regle!$H$11,
IF(AR385=regle!$I$12,regle!$I$11,""))))))))))</f>
        <v/>
      </c>
      <c r="Y385" t="str">
        <f>IF(NOT($A385),"",
IF(AS385=-2,regle!$J$11,
IF(AS385=regle!$B$12,regle!$B$11,
IF(AS385=regle!$C$12,regle!$C$11,
IF(AS385=regle!$D$12,regle!$D$11,
IF(AS385=regle!$E$12,regle!$E$11,
IF(AS385=regle!$F$12,regle!$F$11,
IF(AS385=regle!$G$12,regle!$G$11,
IF(AS385=regle!$H$12,regle!$H$11,
IF(AS385=regle!$I$12,regle!$I$11,""))))))))))</f>
        <v/>
      </c>
      <c r="Z385" t="str">
        <f>IF(NOT($A385),"",
IF(AT385=-2,regle!$J$11,
IF(AT385=regle!$B$12,regle!$B$11,
IF(AT385=regle!$C$12,regle!$C$11,
IF(AT385=regle!$D$12,regle!$D$11,
IF(AT385=regle!$E$12,regle!$E$11,
IF(AT385=regle!$F$12,regle!$F$11,
IF(AT385=regle!$G$12,regle!$G$11,
IF(AT385=regle!$H$12,regle!$H$11,
IF(AT385=regle!$I$12,regle!$I$11,""))))))))))</f>
        <v/>
      </c>
      <c r="AA385" t="str">
        <f>IF(NOT($A385),"",
IF(AU385=-2,regle!$J$11,
IF(AU385=regle!$B$12,regle!$B$11,
IF(AU385=regle!$C$12,regle!$C$11,
IF(AU385=regle!$D$12,regle!$D$11,
IF(AU385=regle!$E$12,regle!$E$11,
IF(AU385=regle!$F$12,regle!$F$11,
IF(AU385=regle!$G$12,regle!$G$11,
IF(AU385=regle!$H$12,regle!$H$11,
IF(AU385=regle!$I$12,regle!$I$11,""))))))))))</f>
        <v/>
      </c>
      <c r="AB385" t="str">
        <f>IF(NOT($A385),"",
IF(AV385=-2,regle!$J$11,
IF(AV385=regle!$B$12,regle!$B$11,
IF(AV385=regle!$C$12,regle!$C$11,
IF(AV385=regle!$D$12,regle!$D$11,
IF(AV385=regle!$E$12,regle!$E$11,
IF(AV385=regle!$F$12,regle!$F$11,
IF(AV385=regle!$G$12,regle!$G$11,
IF(AV385=regle!$H$12,regle!$H$11,
IF(AV385=regle!$I$12,regle!$I$11,""))))))))))</f>
        <v/>
      </c>
      <c r="AC385" t="str">
        <f>IF(NOT($A385),"",
IF(AW385=-2,regle!$J$11,
IF(AW385=regle!$B$12,regle!$B$11,
IF(AW385=regle!$C$12,regle!$C$11,
IF(AW385=regle!$D$12,regle!$D$11,
IF(AW385=regle!$E$12,regle!$E$11,
IF(AW385=regle!$F$12,regle!$F$11,
IF(AW385=regle!$G$12,regle!$G$11,
IF(AW385=regle!$H$12,regle!$H$11,
IF(AW385=regle!$I$12,regle!$I$11,""))))))))))</f>
        <v/>
      </c>
      <c r="AD385" t="str">
        <f>IF(NOT($A385),"",
IF(AX385=-2,regle!$J$11,
IF(AX385=regle!$B$12,regle!$B$11,
IF(AX385=regle!$C$12,regle!$C$11,
IF(AX385=regle!$D$12,regle!$D$11,
IF(AX385=regle!$E$12,regle!$E$11,
IF(AX385=regle!$F$12,regle!$F$11,
IF(AX385=regle!$G$12,regle!$G$11,
IF(AX385=regle!$H$12,regle!$H$11,
IF(AX385=regle!$I$12,regle!$I$11,""))))))))))</f>
        <v/>
      </c>
      <c r="AE385" s="14" t="b">
        <f>IF($A385,$M385*(IF(U385=regle!$B$11,regle!$B$23,IF(U385=regle!$C$11,regle!$C$23,IF(U385=regle!$D$11,regle!$D$23,IF(U385=regle!$E$11,regle!$E$23,IF(U385=regle!$F$11,regle!$F$23,IF(U385=regle!$G$11,regle!$G$23,IF(U385=regle!$H$11,regle!$H$23,IF(U385=regle!$I$11,regle!$I$23,IF(U385=regle!$J$11,regle!$J$23,0)))))))))))</f>
        <v>0</v>
      </c>
      <c r="AF385" s="14" t="b">
        <f>IF($A385,$M385*(IF(V385=regle!$B$11,regle!$B$23,IF(V385=regle!$C$11,regle!$C$23,IF(V385=regle!$D$11,regle!$D$23,IF(V385=regle!$E$11,regle!$E$23,IF(V385=regle!$F$11,regle!$F$23,IF(V385=regle!$G$11,regle!$G$23,IF(V385=regle!$H$11,regle!$H$23,IF(V385=regle!$I$11,regle!$I$23,IF(V385=regle!$J$11,regle!$J$23,0)))))))))))</f>
        <v>0</v>
      </c>
      <c r="AG385" s="14" t="b">
        <f>IF($A385,$M385*(IF(W385=regle!$B$11,regle!$B$23,IF(W385=regle!$C$11,regle!$C$23,IF(W385=regle!$D$11,regle!$D$23,IF(W385=regle!$E$11,regle!$E$23,IF(W385=regle!$F$11,regle!$F$23,IF(W385=regle!$G$11,regle!$G$23,IF(W385=regle!$H$11,regle!$H$23,IF(W385=regle!$I$11,regle!$I$23,IF(W385=regle!$J$11,regle!$J$23,0)))))))))))</f>
        <v>0</v>
      </c>
      <c r="AH385" s="14" t="b">
        <f>IF($A385,$M385*(IF(X385=regle!$B$11,regle!$B$23,IF(X385=regle!$C$11,regle!$C$23,IF(X385=regle!$D$11,regle!$D$23,IF(X385=regle!$E$11,regle!$E$23,IF(X385=regle!$F$11,regle!$F$23,IF(X385=regle!$G$11,regle!$G$23,IF(X385=regle!$H$11,regle!$H$23,IF(X385=regle!$I$11,regle!$I$23,IF(X385=regle!$J$11,regle!$J$23,0)))))))))))</f>
        <v>0</v>
      </c>
      <c r="AI385" s="14" t="b">
        <f>IF($A385,$M385*(IF(Y385=regle!$B$11,regle!$B$23,IF(Y385=regle!$C$11,regle!$C$23,IF(Y385=regle!$D$11,regle!$D$23,IF(Y385=regle!$E$11,regle!$E$23,IF(Y385=regle!$F$11,regle!$F$23,IF(Y385=regle!$G$11,regle!$G$23,IF(Y385=regle!$H$11,regle!$H$23,IF(Y385=regle!$I$11,regle!$I$23,IF(Y385=regle!$J$11,regle!$J$23,0)))))))))))</f>
        <v>0</v>
      </c>
      <c r="AJ385" s="14" t="b">
        <f>IF($A385,$M385*(IF(Z385=regle!$B$11,regle!$B$23,IF(Z385=regle!$C$11,regle!$C$23,IF(Z385=regle!$D$11,regle!$D$23,IF(Z385=regle!$E$11,regle!$E$23,IF(Z385=regle!$F$11,regle!$F$23,IF(Z385=regle!$G$11,regle!$G$23,IF(Z385=regle!$H$11,regle!$H$23,IF(Z385=regle!$I$11,regle!$I$23,IF(Z385=regle!$J$11,regle!$J$23,0)))))))))))</f>
        <v>0</v>
      </c>
      <c r="AK385" s="14" t="b">
        <f>IF($A385,$M385*(IF(AA385=regle!$B$11,regle!$B$23,IF(AA385=regle!$C$11,regle!$C$23,IF(AA385=regle!$D$11,regle!$D$23,IF(AA385=regle!$E$11,regle!$E$23,IF(AA385=regle!$F$11,regle!$F$23,IF(AA385=regle!$G$11,regle!$G$23,IF(AA385=regle!$H$11,regle!$H$23,IF(AA385=regle!$I$11,regle!$I$23,IF(AA385=regle!$J$11,regle!$J$23,0)))))))))))</f>
        <v>0</v>
      </c>
      <c r="AL385" s="14" t="b">
        <f>IF($A385,$M385*(IF(AB385=regle!$B$11,regle!$B$23,IF(AB385=regle!$C$11,regle!$C$23,IF(AB385=regle!$D$11,regle!$D$23,IF(AB385=regle!$E$11,regle!$E$23,IF(AB385=regle!$F$11,regle!$F$23,IF(AB385=regle!$G$11,regle!$G$23,IF(AB385=regle!$H$11,regle!$H$23,IF(AB385=regle!$I$11,regle!$I$23,IF(AB385=regle!$J$11,regle!$J$23,0)))))))))))</f>
        <v>0</v>
      </c>
      <c r="AM385" s="14" t="b">
        <f>IF($A385,$M385*(IF(AC385=regle!$B$11,regle!$B$23,IF(AC385=regle!$C$11,regle!$C$23,IF(AC385=regle!$D$11,regle!$D$23,IF(AC385=regle!$E$11,regle!$E$23,IF(AC385=regle!$F$11,regle!$F$23,IF(AC385=regle!$G$11,regle!$G$23,IF(AC385=regle!$H$11,regle!$H$23,IF(AC385=regle!$I$11,regle!$I$23,IF(AC385=regle!$J$11,regle!$J$23,0)))))))))))</f>
        <v>0</v>
      </c>
      <c r="AN385" s="14" t="b">
        <f>IF($A385,$M385*(IF(AD385=regle!$B$11,regle!$B$23,IF(AD385=regle!$C$11,regle!$C$23,IF(AD385=regle!$D$11,regle!$D$23,IF(AD385=regle!$E$11,regle!$E$23,IF(AD385=regle!$F$11,regle!$F$23,IF(AD385=regle!$G$11,regle!$G$23,IF(AD385=regle!$H$11,regle!$H$23,IF(AD385=regle!$I$11,regle!$I$23,IF(AD385=regle!$J$11,regle!$J$23,0)))))))))))</f>
        <v>0</v>
      </c>
      <c r="AO385">
        <f>IF(AO$1=$AO$1,IF(regle!B$2-$Q385&gt;=regle!$J$12,-2,IF($S385,IF(regle!$B$2-$Q385&gt;=2,0,-1),regle!B$2-$Q385)),IF(AN385+1&gt;=regle!$J$12,-2,AN385+1))</f>
        <v>-2</v>
      </c>
      <c r="AP385">
        <f>IF(AP$1=$AO$1,IF(regle!C$2-$Q385&gt;=regle!$J$12,-2,IF($S385,IF(regle!$B$2-$Q385&gt;=2,0,-1),regle!C$2-$Q385)),IF(AO385+1&gt;=regle!$J$12,-2,AO385+1))</f>
        <v>-1</v>
      </c>
      <c r="AQ385">
        <f>IF(AQ$1=$AO$1,IF(regle!D$2-$Q385&gt;=regle!$J$12,-2,IF($S385,IF(regle!$B$2-$Q385&gt;=2,0,-1),regle!D$2-$Q385)),IF(AP385+1&gt;=regle!$J$12,-2,AP385+1))</f>
        <v>0</v>
      </c>
      <c r="AR385">
        <f>IF(AR$1=$AO$1,IF(regle!E$2-$Q385&gt;=regle!$J$12,-2,IF($S385,IF(regle!$B$2-$Q385&gt;=2,0,-1),regle!E$2-$Q385)),IF(AQ385+1&gt;=regle!$J$12,-2,AQ385+1))</f>
        <v>1</v>
      </c>
      <c r="AS385">
        <f>IF(AS$1=$AO$1,IF(regle!F$2-$Q385&gt;=regle!$J$12,-2,IF($S385,IF(regle!$B$2-$Q385&gt;=2,0,-1),regle!F$2-$Q385)),IF(AR385+1&gt;=regle!$J$12,-2,AR385+1))</f>
        <v>2</v>
      </c>
      <c r="AT385">
        <f>IF(AT$1=$AO$1,IF(regle!G$2-$Q385&gt;=regle!$J$12,-2,IF($S385,IF(regle!$B$2-$Q385&gt;=2,0,-1),regle!G$2-$Q385)),IF(AS385+1&gt;=regle!$J$12,-2,AS385+1))</f>
        <v>3</v>
      </c>
      <c r="AU385">
        <f>IF(AU$1=$AO$1,IF(regle!H$2-$Q385&gt;=regle!$J$12,-2,IF($S385,IF(regle!$B$2-$Q385&gt;=2,0,-1),regle!H$2-$Q385)),IF(AT385+1&gt;=regle!$J$12,-2,AT385+1))</f>
        <v>4</v>
      </c>
      <c r="AV385">
        <f>IF(AV$1=$AO$1,IF(regle!I$2-$Q385&gt;=regle!$J$12,-2,IF($S385,IF(regle!$B$2-$Q385&gt;=2,0,-1),regle!I$2-$Q385)),IF(AU385+1&gt;=regle!$J$12,-2,AU385+1))</f>
        <v>5</v>
      </c>
      <c r="AW385">
        <f>IF(AW$1=$AO$1,IF(regle!J$2-$Q385&gt;=regle!$J$12,-2,IF($S385,IF(regle!$B$2-$Q385&gt;=2,0,-1),regle!J$2-$Q385)),IF(AV385+1&gt;=regle!$J$12,-2,AV385+1))</f>
        <v>6</v>
      </c>
      <c r="AX385">
        <f>IF(AX$1=$AO$1,IF(regle!K$2-$Q385&gt;=regle!$J$12,-2,IF($S385,IF(regle!$B$2-$Q385&gt;=2,0,-1),regle!K$2-$Q385)),IF(AW385+1&gt;=regle!$J$12,-2,AW385+1))</f>
        <v>7</v>
      </c>
    </row>
    <row r="386" spans="1:50" x14ac:dyDescent="0.25">
      <c r="A386" t="b">
        <f>AND(modif0[[#This Row],[cdstr]]&lt;&gt;0,OR(regle!$H$27=FALSE,modif0[[#This Row],[essnc]]="PM"))</f>
        <v>0</v>
      </c>
      <c r="B386">
        <f>ROW(objet!A41)</f>
        <v>41</v>
      </c>
      <c r="C386" s="10" t="str">
        <f>objet!D41</f>
        <v>5360000A0414</v>
      </c>
      <c r="D386" t="str">
        <f>LEFT(modif0[[#This Row],[cdstr]],3)</f>
        <v>536</v>
      </c>
      <c r="E386" s="10" t="str">
        <f>objet!G41</f>
        <v>LE TUZAN</v>
      </c>
      <c r="F386">
        <f>LEN(modif0[[#This Row],[l_dt]])</f>
        <v>21</v>
      </c>
      <c r="G386" s="10" t="str">
        <f>objet!H41</f>
        <v>METAIRIES DE TABARTON</v>
      </c>
      <c r="H386" s="10" t="str">
        <f>objet!C41</f>
        <v>A414k</v>
      </c>
      <c r="I386" t="str">
        <f>IF(ISNUMBER(VALUE(RIGHT(LEFT(modif0[[#This Row],[idntfn]],2),1))),_xlfn.CONCAT(0,LEFT(modif0[[#This Row],[idntfn]],1)),LEFT(modif0[[#This Row],[idntfn]],2))</f>
        <v>0A</v>
      </c>
      <c r="J386">
        <f>VALUE(LEFT(RIGHT(modif0[[#This Row],[idntfn]],LEN(modif0[[#This Row],[idntfn]])-IF(LEFT(modif0[[#This Row],[sctn]],1)="0",1,2)),LEN(modif0[[#This Row],[idntfn]])-IF(LEFT(modif0[[#This Row],[sctn]],1)="0",1,2)-LEN(modif0[[#This Row],[lttr]])))</f>
        <v>414</v>
      </c>
      <c r="K386" t="str">
        <f>IF(ISNUMBER(VALUE(RIGHT(modif0[[#This Row],[idntfn]],1))),"",IF(ISNUMBER(VALUE(LEFT(RIGHT(modif0[[#This Row],[idntfn]],2),1))),RIGHT(modif0[[#This Row],[idntfn]],1),RIGHT(modif0[[#This Row],[idntfn]],2)))</f>
        <v>k</v>
      </c>
      <c r="L386" s="10">
        <f>objet!I41</f>
        <v>2037</v>
      </c>
      <c r="M386" s="11">
        <f>modif0[[#This Row],[srfc]]/10000</f>
        <v>0.20369999999999999</v>
      </c>
      <c r="N386" s="10" t="str">
        <f>objet!Z41</f>
        <v>FEUIL</v>
      </c>
      <c r="O386" s="10" t="str">
        <f>objet!AA41</f>
        <v>TAIL1975</v>
      </c>
      <c r="P386" t="str">
        <f>IF(ISNUMBER(modif0[[#This Row],[trvx]]),"",LEFT(modif0[[#This Row],[trvx]],LEN(modif0[[#This Row],[trvx]])-4))</f>
        <v>TAIL</v>
      </c>
      <c r="Q386">
        <f>VALUE(RIGHT(modif0[[#This Row],[trvx]],4))</f>
        <v>1975</v>
      </c>
      <c r="R386" t="str">
        <f>_xlfn.CONCAT(modif0[[#This Row],[tp]],"-",modif0[[#This Row],[essnc]],"_",modif0[[#This Row],[anns]])</f>
        <v>TAIL-FEUIL_1975</v>
      </c>
      <c r="S386" t="b">
        <f>modif0[[#This Row],[tp]]="CR"</f>
        <v>0</v>
      </c>
      <c r="T386">
        <v>40</v>
      </c>
      <c r="U386" t="str">
        <f>IF(NOT($A386),"",
IF(AO386=-2,regle!$J$11,
IF(AO386=regle!$B$12,regle!$B$11,
IF(AO386=regle!$C$12,regle!$C$11,
IF(AO386=regle!$D$12,regle!$D$11,
IF(AO386=regle!$E$12,regle!$E$11,
IF(AO386=regle!$F$12,regle!$F$11,
IF(AO386=regle!$G$12,regle!$G$11,
IF(AO386=regle!$H$12,regle!$H$11,
IF(AO386=regle!$I$12,regle!$I$11,""))))))))))</f>
        <v/>
      </c>
      <c r="V386" t="str">
        <f>IF(NOT($A386),"",
IF(AP386=-2,regle!$J$11,
IF(AP386=regle!$B$12,regle!$B$11,
IF(AP386=regle!$C$12,regle!$C$11,
IF(AP386=regle!$D$12,regle!$D$11,
IF(AP386=regle!$E$12,regle!$E$11,
IF(AP386=regle!$F$12,regle!$F$11,
IF(AP386=regle!$G$12,regle!$G$11,
IF(AP386=regle!$H$12,regle!$H$11,
IF(AP386=regle!$I$12,regle!$I$11,""))))))))))</f>
        <v/>
      </c>
      <c r="W386" t="str">
        <f>IF(NOT($A386),"",
IF(AQ386=-2,regle!$J$11,
IF(AQ386=regle!$B$12,regle!$B$11,
IF(AQ386=regle!$C$12,regle!$C$11,
IF(AQ386=regle!$D$12,regle!$D$11,
IF(AQ386=regle!$E$12,regle!$E$11,
IF(AQ386=regle!$F$12,regle!$F$11,
IF(AQ386=regle!$G$12,regle!$G$11,
IF(AQ386=regle!$H$12,regle!$H$11,
IF(AQ386=regle!$I$12,regle!$I$11,""))))))))))</f>
        <v/>
      </c>
      <c r="X386" t="str">
        <f>IF(NOT($A386),"",
IF(AR386=-2,regle!$J$11,
IF(AR386=regle!$B$12,regle!$B$11,
IF(AR386=regle!$C$12,regle!$C$11,
IF(AR386=regle!$D$12,regle!$D$11,
IF(AR386=regle!$E$12,regle!$E$11,
IF(AR386=regle!$F$12,regle!$F$11,
IF(AR386=regle!$G$12,regle!$G$11,
IF(AR386=regle!$H$12,regle!$H$11,
IF(AR386=regle!$I$12,regle!$I$11,""))))))))))</f>
        <v/>
      </c>
      <c r="Y386" t="str">
        <f>IF(NOT($A386),"",
IF(AS386=-2,regle!$J$11,
IF(AS386=regle!$B$12,regle!$B$11,
IF(AS386=regle!$C$12,regle!$C$11,
IF(AS386=regle!$D$12,regle!$D$11,
IF(AS386=regle!$E$12,regle!$E$11,
IF(AS386=regle!$F$12,regle!$F$11,
IF(AS386=regle!$G$12,regle!$G$11,
IF(AS386=regle!$H$12,regle!$H$11,
IF(AS386=regle!$I$12,regle!$I$11,""))))))))))</f>
        <v/>
      </c>
      <c r="Z386" t="str">
        <f>IF(NOT($A386),"",
IF(AT386=-2,regle!$J$11,
IF(AT386=regle!$B$12,regle!$B$11,
IF(AT386=regle!$C$12,regle!$C$11,
IF(AT386=regle!$D$12,regle!$D$11,
IF(AT386=regle!$E$12,regle!$E$11,
IF(AT386=regle!$F$12,regle!$F$11,
IF(AT386=regle!$G$12,regle!$G$11,
IF(AT386=regle!$H$12,regle!$H$11,
IF(AT386=regle!$I$12,regle!$I$11,""))))))))))</f>
        <v/>
      </c>
      <c r="AA386" t="str">
        <f>IF(NOT($A386),"",
IF(AU386=-2,regle!$J$11,
IF(AU386=regle!$B$12,regle!$B$11,
IF(AU386=regle!$C$12,regle!$C$11,
IF(AU386=regle!$D$12,regle!$D$11,
IF(AU386=regle!$E$12,regle!$E$11,
IF(AU386=regle!$F$12,regle!$F$11,
IF(AU386=regle!$G$12,regle!$G$11,
IF(AU386=regle!$H$12,regle!$H$11,
IF(AU386=regle!$I$12,regle!$I$11,""))))))))))</f>
        <v/>
      </c>
      <c r="AB386" t="str">
        <f>IF(NOT($A386),"",
IF(AV386=-2,regle!$J$11,
IF(AV386=regle!$B$12,regle!$B$11,
IF(AV386=regle!$C$12,regle!$C$11,
IF(AV386=regle!$D$12,regle!$D$11,
IF(AV386=regle!$E$12,regle!$E$11,
IF(AV386=regle!$F$12,regle!$F$11,
IF(AV386=regle!$G$12,regle!$G$11,
IF(AV386=regle!$H$12,regle!$H$11,
IF(AV386=regle!$I$12,regle!$I$11,""))))))))))</f>
        <v/>
      </c>
      <c r="AC386" t="str">
        <f>IF(NOT($A386),"",
IF(AW386=-2,regle!$J$11,
IF(AW386=regle!$B$12,regle!$B$11,
IF(AW386=regle!$C$12,regle!$C$11,
IF(AW386=regle!$D$12,regle!$D$11,
IF(AW386=regle!$E$12,regle!$E$11,
IF(AW386=regle!$F$12,regle!$F$11,
IF(AW386=regle!$G$12,regle!$G$11,
IF(AW386=regle!$H$12,regle!$H$11,
IF(AW386=regle!$I$12,regle!$I$11,""))))))))))</f>
        <v/>
      </c>
      <c r="AD386" t="str">
        <f>IF(NOT($A386),"",
IF(AX386=-2,regle!$J$11,
IF(AX386=regle!$B$12,regle!$B$11,
IF(AX386=regle!$C$12,regle!$C$11,
IF(AX386=regle!$D$12,regle!$D$11,
IF(AX386=regle!$E$12,regle!$E$11,
IF(AX386=regle!$F$12,regle!$F$11,
IF(AX386=regle!$G$12,regle!$G$11,
IF(AX386=regle!$H$12,regle!$H$11,
IF(AX386=regle!$I$12,regle!$I$11,""))))))))))</f>
        <v/>
      </c>
      <c r="AE386" s="14" t="b">
        <f>IF($A386,$M386*(IF(U386=regle!$B$11,regle!$B$23,IF(U386=regle!$C$11,regle!$C$23,IF(U386=regle!$D$11,regle!$D$23,IF(U386=regle!$E$11,regle!$E$23,IF(U386=regle!$F$11,regle!$F$23,IF(U386=regle!$G$11,regle!$G$23,IF(U386=regle!$H$11,regle!$H$23,IF(U386=regle!$I$11,regle!$I$23,IF(U386=regle!$J$11,regle!$J$23,0)))))))))))</f>
        <v>0</v>
      </c>
      <c r="AF386" s="14" t="b">
        <f>IF($A386,$M386*(IF(V386=regle!$B$11,regle!$B$23,IF(V386=regle!$C$11,regle!$C$23,IF(V386=regle!$D$11,regle!$D$23,IF(V386=regle!$E$11,regle!$E$23,IF(V386=regle!$F$11,regle!$F$23,IF(V386=regle!$G$11,regle!$G$23,IF(V386=regle!$H$11,regle!$H$23,IF(V386=regle!$I$11,regle!$I$23,IF(V386=regle!$J$11,regle!$J$23,0)))))))))))</f>
        <v>0</v>
      </c>
      <c r="AG386" s="14" t="b">
        <f>IF($A386,$M386*(IF(W386=regle!$B$11,regle!$B$23,IF(W386=regle!$C$11,regle!$C$23,IF(W386=regle!$D$11,regle!$D$23,IF(W386=regle!$E$11,regle!$E$23,IF(W386=regle!$F$11,regle!$F$23,IF(W386=regle!$G$11,regle!$G$23,IF(W386=regle!$H$11,regle!$H$23,IF(W386=regle!$I$11,regle!$I$23,IF(W386=regle!$J$11,regle!$J$23,0)))))))))))</f>
        <v>0</v>
      </c>
      <c r="AH386" s="14" t="b">
        <f>IF($A386,$M386*(IF(X386=regle!$B$11,regle!$B$23,IF(X386=regle!$C$11,regle!$C$23,IF(X386=regle!$D$11,regle!$D$23,IF(X386=regle!$E$11,regle!$E$23,IF(X386=regle!$F$11,regle!$F$23,IF(X386=regle!$G$11,regle!$G$23,IF(X386=regle!$H$11,regle!$H$23,IF(X386=regle!$I$11,regle!$I$23,IF(X386=regle!$J$11,regle!$J$23,0)))))))))))</f>
        <v>0</v>
      </c>
      <c r="AI386" s="14" t="b">
        <f>IF($A386,$M386*(IF(Y386=regle!$B$11,regle!$B$23,IF(Y386=regle!$C$11,regle!$C$23,IF(Y386=regle!$D$11,regle!$D$23,IF(Y386=regle!$E$11,regle!$E$23,IF(Y386=regle!$F$11,regle!$F$23,IF(Y386=regle!$G$11,regle!$G$23,IF(Y386=regle!$H$11,regle!$H$23,IF(Y386=regle!$I$11,regle!$I$23,IF(Y386=regle!$J$11,regle!$J$23,0)))))))))))</f>
        <v>0</v>
      </c>
      <c r="AJ386" s="14" t="b">
        <f>IF($A386,$M386*(IF(Z386=regle!$B$11,regle!$B$23,IF(Z386=regle!$C$11,regle!$C$23,IF(Z386=regle!$D$11,regle!$D$23,IF(Z386=regle!$E$11,regle!$E$23,IF(Z386=regle!$F$11,regle!$F$23,IF(Z386=regle!$G$11,regle!$G$23,IF(Z386=regle!$H$11,regle!$H$23,IF(Z386=regle!$I$11,regle!$I$23,IF(Z386=regle!$J$11,regle!$J$23,0)))))))))))</f>
        <v>0</v>
      </c>
      <c r="AK386" s="14" t="b">
        <f>IF($A386,$M386*(IF(AA386=regle!$B$11,regle!$B$23,IF(AA386=regle!$C$11,regle!$C$23,IF(AA386=regle!$D$11,regle!$D$23,IF(AA386=regle!$E$11,regle!$E$23,IF(AA386=regle!$F$11,regle!$F$23,IF(AA386=regle!$G$11,regle!$G$23,IF(AA386=regle!$H$11,regle!$H$23,IF(AA386=regle!$I$11,regle!$I$23,IF(AA386=regle!$J$11,regle!$J$23,0)))))))))))</f>
        <v>0</v>
      </c>
      <c r="AL386" s="14" t="b">
        <f>IF($A386,$M386*(IF(AB386=regle!$B$11,regle!$B$23,IF(AB386=regle!$C$11,regle!$C$23,IF(AB386=regle!$D$11,regle!$D$23,IF(AB386=regle!$E$11,regle!$E$23,IF(AB386=regle!$F$11,regle!$F$23,IF(AB386=regle!$G$11,regle!$G$23,IF(AB386=regle!$H$11,regle!$H$23,IF(AB386=regle!$I$11,regle!$I$23,IF(AB386=regle!$J$11,regle!$J$23,0)))))))))))</f>
        <v>0</v>
      </c>
      <c r="AM386" s="14" t="b">
        <f>IF($A386,$M386*(IF(AC386=regle!$B$11,regle!$B$23,IF(AC386=regle!$C$11,regle!$C$23,IF(AC386=regle!$D$11,regle!$D$23,IF(AC386=regle!$E$11,regle!$E$23,IF(AC386=regle!$F$11,regle!$F$23,IF(AC386=regle!$G$11,regle!$G$23,IF(AC386=regle!$H$11,regle!$H$23,IF(AC386=regle!$I$11,regle!$I$23,IF(AC386=regle!$J$11,regle!$J$23,0)))))))))))</f>
        <v>0</v>
      </c>
      <c r="AN386" s="14" t="b">
        <f>IF($A386,$M386*(IF(AD386=regle!$B$11,regle!$B$23,IF(AD386=regle!$C$11,regle!$C$23,IF(AD386=regle!$D$11,regle!$D$23,IF(AD386=regle!$E$11,regle!$E$23,IF(AD386=regle!$F$11,regle!$F$23,IF(AD386=regle!$G$11,regle!$G$23,IF(AD386=regle!$H$11,regle!$H$23,IF(AD386=regle!$I$11,regle!$I$23,IF(AD386=regle!$J$11,regle!$J$23,0)))))))))))</f>
        <v>0</v>
      </c>
      <c r="AO386">
        <f>IF(AO$1=$AO$1,IF(regle!B$2-$Q386&gt;=regle!$J$12,-2,IF($S386,IF(regle!$B$2-$Q386&gt;=2,0,-1),regle!B$2-$Q386)),IF(AN386+1&gt;=regle!$J$12,-2,AN386+1))</f>
        <v>-2</v>
      </c>
      <c r="AP386">
        <f>IF(AP$1=$AO$1,IF(regle!C$2-$Q386&gt;=regle!$J$12,-2,IF($S386,IF(regle!$B$2-$Q386&gt;=2,0,-1),regle!C$2-$Q386)),IF(AO386+1&gt;=regle!$J$12,-2,AO386+1))</f>
        <v>-1</v>
      </c>
      <c r="AQ386">
        <f>IF(AQ$1=$AO$1,IF(regle!D$2-$Q386&gt;=regle!$J$12,-2,IF($S386,IF(regle!$B$2-$Q386&gt;=2,0,-1),regle!D$2-$Q386)),IF(AP386+1&gt;=regle!$J$12,-2,AP386+1))</f>
        <v>0</v>
      </c>
      <c r="AR386">
        <f>IF(AR$1=$AO$1,IF(regle!E$2-$Q386&gt;=regle!$J$12,-2,IF($S386,IF(regle!$B$2-$Q386&gt;=2,0,-1),regle!E$2-$Q386)),IF(AQ386+1&gt;=regle!$J$12,-2,AQ386+1))</f>
        <v>1</v>
      </c>
      <c r="AS386">
        <f>IF(AS$1=$AO$1,IF(regle!F$2-$Q386&gt;=regle!$J$12,-2,IF($S386,IF(regle!$B$2-$Q386&gt;=2,0,-1),regle!F$2-$Q386)),IF(AR386+1&gt;=regle!$J$12,-2,AR386+1))</f>
        <v>2</v>
      </c>
      <c r="AT386">
        <f>IF(AT$1=$AO$1,IF(regle!G$2-$Q386&gt;=regle!$J$12,-2,IF($S386,IF(regle!$B$2-$Q386&gt;=2,0,-1),regle!G$2-$Q386)),IF(AS386+1&gt;=regle!$J$12,-2,AS386+1))</f>
        <v>3</v>
      </c>
      <c r="AU386">
        <f>IF(AU$1=$AO$1,IF(regle!H$2-$Q386&gt;=regle!$J$12,-2,IF($S386,IF(regle!$B$2-$Q386&gt;=2,0,-1),regle!H$2-$Q386)),IF(AT386+1&gt;=regle!$J$12,-2,AT386+1))</f>
        <v>4</v>
      </c>
      <c r="AV386">
        <f>IF(AV$1=$AO$1,IF(regle!I$2-$Q386&gt;=regle!$J$12,-2,IF($S386,IF(regle!$B$2-$Q386&gt;=2,0,-1),regle!I$2-$Q386)),IF(AU386+1&gt;=regle!$J$12,-2,AU386+1))</f>
        <v>5</v>
      </c>
      <c r="AW386">
        <f>IF(AW$1=$AO$1,IF(regle!J$2-$Q386&gt;=regle!$J$12,-2,IF($S386,IF(regle!$B$2-$Q386&gt;=2,0,-1),regle!J$2-$Q386)),IF(AV386+1&gt;=regle!$J$12,-2,AV386+1))</f>
        <v>6</v>
      </c>
      <c r="AX386">
        <f>IF(AX$1=$AO$1,IF(regle!K$2-$Q386&gt;=regle!$J$12,-2,IF($S386,IF(regle!$B$2-$Q386&gt;=2,0,-1),regle!K$2-$Q386)),IF(AW386+1&gt;=regle!$J$12,-2,AW386+1))</f>
        <v>7</v>
      </c>
    </row>
    <row r="387" spans="1:50" x14ac:dyDescent="0.25">
      <c r="A387" t="b">
        <f>AND(modif0[[#This Row],[cdstr]]&lt;&gt;0,OR(regle!$H$27=FALSE,modif0[[#This Row],[essnc]]="PM"))</f>
        <v>0</v>
      </c>
      <c r="B387">
        <f>ROW(objet!A42)</f>
        <v>42</v>
      </c>
      <c r="C387" s="10" t="str">
        <f>objet!D42</f>
        <v>5360000A0415</v>
      </c>
      <c r="D387" t="str">
        <f>LEFT(modif0[[#This Row],[cdstr]],3)</f>
        <v>536</v>
      </c>
      <c r="E387" s="10" t="str">
        <f>objet!G42</f>
        <v>LE TUZAN</v>
      </c>
      <c r="F387">
        <f>LEN(modif0[[#This Row],[l_dt]])</f>
        <v>21</v>
      </c>
      <c r="G387" s="10" t="str">
        <f>objet!H42</f>
        <v>METAIRIES DE TABARTON</v>
      </c>
      <c r="H387" s="10" t="str">
        <f>objet!C42</f>
        <v>A415j</v>
      </c>
      <c r="I387" t="str">
        <f>IF(ISNUMBER(VALUE(RIGHT(LEFT(modif0[[#This Row],[idntfn]],2),1))),_xlfn.CONCAT(0,LEFT(modif0[[#This Row],[idntfn]],1)),LEFT(modif0[[#This Row],[idntfn]],2))</f>
        <v>0A</v>
      </c>
      <c r="J387">
        <f>VALUE(LEFT(RIGHT(modif0[[#This Row],[idntfn]],LEN(modif0[[#This Row],[idntfn]])-IF(LEFT(modif0[[#This Row],[sctn]],1)="0",1,2)),LEN(modif0[[#This Row],[idntfn]])-IF(LEFT(modif0[[#This Row],[sctn]],1)="0",1,2)-LEN(modif0[[#This Row],[lttr]])))</f>
        <v>415</v>
      </c>
      <c r="K387" t="str">
        <f>IF(ISNUMBER(VALUE(RIGHT(modif0[[#This Row],[idntfn]],1))),"",IF(ISNUMBER(VALUE(LEFT(RIGHT(modif0[[#This Row],[idntfn]],2),1))),RIGHT(modif0[[#This Row],[idntfn]],1),RIGHT(modif0[[#This Row],[idntfn]],2)))</f>
        <v>j</v>
      </c>
      <c r="L387" s="10">
        <f>objet!I42</f>
        <v>5324</v>
      </c>
      <c r="M387" s="11">
        <f>modif0[[#This Row],[srfc]]/10000</f>
        <v>0.53239999999999998</v>
      </c>
      <c r="N387" s="10" t="str">
        <f>objet!Z42</f>
        <v>FEUIL</v>
      </c>
      <c r="O387" s="10" t="str">
        <f>objet!AA42</f>
        <v>TAIL1975</v>
      </c>
      <c r="P387" t="str">
        <f>IF(ISNUMBER(modif0[[#This Row],[trvx]]),"",LEFT(modif0[[#This Row],[trvx]],LEN(modif0[[#This Row],[trvx]])-4))</f>
        <v>TAIL</v>
      </c>
      <c r="Q387">
        <f>VALUE(RIGHT(modif0[[#This Row],[trvx]],4))</f>
        <v>1975</v>
      </c>
      <c r="R387" t="str">
        <f>_xlfn.CONCAT(modif0[[#This Row],[tp]],"-",modif0[[#This Row],[essnc]],"_",modif0[[#This Row],[anns]])</f>
        <v>TAIL-FEUIL_1975</v>
      </c>
      <c r="S387" t="b">
        <f>modif0[[#This Row],[tp]]="CR"</f>
        <v>0</v>
      </c>
      <c r="T387">
        <v>40</v>
      </c>
      <c r="U387" t="str">
        <f>IF(NOT($A387),"",
IF(AO387=-2,regle!$J$11,
IF(AO387=regle!$B$12,regle!$B$11,
IF(AO387=regle!$C$12,regle!$C$11,
IF(AO387=regle!$D$12,regle!$D$11,
IF(AO387=regle!$E$12,regle!$E$11,
IF(AO387=regle!$F$12,regle!$F$11,
IF(AO387=regle!$G$12,regle!$G$11,
IF(AO387=regle!$H$12,regle!$H$11,
IF(AO387=regle!$I$12,regle!$I$11,""))))))))))</f>
        <v/>
      </c>
      <c r="V387" t="str">
        <f>IF(NOT($A387),"",
IF(AP387=-2,regle!$J$11,
IF(AP387=regle!$B$12,regle!$B$11,
IF(AP387=regle!$C$12,regle!$C$11,
IF(AP387=regle!$D$12,regle!$D$11,
IF(AP387=regle!$E$12,regle!$E$11,
IF(AP387=regle!$F$12,regle!$F$11,
IF(AP387=regle!$G$12,regle!$G$11,
IF(AP387=regle!$H$12,regle!$H$11,
IF(AP387=regle!$I$12,regle!$I$11,""))))))))))</f>
        <v/>
      </c>
      <c r="W387" t="str">
        <f>IF(NOT($A387),"",
IF(AQ387=-2,regle!$J$11,
IF(AQ387=regle!$B$12,regle!$B$11,
IF(AQ387=regle!$C$12,regle!$C$11,
IF(AQ387=regle!$D$12,regle!$D$11,
IF(AQ387=regle!$E$12,regle!$E$11,
IF(AQ387=regle!$F$12,regle!$F$11,
IF(AQ387=regle!$G$12,regle!$G$11,
IF(AQ387=regle!$H$12,regle!$H$11,
IF(AQ387=regle!$I$12,regle!$I$11,""))))))))))</f>
        <v/>
      </c>
      <c r="X387" t="str">
        <f>IF(NOT($A387),"",
IF(AR387=-2,regle!$J$11,
IF(AR387=regle!$B$12,regle!$B$11,
IF(AR387=regle!$C$12,regle!$C$11,
IF(AR387=regle!$D$12,regle!$D$11,
IF(AR387=regle!$E$12,regle!$E$11,
IF(AR387=regle!$F$12,regle!$F$11,
IF(AR387=regle!$G$12,regle!$G$11,
IF(AR387=regle!$H$12,regle!$H$11,
IF(AR387=regle!$I$12,regle!$I$11,""))))))))))</f>
        <v/>
      </c>
      <c r="Y387" t="str">
        <f>IF(NOT($A387),"",
IF(AS387=-2,regle!$J$11,
IF(AS387=regle!$B$12,regle!$B$11,
IF(AS387=regle!$C$12,regle!$C$11,
IF(AS387=regle!$D$12,regle!$D$11,
IF(AS387=regle!$E$12,regle!$E$11,
IF(AS387=regle!$F$12,regle!$F$11,
IF(AS387=regle!$G$12,regle!$G$11,
IF(AS387=regle!$H$12,regle!$H$11,
IF(AS387=regle!$I$12,regle!$I$11,""))))))))))</f>
        <v/>
      </c>
      <c r="Z387" t="str">
        <f>IF(NOT($A387),"",
IF(AT387=-2,regle!$J$11,
IF(AT387=regle!$B$12,regle!$B$11,
IF(AT387=regle!$C$12,regle!$C$11,
IF(AT387=regle!$D$12,regle!$D$11,
IF(AT387=regle!$E$12,regle!$E$11,
IF(AT387=regle!$F$12,regle!$F$11,
IF(AT387=regle!$G$12,regle!$G$11,
IF(AT387=regle!$H$12,regle!$H$11,
IF(AT387=regle!$I$12,regle!$I$11,""))))))))))</f>
        <v/>
      </c>
      <c r="AA387" t="str">
        <f>IF(NOT($A387),"",
IF(AU387=-2,regle!$J$11,
IF(AU387=regle!$B$12,regle!$B$11,
IF(AU387=regle!$C$12,regle!$C$11,
IF(AU387=regle!$D$12,regle!$D$11,
IF(AU387=regle!$E$12,regle!$E$11,
IF(AU387=regle!$F$12,regle!$F$11,
IF(AU387=regle!$G$12,regle!$G$11,
IF(AU387=regle!$H$12,regle!$H$11,
IF(AU387=regle!$I$12,regle!$I$11,""))))))))))</f>
        <v/>
      </c>
      <c r="AB387" t="str">
        <f>IF(NOT($A387),"",
IF(AV387=-2,regle!$J$11,
IF(AV387=regle!$B$12,regle!$B$11,
IF(AV387=regle!$C$12,regle!$C$11,
IF(AV387=regle!$D$12,regle!$D$11,
IF(AV387=regle!$E$12,regle!$E$11,
IF(AV387=regle!$F$12,regle!$F$11,
IF(AV387=regle!$G$12,regle!$G$11,
IF(AV387=regle!$H$12,regle!$H$11,
IF(AV387=regle!$I$12,regle!$I$11,""))))))))))</f>
        <v/>
      </c>
      <c r="AC387" t="str">
        <f>IF(NOT($A387),"",
IF(AW387=-2,regle!$J$11,
IF(AW387=regle!$B$12,regle!$B$11,
IF(AW387=regle!$C$12,regle!$C$11,
IF(AW387=regle!$D$12,regle!$D$11,
IF(AW387=regle!$E$12,regle!$E$11,
IF(AW387=regle!$F$12,regle!$F$11,
IF(AW387=regle!$G$12,regle!$G$11,
IF(AW387=regle!$H$12,regle!$H$11,
IF(AW387=regle!$I$12,regle!$I$11,""))))))))))</f>
        <v/>
      </c>
      <c r="AD387" t="str">
        <f>IF(NOT($A387),"",
IF(AX387=-2,regle!$J$11,
IF(AX387=regle!$B$12,regle!$B$11,
IF(AX387=regle!$C$12,regle!$C$11,
IF(AX387=regle!$D$12,regle!$D$11,
IF(AX387=regle!$E$12,regle!$E$11,
IF(AX387=regle!$F$12,regle!$F$11,
IF(AX387=regle!$G$12,regle!$G$11,
IF(AX387=regle!$H$12,regle!$H$11,
IF(AX387=regle!$I$12,regle!$I$11,""))))))))))</f>
        <v/>
      </c>
      <c r="AE387" s="14" t="b">
        <f>IF($A387,$M387*(IF(U387=regle!$B$11,regle!$B$23,IF(U387=regle!$C$11,regle!$C$23,IF(U387=regle!$D$11,regle!$D$23,IF(U387=regle!$E$11,regle!$E$23,IF(U387=regle!$F$11,regle!$F$23,IF(U387=regle!$G$11,regle!$G$23,IF(U387=regle!$H$11,regle!$H$23,IF(U387=regle!$I$11,regle!$I$23,IF(U387=regle!$J$11,regle!$J$23,0)))))))))))</f>
        <v>0</v>
      </c>
      <c r="AF387" s="14" t="b">
        <f>IF($A387,$M387*(IF(V387=regle!$B$11,regle!$B$23,IF(V387=regle!$C$11,regle!$C$23,IF(V387=regle!$D$11,regle!$D$23,IF(V387=regle!$E$11,regle!$E$23,IF(V387=regle!$F$11,regle!$F$23,IF(V387=regle!$G$11,regle!$G$23,IF(V387=regle!$H$11,regle!$H$23,IF(V387=regle!$I$11,regle!$I$23,IF(V387=regle!$J$11,regle!$J$23,0)))))))))))</f>
        <v>0</v>
      </c>
      <c r="AG387" s="14" t="b">
        <f>IF($A387,$M387*(IF(W387=regle!$B$11,regle!$B$23,IF(W387=regle!$C$11,regle!$C$23,IF(W387=regle!$D$11,regle!$D$23,IF(W387=regle!$E$11,regle!$E$23,IF(W387=regle!$F$11,regle!$F$23,IF(W387=regle!$G$11,regle!$G$23,IF(W387=regle!$H$11,regle!$H$23,IF(W387=regle!$I$11,regle!$I$23,IF(W387=regle!$J$11,regle!$J$23,0)))))))))))</f>
        <v>0</v>
      </c>
      <c r="AH387" s="14" t="b">
        <f>IF($A387,$M387*(IF(X387=regle!$B$11,regle!$B$23,IF(X387=regle!$C$11,regle!$C$23,IF(X387=regle!$D$11,regle!$D$23,IF(X387=regle!$E$11,regle!$E$23,IF(X387=regle!$F$11,regle!$F$23,IF(X387=regle!$G$11,regle!$G$23,IF(X387=regle!$H$11,regle!$H$23,IF(X387=regle!$I$11,regle!$I$23,IF(X387=regle!$J$11,regle!$J$23,0)))))))))))</f>
        <v>0</v>
      </c>
      <c r="AI387" s="14" t="b">
        <f>IF($A387,$M387*(IF(Y387=regle!$B$11,regle!$B$23,IF(Y387=regle!$C$11,regle!$C$23,IF(Y387=regle!$D$11,regle!$D$23,IF(Y387=regle!$E$11,regle!$E$23,IF(Y387=regle!$F$11,regle!$F$23,IF(Y387=regle!$G$11,regle!$G$23,IF(Y387=regle!$H$11,regle!$H$23,IF(Y387=regle!$I$11,regle!$I$23,IF(Y387=regle!$J$11,regle!$J$23,0)))))))))))</f>
        <v>0</v>
      </c>
      <c r="AJ387" s="14" t="b">
        <f>IF($A387,$M387*(IF(Z387=regle!$B$11,regle!$B$23,IF(Z387=regle!$C$11,regle!$C$23,IF(Z387=regle!$D$11,regle!$D$23,IF(Z387=regle!$E$11,regle!$E$23,IF(Z387=regle!$F$11,regle!$F$23,IF(Z387=regle!$G$11,regle!$G$23,IF(Z387=regle!$H$11,regle!$H$23,IF(Z387=regle!$I$11,regle!$I$23,IF(Z387=regle!$J$11,regle!$J$23,0)))))))))))</f>
        <v>0</v>
      </c>
      <c r="AK387" s="14" t="b">
        <f>IF($A387,$M387*(IF(AA387=regle!$B$11,regle!$B$23,IF(AA387=regle!$C$11,regle!$C$23,IF(AA387=regle!$D$11,regle!$D$23,IF(AA387=regle!$E$11,regle!$E$23,IF(AA387=regle!$F$11,regle!$F$23,IF(AA387=regle!$G$11,regle!$G$23,IF(AA387=regle!$H$11,regle!$H$23,IF(AA387=regle!$I$11,regle!$I$23,IF(AA387=regle!$J$11,regle!$J$23,0)))))))))))</f>
        <v>0</v>
      </c>
      <c r="AL387" s="14" t="b">
        <f>IF($A387,$M387*(IF(AB387=regle!$B$11,regle!$B$23,IF(AB387=regle!$C$11,regle!$C$23,IF(AB387=regle!$D$11,regle!$D$23,IF(AB387=regle!$E$11,regle!$E$23,IF(AB387=regle!$F$11,regle!$F$23,IF(AB387=regle!$G$11,regle!$G$23,IF(AB387=regle!$H$11,regle!$H$23,IF(AB387=regle!$I$11,regle!$I$23,IF(AB387=regle!$J$11,regle!$J$23,0)))))))))))</f>
        <v>0</v>
      </c>
      <c r="AM387" s="14" t="b">
        <f>IF($A387,$M387*(IF(AC387=regle!$B$11,regle!$B$23,IF(AC387=regle!$C$11,regle!$C$23,IF(AC387=regle!$D$11,regle!$D$23,IF(AC387=regle!$E$11,regle!$E$23,IF(AC387=regle!$F$11,regle!$F$23,IF(AC387=regle!$G$11,regle!$G$23,IF(AC387=regle!$H$11,regle!$H$23,IF(AC387=regle!$I$11,regle!$I$23,IF(AC387=regle!$J$11,regle!$J$23,0)))))))))))</f>
        <v>0</v>
      </c>
      <c r="AN387" s="14" t="b">
        <f>IF($A387,$M387*(IF(AD387=regle!$B$11,regle!$B$23,IF(AD387=regle!$C$11,regle!$C$23,IF(AD387=regle!$D$11,regle!$D$23,IF(AD387=regle!$E$11,regle!$E$23,IF(AD387=regle!$F$11,regle!$F$23,IF(AD387=regle!$G$11,regle!$G$23,IF(AD387=regle!$H$11,regle!$H$23,IF(AD387=regle!$I$11,regle!$I$23,IF(AD387=regle!$J$11,regle!$J$23,0)))))))))))</f>
        <v>0</v>
      </c>
      <c r="AO387">
        <f>IF(AO$1=$AO$1,IF(regle!B$2-$Q387&gt;=regle!$J$12,-2,IF($S387,IF(regle!$B$2-$Q387&gt;=2,0,-1),regle!B$2-$Q387)),IF(AN387+1&gt;=regle!$J$12,-2,AN387+1))</f>
        <v>-2</v>
      </c>
      <c r="AP387">
        <f>IF(AP$1=$AO$1,IF(regle!C$2-$Q387&gt;=regle!$J$12,-2,IF($S387,IF(regle!$B$2-$Q387&gt;=2,0,-1),regle!C$2-$Q387)),IF(AO387+1&gt;=regle!$J$12,-2,AO387+1))</f>
        <v>-1</v>
      </c>
      <c r="AQ387">
        <f>IF(AQ$1=$AO$1,IF(regle!D$2-$Q387&gt;=regle!$J$12,-2,IF($S387,IF(regle!$B$2-$Q387&gt;=2,0,-1),regle!D$2-$Q387)),IF(AP387+1&gt;=regle!$J$12,-2,AP387+1))</f>
        <v>0</v>
      </c>
      <c r="AR387">
        <f>IF(AR$1=$AO$1,IF(regle!E$2-$Q387&gt;=regle!$J$12,-2,IF($S387,IF(regle!$B$2-$Q387&gt;=2,0,-1),regle!E$2-$Q387)),IF(AQ387+1&gt;=regle!$J$12,-2,AQ387+1))</f>
        <v>1</v>
      </c>
      <c r="AS387">
        <f>IF(AS$1=$AO$1,IF(regle!F$2-$Q387&gt;=regle!$J$12,-2,IF($S387,IF(regle!$B$2-$Q387&gt;=2,0,-1),regle!F$2-$Q387)),IF(AR387+1&gt;=regle!$J$12,-2,AR387+1))</f>
        <v>2</v>
      </c>
      <c r="AT387">
        <f>IF(AT$1=$AO$1,IF(regle!G$2-$Q387&gt;=regle!$J$12,-2,IF($S387,IF(regle!$B$2-$Q387&gt;=2,0,-1),regle!G$2-$Q387)),IF(AS387+1&gt;=regle!$J$12,-2,AS387+1))</f>
        <v>3</v>
      </c>
      <c r="AU387">
        <f>IF(AU$1=$AO$1,IF(regle!H$2-$Q387&gt;=regle!$J$12,-2,IF($S387,IF(regle!$B$2-$Q387&gt;=2,0,-1),regle!H$2-$Q387)),IF(AT387+1&gt;=regle!$J$12,-2,AT387+1))</f>
        <v>4</v>
      </c>
      <c r="AV387">
        <f>IF(AV$1=$AO$1,IF(regle!I$2-$Q387&gt;=regle!$J$12,-2,IF($S387,IF(regle!$B$2-$Q387&gt;=2,0,-1),regle!I$2-$Q387)),IF(AU387+1&gt;=regle!$J$12,-2,AU387+1))</f>
        <v>5</v>
      </c>
      <c r="AW387">
        <f>IF(AW$1=$AO$1,IF(regle!J$2-$Q387&gt;=regle!$J$12,-2,IF($S387,IF(regle!$B$2-$Q387&gt;=2,0,-1),regle!J$2-$Q387)),IF(AV387+1&gt;=regle!$J$12,-2,AV387+1))</f>
        <v>6</v>
      </c>
      <c r="AX387">
        <f>IF(AX$1=$AO$1,IF(regle!K$2-$Q387&gt;=regle!$J$12,-2,IF($S387,IF(regle!$B$2-$Q387&gt;=2,0,-1),regle!K$2-$Q387)),IF(AW387+1&gt;=regle!$J$12,-2,AW387+1))</f>
        <v>7</v>
      </c>
    </row>
    <row r="388" spans="1:50" x14ac:dyDescent="0.25">
      <c r="A388" t="b">
        <f>AND(modif0[[#This Row],[cdstr]]&lt;&gt;0,OR(regle!$H$27=FALSE,modif0[[#This Row],[essnc]]="PM"))</f>
        <v>0</v>
      </c>
      <c r="B388">
        <f>ROW(objet!A49)</f>
        <v>49</v>
      </c>
      <c r="C388" s="10" t="str">
        <f>objet!D49</f>
        <v>5360000A0416</v>
      </c>
      <c r="D388" t="str">
        <f>LEFT(modif0[[#This Row],[cdstr]],3)</f>
        <v>536</v>
      </c>
      <c r="E388" s="10" t="str">
        <f>objet!G49</f>
        <v>LE TUZAN</v>
      </c>
      <c r="F388">
        <f>LEN(modif0[[#This Row],[l_dt]])</f>
        <v>21</v>
      </c>
      <c r="G388" s="10" t="str">
        <f>objet!H49</f>
        <v>METAIRIES DE TABARTON</v>
      </c>
      <c r="H388" s="10" t="str">
        <f>objet!C49</f>
        <v>A416kk</v>
      </c>
      <c r="I388" t="str">
        <f>IF(ISNUMBER(VALUE(RIGHT(LEFT(modif0[[#This Row],[idntfn]],2),1))),_xlfn.CONCAT(0,LEFT(modif0[[#This Row],[idntfn]],1)),LEFT(modif0[[#This Row],[idntfn]],2))</f>
        <v>0A</v>
      </c>
      <c r="J388">
        <f>VALUE(LEFT(RIGHT(modif0[[#This Row],[idntfn]],LEN(modif0[[#This Row],[idntfn]])-IF(LEFT(modif0[[#This Row],[sctn]],1)="0",1,2)),LEN(modif0[[#This Row],[idntfn]])-IF(LEFT(modif0[[#This Row],[sctn]],1)="0",1,2)-LEN(modif0[[#This Row],[lttr]])))</f>
        <v>416</v>
      </c>
      <c r="K388" t="str">
        <f>IF(ISNUMBER(VALUE(RIGHT(modif0[[#This Row],[idntfn]],1))),"",IF(ISNUMBER(VALUE(LEFT(RIGHT(modif0[[#This Row],[idntfn]],2),1))),RIGHT(modif0[[#This Row],[idntfn]],1),RIGHT(modif0[[#This Row],[idntfn]],2)))</f>
        <v>kk</v>
      </c>
      <c r="L388" s="10">
        <f>objet!I49</f>
        <v>2279</v>
      </c>
      <c r="M388" s="11">
        <f>modif0[[#This Row],[srfc]]/10000</f>
        <v>0.22789999999999999</v>
      </c>
      <c r="N388" s="10" t="str">
        <f>objet!Z49</f>
        <v>FEUIL</v>
      </c>
      <c r="O388" s="10" t="str">
        <f>objet!AA49</f>
        <v>TAIL1985</v>
      </c>
      <c r="P388" t="str">
        <f>IF(ISNUMBER(modif0[[#This Row],[trvx]]),"",LEFT(modif0[[#This Row],[trvx]],LEN(modif0[[#This Row],[trvx]])-4))</f>
        <v>TAIL</v>
      </c>
      <c r="Q388">
        <f>VALUE(RIGHT(modif0[[#This Row],[trvx]],4))</f>
        <v>1985</v>
      </c>
      <c r="R388" t="str">
        <f>_xlfn.CONCAT(modif0[[#This Row],[tp]],"-",modif0[[#This Row],[essnc]],"_",modif0[[#This Row],[anns]])</f>
        <v>TAIL-FEUIL_1985</v>
      </c>
      <c r="S388" t="b">
        <f>modif0[[#This Row],[tp]]="CR"</f>
        <v>0</v>
      </c>
      <c r="T388">
        <v>40</v>
      </c>
      <c r="U388" t="str">
        <f>IF(NOT($A388),"",
IF(AO388=-2,regle!$J$11,
IF(AO388=regle!$B$12,regle!$B$11,
IF(AO388=regle!$C$12,regle!$C$11,
IF(AO388=regle!$D$12,regle!$D$11,
IF(AO388=regle!$E$12,regle!$E$11,
IF(AO388=regle!$F$12,regle!$F$11,
IF(AO388=regle!$G$12,regle!$G$11,
IF(AO388=regle!$H$12,regle!$H$11,
IF(AO388=regle!$I$12,regle!$I$11,""))))))))))</f>
        <v/>
      </c>
      <c r="V388" t="str">
        <f>IF(NOT($A388),"",
IF(AP388=-2,regle!$J$11,
IF(AP388=regle!$B$12,regle!$B$11,
IF(AP388=regle!$C$12,regle!$C$11,
IF(AP388=regle!$D$12,regle!$D$11,
IF(AP388=regle!$E$12,regle!$E$11,
IF(AP388=regle!$F$12,regle!$F$11,
IF(AP388=regle!$G$12,regle!$G$11,
IF(AP388=regle!$H$12,regle!$H$11,
IF(AP388=regle!$I$12,regle!$I$11,""))))))))))</f>
        <v/>
      </c>
      <c r="W388" t="str">
        <f>IF(NOT($A388),"",
IF(AQ388=-2,regle!$J$11,
IF(AQ388=regle!$B$12,regle!$B$11,
IF(AQ388=regle!$C$12,regle!$C$11,
IF(AQ388=regle!$D$12,regle!$D$11,
IF(AQ388=regle!$E$12,regle!$E$11,
IF(AQ388=regle!$F$12,regle!$F$11,
IF(AQ388=regle!$G$12,regle!$G$11,
IF(AQ388=regle!$H$12,regle!$H$11,
IF(AQ388=regle!$I$12,regle!$I$11,""))))))))))</f>
        <v/>
      </c>
      <c r="X388" t="str">
        <f>IF(NOT($A388),"",
IF(AR388=-2,regle!$J$11,
IF(AR388=regle!$B$12,regle!$B$11,
IF(AR388=regle!$C$12,regle!$C$11,
IF(AR388=regle!$D$12,regle!$D$11,
IF(AR388=regle!$E$12,regle!$E$11,
IF(AR388=regle!$F$12,regle!$F$11,
IF(AR388=regle!$G$12,regle!$G$11,
IF(AR388=regle!$H$12,regle!$H$11,
IF(AR388=regle!$I$12,regle!$I$11,""))))))))))</f>
        <v/>
      </c>
      <c r="Y388" t="str">
        <f>IF(NOT($A388),"",
IF(AS388=-2,regle!$J$11,
IF(AS388=regle!$B$12,regle!$B$11,
IF(AS388=regle!$C$12,regle!$C$11,
IF(AS388=regle!$D$12,regle!$D$11,
IF(AS388=regle!$E$12,regle!$E$11,
IF(AS388=regle!$F$12,regle!$F$11,
IF(AS388=regle!$G$12,regle!$G$11,
IF(AS388=regle!$H$12,regle!$H$11,
IF(AS388=regle!$I$12,regle!$I$11,""))))))))))</f>
        <v/>
      </c>
      <c r="Z388" t="str">
        <f>IF(NOT($A388),"",
IF(AT388=-2,regle!$J$11,
IF(AT388=regle!$B$12,regle!$B$11,
IF(AT388=regle!$C$12,regle!$C$11,
IF(AT388=regle!$D$12,regle!$D$11,
IF(AT388=regle!$E$12,regle!$E$11,
IF(AT388=regle!$F$12,regle!$F$11,
IF(AT388=regle!$G$12,regle!$G$11,
IF(AT388=regle!$H$12,regle!$H$11,
IF(AT388=regle!$I$12,regle!$I$11,""))))))))))</f>
        <v/>
      </c>
      <c r="AA388" t="str">
        <f>IF(NOT($A388),"",
IF(AU388=-2,regle!$J$11,
IF(AU388=regle!$B$12,regle!$B$11,
IF(AU388=regle!$C$12,regle!$C$11,
IF(AU388=regle!$D$12,regle!$D$11,
IF(AU388=regle!$E$12,regle!$E$11,
IF(AU388=regle!$F$12,regle!$F$11,
IF(AU388=regle!$G$12,regle!$G$11,
IF(AU388=regle!$H$12,regle!$H$11,
IF(AU388=regle!$I$12,regle!$I$11,""))))))))))</f>
        <v/>
      </c>
      <c r="AB388" t="str">
        <f>IF(NOT($A388),"",
IF(AV388=-2,regle!$J$11,
IF(AV388=regle!$B$12,regle!$B$11,
IF(AV388=regle!$C$12,regle!$C$11,
IF(AV388=regle!$D$12,regle!$D$11,
IF(AV388=regle!$E$12,regle!$E$11,
IF(AV388=regle!$F$12,regle!$F$11,
IF(AV388=regle!$G$12,regle!$G$11,
IF(AV388=regle!$H$12,regle!$H$11,
IF(AV388=regle!$I$12,regle!$I$11,""))))))))))</f>
        <v/>
      </c>
      <c r="AC388" t="str">
        <f>IF(NOT($A388),"",
IF(AW388=-2,regle!$J$11,
IF(AW388=regle!$B$12,regle!$B$11,
IF(AW388=regle!$C$12,regle!$C$11,
IF(AW388=regle!$D$12,regle!$D$11,
IF(AW388=regle!$E$12,regle!$E$11,
IF(AW388=regle!$F$12,regle!$F$11,
IF(AW388=regle!$G$12,regle!$G$11,
IF(AW388=regle!$H$12,regle!$H$11,
IF(AW388=regle!$I$12,regle!$I$11,""))))))))))</f>
        <v/>
      </c>
      <c r="AD388" t="str">
        <f>IF(NOT($A388),"",
IF(AX388=-2,regle!$J$11,
IF(AX388=regle!$B$12,regle!$B$11,
IF(AX388=regle!$C$12,regle!$C$11,
IF(AX388=regle!$D$12,regle!$D$11,
IF(AX388=regle!$E$12,regle!$E$11,
IF(AX388=regle!$F$12,regle!$F$11,
IF(AX388=regle!$G$12,regle!$G$11,
IF(AX388=regle!$H$12,regle!$H$11,
IF(AX388=regle!$I$12,regle!$I$11,""))))))))))</f>
        <v/>
      </c>
      <c r="AE388" s="14" t="b">
        <f>IF($A388,$M388*(IF(U388=regle!$B$11,regle!$B$23,IF(U388=regle!$C$11,regle!$C$23,IF(U388=regle!$D$11,regle!$D$23,IF(U388=regle!$E$11,regle!$E$23,IF(U388=regle!$F$11,regle!$F$23,IF(U388=regle!$G$11,regle!$G$23,IF(U388=regle!$H$11,regle!$H$23,IF(U388=regle!$I$11,regle!$I$23,IF(U388=regle!$J$11,regle!$J$23,0)))))))))))</f>
        <v>0</v>
      </c>
      <c r="AF388" s="14" t="b">
        <f>IF($A388,$M388*(IF(V388=regle!$B$11,regle!$B$23,IF(V388=regle!$C$11,regle!$C$23,IF(V388=regle!$D$11,regle!$D$23,IF(V388=regle!$E$11,regle!$E$23,IF(V388=regle!$F$11,regle!$F$23,IF(V388=regle!$G$11,regle!$G$23,IF(V388=regle!$H$11,regle!$H$23,IF(V388=regle!$I$11,regle!$I$23,IF(V388=regle!$J$11,regle!$J$23,0)))))))))))</f>
        <v>0</v>
      </c>
      <c r="AG388" s="14" t="b">
        <f>IF($A388,$M388*(IF(W388=regle!$B$11,regle!$B$23,IF(W388=regle!$C$11,regle!$C$23,IF(W388=regle!$D$11,regle!$D$23,IF(W388=regle!$E$11,regle!$E$23,IF(W388=regle!$F$11,regle!$F$23,IF(W388=regle!$G$11,regle!$G$23,IF(W388=regle!$H$11,regle!$H$23,IF(W388=regle!$I$11,regle!$I$23,IF(W388=regle!$J$11,regle!$J$23,0)))))))))))</f>
        <v>0</v>
      </c>
      <c r="AH388" s="14" t="b">
        <f>IF($A388,$M388*(IF(X388=regle!$B$11,regle!$B$23,IF(X388=regle!$C$11,regle!$C$23,IF(X388=regle!$D$11,regle!$D$23,IF(X388=regle!$E$11,regle!$E$23,IF(X388=regle!$F$11,regle!$F$23,IF(X388=regle!$G$11,regle!$G$23,IF(X388=regle!$H$11,regle!$H$23,IF(X388=regle!$I$11,regle!$I$23,IF(X388=regle!$J$11,regle!$J$23,0)))))))))))</f>
        <v>0</v>
      </c>
      <c r="AI388" s="14" t="b">
        <f>IF($A388,$M388*(IF(Y388=regle!$B$11,regle!$B$23,IF(Y388=regle!$C$11,regle!$C$23,IF(Y388=regle!$D$11,regle!$D$23,IF(Y388=regle!$E$11,regle!$E$23,IF(Y388=regle!$F$11,regle!$F$23,IF(Y388=regle!$G$11,regle!$G$23,IF(Y388=regle!$H$11,regle!$H$23,IF(Y388=regle!$I$11,regle!$I$23,IF(Y388=regle!$J$11,regle!$J$23,0)))))))))))</f>
        <v>0</v>
      </c>
      <c r="AJ388" s="14" t="b">
        <f>IF($A388,$M388*(IF(Z388=regle!$B$11,regle!$B$23,IF(Z388=regle!$C$11,regle!$C$23,IF(Z388=regle!$D$11,regle!$D$23,IF(Z388=regle!$E$11,regle!$E$23,IF(Z388=regle!$F$11,regle!$F$23,IF(Z388=regle!$G$11,regle!$G$23,IF(Z388=regle!$H$11,regle!$H$23,IF(Z388=regle!$I$11,regle!$I$23,IF(Z388=regle!$J$11,regle!$J$23,0)))))))))))</f>
        <v>0</v>
      </c>
      <c r="AK388" s="14" t="b">
        <f>IF($A388,$M388*(IF(AA388=regle!$B$11,regle!$B$23,IF(AA388=regle!$C$11,regle!$C$23,IF(AA388=regle!$D$11,regle!$D$23,IF(AA388=regle!$E$11,regle!$E$23,IF(AA388=regle!$F$11,regle!$F$23,IF(AA388=regle!$G$11,regle!$G$23,IF(AA388=regle!$H$11,regle!$H$23,IF(AA388=regle!$I$11,regle!$I$23,IF(AA388=regle!$J$11,regle!$J$23,0)))))))))))</f>
        <v>0</v>
      </c>
      <c r="AL388" s="14" t="b">
        <f>IF($A388,$M388*(IF(AB388=regle!$B$11,regle!$B$23,IF(AB388=regle!$C$11,regle!$C$23,IF(AB388=regle!$D$11,regle!$D$23,IF(AB388=regle!$E$11,regle!$E$23,IF(AB388=regle!$F$11,regle!$F$23,IF(AB388=regle!$G$11,regle!$G$23,IF(AB388=regle!$H$11,regle!$H$23,IF(AB388=regle!$I$11,regle!$I$23,IF(AB388=regle!$J$11,regle!$J$23,0)))))))))))</f>
        <v>0</v>
      </c>
      <c r="AM388" s="14" t="b">
        <f>IF($A388,$M388*(IF(AC388=regle!$B$11,regle!$B$23,IF(AC388=regle!$C$11,regle!$C$23,IF(AC388=regle!$D$11,regle!$D$23,IF(AC388=regle!$E$11,regle!$E$23,IF(AC388=regle!$F$11,regle!$F$23,IF(AC388=regle!$G$11,regle!$G$23,IF(AC388=regle!$H$11,regle!$H$23,IF(AC388=regle!$I$11,regle!$I$23,IF(AC388=regle!$J$11,regle!$J$23,0)))))))))))</f>
        <v>0</v>
      </c>
      <c r="AN388" s="14" t="b">
        <f>IF($A388,$M388*(IF(AD388=regle!$B$11,regle!$B$23,IF(AD388=regle!$C$11,regle!$C$23,IF(AD388=regle!$D$11,regle!$D$23,IF(AD388=regle!$E$11,regle!$E$23,IF(AD388=regle!$F$11,regle!$F$23,IF(AD388=regle!$G$11,regle!$G$23,IF(AD388=regle!$H$11,regle!$H$23,IF(AD388=regle!$I$11,regle!$I$23,IF(AD388=regle!$J$11,regle!$J$23,0)))))))))))</f>
        <v>0</v>
      </c>
      <c r="AO388">
        <f>IF(AO$1=$AO$1,IF(regle!B$2-$Q388&gt;=regle!$J$12,-2,IF($S388,IF(regle!$B$2-$Q388&gt;=2,0,-1),regle!B$2-$Q388)),IF(AN388+1&gt;=regle!$J$12,-2,AN388+1))</f>
        <v>39</v>
      </c>
      <c r="AP388">
        <f>IF(AP$1=$AO$1,IF(regle!C$2-$Q388&gt;=regle!$J$12,-2,IF($S388,IF(regle!$B$2-$Q388&gt;=2,0,-1),regle!C$2-$Q388)),IF(AO388+1&gt;=regle!$J$12,-2,AO388+1))</f>
        <v>-2</v>
      </c>
      <c r="AQ388">
        <f>IF(AQ$1=$AO$1,IF(regle!D$2-$Q388&gt;=regle!$J$12,-2,IF($S388,IF(regle!$B$2-$Q388&gt;=2,0,-1),regle!D$2-$Q388)),IF(AP388+1&gt;=regle!$J$12,-2,AP388+1))</f>
        <v>-1</v>
      </c>
      <c r="AR388">
        <f>IF(AR$1=$AO$1,IF(regle!E$2-$Q388&gt;=regle!$J$12,-2,IF($S388,IF(regle!$B$2-$Q388&gt;=2,0,-1),regle!E$2-$Q388)),IF(AQ388+1&gt;=regle!$J$12,-2,AQ388+1))</f>
        <v>0</v>
      </c>
      <c r="AS388">
        <f>IF(AS$1=$AO$1,IF(regle!F$2-$Q388&gt;=regle!$J$12,-2,IF($S388,IF(regle!$B$2-$Q388&gt;=2,0,-1),regle!F$2-$Q388)),IF(AR388+1&gt;=regle!$J$12,-2,AR388+1))</f>
        <v>1</v>
      </c>
      <c r="AT388">
        <f>IF(AT$1=$AO$1,IF(regle!G$2-$Q388&gt;=regle!$J$12,-2,IF($S388,IF(regle!$B$2-$Q388&gt;=2,0,-1),regle!G$2-$Q388)),IF(AS388+1&gt;=regle!$J$12,-2,AS388+1))</f>
        <v>2</v>
      </c>
      <c r="AU388">
        <f>IF(AU$1=$AO$1,IF(regle!H$2-$Q388&gt;=regle!$J$12,-2,IF($S388,IF(regle!$B$2-$Q388&gt;=2,0,-1),regle!H$2-$Q388)),IF(AT388+1&gt;=regle!$J$12,-2,AT388+1))</f>
        <v>3</v>
      </c>
      <c r="AV388">
        <f>IF(AV$1=$AO$1,IF(regle!I$2-$Q388&gt;=regle!$J$12,-2,IF($S388,IF(regle!$B$2-$Q388&gt;=2,0,-1),regle!I$2-$Q388)),IF(AU388+1&gt;=regle!$J$12,-2,AU388+1))</f>
        <v>4</v>
      </c>
      <c r="AW388">
        <f>IF(AW$1=$AO$1,IF(regle!J$2-$Q388&gt;=regle!$J$12,-2,IF($S388,IF(regle!$B$2-$Q388&gt;=2,0,-1),regle!J$2-$Q388)),IF(AV388+1&gt;=regle!$J$12,-2,AV388+1))</f>
        <v>5</v>
      </c>
      <c r="AX388">
        <f>IF(AX$1=$AO$1,IF(regle!K$2-$Q388&gt;=regle!$J$12,-2,IF($S388,IF(regle!$B$2-$Q388&gt;=2,0,-1),regle!K$2-$Q388)),IF(AW388+1&gt;=regle!$J$12,-2,AW388+1))</f>
        <v>6</v>
      </c>
    </row>
    <row r="389" spans="1:50" x14ac:dyDescent="0.25">
      <c r="A389" t="b">
        <f>AND(modif0[[#This Row],[cdstr]]&lt;&gt;0,OR(regle!$H$27=FALSE,modif0[[#This Row],[essnc]]="PM"))</f>
        <v>0</v>
      </c>
      <c r="B389">
        <f>ROW(objet!A50)</f>
        <v>50</v>
      </c>
      <c r="C389" s="10" t="str">
        <f>objet!D50</f>
        <v>5360000A0417</v>
      </c>
      <c r="D389" t="str">
        <f>LEFT(modif0[[#This Row],[cdstr]],3)</f>
        <v>536</v>
      </c>
      <c r="E389" s="10" t="str">
        <f>objet!G50</f>
        <v>LE TUZAN</v>
      </c>
      <c r="F389">
        <f>LEN(modif0[[#This Row],[l_dt]])</f>
        <v>21</v>
      </c>
      <c r="G389" s="10" t="str">
        <f>objet!H50</f>
        <v>METAIRIES DE TABARTON</v>
      </c>
      <c r="H389" s="10" t="str">
        <f>objet!C50</f>
        <v>A417a</v>
      </c>
      <c r="I389" t="str">
        <f>IF(ISNUMBER(VALUE(RIGHT(LEFT(modif0[[#This Row],[idntfn]],2),1))),_xlfn.CONCAT(0,LEFT(modif0[[#This Row],[idntfn]],1)),LEFT(modif0[[#This Row],[idntfn]],2))</f>
        <v>0A</v>
      </c>
      <c r="J389">
        <f>VALUE(LEFT(RIGHT(modif0[[#This Row],[idntfn]],LEN(modif0[[#This Row],[idntfn]])-IF(LEFT(modif0[[#This Row],[sctn]],1)="0",1,2)),LEN(modif0[[#This Row],[idntfn]])-IF(LEFT(modif0[[#This Row],[sctn]],1)="0",1,2)-LEN(modif0[[#This Row],[lttr]])))</f>
        <v>417</v>
      </c>
      <c r="K389" t="str">
        <f>IF(ISNUMBER(VALUE(RIGHT(modif0[[#This Row],[idntfn]],1))),"",IF(ISNUMBER(VALUE(LEFT(RIGHT(modif0[[#This Row],[idntfn]],2),1))),RIGHT(modif0[[#This Row],[idntfn]],1),RIGHT(modif0[[#This Row],[idntfn]],2)))</f>
        <v>a</v>
      </c>
      <c r="L389" s="10">
        <f>objet!I50</f>
        <v>24418</v>
      </c>
      <c r="M389" s="11">
        <f>modif0[[#This Row],[srfc]]/10000</f>
        <v>2.4418000000000002</v>
      </c>
      <c r="N389" s="10" t="str">
        <f>objet!Z50</f>
        <v>FEUIL</v>
      </c>
      <c r="O389" s="10" t="str">
        <f>objet!AA50</f>
        <v>TAIL1987</v>
      </c>
      <c r="P389" t="str">
        <f>IF(ISNUMBER(modif0[[#This Row],[trvx]]),"",LEFT(modif0[[#This Row],[trvx]],LEN(modif0[[#This Row],[trvx]])-4))</f>
        <v>TAIL</v>
      </c>
      <c r="Q389">
        <f>VALUE(RIGHT(modif0[[#This Row],[trvx]],4))</f>
        <v>1987</v>
      </c>
      <c r="R389" t="str">
        <f>_xlfn.CONCAT(modif0[[#This Row],[tp]],"-",modif0[[#This Row],[essnc]],"_",modif0[[#This Row],[anns]])</f>
        <v>TAIL-FEUIL_1987</v>
      </c>
      <c r="S389" t="b">
        <f>modif0[[#This Row],[tp]]="CR"</f>
        <v>0</v>
      </c>
      <c r="T389">
        <v>40</v>
      </c>
      <c r="U389" t="str">
        <f>IF(NOT($A389),"",
IF(AO389=-2,regle!$J$11,
IF(AO389=regle!$B$12,regle!$B$11,
IF(AO389=regle!$C$12,regle!$C$11,
IF(AO389=regle!$D$12,regle!$D$11,
IF(AO389=regle!$E$12,regle!$E$11,
IF(AO389=regle!$F$12,regle!$F$11,
IF(AO389=regle!$G$12,regle!$G$11,
IF(AO389=regle!$H$12,regle!$H$11,
IF(AO389=regle!$I$12,regle!$I$11,""))))))))))</f>
        <v/>
      </c>
      <c r="V389" t="str">
        <f>IF(NOT($A389),"",
IF(AP389=-2,regle!$J$11,
IF(AP389=regle!$B$12,regle!$B$11,
IF(AP389=regle!$C$12,regle!$C$11,
IF(AP389=regle!$D$12,regle!$D$11,
IF(AP389=regle!$E$12,regle!$E$11,
IF(AP389=regle!$F$12,regle!$F$11,
IF(AP389=regle!$G$12,regle!$G$11,
IF(AP389=regle!$H$12,regle!$H$11,
IF(AP389=regle!$I$12,regle!$I$11,""))))))))))</f>
        <v/>
      </c>
      <c r="W389" t="str">
        <f>IF(NOT($A389),"",
IF(AQ389=-2,regle!$J$11,
IF(AQ389=regle!$B$12,regle!$B$11,
IF(AQ389=regle!$C$12,regle!$C$11,
IF(AQ389=regle!$D$12,regle!$D$11,
IF(AQ389=regle!$E$12,regle!$E$11,
IF(AQ389=regle!$F$12,regle!$F$11,
IF(AQ389=regle!$G$12,regle!$G$11,
IF(AQ389=regle!$H$12,regle!$H$11,
IF(AQ389=regle!$I$12,regle!$I$11,""))))))))))</f>
        <v/>
      </c>
      <c r="X389" t="str">
        <f>IF(NOT($A389),"",
IF(AR389=-2,regle!$J$11,
IF(AR389=regle!$B$12,regle!$B$11,
IF(AR389=regle!$C$12,regle!$C$11,
IF(AR389=regle!$D$12,regle!$D$11,
IF(AR389=regle!$E$12,regle!$E$11,
IF(AR389=regle!$F$12,regle!$F$11,
IF(AR389=regle!$G$12,regle!$G$11,
IF(AR389=regle!$H$12,regle!$H$11,
IF(AR389=regle!$I$12,regle!$I$11,""))))))))))</f>
        <v/>
      </c>
      <c r="Y389" t="str">
        <f>IF(NOT($A389),"",
IF(AS389=-2,regle!$J$11,
IF(AS389=regle!$B$12,regle!$B$11,
IF(AS389=regle!$C$12,regle!$C$11,
IF(AS389=regle!$D$12,regle!$D$11,
IF(AS389=regle!$E$12,regle!$E$11,
IF(AS389=regle!$F$12,regle!$F$11,
IF(AS389=regle!$G$12,regle!$G$11,
IF(AS389=regle!$H$12,regle!$H$11,
IF(AS389=regle!$I$12,regle!$I$11,""))))))))))</f>
        <v/>
      </c>
      <c r="Z389" t="str">
        <f>IF(NOT($A389),"",
IF(AT389=-2,regle!$J$11,
IF(AT389=regle!$B$12,regle!$B$11,
IF(AT389=regle!$C$12,regle!$C$11,
IF(AT389=regle!$D$12,regle!$D$11,
IF(AT389=regle!$E$12,regle!$E$11,
IF(AT389=regle!$F$12,regle!$F$11,
IF(AT389=regle!$G$12,regle!$G$11,
IF(AT389=regle!$H$12,regle!$H$11,
IF(AT389=regle!$I$12,regle!$I$11,""))))))))))</f>
        <v/>
      </c>
      <c r="AA389" t="str">
        <f>IF(NOT($A389),"",
IF(AU389=-2,regle!$J$11,
IF(AU389=regle!$B$12,regle!$B$11,
IF(AU389=regle!$C$12,regle!$C$11,
IF(AU389=regle!$D$12,regle!$D$11,
IF(AU389=regle!$E$12,regle!$E$11,
IF(AU389=regle!$F$12,regle!$F$11,
IF(AU389=regle!$G$12,regle!$G$11,
IF(AU389=regle!$H$12,regle!$H$11,
IF(AU389=regle!$I$12,regle!$I$11,""))))))))))</f>
        <v/>
      </c>
      <c r="AB389" t="str">
        <f>IF(NOT($A389),"",
IF(AV389=-2,regle!$J$11,
IF(AV389=regle!$B$12,regle!$B$11,
IF(AV389=regle!$C$12,regle!$C$11,
IF(AV389=regle!$D$12,regle!$D$11,
IF(AV389=regle!$E$12,regle!$E$11,
IF(AV389=regle!$F$12,regle!$F$11,
IF(AV389=regle!$G$12,regle!$G$11,
IF(AV389=regle!$H$12,regle!$H$11,
IF(AV389=regle!$I$12,regle!$I$11,""))))))))))</f>
        <v/>
      </c>
      <c r="AC389" t="str">
        <f>IF(NOT($A389),"",
IF(AW389=-2,regle!$J$11,
IF(AW389=regle!$B$12,regle!$B$11,
IF(AW389=regle!$C$12,regle!$C$11,
IF(AW389=regle!$D$12,regle!$D$11,
IF(AW389=regle!$E$12,regle!$E$11,
IF(AW389=regle!$F$12,regle!$F$11,
IF(AW389=regle!$G$12,regle!$G$11,
IF(AW389=regle!$H$12,regle!$H$11,
IF(AW389=regle!$I$12,regle!$I$11,""))))))))))</f>
        <v/>
      </c>
      <c r="AD389" t="str">
        <f>IF(NOT($A389),"",
IF(AX389=-2,regle!$J$11,
IF(AX389=regle!$B$12,regle!$B$11,
IF(AX389=regle!$C$12,regle!$C$11,
IF(AX389=regle!$D$12,regle!$D$11,
IF(AX389=regle!$E$12,regle!$E$11,
IF(AX389=regle!$F$12,regle!$F$11,
IF(AX389=regle!$G$12,regle!$G$11,
IF(AX389=regle!$H$12,regle!$H$11,
IF(AX389=regle!$I$12,regle!$I$11,""))))))))))</f>
        <v/>
      </c>
      <c r="AE389" s="14" t="b">
        <f>IF($A389,$M389*(IF(U389=regle!$B$11,regle!$B$23,IF(U389=regle!$C$11,regle!$C$23,IF(U389=regle!$D$11,regle!$D$23,IF(U389=regle!$E$11,regle!$E$23,IF(U389=regle!$F$11,regle!$F$23,IF(U389=regle!$G$11,regle!$G$23,IF(U389=regle!$H$11,regle!$H$23,IF(U389=regle!$I$11,regle!$I$23,IF(U389=regle!$J$11,regle!$J$23,0)))))))))))</f>
        <v>0</v>
      </c>
      <c r="AF389" s="14" t="b">
        <f>IF($A389,$M389*(IF(V389=regle!$B$11,regle!$B$23,IF(V389=regle!$C$11,regle!$C$23,IF(V389=regle!$D$11,regle!$D$23,IF(V389=regle!$E$11,regle!$E$23,IF(V389=regle!$F$11,regle!$F$23,IF(V389=regle!$G$11,regle!$G$23,IF(V389=regle!$H$11,regle!$H$23,IF(V389=regle!$I$11,regle!$I$23,IF(V389=regle!$J$11,regle!$J$23,0)))))))))))</f>
        <v>0</v>
      </c>
      <c r="AG389" s="14" t="b">
        <f>IF($A389,$M389*(IF(W389=regle!$B$11,regle!$B$23,IF(W389=regle!$C$11,regle!$C$23,IF(W389=regle!$D$11,regle!$D$23,IF(W389=regle!$E$11,regle!$E$23,IF(W389=regle!$F$11,regle!$F$23,IF(W389=regle!$G$11,regle!$G$23,IF(W389=regle!$H$11,regle!$H$23,IF(W389=regle!$I$11,regle!$I$23,IF(W389=regle!$J$11,regle!$J$23,0)))))))))))</f>
        <v>0</v>
      </c>
      <c r="AH389" s="14" t="b">
        <f>IF($A389,$M389*(IF(X389=regle!$B$11,regle!$B$23,IF(X389=regle!$C$11,regle!$C$23,IF(X389=regle!$D$11,regle!$D$23,IF(X389=regle!$E$11,regle!$E$23,IF(X389=regle!$F$11,regle!$F$23,IF(X389=regle!$G$11,regle!$G$23,IF(X389=regle!$H$11,regle!$H$23,IF(X389=regle!$I$11,regle!$I$23,IF(X389=regle!$J$11,regle!$J$23,0)))))))))))</f>
        <v>0</v>
      </c>
      <c r="AI389" s="14" t="b">
        <f>IF($A389,$M389*(IF(Y389=regle!$B$11,regle!$B$23,IF(Y389=regle!$C$11,regle!$C$23,IF(Y389=regle!$D$11,regle!$D$23,IF(Y389=regle!$E$11,regle!$E$23,IF(Y389=regle!$F$11,regle!$F$23,IF(Y389=regle!$G$11,regle!$G$23,IF(Y389=regle!$H$11,regle!$H$23,IF(Y389=regle!$I$11,regle!$I$23,IF(Y389=regle!$J$11,regle!$J$23,0)))))))))))</f>
        <v>0</v>
      </c>
      <c r="AJ389" s="14" t="b">
        <f>IF($A389,$M389*(IF(Z389=regle!$B$11,regle!$B$23,IF(Z389=regle!$C$11,regle!$C$23,IF(Z389=regle!$D$11,regle!$D$23,IF(Z389=regle!$E$11,regle!$E$23,IF(Z389=regle!$F$11,regle!$F$23,IF(Z389=regle!$G$11,regle!$G$23,IF(Z389=regle!$H$11,regle!$H$23,IF(Z389=regle!$I$11,regle!$I$23,IF(Z389=regle!$J$11,regle!$J$23,0)))))))))))</f>
        <v>0</v>
      </c>
      <c r="AK389" s="14" t="b">
        <f>IF($A389,$M389*(IF(AA389=regle!$B$11,regle!$B$23,IF(AA389=regle!$C$11,regle!$C$23,IF(AA389=regle!$D$11,regle!$D$23,IF(AA389=regle!$E$11,regle!$E$23,IF(AA389=regle!$F$11,regle!$F$23,IF(AA389=regle!$G$11,regle!$G$23,IF(AA389=regle!$H$11,regle!$H$23,IF(AA389=regle!$I$11,regle!$I$23,IF(AA389=regle!$J$11,regle!$J$23,0)))))))))))</f>
        <v>0</v>
      </c>
      <c r="AL389" s="14" t="b">
        <f>IF($A389,$M389*(IF(AB389=regle!$B$11,regle!$B$23,IF(AB389=regle!$C$11,regle!$C$23,IF(AB389=regle!$D$11,regle!$D$23,IF(AB389=regle!$E$11,regle!$E$23,IF(AB389=regle!$F$11,regle!$F$23,IF(AB389=regle!$G$11,regle!$G$23,IF(AB389=regle!$H$11,regle!$H$23,IF(AB389=regle!$I$11,regle!$I$23,IF(AB389=regle!$J$11,regle!$J$23,0)))))))))))</f>
        <v>0</v>
      </c>
      <c r="AM389" s="14" t="b">
        <f>IF($A389,$M389*(IF(AC389=regle!$B$11,regle!$B$23,IF(AC389=regle!$C$11,regle!$C$23,IF(AC389=regle!$D$11,regle!$D$23,IF(AC389=regle!$E$11,regle!$E$23,IF(AC389=regle!$F$11,regle!$F$23,IF(AC389=regle!$G$11,regle!$G$23,IF(AC389=regle!$H$11,regle!$H$23,IF(AC389=regle!$I$11,regle!$I$23,IF(AC389=regle!$J$11,regle!$J$23,0)))))))))))</f>
        <v>0</v>
      </c>
      <c r="AN389" s="14" t="b">
        <f>IF($A389,$M389*(IF(AD389=regle!$B$11,regle!$B$23,IF(AD389=regle!$C$11,regle!$C$23,IF(AD389=regle!$D$11,regle!$D$23,IF(AD389=regle!$E$11,regle!$E$23,IF(AD389=regle!$F$11,regle!$F$23,IF(AD389=regle!$G$11,regle!$G$23,IF(AD389=regle!$H$11,regle!$H$23,IF(AD389=regle!$I$11,regle!$I$23,IF(AD389=regle!$J$11,regle!$J$23,0)))))))))))</f>
        <v>0</v>
      </c>
      <c r="AO389">
        <f>IF(AO$1=$AO$1,IF(regle!B$2-$Q389&gt;=regle!$J$12,-2,IF($S389,IF(regle!$B$2-$Q389&gt;=2,0,-1),regle!B$2-$Q389)),IF(AN389+1&gt;=regle!$J$12,-2,AN389+1))</f>
        <v>37</v>
      </c>
      <c r="AP389">
        <f>IF(AP$1=$AO$1,IF(regle!C$2-$Q389&gt;=regle!$J$12,-2,IF($S389,IF(regle!$B$2-$Q389&gt;=2,0,-1),regle!C$2-$Q389)),IF(AO389+1&gt;=regle!$J$12,-2,AO389+1))</f>
        <v>38</v>
      </c>
      <c r="AQ389">
        <f>IF(AQ$1=$AO$1,IF(regle!D$2-$Q389&gt;=regle!$J$12,-2,IF($S389,IF(regle!$B$2-$Q389&gt;=2,0,-1),regle!D$2-$Q389)),IF(AP389+1&gt;=regle!$J$12,-2,AP389+1))</f>
        <v>39</v>
      </c>
      <c r="AR389">
        <f>IF(AR$1=$AO$1,IF(regle!E$2-$Q389&gt;=regle!$J$12,-2,IF($S389,IF(regle!$B$2-$Q389&gt;=2,0,-1),regle!E$2-$Q389)),IF(AQ389+1&gt;=regle!$J$12,-2,AQ389+1))</f>
        <v>-2</v>
      </c>
      <c r="AS389">
        <f>IF(AS$1=$AO$1,IF(regle!F$2-$Q389&gt;=regle!$J$12,-2,IF($S389,IF(regle!$B$2-$Q389&gt;=2,0,-1),regle!F$2-$Q389)),IF(AR389+1&gt;=regle!$J$12,-2,AR389+1))</f>
        <v>-1</v>
      </c>
      <c r="AT389">
        <f>IF(AT$1=$AO$1,IF(regle!G$2-$Q389&gt;=regle!$J$12,-2,IF($S389,IF(regle!$B$2-$Q389&gt;=2,0,-1),regle!G$2-$Q389)),IF(AS389+1&gt;=regle!$J$12,-2,AS389+1))</f>
        <v>0</v>
      </c>
      <c r="AU389">
        <f>IF(AU$1=$AO$1,IF(regle!H$2-$Q389&gt;=regle!$J$12,-2,IF($S389,IF(regle!$B$2-$Q389&gt;=2,0,-1),regle!H$2-$Q389)),IF(AT389+1&gt;=regle!$J$12,-2,AT389+1))</f>
        <v>1</v>
      </c>
      <c r="AV389">
        <f>IF(AV$1=$AO$1,IF(regle!I$2-$Q389&gt;=regle!$J$12,-2,IF($S389,IF(regle!$B$2-$Q389&gt;=2,0,-1),regle!I$2-$Q389)),IF(AU389+1&gt;=regle!$J$12,-2,AU389+1))</f>
        <v>2</v>
      </c>
      <c r="AW389">
        <f>IF(AW$1=$AO$1,IF(regle!J$2-$Q389&gt;=regle!$J$12,-2,IF($S389,IF(regle!$B$2-$Q389&gt;=2,0,-1),regle!J$2-$Q389)),IF(AV389+1&gt;=regle!$J$12,-2,AV389+1))</f>
        <v>3</v>
      </c>
      <c r="AX389">
        <f>IF(AX$1=$AO$1,IF(regle!K$2-$Q389&gt;=regle!$J$12,-2,IF($S389,IF(regle!$B$2-$Q389&gt;=2,0,-1),regle!K$2-$Q389)),IF(AW389+1&gt;=regle!$J$12,-2,AW389+1))</f>
        <v>4</v>
      </c>
    </row>
    <row r="390" spans="1:50" x14ac:dyDescent="0.25">
      <c r="A390" t="b">
        <f>AND(modif0[[#This Row],[cdstr]]&lt;&gt;0,OR(regle!$H$27=FALSE,modif0[[#This Row],[essnc]]="PM"))</f>
        <v>0</v>
      </c>
      <c r="B390">
        <f>ROW(objet!A51)</f>
        <v>51</v>
      </c>
      <c r="C390" s="10" t="str">
        <f>objet!D51</f>
        <v>5360000A0417</v>
      </c>
      <c r="D390" t="str">
        <f>LEFT(modif0[[#This Row],[cdstr]],3)</f>
        <v>536</v>
      </c>
      <c r="E390" s="10" t="str">
        <f>objet!G51</f>
        <v>LE TUZAN</v>
      </c>
      <c r="F390">
        <f>LEN(modif0[[#This Row],[l_dt]])</f>
        <v>21</v>
      </c>
      <c r="G390" s="10" t="str">
        <f>objet!H51</f>
        <v>METAIRIES DE TABARTON</v>
      </c>
      <c r="H390" s="10" t="str">
        <f>objet!C51</f>
        <v>A417b</v>
      </c>
      <c r="I390" t="str">
        <f>IF(ISNUMBER(VALUE(RIGHT(LEFT(modif0[[#This Row],[idntfn]],2),1))),_xlfn.CONCAT(0,LEFT(modif0[[#This Row],[idntfn]],1)),LEFT(modif0[[#This Row],[idntfn]],2))</f>
        <v>0A</v>
      </c>
      <c r="J390">
        <f>VALUE(LEFT(RIGHT(modif0[[#This Row],[idntfn]],LEN(modif0[[#This Row],[idntfn]])-IF(LEFT(modif0[[#This Row],[sctn]],1)="0",1,2)),LEN(modif0[[#This Row],[idntfn]])-IF(LEFT(modif0[[#This Row],[sctn]],1)="0",1,2)-LEN(modif0[[#This Row],[lttr]])))</f>
        <v>417</v>
      </c>
      <c r="K390" t="str">
        <f>IF(ISNUMBER(VALUE(RIGHT(modif0[[#This Row],[idntfn]],1))),"",IF(ISNUMBER(VALUE(LEFT(RIGHT(modif0[[#This Row],[idntfn]],2),1))),RIGHT(modif0[[#This Row],[idntfn]],1),RIGHT(modif0[[#This Row],[idntfn]],2)))</f>
        <v>b</v>
      </c>
      <c r="L390" s="10">
        <f>objet!I51</f>
        <v>2542</v>
      </c>
      <c r="M390" s="11">
        <f>modif0[[#This Row],[srfc]]/10000</f>
        <v>0.25419999999999998</v>
      </c>
      <c r="N390" s="10" t="str">
        <f>objet!Z51</f>
        <v>FEUIL</v>
      </c>
      <c r="O390" s="10" t="str">
        <f>objet!AA51</f>
        <v>TAIL1987</v>
      </c>
      <c r="P390" t="str">
        <f>IF(ISNUMBER(modif0[[#This Row],[trvx]]),"",LEFT(modif0[[#This Row],[trvx]],LEN(modif0[[#This Row],[trvx]])-4))</f>
        <v>TAIL</v>
      </c>
      <c r="Q390">
        <f>VALUE(RIGHT(modif0[[#This Row],[trvx]],4))</f>
        <v>1987</v>
      </c>
      <c r="R390" t="str">
        <f>_xlfn.CONCAT(modif0[[#This Row],[tp]],"-",modif0[[#This Row],[essnc]],"_",modif0[[#This Row],[anns]])</f>
        <v>TAIL-FEUIL_1987</v>
      </c>
      <c r="S390" t="b">
        <f>modif0[[#This Row],[tp]]="CR"</f>
        <v>0</v>
      </c>
      <c r="T390">
        <v>40</v>
      </c>
      <c r="U390" t="str">
        <f>IF(NOT($A390),"",
IF(AO390=-2,regle!$J$11,
IF(AO390=regle!$B$12,regle!$B$11,
IF(AO390=regle!$C$12,regle!$C$11,
IF(AO390=regle!$D$12,regle!$D$11,
IF(AO390=regle!$E$12,regle!$E$11,
IF(AO390=regle!$F$12,regle!$F$11,
IF(AO390=regle!$G$12,regle!$G$11,
IF(AO390=regle!$H$12,regle!$H$11,
IF(AO390=regle!$I$12,regle!$I$11,""))))))))))</f>
        <v/>
      </c>
      <c r="V390" t="str">
        <f>IF(NOT($A390),"",
IF(AP390=-2,regle!$J$11,
IF(AP390=regle!$B$12,regle!$B$11,
IF(AP390=regle!$C$12,regle!$C$11,
IF(AP390=regle!$D$12,regle!$D$11,
IF(AP390=regle!$E$12,regle!$E$11,
IF(AP390=regle!$F$12,regle!$F$11,
IF(AP390=regle!$G$12,regle!$G$11,
IF(AP390=regle!$H$12,regle!$H$11,
IF(AP390=regle!$I$12,regle!$I$11,""))))))))))</f>
        <v/>
      </c>
      <c r="W390" t="str">
        <f>IF(NOT($A390),"",
IF(AQ390=-2,regle!$J$11,
IF(AQ390=regle!$B$12,regle!$B$11,
IF(AQ390=regle!$C$12,regle!$C$11,
IF(AQ390=regle!$D$12,regle!$D$11,
IF(AQ390=regle!$E$12,regle!$E$11,
IF(AQ390=regle!$F$12,regle!$F$11,
IF(AQ390=regle!$G$12,regle!$G$11,
IF(AQ390=regle!$H$12,regle!$H$11,
IF(AQ390=regle!$I$12,regle!$I$11,""))))))))))</f>
        <v/>
      </c>
      <c r="X390" t="str">
        <f>IF(NOT($A390),"",
IF(AR390=-2,regle!$J$11,
IF(AR390=regle!$B$12,regle!$B$11,
IF(AR390=regle!$C$12,regle!$C$11,
IF(AR390=regle!$D$12,regle!$D$11,
IF(AR390=regle!$E$12,regle!$E$11,
IF(AR390=regle!$F$12,regle!$F$11,
IF(AR390=regle!$G$12,regle!$G$11,
IF(AR390=regle!$H$12,regle!$H$11,
IF(AR390=regle!$I$12,regle!$I$11,""))))))))))</f>
        <v/>
      </c>
      <c r="Y390" t="str">
        <f>IF(NOT($A390),"",
IF(AS390=-2,regle!$J$11,
IF(AS390=regle!$B$12,regle!$B$11,
IF(AS390=regle!$C$12,regle!$C$11,
IF(AS390=regle!$D$12,regle!$D$11,
IF(AS390=regle!$E$12,regle!$E$11,
IF(AS390=regle!$F$12,regle!$F$11,
IF(AS390=regle!$G$12,regle!$G$11,
IF(AS390=regle!$H$12,regle!$H$11,
IF(AS390=regle!$I$12,regle!$I$11,""))))))))))</f>
        <v/>
      </c>
      <c r="Z390" t="str">
        <f>IF(NOT($A390),"",
IF(AT390=-2,regle!$J$11,
IF(AT390=regle!$B$12,regle!$B$11,
IF(AT390=regle!$C$12,regle!$C$11,
IF(AT390=regle!$D$12,regle!$D$11,
IF(AT390=regle!$E$12,regle!$E$11,
IF(AT390=regle!$F$12,regle!$F$11,
IF(AT390=regle!$G$12,regle!$G$11,
IF(AT390=regle!$H$12,regle!$H$11,
IF(AT390=regle!$I$12,regle!$I$11,""))))))))))</f>
        <v/>
      </c>
      <c r="AA390" t="str">
        <f>IF(NOT($A390),"",
IF(AU390=-2,regle!$J$11,
IF(AU390=regle!$B$12,regle!$B$11,
IF(AU390=regle!$C$12,regle!$C$11,
IF(AU390=regle!$D$12,regle!$D$11,
IF(AU390=regle!$E$12,regle!$E$11,
IF(AU390=regle!$F$12,regle!$F$11,
IF(AU390=regle!$G$12,regle!$G$11,
IF(AU390=regle!$H$12,regle!$H$11,
IF(AU390=regle!$I$12,regle!$I$11,""))))))))))</f>
        <v/>
      </c>
      <c r="AB390" t="str">
        <f>IF(NOT($A390),"",
IF(AV390=-2,regle!$J$11,
IF(AV390=regle!$B$12,regle!$B$11,
IF(AV390=regle!$C$12,regle!$C$11,
IF(AV390=regle!$D$12,regle!$D$11,
IF(AV390=regle!$E$12,regle!$E$11,
IF(AV390=regle!$F$12,regle!$F$11,
IF(AV390=regle!$G$12,regle!$G$11,
IF(AV390=regle!$H$12,regle!$H$11,
IF(AV390=regle!$I$12,regle!$I$11,""))))))))))</f>
        <v/>
      </c>
      <c r="AC390" t="str">
        <f>IF(NOT($A390),"",
IF(AW390=-2,regle!$J$11,
IF(AW390=regle!$B$12,regle!$B$11,
IF(AW390=regle!$C$12,regle!$C$11,
IF(AW390=regle!$D$12,regle!$D$11,
IF(AW390=regle!$E$12,regle!$E$11,
IF(AW390=regle!$F$12,regle!$F$11,
IF(AW390=regle!$G$12,regle!$G$11,
IF(AW390=regle!$H$12,regle!$H$11,
IF(AW390=regle!$I$12,regle!$I$11,""))))))))))</f>
        <v/>
      </c>
      <c r="AD390" t="str">
        <f>IF(NOT($A390),"",
IF(AX390=-2,regle!$J$11,
IF(AX390=regle!$B$12,regle!$B$11,
IF(AX390=regle!$C$12,regle!$C$11,
IF(AX390=regle!$D$12,regle!$D$11,
IF(AX390=regle!$E$12,regle!$E$11,
IF(AX390=regle!$F$12,regle!$F$11,
IF(AX390=regle!$G$12,regle!$G$11,
IF(AX390=regle!$H$12,regle!$H$11,
IF(AX390=regle!$I$12,regle!$I$11,""))))))))))</f>
        <v/>
      </c>
      <c r="AE390" s="14" t="b">
        <f>IF($A390,$M390*(IF(U390=regle!$B$11,regle!$B$23,IF(U390=regle!$C$11,regle!$C$23,IF(U390=regle!$D$11,regle!$D$23,IF(U390=regle!$E$11,regle!$E$23,IF(U390=regle!$F$11,regle!$F$23,IF(U390=regle!$G$11,regle!$G$23,IF(U390=regle!$H$11,regle!$H$23,IF(U390=regle!$I$11,regle!$I$23,IF(U390=regle!$J$11,regle!$J$23,0)))))))))))</f>
        <v>0</v>
      </c>
      <c r="AF390" s="14" t="b">
        <f>IF($A390,$M390*(IF(V390=regle!$B$11,regle!$B$23,IF(V390=regle!$C$11,regle!$C$23,IF(V390=regle!$D$11,regle!$D$23,IF(V390=regle!$E$11,regle!$E$23,IF(V390=regle!$F$11,regle!$F$23,IF(V390=regle!$G$11,regle!$G$23,IF(V390=regle!$H$11,regle!$H$23,IF(V390=regle!$I$11,regle!$I$23,IF(V390=regle!$J$11,regle!$J$23,0)))))))))))</f>
        <v>0</v>
      </c>
      <c r="AG390" s="14" t="b">
        <f>IF($A390,$M390*(IF(W390=regle!$B$11,regle!$B$23,IF(W390=regle!$C$11,regle!$C$23,IF(W390=regle!$D$11,regle!$D$23,IF(W390=regle!$E$11,regle!$E$23,IF(W390=regle!$F$11,regle!$F$23,IF(W390=regle!$G$11,regle!$G$23,IF(W390=regle!$H$11,regle!$H$23,IF(W390=regle!$I$11,regle!$I$23,IF(W390=regle!$J$11,regle!$J$23,0)))))))))))</f>
        <v>0</v>
      </c>
      <c r="AH390" s="14" t="b">
        <f>IF($A390,$M390*(IF(X390=regle!$B$11,regle!$B$23,IF(X390=regle!$C$11,regle!$C$23,IF(X390=regle!$D$11,regle!$D$23,IF(X390=regle!$E$11,regle!$E$23,IF(X390=regle!$F$11,regle!$F$23,IF(X390=regle!$G$11,regle!$G$23,IF(X390=regle!$H$11,regle!$H$23,IF(X390=regle!$I$11,regle!$I$23,IF(X390=regle!$J$11,regle!$J$23,0)))))))))))</f>
        <v>0</v>
      </c>
      <c r="AI390" s="14" t="b">
        <f>IF($A390,$M390*(IF(Y390=regle!$B$11,regle!$B$23,IF(Y390=regle!$C$11,regle!$C$23,IF(Y390=regle!$D$11,regle!$D$23,IF(Y390=regle!$E$11,regle!$E$23,IF(Y390=regle!$F$11,regle!$F$23,IF(Y390=regle!$G$11,regle!$G$23,IF(Y390=regle!$H$11,regle!$H$23,IF(Y390=regle!$I$11,regle!$I$23,IF(Y390=regle!$J$11,regle!$J$23,0)))))))))))</f>
        <v>0</v>
      </c>
      <c r="AJ390" s="14" t="b">
        <f>IF($A390,$M390*(IF(Z390=regle!$B$11,regle!$B$23,IF(Z390=regle!$C$11,regle!$C$23,IF(Z390=regle!$D$11,regle!$D$23,IF(Z390=regle!$E$11,regle!$E$23,IF(Z390=regle!$F$11,regle!$F$23,IF(Z390=regle!$G$11,regle!$G$23,IF(Z390=regle!$H$11,regle!$H$23,IF(Z390=regle!$I$11,regle!$I$23,IF(Z390=regle!$J$11,regle!$J$23,0)))))))))))</f>
        <v>0</v>
      </c>
      <c r="AK390" s="14" t="b">
        <f>IF($A390,$M390*(IF(AA390=regle!$B$11,regle!$B$23,IF(AA390=regle!$C$11,regle!$C$23,IF(AA390=regle!$D$11,regle!$D$23,IF(AA390=regle!$E$11,regle!$E$23,IF(AA390=regle!$F$11,regle!$F$23,IF(AA390=regle!$G$11,regle!$G$23,IF(AA390=regle!$H$11,regle!$H$23,IF(AA390=regle!$I$11,regle!$I$23,IF(AA390=regle!$J$11,regle!$J$23,0)))))))))))</f>
        <v>0</v>
      </c>
      <c r="AL390" s="14" t="b">
        <f>IF($A390,$M390*(IF(AB390=regle!$B$11,regle!$B$23,IF(AB390=regle!$C$11,regle!$C$23,IF(AB390=regle!$D$11,regle!$D$23,IF(AB390=regle!$E$11,regle!$E$23,IF(AB390=regle!$F$11,regle!$F$23,IF(AB390=regle!$G$11,regle!$G$23,IF(AB390=regle!$H$11,regle!$H$23,IF(AB390=regle!$I$11,regle!$I$23,IF(AB390=regle!$J$11,regle!$J$23,0)))))))))))</f>
        <v>0</v>
      </c>
      <c r="AM390" s="14" t="b">
        <f>IF($A390,$M390*(IF(AC390=regle!$B$11,regle!$B$23,IF(AC390=regle!$C$11,regle!$C$23,IF(AC390=regle!$D$11,regle!$D$23,IF(AC390=regle!$E$11,regle!$E$23,IF(AC390=regle!$F$11,regle!$F$23,IF(AC390=regle!$G$11,regle!$G$23,IF(AC390=regle!$H$11,regle!$H$23,IF(AC390=regle!$I$11,regle!$I$23,IF(AC390=regle!$J$11,regle!$J$23,0)))))))))))</f>
        <v>0</v>
      </c>
      <c r="AN390" s="14" t="b">
        <f>IF($A390,$M390*(IF(AD390=regle!$B$11,regle!$B$23,IF(AD390=regle!$C$11,regle!$C$23,IF(AD390=regle!$D$11,regle!$D$23,IF(AD390=regle!$E$11,regle!$E$23,IF(AD390=regle!$F$11,regle!$F$23,IF(AD390=regle!$G$11,regle!$G$23,IF(AD390=regle!$H$11,regle!$H$23,IF(AD390=regle!$I$11,regle!$I$23,IF(AD390=regle!$J$11,regle!$J$23,0)))))))))))</f>
        <v>0</v>
      </c>
      <c r="AO390">
        <f>IF(AO$1=$AO$1,IF(regle!B$2-$Q390&gt;=regle!$J$12,-2,IF($S390,IF(regle!$B$2-$Q390&gt;=2,0,-1),regle!B$2-$Q390)),IF(AN390+1&gt;=regle!$J$12,-2,AN390+1))</f>
        <v>37</v>
      </c>
      <c r="AP390">
        <f>IF(AP$1=$AO$1,IF(regle!C$2-$Q390&gt;=regle!$J$12,-2,IF($S390,IF(regle!$B$2-$Q390&gt;=2,0,-1),regle!C$2-$Q390)),IF(AO390+1&gt;=regle!$J$12,-2,AO390+1))</f>
        <v>38</v>
      </c>
      <c r="AQ390">
        <f>IF(AQ$1=$AO$1,IF(regle!D$2-$Q390&gt;=regle!$J$12,-2,IF($S390,IF(regle!$B$2-$Q390&gt;=2,0,-1),regle!D$2-$Q390)),IF(AP390+1&gt;=regle!$J$12,-2,AP390+1))</f>
        <v>39</v>
      </c>
      <c r="AR390">
        <f>IF(AR$1=$AO$1,IF(regle!E$2-$Q390&gt;=regle!$J$12,-2,IF($S390,IF(regle!$B$2-$Q390&gt;=2,0,-1),regle!E$2-$Q390)),IF(AQ390+1&gt;=regle!$J$12,-2,AQ390+1))</f>
        <v>-2</v>
      </c>
      <c r="AS390">
        <f>IF(AS$1=$AO$1,IF(regle!F$2-$Q390&gt;=regle!$J$12,-2,IF($S390,IF(regle!$B$2-$Q390&gt;=2,0,-1),regle!F$2-$Q390)),IF(AR390+1&gt;=regle!$J$12,-2,AR390+1))</f>
        <v>-1</v>
      </c>
      <c r="AT390">
        <f>IF(AT$1=$AO$1,IF(regle!G$2-$Q390&gt;=regle!$J$12,-2,IF($S390,IF(regle!$B$2-$Q390&gt;=2,0,-1),regle!G$2-$Q390)),IF(AS390+1&gt;=regle!$J$12,-2,AS390+1))</f>
        <v>0</v>
      </c>
      <c r="AU390">
        <f>IF(AU$1=$AO$1,IF(regle!H$2-$Q390&gt;=regle!$J$12,-2,IF($S390,IF(regle!$B$2-$Q390&gt;=2,0,-1),regle!H$2-$Q390)),IF(AT390+1&gt;=regle!$J$12,-2,AT390+1))</f>
        <v>1</v>
      </c>
      <c r="AV390">
        <f>IF(AV$1=$AO$1,IF(regle!I$2-$Q390&gt;=regle!$J$12,-2,IF($S390,IF(regle!$B$2-$Q390&gt;=2,0,-1),regle!I$2-$Q390)),IF(AU390+1&gt;=regle!$J$12,-2,AU390+1))</f>
        <v>2</v>
      </c>
      <c r="AW390">
        <f>IF(AW$1=$AO$1,IF(regle!J$2-$Q390&gt;=regle!$J$12,-2,IF($S390,IF(regle!$B$2-$Q390&gt;=2,0,-1),regle!J$2-$Q390)),IF(AV390+1&gt;=regle!$J$12,-2,AV390+1))</f>
        <v>3</v>
      </c>
      <c r="AX390">
        <f>IF(AX$1=$AO$1,IF(regle!K$2-$Q390&gt;=regle!$J$12,-2,IF($S390,IF(regle!$B$2-$Q390&gt;=2,0,-1),regle!K$2-$Q390)),IF(AW390+1&gt;=regle!$J$12,-2,AW390+1))</f>
        <v>4</v>
      </c>
    </row>
    <row r="391" spans="1:50" x14ac:dyDescent="0.25">
      <c r="A391" t="b">
        <f>AND(modif0[[#This Row],[cdstr]]&lt;&gt;0,OR(regle!$H$27=FALSE,modif0[[#This Row],[essnc]]="PM"))</f>
        <v>0</v>
      </c>
      <c r="B391">
        <f>ROW(objet!A53)</f>
        <v>53</v>
      </c>
      <c r="C391" s="10" t="str">
        <f>objet!D53</f>
        <v>5360000A0419</v>
      </c>
      <c r="D391" t="str">
        <f>LEFT(modif0[[#This Row],[cdstr]],3)</f>
        <v>536</v>
      </c>
      <c r="E391" s="10" t="str">
        <f>objet!G53</f>
        <v>LE TUZAN</v>
      </c>
      <c r="F391">
        <f>LEN(modif0[[#This Row],[l_dt]])</f>
        <v>21</v>
      </c>
      <c r="G391" s="10" t="str">
        <f>objet!H53</f>
        <v>METAIRIES DE TABARTON</v>
      </c>
      <c r="H391" s="10" t="str">
        <f>objet!C53</f>
        <v>A419a</v>
      </c>
      <c r="I391" t="str">
        <f>IF(ISNUMBER(VALUE(RIGHT(LEFT(modif0[[#This Row],[idntfn]],2),1))),_xlfn.CONCAT(0,LEFT(modif0[[#This Row],[idntfn]],1)),LEFT(modif0[[#This Row],[idntfn]],2))</f>
        <v>0A</v>
      </c>
      <c r="J391">
        <f>VALUE(LEFT(RIGHT(modif0[[#This Row],[idntfn]],LEN(modif0[[#This Row],[idntfn]])-IF(LEFT(modif0[[#This Row],[sctn]],1)="0",1,2)),LEN(modif0[[#This Row],[idntfn]])-IF(LEFT(modif0[[#This Row],[sctn]],1)="0",1,2)-LEN(modif0[[#This Row],[lttr]])))</f>
        <v>419</v>
      </c>
      <c r="K391" t="str">
        <f>IF(ISNUMBER(VALUE(RIGHT(modif0[[#This Row],[idntfn]],1))),"",IF(ISNUMBER(VALUE(LEFT(RIGHT(modif0[[#This Row],[idntfn]],2),1))),RIGHT(modif0[[#This Row],[idntfn]],1),RIGHT(modif0[[#This Row],[idntfn]],2)))</f>
        <v>a</v>
      </c>
      <c r="L391" s="10">
        <f>objet!I53</f>
        <v>10562</v>
      </c>
      <c r="M391" s="11">
        <f>modif0[[#This Row],[srfc]]/10000</f>
        <v>1.0562</v>
      </c>
      <c r="N391" s="10" t="str">
        <f>objet!Z53</f>
        <v>FEUIL</v>
      </c>
      <c r="O391" s="10" t="str">
        <f>objet!AA53</f>
        <v>TAIL1985</v>
      </c>
      <c r="P391" t="str">
        <f>IF(ISNUMBER(modif0[[#This Row],[trvx]]),"",LEFT(modif0[[#This Row],[trvx]],LEN(modif0[[#This Row],[trvx]])-4))</f>
        <v>TAIL</v>
      </c>
      <c r="Q391">
        <f>VALUE(RIGHT(modif0[[#This Row],[trvx]],4))</f>
        <v>1985</v>
      </c>
      <c r="R391" t="str">
        <f>_xlfn.CONCAT(modif0[[#This Row],[tp]],"-",modif0[[#This Row],[essnc]],"_",modif0[[#This Row],[anns]])</f>
        <v>TAIL-FEUIL_1985</v>
      </c>
      <c r="S391" t="b">
        <f>modif0[[#This Row],[tp]]="CR"</f>
        <v>0</v>
      </c>
      <c r="T391">
        <v>40</v>
      </c>
      <c r="U391" t="str">
        <f>IF(NOT($A391),"",
IF(AO391=-2,regle!$J$11,
IF(AO391=regle!$B$12,regle!$B$11,
IF(AO391=regle!$C$12,regle!$C$11,
IF(AO391=regle!$D$12,regle!$D$11,
IF(AO391=regle!$E$12,regle!$E$11,
IF(AO391=regle!$F$12,regle!$F$11,
IF(AO391=regle!$G$12,regle!$G$11,
IF(AO391=regle!$H$12,regle!$H$11,
IF(AO391=regle!$I$12,regle!$I$11,""))))))))))</f>
        <v/>
      </c>
      <c r="V391" t="str">
        <f>IF(NOT($A391),"",
IF(AP391=-2,regle!$J$11,
IF(AP391=regle!$B$12,regle!$B$11,
IF(AP391=regle!$C$12,regle!$C$11,
IF(AP391=regle!$D$12,regle!$D$11,
IF(AP391=regle!$E$12,regle!$E$11,
IF(AP391=regle!$F$12,regle!$F$11,
IF(AP391=regle!$G$12,regle!$G$11,
IF(AP391=regle!$H$12,regle!$H$11,
IF(AP391=regle!$I$12,regle!$I$11,""))))))))))</f>
        <v/>
      </c>
      <c r="W391" t="str">
        <f>IF(NOT($A391),"",
IF(AQ391=-2,regle!$J$11,
IF(AQ391=regle!$B$12,regle!$B$11,
IF(AQ391=regle!$C$12,regle!$C$11,
IF(AQ391=regle!$D$12,regle!$D$11,
IF(AQ391=regle!$E$12,regle!$E$11,
IF(AQ391=regle!$F$12,regle!$F$11,
IF(AQ391=regle!$G$12,regle!$G$11,
IF(AQ391=regle!$H$12,regle!$H$11,
IF(AQ391=regle!$I$12,regle!$I$11,""))))))))))</f>
        <v/>
      </c>
      <c r="X391" t="str">
        <f>IF(NOT($A391),"",
IF(AR391=-2,regle!$J$11,
IF(AR391=regle!$B$12,regle!$B$11,
IF(AR391=regle!$C$12,regle!$C$11,
IF(AR391=regle!$D$12,regle!$D$11,
IF(AR391=regle!$E$12,regle!$E$11,
IF(AR391=regle!$F$12,regle!$F$11,
IF(AR391=regle!$G$12,regle!$G$11,
IF(AR391=regle!$H$12,regle!$H$11,
IF(AR391=regle!$I$12,regle!$I$11,""))))))))))</f>
        <v/>
      </c>
      <c r="Y391" t="str">
        <f>IF(NOT($A391),"",
IF(AS391=-2,regle!$J$11,
IF(AS391=regle!$B$12,regle!$B$11,
IF(AS391=regle!$C$12,regle!$C$11,
IF(AS391=regle!$D$12,regle!$D$11,
IF(AS391=regle!$E$12,regle!$E$11,
IF(AS391=regle!$F$12,regle!$F$11,
IF(AS391=regle!$G$12,regle!$G$11,
IF(AS391=regle!$H$12,regle!$H$11,
IF(AS391=regle!$I$12,regle!$I$11,""))))))))))</f>
        <v/>
      </c>
      <c r="Z391" t="str">
        <f>IF(NOT($A391),"",
IF(AT391=-2,regle!$J$11,
IF(AT391=regle!$B$12,regle!$B$11,
IF(AT391=regle!$C$12,regle!$C$11,
IF(AT391=regle!$D$12,regle!$D$11,
IF(AT391=regle!$E$12,regle!$E$11,
IF(AT391=regle!$F$12,regle!$F$11,
IF(AT391=regle!$G$12,regle!$G$11,
IF(AT391=regle!$H$12,regle!$H$11,
IF(AT391=regle!$I$12,regle!$I$11,""))))))))))</f>
        <v/>
      </c>
      <c r="AA391" t="str">
        <f>IF(NOT($A391),"",
IF(AU391=-2,regle!$J$11,
IF(AU391=regle!$B$12,regle!$B$11,
IF(AU391=regle!$C$12,regle!$C$11,
IF(AU391=regle!$D$12,regle!$D$11,
IF(AU391=regle!$E$12,regle!$E$11,
IF(AU391=regle!$F$12,regle!$F$11,
IF(AU391=regle!$G$12,regle!$G$11,
IF(AU391=regle!$H$12,regle!$H$11,
IF(AU391=regle!$I$12,regle!$I$11,""))))))))))</f>
        <v/>
      </c>
      <c r="AB391" t="str">
        <f>IF(NOT($A391),"",
IF(AV391=-2,regle!$J$11,
IF(AV391=regle!$B$12,regle!$B$11,
IF(AV391=regle!$C$12,regle!$C$11,
IF(AV391=regle!$D$12,regle!$D$11,
IF(AV391=regle!$E$12,regle!$E$11,
IF(AV391=regle!$F$12,regle!$F$11,
IF(AV391=regle!$G$12,regle!$G$11,
IF(AV391=regle!$H$12,regle!$H$11,
IF(AV391=regle!$I$12,regle!$I$11,""))))))))))</f>
        <v/>
      </c>
      <c r="AC391" t="str">
        <f>IF(NOT($A391),"",
IF(AW391=-2,regle!$J$11,
IF(AW391=regle!$B$12,regle!$B$11,
IF(AW391=regle!$C$12,regle!$C$11,
IF(AW391=regle!$D$12,regle!$D$11,
IF(AW391=regle!$E$12,regle!$E$11,
IF(AW391=regle!$F$12,regle!$F$11,
IF(AW391=regle!$G$12,regle!$G$11,
IF(AW391=regle!$H$12,regle!$H$11,
IF(AW391=regle!$I$12,regle!$I$11,""))))))))))</f>
        <v/>
      </c>
      <c r="AD391" t="str">
        <f>IF(NOT($A391),"",
IF(AX391=-2,regle!$J$11,
IF(AX391=regle!$B$12,regle!$B$11,
IF(AX391=regle!$C$12,regle!$C$11,
IF(AX391=regle!$D$12,regle!$D$11,
IF(AX391=regle!$E$12,regle!$E$11,
IF(AX391=regle!$F$12,regle!$F$11,
IF(AX391=regle!$G$12,regle!$G$11,
IF(AX391=regle!$H$12,regle!$H$11,
IF(AX391=regle!$I$12,regle!$I$11,""))))))))))</f>
        <v/>
      </c>
      <c r="AE391" s="14" t="b">
        <f>IF($A391,$M391*(IF(U391=regle!$B$11,regle!$B$23,IF(U391=regle!$C$11,regle!$C$23,IF(U391=regle!$D$11,regle!$D$23,IF(U391=regle!$E$11,regle!$E$23,IF(U391=regle!$F$11,regle!$F$23,IF(U391=regle!$G$11,regle!$G$23,IF(U391=regle!$H$11,regle!$H$23,IF(U391=regle!$I$11,regle!$I$23,IF(U391=regle!$J$11,regle!$J$23,0)))))))))))</f>
        <v>0</v>
      </c>
      <c r="AF391" s="14" t="b">
        <f>IF($A391,$M391*(IF(V391=regle!$B$11,regle!$B$23,IF(V391=regle!$C$11,regle!$C$23,IF(V391=regle!$D$11,regle!$D$23,IF(V391=regle!$E$11,regle!$E$23,IF(V391=regle!$F$11,regle!$F$23,IF(V391=regle!$G$11,regle!$G$23,IF(V391=regle!$H$11,regle!$H$23,IF(V391=regle!$I$11,regle!$I$23,IF(V391=regle!$J$11,regle!$J$23,0)))))))))))</f>
        <v>0</v>
      </c>
      <c r="AG391" s="14" t="b">
        <f>IF($A391,$M391*(IF(W391=regle!$B$11,regle!$B$23,IF(W391=regle!$C$11,regle!$C$23,IF(W391=regle!$D$11,regle!$D$23,IF(W391=regle!$E$11,regle!$E$23,IF(W391=regle!$F$11,regle!$F$23,IF(W391=regle!$G$11,regle!$G$23,IF(W391=regle!$H$11,regle!$H$23,IF(W391=regle!$I$11,regle!$I$23,IF(W391=regle!$J$11,regle!$J$23,0)))))))))))</f>
        <v>0</v>
      </c>
      <c r="AH391" s="14" t="b">
        <f>IF($A391,$M391*(IF(X391=regle!$B$11,regle!$B$23,IF(X391=regle!$C$11,regle!$C$23,IF(X391=regle!$D$11,regle!$D$23,IF(X391=regle!$E$11,regle!$E$23,IF(X391=regle!$F$11,regle!$F$23,IF(X391=regle!$G$11,regle!$G$23,IF(X391=regle!$H$11,regle!$H$23,IF(X391=regle!$I$11,regle!$I$23,IF(X391=regle!$J$11,regle!$J$23,0)))))))))))</f>
        <v>0</v>
      </c>
      <c r="AI391" s="14" t="b">
        <f>IF($A391,$M391*(IF(Y391=regle!$B$11,regle!$B$23,IF(Y391=regle!$C$11,regle!$C$23,IF(Y391=regle!$D$11,regle!$D$23,IF(Y391=regle!$E$11,regle!$E$23,IF(Y391=regle!$F$11,regle!$F$23,IF(Y391=regle!$G$11,regle!$G$23,IF(Y391=regle!$H$11,regle!$H$23,IF(Y391=regle!$I$11,regle!$I$23,IF(Y391=regle!$J$11,regle!$J$23,0)))))))))))</f>
        <v>0</v>
      </c>
      <c r="AJ391" s="14" t="b">
        <f>IF($A391,$M391*(IF(Z391=regle!$B$11,regle!$B$23,IF(Z391=regle!$C$11,regle!$C$23,IF(Z391=regle!$D$11,regle!$D$23,IF(Z391=regle!$E$11,regle!$E$23,IF(Z391=regle!$F$11,regle!$F$23,IF(Z391=regle!$G$11,regle!$G$23,IF(Z391=regle!$H$11,regle!$H$23,IF(Z391=regle!$I$11,regle!$I$23,IF(Z391=regle!$J$11,regle!$J$23,0)))))))))))</f>
        <v>0</v>
      </c>
      <c r="AK391" s="14" t="b">
        <f>IF($A391,$M391*(IF(AA391=regle!$B$11,regle!$B$23,IF(AA391=regle!$C$11,regle!$C$23,IF(AA391=regle!$D$11,regle!$D$23,IF(AA391=regle!$E$11,regle!$E$23,IF(AA391=regle!$F$11,regle!$F$23,IF(AA391=regle!$G$11,regle!$G$23,IF(AA391=regle!$H$11,regle!$H$23,IF(AA391=regle!$I$11,regle!$I$23,IF(AA391=regle!$J$11,regle!$J$23,0)))))))))))</f>
        <v>0</v>
      </c>
      <c r="AL391" s="14" t="b">
        <f>IF($A391,$M391*(IF(AB391=regle!$B$11,regle!$B$23,IF(AB391=regle!$C$11,regle!$C$23,IF(AB391=regle!$D$11,regle!$D$23,IF(AB391=regle!$E$11,regle!$E$23,IF(AB391=regle!$F$11,regle!$F$23,IF(AB391=regle!$G$11,regle!$G$23,IF(AB391=regle!$H$11,regle!$H$23,IF(AB391=regle!$I$11,regle!$I$23,IF(AB391=regle!$J$11,regle!$J$23,0)))))))))))</f>
        <v>0</v>
      </c>
      <c r="AM391" s="14" t="b">
        <f>IF($A391,$M391*(IF(AC391=regle!$B$11,regle!$B$23,IF(AC391=regle!$C$11,regle!$C$23,IF(AC391=regle!$D$11,regle!$D$23,IF(AC391=regle!$E$11,regle!$E$23,IF(AC391=regle!$F$11,regle!$F$23,IF(AC391=regle!$G$11,regle!$G$23,IF(AC391=regle!$H$11,regle!$H$23,IF(AC391=regle!$I$11,regle!$I$23,IF(AC391=regle!$J$11,regle!$J$23,0)))))))))))</f>
        <v>0</v>
      </c>
      <c r="AN391" s="14" t="b">
        <f>IF($A391,$M391*(IF(AD391=regle!$B$11,regle!$B$23,IF(AD391=regle!$C$11,regle!$C$23,IF(AD391=regle!$D$11,regle!$D$23,IF(AD391=regle!$E$11,regle!$E$23,IF(AD391=regle!$F$11,regle!$F$23,IF(AD391=regle!$G$11,regle!$G$23,IF(AD391=regle!$H$11,regle!$H$23,IF(AD391=regle!$I$11,regle!$I$23,IF(AD391=regle!$J$11,regle!$J$23,0)))))))))))</f>
        <v>0</v>
      </c>
      <c r="AO391">
        <f>IF(AO$1=$AO$1,IF(regle!B$2-$Q391&gt;=regle!$J$12,-2,IF($S391,IF(regle!$B$2-$Q391&gt;=2,0,-1),regle!B$2-$Q391)),IF(AN391+1&gt;=regle!$J$12,-2,AN391+1))</f>
        <v>39</v>
      </c>
      <c r="AP391">
        <f>IF(AP$1=$AO$1,IF(regle!C$2-$Q391&gt;=regle!$J$12,-2,IF($S391,IF(regle!$B$2-$Q391&gt;=2,0,-1),regle!C$2-$Q391)),IF(AO391+1&gt;=regle!$J$12,-2,AO391+1))</f>
        <v>-2</v>
      </c>
      <c r="AQ391">
        <f>IF(AQ$1=$AO$1,IF(regle!D$2-$Q391&gt;=regle!$J$12,-2,IF($S391,IF(regle!$B$2-$Q391&gt;=2,0,-1),regle!D$2-$Q391)),IF(AP391+1&gt;=regle!$J$12,-2,AP391+1))</f>
        <v>-1</v>
      </c>
      <c r="AR391">
        <f>IF(AR$1=$AO$1,IF(regle!E$2-$Q391&gt;=regle!$J$12,-2,IF($S391,IF(regle!$B$2-$Q391&gt;=2,0,-1),regle!E$2-$Q391)),IF(AQ391+1&gt;=regle!$J$12,-2,AQ391+1))</f>
        <v>0</v>
      </c>
      <c r="AS391">
        <f>IF(AS$1=$AO$1,IF(regle!F$2-$Q391&gt;=regle!$J$12,-2,IF($S391,IF(regle!$B$2-$Q391&gt;=2,0,-1),regle!F$2-$Q391)),IF(AR391+1&gt;=regle!$J$12,-2,AR391+1))</f>
        <v>1</v>
      </c>
      <c r="AT391">
        <f>IF(AT$1=$AO$1,IF(regle!G$2-$Q391&gt;=regle!$J$12,-2,IF($S391,IF(regle!$B$2-$Q391&gt;=2,0,-1),regle!G$2-$Q391)),IF(AS391+1&gt;=regle!$J$12,-2,AS391+1))</f>
        <v>2</v>
      </c>
      <c r="AU391">
        <f>IF(AU$1=$AO$1,IF(regle!H$2-$Q391&gt;=regle!$J$12,-2,IF($S391,IF(regle!$B$2-$Q391&gt;=2,0,-1),regle!H$2-$Q391)),IF(AT391+1&gt;=regle!$J$12,-2,AT391+1))</f>
        <v>3</v>
      </c>
      <c r="AV391">
        <f>IF(AV$1=$AO$1,IF(regle!I$2-$Q391&gt;=regle!$J$12,-2,IF($S391,IF(regle!$B$2-$Q391&gt;=2,0,-1),regle!I$2-$Q391)),IF(AU391+1&gt;=regle!$J$12,-2,AU391+1))</f>
        <v>4</v>
      </c>
      <c r="AW391">
        <f>IF(AW$1=$AO$1,IF(regle!J$2-$Q391&gt;=regle!$J$12,-2,IF($S391,IF(regle!$B$2-$Q391&gt;=2,0,-1),regle!J$2-$Q391)),IF(AV391+1&gt;=regle!$J$12,-2,AV391+1))</f>
        <v>5</v>
      </c>
      <c r="AX391">
        <f>IF(AX$1=$AO$1,IF(regle!K$2-$Q391&gt;=regle!$J$12,-2,IF($S391,IF(regle!$B$2-$Q391&gt;=2,0,-1),regle!K$2-$Q391)),IF(AW391+1&gt;=regle!$J$12,-2,AW391+1))</f>
        <v>6</v>
      </c>
    </row>
    <row r="392" spans="1:50" x14ac:dyDescent="0.25">
      <c r="A392" t="b">
        <f>AND(modif0[[#This Row],[cdstr]]&lt;&gt;0,OR(regle!$H$27=FALSE,modif0[[#This Row],[essnc]]="PM"))</f>
        <v>0</v>
      </c>
      <c r="B392">
        <f>ROW(objet!A56)</f>
        <v>56</v>
      </c>
      <c r="C392" s="10" t="str">
        <f>objet!D56</f>
        <v>5360000A0420</v>
      </c>
      <c r="D392" t="str">
        <f>LEFT(modif0[[#This Row],[cdstr]],3)</f>
        <v>536</v>
      </c>
      <c r="E392" s="10" t="str">
        <f>objet!G56</f>
        <v>LE TUZAN</v>
      </c>
      <c r="F392">
        <f>LEN(modif0[[#This Row],[l_dt]])</f>
        <v>21</v>
      </c>
      <c r="G392" s="10" t="str">
        <f>objet!H56</f>
        <v>METAIRIES DE TABARTON</v>
      </c>
      <c r="H392" s="10" t="str">
        <f>objet!C56</f>
        <v>A420a</v>
      </c>
      <c r="I392" t="str">
        <f>IF(ISNUMBER(VALUE(RIGHT(LEFT(modif0[[#This Row],[idntfn]],2),1))),_xlfn.CONCAT(0,LEFT(modif0[[#This Row],[idntfn]],1)),LEFT(modif0[[#This Row],[idntfn]],2))</f>
        <v>0A</v>
      </c>
      <c r="J392">
        <f>VALUE(LEFT(RIGHT(modif0[[#This Row],[idntfn]],LEN(modif0[[#This Row],[idntfn]])-IF(LEFT(modif0[[#This Row],[sctn]],1)="0",1,2)),LEN(modif0[[#This Row],[idntfn]])-IF(LEFT(modif0[[#This Row],[sctn]],1)="0",1,2)-LEN(modif0[[#This Row],[lttr]])))</f>
        <v>420</v>
      </c>
      <c r="K392" t="str">
        <f>IF(ISNUMBER(VALUE(RIGHT(modif0[[#This Row],[idntfn]],1))),"",IF(ISNUMBER(VALUE(LEFT(RIGHT(modif0[[#This Row],[idntfn]],2),1))),RIGHT(modif0[[#This Row],[idntfn]],1),RIGHT(modif0[[#This Row],[idntfn]],2)))</f>
        <v>a</v>
      </c>
      <c r="L392" s="10">
        <f>objet!I56</f>
        <v>3626</v>
      </c>
      <c r="M392" s="11">
        <f>modif0[[#This Row],[srfc]]/10000</f>
        <v>0.36259999999999998</v>
      </c>
      <c r="N392" s="10" t="str">
        <f>objet!Z56</f>
        <v>FEUIL</v>
      </c>
      <c r="O392" s="10" t="str">
        <f>objet!AA56</f>
        <v>TAIL1985</v>
      </c>
      <c r="P392" t="str">
        <f>IF(ISNUMBER(modif0[[#This Row],[trvx]]),"",LEFT(modif0[[#This Row],[trvx]],LEN(modif0[[#This Row],[trvx]])-4))</f>
        <v>TAIL</v>
      </c>
      <c r="Q392">
        <f>VALUE(RIGHT(modif0[[#This Row],[trvx]],4))</f>
        <v>1985</v>
      </c>
      <c r="R392" t="str">
        <f>_xlfn.CONCAT(modif0[[#This Row],[tp]],"-",modif0[[#This Row],[essnc]],"_",modif0[[#This Row],[anns]])</f>
        <v>TAIL-FEUIL_1985</v>
      </c>
      <c r="S392" t="b">
        <f>modif0[[#This Row],[tp]]="CR"</f>
        <v>0</v>
      </c>
      <c r="T392">
        <v>40</v>
      </c>
      <c r="U392" t="str">
        <f>IF(NOT($A392),"",
IF(AO392=-2,regle!$J$11,
IF(AO392=regle!$B$12,regle!$B$11,
IF(AO392=regle!$C$12,regle!$C$11,
IF(AO392=regle!$D$12,regle!$D$11,
IF(AO392=regle!$E$12,regle!$E$11,
IF(AO392=regle!$F$12,regle!$F$11,
IF(AO392=regle!$G$12,regle!$G$11,
IF(AO392=regle!$H$12,regle!$H$11,
IF(AO392=regle!$I$12,regle!$I$11,""))))))))))</f>
        <v/>
      </c>
      <c r="V392" t="str">
        <f>IF(NOT($A392),"",
IF(AP392=-2,regle!$J$11,
IF(AP392=regle!$B$12,regle!$B$11,
IF(AP392=regle!$C$12,regle!$C$11,
IF(AP392=regle!$D$12,regle!$D$11,
IF(AP392=regle!$E$12,regle!$E$11,
IF(AP392=regle!$F$12,regle!$F$11,
IF(AP392=regle!$G$12,regle!$G$11,
IF(AP392=regle!$H$12,regle!$H$11,
IF(AP392=regle!$I$12,regle!$I$11,""))))))))))</f>
        <v/>
      </c>
      <c r="W392" t="str">
        <f>IF(NOT($A392),"",
IF(AQ392=-2,regle!$J$11,
IF(AQ392=regle!$B$12,regle!$B$11,
IF(AQ392=regle!$C$12,regle!$C$11,
IF(AQ392=regle!$D$12,regle!$D$11,
IF(AQ392=regle!$E$12,regle!$E$11,
IF(AQ392=regle!$F$12,regle!$F$11,
IF(AQ392=regle!$G$12,regle!$G$11,
IF(AQ392=regle!$H$12,regle!$H$11,
IF(AQ392=regle!$I$12,regle!$I$11,""))))))))))</f>
        <v/>
      </c>
      <c r="X392" t="str">
        <f>IF(NOT($A392),"",
IF(AR392=-2,regle!$J$11,
IF(AR392=regle!$B$12,regle!$B$11,
IF(AR392=regle!$C$12,regle!$C$11,
IF(AR392=regle!$D$12,regle!$D$11,
IF(AR392=regle!$E$12,regle!$E$11,
IF(AR392=regle!$F$12,regle!$F$11,
IF(AR392=regle!$G$12,regle!$G$11,
IF(AR392=regle!$H$12,regle!$H$11,
IF(AR392=regle!$I$12,regle!$I$11,""))))))))))</f>
        <v/>
      </c>
      <c r="Y392" t="str">
        <f>IF(NOT($A392),"",
IF(AS392=-2,regle!$J$11,
IF(AS392=regle!$B$12,regle!$B$11,
IF(AS392=regle!$C$12,regle!$C$11,
IF(AS392=regle!$D$12,regle!$D$11,
IF(AS392=regle!$E$12,regle!$E$11,
IF(AS392=regle!$F$12,regle!$F$11,
IF(AS392=regle!$G$12,regle!$G$11,
IF(AS392=regle!$H$12,regle!$H$11,
IF(AS392=regle!$I$12,regle!$I$11,""))))))))))</f>
        <v/>
      </c>
      <c r="Z392" t="str">
        <f>IF(NOT($A392),"",
IF(AT392=-2,regle!$J$11,
IF(AT392=regle!$B$12,regle!$B$11,
IF(AT392=regle!$C$12,regle!$C$11,
IF(AT392=regle!$D$12,regle!$D$11,
IF(AT392=regle!$E$12,regle!$E$11,
IF(AT392=regle!$F$12,regle!$F$11,
IF(AT392=regle!$G$12,regle!$G$11,
IF(AT392=regle!$H$12,regle!$H$11,
IF(AT392=regle!$I$12,regle!$I$11,""))))))))))</f>
        <v/>
      </c>
      <c r="AA392" t="str">
        <f>IF(NOT($A392),"",
IF(AU392=-2,regle!$J$11,
IF(AU392=regle!$B$12,regle!$B$11,
IF(AU392=regle!$C$12,regle!$C$11,
IF(AU392=regle!$D$12,regle!$D$11,
IF(AU392=regle!$E$12,regle!$E$11,
IF(AU392=regle!$F$12,regle!$F$11,
IF(AU392=regle!$G$12,regle!$G$11,
IF(AU392=regle!$H$12,regle!$H$11,
IF(AU392=regle!$I$12,regle!$I$11,""))))))))))</f>
        <v/>
      </c>
      <c r="AB392" t="str">
        <f>IF(NOT($A392),"",
IF(AV392=-2,regle!$J$11,
IF(AV392=regle!$B$12,regle!$B$11,
IF(AV392=regle!$C$12,regle!$C$11,
IF(AV392=regle!$D$12,regle!$D$11,
IF(AV392=regle!$E$12,regle!$E$11,
IF(AV392=regle!$F$12,regle!$F$11,
IF(AV392=regle!$G$12,regle!$G$11,
IF(AV392=regle!$H$12,regle!$H$11,
IF(AV392=regle!$I$12,regle!$I$11,""))))))))))</f>
        <v/>
      </c>
      <c r="AC392" t="str">
        <f>IF(NOT($A392),"",
IF(AW392=-2,regle!$J$11,
IF(AW392=regle!$B$12,regle!$B$11,
IF(AW392=regle!$C$12,regle!$C$11,
IF(AW392=regle!$D$12,regle!$D$11,
IF(AW392=regle!$E$12,regle!$E$11,
IF(AW392=regle!$F$12,regle!$F$11,
IF(AW392=regle!$G$12,regle!$G$11,
IF(AW392=regle!$H$12,regle!$H$11,
IF(AW392=regle!$I$12,regle!$I$11,""))))))))))</f>
        <v/>
      </c>
      <c r="AD392" t="str">
        <f>IF(NOT($A392),"",
IF(AX392=-2,regle!$J$11,
IF(AX392=regle!$B$12,regle!$B$11,
IF(AX392=regle!$C$12,regle!$C$11,
IF(AX392=regle!$D$12,regle!$D$11,
IF(AX392=regle!$E$12,regle!$E$11,
IF(AX392=regle!$F$12,regle!$F$11,
IF(AX392=regle!$G$12,regle!$G$11,
IF(AX392=regle!$H$12,regle!$H$11,
IF(AX392=regle!$I$12,regle!$I$11,""))))))))))</f>
        <v/>
      </c>
      <c r="AE392" s="14" t="b">
        <f>IF($A392,$M392*(IF(U392=regle!$B$11,regle!$B$23,IF(U392=regle!$C$11,regle!$C$23,IF(U392=regle!$D$11,regle!$D$23,IF(U392=regle!$E$11,regle!$E$23,IF(U392=regle!$F$11,regle!$F$23,IF(U392=regle!$G$11,regle!$G$23,IF(U392=regle!$H$11,regle!$H$23,IF(U392=regle!$I$11,regle!$I$23,IF(U392=regle!$J$11,regle!$J$23,0)))))))))))</f>
        <v>0</v>
      </c>
      <c r="AF392" s="14" t="b">
        <f>IF($A392,$M392*(IF(V392=regle!$B$11,regle!$B$23,IF(V392=regle!$C$11,regle!$C$23,IF(V392=regle!$D$11,regle!$D$23,IF(V392=regle!$E$11,regle!$E$23,IF(V392=regle!$F$11,regle!$F$23,IF(V392=regle!$G$11,regle!$G$23,IF(V392=regle!$H$11,regle!$H$23,IF(V392=regle!$I$11,regle!$I$23,IF(V392=regle!$J$11,regle!$J$23,0)))))))))))</f>
        <v>0</v>
      </c>
      <c r="AG392" s="14" t="b">
        <f>IF($A392,$M392*(IF(W392=regle!$B$11,regle!$B$23,IF(W392=regle!$C$11,regle!$C$23,IF(W392=regle!$D$11,regle!$D$23,IF(W392=regle!$E$11,regle!$E$23,IF(W392=regle!$F$11,regle!$F$23,IF(W392=regle!$G$11,regle!$G$23,IF(W392=regle!$H$11,regle!$H$23,IF(W392=regle!$I$11,regle!$I$23,IF(W392=regle!$J$11,regle!$J$23,0)))))))))))</f>
        <v>0</v>
      </c>
      <c r="AH392" s="14" t="b">
        <f>IF($A392,$M392*(IF(X392=regle!$B$11,regle!$B$23,IF(X392=regle!$C$11,regle!$C$23,IF(X392=regle!$D$11,regle!$D$23,IF(X392=regle!$E$11,regle!$E$23,IF(X392=regle!$F$11,regle!$F$23,IF(X392=regle!$G$11,regle!$G$23,IF(X392=regle!$H$11,regle!$H$23,IF(X392=regle!$I$11,regle!$I$23,IF(X392=regle!$J$11,regle!$J$23,0)))))))))))</f>
        <v>0</v>
      </c>
      <c r="AI392" s="14" t="b">
        <f>IF($A392,$M392*(IF(Y392=regle!$B$11,regle!$B$23,IF(Y392=regle!$C$11,regle!$C$23,IF(Y392=regle!$D$11,regle!$D$23,IF(Y392=regle!$E$11,regle!$E$23,IF(Y392=regle!$F$11,regle!$F$23,IF(Y392=regle!$G$11,regle!$G$23,IF(Y392=regle!$H$11,regle!$H$23,IF(Y392=regle!$I$11,regle!$I$23,IF(Y392=regle!$J$11,regle!$J$23,0)))))))))))</f>
        <v>0</v>
      </c>
      <c r="AJ392" s="14" t="b">
        <f>IF($A392,$M392*(IF(Z392=regle!$B$11,regle!$B$23,IF(Z392=regle!$C$11,regle!$C$23,IF(Z392=regle!$D$11,regle!$D$23,IF(Z392=regle!$E$11,regle!$E$23,IF(Z392=regle!$F$11,regle!$F$23,IF(Z392=regle!$G$11,regle!$G$23,IF(Z392=regle!$H$11,regle!$H$23,IF(Z392=regle!$I$11,regle!$I$23,IF(Z392=regle!$J$11,regle!$J$23,0)))))))))))</f>
        <v>0</v>
      </c>
      <c r="AK392" s="14" t="b">
        <f>IF($A392,$M392*(IF(AA392=regle!$B$11,regle!$B$23,IF(AA392=regle!$C$11,regle!$C$23,IF(AA392=regle!$D$11,regle!$D$23,IF(AA392=regle!$E$11,regle!$E$23,IF(AA392=regle!$F$11,regle!$F$23,IF(AA392=regle!$G$11,regle!$G$23,IF(AA392=regle!$H$11,regle!$H$23,IF(AA392=regle!$I$11,regle!$I$23,IF(AA392=regle!$J$11,regle!$J$23,0)))))))))))</f>
        <v>0</v>
      </c>
      <c r="AL392" s="14" t="b">
        <f>IF($A392,$M392*(IF(AB392=regle!$B$11,regle!$B$23,IF(AB392=regle!$C$11,regle!$C$23,IF(AB392=regle!$D$11,regle!$D$23,IF(AB392=regle!$E$11,regle!$E$23,IF(AB392=regle!$F$11,regle!$F$23,IF(AB392=regle!$G$11,regle!$G$23,IF(AB392=regle!$H$11,regle!$H$23,IF(AB392=regle!$I$11,regle!$I$23,IF(AB392=regle!$J$11,regle!$J$23,0)))))))))))</f>
        <v>0</v>
      </c>
      <c r="AM392" s="14" t="b">
        <f>IF($A392,$M392*(IF(AC392=regle!$B$11,regle!$B$23,IF(AC392=regle!$C$11,regle!$C$23,IF(AC392=regle!$D$11,regle!$D$23,IF(AC392=regle!$E$11,regle!$E$23,IF(AC392=regle!$F$11,regle!$F$23,IF(AC392=regle!$G$11,regle!$G$23,IF(AC392=regle!$H$11,regle!$H$23,IF(AC392=regle!$I$11,regle!$I$23,IF(AC392=regle!$J$11,regle!$J$23,0)))))))))))</f>
        <v>0</v>
      </c>
      <c r="AN392" s="14" t="b">
        <f>IF($A392,$M392*(IF(AD392=regle!$B$11,regle!$B$23,IF(AD392=regle!$C$11,regle!$C$23,IF(AD392=regle!$D$11,regle!$D$23,IF(AD392=regle!$E$11,regle!$E$23,IF(AD392=regle!$F$11,regle!$F$23,IF(AD392=regle!$G$11,regle!$G$23,IF(AD392=regle!$H$11,regle!$H$23,IF(AD392=regle!$I$11,regle!$I$23,IF(AD392=regle!$J$11,regle!$J$23,0)))))))))))</f>
        <v>0</v>
      </c>
      <c r="AO392">
        <f>IF(AO$1=$AO$1,IF(regle!B$2-$Q392&gt;=regle!$J$12,-2,IF($S392,IF(regle!$B$2-$Q392&gt;=2,0,-1),regle!B$2-$Q392)),IF(AN392+1&gt;=regle!$J$12,-2,AN392+1))</f>
        <v>39</v>
      </c>
      <c r="AP392">
        <f>IF(AP$1=$AO$1,IF(regle!C$2-$Q392&gt;=regle!$J$12,-2,IF($S392,IF(regle!$B$2-$Q392&gt;=2,0,-1),regle!C$2-$Q392)),IF(AO392+1&gt;=regle!$J$12,-2,AO392+1))</f>
        <v>-2</v>
      </c>
      <c r="AQ392">
        <f>IF(AQ$1=$AO$1,IF(regle!D$2-$Q392&gt;=regle!$J$12,-2,IF($S392,IF(regle!$B$2-$Q392&gt;=2,0,-1),regle!D$2-$Q392)),IF(AP392+1&gt;=regle!$J$12,-2,AP392+1))</f>
        <v>-1</v>
      </c>
      <c r="AR392">
        <f>IF(AR$1=$AO$1,IF(regle!E$2-$Q392&gt;=regle!$J$12,-2,IF($S392,IF(regle!$B$2-$Q392&gt;=2,0,-1),regle!E$2-$Q392)),IF(AQ392+1&gt;=regle!$J$12,-2,AQ392+1))</f>
        <v>0</v>
      </c>
      <c r="AS392">
        <f>IF(AS$1=$AO$1,IF(regle!F$2-$Q392&gt;=regle!$J$12,-2,IF($S392,IF(regle!$B$2-$Q392&gt;=2,0,-1),regle!F$2-$Q392)),IF(AR392+1&gt;=regle!$J$12,-2,AR392+1))</f>
        <v>1</v>
      </c>
      <c r="AT392">
        <f>IF(AT$1=$AO$1,IF(regle!G$2-$Q392&gt;=regle!$J$12,-2,IF($S392,IF(regle!$B$2-$Q392&gt;=2,0,-1),regle!G$2-$Q392)),IF(AS392+1&gt;=regle!$J$12,-2,AS392+1))</f>
        <v>2</v>
      </c>
      <c r="AU392">
        <f>IF(AU$1=$AO$1,IF(regle!H$2-$Q392&gt;=regle!$J$12,-2,IF($S392,IF(regle!$B$2-$Q392&gt;=2,0,-1),regle!H$2-$Q392)),IF(AT392+1&gt;=regle!$J$12,-2,AT392+1))</f>
        <v>3</v>
      </c>
      <c r="AV392">
        <f>IF(AV$1=$AO$1,IF(regle!I$2-$Q392&gt;=regle!$J$12,-2,IF($S392,IF(regle!$B$2-$Q392&gt;=2,0,-1),regle!I$2-$Q392)),IF(AU392+1&gt;=regle!$J$12,-2,AU392+1))</f>
        <v>4</v>
      </c>
      <c r="AW392">
        <f>IF(AW$1=$AO$1,IF(regle!J$2-$Q392&gt;=regle!$J$12,-2,IF($S392,IF(regle!$B$2-$Q392&gt;=2,0,-1),regle!J$2-$Q392)),IF(AV392+1&gt;=regle!$J$12,-2,AV392+1))</f>
        <v>5</v>
      </c>
      <c r="AX392">
        <f>IF(AX$1=$AO$1,IF(regle!K$2-$Q392&gt;=regle!$J$12,-2,IF($S392,IF(regle!$B$2-$Q392&gt;=2,0,-1),regle!K$2-$Q392)),IF(AW392+1&gt;=regle!$J$12,-2,AW392+1))</f>
        <v>6</v>
      </c>
    </row>
    <row r="393" spans="1:50" x14ac:dyDescent="0.25">
      <c r="A393" t="b">
        <f>AND(modif0[[#This Row],[cdstr]]&lt;&gt;0,OR(regle!$H$27=FALSE,modif0[[#This Row],[essnc]]="PM"))</f>
        <v>0</v>
      </c>
      <c r="B393">
        <f>ROW(objet!A58)</f>
        <v>58</v>
      </c>
      <c r="C393" s="10" t="str">
        <f>objet!D58</f>
        <v>5360000A0420</v>
      </c>
      <c r="D393" t="str">
        <f>LEFT(modif0[[#This Row],[cdstr]],3)</f>
        <v>536</v>
      </c>
      <c r="E393" s="10" t="str">
        <f>objet!G58</f>
        <v>LE TUZAN</v>
      </c>
      <c r="F393">
        <f>LEN(modif0[[#This Row],[l_dt]])</f>
        <v>21</v>
      </c>
      <c r="G393" s="10" t="str">
        <f>objet!H58</f>
        <v>METAIRIES DE TABARTON</v>
      </c>
      <c r="H393" s="10" t="str">
        <f>objet!C58</f>
        <v>A420d</v>
      </c>
      <c r="I393" t="str">
        <f>IF(ISNUMBER(VALUE(RIGHT(LEFT(modif0[[#This Row],[idntfn]],2),1))),_xlfn.CONCAT(0,LEFT(modif0[[#This Row],[idntfn]],1)),LEFT(modif0[[#This Row],[idntfn]],2))</f>
        <v>0A</v>
      </c>
      <c r="J393">
        <f>VALUE(LEFT(RIGHT(modif0[[#This Row],[idntfn]],LEN(modif0[[#This Row],[idntfn]])-IF(LEFT(modif0[[#This Row],[sctn]],1)="0",1,2)),LEN(modif0[[#This Row],[idntfn]])-IF(LEFT(modif0[[#This Row],[sctn]],1)="0",1,2)-LEN(modif0[[#This Row],[lttr]])))</f>
        <v>420</v>
      </c>
      <c r="K393" t="str">
        <f>IF(ISNUMBER(VALUE(RIGHT(modif0[[#This Row],[idntfn]],1))),"",IF(ISNUMBER(VALUE(LEFT(RIGHT(modif0[[#This Row],[idntfn]],2),1))),RIGHT(modif0[[#This Row],[idntfn]],1),RIGHT(modif0[[#This Row],[idntfn]],2)))</f>
        <v>d</v>
      </c>
      <c r="L393" s="10">
        <f>objet!I58</f>
        <v>2265</v>
      </c>
      <c r="M393" s="11">
        <f>modif0[[#This Row],[srfc]]/10000</f>
        <v>0.22650000000000001</v>
      </c>
      <c r="N393" s="10" t="str">
        <f>objet!Z58</f>
        <v>FEUIL</v>
      </c>
      <c r="O393" s="10" t="str">
        <f>objet!AA58</f>
        <v>TAIL1985</v>
      </c>
      <c r="P393" t="str">
        <f>IF(ISNUMBER(modif0[[#This Row],[trvx]]),"",LEFT(modif0[[#This Row],[trvx]],LEN(modif0[[#This Row],[trvx]])-4))</f>
        <v>TAIL</v>
      </c>
      <c r="Q393">
        <f>VALUE(RIGHT(modif0[[#This Row],[trvx]],4))</f>
        <v>1985</v>
      </c>
      <c r="R393" t="str">
        <f>_xlfn.CONCAT(modif0[[#This Row],[tp]],"-",modif0[[#This Row],[essnc]],"_",modif0[[#This Row],[anns]])</f>
        <v>TAIL-FEUIL_1985</v>
      </c>
      <c r="S393" t="b">
        <f>modif0[[#This Row],[tp]]="CR"</f>
        <v>0</v>
      </c>
      <c r="T393">
        <v>40</v>
      </c>
      <c r="U393" t="str">
        <f>IF(NOT($A393),"",
IF(AO393=-2,regle!$J$11,
IF(AO393=regle!$B$12,regle!$B$11,
IF(AO393=regle!$C$12,regle!$C$11,
IF(AO393=regle!$D$12,regle!$D$11,
IF(AO393=regle!$E$12,regle!$E$11,
IF(AO393=regle!$F$12,regle!$F$11,
IF(AO393=regle!$G$12,regle!$G$11,
IF(AO393=regle!$H$12,regle!$H$11,
IF(AO393=regle!$I$12,regle!$I$11,""))))))))))</f>
        <v/>
      </c>
      <c r="V393" t="str">
        <f>IF(NOT($A393),"",
IF(AP393=-2,regle!$J$11,
IF(AP393=regle!$B$12,regle!$B$11,
IF(AP393=regle!$C$12,regle!$C$11,
IF(AP393=regle!$D$12,regle!$D$11,
IF(AP393=regle!$E$12,regle!$E$11,
IF(AP393=regle!$F$12,regle!$F$11,
IF(AP393=regle!$G$12,regle!$G$11,
IF(AP393=regle!$H$12,regle!$H$11,
IF(AP393=regle!$I$12,regle!$I$11,""))))))))))</f>
        <v/>
      </c>
      <c r="W393" t="str">
        <f>IF(NOT($A393),"",
IF(AQ393=-2,regle!$J$11,
IF(AQ393=regle!$B$12,regle!$B$11,
IF(AQ393=regle!$C$12,regle!$C$11,
IF(AQ393=regle!$D$12,regle!$D$11,
IF(AQ393=regle!$E$12,regle!$E$11,
IF(AQ393=regle!$F$12,regle!$F$11,
IF(AQ393=regle!$G$12,regle!$G$11,
IF(AQ393=regle!$H$12,regle!$H$11,
IF(AQ393=regle!$I$12,regle!$I$11,""))))))))))</f>
        <v/>
      </c>
      <c r="X393" t="str">
        <f>IF(NOT($A393),"",
IF(AR393=-2,regle!$J$11,
IF(AR393=regle!$B$12,regle!$B$11,
IF(AR393=regle!$C$12,regle!$C$11,
IF(AR393=regle!$D$12,regle!$D$11,
IF(AR393=regle!$E$12,regle!$E$11,
IF(AR393=regle!$F$12,regle!$F$11,
IF(AR393=regle!$G$12,regle!$G$11,
IF(AR393=regle!$H$12,regle!$H$11,
IF(AR393=regle!$I$12,regle!$I$11,""))))))))))</f>
        <v/>
      </c>
      <c r="Y393" t="str">
        <f>IF(NOT($A393),"",
IF(AS393=-2,regle!$J$11,
IF(AS393=regle!$B$12,regle!$B$11,
IF(AS393=regle!$C$12,regle!$C$11,
IF(AS393=regle!$D$12,regle!$D$11,
IF(AS393=regle!$E$12,regle!$E$11,
IF(AS393=regle!$F$12,regle!$F$11,
IF(AS393=regle!$G$12,regle!$G$11,
IF(AS393=regle!$H$12,regle!$H$11,
IF(AS393=regle!$I$12,regle!$I$11,""))))))))))</f>
        <v/>
      </c>
      <c r="Z393" t="str">
        <f>IF(NOT($A393),"",
IF(AT393=-2,regle!$J$11,
IF(AT393=regle!$B$12,regle!$B$11,
IF(AT393=regle!$C$12,regle!$C$11,
IF(AT393=regle!$D$12,regle!$D$11,
IF(AT393=regle!$E$12,regle!$E$11,
IF(AT393=regle!$F$12,regle!$F$11,
IF(AT393=regle!$G$12,regle!$G$11,
IF(AT393=regle!$H$12,regle!$H$11,
IF(AT393=regle!$I$12,regle!$I$11,""))))))))))</f>
        <v/>
      </c>
      <c r="AA393" t="str">
        <f>IF(NOT($A393),"",
IF(AU393=-2,regle!$J$11,
IF(AU393=regle!$B$12,regle!$B$11,
IF(AU393=regle!$C$12,regle!$C$11,
IF(AU393=regle!$D$12,regle!$D$11,
IF(AU393=regle!$E$12,regle!$E$11,
IF(AU393=regle!$F$12,regle!$F$11,
IF(AU393=regle!$G$12,regle!$G$11,
IF(AU393=regle!$H$12,regle!$H$11,
IF(AU393=regle!$I$12,regle!$I$11,""))))))))))</f>
        <v/>
      </c>
      <c r="AB393" t="str">
        <f>IF(NOT($A393),"",
IF(AV393=-2,regle!$J$11,
IF(AV393=regle!$B$12,regle!$B$11,
IF(AV393=regle!$C$12,regle!$C$11,
IF(AV393=regle!$D$12,regle!$D$11,
IF(AV393=regle!$E$12,regle!$E$11,
IF(AV393=regle!$F$12,regle!$F$11,
IF(AV393=regle!$G$12,regle!$G$11,
IF(AV393=regle!$H$12,regle!$H$11,
IF(AV393=regle!$I$12,regle!$I$11,""))))))))))</f>
        <v/>
      </c>
      <c r="AC393" t="str">
        <f>IF(NOT($A393),"",
IF(AW393=-2,regle!$J$11,
IF(AW393=regle!$B$12,regle!$B$11,
IF(AW393=regle!$C$12,regle!$C$11,
IF(AW393=regle!$D$12,regle!$D$11,
IF(AW393=regle!$E$12,regle!$E$11,
IF(AW393=regle!$F$12,regle!$F$11,
IF(AW393=regle!$G$12,regle!$G$11,
IF(AW393=regle!$H$12,regle!$H$11,
IF(AW393=regle!$I$12,regle!$I$11,""))))))))))</f>
        <v/>
      </c>
      <c r="AD393" t="str">
        <f>IF(NOT($A393),"",
IF(AX393=-2,regle!$J$11,
IF(AX393=regle!$B$12,regle!$B$11,
IF(AX393=regle!$C$12,regle!$C$11,
IF(AX393=regle!$D$12,regle!$D$11,
IF(AX393=regle!$E$12,regle!$E$11,
IF(AX393=regle!$F$12,regle!$F$11,
IF(AX393=regle!$G$12,regle!$G$11,
IF(AX393=regle!$H$12,regle!$H$11,
IF(AX393=regle!$I$12,regle!$I$11,""))))))))))</f>
        <v/>
      </c>
      <c r="AE393" s="14" t="b">
        <f>IF($A393,$M393*(IF(U393=regle!$B$11,regle!$B$23,IF(U393=regle!$C$11,regle!$C$23,IF(U393=regle!$D$11,regle!$D$23,IF(U393=regle!$E$11,regle!$E$23,IF(U393=regle!$F$11,regle!$F$23,IF(U393=regle!$G$11,regle!$G$23,IF(U393=regle!$H$11,regle!$H$23,IF(U393=regle!$I$11,regle!$I$23,IF(U393=regle!$J$11,regle!$J$23,0)))))))))))</f>
        <v>0</v>
      </c>
      <c r="AF393" s="14" t="b">
        <f>IF($A393,$M393*(IF(V393=regle!$B$11,regle!$B$23,IF(V393=regle!$C$11,regle!$C$23,IF(V393=regle!$D$11,regle!$D$23,IF(V393=regle!$E$11,regle!$E$23,IF(V393=regle!$F$11,regle!$F$23,IF(V393=regle!$G$11,regle!$G$23,IF(V393=regle!$H$11,regle!$H$23,IF(V393=regle!$I$11,regle!$I$23,IF(V393=regle!$J$11,regle!$J$23,0)))))))))))</f>
        <v>0</v>
      </c>
      <c r="AG393" s="14" t="b">
        <f>IF($A393,$M393*(IF(W393=regle!$B$11,regle!$B$23,IF(W393=regle!$C$11,regle!$C$23,IF(W393=regle!$D$11,regle!$D$23,IF(W393=regle!$E$11,regle!$E$23,IF(W393=regle!$F$11,regle!$F$23,IF(W393=regle!$G$11,regle!$G$23,IF(W393=regle!$H$11,regle!$H$23,IF(W393=regle!$I$11,regle!$I$23,IF(W393=regle!$J$11,regle!$J$23,0)))))))))))</f>
        <v>0</v>
      </c>
      <c r="AH393" s="14" t="b">
        <f>IF($A393,$M393*(IF(X393=regle!$B$11,regle!$B$23,IF(X393=regle!$C$11,regle!$C$23,IF(X393=regle!$D$11,regle!$D$23,IF(X393=regle!$E$11,regle!$E$23,IF(X393=regle!$F$11,regle!$F$23,IF(X393=regle!$G$11,regle!$G$23,IF(X393=regle!$H$11,regle!$H$23,IF(X393=regle!$I$11,regle!$I$23,IF(X393=regle!$J$11,regle!$J$23,0)))))))))))</f>
        <v>0</v>
      </c>
      <c r="AI393" s="14" t="b">
        <f>IF($A393,$M393*(IF(Y393=regle!$B$11,regle!$B$23,IF(Y393=regle!$C$11,regle!$C$23,IF(Y393=regle!$D$11,regle!$D$23,IF(Y393=regle!$E$11,regle!$E$23,IF(Y393=regle!$F$11,regle!$F$23,IF(Y393=regle!$G$11,regle!$G$23,IF(Y393=regle!$H$11,regle!$H$23,IF(Y393=regle!$I$11,regle!$I$23,IF(Y393=regle!$J$11,regle!$J$23,0)))))))))))</f>
        <v>0</v>
      </c>
      <c r="AJ393" s="14" t="b">
        <f>IF($A393,$M393*(IF(Z393=regle!$B$11,regle!$B$23,IF(Z393=regle!$C$11,regle!$C$23,IF(Z393=regle!$D$11,regle!$D$23,IF(Z393=regle!$E$11,regle!$E$23,IF(Z393=regle!$F$11,regle!$F$23,IF(Z393=regle!$G$11,regle!$G$23,IF(Z393=regle!$H$11,regle!$H$23,IF(Z393=regle!$I$11,regle!$I$23,IF(Z393=regle!$J$11,regle!$J$23,0)))))))))))</f>
        <v>0</v>
      </c>
      <c r="AK393" s="14" t="b">
        <f>IF($A393,$M393*(IF(AA393=regle!$B$11,regle!$B$23,IF(AA393=regle!$C$11,regle!$C$23,IF(AA393=regle!$D$11,regle!$D$23,IF(AA393=regle!$E$11,regle!$E$23,IF(AA393=regle!$F$11,regle!$F$23,IF(AA393=regle!$G$11,regle!$G$23,IF(AA393=regle!$H$11,regle!$H$23,IF(AA393=regle!$I$11,regle!$I$23,IF(AA393=regle!$J$11,regle!$J$23,0)))))))))))</f>
        <v>0</v>
      </c>
      <c r="AL393" s="14" t="b">
        <f>IF($A393,$M393*(IF(AB393=regle!$B$11,regle!$B$23,IF(AB393=regle!$C$11,regle!$C$23,IF(AB393=regle!$D$11,regle!$D$23,IF(AB393=regle!$E$11,regle!$E$23,IF(AB393=regle!$F$11,regle!$F$23,IF(AB393=regle!$G$11,regle!$G$23,IF(AB393=regle!$H$11,regle!$H$23,IF(AB393=regle!$I$11,regle!$I$23,IF(AB393=regle!$J$11,regle!$J$23,0)))))))))))</f>
        <v>0</v>
      </c>
      <c r="AM393" s="14" t="b">
        <f>IF($A393,$M393*(IF(AC393=regle!$B$11,regle!$B$23,IF(AC393=regle!$C$11,regle!$C$23,IF(AC393=regle!$D$11,regle!$D$23,IF(AC393=regle!$E$11,regle!$E$23,IF(AC393=regle!$F$11,regle!$F$23,IF(AC393=regle!$G$11,regle!$G$23,IF(AC393=regle!$H$11,regle!$H$23,IF(AC393=regle!$I$11,regle!$I$23,IF(AC393=regle!$J$11,regle!$J$23,0)))))))))))</f>
        <v>0</v>
      </c>
      <c r="AN393" s="14" t="b">
        <f>IF($A393,$M393*(IF(AD393=regle!$B$11,regle!$B$23,IF(AD393=regle!$C$11,regle!$C$23,IF(AD393=regle!$D$11,regle!$D$23,IF(AD393=regle!$E$11,regle!$E$23,IF(AD393=regle!$F$11,regle!$F$23,IF(AD393=regle!$G$11,regle!$G$23,IF(AD393=regle!$H$11,regle!$H$23,IF(AD393=regle!$I$11,regle!$I$23,IF(AD393=regle!$J$11,regle!$J$23,0)))))))))))</f>
        <v>0</v>
      </c>
      <c r="AO393">
        <f>IF(AO$1=$AO$1,IF(regle!B$2-$Q393&gt;=regle!$J$12,-2,IF($S393,IF(regle!$B$2-$Q393&gt;=2,0,-1),regle!B$2-$Q393)),IF(AN393+1&gt;=regle!$J$12,-2,AN393+1))</f>
        <v>39</v>
      </c>
      <c r="AP393">
        <f>IF(AP$1=$AO$1,IF(regle!C$2-$Q393&gt;=regle!$J$12,-2,IF($S393,IF(regle!$B$2-$Q393&gt;=2,0,-1),regle!C$2-$Q393)),IF(AO393+1&gt;=regle!$J$12,-2,AO393+1))</f>
        <v>-2</v>
      </c>
      <c r="AQ393">
        <f>IF(AQ$1=$AO$1,IF(regle!D$2-$Q393&gt;=regle!$J$12,-2,IF($S393,IF(regle!$B$2-$Q393&gt;=2,0,-1),regle!D$2-$Q393)),IF(AP393+1&gt;=regle!$J$12,-2,AP393+1))</f>
        <v>-1</v>
      </c>
      <c r="AR393">
        <f>IF(AR$1=$AO$1,IF(regle!E$2-$Q393&gt;=regle!$J$12,-2,IF($S393,IF(regle!$B$2-$Q393&gt;=2,0,-1),regle!E$2-$Q393)),IF(AQ393+1&gt;=regle!$J$12,-2,AQ393+1))</f>
        <v>0</v>
      </c>
      <c r="AS393">
        <f>IF(AS$1=$AO$1,IF(regle!F$2-$Q393&gt;=regle!$J$12,-2,IF($S393,IF(regle!$B$2-$Q393&gt;=2,0,-1),regle!F$2-$Q393)),IF(AR393+1&gt;=regle!$J$12,-2,AR393+1))</f>
        <v>1</v>
      </c>
      <c r="AT393">
        <f>IF(AT$1=$AO$1,IF(regle!G$2-$Q393&gt;=regle!$J$12,-2,IF($S393,IF(regle!$B$2-$Q393&gt;=2,0,-1),regle!G$2-$Q393)),IF(AS393+1&gt;=regle!$J$12,-2,AS393+1))</f>
        <v>2</v>
      </c>
      <c r="AU393">
        <f>IF(AU$1=$AO$1,IF(regle!H$2-$Q393&gt;=regle!$J$12,-2,IF($S393,IF(regle!$B$2-$Q393&gt;=2,0,-1),regle!H$2-$Q393)),IF(AT393+1&gt;=regle!$J$12,-2,AT393+1))</f>
        <v>3</v>
      </c>
      <c r="AV393">
        <f>IF(AV$1=$AO$1,IF(regle!I$2-$Q393&gt;=regle!$J$12,-2,IF($S393,IF(regle!$B$2-$Q393&gt;=2,0,-1),regle!I$2-$Q393)),IF(AU393+1&gt;=regle!$J$12,-2,AU393+1))</f>
        <v>4</v>
      </c>
      <c r="AW393">
        <f>IF(AW$1=$AO$1,IF(regle!J$2-$Q393&gt;=regle!$J$12,-2,IF($S393,IF(regle!$B$2-$Q393&gt;=2,0,-1),regle!J$2-$Q393)),IF(AV393+1&gt;=regle!$J$12,-2,AV393+1))</f>
        <v>5</v>
      </c>
      <c r="AX393">
        <f>IF(AX$1=$AO$1,IF(regle!K$2-$Q393&gt;=regle!$J$12,-2,IF($S393,IF(regle!$B$2-$Q393&gt;=2,0,-1),regle!K$2-$Q393)),IF(AW393+1&gt;=regle!$J$12,-2,AW393+1))</f>
        <v>6</v>
      </c>
    </row>
    <row r="394" spans="1:50" x14ac:dyDescent="0.25">
      <c r="A394" t="b">
        <f>AND(modif0[[#This Row],[cdstr]]&lt;&gt;0,OR(regle!$H$27=FALSE,modif0[[#This Row],[essnc]]="PM"))</f>
        <v>0</v>
      </c>
      <c r="B394">
        <f>ROW(objet!A71)</f>
        <v>71</v>
      </c>
      <c r="C394" s="10" t="str">
        <f>objet!D71</f>
        <v>5360000A0462</v>
      </c>
      <c r="D394" t="str">
        <f>LEFT(modif0[[#This Row],[cdstr]],3)</f>
        <v>536</v>
      </c>
      <c r="E394" s="10" t="str">
        <f>objet!G71</f>
        <v>LE TUZAN</v>
      </c>
      <c r="F394">
        <f>LEN(modif0[[#This Row],[l_dt]])</f>
        <v>21</v>
      </c>
      <c r="G394" s="10" t="str">
        <f>objet!H71</f>
        <v>METAIRIES DE TABARTON</v>
      </c>
      <c r="H394" s="10" t="str">
        <f>objet!C71</f>
        <v>A462b</v>
      </c>
      <c r="I394" t="str">
        <f>IF(ISNUMBER(VALUE(RIGHT(LEFT(modif0[[#This Row],[idntfn]],2),1))),_xlfn.CONCAT(0,LEFT(modif0[[#This Row],[idntfn]],1)),LEFT(modif0[[#This Row],[idntfn]],2))</f>
        <v>0A</v>
      </c>
      <c r="J394">
        <f>VALUE(LEFT(RIGHT(modif0[[#This Row],[idntfn]],LEN(modif0[[#This Row],[idntfn]])-IF(LEFT(modif0[[#This Row],[sctn]],1)="0",1,2)),LEN(modif0[[#This Row],[idntfn]])-IF(LEFT(modif0[[#This Row],[sctn]],1)="0",1,2)-LEN(modif0[[#This Row],[lttr]])))</f>
        <v>462</v>
      </c>
      <c r="K394" t="str">
        <f>IF(ISNUMBER(VALUE(RIGHT(modif0[[#This Row],[idntfn]],1))),"",IF(ISNUMBER(VALUE(LEFT(RIGHT(modif0[[#This Row],[idntfn]],2),1))),RIGHT(modif0[[#This Row],[idntfn]],1),RIGHT(modif0[[#This Row],[idntfn]],2)))</f>
        <v>b</v>
      </c>
      <c r="L394" s="10">
        <f>objet!I71</f>
        <v>1699</v>
      </c>
      <c r="M394" s="11">
        <f>modif0[[#This Row],[srfc]]/10000</f>
        <v>0.1699</v>
      </c>
      <c r="N394" s="10" t="str">
        <f>objet!Z71</f>
        <v>FEUIL</v>
      </c>
      <c r="O394" s="10" t="str">
        <f>objet!AA71</f>
        <v>TAIL1987</v>
      </c>
      <c r="P394" t="str">
        <f>IF(ISNUMBER(modif0[[#This Row],[trvx]]),"",LEFT(modif0[[#This Row],[trvx]],LEN(modif0[[#This Row],[trvx]])-4))</f>
        <v>TAIL</v>
      </c>
      <c r="Q394">
        <f>VALUE(RIGHT(modif0[[#This Row],[trvx]],4))</f>
        <v>1987</v>
      </c>
      <c r="R394" t="str">
        <f>_xlfn.CONCAT(modif0[[#This Row],[tp]],"-",modif0[[#This Row],[essnc]],"_",modif0[[#This Row],[anns]])</f>
        <v>TAIL-FEUIL_1987</v>
      </c>
      <c r="S394" t="b">
        <f>modif0[[#This Row],[tp]]="CR"</f>
        <v>0</v>
      </c>
      <c r="T394">
        <v>40</v>
      </c>
      <c r="U394" t="str">
        <f>IF(NOT($A394),"",
IF(AO394=-2,regle!$J$11,
IF(AO394=regle!$B$12,regle!$B$11,
IF(AO394=regle!$C$12,regle!$C$11,
IF(AO394=regle!$D$12,regle!$D$11,
IF(AO394=regle!$E$12,regle!$E$11,
IF(AO394=regle!$F$12,regle!$F$11,
IF(AO394=regle!$G$12,regle!$G$11,
IF(AO394=regle!$H$12,regle!$H$11,
IF(AO394=regle!$I$12,regle!$I$11,""))))))))))</f>
        <v/>
      </c>
      <c r="V394" t="str">
        <f>IF(NOT($A394),"",
IF(AP394=-2,regle!$J$11,
IF(AP394=regle!$B$12,regle!$B$11,
IF(AP394=regle!$C$12,regle!$C$11,
IF(AP394=regle!$D$12,regle!$D$11,
IF(AP394=regle!$E$12,regle!$E$11,
IF(AP394=regle!$F$12,regle!$F$11,
IF(AP394=regle!$G$12,regle!$G$11,
IF(AP394=regle!$H$12,regle!$H$11,
IF(AP394=regle!$I$12,regle!$I$11,""))))))))))</f>
        <v/>
      </c>
      <c r="W394" t="str">
        <f>IF(NOT($A394),"",
IF(AQ394=-2,regle!$J$11,
IF(AQ394=regle!$B$12,regle!$B$11,
IF(AQ394=regle!$C$12,regle!$C$11,
IF(AQ394=regle!$D$12,regle!$D$11,
IF(AQ394=regle!$E$12,regle!$E$11,
IF(AQ394=regle!$F$12,regle!$F$11,
IF(AQ394=regle!$G$12,regle!$G$11,
IF(AQ394=regle!$H$12,regle!$H$11,
IF(AQ394=regle!$I$12,regle!$I$11,""))))))))))</f>
        <v/>
      </c>
      <c r="X394" t="str">
        <f>IF(NOT($A394),"",
IF(AR394=-2,regle!$J$11,
IF(AR394=regle!$B$12,regle!$B$11,
IF(AR394=regle!$C$12,regle!$C$11,
IF(AR394=regle!$D$12,regle!$D$11,
IF(AR394=regle!$E$12,regle!$E$11,
IF(AR394=regle!$F$12,regle!$F$11,
IF(AR394=regle!$G$12,regle!$G$11,
IF(AR394=regle!$H$12,regle!$H$11,
IF(AR394=regle!$I$12,regle!$I$11,""))))))))))</f>
        <v/>
      </c>
      <c r="Y394" t="str">
        <f>IF(NOT($A394),"",
IF(AS394=-2,regle!$J$11,
IF(AS394=regle!$B$12,regle!$B$11,
IF(AS394=regle!$C$12,regle!$C$11,
IF(AS394=regle!$D$12,regle!$D$11,
IF(AS394=regle!$E$12,regle!$E$11,
IF(AS394=regle!$F$12,regle!$F$11,
IF(AS394=regle!$G$12,regle!$G$11,
IF(AS394=regle!$H$12,regle!$H$11,
IF(AS394=regle!$I$12,regle!$I$11,""))))))))))</f>
        <v/>
      </c>
      <c r="Z394" t="str">
        <f>IF(NOT($A394),"",
IF(AT394=-2,regle!$J$11,
IF(AT394=regle!$B$12,regle!$B$11,
IF(AT394=regle!$C$12,regle!$C$11,
IF(AT394=regle!$D$12,regle!$D$11,
IF(AT394=regle!$E$12,regle!$E$11,
IF(AT394=regle!$F$12,regle!$F$11,
IF(AT394=regle!$G$12,regle!$G$11,
IF(AT394=regle!$H$12,regle!$H$11,
IF(AT394=regle!$I$12,regle!$I$11,""))))))))))</f>
        <v/>
      </c>
      <c r="AA394" t="str">
        <f>IF(NOT($A394),"",
IF(AU394=-2,regle!$J$11,
IF(AU394=regle!$B$12,regle!$B$11,
IF(AU394=regle!$C$12,regle!$C$11,
IF(AU394=regle!$D$12,regle!$D$11,
IF(AU394=regle!$E$12,regle!$E$11,
IF(AU394=regle!$F$12,regle!$F$11,
IF(AU394=regle!$G$12,regle!$G$11,
IF(AU394=regle!$H$12,regle!$H$11,
IF(AU394=regle!$I$12,regle!$I$11,""))))))))))</f>
        <v/>
      </c>
      <c r="AB394" t="str">
        <f>IF(NOT($A394),"",
IF(AV394=-2,regle!$J$11,
IF(AV394=regle!$B$12,regle!$B$11,
IF(AV394=regle!$C$12,regle!$C$11,
IF(AV394=regle!$D$12,regle!$D$11,
IF(AV394=regle!$E$12,regle!$E$11,
IF(AV394=regle!$F$12,regle!$F$11,
IF(AV394=regle!$G$12,regle!$G$11,
IF(AV394=regle!$H$12,regle!$H$11,
IF(AV394=regle!$I$12,regle!$I$11,""))))))))))</f>
        <v/>
      </c>
      <c r="AC394" t="str">
        <f>IF(NOT($A394),"",
IF(AW394=-2,regle!$J$11,
IF(AW394=regle!$B$12,regle!$B$11,
IF(AW394=regle!$C$12,regle!$C$11,
IF(AW394=regle!$D$12,regle!$D$11,
IF(AW394=regle!$E$12,regle!$E$11,
IF(AW394=regle!$F$12,regle!$F$11,
IF(AW394=regle!$G$12,regle!$G$11,
IF(AW394=regle!$H$12,regle!$H$11,
IF(AW394=regle!$I$12,regle!$I$11,""))))))))))</f>
        <v/>
      </c>
      <c r="AD394" t="str">
        <f>IF(NOT($A394),"",
IF(AX394=-2,regle!$J$11,
IF(AX394=regle!$B$12,regle!$B$11,
IF(AX394=regle!$C$12,regle!$C$11,
IF(AX394=regle!$D$12,regle!$D$11,
IF(AX394=regle!$E$12,regle!$E$11,
IF(AX394=regle!$F$12,regle!$F$11,
IF(AX394=regle!$G$12,regle!$G$11,
IF(AX394=regle!$H$12,regle!$H$11,
IF(AX394=regle!$I$12,regle!$I$11,""))))))))))</f>
        <v/>
      </c>
      <c r="AE394" s="14" t="b">
        <f>IF($A394,$M394*(IF(U394=regle!$B$11,regle!$B$23,IF(U394=regle!$C$11,regle!$C$23,IF(U394=regle!$D$11,regle!$D$23,IF(U394=regle!$E$11,regle!$E$23,IF(U394=regle!$F$11,regle!$F$23,IF(U394=regle!$G$11,regle!$G$23,IF(U394=regle!$H$11,regle!$H$23,IF(U394=regle!$I$11,regle!$I$23,IF(U394=regle!$J$11,regle!$J$23,0)))))))))))</f>
        <v>0</v>
      </c>
      <c r="AF394" s="14" t="b">
        <f>IF($A394,$M394*(IF(V394=regle!$B$11,regle!$B$23,IF(V394=regle!$C$11,regle!$C$23,IF(V394=regle!$D$11,regle!$D$23,IF(V394=regle!$E$11,regle!$E$23,IF(V394=regle!$F$11,regle!$F$23,IF(V394=regle!$G$11,regle!$G$23,IF(V394=regle!$H$11,regle!$H$23,IF(V394=regle!$I$11,regle!$I$23,IF(V394=regle!$J$11,regle!$J$23,0)))))))))))</f>
        <v>0</v>
      </c>
      <c r="AG394" s="14" t="b">
        <f>IF($A394,$M394*(IF(W394=regle!$B$11,regle!$B$23,IF(W394=regle!$C$11,regle!$C$23,IF(W394=regle!$D$11,regle!$D$23,IF(W394=regle!$E$11,regle!$E$23,IF(W394=regle!$F$11,regle!$F$23,IF(W394=regle!$G$11,regle!$G$23,IF(W394=regle!$H$11,regle!$H$23,IF(W394=regle!$I$11,regle!$I$23,IF(W394=regle!$J$11,regle!$J$23,0)))))))))))</f>
        <v>0</v>
      </c>
      <c r="AH394" s="14" t="b">
        <f>IF($A394,$M394*(IF(X394=regle!$B$11,regle!$B$23,IF(X394=regle!$C$11,regle!$C$23,IF(X394=regle!$D$11,regle!$D$23,IF(X394=regle!$E$11,regle!$E$23,IF(X394=regle!$F$11,regle!$F$23,IF(X394=regle!$G$11,regle!$G$23,IF(X394=regle!$H$11,regle!$H$23,IF(X394=regle!$I$11,regle!$I$23,IF(X394=regle!$J$11,regle!$J$23,0)))))))))))</f>
        <v>0</v>
      </c>
      <c r="AI394" s="14" t="b">
        <f>IF($A394,$M394*(IF(Y394=regle!$B$11,regle!$B$23,IF(Y394=regle!$C$11,regle!$C$23,IF(Y394=regle!$D$11,regle!$D$23,IF(Y394=regle!$E$11,regle!$E$23,IF(Y394=regle!$F$11,regle!$F$23,IF(Y394=regle!$G$11,regle!$G$23,IF(Y394=regle!$H$11,regle!$H$23,IF(Y394=regle!$I$11,regle!$I$23,IF(Y394=regle!$J$11,regle!$J$23,0)))))))))))</f>
        <v>0</v>
      </c>
      <c r="AJ394" s="14" t="b">
        <f>IF($A394,$M394*(IF(Z394=regle!$B$11,regle!$B$23,IF(Z394=regle!$C$11,regle!$C$23,IF(Z394=regle!$D$11,regle!$D$23,IF(Z394=regle!$E$11,regle!$E$23,IF(Z394=regle!$F$11,regle!$F$23,IF(Z394=regle!$G$11,regle!$G$23,IF(Z394=regle!$H$11,regle!$H$23,IF(Z394=regle!$I$11,regle!$I$23,IF(Z394=regle!$J$11,regle!$J$23,0)))))))))))</f>
        <v>0</v>
      </c>
      <c r="AK394" s="14" t="b">
        <f>IF($A394,$M394*(IF(AA394=regle!$B$11,regle!$B$23,IF(AA394=regle!$C$11,regle!$C$23,IF(AA394=regle!$D$11,regle!$D$23,IF(AA394=regle!$E$11,regle!$E$23,IF(AA394=regle!$F$11,regle!$F$23,IF(AA394=regle!$G$11,regle!$G$23,IF(AA394=regle!$H$11,regle!$H$23,IF(AA394=regle!$I$11,regle!$I$23,IF(AA394=regle!$J$11,regle!$J$23,0)))))))))))</f>
        <v>0</v>
      </c>
      <c r="AL394" s="14" t="b">
        <f>IF($A394,$M394*(IF(AB394=regle!$B$11,regle!$B$23,IF(AB394=regle!$C$11,regle!$C$23,IF(AB394=regle!$D$11,regle!$D$23,IF(AB394=regle!$E$11,regle!$E$23,IF(AB394=regle!$F$11,regle!$F$23,IF(AB394=regle!$G$11,regle!$G$23,IF(AB394=regle!$H$11,regle!$H$23,IF(AB394=regle!$I$11,regle!$I$23,IF(AB394=regle!$J$11,regle!$J$23,0)))))))))))</f>
        <v>0</v>
      </c>
      <c r="AM394" s="14" t="b">
        <f>IF($A394,$M394*(IF(AC394=regle!$B$11,regle!$B$23,IF(AC394=regle!$C$11,regle!$C$23,IF(AC394=regle!$D$11,regle!$D$23,IF(AC394=regle!$E$11,regle!$E$23,IF(AC394=regle!$F$11,regle!$F$23,IF(AC394=regle!$G$11,regle!$G$23,IF(AC394=regle!$H$11,regle!$H$23,IF(AC394=regle!$I$11,regle!$I$23,IF(AC394=regle!$J$11,regle!$J$23,0)))))))))))</f>
        <v>0</v>
      </c>
      <c r="AN394" s="14" t="b">
        <f>IF($A394,$M394*(IF(AD394=regle!$B$11,regle!$B$23,IF(AD394=regle!$C$11,regle!$C$23,IF(AD394=regle!$D$11,regle!$D$23,IF(AD394=regle!$E$11,regle!$E$23,IF(AD394=regle!$F$11,regle!$F$23,IF(AD394=regle!$G$11,regle!$G$23,IF(AD394=regle!$H$11,regle!$H$23,IF(AD394=regle!$I$11,regle!$I$23,IF(AD394=regle!$J$11,regle!$J$23,0)))))))))))</f>
        <v>0</v>
      </c>
      <c r="AO394">
        <f>IF(AO$1=$AO$1,IF(regle!B$2-$Q394&gt;=regle!$J$12,-2,IF($S394,IF(regle!$B$2-$Q394&gt;=2,0,-1),regle!B$2-$Q394)),IF(AN394+1&gt;=regle!$J$12,-2,AN394+1))</f>
        <v>37</v>
      </c>
      <c r="AP394">
        <f>IF(AP$1=$AO$1,IF(regle!C$2-$Q394&gt;=regle!$J$12,-2,IF($S394,IF(regle!$B$2-$Q394&gt;=2,0,-1),regle!C$2-$Q394)),IF(AO394+1&gt;=regle!$J$12,-2,AO394+1))</f>
        <v>38</v>
      </c>
      <c r="AQ394">
        <f>IF(AQ$1=$AO$1,IF(regle!D$2-$Q394&gt;=regle!$J$12,-2,IF($S394,IF(regle!$B$2-$Q394&gt;=2,0,-1),regle!D$2-$Q394)),IF(AP394+1&gt;=regle!$J$12,-2,AP394+1))</f>
        <v>39</v>
      </c>
      <c r="AR394">
        <f>IF(AR$1=$AO$1,IF(regle!E$2-$Q394&gt;=regle!$J$12,-2,IF($S394,IF(regle!$B$2-$Q394&gt;=2,0,-1),regle!E$2-$Q394)),IF(AQ394+1&gt;=regle!$J$12,-2,AQ394+1))</f>
        <v>-2</v>
      </c>
      <c r="AS394">
        <f>IF(AS$1=$AO$1,IF(regle!F$2-$Q394&gt;=regle!$J$12,-2,IF($S394,IF(regle!$B$2-$Q394&gt;=2,0,-1),regle!F$2-$Q394)),IF(AR394+1&gt;=regle!$J$12,-2,AR394+1))</f>
        <v>-1</v>
      </c>
      <c r="AT394">
        <f>IF(AT$1=$AO$1,IF(regle!G$2-$Q394&gt;=regle!$J$12,-2,IF($S394,IF(regle!$B$2-$Q394&gt;=2,0,-1),regle!G$2-$Q394)),IF(AS394+1&gt;=regle!$J$12,-2,AS394+1))</f>
        <v>0</v>
      </c>
      <c r="AU394">
        <f>IF(AU$1=$AO$1,IF(regle!H$2-$Q394&gt;=regle!$J$12,-2,IF($S394,IF(regle!$B$2-$Q394&gt;=2,0,-1),regle!H$2-$Q394)),IF(AT394+1&gt;=regle!$J$12,-2,AT394+1))</f>
        <v>1</v>
      </c>
      <c r="AV394">
        <f>IF(AV$1=$AO$1,IF(regle!I$2-$Q394&gt;=regle!$J$12,-2,IF($S394,IF(regle!$B$2-$Q394&gt;=2,0,-1),regle!I$2-$Q394)),IF(AU394+1&gt;=regle!$J$12,-2,AU394+1))</f>
        <v>2</v>
      </c>
      <c r="AW394">
        <f>IF(AW$1=$AO$1,IF(regle!J$2-$Q394&gt;=regle!$J$12,-2,IF($S394,IF(regle!$B$2-$Q394&gt;=2,0,-1),regle!J$2-$Q394)),IF(AV394+1&gt;=regle!$J$12,-2,AV394+1))</f>
        <v>3</v>
      </c>
      <c r="AX394">
        <f>IF(AX$1=$AO$1,IF(regle!K$2-$Q394&gt;=regle!$J$12,-2,IF($S394,IF(regle!$B$2-$Q394&gt;=2,0,-1),regle!K$2-$Q394)),IF(AW394+1&gt;=regle!$J$12,-2,AW394+1))</f>
        <v>4</v>
      </c>
    </row>
    <row r="395" spans="1:50" x14ac:dyDescent="0.25">
      <c r="A395" t="b">
        <f>AND(modif0[[#This Row],[cdstr]]&lt;&gt;0,OR(regle!$H$27=FALSE,modif0[[#This Row],[essnc]]="PM"))</f>
        <v>0</v>
      </c>
      <c r="B395">
        <f>ROW(objet!A88)</f>
        <v>88</v>
      </c>
      <c r="C395" s="10" t="str">
        <f>objet!D88</f>
        <v>5360000A0523</v>
      </c>
      <c r="D395" t="str">
        <f>LEFT(modif0[[#This Row],[cdstr]],3)</f>
        <v>536</v>
      </c>
      <c r="E395" s="10" t="str">
        <f>objet!G88</f>
        <v>LE TUZAN</v>
      </c>
      <c r="F395">
        <f>LEN(modif0[[#This Row],[l_dt]])</f>
        <v>21</v>
      </c>
      <c r="G395" s="10" t="str">
        <f>objet!H88</f>
        <v>METAIRIES DE TABARTON</v>
      </c>
      <c r="H395" s="10" t="str">
        <f>objet!C88</f>
        <v>A523s</v>
      </c>
      <c r="I395" t="str">
        <f>IF(ISNUMBER(VALUE(RIGHT(LEFT(modif0[[#This Row],[idntfn]],2),1))),_xlfn.CONCAT(0,LEFT(modif0[[#This Row],[idntfn]],1)),LEFT(modif0[[#This Row],[idntfn]],2))</f>
        <v>0A</v>
      </c>
      <c r="J395">
        <f>VALUE(LEFT(RIGHT(modif0[[#This Row],[idntfn]],LEN(modif0[[#This Row],[idntfn]])-IF(LEFT(modif0[[#This Row],[sctn]],1)="0",1,2)),LEN(modif0[[#This Row],[idntfn]])-IF(LEFT(modif0[[#This Row],[sctn]],1)="0",1,2)-LEN(modif0[[#This Row],[lttr]])))</f>
        <v>523</v>
      </c>
      <c r="K395" t="str">
        <f>IF(ISNUMBER(VALUE(RIGHT(modif0[[#This Row],[idntfn]],1))),"",IF(ISNUMBER(VALUE(LEFT(RIGHT(modif0[[#This Row],[idntfn]],2),1))),RIGHT(modif0[[#This Row],[idntfn]],1),RIGHT(modif0[[#This Row],[idntfn]],2)))</f>
        <v>s</v>
      </c>
      <c r="L395" s="10">
        <f>objet!I88</f>
        <v>9256</v>
      </c>
      <c r="M395" s="11">
        <f>modif0[[#This Row],[srfc]]/10000</f>
        <v>0.92559999999999998</v>
      </c>
      <c r="N395" s="10" t="str">
        <f>objet!Z88</f>
        <v>FEUIL</v>
      </c>
      <c r="O395" s="10" t="str">
        <f>objet!AA88</f>
        <v>TAIL1975</v>
      </c>
      <c r="P395" t="str">
        <f>IF(ISNUMBER(modif0[[#This Row],[trvx]]),"",LEFT(modif0[[#This Row],[trvx]],LEN(modif0[[#This Row],[trvx]])-4))</f>
        <v>TAIL</v>
      </c>
      <c r="Q395">
        <f>VALUE(RIGHT(modif0[[#This Row],[trvx]],4))</f>
        <v>1975</v>
      </c>
      <c r="R395" t="str">
        <f>_xlfn.CONCAT(modif0[[#This Row],[tp]],"-",modif0[[#This Row],[essnc]],"_",modif0[[#This Row],[anns]])</f>
        <v>TAIL-FEUIL_1975</v>
      </c>
      <c r="S395" t="b">
        <f>modif0[[#This Row],[tp]]="CR"</f>
        <v>0</v>
      </c>
      <c r="T395">
        <v>40</v>
      </c>
      <c r="U395" t="str">
        <f>IF(NOT($A395),"",
IF(AO395=-2,regle!$J$11,
IF(AO395=regle!$B$12,regle!$B$11,
IF(AO395=regle!$C$12,regle!$C$11,
IF(AO395=regle!$D$12,regle!$D$11,
IF(AO395=regle!$E$12,regle!$E$11,
IF(AO395=regle!$F$12,regle!$F$11,
IF(AO395=regle!$G$12,regle!$G$11,
IF(AO395=regle!$H$12,regle!$H$11,
IF(AO395=regle!$I$12,regle!$I$11,""))))))))))</f>
        <v/>
      </c>
      <c r="V395" t="str">
        <f>IF(NOT($A395),"",
IF(AP395=-2,regle!$J$11,
IF(AP395=regle!$B$12,regle!$B$11,
IF(AP395=regle!$C$12,regle!$C$11,
IF(AP395=regle!$D$12,regle!$D$11,
IF(AP395=regle!$E$12,regle!$E$11,
IF(AP395=regle!$F$12,regle!$F$11,
IF(AP395=regle!$G$12,regle!$G$11,
IF(AP395=regle!$H$12,regle!$H$11,
IF(AP395=regle!$I$12,regle!$I$11,""))))))))))</f>
        <v/>
      </c>
      <c r="W395" t="str">
        <f>IF(NOT($A395),"",
IF(AQ395=-2,regle!$J$11,
IF(AQ395=regle!$B$12,regle!$B$11,
IF(AQ395=regle!$C$12,regle!$C$11,
IF(AQ395=regle!$D$12,regle!$D$11,
IF(AQ395=regle!$E$12,regle!$E$11,
IF(AQ395=regle!$F$12,regle!$F$11,
IF(AQ395=regle!$G$12,regle!$G$11,
IF(AQ395=regle!$H$12,regle!$H$11,
IF(AQ395=regle!$I$12,regle!$I$11,""))))))))))</f>
        <v/>
      </c>
      <c r="X395" t="str">
        <f>IF(NOT($A395),"",
IF(AR395=-2,regle!$J$11,
IF(AR395=regle!$B$12,regle!$B$11,
IF(AR395=regle!$C$12,regle!$C$11,
IF(AR395=regle!$D$12,regle!$D$11,
IF(AR395=regle!$E$12,regle!$E$11,
IF(AR395=regle!$F$12,regle!$F$11,
IF(AR395=regle!$G$12,regle!$G$11,
IF(AR395=regle!$H$12,regle!$H$11,
IF(AR395=regle!$I$12,regle!$I$11,""))))))))))</f>
        <v/>
      </c>
      <c r="Y395" t="str">
        <f>IF(NOT($A395),"",
IF(AS395=-2,regle!$J$11,
IF(AS395=regle!$B$12,regle!$B$11,
IF(AS395=regle!$C$12,regle!$C$11,
IF(AS395=regle!$D$12,regle!$D$11,
IF(AS395=regle!$E$12,regle!$E$11,
IF(AS395=regle!$F$12,regle!$F$11,
IF(AS395=regle!$G$12,regle!$G$11,
IF(AS395=regle!$H$12,regle!$H$11,
IF(AS395=regle!$I$12,regle!$I$11,""))))))))))</f>
        <v/>
      </c>
      <c r="Z395" t="str">
        <f>IF(NOT($A395),"",
IF(AT395=-2,regle!$J$11,
IF(AT395=regle!$B$12,regle!$B$11,
IF(AT395=regle!$C$12,regle!$C$11,
IF(AT395=regle!$D$12,regle!$D$11,
IF(AT395=regle!$E$12,regle!$E$11,
IF(AT395=regle!$F$12,regle!$F$11,
IF(AT395=regle!$G$12,regle!$G$11,
IF(AT395=regle!$H$12,regle!$H$11,
IF(AT395=regle!$I$12,regle!$I$11,""))))))))))</f>
        <v/>
      </c>
      <c r="AA395" t="str">
        <f>IF(NOT($A395),"",
IF(AU395=-2,regle!$J$11,
IF(AU395=regle!$B$12,regle!$B$11,
IF(AU395=regle!$C$12,regle!$C$11,
IF(AU395=regle!$D$12,regle!$D$11,
IF(AU395=regle!$E$12,regle!$E$11,
IF(AU395=regle!$F$12,regle!$F$11,
IF(AU395=regle!$G$12,regle!$G$11,
IF(AU395=regle!$H$12,regle!$H$11,
IF(AU395=regle!$I$12,regle!$I$11,""))))))))))</f>
        <v/>
      </c>
      <c r="AB395" t="str">
        <f>IF(NOT($A395),"",
IF(AV395=-2,regle!$J$11,
IF(AV395=regle!$B$12,regle!$B$11,
IF(AV395=regle!$C$12,regle!$C$11,
IF(AV395=regle!$D$12,regle!$D$11,
IF(AV395=regle!$E$12,regle!$E$11,
IF(AV395=regle!$F$12,regle!$F$11,
IF(AV395=regle!$G$12,regle!$G$11,
IF(AV395=regle!$H$12,regle!$H$11,
IF(AV395=regle!$I$12,regle!$I$11,""))))))))))</f>
        <v/>
      </c>
      <c r="AC395" t="str">
        <f>IF(NOT($A395),"",
IF(AW395=-2,regle!$J$11,
IF(AW395=regle!$B$12,regle!$B$11,
IF(AW395=regle!$C$12,regle!$C$11,
IF(AW395=regle!$D$12,regle!$D$11,
IF(AW395=regle!$E$12,regle!$E$11,
IF(AW395=regle!$F$12,regle!$F$11,
IF(AW395=regle!$G$12,regle!$G$11,
IF(AW395=regle!$H$12,regle!$H$11,
IF(AW395=regle!$I$12,regle!$I$11,""))))))))))</f>
        <v/>
      </c>
      <c r="AD395" t="str">
        <f>IF(NOT($A395),"",
IF(AX395=-2,regle!$J$11,
IF(AX395=regle!$B$12,regle!$B$11,
IF(AX395=regle!$C$12,regle!$C$11,
IF(AX395=regle!$D$12,regle!$D$11,
IF(AX395=regle!$E$12,regle!$E$11,
IF(AX395=regle!$F$12,regle!$F$11,
IF(AX395=regle!$G$12,regle!$G$11,
IF(AX395=regle!$H$12,regle!$H$11,
IF(AX395=regle!$I$12,regle!$I$11,""))))))))))</f>
        <v/>
      </c>
      <c r="AE395" s="14" t="b">
        <f>IF($A395,$M395*(IF(U395=regle!$B$11,regle!$B$23,IF(U395=regle!$C$11,regle!$C$23,IF(U395=regle!$D$11,regle!$D$23,IF(U395=regle!$E$11,regle!$E$23,IF(U395=regle!$F$11,regle!$F$23,IF(U395=regle!$G$11,regle!$G$23,IF(U395=regle!$H$11,regle!$H$23,IF(U395=regle!$I$11,regle!$I$23,IF(U395=regle!$J$11,regle!$J$23,0)))))))))))</f>
        <v>0</v>
      </c>
      <c r="AF395" s="14" t="b">
        <f>IF($A395,$M395*(IF(V395=regle!$B$11,regle!$B$23,IF(V395=regle!$C$11,regle!$C$23,IF(V395=regle!$D$11,regle!$D$23,IF(V395=regle!$E$11,regle!$E$23,IF(V395=regle!$F$11,regle!$F$23,IF(V395=regle!$G$11,regle!$G$23,IF(V395=regle!$H$11,regle!$H$23,IF(V395=regle!$I$11,regle!$I$23,IF(V395=regle!$J$11,regle!$J$23,0)))))))))))</f>
        <v>0</v>
      </c>
      <c r="AG395" s="14" t="b">
        <f>IF($A395,$M395*(IF(W395=regle!$B$11,regle!$B$23,IF(W395=regle!$C$11,regle!$C$23,IF(W395=regle!$D$11,regle!$D$23,IF(W395=regle!$E$11,regle!$E$23,IF(W395=regle!$F$11,regle!$F$23,IF(W395=regle!$G$11,regle!$G$23,IF(W395=regle!$H$11,regle!$H$23,IF(W395=regle!$I$11,regle!$I$23,IF(W395=regle!$J$11,regle!$J$23,0)))))))))))</f>
        <v>0</v>
      </c>
      <c r="AH395" s="14" t="b">
        <f>IF($A395,$M395*(IF(X395=regle!$B$11,regle!$B$23,IF(X395=regle!$C$11,regle!$C$23,IF(X395=regle!$D$11,regle!$D$23,IF(X395=regle!$E$11,regle!$E$23,IF(X395=regle!$F$11,regle!$F$23,IF(X395=regle!$G$11,regle!$G$23,IF(X395=regle!$H$11,regle!$H$23,IF(X395=regle!$I$11,regle!$I$23,IF(X395=regle!$J$11,regle!$J$23,0)))))))))))</f>
        <v>0</v>
      </c>
      <c r="AI395" s="14" t="b">
        <f>IF($A395,$M395*(IF(Y395=regle!$B$11,regle!$B$23,IF(Y395=regle!$C$11,regle!$C$23,IF(Y395=regle!$D$11,regle!$D$23,IF(Y395=regle!$E$11,regle!$E$23,IF(Y395=regle!$F$11,regle!$F$23,IF(Y395=regle!$G$11,regle!$G$23,IF(Y395=regle!$H$11,regle!$H$23,IF(Y395=regle!$I$11,regle!$I$23,IF(Y395=regle!$J$11,regle!$J$23,0)))))))))))</f>
        <v>0</v>
      </c>
      <c r="AJ395" s="14" t="b">
        <f>IF($A395,$M395*(IF(Z395=regle!$B$11,regle!$B$23,IF(Z395=regle!$C$11,regle!$C$23,IF(Z395=regle!$D$11,regle!$D$23,IF(Z395=regle!$E$11,regle!$E$23,IF(Z395=regle!$F$11,regle!$F$23,IF(Z395=regle!$G$11,regle!$G$23,IF(Z395=regle!$H$11,regle!$H$23,IF(Z395=regle!$I$11,regle!$I$23,IF(Z395=regle!$J$11,regle!$J$23,0)))))))))))</f>
        <v>0</v>
      </c>
      <c r="AK395" s="14" t="b">
        <f>IF($A395,$M395*(IF(AA395=regle!$B$11,regle!$B$23,IF(AA395=regle!$C$11,regle!$C$23,IF(AA395=regle!$D$11,regle!$D$23,IF(AA395=regle!$E$11,regle!$E$23,IF(AA395=regle!$F$11,regle!$F$23,IF(AA395=regle!$G$11,regle!$G$23,IF(AA395=regle!$H$11,regle!$H$23,IF(AA395=regle!$I$11,regle!$I$23,IF(AA395=regle!$J$11,regle!$J$23,0)))))))))))</f>
        <v>0</v>
      </c>
      <c r="AL395" s="14" t="b">
        <f>IF($A395,$M395*(IF(AB395=regle!$B$11,regle!$B$23,IF(AB395=regle!$C$11,regle!$C$23,IF(AB395=regle!$D$11,regle!$D$23,IF(AB395=regle!$E$11,regle!$E$23,IF(AB395=regle!$F$11,regle!$F$23,IF(AB395=regle!$G$11,regle!$G$23,IF(AB395=regle!$H$11,regle!$H$23,IF(AB395=regle!$I$11,regle!$I$23,IF(AB395=regle!$J$11,regle!$J$23,0)))))))))))</f>
        <v>0</v>
      </c>
      <c r="AM395" s="14" t="b">
        <f>IF($A395,$M395*(IF(AC395=regle!$B$11,regle!$B$23,IF(AC395=regle!$C$11,regle!$C$23,IF(AC395=regle!$D$11,regle!$D$23,IF(AC395=regle!$E$11,regle!$E$23,IF(AC395=regle!$F$11,regle!$F$23,IF(AC395=regle!$G$11,regle!$G$23,IF(AC395=regle!$H$11,regle!$H$23,IF(AC395=regle!$I$11,regle!$I$23,IF(AC395=regle!$J$11,regle!$J$23,0)))))))))))</f>
        <v>0</v>
      </c>
      <c r="AN395" s="14" t="b">
        <f>IF($A395,$M395*(IF(AD395=regle!$B$11,regle!$B$23,IF(AD395=regle!$C$11,regle!$C$23,IF(AD395=regle!$D$11,regle!$D$23,IF(AD395=regle!$E$11,regle!$E$23,IF(AD395=regle!$F$11,regle!$F$23,IF(AD395=regle!$G$11,regle!$G$23,IF(AD395=regle!$H$11,regle!$H$23,IF(AD395=regle!$I$11,regle!$I$23,IF(AD395=regle!$J$11,regle!$J$23,0)))))))))))</f>
        <v>0</v>
      </c>
      <c r="AO395">
        <f>IF(AO$1=$AO$1,IF(regle!B$2-$Q395&gt;=regle!$J$12,-2,IF($S395,IF(regle!$B$2-$Q395&gt;=2,0,-1),regle!B$2-$Q395)),IF(AN395+1&gt;=regle!$J$12,-2,AN395+1))</f>
        <v>-2</v>
      </c>
      <c r="AP395">
        <f>IF(AP$1=$AO$1,IF(regle!C$2-$Q395&gt;=regle!$J$12,-2,IF($S395,IF(regle!$B$2-$Q395&gt;=2,0,-1),regle!C$2-$Q395)),IF(AO395+1&gt;=regle!$J$12,-2,AO395+1))</f>
        <v>-1</v>
      </c>
      <c r="AQ395">
        <f>IF(AQ$1=$AO$1,IF(regle!D$2-$Q395&gt;=regle!$J$12,-2,IF($S395,IF(regle!$B$2-$Q395&gt;=2,0,-1),regle!D$2-$Q395)),IF(AP395+1&gt;=regle!$J$12,-2,AP395+1))</f>
        <v>0</v>
      </c>
      <c r="AR395">
        <f>IF(AR$1=$AO$1,IF(regle!E$2-$Q395&gt;=regle!$J$12,-2,IF($S395,IF(regle!$B$2-$Q395&gt;=2,0,-1),regle!E$2-$Q395)),IF(AQ395+1&gt;=regle!$J$12,-2,AQ395+1))</f>
        <v>1</v>
      </c>
      <c r="AS395">
        <f>IF(AS$1=$AO$1,IF(regle!F$2-$Q395&gt;=regle!$J$12,-2,IF($S395,IF(regle!$B$2-$Q395&gt;=2,0,-1),regle!F$2-$Q395)),IF(AR395+1&gt;=regle!$J$12,-2,AR395+1))</f>
        <v>2</v>
      </c>
      <c r="AT395">
        <f>IF(AT$1=$AO$1,IF(regle!G$2-$Q395&gt;=regle!$J$12,-2,IF($S395,IF(regle!$B$2-$Q395&gt;=2,0,-1),regle!G$2-$Q395)),IF(AS395+1&gt;=regle!$J$12,-2,AS395+1))</f>
        <v>3</v>
      </c>
      <c r="AU395">
        <f>IF(AU$1=$AO$1,IF(regle!H$2-$Q395&gt;=regle!$J$12,-2,IF($S395,IF(regle!$B$2-$Q395&gt;=2,0,-1),regle!H$2-$Q395)),IF(AT395+1&gt;=regle!$J$12,-2,AT395+1))</f>
        <v>4</v>
      </c>
      <c r="AV395">
        <f>IF(AV$1=$AO$1,IF(regle!I$2-$Q395&gt;=regle!$J$12,-2,IF($S395,IF(regle!$B$2-$Q395&gt;=2,0,-1),regle!I$2-$Q395)),IF(AU395+1&gt;=regle!$J$12,-2,AU395+1))</f>
        <v>5</v>
      </c>
      <c r="AW395">
        <f>IF(AW$1=$AO$1,IF(regle!J$2-$Q395&gt;=regle!$J$12,-2,IF($S395,IF(regle!$B$2-$Q395&gt;=2,0,-1),regle!J$2-$Q395)),IF(AV395+1&gt;=regle!$J$12,-2,AV395+1))</f>
        <v>6</v>
      </c>
      <c r="AX395">
        <f>IF(AX$1=$AO$1,IF(regle!K$2-$Q395&gt;=regle!$J$12,-2,IF($S395,IF(regle!$B$2-$Q395&gt;=2,0,-1),regle!K$2-$Q395)),IF(AW395+1&gt;=regle!$J$12,-2,AW395+1))</f>
        <v>7</v>
      </c>
    </row>
    <row r="396" spans="1:50" x14ac:dyDescent="0.25">
      <c r="A396" t="b">
        <f>AND(modif0[[#This Row],[cdstr]]&lt;&gt;0,OR(regle!$H$27=FALSE,modif0[[#This Row],[essnc]]="PM"))</f>
        <v>0</v>
      </c>
      <c r="B396">
        <f>ROW(objet!A89)</f>
        <v>89</v>
      </c>
      <c r="C396" s="10" t="str">
        <f>objet!D89</f>
        <v>5360000A0523</v>
      </c>
      <c r="D396" t="str">
        <f>LEFT(modif0[[#This Row],[cdstr]],3)</f>
        <v>536</v>
      </c>
      <c r="E396" s="10" t="str">
        <f>objet!G89</f>
        <v>LE TUZAN</v>
      </c>
      <c r="F396">
        <f>LEN(modif0[[#This Row],[l_dt]])</f>
        <v>21</v>
      </c>
      <c r="G396" s="10" t="str">
        <f>objet!H89</f>
        <v>METAIRIES DE TABARTON</v>
      </c>
      <c r="H396" s="10" t="str">
        <f>objet!C89</f>
        <v>A523v</v>
      </c>
      <c r="I396" t="str">
        <f>IF(ISNUMBER(VALUE(RIGHT(LEFT(modif0[[#This Row],[idntfn]],2),1))),_xlfn.CONCAT(0,LEFT(modif0[[#This Row],[idntfn]],1)),LEFT(modif0[[#This Row],[idntfn]],2))</f>
        <v>0A</v>
      </c>
      <c r="J396">
        <f>VALUE(LEFT(RIGHT(modif0[[#This Row],[idntfn]],LEN(modif0[[#This Row],[idntfn]])-IF(LEFT(modif0[[#This Row],[sctn]],1)="0",1,2)),LEN(modif0[[#This Row],[idntfn]])-IF(LEFT(modif0[[#This Row],[sctn]],1)="0",1,2)-LEN(modif0[[#This Row],[lttr]])))</f>
        <v>523</v>
      </c>
      <c r="K396" t="str">
        <f>IF(ISNUMBER(VALUE(RIGHT(modif0[[#This Row],[idntfn]],1))),"",IF(ISNUMBER(VALUE(LEFT(RIGHT(modif0[[#This Row],[idntfn]],2),1))),RIGHT(modif0[[#This Row],[idntfn]],1),RIGHT(modif0[[#This Row],[idntfn]],2)))</f>
        <v>v</v>
      </c>
      <c r="L396" s="10">
        <f>objet!I89</f>
        <v>2964</v>
      </c>
      <c r="M396" s="11">
        <f>modif0[[#This Row],[srfc]]/10000</f>
        <v>0.2964</v>
      </c>
      <c r="N396" s="10" t="str">
        <f>objet!Z89</f>
        <v>FEUIL</v>
      </c>
      <c r="O396" s="10" t="str">
        <f>objet!AA89</f>
        <v>TAIL1987</v>
      </c>
      <c r="P396" t="str">
        <f>IF(ISNUMBER(modif0[[#This Row],[trvx]]),"",LEFT(modif0[[#This Row],[trvx]],LEN(modif0[[#This Row],[trvx]])-4))</f>
        <v>TAIL</v>
      </c>
      <c r="Q396">
        <f>VALUE(RIGHT(modif0[[#This Row],[trvx]],4))</f>
        <v>1987</v>
      </c>
      <c r="R396" t="str">
        <f>_xlfn.CONCAT(modif0[[#This Row],[tp]],"-",modif0[[#This Row],[essnc]],"_",modif0[[#This Row],[anns]])</f>
        <v>TAIL-FEUIL_1987</v>
      </c>
      <c r="S396" t="b">
        <f>modif0[[#This Row],[tp]]="CR"</f>
        <v>0</v>
      </c>
      <c r="T396">
        <v>40</v>
      </c>
      <c r="U396" t="str">
        <f>IF(NOT($A396),"",
IF(AO396=-2,regle!$J$11,
IF(AO396=regle!$B$12,regle!$B$11,
IF(AO396=regle!$C$12,regle!$C$11,
IF(AO396=regle!$D$12,regle!$D$11,
IF(AO396=regle!$E$12,regle!$E$11,
IF(AO396=regle!$F$12,regle!$F$11,
IF(AO396=regle!$G$12,regle!$G$11,
IF(AO396=regle!$H$12,regle!$H$11,
IF(AO396=regle!$I$12,regle!$I$11,""))))))))))</f>
        <v/>
      </c>
      <c r="V396" t="str">
        <f>IF(NOT($A396),"",
IF(AP396=-2,regle!$J$11,
IF(AP396=regle!$B$12,regle!$B$11,
IF(AP396=regle!$C$12,regle!$C$11,
IF(AP396=regle!$D$12,regle!$D$11,
IF(AP396=regle!$E$12,regle!$E$11,
IF(AP396=regle!$F$12,regle!$F$11,
IF(AP396=regle!$G$12,regle!$G$11,
IF(AP396=regle!$H$12,regle!$H$11,
IF(AP396=regle!$I$12,regle!$I$11,""))))))))))</f>
        <v/>
      </c>
      <c r="W396" t="str">
        <f>IF(NOT($A396),"",
IF(AQ396=-2,regle!$J$11,
IF(AQ396=regle!$B$12,regle!$B$11,
IF(AQ396=regle!$C$12,regle!$C$11,
IF(AQ396=regle!$D$12,regle!$D$11,
IF(AQ396=regle!$E$12,regle!$E$11,
IF(AQ396=regle!$F$12,regle!$F$11,
IF(AQ396=regle!$G$12,regle!$G$11,
IF(AQ396=regle!$H$12,regle!$H$11,
IF(AQ396=regle!$I$12,regle!$I$11,""))))))))))</f>
        <v/>
      </c>
      <c r="X396" t="str">
        <f>IF(NOT($A396),"",
IF(AR396=-2,regle!$J$11,
IF(AR396=regle!$B$12,regle!$B$11,
IF(AR396=regle!$C$12,regle!$C$11,
IF(AR396=regle!$D$12,regle!$D$11,
IF(AR396=regle!$E$12,regle!$E$11,
IF(AR396=regle!$F$12,regle!$F$11,
IF(AR396=regle!$G$12,regle!$G$11,
IF(AR396=regle!$H$12,regle!$H$11,
IF(AR396=regle!$I$12,regle!$I$11,""))))))))))</f>
        <v/>
      </c>
      <c r="Y396" t="str">
        <f>IF(NOT($A396),"",
IF(AS396=-2,regle!$J$11,
IF(AS396=regle!$B$12,regle!$B$11,
IF(AS396=regle!$C$12,regle!$C$11,
IF(AS396=regle!$D$12,regle!$D$11,
IF(AS396=regle!$E$12,regle!$E$11,
IF(AS396=regle!$F$12,regle!$F$11,
IF(AS396=regle!$G$12,regle!$G$11,
IF(AS396=regle!$H$12,regle!$H$11,
IF(AS396=regle!$I$12,regle!$I$11,""))))))))))</f>
        <v/>
      </c>
      <c r="Z396" t="str">
        <f>IF(NOT($A396),"",
IF(AT396=-2,regle!$J$11,
IF(AT396=regle!$B$12,regle!$B$11,
IF(AT396=regle!$C$12,regle!$C$11,
IF(AT396=regle!$D$12,regle!$D$11,
IF(AT396=regle!$E$12,regle!$E$11,
IF(AT396=regle!$F$12,regle!$F$11,
IF(AT396=regle!$G$12,regle!$G$11,
IF(AT396=regle!$H$12,regle!$H$11,
IF(AT396=regle!$I$12,regle!$I$11,""))))))))))</f>
        <v/>
      </c>
      <c r="AA396" t="str">
        <f>IF(NOT($A396),"",
IF(AU396=-2,regle!$J$11,
IF(AU396=regle!$B$12,regle!$B$11,
IF(AU396=regle!$C$12,regle!$C$11,
IF(AU396=regle!$D$12,regle!$D$11,
IF(AU396=regle!$E$12,regle!$E$11,
IF(AU396=regle!$F$12,regle!$F$11,
IF(AU396=regle!$G$12,regle!$G$11,
IF(AU396=regle!$H$12,regle!$H$11,
IF(AU396=regle!$I$12,regle!$I$11,""))))))))))</f>
        <v/>
      </c>
      <c r="AB396" t="str">
        <f>IF(NOT($A396),"",
IF(AV396=-2,regle!$J$11,
IF(AV396=regle!$B$12,regle!$B$11,
IF(AV396=regle!$C$12,regle!$C$11,
IF(AV396=regle!$D$12,regle!$D$11,
IF(AV396=regle!$E$12,regle!$E$11,
IF(AV396=regle!$F$12,regle!$F$11,
IF(AV396=regle!$G$12,regle!$G$11,
IF(AV396=regle!$H$12,regle!$H$11,
IF(AV396=regle!$I$12,regle!$I$11,""))))))))))</f>
        <v/>
      </c>
      <c r="AC396" t="str">
        <f>IF(NOT($A396),"",
IF(AW396=-2,regle!$J$11,
IF(AW396=regle!$B$12,regle!$B$11,
IF(AW396=regle!$C$12,regle!$C$11,
IF(AW396=regle!$D$12,regle!$D$11,
IF(AW396=regle!$E$12,regle!$E$11,
IF(AW396=regle!$F$12,regle!$F$11,
IF(AW396=regle!$G$12,regle!$G$11,
IF(AW396=regle!$H$12,regle!$H$11,
IF(AW396=regle!$I$12,regle!$I$11,""))))))))))</f>
        <v/>
      </c>
      <c r="AD396" t="str">
        <f>IF(NOT($A396),"",
IF(AX396=-2,regle!$J$11,
IF(AX396=regle!$B$12,regle!$B$11,
IF(AX396=regle!$C$12,regle!$C$11,
IF(AX396=regle!$D$12,regle!$D$11,
IF(AX396=regle!$E$12,regle!$E$11,
IF(AX396=regle!$F$12,regle!$F$11,
IF(AX396=regle!$G$12,regle!$G$11,
IF(AX396=regle!$H$12,regle!$H$11,
IF(AX396=regle!$I$12,regle!$I$11,""))))))))))</f>
        <v/>
      </c>
      <c r="AE396" s="14" t="b">
        <f>IF($A396,$M396*(IF(U396=regle!$B$11,regle!$B$23,IF(U396=regle!$C$11,regle!$C$23,IF(U396=regle!$D$11,regle!$D$23,IF(U396=regle!$E$11,regle!$E$23,IF(U396=regle!$F$11,regle!$F$23,IF(U396=regle!$G$11,regle!$G$23,IF(U396=regle!$H$11,regle!$H$23,IF(U396=regle!$I$11,regle!$I$23,IF(U396=regle!$J$11,regle!$J$23,0)))))))))))</f>
        <v>0</v>
      </c>
      <c r="AF396" s="14" t="b">
        <f>IF($A396,$M396*(IF(V396=regle!$B$11,regle!$B$23,IF(V396=regle!$C$11,regle!$C$23,IF(V396=regle!$D$11,regle!$D$23,IF(V396=regle!$E$11,regle!$E$23,IF(V396=regle!$F$11,regle!$F$23,IF(V396=regle!$G$11,regle!$G$23,IF(V396=regle!$H$11,regle!$H$23,IF(V396=regle!$I$11,regle!$I$23,IF(V396=regle!$J$11,regle!$J$23,0)))))))))))</f>
        <v>0</v>
      </c>
      <c r="AG396" s="14" t="b">
        <f>IF($A396,$M396*(IF(W396=regle!$B$11,regle!$B$23,IF(W396=regle!$C$11,regle!$C$23,IF(W396=regle!$D$11,regle!$D$23,IF(W396=regle!$E$11,regle!$E$23,IF(W396=regle!$F$11,regle!$F$23,IF(W396=regle!$G$11,regle!$G$23,IF(W396=regle!$H$11,regle!$H$23,IF(W396=regle!$I$11,regle!$I$23,IF(W396=regle!$J$11,regle!$J$23,0)))))))))))</f>
        <v>0</v>
      </c>
      <c r="AH396" s="14" t="b">
        <f>IF($A396,$M396*(IF(X396=regle!$B$11,regle!$B$23,IF(X396=regle!$C$11,regle!$C$23,IF(X396=regle!$D$11,regle!$D$23,IF(X396=regle!$E$11,regle!$E$23,IF(X396=regle!$F$11,regle!$F$23,IF(X396=regle!$G$11,regle!$G$23,IF(X396=regle!$H$11,regle!$H$23,IF(X396=regle!$I$11,regle!$I$23,IF(X396=regle!$J$11,regle!$J$23,0)))))))))))</f>
        <v>0</v>
      </c>
      <c r="AI396" s="14" t="b">
        <f>IF($A396,$M396*(IF(Y396=regle!$B$11,regle!$B$23,IF(Y396=regle!$C$11,regle!$C$23,IF(Y396=regle!$D$11,regle!$D$23,IF(Y396=regle!$E$11,regle!$E$23,IF(Y396=regle!$F$11,regle!$F$23,IF(Y396=regle!$G$11,regle!$G$23,IF(Y396=regle!$H$11,regle!$H$23,IF(Y396=regle!$I$11,regle!$I$23,IF(Y396=regle!$J$11,regle!$J$23,0)))))))))))</f>
        <v>0</v>
      </c>
      <c r="AJ396" s="14" t="b">
        <f>IF($A396,$M396*(IF(Z396=regle!$B$11,regle!$B$23,IF(Z396=regle!$C$11,regle!$C$23,IF(Z396=regle!$D$11,regle!$D$23,IF(Z396=regle!$E$11,regle!$E$23,IF(Z396=regle!$F$11,regle!$F$23,IF(Z396=regle!$G$11,regle!$G$23,IF(Z396=regle!$H$11,regle!$H$23,IF(Z396=regle!$I$11,regle!$I$23,IF(Z396=regle!$J$11,regle!$J$23,0)))))))))))</f>
        <v>0</v>
      </c>
      <c r="AK396" s="14" t="b">
        <f>IF($A396,$M396*(IF(AA396=regle!$B$11,regle!$B$23,IF(AA396=regle!$C$11,regle!$C$23,IF(AA396=regle!$D$11,regle!$D$23,IF(AA396=regle!$E$11,regle!$E$23,IF(AA396=regle!$F$11,regle!$F$23,IF(AA396=regle!$G$11,regle!$G$23,IF(AA396=regle!$H$11,regle!$H$23,IF(AA396=regle!$I$11,regle!$I$23,IF(AA396=regle!$J$11,regle!$J$23,0)))))))))))</f>
        <v>0</v>
      </c>
      <c r="AL396" s="14" t="b">
        <f>IF($A396,$M396*(IF(AB396=regle!$B$11,regle!$B$23,IF(AB396=regle!$C$11,regle!$C$23,IF(AB396=regle!$D$11,regle!$D$23,IF(AB396=regle!$E$11,regle!$E$23,IF(AB396=regle!$F$11,regle!$F$23,IF(AB396=regle!$G$11,regle!$G$23,IF(AB396=regle!$H$11,regle!$H$23,IF(AB396=regle!$I$11,regle!$I$23,IF(AB396=regle!$J$11,regle!$J$23,0)))))))))))</f>
        <v>0</v>
      </c>
      <c r="AM396" s="14" t="b">
        <f>IF($A396,$M396*(IF(AC396=regle!$B$11,regle!$B$23,IF(AC396=regle!$C$11,regle!$C$23,IF(AC396=regle!$D$11,regle!$D$23,IF(AC396=regle!$E$11,regle!$E$23,IF(AC396=regle!$F$11,regle!$F$23,IF(AC396=regle!$G$11,regle!$G$23,IF(AC396=regle!$H$11,regle!$H$23,IF(AC396=regle!$I$11,regle!$I$23,IF(AC396=regle!$J$11,regle!$J$23,0)))))))))))</f>
        <v>0</v>
      </c>
      <c r="AN396" s="14" t="b">
        <f>IF($A396,$M396*(IF(AD396=regle!$B$11,regle!$B$23,IF(AD396=regle!$C$11,regle!$C$23,IF(AD396=regle!$D$11,regle!$D$23,IF(AD396=regle!$E$11,regle!$E$23,IF(AD396=regle!$F$11,regle!$F$23,IF(AD396=regle!$G$11,regle!$G$23,IF(AD396=regle!$H$11,regle!$H$23,IF(AD396=regle!$I$11,regle!$I$23,IF(AD396=regle!$J$11,regle!$J$23,0)))))))))))</f>
        <v>0</v>
      </c>
      <c r="AO396">
        <f>IF(AO$1=$AO$1,IF(regle!B$2-$Q396&gt;=regle!$J$12,-2,IF($S396,IF(regle!$B$2-$Q396&gt;=2,0,-1),regle!B$2-$Q396)),IF(AN396+1&gt;=regle!$J$12,-2,AN396+1))</f>
        <v>37</v>
      </c>
      <c r="AP396">
        <f>IF(AP$1=$AO$1,IF(regle!C$2-$Q396&gt;=regle!$J$12,-2,IF($S396,IF(regle!$B$2-$Q396&gt;=2,0,-1),regle!C$2-$Q396)),IF(AO396+1&gt;=regle!$J$12,-2,AO396+1))</f>
        <v>38</v>
      </c>
      <c r="AQ396">
        <f>IF(AQ$1=$AO$1,IF(regle!D$2-$Q396&gt;=regle!$J$12,-2,IF($S396,IF(regle!$B$2-$Q396&gt;=2,0,-1),regle!D$2-$Q396)),IF(AP396+1&gt;=regle!$J$12,-2,AP396+1))</f>
        <v>39</v>
      </c>
      <c r="AR396">
        <f>IF(AR$1=$AO$1,IF(regle!E$2-$Q396&gt;=regle!$J$12,-2,IF($S396,IF(regle!$B$2-$Q396&gt;=2,0,-1),regle!E$2-$Q396)),IF(AQ396+1&gt;=regle!$J$12,-2,AQ396+1))</f>
        <v>-2</v>
      </c>
      <c r="AS396">
        <f>IF(AS$1=$AO$1,IF(regle!F$2-$Q396&gt;=regle!$J$12,-2,IF($S396,IF(regle!$B$2-$Q396&gt;=2,0,-1),regle!F$2-$Q396)),IF(AR396+1&gt;=regle!$J$12,-2,AR396+1))</f>
        <v>-1</v>
      </c>
      <c r="AT396">
        <f>IF(AT$1=$AO$1,IF(regle!G$2-$Q396&gt;=regle!$J$12,-2,IF($S396,IF(regle!$B$2-$Q396&gt;=2,0,-1),regle!G$2-$Q396)),IF(AS396+1&gt;=regle!$J$12,-2,AS396+1))</f>
        <v>0</v>
      </c>
      <c r="AU396">
        <f>IF(AU$1=$AO$1,IF(regle!H$2-$Q396&gt;=regle!$J$12,-2,IF($S396,IF(regle!$B$2-$Q396&gt;=2,0,-1),regle!H$2-$Q396)),IF(AT396+1&gt;=regle!$J$12,-2,AT396+1))</f>
        <v>1</v>
      </c>
      <c r="AV396">
        <f>IF(AV$1=$AO$1,IF(regle!I$2-$Q396&gt;=regle!$J$12,-2,IF($S396,IF(regle!$B$2-$Q396&gt;=2,0,-1),regle!I$2-$Q396)),IF(AU396+1&gt;=regle!$J$12,-2,AU396+1))</f>
        <v>2</v>
      </c>
      <c r="AW396">
        <f>IF(AW$1=$AO$1,IF(regle!J$2-$Q396&gt;=regle!$J$12,-2,IF($S396,IF(regle!$B$2-$Q396&gt;=2,0,-1),regle!J$2-$Q396)),IF(AV396+1&gt;=regle!$J$12,-2,AV396+1))</f>
        <v>3</v>
      </c>
      <c r="AX396">
        <f>IF(AX$1=$AO$1,IF(regle!K$2-$Q396&gt;=regle!$J$12,-2,IF($S396,IF(regle!$B$2-$Q396&gt;=2,0,-1),regle!K$2-$Q396)),IF(AW396+1&gt;=regle!$J$12,-2,AW396+1))</f>
        <v>4</v>
      </c>
    </row>
    <row r="397" spans="1:50" x14ac:dyDescent="0.25">
      <c r="A397" t="b">
        <f>AND(modif0[[#This Row],[cdstr]]&lt;&gt;0,OR(regle!$H$27=FALSE,modif0[[#This Row],[essnc]]="PM"))</f>
        <v>0</v>
      </c>
      <c r="B397">
        <f>ROW(objet!A90)</f>
        <v>90</v>
      </c>
      <c r="C397" s="10" t="str">
        <f>objet!D90</f>
        <v>5360000A0523</v>
      </c>
      <c r="D397" t="str">
        <f>LEFT(modif0[[#This Row],[cdstr]],3)</f>
        <v>536</v>
      </c>
      <c r="E397" s="10" t="str">
        <f>objet!G90</f>
        <v>LE TUZAN</v>
      </c>
      <c r="F397">
        <f>LEN(modif0[[#This Row],[l_dt]])</f>
        <v>21</v>
      </c>
      <c r="G397" s="10" t="str">
        <f>objet!H90</f>
        <v>METAIRIES DE TABARTON</v>
      </c>
      <c r="H397" s="10" t="str">
        <f>objet!C90</f>
        <v>A523w</v>
      </c>
      <c r="I397" t="str">
        <f>IF(ISNUMBER(VALUE(RIGHT(LEFT(modif0[[#This Row],[idntfn]],2),1))),_xlfn.CONCAT(0,LEFT(modif0[[#This Row],[idntfn]],1)),LEFT(modif0[[#This Row],[idntfn]],2))</f>
        <v>0A</v>
      </c>
      <c r="J397">
        <f>VALUE(LEFT(RIGHT(modif0[[#This Row],[idntfn]],LEN(modif0[[#This Row],[idntfn]])-IF(LEFT(modif0[[#This Row],[sctn]],1)="0",1,2)),LEN(modif0[[#This Row],[idntfn]])-IF(LEFT(modif0[[#This Row],[sctn]],1)="0",1,2)-LEN(modif0[[#This Row],[lttr]])))</f>
        <v>523</v>
      </c>
      <c r="K397" t="str">
        <f>IF(ISNUMBER(VALUE(RIGHT(modif0[[#This Row],[idntfn]],1))),"",IF(ISNUMBER(VALUE(LEFT(RIGHT(modif0[[#This Row],[idntfn]],2),1))),RIGHT(modif0[[#This Row],[idntfn]],1),RIGHT(modif0[[#This Row],[idntfn]],2)))</f>
        <v>w</v>
      </c>
      <c r="L397" s="10">
        <f>objet!I90</f>
        <v>45260</v>
      </c>
      <c r="M397" s="11">
        <f>modif0[[#This Row],[srfc]]/10000</f>
        <v>4.5259999999999998</v>
      </c>
      <c r="N397" s="10" t="str">
        <f>objet!Z90</f>
        <v>FEUIL</v>
      </c>
      <c r="O397" s="10" t="str">
        <f>objet!AA90</f>
        <v>TAIL1987</v>
      </c>
      <c r="P397" t="str">
        <f>IF(ISNUMBER(modif0[[#This Row],[trvx]]),"",LEFT(modif0[[#This Row],[trvx]],LEN(modif0[[#This Row],[trvx]])-4))</f>
        <v>TAIL</v>
      </c>
      <c r="Q397">
        <f>VALUE(RIGHT(modif0[[#This Row],[trvx]],4))</f>
        <v>1987</v>
      </c>
      <c r="R397" t="str">
        <f>_xlfn.CONCAT(modif0[[#This Row],[tp]],"-",modif0[[#This Row],[essnc]],"_",modif0[[#This Row],[anns]])</f>
        <v>TAIL-FEUIL_1987</v>
      </c>
      <c r="S397" t="b">
        <f>modif0[[#This Row],[tp]]="CR"</f>
        <v>0</v>
      </c>
      <c r="T397">
        <v>40</v>
      </c>
      <c r="U397" t="str">
        <f>IF(NOT($A397),"",
IF(AO397=-2,regle!$J$11,
IF(AO397=regle!$B$12,regle!$B$11,
IF(AO397=regle!$C$12,regle!$C$11,
IF(AO397=regle!$D$12,regle!$D$11,
IF(AO397=regle!$E$12,regle!$E$11,
IF(AO397=regle!$F$12,regle!$F$11,
IF(AO397=regle!$G$12,regle!$G$11,
IF(AO397=regle!$H$12,regle!$H$11,
IF(AO397=regle!$I$12,regle!$I$11,""))))))))))</f>
        <v/>
      </c>
      <c r="V397" t="str">
        <f>IF(NOT($A397),"",
IF(AP397=-2,regle!$J$11,
IF(AP397=regle!$B$12,regle!$B$11,
IF(AP397=regle!$C$12,regle!$C$11,
IF(AP397=regle!$D$12,regle!$D$11,
IF(AP397=regle!$E$12,regle!$E$11,
IF(AP397=regle!$F$12,regle!$F$11,
IF(AP397=regle!$G$12,regle!$G$11,
IF(AP397=regle!$H$12,regle!$H$11,
IF(AP397=regle!$I$12,regle!$I$11,""))))))))))</f>
        <v/>
      </c>
      <c r="W397" t="str">
        <f>IF(NOT($A397),"",
IF(AQ397=-2,regle!$J$11,
IF(AQ397=regle!$B$12,regle!$B$11,
IF(AQ397=regle!$C$12,regle!$C$11,
IF(AQ397=regle!$D$12,regle!$D$11,
IF(AQ397=regle!$E$12,regle!$E$11,
IF(AQ397=regle!$F$12,regle!$F$11,
IF(AQ397=regle!$G$12,regle!$G$11,
IF(AQ397=regle!$H$12,regle!$H$11,
IF(AQ397=regle!$I$12,regle!$I$11,""))))))))))</f>
        <v/>
      </c>
      <c r="X397" t="str">
        <f>IF(NOT($A397),"",
IF(AR397=-2,regle!$J$11,
IF(AR397=regle!$B$12,regle!$B$11,
IF(AR397=regle!$C$12,regle!$C$11,
IF(AR397=regle!$D$12,regle!$D$11,
IF(AR397=regle!$E$12,regle!$E$11,
IF(AR397=regle!$F$12,regle!$F$11,
IF(AR397=regle!$G$12,regle!$G$11,
IF(AR397=regle!$H$12,regle!$H$11,
IF(AR397=regle!$I$12,regle!$I$11,""))))))))))</f>
        <v/>
      </c>
      <c r="Y397" t="str">
        <f>IF(NOT($A397),"",
IF(AS397=-2,regle!$J$11,
IF(AS397=regle!$B$12,regle!$B$11,
IF(AS397=regle!$C$12,regle!$C$11,
IF(AS397=regle!$D$12,regle!$D$11,
IF(AS397=regle!$E$12,regle!$E$11,
IF(AS397=regle!$F$12,regle!$F$11,
IF(AS397=regle!$G$12,regle!$G$11,
IF(AS397=regle!$H$12,regle!$H$11,
IF(AS397=regle!$I$12,regle!$I$11,""))))))))))</f>
        <v/>
      </c>
      <c r="Z397" t="str">
        <f>IF(NOT($A397),"",
IF(AT397=-2,regle!$J$11,
IF(AT397=regle!$B$12,regle!$B$11,
IF(AT397=regle!$C$12,regle!$C$11,
IF(AT397=regle!$D$12,regle!$D$11,
IF(AT397=regle!$E$12,regle!$E$11,
IF(AT397=regle!$F$12,regle!$F$11,
IF(AT397=regle!$G$12,regle!$G$11,
IF(AT397=regle!$H$12,regle!$H$11,
IF(AT397=regle!$I$12,regle!$I$11,""))))))))))</f>
        <v/>
      </c>
      <c r="AA397" t="str">
        <f>IF(NOT($A397),"",
IF(AU397=-2,regle!$J$11,
IF(AU397=regle!$B$12,regle!$B$11,
IF(AU397=regle!$C$12,regle!$C$11,
IF(AU397=regle!$D$12,regle!$D$11,
IF(AU397=regle!$E$12,regle!$E$11,
IF(AU397=regle!$F$12,regle!$F$11,
IF(AU397=regle!$G$12,regle!$G$11,
IF(AU397=regle!$H$12,regle!$H$11,
IF(AU397=regle!$I$12,regle!$I$11,""))))))))))</f>
        <v/>
      </c>
      <c r="AB397" t="str">
        <f>IF(NOT($A397),"",
IF(AV397=-2,regle!$J$11,
IF(AV397=regle!$B$12,regle!$B$11,
IF(AV397=regle!$C$12,regle!$C$11,
IF(AV397=regle!$D$12,regle!$D$11,
IF(AV397=regle!$E$12,regle!$E$11,
IF(AV397=regle!$F$12,regle!$F$11,
IF(AV397=regle!$G$12,regle!$G$11,
IF(AV397=regle!$H$12,regle!$H$11,
IF(AV397=regle!$I$12,regle!$I$11,""))))))))))</f>
        <v/>
      </c>
      <c r="AC397" t="str">
        <f>IF(NOT($A397),"",
IF(AW397=-2,regle!$J$11,
IF(AW397=regle!$B$12,regle!$B$11,
IF(AW397=regle!$C$12,regle!$C$11,
IF(AW397=regle!$D$12,regle!$D$11,
IF(AW397=regle!$E$12,regle!$E$11,
IF(AW397=regle!$F$12,regle!$F$11,
IF(AW397=regle!$G$12,regle!$G$11,
IF(AW397=regle!$H$12,regle!$H$11,
IF(AW397=regle!$I$12,regle!$I$11,""))))))))))</f>
        <v/>
      </c>
      <c r="AD397" t="str">
        <f>IF(NOT($A397),"",
IF(AX397=-2,regle!$J$11,
IF(AX397=regle!$B$12,regle!$B$11,
IF(AX397=regle!$C$12,regle!$C$11,
IF(AX397=regle!$D$12,regle!$D$11,
IF(AX397=regle!$E$12,regle!$E$11,
IF(AX397=regle!$F$12,regle!$F$11,
IF(AX397=regle!$G$12,regle!$G$11,
IF(AX397=regle!$H$12,regle!$H$11,
IF(AX397=regle!$I$12,regle!$I$11,""))))))))))</f>
        <v/>
      </c>
      <c r="AE397" s="14" t="b">
        <f>IF($A397,$M397*(IF(U397=regle!$B$11,regle!$B$23,IF(U397=regle!$C$11,regle!$C$23,IF(U397=regle!$D$11,regle!$D$23,IF(U397=regle!$E$11,regle!$E$23,IF(U397=regle!$F$11,regle!$F$23,IF(U397=regle!$G$11,regle!$G$23,IF(U397=regle!$H$11,regle!$H$23,IF(U397=regle!$I$11,regle!$I$23,IF(U397=regle!$J$11,regle!$J$23,0)))))))))))</f>
        <v>0</v>
      </c>
      <c r="AF397" s="14" t="b">
        <f>IF($A397,$M397*(IF(V397=regle!$B$11,regle!$B$23,IF(V397=regle!$C$11,regle!$C$23,IF(V397=regle!$D$11,regle!$D$23,IF(V397=regle!$E$11,regle!$E$23,IF(V397=regle!$F$11,regle!$F$23,IF(V397=regle!$G$11,regle!$G$23,IF(V397=regle!$H$11,regle!$H$23,IF(V397=regle!$I$11,regle!$I$23,IF(V397=regle!$J$11,regle!$J$23,0)))))))))))</f>
        <v>0</v>
      </c>
      <c r="AG397" s="14" t="b">
        <f>IF($A397,$M397*(IF(W397=regle!$B$11,regle!$B$23,IF(W397=regle!$C$11,regle!$C$23,IF(W397=regle!$D$11,regle!$D$23,IF(W397=regle!$E$11,regle!$E$23,IF(W397=regle!$F$11,regle!$F$23,IF(W397=regle!$G$11,regle!$G$23,IF(W397=regle!$H$11,regle!$H$23,IF(W397=regle!$I$11,regle!$I$23,IF(W397=regle!$J$11,regle!$J$23,0)))))))))))</f>
        <v>0</v>
      </c>
      <c r="AH397" s="14" t="b">
        <f>IF($A397,$M397*(IF(X397=regle!$B$11,regle!$B$23,IF(X397=regle!$C$11,regle!$C$23,IF(X397=regle!$D$11,regle!$D$23,IF(X397=regle!$E$11,regle!$E$23,IF(X397=regle!$F$11,regle!$F$23,IF(X397=regle!$G$11,regle!$G$23,IF(X397=regle!$H$11,regle!$H$23,IF(X397=regle!$I$11,regle!$I$23,IF(X397=regle!$J$11,regle!$J$23,0)))))))))))</f>
        <v>0</v>
      </c>
      <c r="AI397" s="14" t="b">
        <f>IF($A397,$M397*(IF(Y397=regle!$B$11,regle!$B$23,IF(Y397=regle!$C$11,regle!$C$23,IF(Y397=regle!$D$11,regle!$D$23,IF(Y397=regle!$E$11,regle!$E$23,IF(Y397=regle!$F$11,regle!$F$23,IF(Y397=regle!$G$11,regle!$G$23,IF(Y397=regle!$H$11,regle!$H$23,IF(Y397=regle!$I$11,regle!$I$23,IF(Y397=regle!$J$11,regle!$J$23,0)))))))))))</f>
        <v>0</v>
      </c>
      <c r="AJ397" s="14" t="b">
        <f>IF($A397,$M397*(IF(Z397=regle!$B$11,regle!$B$23,IF(Z397=regle!$C$11,regle!$C$23,IF(Z397=regle!$D$11,regle!$D$23,IF(Z397=regle!$E$11,regle!$E$23,IF(Z397=regle!$F$11,regle!$F$23,IF(Z397=regle!$G$11,regle!$G$23,IF(Z397=regle!$H$11,regle!$H$23,IF(Z397=regle!$I$11,regle!$I$23,IF(Z397=regle!$J$11,regle!$J$23,0)))))))))))</f>
        <v>0</v>
      </c>
      <c r="AK397" s="14" t="b">
        <f>IF($A397,$M397*(IF(AA397=regle!$B$11,regle!$B$23,IF(AA397=regle!$C$11,regle!$C$23,IF(AA397=regle!$D$11,regle!$D$23,IF(AA397=regle!$E$11,regle!$E$23,IF(AA397=regle!$F$11,regle!$F$23,IF(AA397=regle!$G$11,regle!$G$23,IF(AA397=regle!$H$11,regle!$H$23,IF(AA397=regle!$I$11,regle!$I$23,IF(AA397=regle!$J$11,regle!$J$23,0)))))))))))</f>
        <v>0</v>
      </c>
      <c r="AL397" s="14" t="b">
        <f>IF($A397,$M397*(IF(AB397=regle!$B$11,regle!$B$23,IF(AB397=regle!$C$11,regle!$C$23,IF(AB397=regle!$D$11,regle!$D$23,IF(AB397=regle!$E$11,regle!$E$23,IF(AB397=regle!$F$11,regle!$F$23,IF(AB397=regle!$G$11,regle!$G$23,IF(AB397=regle!$H$11,regle!$H$23,IF(AB397=regle!$I$11,regle!$I$23,IF(AB397=regle!$J$11,regle!$J$23,0)))))))))))</f>
        <v>0</v>
      </c>
      <c r="AM397" s="14" t="b">
        <f>IF($A397,$M397*(IF(AC397=regle!$B$11,regle!$B$23,IF(AC397=regle!$C$11,regle!$C$23,IF(AC397=regle!$D$11,regle!$D$23,IF(AC397=regle!$E$11,regle!$E$23,IF(AC397=regle!$F$11,regle!$F$23,IF(AC397=regle!$G$11,regle!$G$23,IF(AC397=regle!$H$11,regle!$H$23,IF(AC397=regle!$I$11,regle!$I$23,IF(AC397=regle!$J$11,regle!$J$23,0)))))))))))</f>
        <v>0</v>
      </c>
      <c r="AN397" s="14" t="b">
        <f>IF($A397,$M397*(IF(AD397=regle!$B$11,regle!$B$23,IF(AD397=regle!$C$11,regle!$C$23,IF(AD397=regle!$D$11,regle!$D$23,IF(AD397=regle!$E$11,regle!$E$23,IF(AD397=regle!$F$11,regle!$F$23,IF(AD397=regle!$G$11,regle!$G$23,IF(AD397=regle!$H$11,regle!$H$23,IF(AD397=regle!$I$11,regle!$I$23,IF(AD397=regle!$J$11,regle!$J$23,0)))))))))))</f>
        <v>0</v>
      </c>
      <c r="AO397">
        <f>IF(AO$1=$AO$1,IF(regle!B$2-$Q397&gt;=regle!$J$12,-2,IF($S397,IF(regle!$B$2-$Q397&gt;=2,0,-1),regle!B$2-$Q397)),IF(AN397+1&gt;=regle!$J$12,-2,AN397+1))</f>
        <v>37</v>
      </c>
      <c r="AP397">
        <f>IF(AP$1=$AO$1,IF(regle!C$2-$Q397&gt;=regle!$J$12,-2,IF($S397,IF(regle!$B$2-$Q397&gt;=2,0,-1),regle!C$2-$Q397)),IF(AO397+1&gt;=regle!$J$12,-2,AO397+1))</f>
        <v>38</v>
      </c>
      <c r="AQ397">
        <f>IF(AQ$1=$AO$1,IF(regle!D$2-$Q397&gt;=regle!$J$12,-2,IF($S397,IF(regle!$B$2-$Q397&gt;=2,0,-1),regle!D$2-$Q397)),IF(AP397+1&gt;=regle!$J$12,-2,AP397+1))</f>
        <v>39</v>
      </c>
      <c r="AR397">
        <f>IF(AR$1=$AO$1,IF(regle!E$2-$Q397&gt;=regle!$J$12,-2,IF($S397,IF(regle!$B$2-$Q397&gt;=2,0,-1),regle!E$2-$Q397)),IF(AQ397+1&gt;=regle!$J$12,-2,AQ397+1))</f>
        <v>-2</v>
      </c>
      <c r="AS397">
        <f>IF(AS$1=$AO$1,IF(regle!F$2-$Q397&gt;=regle!$J$12,-2,IF($S397,IF(regle!$B$2-$Q397&gt;=2,0,-1),regle!F$2-$Q397)),IF(AR397+1&gt;=regle!$J$12,-2,AR397+1))</f>
        <v>-1</v>
      </c>
      <c r="AT397">
        <f>IF(AT$1=$AO$1,IF(regle!G$2-$Q397&gt;=regle!$J$12,-2,IF($S397,IF(regle!$B$2-$Q397&gt;=2,0,-1),regle!G$2-$Q397)),IF(AS397+1&gt;=regle!$J$12,-2,AS397+1))</f>
        <v>0</v>
      </c>
      <c r="AU397">
        <f>IF(AU$1=$AO$1,IF(regle!H$2-$Q397&gt;=regle!$J$12,-2,IF($S397,IF(regle!$B$2-$Q397&gt;=2,0,-1),regle!H$2-$Q397)),IF(AT397+1&gt;=regle!$J$12,-2,AT397+1))</f>
        <v>1</v>
      </c>
      <c r="AV397">
        <f>IF(AV$1=$AO$1,IF(regle!I$2-$Q397&gt;=regle!$J$12,-2,IF($S397,IF(regle!$B$2-$Q397&gt;=2,0,-1),regle!I$2-$Q397)),IF(AU397+1&gt;=regle!$J$12,-2,AU397+1))</f>
        <v>2</v>
      </c>
      <c r="AW397">
        <f>IF(AW$1=$AO$1,IF(regle!J$2-$Q397&gt;=regle!$J$12,-2,IF($S397,IF(regle!$B$2-$Q397&gt;=2,0,-1),regle!J$2-$Q397)),IF(AV397+1&gt;=regle!$J$12,-2,AV397+1))</f>
        <v>3</v>
      </c>
      <c r="AX397">
        <f>IF(AX$1=$AO$1,IF(regle!K$2-$Q397&gt;=regle!$J$12,-2,IF($S397,IF(regle!$B$2-$Q397&gt;=2,0,-1),regle!K$2-$Q397)),IF(AW397+1&gt;=regle!$J$12,-2,AW397+1))</f>
        <v>4</v>
      </c>
    </row>
    <row r="398" spans="1:50" x14ac:dyDescent="0.25">
      <c r="A398" t="b">
        <f>AND(modif0[[#This Row],[cdstr]]&lt;&gt;0,OR(regle!$H$27=FALSE,modif0[[#This Row],[essnc]]="PM"))</f>
        <v>0</v>
      </c>
      <c r="B398">
        <f>ROW(objet!A105)</f>
        <v>105</v>
      </c>
      <c r="C398" s="10" t="str">
        <f>objet!D105</f>
        <v>5360000A0844</v>
      </c>
      <c r="D398" t="str">
        <f>LEFT(modif0[[#This Row],[cdstr]],3)</f>
        <v>536</v>
      </c>
      <c r="E398" s="10" t="str">
        <f>objet!G105</f>
        <v>LE TUZAN</v>
      </c>
      <c r="F398">
        <f>LEN(modif0[[#This Row],[l_dt]])</f>
        <v>21</v>
      </c>
      <c r="G398" s="10" t="str">
        <f>objet!H105</f>
        <v>METAIRIES DE TABARTON</v>
      </c>
      <c r="H398" s="10" t="str">
        <f>objet!C105</f>
        <v>A844k</v>
      </c>
      <c r="I398" t="str">
        <f>IF(ISNUMBER(VALUE(RIGHT(LEFT(modif0[[#This Row],[idntfn]],2),1))),_xlfn.CONCAT(0,LEFT(modif0[[#This Row],[idntfn]],1)),LEFT(modif0[[#This Row],[idntfn]],2))</f>
        <v>0A</v>
      </c>
      <c r="J398">
        <f>VALUE(LEFT(RIGHT(modif0[[#This Row],[idntfn]],LEN(modif0[[#This Row],[idntfn]])-IF(LEFT(modif0[[#This Row],[sctn]],1)="0",1,2)),LEN(modif0[[#This Row],[idntfn]])-IF(LEFT(modif0[[#This Row],[sctn]],1)="0",1,2)-LEN(modif0[[#This Row],[lttr]])))</f>
        <v>844</v>
      </c>
      <c r="K398" t="str">
        <f>IF(ISNUMBER(VALUE(RIGHT(modif0[[#This Row],[idntfn]],1))),"",IF(ISNUMBER(VALUE(LEFT(RIGHT(modif0[[#This Row],[idntfn]],2),1))),RIGHT(modif0[[#This Row],[idntfn]],1),RIGHT(modif0[[#This Row],[idntfn]],2)))</f>
        <v>k</v>
      </c>
      <c r="L398" s="10">
        <f>objet!I105</f>
        <v>689</v>
      </c>
      <c r="M398" s="11">
        <f>modif0[[#This Row],[srfc]]/10000</f>
        <v>6.8900000000000003E-2</v>
      </c>
      <c r="N398" s="10" t="str">
        <f>objet!Z105</f>
        <v>FEUIL</v>
      </c>
      <c r="O398" s="10" t="str">
        <f>objet!AA105</f>
        <v>TAIL1985</v>
      </c>
      <c r="P398" t="str">
        <f>IF(ISNUMBER(modif0[[#This Row],[trvx]]),"",LEFT(modif0[[#This Row],[trvx]],LEN(modif0[[#This Row],[trvx]])-4))</f>
        <v>TAIL</v>
      </c>
      <c r="Q398">
        <f>VALUE(RIGHT(modif0[[#This Row],[trvx]],4))</f>
        <v>1985</v>
      </c>
      <c r="R398" t="str">
        <f>_xlfn.CONCAT(modif0[[#This Row],[tp]],"-",modif0[[#This Row],[essnc]],"_",modif0[[#This Row],[anns]])</f>
        <v>TAIL-FEUIL_1985</v>
      </c>
      <c r="S398" t="b">
        <f>modif0[[#This Row],[tp]]="CR"</f>
        <v>0</v>
      </c>
      <c r="T398">
        <v>40</v>
      </c>
      <c r="U398" t="str">
        <f>IF(NOT($A398),"",
IF(AO398=-2,regle!$J$11,
IF(AO398=regle!$B$12,regle!$B$11,
IF(AO398=regle!$C$12,regle!$C$11,
IF(AO398=regle!$D$12,regle!$D$11,
IF(AO398=regle!$E$12,regle!$E$11,
IF(AO398=regle!$F$12,regle!$F$11,
IF(AO398=regle!$G$12,regle!$G$11,
IF(AO398=regle!$H$12,regle!$H$11,
IF(AO398=regle!$I$12,regle!$I$11,""))))))))))</f>
        <v/>
      </c>
      <c r="V398" t="str">
        <f>IF(NOT($A398),"",
IF(AP398=-2,regle!$J$11,
IF(AP398=regle!$B$12,regle!$B$11,
IF(AP398=regle!$C$12,regle!$C$11,
IF(AP398=regle!$D$12,regle!$D$11,
IF(AP398=regle!$E$12,regle!$E$11,
IF(AP398=regle!$F$12,regle!$F$11,
IF(AP398=regle!$G$12,regle!$G$11,
IF(AP398=regle!$H$12,regle!$H$11,
IF(AP398=regle!$I$12,regle!$I$11,""))))))))))</f>
        <v/>
      </c>
      <c r="W398" t="str">
        <f>IF(NOT($A398),"",
IF(AQ398=-2,regle!$J$11,
IF(AQ398=regle!$B$12,regle!$B$11,
IF(AQ398=regle!$C$12,regle!$C$11,
IF(AQ398=regle!$D$12,regle!$D$11,
IF(AQ398=regle!$E$12,regle!$E$11,
IF(AQ398=regle!$F$12,regle!$F$11,
IF(AQ398=regle!$G$12,regle!$G$11,
IF(AQ398=regle!$H$12,regle!$H$11,
IF(AQ398=regle!$I$12,regle!$I$11,""))))))))))</f>
        <v/>
      </c>
      <c r="X398" t="str">
        <f>IF(NOT($A398),"",
IF(AR398=-2,regle!$J$11,
IF(AR398=regle!$B$12,regle!$B$11,
IF(AR398=regle!$C$12,regle!$C$11,
IF(AR398=regle!$D$12,regle!$D$11,
IF(AR398=regle!$E$12,regle!$E$11,
IF(AR398=regle!$F$12,regle!$F$11,
IF(AR398=regle!$G$12,regle!$G$11,
IF(AR398=regle!$H$12,regle!$H$11,
IF(AR398=regle!$I$12,regle!$I$11,""))))))))))</f>
        <v/>
      </c>
      <c r="Y398" t="str">
        <f>IF(NOT($A398),"",
IF(AS398=-2,regle!$J$11,
IF(AS398=regle!$B$12,regle!$B$11,
IF(AS398=regle!$C$12,regle!$C$11,
IF(AS398=regle!$D$12,regle!$D$11,
IF(AS398=regle!$E$12,regle!$E$11,
IF(AS398=regle!$F$12,regle!$F$11,
IF(AS398=regle!$G$12,regle!$G$11,
IF(AS398=regle!$H$12,regle!$H$11,
IF(AS398=regle!$I$12,regle!$I$11,""))))))))))</f>
        <v/>
      </c>
      <c r="Z398" t="str">
        <f>IF(NOT($A398),"",
IF(AT398=-2,regle!$J$11,
IF(AT398=regle!$B$12,regle!$B$11,
IF(AT398=regle!$C$12,regle!$C$11,
IF(AT398=regle!$D$12,regle!$D$11,
IF(AT398=regle!$E$12,regle!$E$11,
IF(AT398=regle!$F$12,regle!$F$11,
IF(AT398=regle!$G$12,regle!$G$11,
IF(AT398=regle!$H$12,regle!$H$11,
IF(AT398=regle!$I$12,regle!$I$11,""))))))))))</f>
        <v/>
      </c>
      <c r="AA398" t="str">
        <f>IF(NOT($A398),"",
IF(AU398=-2,regle!$J$11,
IF(AU398=regle!$B$12,regle!$B$11,
IF(AU398=regle!$C$12,regle!$C$11,
IF(AU398=regle!$D$12,regle!$D$11,
IF(AU398=regle!$E$12,regle!$E$11,
IF(AU398=regle!$F$12,regle!$F$11,
IF(AU398=regle!$G$12,regle!$G$11,
IF(AU398=regle!$H$12,regle!$H$11,
IF(AU398=regle!$I$12,regle!$I$11,""))))))))))</f>
        <v/>
      </c>
      <c r="AB398" t="str">
        <f>IF(NOT($A398),"",
IF(AV398=-2,regle!$J$11,
IF(AV398=regle!$B$12,regle!$B$11,
IF(AV398=regle!$C$12,regle!$C$11,
IF(AV398=regle!$D$12,regle!$D$11,
IF(AV398=regle!$E$12,regle!$E$11,
IF(AV398=regle!$F$12,regle!$F$11,
IF(AV398=regle!$G$12,regle!$G$11,
IF(AV398=regle!$H$12,regle!$H$11,
IF(AV398=regle!$I$12,regle!$I$11,""))))))))))</f>
        <v/>
      </c>
      <c r="AC398" t="str">
        <f>IF(NOT($A398),"",
IF(AW398=-2,regle!$J$11,
IF(AW398=regle!$B$12,regle!$B$11,
IF(AW398=regle!$C$12,regle!$C$11,
IF(AW398=regle!$D$12,regle!$D$11,
IF(AW398=regle!$E$12,regle!$E$11,
IF(AW398=regle!$F$12,regle!$F$11,
IF(AW398=regle!$G$12,regle!$G$11,
IF(AW398=regle!$H$12,regle!$H$11,
IF(AW398=regle!$I$12,regle!$I$11,""))))))))))</f>
        <v/>
      </c>
      <c r="AD398" t="str">
        <f>IF(NOT($A398),"",
IF(AX398=-2,regle!$J$11,
IF(AX398=regle!$B$12,regle!$B$11,
IF(AX398=regle!$C$12,regle!$C$11,
IF(AX398=regle!$D$12,regle!$D$11,
IF(AX398=regle!$E$12,regle!$E$11,
IF(AX398=regle!$F$12,regle!$F$11,
IF(AX398=regle!$G$12,regle!$G$11,
IF(AX398=regle!$H$12,regle!$H$11,
IF(AX398=regle!$I$12,regle!$I$11,""))))))))))</f>
        <v/>
      </c>
      <c r="AE398" s="14" t="b">
        <f>IF($A398,$M398*(IF(U398=regle!$B$11,regle!$B$23,IF(U398=regle!$C$11,regle!$C$23,IF(U398=regle!$D$11,regle!$D$23,IF(U398=regle!$E$11,regle!$E$23,IF(U398=regle!$F$11,regle!$F$23,IF(U398=regle!$G$11,regle!$G$23,IF(U398=regle!$H$11,regle!$H$23,IF(U398=regle!$I$11,regle!$I$23,IF(U398=regle!$J$11,regle!$J$23,0)))))))))))</f>
        <v>0</v>
      </c>
      <c r="AF398" s="14" t="b">
        <f>IF($A398,$M398*(IF(V398=regle!$B$11,regle!$B$23,IF(V398=regle!$C$11,regle!$C$23,IF(V398=regle!$D$11,regle!$D$23,IF(V398=regle!$E$11,regle!$E$23,IF(V398=regle!$F$11,regle!$F$23,IF(V398=regle!$G$11,regle!$G$23,IF(V398=regle!$H$11,regle!$H$23,IF(V398=regle!$I$11,regle!$I$23,IF(V398=regle!$J$11,regle!$J$23,0)))))))))))</f>
        <v>0</v>
      </c>
      <c r="AG398" s="14" t="b">
        <f>IF($A398,$M398*(IF(W398=regle!$B$11,regle!$B$23,IF(W398=regle!$C$11,regle!$C$23,IF(W398=regle!$D$11,regle!$D$23,IF(W398=regle!$E$11,regle!$E$23,IF(W398=regle!$F$11,regle!$F$23,IF(W398=regle!$G$11,regle!$G$23,IF(W398=regle!$H$11,regle!$H$23,IF(W398=regle!$I$11,regle!$I$23,IF(W398=regle!$J$11,regle!$J$23,0)))))))))))</f>
        <v>0</v>
      </c>
      <c r="AH398" s="14" t="b">
        <f>IF($A398,$M398*(IF(X398=regle!$B$11,regle!$B$23,IF(X398=regle!$C$11,regle!$C$23,IF(X398=regle!$D$11,regle!$D$23,IF(X398=regle!$E$11,regle!$E$23,IF(X398=regle!$F$11,regle!$F$23,IF(X398=regle!$G$11,regle!$G$23,IF(X398=regle!$H$11,regle!$H$23,IF(X398=regle!$I$11,regle!$I$23,IF(X398=regle!$J$11,regle!$J$23,0)))))))))))</f>
        <v>0</v>
      </c>
      <c r="AI398" s="14" t="b">
        <f>IF($A398,$M398*(IF(Y398=regle!$B$11,regle!$B$23,IF(Y398=regle!$C$11,regle!$C$23,IF(Y398=regle!$D$11,regle!$D$23,IF(Y398=regle!$E$11,regle!$E$23,IF(Y398=regle!$F$11,regle!$F$23,IF(Y398=regle!$G$11,regle!$G$23,IF(Y398=regle!$H$11,regle!$H$23,IF(Y398=regle!$I$11,regle!$I$23,IF(Y398=regle!$J$11,regle!$J$23,0)))))))))))</f>
        <v>0</v>
      </c>
      <c r="AJ398" s="14" t="b">
        <f>IF($A398,$M398*(IF(Z398=regle!$B$11,regle!$B$23,IF(Z398=regle!$C$11,regle!$C$23,IF(Z398=regle!$D$11,regle!$D$23,IF(Z398=regle!$E$11,regle!$E$23,IF(Z398=regle!$F$11,regle!$F$23,IF(Z398=regle!$G$11,regle!$G$23,IF(Z398=regle!$H$11,regle!$H$23,IF(Z398=regle!$I$11,regle!$I$23,IF(Z398=regle!$J$11,regle!$J$23,0)))))))))))</f>
        <v>0</v>
      </c>
      <c r="AK398" s="14" t="b">
        <f>IF($A398,$M398*(IF(AA398=regle!$B$11,regle!$B$23,IF(AA398=regle!$C$11,regle!$C$23,IF(AA398=regle!$D$11,regle!$D$23,IF(AA398=regle!$E$11,regle!$E$23,IF(AA398=regle!$F$11,regle!$F$23,IF(AA398=regle!$G$11,regle!$G$23,IF(AA398=regle!$H$11,regle!$H$23,IF(AA398=regle!$I$11,regle!$I$23,IF(AA398=regle!$J$11,regle!$J$23,0)))))))))))</f>
        <v>0</v>
      </c>
      <c r="AL398" s="14" t="b">
        <f>IF($A398,$M398*(IF(AB398=regle!$B$11,regle!$B$23,IF(AB398=regle!$C$11,regle!$C$23,IF(AB398=regle!$D$11,regle!$D$23,IF(AB398=regle!$E$11,regle!$E$23,IF(AB398=regle!$F$11,regle!$F$23,IF(AB398=regle!$G$11,regle!$G$23,IF(AB398=regle!$H$11,regle!$H$23,IF(AB398=regle!$I$11,regle!$I$23,IF(AB398=regle!$J$11,regle!$J$23,0)))))))))))</f>
        <v>0</v>
      </c>
      <c r="AM398" s="14" t="b">
        <f>IF($A398,$M398*(IF(AC398=regle!$B$11,regle!$B$23,IF(AC398=regle!$C$11,regle!$C$23,IF(AC398=regle!$D$11,regle!$D$23,IF(AC398=regle!$E$11,regle!$E$23,IF(AC398=regle!$F$11,regle!$F$23,IF(AC398=regle!$G$11,regle!$G$23,IF(AC398=regle!$H$11,regle!$H$23,IF(AC398=regle!$I$11,regle!$I$23,IF(AC398=regle!$J$11,regle!$J$23,0)))))))))))</f>
        <v>0</v>
      </c>
      <c r="AN398" s="14" t="b">
        <f>IF($A398,$M398*(IF(AD398=regle!$B$11,regle!$B$23,IF(AD398=regle!$C$11,regle!$C$23,IF(AD398=regle!$D$11,regle!$D$23,IF(AD398=regle!$E$11,regle!$E$23,IF(AD398=regle!$F$11,regle!$F$23,IF(AD398=regle!$G$11,regle!$G$23,IF(AD398=regle!$H$11,regle!$H$23,IF(AD398=regle!$I$11,regle!$I$23,IF(AD398=regle!$J$11,regle!$J$23,0)))))))))))</f>
        <v>0</v>
      </c>
      <c r="AO398">
        <f>IF(AO$1=$AO$1,IF(regle!B$2-$Q398&gt;=regle!$J$12,-2,IF($S398,IF(regle!$B$2-$Q398&gt;=2,0,-1),regle!B$2-$Q398)),IF(AN398+1&gt;=regle!$J$12,-2,AN398+1))</f>
        <v>39</v>
      </c>
      <c r="AP398">
        <f>IF(AP$1=$AO$1,IF(regle!C$2-$Q398&gt;=regle!$J$12,-2,IF($S398,IF(regle!$B$2-$Q398&gt;=2,0,-1),regle!C$2-$Q398)),IF(AO398+1&gt;=regle!$J$12,-2,AO398+1))</f>
        <v>-2</v>
      </c>
      <c r="AQ398">
        <f>IF(AQ$1=$AO$1,IF(regle!D$2-$Q398&gt;=regle!$J$12,-2,IF($S398,IF(regle!$B$2-$Q398&gt;=2,0,-1),regle!D$2-$Q398)),IF(AP398+1&gt;=regle!$J$12,-2,AP398+1))</f>
        <v>-1</v>
      </c>
      <c r="AR398">
        <f>IF(AR$1=$AO$1,IF(regle!E$2-$Q398&gt;=regle!$J$12,-2,IF($S398,IF(regle!$B$2-$Q398&gt;=2,0,-1),regle!E$2-$Q398)),IF(AQ398+1&gt;=regle!$J$12,-2,AQ398+1))</f>
        <v>0</v>
      </c>
      <c r="AS398">
        <f>IF(AS$1=$AO$1,IF(regle!F$2-$Q398&gt;=regle!$J$12,-2,IF($S398,IF(regle!$B$2-$Q398&gt;=2,0,-1),regle!F$2-$Q398)),IF(AR398+1&gt;=regle!$J$12,-2,AR398+1))</f>
        <v>1</v>
      </c>
      <c r="AT398">
        <f>IF(AT$1=$AO$1,IF(regle!G$2-$Q398&gt;=regle!$J$12,-2,IF($S398,IF(regle!$B$2-$Q398&gt;=2,0,-1),regle!G$2-$Q398)),IF(AS398+1&gt;=regle!$J$12,-2,AS398+1))</f>
        <v>2</v>
      </c>
      <c r="AU398">
        <f>IF(AU$1=$AO$1,IF(regle!H$2-$Q398&gt;=regle!$J$12,-2,IF($S398,IF(regle!$B$2-$Q398&gt;=2,0,-1),regle!H$2-$Q398)),IF(AT398+1&gt;=regle!$J$12,-2,AT398+1))</f>
        <v>3</v>
      </c>
      <c r="AV398">
        <f>IF(AV$1=$AO$1,IF(regle!I$2-$Q398&gt;=regle!$J$12,-2,IF($S398,IF(regle!$B$2-$Q398&gt;=2,0,-1),regle!I$2-$Q398)),IF(AU398+1&gt;=regle!$J$12,-2,AU398+1))</f>
        <v>4</v>
      </c>
      <c r="AW398">
        <f>IF(AW$1=$AO$1,IF(regle!J$2-$Q398&gt;=regle!$J$12,-2,IF($S398,IF(regle!$B$2-$Q398&gt;=2,0,-1),regle!J$2-$Q398)),IF(AV398+1&gt;=regle!$J$12,-2,AV398+1))</f>
        <v>5</v>
      </c>
      <c r="AX398">
        <f>IF(AX$1=$AO$1,IF(regle!K$2-$Q398&gt;=regle!$J$12,-2,IF($S398,IF(regle!$B$2-$Q398&gt;=2,0,-1),regle!K$2-$Q398)),IF(AW398+1&gt;=regle!$J$12,-2,AW398+1))</f>
        <v>6</v>
      </c>
    </row>
    <row r="399" spans="1:50" x14ac:dyDescent="0.25">
      <c r="A399" t="b">
        <f>AND(modif0[[#This Row],[cdstr]]&lt;&gt;0,OR(regle!$H$27=FALSE,modif0[[#This Row],[essnc]]="PM"))</f>
        <v>0</v>
      </c>
      <c r="B399">
        <f>ROW(objet!A112)</f>
        <v>112</v>
      </c>
      <c r="C399" s="10" t="str">
        <f>objet!D112</f>
        <v>5360000A0847</v>
      </c>
      <c r="D399" t="str">
        <f>LEFT(modif0[[#This Row],[cdstr]],3)</f>
        <v>536</v>
      </c>
      <c r="E399" s="10" t="str">
        <f>objet!G112</f>
        <v>LE TUZAN</v>
      </c>
      <c r="F399">
        <f>LEN(modif0[[#This Row],[l_dt]])</f>
        <v>21</v>
      </c>
      <c r="G399" s="10" t="str">
        <f>objet!H112</f>
        <v>METAIRIES DE TABARTON</v>
      </c>
      <c r="H399" s="10" t="str">
        <f>objet!C112</f>
        <v>A847f</v>
      </c>
      <c r="I399" t="str">
        <f>IF(ISNUMBER(VALUE(RIGHT(LEFT(modif0[[#This Row],[idntfn]],2),1))),_xlfn.CONCAT(0,LEFT(modif0[[#This Row],[idntfn]],1)),LEFT(modif0[[#This Row],[idntfn]],2))</f>
        <v>0A</v>
      </c>
      <c r="J399">
        <f>VALUE(LEFT(RIGHT(modif0[[#This Row],[idntfn]],LEN(modif0[[#This Row],[idntfn]])-IF(LEFT(modif0[[#This Row],[sctn]],1)="0",1,2)),LEN(modif0[[#This Row],[idntfn]])-IF(LEFT(modif0[[#This Row],[sctn]],1)="0",1,2)-LEN(modif0[[#This Row],[lttr]])))</f>
        <v>847</v>
      </c>
      <c r="K399" t="str">
        <f>IF(ISNUMBER(VALUE(RIGHT(modif0[[#This Row],[idntfn]],1))),"",IF(ISNUMBER(VALUE(LEFT(RIGHT(modif0[[#This Row],[idntfn]],2),1))),RIGHT(modif0[[#This Row],[idntfn]],1),RIGHT(modif0[[#This Row],[idntfn]],2)))</f>
        <v>f</v>
      </c>
      <c r="L399" s="10">
        <f>objet!I112</f>
        <v>1313</v>
      </c>
      <c r="M399" s="11">
        <f>modif0[[#This Row],[srfc]]/10000</f>
        <v>0.1313</v>
      </c>
      <c r="N399" s="10" t="str">
        <f>objet!Z112</f>
        <v>FEUIL</v>
      </c>
      <c r="O399" s="10" t="str">
        <f>objet!AA112</f>
        <v>TAIL1985</v>
      </c>
      <c r="P399" t="str">
        <f>IF(ISNUMBER(modif0[[#This Row],[trvx]]),"",LEFT(modif0[[#This Row],[trvx]],LEN(modif0[[#This Row],[trvx]])-4))</f>
        <v>TAIL</v>
      </c>
      <c r="Q399">
        <f>VALUE(RIGHT(modif0[[#This Row],[trvx]],4))</f>
        <v>1985</v>
      </c>
      <c r="R399" t="str">
        <f>_xlfn.CONCAT(modif0[[#This Row],[tp]],"-",modif0[[#This Row],[essnc]],"_",modif0[[#This Row],[anns]])</f>
        <v>TAIL-FEUIL_1985</v>
      </c>
      <c r="S399" t="b">
        <f>modif0[[#This Row],[tp]]="CR"</f>
        <v>0</v>
      </c>
      <c r="T399">
        <v>40</v>
      </c>
      <c r="U399" t="str">
        <f>IF(NOT($A399),"",
IF(AO399=-2,regle!$J$11,
IF(AO399=regle!$B$12,regle!$B$11,
IF(AO399=regle!$C$12,regle!$C$11,
IF(AO399=regle!$D$12,regle!$D$11,
IF(AO399=regle!$E$12,regle!$E$11,
IF(AO399=regle!$F$12,regle!$F$11,
IF(AO399=regle!$G$12,regle!$G$11,
IF(AO399=regle!$H$12,regle!$H$11,
IF(AO399=regle!$I$12,regle!$I$11,""))))))))))</f>
        <v/>
      </c>
      <c r="V399" t="str">
        <f>IF(NOT($A399),"",
IF(AP399=-2,regle!$J$11,
IF(AP399=regle!$B$12,regle!$B$11,
IF(AP399=regle!$C$12,regle!$C$11,
IF(AP399=regle!$D$12,regle!$D$11,
IF(AP399=regle!$E$12,regle!$E$11,
IF(AP399=regle!$F$12,regle!$F$11,
IF(AP399=regle!$G$12,regle!$G$11,
IF(AP399=regle!$H$12,regle!$H$11,
IF(AP399=regle!$I$12,regle!$I$11,""))))))))))</f>
        <v/>
      </c>
      <c r="W399" t="str">
        <f>IF(NOT($A399),"",
IF(AQ399=-2,regle!$J$11,
IF(AQ399=regle!$B$12,regle!$B$11,
IF(AQ399=regle!$C$12,regle!$C$11,
IF(AQ399=regle!$D$12,regle!$D$11,
IF(AQ399=regle!$E$12,regle!$E$11,
IF(AQ399=regle!$F$12,regle!$F$11,
IF(AQ399=regle!$G$12,regle!$G$11,
IF(AQ399=regle!$H$12,regle!$H$11,
IF(AQ399=regle!$I$12,regle!$I$11,""))))))))))</f>
        <v/>
      </c>
      <c r="X399" t="str">
        <f>IF(NOT($A399),"",
IF(AR399=-2,regle!$J$11,
IF(AR399=regle!$B$12,regle!$B$11,
IF(AR399=regle!$C$12,regle!$C$11,
IF(AR399=regle!$D$12,regle!$D$11,
IF(AR399=regle!$E$12,regle!$E$11,
IF(AR399=regle!$F$12,regle!$F$11,
IF(AR399=regle!$G$12,regle!$G$11,
IF(AR399=regle!$H$12,regle!$H$11,
IF(AR399=regle!$I$12,regle!$I$11,""))))))))))</f>
        <v/>
      </c>
      <c r="Y399" t="str">
        <f>IF(NOT($A399),"",
IF(AS399=-2,regle!$J$11,
IF(AS399=regle!$B$12,regle!$B$11,
IF(AS399=regle!$C$12,regle!$C$11,
IF(AS399=regle!$D$12,regle!$D$11,
IF(AS399=regle!$E$12,regle!$E$11,
IF(AS399=regle!$F$12,regle!$F$11,
IF(AS399=regle!$G$12,regle!$G$11,
IF(AS399=regle!$H$12,regle!$H$11,
IF(AS399=regle!$I$12,regle!$I$11,""))))))))))</f>
        <v/>
      </c>
      <c r="Z399" t="str">
        <f>IF(NOT($A399),"",
IF(AT399=-2,regle!$J$11,
IF(AT399=regle!$B$12,regle!$B$11,
IF(AT399=regle!$C$12,regle!$C$11,
IF(AT399=regle!$D$12,regle!$D$11,
IF(AT399=regle!$E$12,regle!$E$11,
IF(AT399=regle!$F$12,regle!$F$11,
IF(AT399=regle!$G$12,regle!$G$11,
IF(AT399=regle!$H$12,regle!$H$11,
IF(AT399=regle!$I$12,regle!$I$11,""))))))))))</f>
        <v/>
      </c>
      <c r="AA399" t="str">
        <f>IF(NOT($A399),"",
IF(AU399=-2,regle!$J$11,
IF(AU399=regle!$B$12,regle!$B$11,
IF(AU399=regle!$C$12,regle!$C$11,
IF(AU399=regle!$D$12,regle!$D$11,
IF(AU399=regle!$E$12,regle!$E$11,
IF(AU399=regle!$F$12,regle!$F$11,
IF(AU399=regle!$G$12,regle!$G$11,
IF(AU399=regle!$H$12,regle!$H$11,
IF(AU399=regle!$I$12,regle!$I$11,""))))))))))</f>
        <v/>
      </c>
      <c r="AB399" t="str">
        <f>IF(NOT($A399),"",
IF(AV399=-2,regle!$J$11,
IF(AV399=regle!$B$12,regle!$B$11,
IF(AV399=regle!$C$12,regle!$C$11,
IF(AV399=regle!$D$12,regle!$D$11,
IF(AV399=regle!$E$12,regle!$E$11,
IF(AV399=regle!$F$12,regle!$F$11,
IF(AV399=regle!$G$12,regle!$G$11,
IF(AV399=regle!$H$12,regle!$H$11,
IF(AV399=regle!$I$12,regle!$I$11,""))))))))))</f>
        <v/>
      </c>
      <c r="AC399" t="str">
        <f>IF(NOT($A399),"",
IF(AW399=-2,regle!$J$11,
IF(AW399=regle!$B$12,regle!$B$11,
IF(AW399=regle!$C$12,regle!$C$11,
IF(AW399=regle!$D$12,regle!$D$11,
IF(AW399=regle!$E$12,regle!$E$11,
IF(AW399=regle!$F$12,regle!$F$11,
IF(AW399=regle!$G$12,regle!$G$11,
IF(AW399=regle!$H$12,regle!$H$11,
IF(AW399=regle!$I$12,regle!$I$11,""))))))))))</f>
        <v/>
      </c>
      <c r="AD399" t="str">
        <f>IF(NOT($A399),"",
IF(AX399=-2,regle!$J$11,
IF(AX399=regle!$B$12,regle!$B$11,
IF(AX399=regle!$C$12,regle!$C$11,
IF(AX399=regle!$D$12,regle!$D$11,
IF(AX399=regle!$E$12,regle!$E$11,
IF(AX399=regle!$F$12,regle!$F$11,
IF(AX399=regle!$G$12,regle!$G$11,
IF(AX399=regle!$H$12,regle!$H$11,
IF(AX399=regle!$I$12,regle!$I$11,""))))))))))</f>
        <v/>
      </c>
      <c r="AE399" s="14" t="b">
        <f>IF($A399,$M399*(IF(U399=regle!$B$11,regle!$B$23,IF(U399=regle!$C$11,regle!$C$23,IF(U399=regle!$D$11,regle!$D$23,IF(U399=regle!$E$11,regle!$E$23,IF(U399=regle!$F$11,regle!$F$23,IF(U399=regle!$G$11,regle!$G$23,IF(U399=regle!$H$11,regle!$H$23,IF(U399=regle!$I$11,regle!$I$23,IF(U399=regle!$J$11,regle!$J$23,0)))))))))))</f>
        <v>0</v>
      </c>
      <c r="AF399" s="14" t="b">
        <f>IF($A399,$M399*(IF(V399=regle!$B$11,regle!$B$23,IF(V399=regle!$C$11,regle!$C$23,IF(V399=regle!$D$11,regle!$D$23,IF(V399=regle!$E$11,regle!$E$23,IF(V399=regle!$F$11,regle!$F$23,IF(V399=regle!$G$11,regle!$G$23,IF(V399=regle!$H$11,regle!$H$23,IF(V399=regle!$I$11,regle!$I$23,IF(V399=regle!$J$11,regle!$J$23,0)))))))))))</f>
        <v>0</v>
      </c>
      <c r="AG399" s="14" t="b">
        <f>IF($A399,$M399*(IF(W399=regle!$B$11,regle!$B$23,IF(W399=regle!$C$11,regle!$C$23,IF(W399=regle!$D$11,regle!$D$23,IF(W399=regle!$E$11,regle!$E$23,IF(W399=regle!$F$11,regle!$F$23,IF(W399=regle!$G$11,regle!$G$23,IF(W399=regle!$H$11,regle!$H$23,IF(W399=regle!$I$11,regle!$I$23,IF(W399=regle!$J$11,regle!$J$23,0)))))))))))</f>
        <v>0</v>
      </c>
      <c r="AH399" s="14" t="b">
        <f>IF($A399,$M399*(IF(X399=regle!$B$11,regle!$B$23,IF(X399=regle!$C$11,regle!$C$23,IF(X399=regle!$D$11,regle!$D$23,IF(X399=regle!$E$11,regle!$E$23,IF(X399=regle!$F$11,regle!$F$23,IF(X399=regle!$G$11,regle!$G$23,IF(X399=regle!$H$11,regle!$H$23,IF(X399=regle!$I$11,regle!$I$23,IF(X399=regle!$J$11,regle!$J$23,0)))))))))))</f>
        <v>0</v>
      </c>
      <c r="AI399" s="14" t="b">
        <f>IF($A399,$M399*(IF(Y399=regle!$B$11,regle!$B$23,IF(Y399=regle!$C$11,regle!$C$23,IF(Y399=regle!$D$11,regle!$D$23,IF(Y399=regle!$E$11,regle!$E$23,IF(Y399=regle!$F$11,regle!$F$23,IF(Y399=regle!$G$11,regle!$G$23,IF(Y399=regle!$H$11,regle!$H$23,IF(Y399=regle!$I$11,regle!$I$23,IF(Y399=regle!$J$11,regle!$J$23,0)))))))))))</f>
        <v>0</v>
      </c>
      <c r="AJ399" s="14" t="b">
        <f>IF($A399,$M399*(IF(Z399=regle!$B$11,regle!$B$23,IF(Z399=regle!$C$11,regle!$C$23,IF(Z399=regle!$D$11,regle!$D$23,IF(Z399=regle!$E$11,regle!$E$23,IF(Z399=regle!$F$11,regle!$F$23,IF(Z399=regle!$G$11,regle!$G$23,IF(Z399=regle!$H$11,regle!$H$23,IF(Z399=regle!$I$11,regle!$I$23,IF(Z399=regle!$J$11,regle!$J$23,0)))))))))))</f>
        <v>0</v>
      </c>
      <c r="AK399" s="14" t="b">
        <f>IF($A399,$M399*(IF(AA399=regle!$B$11,regle!$B$23,IF(AA399=regle!$C$11,regle!$C$23,IF(AA399=regle!$D$11,regle!$D$23,IF(AA399=regle!$E$11,regle!$E$23,IF(AA399=regle!$F$11,regle!$F$23,IF(AA399=regle!$G$11,regle!$G$23,IF(AA399=regle!$H$11,regle!$H$23,IF(AA399=regle!$I$11,regle!$I$23,IF(AA399=regle!$J$11,regle!$J$23,0)))))))))))</f>
        <v>0</v>
      </c>
      <c r="AL399" s="14" t="b">
        <f>IF($A399,$M399*(IF(AB399=regle!$B$11,regle!$B$23,IF(AB399=regle!$C$11,regle!$C$23,IF(AB399=regle!$D$11,regle!$D$23,IF(AB399=regle!$E$11,regle!$E$23,IF(AB399=regle!$F$11,regle!$F$23,IF(AB399=regle!$G$11,regle!$G$23,IF(AB399=regle!$H$11,regle!$H$23,IF(AB399=regle!$I$11,regle!$I$23,IF(AB399=regle!$J$11,regle!$J$23,0)))))))))))</f>
        <v>0</v>
      </c>
      <c r="AM399" s="14" t="b">
        <f>IF($A399,$M399*(IF(AC399=regle!$B$11,regle!$B$23,IF(AC399=regle!$C$11,regle!$C$23,IF(AC399=regle!$D$11,regle!$D$23,IF(AC399=regle!$E$11,regle!$E$23,IF(AC399=regle!$F$11,regle!$F$23,IF(AC399=regle!$G$11,regle!$G$23,IF(AC399=regle!$H$11,regle!$H$23,IF(AC399=regle!$I$11,regle!$I$23,IF(AC399=regle!$J$11,regle!$J$23,0)))))))))))</f>
        <v>0</v>
      </c>
      <c r="AN399" s="14" t="b">
        <f>IF($A399,$M399*(IF(AD399=regle!$B$11,regle!$B$23,IF(AD399=regle!$C$11,regle!$C$23,IF(AD399=regle!$D$11,regle!$D$23,IF(AD399=regle!$E$11,regle!$E$23,IF(AD399=regle!$F$11,regle!$F$23,IF(AD399=regle!$G$11,regle!$G$23,IF(AD399=regle!$H$11,regle!$H$23,IF(AD399=regle!$I$11,regle!$I$23,IF(AD399=regle!$J$11,regle!$J$23,0)))))))))))</f>
        <v>0</v>
      </c>
      <c r="AO399">
        <f>IF(AO$1=$AO$1,IF(regle!B$2-$Q399&gt;=regle!$J$12,-2,IF($S399,IF(regle!$B$2-$Q399&gt;=2,0,-1),regle!B$2-$Q399)),IF(AN399+1&gt;=regle!$J$12,-2,AN399+1))</f>
        <v>39</v>
      </c>
      <c r="AP399">
        <f>IF(AP$1=$AO$1,IF(regle!C$2-$Q399&gt;=regle!$J$12,-2,IF($S399,IF(regle!$B$2-$Q399&gt;=2,0,-1),regle!C$2-$Q399)),IF(AO399+1&gt;=regle!$J$12,-2,AO399+1))</f>
        <v>-2</v>
      </c>
      <c r="AQ399">
        <f>IF(AQ$1=$AO$1,IF(regle!D$2-$Q399&gt;=regle!$J$12,-2,IF($S399,IF(regle!$B$2-$Q399&gt;=2,0,-1),regle!D$2-$Q399)),IF(AP399+1&gt;=regle!$J$12,-2,AP399+1))</f>
        <v>-1</v>
      </c>
      <c r="AR399">
        <f>IF(AR$1=$AO$1,IF(regle!E$2-$Q399&gt;=regle!$J$12,-2,IF($S399,IF(regle!$B$2-$Q399&gt;=2,0,-1),regle!E$2-$Q399)),IF(AQ399+1&gt;=regle!$J$12,-2,AQ399+1))</f>
        <v>0</v>
      </c>
      <c r="AS399">
        <f>IF(AS$1=$AO$1,IF(regle!F$2-$Q399&gt;=regle!$J$12,-2,IF($S399,IF(regle!$B$2-$Q399&gt;=2,0,-1),regle!F$2-$Q399)),IF(AR399+1&gt;=regle!$J$12,-2,AR399+1))</f>
        <v>1</v>
      </c>
      <c r="AT399">
        <f>IF(AT$1=$AO$1,IF(regle!G$2-$Q399&gt;=regle!$J$12,-2,IF($S399,IF(regle!$B$2-$Q399&gt;=2,0,-1),regle!G$2-$Q399)),IF(AS399+1&gt;=regle!$J$12,-2,AS399+1))</f>
        <v>2</v>
      </c>
      <c r="AU399">
        <f>IF(AU$1=$AO$1,IF(regle!H$2-$Q399&gt;=regle!$J$12,-2,IF($S399,IF(regle!$B$2-$Q399&gt;=2,0,-1),regle!H$2-$Q399)),IF(AT399+1&gt;=regle!$J$12,-2,AT399+1))</f>
        <v>3</v>
      </c>
      <c r="AV399">
        <f>IF(AV$1=$AO$1,IF(regle!I$2-$Q399&gt;=regle!$J$12,-2,IF($S399,IF(regle!$B$2-$Q399&gt;=2,0,-1),regle!I$2-$Q399)),IF(AU399+1&gt;=regle!$J$12,-2,AU399+1))</f>
        <v>4</v>
      </c>
      <c r="AW399">
        <f>IF(AW$1=$AO$1,IF(regle!J$2-$Q399&gt;=regle!$J$12,-2,IF($S399,IF(regle!$B$2-$Q399&gt;=2,0,-1),regle!J$2-$Q399)),IF(AV399+1&gt;=regle!$J$12,-2,AV399+1))</f>
        <v>5</v>
      </c>
      <c r="AX399">
        <f>IF(AX$1=$AO$1,IF(regle!K$2-$Q399&gt;=regle!$J$12,-2,IF($S399,IF(regle!$B$2-$Q399&gt;=2,0,-1),regle!K$2-$Q399)),IF(AW399+1&gt;=regle!$J$12,-2,AW399+1))</f>
        <v>6</v>
      </c>
    </row>
    <row r="400" spans="1:50" x14ac:dyDescent="0.25">
      <c r="A400" t="b">
        <f>AND(modif0[[#This Row],[cdstr]]&lt;&gt;0,OR(regle!$H$27=FALSE,modif0[[#This Row],[essnc]]="PM"))</f>
        <v>0</v>
      </c>
      <c r="B400">
        <f>ROW(objet!A113)</f>
        <v>113</v>
      </c>
      <c r="C400" s="10" t="str">
        <f>objet!D113</f>
        <v>5360000A0847</v>
      </c>
      <c r="D400" t="str">
        <f>LEFT(modif0[[#This Row],[cdstr]],3)</f>
        <v>536</v>
      </c>
      <c r="E400" s="10" t="str">
        <f>objet!G113</f>
        <v>LE TUZAN</v>
      </c>
      <c r="F400">
        <f>LEN(modif0[[#This Row],[l_dt]])</f>
        <v>21</v>
      </c>
      <c r="G400" s="10" t="str">
        <f>objet!H113</f>
        <v>METAIRIES DE TABARTON</v>
      </c>
      <c r="H400" s="10" t="str">
        <f>objet!C113</f>
        <v>A847j</v>
      </c>
      <c r="I400" t="str">
        <f>IF(ISNUMBER(VALUE(RIGHT(LEFT(modif0[[#This Row],[idntfn]],2),1))),_xlfn.CONCAT(0,LEFT(modif0[[#This Row],[idntfn]],1)),LEFT(modif0[[#This Row],[idntfn]],2))</f>
        <v>0A</v>
      </c>
      <c r="J400">
        <f>VALUE(LEFT(RIGHT(modif0[[#This Row],[idntfn]],LEN(modif0[[#This Row],[idntfn]])-IF(LEFT(modif0[[#This Row],[sctn]],1)="0",1,2)),LEN(modif0[[#This Row],[idntfn]])-IF(LEFT(modif0[[#This Row],[sctn]],1)="0",1,2)-LEN(modif0[[#This Row],[lttr]])))</f>
        <v>847</v>
      </c>
      <c r="K400" t="str">
        <f>IF(ISNUMBER(VALUE(RIGHT(modif0[[#This Row],[idntfn]],1))),"",IF(ISNUMBER(VALUE(LEFT(RIGHT(modif0[[#This Row],[idntfn]],2),1))),RIGHT(modif0[[#This Row],[idntfn]],1),RIGHT(modif0[[#This Row],[idntfn]],2)))</f>
        <v>j</v>
      </c>
      <c r="L400" s="10">
        <f>objet!I113</f>
        <v>6813</v>
      </c>
      <c r="M400" s="11">
        <f>modif0[[#This Row],[srfc]]/10000</f>
        <v>0.68130000000000002</v>
      </c>
      <c r="N400" s="10" t="str">
        <f>objet!Z113</f>
        <v>FEUIL</v>
      </c>
      <c r="O400" s="10" t="str">
        <f>objet!AA113</f>
        <v>TAIL1985</v>
      </c>
      <c r="P400" t="str">
        <f>IF(ISNUMBER(modif0[[#This Row],[trvx]]),"",LEFT(modif0[[#This Row],[trvx]],LEN(modif0[[#This Row],[trvx]])-4))</f>
        <v>TAIL</v>
      </c>
      <c r="Q400">
        <f>VALUE(RIGHT(modif0[[#This Row],[trvx]],4))</f>
        <v>1985</v>
      </c>
      <c r="R400" t="str">
        <f>_xlfn.CONCAT(modif0[[#This Row],[tp]],"-",modif0[[#This Row],[essnc]],"_",modif0[[#This Row],[anns]])</f>
        <v>TAIL-FEUIL_1985</v>
      </c>
      <c r="S400" t="b">
        <f>modif0[[#This Row],[tp]]="CR"</f>
        <v>0</v>
      </c>
      <c r="T400">
        <v>40</v>
      </c>
      <c r="U400" t="str">
        <f>IF(NOT($A400),"",
IF(AO400=-2,regle!$J$11,
IF(AO400=regle!$B$12,regle!$B$11,
IF(AO400=regle!$C$12,regle!$C$11,
IF(AO400=regle!$D$12,regle!$D$11,
IF(AO400=regle!$E$12,regle!$E$11,
IF(AO400=regle!$F$12,regle!$F$11,
IF(AO400=regle!$G$12,regle!$G$11,
IF(AO400=regle!$H$12,regle!$H$11,
IF(AO400=regle!$I$12,regle!$I$11,""))))))))))</f>
        <v/>
      </c>
      <c r="V400" t="str">
        <f>IF(NOT($A400),"",
IF(AP400=-2,regle!$J$11,
IF(AP400=regle!$B$12,regle!$B$11,
IF(AP400=regle!$C$12,regle!$C$11,
IF(AP400=regle!$D$12,regle!$D$11,
IF(AP400=regle!$E$12,regle!$E$11,
IF(AP400=regle!$F$12,regle!$F$11,
IF(AP400=regle!$G$12,regle!$G$11,
IF(AP400=regle!$H$12,regle!$H$11,
IF(AP400=regle!$I$12,regle!$I$11,""))))))))))</f>
        <v/>
      </c>
      <c r="W400" t="str">
        <f>IF(NOT($A400),"",
IF(AQ400=-2,regle!$J$11,
IF(AQ400=regle!$B$12,regle!$B$11,
IF(AQ400=regle!$C$12,regle!$C$11,
IF(AQ400=regle!$D$12,regle!$D$11,
IF(AQ400=regle!$E$12,regle!$E$11,
IF(AQ400=regle!$F$12,regle!$F$11,
IF(AQ400=regle!$G$12,regle!$G$11,
IF(AQ400=regle!$H$12,regle!$H$11,
IF(AQ400=regle!$I$12,regle!$I$11,""))))))))))</f>
        <v/>
      </c>
      <c r="X400" t="str">
        <f>IF(NOT($A400),"",
IF(AR400=-2,regle!$J$11,
IF(AR400=regle!$B$12,regle!$B$11,
IF(AR400=regle!$C$12,regle!$C$11,
IF(AR400=regle!$D$12,regle!$D$11,
IF(AR400=regle!$E$12,regle!$E$11,
IF(AR400=regle!$F$12,regle!$F$11,
IF(AR400=regle!$G$12,regle!$G$11,
IF(AR400=regle!$H$12,regle!$H$11,
IF(AR400=regle!$I$12,regle!$I$11,""))))))))))</f>
        <v/>
      </c>
      <c r="Y400" t="str">
        <f>IF(NOT($A400),"",
IF(AS400=-2,regle!$J$11,
IF(AS400=regle!$B$12,regle!$B$11,
IF(AS400=regle!$C$12,regle!$C$11,
IF(AS400=regle!$D$12,regle!$D$11,
IF(AS400=regle!$E$12,regle!$E$11,
IF(AS400=regle!$F$12,regle!$F$11,
IF(AS400=regle!$G$12,regle!$G$11,
IF(AS400=regle!$H$12,regle!$H$11,
IF(AS400=regle!$I$12,regle!$I$11,""))))))))))</f>
        <v/>
      </c>
      <c r="Z400" t="str">
        <f>IF(NOT($A400),"",
IF(AT400=-2,regle!$J$11,
IF(AT400=regle!$B$12,regle!$B$11,
IF(AT400=regle!$C$12,regle!$C$11,
IF(AT400=regle!$D$12,regle!$D$11,
IF(AT400=regle!$E$12,regle!$E$11,
IF(AT400=regle!$F$12,regle!$F$11,
IF(AT400=regle!$G$12,regle!$G$11,
IF(AT400=regle!$H$12,regle!$H$11,
IF(AT400=regle!$I$12,regle!$I$11,""))))))))))</f>
        <v/>
      </c>
      <c r="AA400" t="str">
        <f>IF(NOT($A400),"",
IF(AU400=-2,regle!$J$11,
IF(AU400=regle!$B$12,regle!$B$11,
IF(AU400=regle!$C$12,regle!$C$11,
IF(AU400=regle!$D$12,regle!$D$11,
IF(AU400=regle!$E$12,regle!$E$11,
IF(AU400=regle!$F$12,regle!$F$11,
IF(AU400=regle!$G$12,regle!$G$11,
IF(AU400=regle!$H$12,regle!$H$11,
IF(AU400=regle!$I$12,regle!$I$11,""))))))))))</f>
        <v/>
      </c>
      <c r="AB400" t="str">
        <f>IF(NOT($A400),"",
IF(AV400=-2,regle!$J$11,
IF(AV400=regle!$B$12,regle!$B$11,
IF(AV400=regle!$C$12,regle!$C$11,
IF(AV400=regle!$D$12,regle!$D$11,
IF(AV400=regle!$E$12,regle!$E$11,
IF(AV400=regle!$F$12,regle!$F$11,
IF(AV400=regle!$G$12,regle!$G$11,
IF(AV400=regle!$H$12,regle!$H$11,
IF(AV400=regle!$I$12,regle!$I$11,""))))))))))</f>
        <v/>
      </c>
      <c r="AC400" t="str">
        <f>IF(NOT($A400),"",
IF(AW400=-2,regle!$J$11,
IF(AW400=regle!$B$12,regle!$B$11,
IF(AW400=regle!$C$12,regle!$C$11,
IF(AW400=regle!$D$12,regle!$D$11,
IF(AW400=regle!$E$12,regle!$E$11,
IF(AW400=regle!$F$12,regle!$F$11,
IF(AW400=regle!$G$12,regle!$G$11,
IF(AW400=regle!$H$12,regle!$H$11,
IF(AW400=regle!$I$12,regle!$I$11,""))))))))))</f>
        <v/>
      </c>
      <c r="AD400" t="str">
        <f>IF(NOT($A400),"",
IF(AX400=-2,regle!$J$11,
IF(AX400=regle!$B$12,regle!$B$11,
IF(AX400=regle!$C$12,regle!$C$11,
IF(AX400=regle!$D$12,regle!$D$11,
IF(AX400=regle!$E$12,regle!$E$11,
IF(AX400=regle!$F$12,regle!$F$11,
IF(AX400=regle!$G$12,regle!$G$11,
IF(AX400=regle!$H$12,regle!$H$11,
IF(AX400=regle!$I$12,regle!$I$11,""))))))))))</f>
        <v/>
      </c>
      <c r="AE400" s="14" t="b">
        <f>IF($A400,$M400*(IF(U400=regle!$B$11,regle!$B$23,IF(U400=regle!$C$11,regle!$C$23,IF(U400=regle!$D$11,regle!$D$23,IF(U400=regle!$E$11,regle!$E$23,IF(U400=regle!$F$11,regle!$F$23,IF(U400=regle!$G$11,regle!$G$23,IF(U400=regle!$H$11,regle!$H$23,IF(U400=regle!$I$11,regle!$I$23,IF(U400=regle!$J$11,regle!$J$23,0)))))))))))</f>
        <v>0</v>
      </c>
      <c r="AF400" s="14" t="b">
        <f>IF($A400,$M400*(IF(V400=regle!$B$11,regle!$B$23,IF(V400=regle!$C$11,regle!$C$23,IF(V400=regle!$D$11,regle!$D$23,IF(V400=regle!$E$11,regle!$E$23,IF(V400=regle!$F$11,regle!$F$23,IF(V400=regle!$G$11,regle!$G$23,IF(V400=regle!$H$11,regle!$H$23,IF(V400=regle!$I$11,regle!$I$23,IF(V400=regle!$J$11,regle!$J$23,0)))))))))))</f>
        <v>0</v>
      </c>
      <c r="AG400" s="14" t="b">
        <f>IF($A400,$M400*(IF(W400=regle!$B$11,regle!$B$23,IF(W400=regle!$C$11,regle!$C$23,IF(W400=regle!$D$11,regle!$D$23,IF(W400=regle!$E$11,regle!$E$23,IF(W400=regle!$F$11,regle!$F$23,IF(W400=regle!$G$11,regle!$G$23,IF(W400=regle!$H$11,regle!$H$23,IF(W400=regle!$I$11,regle!$I$23,IF(W400=regle!$J$11,regle!$J$23,0)))))))))))</f>
        <v>0</v>
      </c>
      <c r="AH400" s="14" t="b">
        <f>IF($A400,$M400*(IF(X400=regle!$B$11,regle!$B$23,IF(X400=regle!$C$11,regle!$C$23,IF(X400=regle!$D$11,regle!$D$23,IF(X400=regle!$E$11,regle!$E$23,IF(X400=regle!$F$11,regle!$F$23,IF(X400=regle!$G$11,regle!$G$23,IF(X400=regle!$H$11,regle!$H$23,IF(X400=regle!$I$11,regle!$I$23,IF(X400=regle!$J$11,regle!$J$23,0)))))))))))</f>
        <v>0</v>
      </c>
      <c r="AI400" s="14" t="b">
        <f>IF($A400,$M400*(IF(Y400=regle!$B$11,regle!$B$23,IF(Y400=regle!$C$11,regle!$C$23,IF(Y400=regle!$D$11,regle!$D$23,IF(Y400=regle!$E$11,regle!$E$23,IF(Y400=regle!$F$11,regle!$F$23,IF(Y400=regle!$G$11,regle!$G$23,IF(Y400=regle!$H$11,regle!$H$23,IF(Y400=regle!$I$11,regle!$I$23,IF(Y400=regle!$J$11,regle!$J$23,0)))))))))))</f>
        <v>0</v>
      </c>
      <c r="AJ400" s="14" t="b">
        <f>IF($A400,$M400*(IF(Z400=regle!$B$11,regle!$B$23,IF(Z400=regle!$C$11,regle!$C$23,IF(Z400=regle!$D$11,regle!$D$23,IF(Z400=regle!$E$11,regle!$E$23,IF(Z400=regle!$F$11,regle!$F$23,IF(Z400=regle!$G$11,regle!$G$23,IF(Z400=regle!$H$11,regle!$H$23,IF(Z400=regle!$I$11,regle!$I$23,IF(Z400=regle!$J$11,regle!$J$23,0)))))))))))</f>
        <v>0</v>
      </c>
      <c r="AK400" s="14" t="b">
        <f>IF($A400,$M400*(IF(AA400=regle!$B$11,regle!$B$23,IF(AA400=regle!$C$11,regle!$C$23,IF(AA400=regle!$D$11,regle!$D$23,IF(AA400=regle!$E$11,regle!$E$23,IF(AA400=regle!$F$11,regle!$F$23,IF(AA400=regle!$G$11,regle!$G$23,IF(AA400=regle!$H$11,regle!$H$23,IF(AA400=regle!$I$11,regle!$I$23,IF(AA400=regle!$J$11,regle!$J$23,0)))))))))))</f>
        <v>0</v>
      </c>
      <c r="AL400" s="14" t="b">
        <f>IF($A400,$M400*(IF(AB400=regle!$B$11,regle!$B$23,IF(AB400=regle!$C$11,regle!$C$23,IF(AB400=regle!$D$11,regle!$D$23,IF(AB400=regle!$E$11,regle!$E$23,IF(AB400=regle!$F$11,regle!$F$23,IF(AB400=regle!$G$11,regle!$G$23,IF(AB400=regle!$H$11,regle!$H$23,IF(AB400=regle!$I$11,regle!$I$23,IF(AB400=regle!$J$11,regle!$J$23,0)))))))))))</f>
        <v>0</v>
      </c>
      <c r="AM400" s="14" t="b">
        <f>IF($A400,$M400*(IF(AC400=regle!$B$11,regle!$B$23,IF(AC400=regle!$C$11,regle!$C$23,IF(AC400=regle!$D$11,regle!$D$23,IF(AC400=regle!$E$11,regle!$E$23,IF(AC400=regle!$F$11,regle!$F$23,IF(AC400=regle!$G$11,regle!$G$23,IF(AC400=regle!$H$11,regle!$H$23,IF(AC400=regle!$I$11,regle!$I$23,IF(AC400=regle!$J$11,regle!$J$23,0)))))))))))</f>
        <v>0</v>
      </c>
      <c r="AN400" s="14" t="b">
        <f>IF($A400,$M400*(IF(AD400=regle!$B$11,regle!$B$23,IF(AD400=regle!$C$11,regle!$C$23,IF(AD400=regle!$D$11,regle!$D$23,IF(AD400=regle!$E$11,regle!$E$23,IF(AD400=regle!$F$11,regle!$F$23,IF(AD400=regle!$G$11,regle!$G$23,IF(AD400=regle!$H$11,regle!$H$23,IF(AD400=regle!$I$11,regle!$I$23,IF(AD400=regle!$J$11,regle!$J$23,0)))))))))))</f>
        <v>0</v>
      </c>
      <c r="AO400">
        <f>IF(AO$1=$AO$1,IF(regle!B$2-$Q400&gt;=regle!$J$12,-2,IF($S400,IF(regle!$B$2-$Q400&gt;=2,0,-1),regle!B$2-$Q400)),IF(AN400+1&gt;=regle!$J$12,-2,AN400+1))</f>
        <v>39</v>
      </c>
      <c r="AP400">
        <f>IF(AP$1=$AO$1,IF(regle!C$2-$Q400&gt;=regle!$J$12,-2,IF($S400,IF(regle!$B$2-$Q400&gt;=2,0,-1),regle!C$2-$Q400)),IF(AO400+1&gt;=regle!$J$12,-2,AO400+1))</f>
        <v>-2</v>
      </c>
      <c r="AQ400">
        <f>IF(AQ$1=$AO$1,IF(regle!D$2-$Q400&gt;=regle!$J$12,-2,IF($S400,IF(regle!$B$2-$Q400&gt;=2,0,-1),regle!D$2-$Q400)),IF(AP400+1&gt;=regle!$J$12,-2,AP400+1))</f>
        <v>-1</v>
      </c>
      <c r="AR400">
        <f>IF(AR$1=$AO$1,IF(regle!E$2-$Q400&gt;=regle!$J$12,-2,IF($S400,IF(regle!$B$2-$Q400&gt;=2,0,-1),regle!E$2-$Q400)),IF(AQ400+1&gt;=regle!$J$12,-2,AQ400+1))</f>
        <v>0</v>
      </c>
      <c r="AS400">
        <f>IF(AS$1=$AO$1,IF(regle!F$2-$Q400&gt;=regle!$J$12,-2,IF($S400,IF(regle!$B$2-$Q400&gt;=2,0,-1),regle!F$2-$Q400)),IF(AR400+1&gt;=regle!$J$12,-2,AR400+1))</f>
        <v>1</v>
      </c>
      <c r="AT400">
        <f>IF(AT$1=$AO$1,IF(regle!G$2-$Q400&gt;=regle!$J$12,-2,IF($S400,IF(regle!$B$2-$Q400&gt;=2,0,-1),regle!G$2-$Q400)),IF(AS400+1&gt;=regle!$J$12,-2,AS400+1))</f>
        <v>2</v>
      </c>
      <c r="AU400">
        <f>IF(AU$1=$AO$1,IF(regle!H$2-$Q400&gt;=regle!$J$12,-2,IF($S400,IF(regle!$B$2-$Q400&gt;=2,0,-1),regle!H$2-$Q400)),IF(AT400+1&gt;=regle!$J$12,-2,AT400+1))</f>
        <v>3</v>
      </c>
      <c r="AV400">
        <f>IF(AV$1=$AO$1,IF(regle!I$2-$Q400&gt;=regle!$J$12,-2,IF($S400,IF(regle!$B$2-$Q400&gt;=2,0,-1),regle!I$2-$Q400)),IF(AU400+1&gt;=regle!$J$12,-2,AU400+1))</f>
        <v>4</v>
      </c>
      <c r="AW400">
        <f>IF(AW$1=$AO$1,IF(regle!J$2-$Q400&gt;=regle!$J$12,-2,IF($S400,IF(regle!$B$2-$Q400&gt;=2,0,-1),regle!J$2-$Q400)),IF(AV400+1&gt;=regle!$J$12,-2,AV400+1))</f>
        <v>5</v>
      </c>
      <c r="AX400">
        <f>IF(AX$1=$AO$1,IF(regle!K$2-$Q400&gt;=regle!$J$12,-2,IF($S400,IF(regle!$B$2-$Q400&gt;=2,0,-1),regle!K$2-$Q400)),IF(AW400+1&gt;=regle!$J$12,-2,AW400+1))</f>
        <v>6</v>
      </c>
    </row>
    <row r="401" spans="1:50" x14ac:dyDescent="0.25">
      <c r="A401" t="b">
        <f>AND(modif0[[#This Row],[cdstr]]&lt;&gt;0,OR(regle!$H$27=FALSE,modif0[[#This Row],[essnc]]="PM"))</f>
        <v>0</v>
      </c>
      <c r="B401">
        <f>ROW(objet!A115)</f>
        <v>115</v>
      </c>
      <c r="C401" s="10" t="str">
        <f>objet!D115</f>
        <v>5360000A0847</v>
      </c>
      <c r="D401" t="str">
        <f>LEFT(modif0[[#This Row],[cdstr]],3)</f>
        <v>536</v>
      </c>
      <c r="E401" s="10" t="str">
        <f>objet!G115</f>
        <v>LE TUZAN</v>
      </c>
      <c r="F401">
        <f>LEN(modif0[[#This Row],[l_dt]])</f>
        <v>21</v>
      </c>
      <c r="G401" s="10" t="str">
        <f>objet!H115</f>
        <v>METAIRIES DE TABARTON</v>
      </c>
      <c r="H401" s="10" t="str">
        <f>objet!C115</f>
        <v>A847kk</v>
      </c>
      <c r="I401" t="str">
        <f>IF(ISNUMBER(VALUE(RIGHT(LEFT(modif0[[#This Row],[idntfn]],2),1))),_xlfn.CONCAT(0,LEFT(modif0[[#This Row],[idntfn]],1)),LEFT(modif0[[#This Row],[idntfn]],2))</f>
        <v>0A</v>
      </c>
      <c r="J401">
        <f>VALUE(LEFT(RIGHT(modif0[[#This Row],[idntfn]],LEN(modif0[[#This Row],[idntfn]])-IF(LEFT(modif0[[#This Row],[sctn]],1)="0",1,2)),LEN(modif0[[#This Row],[idntfn]])-IF(LEFT(modif0[[#This Row],[sctn]],1)="0",1,2)-LEN(modif0[[#This Row],[lttr]])))</f>
        <v>847</v>
      </c>
      <c r="K401" t="str">
        <f>IF(ISNUMBER(VALUE(RIGHT(modif0[[#This Row],[idntfn]],1))),"",IF(ISNUMBER(VALUE(LEFT(RIGHT(modif0[[#This Row],[idntfn]],2),1))),RIGHT(modif0[[#This Row],[idntfn]],1),RIGHT(modif0[[#This Row],[idntfn]],2)))</f>
        <v>kk</v>
      </c>
      <c r="L401" s="10">
        <f>objet!I115</f>
        <v>2114</v>
      </c>
      <c r="M401" s="11">
        <f>modif0[[#This Row],[srfc]]/10000</f>
        <v>0.2114</v>
      </c>
      <c r="N401" s="10" t="str">
        <f>objet!Z115</f>
        <v>FEUIL</v>
      </c>
      <c r="O401" s="10" t="str">
        <f>objet!AA115</f>
        <v>TAIL2003</v>
      </c>
      <c r="P401" t="str">
        <f>IF(ISNUMBER(modif0[[#This Row],[trvx]]),"",LEFT(modif0[[#This Row],[trvx]],LEN(modif0[[#This Row],[trvx]])-4))</f>
        <v>TAIL</v>
      </c>
      <c r="Q401">
        <f>VALUE(RIGHT(modif0[[#This Row],[trvx]],4))</f>
        <v>2003</v>
      </c>
      <c r="R401" t="str">
        <f>_xlfn.CONCAT(modif0[[#This Row],[tp]],"-",modif0[[#This Row],[essnc]],"_",modif0[[#This Row],[anns]])</f>
        <v>TAIL-FEUIL_2003</v>
      </c>
      <c r="S401" t="b">
        <f>modif0[[#This Row],[tp]]="CR"</f>
        <v>0</v>
      </c>
      <c r="T401">
        <v>40</v>
      </c>
      <c r="U401" t="str">
        <f>IF(NOT($A401),"",
IF(AO401=-2,regle!$J$11,
IF(AO401=regle!$B$12,regle!$B$11,
IF(AO401=regle!$C$12,regle!$C$11,
IF(AO401=regle!$D$12,regle!$D$11,
IF(AO401=regle!$E$12,regle!$E$11,
IF(AO401=regle!$F$12,regle!$F$11,
IF(AO401=regle!$G$12,regle!$G$11,
IF(AO401=regle!$H$12,regle!$H$11,
IF(AO401=regle!$I$12,regle!$I$11,""))))))))))</f>
        <v/>
      </c>
      <c r="V401" t="str">
        <f>IF(NOT($A401),"",
IF(AP401=-2,regle!$J$11,
IF(AP401=regle!$B$12,regle!$B$11,
IF(AP401=regle!$C$12,regle!$C$11,
IF(AP401=regle!$D$12,regle!$D$11,
IF(AP401=regle!$E$12,regle!$E$11,
IF(AP401=regle!$F$12,regle!$F$11,
IF(AP401=regle!$G$12,regle!$G$11,
IF(AP401=regle!$H$12,regle!$H$11,
IF(AP401=regle!$I$12,regle!$I$11,""))))))))))</f>
        <v/>
      </c>
      <c r="W401" t="str">
        <f>IF(NOT($A401),"",
IF(AQ401=-2,regle!$J$11,
IF(AQ401=regle!$B$12,regle!$B$11,
IF(AQ401=regle!$C$12,regle!$C$11,
IF(AQ401=regle!$D$12,regle!$D$11,
IF(AQ401=regle!$E$12,regle!$E$11,
IF(AQ401=regle!$F$12,regle!$F$11,
IF(AQ401=regle!$G$12,regle!$G$11,
IF(AQ401=regle!$H$12,regle!$H$11,
IF(AQ401=regle!$I$12,regle!$I$11,""))))))))))</f>
        <v/>
      </c>
      <c r="X401" t="str">
        <f>IF(NOT($A401),"",
IF(AR401=-2,regle!$J$11,
IF(AR401=regle!$B$12,regle!$B$11,
IF(AR401=regle!$C$12,regle!$C$11,
IF(AR401=regle!$D$12,regle!$D$11,
IF(AR401=regle!$E$12,regle!$E$11,
IF(AR401=regle!$F$12,regle!$F$11,
IF(AR401=regle!$G$12,regle!$G$11,
IF(AR401=regle!$H$12,regle!$H$11,
IF(AR401=regle!$I$12,regle!$I$11,""))))))))))</f>
        <v/>
      </c>
      <c r="Y401" t="str">
        <f>IF(NOT($A401),"",
IF(AS401=-2,regle!$J$11,
IF(AS401=regle!$B$12,regle!$B$11,
IF(AS401=regle!$C$12,regle!$C$11,
IF(AS401=regle!$D$12,regle!$D$11,
IF(AS401=regle!$E$12,regle!$E$11,
IF(AS401=regle!$F$12,regle!$F$11,
IF(AS401=regle!$G$12,regle!$G$11,
IF(AS401=regle!$H$12,regle!$H$11,
IF(AS401=regle!$I$12,regle!$I$11,""))))))))))</f>
        <v/>
      </c>
      <c r="Z401" t="str">
        <f>IF(NOT($A401),"",
IF(AT401=-2,regle!$J$11,
IF(AT401=regle!$B$12,regle!$B$11,
IF(AT401=regle!$C$12,regle!$C$11,
IF(AT401=regle!$D$12,regle!$D$11,
IF(AT401=regle!$E$12,regle!$E$11,
IF(AT401=regle!$F$12,regle!$F$11,
IF(AT401=regle!$G$12,regle!$G$11,
IF(AT401=regle!$H$12,regle!$H$11,
IF(AT401=regle!$I$12,regle!$I$11,""))))))))))</f>
        <v/>
      </c>
      <c r="AA401" t="str">
        <f>IF(NOT($A401),"",
IF(AU401=-2,regle!$J$11,
IF(AU401=regle!$B$12,regle!$B$11,
IF(AU401=regle!$C$12,regle!$C$11,
IF(AU401=regle!$D$12,regle!$D$11,
IF(AU401=regle!$E$12,regle!$E$11,
IF(AU401=regle!$F$12,regle!$F$11,
IF(AU401=regle!$G$12,regle!$G$11,
IF(AU401=regle!$H$12,regle!$H$11,
IF(AU401=regle!$I$12,regle!$I$11,""))))))))))</f>
        <v/>
      </c>
      <c r="AB401" t="str">
        <f>IF(NOT($A401),"",
IF(AV401=-2,regle!$J$11,
IF(AV401=regle!$B$12,regle!$B$11,
IF(AV401=regle!$C$12,regle!$C$11,
IF(AV401=regle!$D$12,regle!$D$11,
IF(AV401=regle!$E$12,regle!$E$11,
IF(AV401=regle!$F$12,regle!$F$11,
IF(AV401=regle!$G$12,regle!$G$11,
IF(AV401=regle!$H$12,regle!$H$11,
IF(AV401=regle!$I$12,regle!$I$11,""))))))))))</f>
        <v/>
      </c>
      <c r="AC401" t="str">
        <f>IF(NOT($A401),"",
IF(AW401=-2,regle!$J$11,
IF(AW401=regle!$B$12,regle!$B$11,
IF(AW401=regle!$C$12,regle!$C$11,
IF(AW401=regle!$D$12,regle!$D$11,
IF(AW401=regle!$E$12,regle!$E$11,
IF(AW401=regle!$F$12,regle!$F$11,
IF(AW401=regle!$G$12,regle!$G$11,
IF(AW401=regle!$H$12,regle!$H$11,
IF(AW401=regle!$I$12,regle!$I$11,""))))))))))</f>
        <v/>
      </c>
      <c r="AD401" t="str">
        <f>IF(NOT($A401),"",
IF(AX401=-2,regle!$J$11,
IF(AX401=regle!$B$12,regle!$B$11,
IF(AX401=regle!$C$12,regle!$C$11,
IF(AX401=regle!$D$12,regle!$D$11,
IF(AX401=regle!$E$12,regle!$E$11,
IF(AX401=regle!$F$12,regle!$F$11,
IF(AX401=regle!$G$12,regle!$G$11,
IF(AX401=regle!$H$12,regle!$H$11,
IF(AX401=regle!$I$12,regle!$I$11,""))))))))))</f>
        <v/>
      </c>
      <c r="AE401" s="14" t="b">
        <f>IF($A401,$M401*(IF(U401=regle!$B$11,regle!$B$23,IF(U401=regle!$C$11,regle!$C$23,IF(U401=regle!$D$11,regle!$D$23,IF(U401=regle!$E$11,regle!$E$23,IF(U401=regle!$F$11,regle!$F$23,IF(U401=regle!$G$11,regle!$G$23,IF(U401=regle!$H$11,regle!$H$23,IF(U401=regle!$I$11,regle!$I$23,IF(U401=regle!$J$11,regle!$J$23,0)))))))))))</f>
        <v>0</v>
      </c>
      <c r="AF401" s="14" t="b">
        <f>IF($A401,$M401*(IF(V401=regle!$B$11,regle!$B$23,IF(V401=regle!$C$11,regle!$C$23,IF(V401=regle!$D$11,regle!$D$23,IF(V401=regle!$E$11,regle!$E$23,IF(V401=regle!$F$11,regle!$F$23,IF(V401=regle!$G$11,regle!$G$23,IF(V401=regle!$H$11,regle!$H$23,IF(V401=regle!$I$11,regle!$I$23,IF(V401=regle!$J$11,regle!$J$23,0)))))))))))</f>
        <v>0</v>
      </c>
      <c r="AG401" s="14" t="b">
        <f>IF($A401,$M401*(IF(W401=regle!$B$11,regle!$B$23,IF(W401=regle!$C$11,regle!$C$23,IF(W401=regle!$D$11,regle!$D$23,IF(W401=regle!$E$11,regle!$E$23,IF(W401=regle!$F$11,regle!$F$23,IF(W401=regle!$G$11,regle!$G$23,IF(W401=regle!$H$11,regle!$H$23,IF(W401=regle!$I$11,regle!$I$23,IF(W401=regle!$J$11,regle!$J$23,0)))))))))))</f>
        <v>0</v>
      </c>
      <c r="AH401" s="14" t="b">
        <f>IF($A401,$M401*(IF(X401=regle!$B$11,regle!$B$23,IF(X401=regle!$C$11,regle!$C$23,IF(X401=regle!$D$11,regle!$D$23,IF(X401=regle!$E$11,regle!$E$23,IF(X401=regle!$F$11,regle!$F$23,IF(X401=regle!$G$11,regle!$G$23,IF(X401=regle!$H$11,regle!$H$23,IF(X401=regle!$I$11,regle!$I$23,IF(X401=regle!$J$11,regle!$J$23,0)))))))))))</f>
        <v>0</v>
      </c>
      <c r="AI401" s="14" t="b">
        <f>IF($A401,$M401*(IF(Y401=regle!$B$11,regle!$B$23,IF(Y401=regle!$C$11,regle!$C$23,IF(Y401=regle!$D$11,regle!$D$23,IF(Y401=regle!$E$11,regle!$E$23,IF(Y401=regle!$F$11,regle!$F$23,IF(Y401=regle!$G$11,regle!$G$23,IF(Y401=regle!$H$11,regle!$H$23,IF(Y401=regle!$I$11,regle!$I$23,IF(Y401=regle!$J$11,regle!$J$23,0)))))))))))</f>
        <v>0</v>
      </c>
      <c r="AJ401" s="14" t="b">
        <f>IF($A401,$M401*(IF(Z401=regle!$B$11,regle!$B$23,IF(Z401=regle!$C$11,regle!$C$23,IF(Z401=regle!$D$11,regle!$D$23,IF(Z401=regle!$E$11,regle!$E$23,IF(Z401=regle!$F$11,regle!$F$23,IF(Z401=regle!$G$11,regle!$G$23,IF(Z401=regle!$H$11,regle!$H$23,IF(Z401=regle!$I$11,regle!$I$23,IF(Z401=regle!$J$11,regle!$J$23,0)))))))))))</f>
        <v>0</v>
      </c>
      <c r="AK401" s="14" t="b">
        <f>IF($A401,$M401*(IF(AA401=regle!$B$11,regle!$B$23,IF(AA401=regle!$C$11,regle!$C$23,IF(AA401=regle!$D$11,regle!$D$23,IF(AA401=regle!$E$11,regle!$E$23,IF(AA401=regle!$F$11,regle!$F$23,IF(AA401=regle!$G$11,regle!$G$23,IF(AA401=regle!$H$11,regle!$H$23,IF(AA401=regle!$I$11,regle!$I$23,IF(AA401=regle!$J$11,regle!$J$23,0)))))))))))</f>
        <v>0</v>
      </c>
      <c r="AL401" s="14" t="b">
        <f>IF($A401,$M401*(IF(AB401=regle!$B$11,regle!$B$23,IF(AB401=regle!$C$11,regle!$C$23,IF(AB401=regle!$D$11,regle!$D$23,IF(AB401=regle!$E$11,regle!$E$23,IF(AB401=regle!$F$11,regle!$F$23,IF(AB401=regle!$G$11,regle!$G$23,IF(AB401=regle!$H$11,regle!$H$23,IF(AB401=regle!$I$11,regle!$I$23,IF(AB401=regle!$J$11,regle!$J$23,0)))))))))))</f>
        <v>0</v>
      </c>
      <c r="AM401" s="14" t="b">
        <f>IF($A401,$M401*(IF(AC401=regle!$B$11,regle!$B$23,IF(AC401=regle!$C$11,regle!$C$23,IF(AC401=regle!$D$11,regle!$D$23,IF(AC401=regle!$E$11,regle!$E$23,IF(AC401=regle!$F$11,regle!$F$23,IF(AC401=regle!$G$11,regle!$G$23,IF(AC401=regle!$H$11,regle!$H$23,IF(AC401=regle!$I$11,regle!$I$23,IF(AC401=regle!$J$11,regle!$J$23,0)))))))))))</f>
        <v>0</v>
      </c>
      <c r="AN401" s="14" t="b">
        <f>IF($A401,$M401*(IF(AD401=regle!$B$11,regle!$B$23,IF(AD401=regle!$C$11,regle!$C$23,IF(AD401=regle!$D$11,regle!$D$23,IF(AD401=regle!$E$11,regle!$E$23,IF(AD401=regle!$F$11,regle!$F$23,IF(AD401=regle!$G$11,regle!$G$23,IF(AD401=regle!$H$11,regle!$H$23,IF(AD401=regle!$I$11,regle!$I$23,IF(AD401=regle!$J$11,regle!$J$23,0)))))))))))</f>
        <v>0</v>
      </c>
      <c r="AO401">
        <f>IF(AO$1=$AO$1,IF(regle!B$2-$Q401&gt;=regle!$J$12,-2,IF($S401,IF(regle!$B$2-$Q401&gt;=2,0,-1),regle!B$2-$Q401)),IF(AN401+1&gt;=regle!$J$12,-2,AN401+1))</f>
        <v>21</v>
      </c>
      <c r="AP401">
        <f>IF(AP$1=$AO$1,IF(regle!C$2-$Q401&gt;=regle!$J$12,-2,IF($S401,IF(regle!$B$2-$Q401&gt;=2,0,-1),regle!C$2-$Q401)),IF(AO401+1&gt;=regle!$J$12,-2,AO401+1))</f>
        <v>22</v>
      </c>
      <c r="AQ401">
        <f>IF(AQ$1=$AO$1,IF(regle!D$2-$Q401&gt;=regle!$J$12,-2,IF($S401,IF(regle!$B$2-$Q401&gt;=2,0,-1),regle!D$2-$Q401)),IF(AP401+1&gt;=regle!$J$12,-2,AP401+1))</f>
        <v>23</v>
      </c>
      <c r="AR401">
        <f>IF(AR$1=$AO$1,IF(regle!E$2-$Q401&gt;=regle!$J$12,-2,IF($S401,IF(regle!$B$2-$Q401&gt;=2,0,-1),regle!E$2-$Q401)),IF(AQ401+1&gt;=regle!$J$12,-2,AQ401+1))</f>
        <v>24</v>
      </c>
      <c r="AS401">
        <f>IF(AS$1=$AO$1,IF(regle!F$2-$Q401&gt;=regle!$J$12,-2,IF($S401,IF(regle!$B$2-$Q401&gt;=2,0,-1),regle!F$2-$Q401)),IF(AR401+1&gt;=regle!$J$12,-2,AR401+1))</f>
        <v>25</v>
      </c>
      <c r="AT401">
        <f>IF(AT$1=$AO$1,IF(regle!G$2-$Q401&gt;=regle!$J$12,-2,IF($S401,IF(regle!$B$2-$Q401&gt;=2,0,-1),regle!G$2-$Q401)),IF(AS401+1&gt;=regle!$J$12,-2,AS401+1))</f>
        <v>26</v>
      </c>
      <c r="AU401">
        <f>IF(AU$1=$AO$1,IF(regle!H$2-$Q401&gt;=regle!$J$12,-2,IF($S401,IF(regle!$B$2-$Q401&gt;=2,0,-1),regle!H$2-$Q401)),IF(AT401+1&gt;=regle!$J$12,-2,AT401+1))</f>
        <v>27</v>
      </c>
      <c r="AV401">
        <f>IF(AV$1=$AO$1,IF(regle!I$2-$Q401&gt;=regle!$J$12,-2,IF($S401,IF(regle!$B$2-$Q401&gt;=2,0,-1),regle!I$2-$Q401)),IF(AU401+1&gt;=regle!$J$12,-2,AU401+1))</f>
        <v>28</v>
      </c>
      <c r="AW401">
        <f>IF(AW$1=$AO$1,IF(regle!J$2-$Q401&gt;=regle!$J$12,-2,IF($S401,IF(regle!$B$2-$Q401&gt;=2,0,-1),regle!J$2-$Q401)),IF(AV401+1&gt;=regle!$J$12,-2,AV401+1))</f>
        <v>29</v>
      </c>
      <c r="AX401">
        <f>IF(AX$1=$AO$1,IF(regle!K$2-$Q401&gt;=regle!$J$12,-2,IF($S401,IF(regle!$B$2-$Q401&gt;=2,0,-1),regle!K$2-$Q401)),IF(AW401+1&gt;=regle!$J$12,-2,AW401+1))</f>
        <v>30</v>
      </c>
    </row>
    <row r="402" spans="1:50" x14ac:dyDescent="0.25">
      <c r="A402" t="b">
        <f>AND(modif0[[#This Row],[cdstr]]&lt;&gt;0,OR(regle!$H$27=FALSE,modif0[[#This Row],[essnc]]="PM"))</f>
        <v>0</v>
      </c>
      <c r="B402">
        <f>ROW(objet!A130)</f>
        <v>130</v>
      </c>
      <c r="C402" s="10" t="str">
        <f>objet!D130</f>
        <v>2020000B1140</v>
      </c>
      <c r="D402" t="str">
        <f>LEFT(modif0[[#This Row],[cdstr]],3)</f>
        <v>202</v>
      </c>
      <c r="E402" s="10" t="str">
        <f>objet!G130</f>
        <v>HOSTENS</v>
      </c>
      <c r="F402">
        <f>LEN(modif0[[#This Row],[l_dt]])</f>
        <v>11</v>
      </c>
      <c r="G402" s="10" t="str">
        <f>objet!H130</f>
        <v>LES CAZALAS</v>
      </c>
      <c r="H402" s="10" t="str">
        <f>objet!C130</f>
        <v>B1140</v>
      </c>
      <c r="I402" t="str">
        <f>IF(ISNUMBER(VALUE(RIGHT(LEFT(modif0[[#This Row],[idntfn]],2),1))),_xlfn.CONCAT(0,LEFT(modif0[[#This Row],[idntfn]],1)),LEFT(modif0[[#This Row],[idntfn]],2))</f>
        <v>0B</v>
      </c>
      <c r="J402">
        <f>VALUE(LEFT(RIGHT(modif0[[#This Row],[idntfn]],LEN(modif0[[#This Row],[idntfn]])-IF(LEFT(modif0[[#This Row],[sctn]],1)="0",1,2)),LEN(modif0[[#This Row],[idntfn]])-IF(LEFT(modif0[[#This Row],[sctn]],1)="0",1,2)-LEN(modif0[[#This Row],[lttr]])))</f>
        <v>1140</v>
      </c>
      <c r="K402" t="str">
        <f>IF(ISNUMBER(VALUE(RIGHT(modif0[[#This Row],[idntfn]],1))),"",IF(ISNUMBER(VALUE(LEFT(RIGHT(modif0[[#This Row],[idntfn]],2),1))),RIGHT(modif0[[#This Row],[idntfn]],1),RIGHT(modif0[[#This Row],[idntfn]],2)))</f>
        <v/>
      </c>
      <c r="L402" s="10">
        <f>objet!I130</f>
        <v>6310</v>
      </c>
      <c r="M402" s="11">
        <f>modif0[[#This Row],[srfc]]/10000</f>
        <v>0.63100000000000001</v>
      </c>
      <c r="N402" s="10" t="str">
        <f>objet!Z130</f>
        <v>FEUIL</v>
      </c>
      <c r="O402" s="10" t="str">
        <f>objet!AA130</f>
        <v>TAIL1970</v>
      </c>
      <c r="P402" t="str">
        <f>IF(ISNUMBER(modif0[[#This Row],[trvx]]),"",LEFT(modif0[[#This Row],[trvx]],LEN(modif0[[#This Row],[trvx]])-4))</f>
        <v>TAIL</v>
      </c>
      <c r="Q402">
        <f>VALUE(RIGHT(modif0[[#This Row],[trvx]],4))</f>
        <v>1970</v>
      </c>
      <c r="R402" t="str">
        <f>_xlfn.CONCAT(modif0[[#This Row],[tp]],"-",modif0[[#This Row],[essnc]],"_",modif0[[#This Row],[anns]])</f>
        <v>TAIL-FEUIL_1970</v>
      </c>
      <c r="S402" t="b">
        <f>modif0[[#This Row],[tp]]="CR"</f>
        <v>0</v>
      </c>
      <c r="T402">
        <v>40</v>
      </c>
      <c r="U402" t="str">
        <f>IF(NOT($A402),"",
IF(AO402=-2,regle!$J$11,
IF(AO402=regle!$B$12,regle!$B$11,
IF(AO402=regle!$C$12,regle!$C$11,
IF(AO402=regle!$D$12,regle!$D$11,
IF(AO402=regle!$E$12,regle!$E$11,
IF(AO402=regle!$F$12,regle!$F$11,
IF(AO402=regle!$G$12,regle!$G$11,
IF(AO402=regle!$H$12,regle!$H$11,
IF(AO402=regle!$I$12,regle!$I$11,""))))))))))</f>
        <v/>
      </c>
      <c r="V402" t="str">
        <f>IF(NOT($A402),"",
IF(AP402=-2,regle!$J$11,
IF(AP402=regle!$B$12,regle!$B$11,
IF(AP402=regle!$C$12,regle!$C$11,
IF(AP402=regle!$D$12,regle!$D$11,
IF(AP402=regle!$E$12,regle!$E$11,
IF(AP402=regle!$F$12,regle!$F$11,
IF(AP402=regle!$G$12,regle!$G$11,
IF(AP402=regle!$H$12,regle!$H$11,
IF(AP402=regle!$I$12,regle!$I$11,""))))))))))</f>
        <v/>
      </c>
      <c r="W402" t="str">
        <f>IF(NOT($A402),"",
IF(AQ402=-2,regle!$J$11,
IF(AQ402=regle!$B$12,regle!$B$11,
IF(AQ402=regle!$C$12,regle!$C$11,
IF(AQ402=regle!$D$12,regle!$D$11,
IF(AQ402=regle!$E$12,regle!$E$11,
IF(AQ402=regle!$F$12,regle!$F$11,
IF(AQ402=regle!$G$12,regle!$G$11,
IF(AQ402=regle!$H$12,regle!$H$11,
IF(AQ402=regle!$I$12,regle!$I$11,""))))))))))</f>
        <v/>
      </c>
      <c r="X402" t="str">
        <f>IF(NOT($A402),"",
IF(AR402=-2,regle!$J$11,
IF(AR402=regle!$B$12,regle!$B$11,
IF(AR402=regle!$C$12,regle!$C$11,
IF(AR402=regle!$D$12,regle!$D$11,
IF(AR402=regle!$E$12,regle!$E$11,
IF(AR402=regle!$F$12,regle!$F$11,
IF(AR402=regle!$G$12,regle!$G$11,
IF(AR402=regle!$H$12,regle!$H$11,
IF(AR402=regle!$I$12,regle!$I$11,""))))))))))</f>
        <v/>
      </c>
      <c r="Y402" t="str">
        <f>IF(NOT($A402),"",
IF(AS402=-2,regle!$J$11,
IF(AS402=regle!$B$12,regle!$B$11,
IF(AS402=regle!$C$12,regle!$C$11,
IF(AS402=regle!$D$12,regle!$D$11,
IF(AS402=regle!$E$12,regle!$E$11,
IF(AS402=regle!$F$12,regle!$F$11,
IF(AS402=regle!$G$12,regle!$G$11,
IF(AS402=regle!$H$12,regle!$H$11,
IF(AS402=regle!$I$12,regle!$I$11,""))))))))))</f>
        <v/>
      </c>
      <c r="Z402" t="str">
        <f>IF(NOT($A402),"",
IF(AT402=-2,regle!$J$11,
IF(AT402=regle!$B$12,regle!$B$11,
IF(AT402=regle!$C$12,regle!$C$11,
IF(AT402=regle!$D$12,regle!$D$11,
IF(AT402=regle!$E$12,regle!$E$11,
IF(AT402=regle!$F$12,regle!$F$11,
IF(AT402=regle!$G$12,regle!$G$11,
IF(AT402=regle!$H$12,regle!$H$11,
IF(AT402=regle!$I$12,regle!$I$11,""))))))))))</f>
        <v/>
      </c>
      <c r="AA402" t="str">
        <f>IF(NOT($A402),"",
IF(AU402=-2,regle!$J$11,
IF(AU402=regle!$B$12,regle!$B$11,
IF(AU402=regle!$C$12,regle!$C$11,
IF(AU402=regle!$D$12,regle!$D$11,
IF(AU402=regle!$E$12,regle!$E$11,
IF(AU402=regle!$F$12,regle!$F$11,
IF(AU402=regle!$G$12,regle!$G$11,
IF(AU402=regle!$H$12,regle!$H$11,
IF(AU402=regle!$I$12,regle!$I$11,""))))))))))</f>
        <v/>
      </c>
      <c r="AB402" t="str">
        <f>IF(NOT($A402),"",
IF(AV402=-2,regle!$J$11,
IF(AV402=regle!$B$12,regle!$B$11,
IF(AV402=regle!$C$12,regle!$C$11,
IF(AV402=regle!$D$12,regle!$D$11,
IF(AV402=regle!$E$12,regle!$E$11,
IF(AV402=regle!$F$12,regle!$F$11,
IF(AV402=regle!$G$12,regle!$G$11,
IF(AV402=regle!$H$12,regle!$H$11,
IF(AV402=regle!$I$12,regle!$I$11,""))))))))))</f>
        <v/>
      </c>
      <c r="AC402" t="str">
        <f>IF(NOT($A402),"",
IF(AW402=-2,regle!$J$11,
IF(AW402=regle!$B$12,regle!$B$11,
IF(AW402=regle!$C$12,regle!$C$11,
IF(AW402=regle!$D$12,regle!$D$11,
IF(AW402=regle!$E$12,regle!$E$11,
IF(AW402=regle!$F$12,regle!$F$11,
IF(AW402=regle!$G$12,regle!$G$11,
IF(AW402=regle!$H$12,regle!$H$11,
IF(AW402=regle!$I$12,regle!$I$11,""))))))))))</f>
        <v/>
      </c>
      <c r="AD402" t="str">
        <f>IF(NOT($A402),"",
IF(AX402=-2,regle!$J$11,
IF(AX402=regle!$B$12,regle!$B$11,
IF(AX402=regle!$C$12,regle!$C$11,
IF(AX402=regle!$D$12,regle!$D$11,
IF(AX402=regle!$E$12,regle!$E$11,
IF(AX402=regle!$F$12,regle!$F$11,
IF(AX402=regle!$G$12,regle!$G$11,
IF(AX402=regle!$H$12,regle!$H$11,
IF(AX402=regle!$I$12,regle!$I$11,""))))))))))</f>
        <v/>
      </c>
      <c r="AE402" s="14" t="b">
        <f>IF($A402,$M402*(IF(U402=regle!$B$11,regle!$B$23,IF(U402=regle!$C$11,regle!$C$23,IF(U402=regle!$D$11,regle!$D$23,IF(U402=regle!$E$11,regle!$E$23,IF(U402=regle!$F$11,regle!$F$23,IF(U402=regle!$G$11,regle!$G$23,IF(U402=regle!$H$11,regle!$H$23,IF(U402=regle!$I$11,regle!$I$23,IF(U402=regle!$J$11,regle!$J$23,0)))))))))))</f>
        <v>0</v>
      </c>
      <c r="AF402" s="14" t="b">
        <f>IF($A402,$M402*(IF(V402=regle!$B$11,regle!$B$23,IF(V402=regle!$C$11,regle!$C$23,IF(V402=regle!$D$11,regle!$D$23,IF(V402=regle!$E$11,regle!$E$23,IF(V402=regle!$F$11,regle!$F$23,IF(V402=regle!$G$11,regle!$G$23,IF(V402=regle!$H$11,regle!$H$23,IF(V402=regle!$I$11,regle!$I$23,IF(V402=regle!$J$11,regle!$J$23,0)))))))))))</f>
        <v>0</v>
      </c>
      <c r="AG402" s="14" t="b">
        <f>IF($A402,$M402*(IF(W402=regle!$B$11,regle!$B$23,IF(W402=regle!$C$11,regle!$C$23,IF(W402=regle!$D$11,regle!$D$23,IF(W402=regle!$E$11,regle!$E$23,IF(W402=regle!$F$11,regle!$F$23,IF(W402=regle!$G$11,regle!$G$23,IF(W402=regle!$H$11,regle!$H$23,IF(W402=regle!$I$11,regle!$I$23,IF(W402=regle!$J$11,regle!$J$23,0)))))))))))</f>
        <v>0</v>
      </c>
      <c r="AH402" s="14" t="b">
        <f>IF($A402,$M402*(IF(X402=regle!$B$11,regle!$B$23,IF(X402=regle!$C$11,regle!$C$23,IF(X402=regle!$D$11,regle!$D$23,IF(X402=regle!$E$11,regle!$E$23,IF(X402=regle!$F$11,regle!$F$23,IF(X402=regle!$G$11,regle!$G$23,IF(X402=regle!$H$11,regle!$H$23,IF(X402=regle!$I$11,regle!$I$23,IF(X402=regle!$J$11,regle!$J$23,0)))))))))))</f>
        <v>0</v>
      </c>
      <c r="AI402" s="14" t="b">
        <f>IF($A402,$M402*(IF(Y402=regle!$B$11,regle!$B$23,IF(Y402=regle!$C$11,regle!$C$23,IF(Y402=regle!$D$11,regle!$D$23,IF(Y402=regle!$E$11,regle!$E$23,IF(Y402=regle!$F$11,regle!$F$23,IF(Y402=regle!$G$11,regle!$G$23,IF(Y402=regle!$H$11,regle!$H$23,IF(Y402=regle!$I$11,regle!$I$23,IF(Y402=regle!$J$11,regle!$J$23,0)))))))))))</f>
        <v>0</v>
      </c>
      <c r="AJ402" s="14" t="b">
        <f>IF($A402,$M402*(IF(Z402=regle!$B$11,regle!$B$23,IF(Z402=regle!$C$11,regle!$C$23,IF(Z402=regle!$D$11,regle!$D$23,IF(Z402=regle!$E$11,regle!$E$23,IF(Z402=regle!$F$11,regle!$F$23,IF(Z402=regle!$G$11,regle!$G$23,IF(Z402=regle!$H$11,regle!$H$23,IF(Z402=regle!$I$11,regle!$I$23,IF(Z402=regle!$J$11,regle!$J$23,0)))))))))))</f>
        <v>0</v>
      </c>
      <c r="AK402" s="14" t="b">
        <f>IF($A402,$M402*(IF(AA402=regle!$B$11,regle!$B$23,IF(AA402=regle!$C$11,regle!$C$23,IF(AA402=regle!$D$11,regle!$D$23,IF(AA402=regle!$E$11,regle!$E$23,IF(AA402=regle!$F$11,regle!$F$23,IF(AA402=regle!$G$11,regle!$G$23,IF(AA402=regle!$H$11,regle!$H$23,IF(AA402=regle!$I$11,regle!$I$23,IF(AA402=regle!$J$11,regle!$J$23,0)))))))))))</f>
        <v>0</v>
      </c>
      <c r="AL402" s="14" t="b">
        <f>IF($A402,$M402*(IF(AB402=regle!$B$11,regle!$B$23,IF(AB402=regle!$C$11,regle!$C$23,IF(AB402=regle!$D$11,regle!$D$23,IF(AB402=regle!$E$11,regle!$E$23,IF(AB402=regle!$F$11,regle!$F$23,IF(AB402=regle!$G$11,regle!$G$23,IF(AB402=regle!$H$11,regle!$H$23,IF(AB402=regle!$I$11,regle!$I$23,IF(AB402=regle!$J$11,regle!$J$23,0)))))))))))</f>
        <v>0</v>
      </c>
      <c r="AM402" s="14" t="b">
        <f>IF($A402,$M402*(IF(AC402=regle!$B$11,regle!$B$23,IF(AC402=regle!$C$11,regle!$C$23,IF(AC402=regle!$D$11,regle!$D$23,IF(AC402=regle!$E$11,regle!$E$23,IF(AC402=regle!$F$11,regle!$F$23,IF(AC402=regle!$G$11,regle!$G$23,IF(AC402=regle!$H$11,regle!$H$23,IF(AC402=regle!$I$11,regle!$I$23,IF(AC402=regle!$J$11,regle!$J$23,0)))))))))))</f>
        <v>0</v>
      </c>
      <c r="AN402" s="14" t="b">
        <f>IF($A402,$M402*(IF(AD402=regle!$B$11,regle!$B$23,IF(AD402=regle!$C$11,regle!$C$23,IF(AD402=regle!$D$11,regle!$D$23,IF(AD402=regle!$E$11,regle!$E$23,IF(AD402=regle!$F$11,regle!$F$23,IF(AD402=regle!$G$11,regle!$G$23,IF(AD402=regle!$H$11,regle!$H$23,IF(AD402=regle!$I$11,regle!$I$23,IF(AD402=regle!$J$11,regle!$J$23,0)))))))))))</f>
        <v>0</v>
      </c>
      <c r="AO402">
        <f>IF(AO$1=$AO$1,IF(regle!B$2-$Q402&gt;=regle!$J$12,-2,IF($S402,IF(regle!$B$2-$Q402&gt;=2,0,-1),regle!B$2-$Q402)),IF(AN402+1&gt;=regle!$J$12,-2,AN402+1))</f>
        <v>-2</v>
      </c>
      <c r="AP402">
        <f>IF(AP$1=$AO$1,IF(regle!C$2-$Q402&gt;=regle!$J$12,-2,IF($S402,IF(regle!$B$2-$Q402&gt;=2,0,-1),regle!C$2-$Q402)),IF(AO402+1&gt;=regle!$J$12,-2,AO402+1))</f>
        <v>-1</v>
      </c>
      <c r="AQ402">
        <f>IF(AQ$1=$AO$1,IF(regle!D$2-$Q402&gt;=regle!$J$12,-2,IF($S402,IF(regle!$B$2-$Q402&gt;=2,0,-1),regle!D$2-$Q402)),IF(AP402+1&gt;=regle!$J$12,-2,AP402+1))</f>
        <v>0</v>
      </c>
      <c r="AR402">
        <f>IF(AR$1=$AO$1,IF(regle!E$2-$Q402&gt;=regle!$J$12,-2,IF($S402,IF(regle!$B$2-$Q402&gt;=2,0,-1),regle!E$2-$Q402)),IF(AQ402+1&gt;=regle!$J$12,-2,AQ402+1))</f>
        <v>1</v>
      </c>
      <c r="AS402">
        <f>IF(AS$1=$AO$1,IF(regle!F$2-$Q402&gt;=regle!$J$12,-2,IF($S402,IF(regle!$B$2-$Q402&gt;=2,0,-1),regle!F$2-$Q402)),IF(AR402+1&gt;=regle!$J$12,-2,AR402+1))</f>
        <v>2</v>
      </c>
      <c r="AT402">
        <f>IF(AT$1=$AO$1,IF(regle!G$2-$Q402&gt;=regle!$J$12,-2,IF($S402,IF(regle!$B$2-$Q402&gt;=2,0,-1),regle!G$2-$Q402)),IF(AS402+1&gt;=regle!$J$12,-2,AS402+1))</f>
        <v>3</v>
      </c>
      <c r="AU402">
        <f>IF(AU$1=$AO$1,IF(regle!H$2-$Q402&gt;=regle!$J$12,-2,IF($S402,IF(regle!$B$2-$Q402&gt;=2,0,-1),regle!H$2-$Q402)),IF(AT402+1&gt;=regle!$J$12,-2,AT402+1))</f>
        <v>4</v>
      </c>
      <c r="AV402">
        <f>IF(AV$1=$AO$1,IF(regle!I$2-$Q402&gt;=regle!$J$12,-2,IF($S402,IF(regle!$B$2-$Q402&gt;=2,0,-1),regle!I$2-$Q402)),IF(AU402+1&gt;=regle!$J$12,-2,AU402+1))</f>
        <v>5</v>
      </c>
      <c r="AW402">
        <f>IF(AW$1=$AO$1,IF(regle!J$2-$Q402&gt;=regle!$J$12,-2,IF($S402,IF(regle!$B$2-$Q402&gt;=2,0,-1),regle!J$2-$Q402)),IF(AV402+1&gt;=regle!$J$12,-2,AV402+1))</f>
        <v>6</v>
      </c>
      <c r="AX402">
        <f>IF(AX$1=$AO$1,IF(regle!K$2-$Q402&gt;=regle!$J$12,-2,IF($S402,IF(regle!$B$2-$Q402&gt;=2,0,-1),regle!K$2-$Q402)),IF(AW402+1&gt;=regle!$J$12,-2,AW402+1))</f>
        <v>7</v>
      </c>
    </row>
    <row r="403" spans="1:50" x14ac:dyDescent="0.25">
      <c r="A403" t="b">
        <f>AND(modif0[[#This Row],[cdstr]]&lt;&gt;0,OR(regle!$H$27=FALSE,modif0[[#This Row],[essnc]]="PM"))</f>
        <v>0</v>
      </c>
      <c r="B403">
        <f>ROW(objet!A190)</f>
        <v>190</v>
      </c>
      <c r="C403" s="10" t="str">
        <f>objet!D190</f>
        <v>2020000B1186</v>
      </c>
      <c r="D403" t="str">
        <f>LEFT(modif0[[#This Row],[cdstr]],3)</f>
        <v>202</v>
      </c>
      <c r="E403" s="10" t="str">
        <f>objet!G190</f>
        <v>HOSTENS</v>
      </c>
      <c r="F403">
        <f>LEN(modif0[[#This Row],[l_dt]])</f>
        <v>11</v>
      </c>
      <c r="G403" s="10" t="str">
        <f>objet!H190</f>
        <v>LES CAZALAS</v>
      </c>
      <c r="H403" s="10" t="str">
        <f>objet!C190</f>
        <v>B1186</v>
      </c>
      <c r="I403" t="str">
        <f>IF(ISNUMBER(VALUE(RIGHT(LEFT(modif0[[#This Row],[idntfn]],2),1))),_xlfn.CONCAT(0,LEFT(modif0[[#This Row],[idntfn]],1)),LEFT(modif0[[#This Row],[idntfn]],2))</f>
        <v>0B</v>
      </c>
      <c r="J403">
        <f>VALUE(LEFT(RIGHT(modif0[[#This Row],[idntfn]],LEN(modif0[[#This Row],[idntfn]])-IF(LEFT(modif0[[#This Row],[sctn]],1)="0",1,2)),LEN(modif0[[#This Row],[idntfn]])-IF(LEFT(modif0[[#This Row],[sctn]],1)="0",1,2)-LEN(modif0[[#This Row],[lttr]])))</f>
        <v>1186</v>
      </c>
      <c r="K403" t="str">
        <f>IF(ISNUMBER(VALUE(RIGHT(modif0[[#This Row],[idntfn]],1))),"",IF(ISNUMBER(VALUE(LEFT(RIGHT(modif0[[#This Row],[idntfn]],2),1))),RIGHT(modif0[[#This Row],[idntfn]],1),RIGHT(modif0[[#This Row],[idntfn]],2)))</f>
        <v/>
      </c>
      <c r="L403" s="10">
        <f>objet!I190</f>
        <v>4500</v>
      </c>
      <c r="M403" s="11">
        <f>modif0[[#This Row],[srfc]]/10000</f>
        <v>0.45</v>
      </c>
      <c r="N403" s="10" t="str">
        <f>objet!Z190</f>
        <v>FEUIL</v>
      </c>
      <c r="O403" s="10" t="str">
        <f>objet!AA190</f>
        <v>TAIL2013</v>
      </c>
      <c r="P403" t="str">
        <f>IF(ISNUMBER(modif0[[#This Row],[trvx]]),"",LEFT(modif0[[#This Row],[trvx]],LEN(modif0[[#This Row],[trvx]])-4))</f>
        <v>TAIL</v>
      </c>
      <c r="Q403">
        <f>VALUE(RIGHT(modif0[[#This Row],[trvx]],4))</f>
        <v>2013</v>
      </c>
      <c r="R403" t="str">
        <f>_xlfn.CONCAT(modif0[[#This Row],[tp]],"-",modif0[[#This Row],[essnc]],"_",modif0[[#This Row],[anns]])</f>
        <v>TAIL-FEUIL_2013</v>
      </c>
      <c r="S403" t="b">
        <f>modif0[[#This Row],[tp]]="CR"</f>
        <v>0</v>
      </c>
      <c r="T403">
        <v>40</v>
      </c>
      <c r="U403" t="str">
        <f>IF(NOT($A403),"",
IF(AO403=-2,regle!$J$11,
IF(AO403=regle!$B$12,regle!$B$11,
IF(AO403=regle!$C$12,regle!$C$11,
IF(AO403=regle!$D$12,regle!$D$11,
IF(AO403=regle!$E$12,regle!$E$11,
IF(AO403=regle!$F$12,regle!$F$11,
IF(AO403=regle!$G$12,regle!$G$11,
IF(AO403=regle!$H$12,regle!$H$11,
IF(AO403=regle!$I$12,regle!$I$11,""))))))))))</f>
        <v/>
      </c>
      <c r="V403" t="str">
        <f>IF(NOT($A403),"",
IF(AP403=-2,regle!$J$11,
IF(AP403=regle!$B$12,regle!$B$11,
IF(AP403=regle!$C$12,regle!$C$11,
IF(AP403=regle!$D$12,regle!$D$11,
IF(AP403=regle!$E$12,regle!$E$11,
IF(AP403=regle!$F$12,regle!$F$11,
IF(AP403=regle!$G$12,regle!$G$11,
IF(AP403=regle!$H$12,regle!$H$11,
IF(AP403=regle!$I$12,regle!$I$11,""))))))))))</f>
        <v/>
      </c>
      <c r="W403" t="str">
        <f>IF(NOT($A403),"",
IF(AQ403=-2,regle!$J$11,
IF(AQ403=regle!$B$12,regle!$B$11,
IF(AQ403=regle!$C$12,regle!$C$11,
IF(AQ403=regle!$D$12,regle!$D$11,
IF(AQ403=regle!$E$12,regle!$E$11,
IF(AQ403=regle!$F$12,regle!$F$11,
IF(AQ403=regle!$G$12,regle!$G$11,
IF(AQ403=regle!$H$12,regle!$H$11,
IF(AQ403=regle!$I$12,regle!$I$11,""))))))))))</f>
        <v/>
      </c>
      <c r="X403" t="str">
        <f>IF(NOT($A403),"",
IF(AR403=-2,regle!$J$11,
IF(AR403=regle!$B$12,regle!$B$11,
IF(AR403=regle!$C$12,regle!$C$11,
IF(AR403=regle!$D$12,regle!$D$11,
IF(AR403=regle!$E$12,regle!$E$11,
IF(AR403=regle!$F$12,regle!$F$11,
IF(AR403=regle!$G$12,regle!$G$11,
IF(AR403=regle!$H$12,regle!$H$11,
IF(AR403=regle!$I$12,regle!$I$11,""))))))))))</f>
        <v/>
      </c>
      <c r="Y403" t="str">
        <f>IF(NOT($A403),"",
IF(AS403=-2,regle!$J$11,
IF(AS403=regle!$B$12,regle!$B$11,
IF(AS403=regle!$C$12,regle!$C$11,
IF(AS403=regle!$D$12,regle!$D$11,
IF(AS403=regle!$E$12,regle!$E$11,
IF(AS403=regle!$F$12,regle!$F$11,
IF(AS403=regle!$G$12,regle!$G$11,
IF(AS403=regle!$H$12,regle!$H$11,
IF(AS403=regle!$I$12,regle!$I$11,""))))))))))</f>
        <v/>
      </c>
      <c r="Z403" t="str">
        <f>IF(NOT($A403),"",
IF(AT403=-2,regle!$J$11,
IF(AT403=regle!$B$12,regle!$B$11,
IF(AT403=regle!$C$12,regle!$C$11,
IF(AT403=regle!$D$12,regle!$D$11,
IF(AT403=regle!$E$12,regle!$E$11,
IF(AT403=regle!$F$12,regle!$F$11,
IF(AT403=regle!$G$12,regle!$G$11,
IF(AT403=regle!$H$12,regle!$H$11,
IF(AT403=regle!$I$12,regle!$I$11,""))))))))))</f>
        <v/>
      </c>
      <c r="AA403" t="str">
        <f>IF(NOT($A403),"",
IF(AU403=-2,regle!$J$11,
IF(AU403=regle!$B$12,regle!$B$11,
IF(AU403=regle!$C$12,regle!$C$11,
IF(AU403=regle!$D$12,regle!$D$11,
IF(AU403=regle!$E$12,regle!$E$11,
IF(AU403=regle!$F$12,regle!$F$11,
IF(AU403=regle!$G$12,regle!$G$11,
IF(AU403=regle!$H$12,regle!$H$11,
IF(AU403=regle!$I$12,regle!$I$11,""))))))))))</f>
        <v/>
      </c>
      <c r="AB403" t="str">
        <f>IF(NOT($A403),"",
IF(AV403=-2,regle!$J$11,
IF(AV403=regle!$B$12,regle!$B$11,
IF(AV403=regle!$C$12,regle!$C$11,
IF(AV403=regle!$D$12,regle!$D$11,
IF(AV403=regle!$E$12,regle!$E$11,
IF(AV403=regle!$F$12,regle!$F$11,
IF(AV403=regle!$G$12,regle!$G$11,
IF(AV403=regle!$H$12,regle!$H$11,
IF(AV403=regle!$I$12,regle!$I$11,""))))))))))</f>
        <v/>
      </c>
      <c r="AC403" t="str">
        <f>IF(NOT($A403),"",
IF(AW403=-2,regle!$J$11,
IF(AW403=regle!$B$12,regle!$B$11,
IF(AW403=regle!$C$12,regle!$C$11,
IF(AW403=regle!$D$12,regle!$D$11,
IF(AW403=regle!$E$12,regle!$E$11,
IF(AW403=regle!$F$12,regle!$F$11,
IF(AW403=regle!$G$12,regle!$G$11,
IF(AW403=regle!$H$12,regle!$H$11,
IF(AW403=regle!$I$12,regle!$I$11,""))))))))))</f>
        <v/>
      </c>
      <c r="AD403" t="str">
        <f>IF(NOT($A403),"",
IF(AX403=-2,regle!$J$11,
IF(AX403=regle!$B$12,regle!$B$11,
IF(AX403=regle!$C$12,regle!$C$11,
IF(AX403=regle!$D$12,regle!$D$11,
IF(AX403=regle!$E$12,regle!$E$11,
IF(AX403=regle!$F$12,regle!$F$11,
IF(AX403=regle!$G$12,regle!$G$11,
IF(AX403=regle!$H$12,regle!$H$11,
IF(AX403=regle!$I$12,regle!$I$11,""))))))))))</f>
        <v/>
      </c>
      <c r="AE403" s="14" t="b">
        <f>IF($A403,$M403*(IF(U403=regle!$B$11,regle!$B$23,IF(U403=regle!$C$11,regle!$C$23,IF(U403=regle!$D$11,regle!$D$23,IF(U403=regle!$E$11,regle!$E$23,IF(U403=regle!$F$11,regle!$F$23,IF(U403=regle!$G$11,regle!$G$23,IF(U403=regle!$H$11,regle!$H$23,IF(U403=regle!$I$11,regle!$I$23,IF(U403=regle!$J$11,regle!$J$23,0)))))))))))</f>
        <v>0</v>
      </c>
      <c r="AF403" s="14" t="b">
        <f>IF($A403,$M403*(IF(V403=regle!$B$11,regle!$B$23,IF(V403=regle!$C$11,regle!$C$23,IF(V403=regle!$D$11,regle!$D$23,IF(V403=regle!$E$11,regle!$E$23,IF(V403=regle!$F$11,regle!$F$23,IF(V403=regle!$G$11,regle!$G$23,IF(V403=regle!$H$11,regle!$H$23,IF(V403=regle!$I$11,regle!$I$23,IF(V403=regle!$J$11,regle!$J$23,0)))))))))))</f>
        <v>0</v>
      </c>
      <c r="AG403" s="14" t="b">
        <f>IF($A403,$M403*(IF(W403=regle!$B$11,regle!$B$23,IF(W403=regle!$C$11,regle!$C$23,IF(W403=regle!$D$11,regle!$D$23,IF(W403=regle!$E$11,regle!$E$23,IF(W403=regle!$F$11,regle!$F$23,IF(W403=regle!$G$11,regle!$G$23,IF(W403=regle!$H$11,regle!$H$23,IF(W403=regle!$I$11,regle!$I$23,IF(W403=regle!$J$11,regle!$J$23,0)))))))))))</f>
        <v>0</v>
      </c>
      <c r="AH403" s="14" t="b">
        <f>IF($A403,$M403*(IF(X403=regle!$B$11,regle!$B$23,IF(X403=regle!$C$11,regle!$C$23,IF(X403=regle!$D$11,regle!$D$23,IF(X403=regle!$E$11,regle!$E$23,IF(X403=regle!$F$11,regle!$F$23,IF(X403=regle!$G$11,regle!$G$23,IF(X403=regle!$H$11,regle!$H$23,IF(X403=regle!$I$11,regle!$I$23,IF(X403=regle!$J$11,regle!$J$23,0)))))))))))</f>
        <v>0</v>
      </c>
      <c r="AI403" s="14" t="b">
        <f>IF($A403,$M403*(IF(Y403=regle!$B$11,regle!$B$23,IF(Y403=regle!$C$11,regle!$C$23,IF(Y403=regle!$D$11,regle!$D$23,IF(Y403=regle!$E$11,regle!$E$23,IF(Y403=regle!$F$11,regle!$F$23,IF(Y403=regle!$G$11,regle!$G$23,IF(Y403=regle!$H$11,regle!$H$23,IF(Y403=regle!$I$11,regle!$I$23,IF(Y403=regle!$J$11,regle!$J$23,0)))))))))))</f>
        <v>0</v>
      </c>
      <c r="AJ403" s="14" t="b">
        <f>IF($A403,$M403*(IF(Z403=regle!$B$11,regle!$B$23,IF(Z403=regle!$C$11,regle!$C$23,IF(Z403=regle!$D$11,regle!$D$23,IF(Z403=regle!$E$11,regle!$E$23,IF(Z403=regle!$F$11,regle!$F$23,IF(Z403=regle!$G$11,regle!$G$23,IF(Z403=regle!$H$11,regle!$H$23,IF(Z403=regle!$I$11,regle!$I$23,IF(Z403=regle!$J$11,regle!$J$23,0)))))))))))</f>
        <v>0</v>
      </c>
      <c r="AK403" s="14" t="b">
        <f>IF($A403,$M403*(IF(AA403=regle!$B$11,regle!$B$23,IF(AA403=regle!$C$11,regle!$C$23,IF(AA403=regle!$D$11,regle!$D$23,IF(AA403=regle!$E$11,regle!$E$23,IF(AA403=regle!$F$11,regle!$F$23,IF(AA403=regle!$G$11,regle!$G$23,IF(AA403=regle!$H$11,regle!$H$23,IF(AA403=regle!$I$11,regle!$I$23,IF(AA403=regle!$J$11,regle!$J$23,0)))))))))))</f>
        <v>0</v>
      </c>
      <c r="AL403" s="14" t="b">
        <f>IF($A403,$M403*(IF(AB403=regle!$B$11,regle!$B$23,IF(AB403=regle!$C$11,regle!$C$23,IF(AB403=regle!$D$11,regle!$D$23,IF(AB403=regle!$E$11,regle!$E$23,IF(AB403=regle!$F$11,regle!$F$23,IF(AB403=regle!$G$11,regle!$G$23,IF(AB403=regle!$H$11,regle!$H$23,IF(AB403=regle!$I$11,regle!$I$23,IF(AB403=regle!$J$11,regle!$J$23,0)))))))))))</f>
        <v>0</v>
      </c>
      <c r="AM403" s="14" t="b">
        <f>IF($A403,$M403*(IF(AC403=regle!$B$11,regle!$B$23,IF(AC403=regle!$C$11,regle!$C$23,IF(AC403=regle!$D$11,regle!$D$23,IF(AC403=regle!$E$11,regle!$E$23,IF(AC403=regle!$F$11,regle!$F$23,IF(AC403=regle!$G$11,regle!$G$23,IF(AC403=regle!$H$11,regle!$H$23,IF(AC403=regle!$I$11,regle!$I$23,IF(AC403=regle!$J$11,regle!$J$23,0)))))))))))</f>
        <v>0</v>
      </c>
      <c r="AN403" s="14" t="b">
        <f>IF($A403,$M403*(IF(AD403=regle!$B$11,regle!$B$23,IF(AD403=regle!$C$11,regle!$C$23,IF(AD403=regle!$D$11,regle!$D$23,IF(AD403=regle!$E$11,regle!$E$23,IF(AD403=regle!$F$11,regle!$F$23,IF(AD403=regle!$G$11,regle!$G$23,IF(AD403=regle!$H$11,regle!$H$23,IF(AD403=regle!$I$11,regle!$I$23,IF(AD403=regle!$J$11,regle!$J$23,0)))))))))))</f>
        <v>0</v>
      </c>
      <c r="AO403">
        <f>IF(AO$1=$AO$1,IF(regle!B$2-$Q403&gt;=regle!$J$12,-2,IF($S403,IF(regle!$B$2-$Q403&gt;=2,0,-1),regle!B$2-$Q403)),IF(AN403+1&gt;=regle!$J$12,-2,AN403+1))</f>
        <v>11</v>
      </c>
      <c r="AP403">
        <f>IF(AP$1=$AO$1,IF(regle!C$2-$Q403&gt;=regle!$J$12,-2,IF($S403,IF(regle!$B$2-$Q403&gt;=2,0,-1),regle!C$2-$Q403)),IF(AO403+1&gt;=regle!$J$12,-2,AO403+1))</f>
        <v>12</v>
      </c>
      <c r="AQ403">
        <f>IF(AQ$1=$AO$1,IF(regle!D$2-$Q403&gt;=regle!$J$12,-2,IF($S403,IF(regle!$B$2-$Q403&gt;=2,0,-1),regle!D$2-$Q403)),IF(AP403+1&gt;=regle!$J$12,-2,AP403+1))</f>
        <v>13</v>
      </c>
      <c r="AR403">
        <f>IF(AR$1=$AO$1,IF(regle!E$2-$Q403&gt;=regle!$J$12,-2,IF($S403,IF(regle!$B$2-$Q403&gt;=2,0,-1),regle!E$2-$Q403)),IF(AQ403+1&gt;=regle!$J$12,-2,AQ403+1))</f>
        <v>14</v>
      </c>
      <c r="AS403">
        <f>IF(AS$1=$AO$1,IF(regle!F$2-$Q403&gt;=regle!$J$12,-2,IF($S403,IF(regle!$B$2-$Q403&gt;=2,0,-1),regle!F$2-$Q403)),IF(AR403+1&gt;=regle!$J$12,-2,AR403+1))</f>
        <v>15</v>
      </c>
      <c r="AT403">
        <f>IF(AT$1=$AO$1,IF(regle!G$2-$Q403&gt;=regle!$J$12,-2,IF($S403,IF(regle!$B$2-$Q403&gt;=2,0,-1),regle!G$2-$Q403)),IF(AS403+1&gt;=regle!$J$12,-2,AS403+1))</f>
        <v>16</v>
      </c>
      <c r="AU403">
        <f>IF(AU$1=$AO$1,IF(regle!H$2-$Q403&gt;=regle!$J$12,-2,IF($S403,IF(regle!$B$2-$Q403&gt;=2,0,-1),regle!H$2-$Q403)),IF(AT403+1&gt;=regle!$J$12,-2,AT403+1))</f>
        <v>17</v>
      </c>
      <c r="AV403">
        <f>IF(AV$1=$AO$1,IF(regle!I$2-$Q403&gt;=regle!$J$12,-2,IF($S403,IF(regle!$B$2-$Q403&gt;=2,0,-1),regle!I$2-$Q403)),IF(AU403+1&gt;=regle!$J$12,-2,AU403+1))</f>
        <v>18</v>
      </c>
      <c r="AW403">
        <f>IF(AW$1=$AO$1,IF(regle!J$2-$Q403&gt;=regle!$J$12,-2,IF($S403,IF(regle!$B$2-$Q403&gt;=2,0,-1),regle!J$2-$Q403)),IF(AV403+1&gt;=regle!$J$12,-2,AV403+1))</f>
        <v>19</v>
      </c>
      <c r="AX403">
        <f>IF(AX$1=$AO$1,IF(regle!K$2-$Q403&gt;=regle!$J$12,-2,IF($S403,IF(regle!$B$2-$Q403&gt;=2,0,-1),regle!K$2-$Q403)),IF(AW403+1&gt;=regle!$J$12,-2,AW403+1))</f>
        <v>20</v>
      </c>
    </row>
    <row r="404" spans="1:50" x14ac:dyDescent="0.25">
      <c r="A404" t="b">
        <f>AND(modif0[[#This Row],[cdstr]]&lt;&gt;0,OR(regle!$H$27=FALSE,modif0[[#This Row],[essnc]]="PM"))</f>
        <v>0</v>
      </c>
      <c r="B404">
        <f>ROW(objet!A204)</f>
        <v>204</v>
      </c>
      <c r="C404" s="10" t="str">
        <f>objet!D204</f>
        <v>2020000B1201</v>
      </c>
      <c r="D404" t="str">
        <f>LEFT(modif0[[#This Row],[cdstr]],3)</f>
        <v>202</v>
      </c>
      <c r="E404" s="10" t="str">
        <f>objet!G204</f>
        <v>HOSTENS</v>
      </c>
      <c r="F404">
        <f>LEN(modif0[[#This Row],[l_dt]])</f>
        <v>11</v>
      </c>
      <c r="G404" s="10" t="str">
        <f>objet!H204</f>
        <v>LES CAZALAS</v>
      </c>
      <c r="H404" s="10" t="str">
        <f>objet!C204</f>
        <v>B1201k</v>
      </c>
      <c r="I404" t="str">
        <f>IF(ISNUMBER(VALUE(RIGHT(LEFT(modif0[[#This Row],[idntfn]],2),1))),_xlfn.CONCAT(0,LEFT(modif0[[#This Row],[idntfn]],1)),LEFT(modif0[[#This Row],[idntfn]],2))</f>
        <v>0B</v>
      </c>
      <c r="J404">
        <f>VALUE(LEFT(RIGHT(modif0[[#This Row],[idntfn]],LEN(modif0[[#This Row],[idntfn]])-IF(LEFT(modif0[[#This Row],[sctn]],1)="0",1,2)),LEN(modif0[[#This Row],[idntfn]])-IF(LEFT(modif0[[#This Row],[sctn]],1)="0",1,2)-LEN(modif0[[#This Row],[lttr]])))</f>
        <v>1201</v>
      </c>
      <c r="K404" t="str">
        <f>IF(ISNUMBER(VALUE(RIGHT(modif0[[#This Row],[idntfn]],1))),"",IF(ISNUMBER(VALUE(LEFT(RIGHT(modif0[[#This Row],[idntfn]],2),1))),RIGHT(modif0[[#This Row],[idntfn]],1),RIGHT(modif0[[#This Row],[idntfn]],2)))</f>
        <v>k</v>
      </c>
      <c r="L404" s="10">
        <f>objet!I204</f>
        <v>1562</v>
      </c>
      <c r="M404" s="11">
        <f>modif0[[#This Row],[srfc]]/10000</f>
        <v>0.15620000000000001</v>
      </c>
      <c r="N404" s="10" t="str">
        <f>objet!Z204</f>
        <v>FEUIL</v>
      </c>
      <c r="O404" s="10" t="str">
        <f>objet!AA204</f>
        <v>TAIL2013</v>
      </c>
      <c r="P404" t="str">
        <f>IF(ISNUMBER(modif0[[#This Row],[trvx]]),"",LEFT(modif0[[#This Row],[trvx]],LEN(modif0[[#This Row],[trvx]])-4))</f>
        <v>TAIL</v>
      </c>
      <c r="Q404">
        <f>VALUE(RIGHT(modif0[[#This Row],[trvx]],4))</f>
        <v>2013</v>
      </c>
      <c r="R404" t="str">
        <f>_xlfn.CONCAT(modif0[[#This Row],[tp]],"-",modif0[[#This Row],[essnc]],"_",modif0[[#This Row],[anns]])</f>
        <v>TAIL-FEUIL_2013</v>
      </c>
      <c r="S404" t="b">
        <f>modif0[[#This Row],[tp]]="CR"</f>
        <v>0</v>
      </c>
      <c r="T404">
        <v>40</v>
      </c>
      <c r="U404" t="str">
        <f>IF(NOT($A404),"",
IF(AO404=-2,regle!$J$11,
IF(AO404=regle!$B$12,regle!$B$11,
IF(AO404=regle!$C$12,regle!$C$11,
IF(AO404=regle!$D$12,regle!$D$11,
IF(AO404=regle!$E$12,regle!$E$11,
IF(AO404=regle!$F$12,regle!$F$11,
IF(AO404=regle!$G$12,regle!$G$11,
IF(AO404=regle!$H$12,regle!$H$11,
IF(AO404=regle!$I$12,regle!$I$11,""))))))))))</f>
        <v/>
      </c>
      <c r="V404" t="str">
        <f>IF(NOT($A404),"",
IF(AP404=-2,regle!$J$11,
IF(AP404=regle!$B$12,regle!$B$11,
IF(AP404=regle!$C$12,regle!$C$11,
IF(AP404=regle!$D$12,regle!$D$11,
IF(AP404=regle!$E$12,regle!$E$11,
IF(AP404=regle!$F$12,regle!$F$11,
IF(AP404=regle!$G$12,regle!$G$11,
IF(AP404=regle!$H$12,regle!$H$11,
IF(AP404=regle!$I$12,regle!$I$11,""))))))))))</f>
        <v/>
      </c>
      <c r="W404" t="str">
        <f>IF(NOT($A404),"",
IF(AQ404=-2,regle!$J$11,
IF(AQ404=regle!$B$12,regle!$B$11,
IF(AQ404=regle!$C$12,regle!$C$11,
IF(AQ404=regle!$D$12,regle!$D$11,
IF(AQ404=regle!$E$12,regle!$E$11,
IF(AQ404=regle!$F$12,regle!$F$11,
IF(AQ404=regle!$G$12,regle!$G$11,
IF(AQ404=regle!$H$12,regle!$H$11,
IF(AQ404=regle!$I$12,regle!$I$11,""))))))))))</f>
        <v/>
      </c>
      <c r="X404" t="str">
        <f>IF(NOT($A404),"",
IF(AR404=-2,regle!$J$11,
IF(AR404=regle!$B$12,regle!$B$11,
IF(AR404=regle!$C$12,regle!$C$11,
IF(AR404=regle!$D$12,regle!$D$11,
IF(AR404=regle!$E$12,regle!$E$11,
IF(AR404=regle!$F$12,regle!$F$11,
IF(AR404=regle!$G$12,regle!$G$11,
IF(AR404=regle!$H$12,regle!$H$11,
IF(AR404=regle!$I$12,regle!$I$11,""))))))))))</f>
        <v/>
      </c>
      <c r="Y404" t="str">
        <f>IF(NOT($A404),"",
IF(AS404=-2,regle!$J$11,
IF(AS404=regle!$B$12,regle!$B$11,
IF(AS404=regle!$C$12,regle!$C$11,
IF(AS404=regle!$D$12,regle!$D$11,
IF(AS404=regle!$E$12,regle!$E$11,
IF(AS404=regle!$F$12,regle!$F$11,
IF(AS404=regle!$G$12,regle!$G$11,
IF(AS404=regle!$H$12,regle!$H$11,
IF(AS404=regle!$I$12,regle!$I$11,""))))))))))</f>
        <v/>
      </c>
      <c r="Z404" t="str">
        <f>IF(NOT($A404),"",
IF(AT404=-2,regle!$J$11,
IF(AT404=regle!$B$12,regle!$B$11,
IF(AT404=regle!$C$12,regle!$C$11,
IF(AT404=regle!$D$12,regle!$D$11,
IF(AT404=regle!$E$12,regle!$E$11,
IF(AT404=regle!$F$12,regle!$F$11,
IF(AT404=regle!$G$12,regle!$G$11,
IF(AT404=regle!$H$12,regle!$H$11,
IF(AT404=regle!$I$12,regle!$I$11,""))))))))))</f>
        <v/>
      </c>
      <c r="AA404" t="str">
        <f>IF(NOT($A404),"",
IF(AU404=-2,regle!$J$11,
IF(AU404=regle!$B$12,regle!$B$11,
IF(AU404=regle!$C$12,regle!$C$11,
IF(AU404=regle!$D$12,regle!$D$11,
IF(AU404=regle!$E$12,regle!$E$11,
IF(AU404=regle!$F$12,regle!$F$11,
IF(AU404=regle!$G$12,regle!$G$11,
IF(AU404=regle!$H$12,regle!$H$11,
IF(AU404=regle!$I$12,regle!$I$11,""))))))))))</f>
        <v/>
      </c>
      <c r="AB404" t="str">
        <f>IF(NOT($A404),"",
IF(AV404=-2,regle!$J$11,
IF(AV404=regle!$B$12,regle!$B$11,
IF(AV404=regle!$C$12,regle!$C$11,
IF(AV404=regle!$D$12,regle!$D$11,
IF(AV404=regle!$E$12,regle!$E$11,
IF(AV404=regle!$F$12,regle!$F$11,
IF(AV404=regle!$G$12,regle!$G$11,
IF(AV404=regle!$H$12,regle!$H$11,
IF(AV404=regle!$I$12,regle!$I$11,""))))))))))</f>
        <v/>
      </c>
      <c r="AC404" t="str">
        <f>IF(NOT($A404),"",
IF(AW404=-2,regle!$J$11,
IF(AW404=regle!$B$12,regle!$B$11,
IF(AW404=regle!$C$12,regle!$C$11,
IF(AW404=regle!$D$12,regle!$D$11,
IF(AW404=regle!$E$12,regle!$E$11,
IF(AW404=regle!$F$12,regle!$F$11,
IF(AW404=regle!$G$12,regle!$G$11,
IF(AW404=regle!$H$12,regle!$H$11,
IF(AW404=regle!$I$12,regle!$I$11,""))))))))))</f>
        <v/>
      </c>
      <c r="AD404" t="str">
        <f>IF(NOT($A404),"",
IF(AX404=-2,regle!$J$11,
IF(AX404=regle!$B$12,regle!$B$11,
IF(AX404=regle!$C$12,regle!$C$11,
IF(AX404=regle!$D$12,regle!$D$11,
IF(AX404=regle!$E$12,regle!$E$11,
IF(AX404=regle!$F$12,regle!$F$11,
IF(AX404=regle!$G$12,regle!$G$11,
IF(AX404=regle!$H$12,regle!$H$11,
IF(AX404=regle!$I$12,regle!$I$11,""))))))))))</f>
        <v/>
      </c>
      <c r="AE404" s="14" t="b">
        <f>IF($A404,$M404*(IF(U404=regle!$B$11,regle!$B$23,IF(U404=regle!$C$11,regle!$C$23,IF(U404=regle!$D$11,regle!$D$23,IF(U404=regle!$E$11,regle!$E$23,IF(U404=regle!$F$11,regle!$F$23,IF(U404=regle!$G$11,regle!$G$23,IF(U404=regle!$H$11,regle!$H$23,IF(U404=regle!$I$11,regle!$I$23,IF(U404=regle!$J$11,regle!$J$23,0)))))))))))</f>
        <v>0</v>
      </c>
      <c r="AF404" s="14" t="b">
        <f>IF($A404,$M404*(IF(V404=regle!$B$11,regle!$B$23,IF(V404=regle!$C$11,regle!$C$23,IF(V404=regle!$D$11,regle!$D$23,IF(V404=regle!$E$11,regle!$E$23,IF(V404=regle!$F$11,regle!$F$23,IF(V404=regle!$G$11,regle!$G$23,IF(V404=regle!$H$11,regle!$H$23,IF(V404=regle!$I$11,regle!$I$23,IF(V404=regle!$J$11,regle!$J$23,0)))))))))))</f>
        <v>0</v>
      </c>
      <c r="AG404" s="14" t="b">
        <f>IF($A404,$M404*(IF(W404=regle!$B$11,regle!$B$23,IF(W404=regle!$C$11,regle!$C$23,IF(W404=regle!$D$11,regle!$D$23,IF(W404=regle!$E$11,regle!$E$23,IF(W404=regle!$F$11,regle!$F$23,IF(W404=regle!$G$11,regle!$G$23,IF(W404=regle!$H$11,regle!$H$23,IF(W404=regle!$I$11,regle!$I$23,IF(W404=regle!$J$11,regle!$J$23,0)))))))))))</f>
        <v>0</v>
      </c>
      <c r="AH404" s="14" t="b">
        <f>IF($A404,$M404*(IF(X404=regle!$B$11,regle!$B$23,IF(X404=regle!$C$11,regle!$C$23,IF(X404=regle!$D$11,regle!$D$23,IF(X404=regle!$E$11,regle!$E$23,IF(X404=regle!$F$11,regle!$F$23,IF(X404=regle!$G$11,regle!$G$23,IF(X404=regle!$H$11,regle!$H$23,IF(X404=regle!$I$11,regle!$I$23,IF(X404=regle!$J$11,regle!$J$23,0)))))))))))</f>
        <v>0</v>
      </c>
      <c r="AI404" s="14" t="b">
        <f>IF($A404,$M404*(IF(Y404=regle!$B$11,regle!$B$23,IF(Y404=regle!$C$11,regle!$C$23,IF(Y404=regle!$D$11,regle!$D$23,IF(Y404=regle!$E$11,regle!$E$23,IF(Y404=regle!$F$11,regle!$F$23,IF(Y404=regle!$G$11,regle!$G$23,IF(Y404=regle!$H$11,regle!$H$23,IF(Y404=regle!$I$11,regle!$I$23,IF(Y404=regle!$J$11,regle!$J$23,0)))))))))))</f>
        <v>0</v>
      </c>
      <c r="AJ404" s="14" t="b">
        <f>IF($A404,$M404*(IF(Z404=regle!$B$11,regle!$B$23,IF(Z404=regle!$C$11,regle!$C$23,IF(Z404=regle!$D$11,regle!$D$23,IF(Z404=regle!$E$11,regle!$E$23,IF(Z404=regle!$F$11,regle!$F$23,IF(Z404=regle!$G$11,regle!$G$23,IF(Z404=regle!$H$11,regle!$H$23,IF(Z404=regle!$I$11,regle!$I$23,IF(Z404=regle!$J$11,regle!$J$23,0)))))))))))</f>
        <v>0</v>
      </c>
      <c r="AK404" s="14" t="b">
        <f>IF($A404,$M404*(IF(AA404=regle!$B$11,regle!$B$23,IF(AA404=regle!$C$11,regle!$C$23,IF(AA404=regle!$D$11,regle!$D$23,IF(AA404=regle!$E$11,regle!$E$23,IF(AA404=regle!$F$11,regle!$F$23,IF(AA404=regle!$G$11,regle!$G$23,IF(AA404=regle!$H$11,regle!$H$23,IF(AA404=regle!$I$11,regle!$I$23,IF(AA404=regle!$J$11,regle!$J$23,0)))))))))))</f>
        <v>0</v>
      </c>
      <c r="AL404" s="14" t="b">
        <f>IF($A404,$M404*(IF(AB404=regle!$B$11,regle!$B$23,IF(AB404=regle!$C$11,regle!$C$23,IF(AB404=regle!$D$11,regle!$D$23,IF(AB404=regle!$E$11,regle!$E$23,IF(AB404=regle!$F$11,regle!$F$23,IF(AB404=regle!$G$11,regle!$G$23,IF(AB404=regle!$H$11,regle!$H$23,IF(AB404=regle!$I$11,regle!$I$23,IF(AB404=regle!$J$11,regle!$J$23,0)))))))))))</f>
        <v>0</v>
      </c>
      <c r="AM404" s="14" t="b">
        <f>IF($A404,$M404*(IF(AC404=regle!$B$11,regle!$B$23,IF(AC404=regle!$C$11,regle!$C$23,IF(AC404=regle!$D$11,regle!$D$23,IF(AC404=regle!$E$11,regle!$E$23,IF(AC404=regle!$F$11,regle!$F$23,IF(AC404=regle!$G$11,regle!$G$23,IF(AC404=regle!$H$11,regle!$H$23,IF(AC404=regle!$I$11,regle!$I$23,IF(AC404=regle!$J$11,regle!$J$23,0)))))))))))</f>
        <v>0</v>
      </c>
      <c r="AN404" s="14" t="b">
        <f>IF($A404,$M404*(IF(AD404=regle!$B$11,regle!$B$23,IF(AD404=regle!$C$11,regle!$C$23,IF(AD404=regle!$D$11,regle!$D$23,IF(AD404=regle!$E$11,regle!$E$23,IF(AD404=regle!$F$11,regle!$F$23,IF(AD404=regle!$G$11,regle!$G$23,IF(AD404=regle!$H$11,regle!$H$23,IF(AD404=regle!$I$11,regle!$I$23,IF(AD404=regle!$J$11,regle!$J$23,0)))))))))))</f>
        <v>0</v>
      </c>
      <c r="AO404">
        <f>IF(AO$1=$AO$1,IF(regle!B$2-$Q404&gt;=regle!$J$12,-2,IF($S404,IF(regle!$B$2-$Q404&gt;=2,0,-1),regle!B$2-$Q404)),IF(AN404+1&gt;=regle!$J$12,-2,AN404+1))</f>
        <v>11</v>
      </c>
      <c r="AP404">
        <f>IF(AP$1=$AO$1,IF(regle!C$2-$Q404&gt;=regle!$J$12,-2,IF($S404,IF(regle!$B$2-$Q404&gt;=2,0,-1),regle!C$2-$Q404)),IF(AO404+1&gt;=regle!$J$12,-2,AO404+1))</f>
        <v>12</v>
      </c>
      <c r="AQ404">
        <f>IF(AQ$1=$AO$1,IF(regle!D$2-$Q404&gt;=regle!$J$12,-2,IF($S404,IF(regle!$B$2-$Q404&gt;=2,0,-1),regle!D$2-$Q404)),IF(AP404+1&gt;=regle!$J$12,-2,AP404+1))</f>
        <v>13</v>
      </c>
      <c r="AR404">
        <f>IF(AR$1=$AO$1,IF(regle!E$2-$Q404&gt;=regle!$J$12,-2,IF($S404,IF(regle!$B$2-$Q404&gt;=2,0,-1),regle!E$2-$Q404)),IF(AQ404+1&gt;=regle!$J$12,-2,AQ404+1))</f>
        <v>14</v>
      </c>
      <c r="AS404">
        <f>IF(AS$1=$AO$1,IF(regle!F$2-$Q404&gt;=regle!$J$12,-2,IF($S404,IF(regle!$B$2-$Q404&gt;=2,0,-1),regle!F$2-$Q404)),IF(AR404+1&gt;=regle!$J$12,-2,AR404+1))</f>
        <v>15</v>
      </c>
      <c r="AT404">
        <f>IF(AT$1=$AO$1,IF(regle!G$2-$Q404&gt;=regle!$J$12,-2,IF($S404,IF(regle!$B$2-$Q404&gt;=2,0,-1),regle!G$2-$Q404)),IF(AS404+1&gt;=regle!$J$12,-2,AS404+1))</f>
        <v>16</v>
      </c>
      <c r="AU404">
        <f>IF(AU$1=$AO$1,IF(regle!H$2-$Q404&gt;=regle!$J$12,-2,IF($S404,IF(regle!$B$2-$Q404&gt;=2,0,-1),regle!H$2-$Q404)),IF(AT404+1&gt;=regle!$J$12,-2,AT404+1))</f>
        <v>17</v>
      </c>
      <c r="AV404">
        <f>IF(AV$1=$AO$1,IF(regle!I$2-$Q404&gt;=regle!$J$12,-2,IF($S404,IF(regle!$B$2-$Q404&gt;=2,0,-1),regle!I$2-$Q404)),IF(AU404+1&gt;=regle!$J$12,-2,AU404+1))</f>
        <v>18</v>
      </c>
      <c r="AW404">
        <f>IF(AW$1=$AO$1,IF(regle!J$2-$Q404&gt;=regle!$J$12,-2,IF($S404,IF(regle!$B$2-$Q404&gt;=2,0,-1),regle!J$2-$Q404)),IF(AV404+1&gt;=regle!$J$12,-2,AV404+1))</f>
        <v>19</v>
      </c>
      <c r="AX404">
        <f>IF(AX$1=$AO$1,IF(regle!K$2-$Q404&gt;=regle!$J$12,-2,IF($S404,IF(regle!$B$2-$Q404&gt;=2,0,-1),regle!K$2-$Q404)),IF(AW404+1&gt;=regle!$J$12,-2,AW404+1))</f>
        <v>20</v>
      </c>
    </row>
    <row r="405" spans="1:50" x14ac:dyDescent="0.25">
      <c r="A405" t="b">
        <f>AND(modif0[[#This Row],[cdstr]]&lt;&gt;0,OR(regle!$H$27=FALSE,modif0[[#This Row],[essnc]]="PM"))</f>
        <v>0</v>
      </c>
      <c r="B405">
        <f>ROW(objet!A206)</f>
        <v>206</v>
      </c>
      <c r="C405" s="10" t="str">
        <f>objet!D206</f>
        <v>2020000B1202</v>
      </c>
      <c r="D405" t="str">
        <f>LEFT(modif0[[#This Row],[cdstr]],3)</f>
        <v>202</v>
      </c>
      <c r="E405" s="10" t="str">
        <f>objet!G206</f>
        <v>HOSTENS</v>
      </c>
      <c r="F405">
        <f>LEN(modif0[[#This Row],[l_dt]])</f>
        <v>8</v>
      </c>
      <c r="G405" s="10" t="str">
        <f>objet!H206</f>
        <v>LES BECS</v>
      </c>
      <c r="H405" s="10" t="str">
        <f>objet!C206</f>
        <v>B1202k</v>
      </c>
      <c r="I405" t="str">
        <f>IF(ISNUMBER(VALUE(RIGHT(LEFT(modif0[[#This Row],[idntfn]],2),1))),_xlfn.CONCAT(0,LEFT(modif0[[#This Row],[idntfn]],1)),LEFT(modif0[[#This Row],[idntfn]],2))</f>
        <v>0B</v>
      </c>
      <c r="J405">
        <f>VALUE(LEFT(RIGHT(modif0[[#This Row],[idntfn]],LEN(modif0[[#This Row],[idntfn]])-IF(LEFT(modif0[[#This Row],[sctn]],1)="0",1,2)),LEN(modif0[[#This Row],[idntfn]])-IF(LEFT(modif0[[#This Row],[sctn]],1)="0",1,2)-LEN(modif0[[#This Row],[lttr]])))</f>
        <v>1202</v>
      </c>
      <c r="K405" t="str">
        <f>IF(ISNUMBER(VALUE(RIGHT(modif0[[#This Row],[idntfn]],1))),"",IF(ISNUMBER(VALUE(LEFT(RIGHT(modif0[[#This Row],[idntfn]],2),1))),RIGHT(modif0[[#This Row],[idntfn]],1),RIGHT(modif0[[#This Row],[idntfn]],2)))</f>
        <v>k</v>
      </c>
      <c r="L405" s="10">
        <f>objet!I206</f>
        <v>1831</v>
      </c>
      <c r="M405" s="11">
        <f>modif0[[#This Row],[srfc]]/10000</f>
        <v>0.18310000000000001</v>
      </c>
      <c r="N405" s="10" t="str">
        <f>objet!Z206</f>
        <v>FEUIL</v>
      </c>
      <c r="O405" s="10" t="str">
        <f>objet!AA206</f>
        <v>TAIL1985</v>
      </c>
      <c r="P405" t="str">
        <f>IF(ISNUMBER(modif0[[#This Row],[trvx]]),"",LEFT(modif0[[#This Row],[trvx]],LEN(modif0[[#This Row],[trvx]])-4))</f>
        <v>TAIL</v>
      </c>
      <c r="Q405">
        <f>VALUE(RIGHT(modif0[[#This Row],[trvx]],4))</f>
        <v>1985</v>
      </c>
      <c r="R405" t="str">
        <f>_xlfn.CONCAT(modif0[[#This Row],[tp]],"-",modif0[[#This Row],[essnc]],"_",modif0[[#This Row],[anns]])</f>
        <v>TAIL-FEUIL_1985</v>
      </c>
      <c r="S405" t="b">
        <f>modif0[[#This Row],[tp]]="CR"</f>
        <v>0</v>
      </c>
      <c r="T405">
        <v>40</v>
      </c>
      <c r="U405" t="str">
        <f>IF(NOT($A405),"",
IF(AO405=-2,regle!$J$11,
IF(AO405=regle!$B$12,regle!$B$11,
IF(AO405=regle!$C$12,regle!$C$11,
IF(AO405=regle!$D$12,regle!$D$11,
IF(AO405=regle!$E$12,regle!$E$11,
IF(AO405=regle!$F$12,regle!$F$11,
IF(AO405=regle!$G$12,regle!$G$11,
IF(AO405=regle!$H$12,regle!$H$11,
IF(AO405=regle!$I$12,regle!$I$11,""))))))))))</f>
        <v/>
      </c>
      <c r="V405" t="str">
        <f>IF(NOT($A405),"",
IF(AP405=-2,regle!$J$11,
IF(AP405=regle!$B$12,regle!$B$11,
IF(AP405=regle!$C$12,regle!$C$11,
IF(AP405=regle!$D$12,regle!$D$11,
IF(AP405=regle!$E$12,regle!$E$11,
IF(AP405=regle!$F$12,regle!$F$11,
IF(AP405=regle!$G$12,regle!$G$11,
IF(AP405=regle!$H$12,regle!$H$11,
IF(AP405=regle!$I$12,regle!$I$11,""))))))))))</f>
        <v/>
      </c>
      <c r="W405" t="str">
        <f>IF(NOT($A405),"",
IF(AQ405=-2,regle!$J$11,
IF(AQ405=regle!$B$12,regle!$B$11,
IF(AQ405=regle!$C$12,regle!$C$11,
IF(AQ405=regle!$D$12,regle!$D$11,
IF(AQ405=regle!$E$12,regle!$E$11,
IF(AQ405=regle!$F$12,regle!$F$11,
IF(AQ405=regle!$G$12,regle!$G$11,
IF(AQ405=regle!$H$12,regle!$H$11,
IF(AQ405=regle!$I$12,regle!$I$11,""))))))))))</f>
        <v/>
      </c>
      <c r="X405" t="str">
        <f>IF(NOT($A405),"",
IF(AR405=-2,regle!$J$11,
IF(AR405=regle!$B$12,regle!$B$11,
IF(AR405=regle!$C$12,regle!$C$11,
IF(AR405=regle!$D$12,regle!$D$11,
IF(AR405=regle!$E$12,regle!$E$11,
IF(AR405=regle!$F$12,regle!$F$11,
IF(AR405=regle!$G$12,regle!$G$11,
IF(AR405=regle!$H$12,regle!$H$11,
IF(AR405=regle!$I$12,regle!$I$11,""))))))))))</f>
        <v/>
      </c>
      <c r="Y405" t="str">
        <f>IF(NOT($A405),"",
IF(AS405=-2,regle!$J$11,
IF(AS405=regle!$B$12,regle!$B$11,
IF(AS405=regle!$C$12,regle!$C$11,
IF(AS405=regle!$D$12,regle!$D$11,
IF(AS405=regle!$E$12,regle!$E$11,
IF(AS405=regle!$F$12,regle!$F$11,
IF(AS405=regle!$G$12,regle!$G$11,
IF(AS405=regle!$H$12,regle!$H$11,
IF(AS405=regle!$I$12,regle!$I$11,""))))))))))</f>
        <v/>
      </c>
      <c r="Z405" t="str">
        <f>IF(NOT($A405),"",
IF(AT405=-2,regle!$J$11,
IF(AT405=regle!$B$12,regle!$B$11,
IF(AT405=regle!$C$12,regle!$C$11,
IF(AT405=regle!$D$12,regle!$D$11,
IF(AT405=regle!$E$12,regle!$E$11,
IF(AT405=regle!$F$12,regle!$F$11,
IF(AT405=regle!$G$12,regle!$G$11,
IF(AT405=regle!$H$12,regle!$H$11,
IF(AT405=regle!$I$12,regle!$I$11,""))))))))))</f>
        <v/>
      </c>
      <c r="AA405" t="str">
        <f>IF(NOT($A405),"",
IF(AU405=-2,regle!$J$11,
IF(AU405=regle!$B$12,regle!$B$11,
IF(AU405=regle!$C$12,regle!$C$11,
IF(AU405=regle!$D$12,regle!$D$11,
IF(AU405=regle!$E$12,regle!$E$11,
IF(AU405=regle!$F$12,regle!$F$11,
IF(AU405=regle!$G$12,regle!$G$11,
IF(AU405=regle!$H$12,regle!$H$11,
IF(AU405=regle!$I$12,regle!$I$11,""))))))))))</f>
        <v/>
      </c>
      <c r="AB405" t="str">
        <f>IF(NOT($A405),"",
IF(AV405=-2,regle!$J$11,
IF(AV405=regle!$B$12,regle!$B$11,
IF(AV405=regle!$C$12,regle!$C$11,
IF(AV405=regle!$D$12,regle!$D$11,
IF(AV405=regle!$E$12,regle!$E$11,
IF(AV405=regle!$F$12,regle!$F$11,
IF(AV405=regle!$G$12,regle!$G$11,
IF(AV405=regle!$H$12,regle!$H$11,
IF(AV405=regle!$I$12,regle!$I$11,""))))))))))</f>
        <v/>
      </c>
      <c r="AC405" t="str">
        <f>IF(NOT($A405),"",
IF(AW405=-2,regle!$J$11,
IF(AW405=regle!$B$12,regle!$B$11,
IF(AW405=regle!$C$12,regle!$C$11,
IF(AW405=regle!$D$12,regle!$D$11,
IF(AW405=regle!$E$12,regle!$E$11,
IF(AW405=regle!$F$12,regle!$F$11,
IF(AW405=regle!$G$12,regle!$G$11,
IF(AW405=regle!$H$12,regle!$H$11,
IF(AW405=regle!$I$12,regle!$I$11,""))))))))))</f>
        <v/>
      </c>
      <c r="AD405" t="str">
        <f>IF(NOT($A405),"",
IF(AX405=-2,regle!$J$11,
IF(AX405=regle!$B$12,regle!$B$11,
IF(AX405=regle!$C$12,regle!$C$11,
IF(AX405=regle!$D$12,regle!$D$11,
IF(AX405=regle!$E$12,regle!$E$11,
IF(AX405=regle!$F$12,regle!$F$11,
IF(AX405=regle!$G$12,regle!$G$11,
IF(AX405=regle!$H$12,regle!$H$11,
IF(AX405=regle!$I$12,regle!$I$11,""))))))))))</f>
        <v/>
      </c>
      <c r="AE405" s="14" t="b">
        <f>IF($A405,$M405*(IF(U405=regle!$B$11,regle!$B$23,IF(U405=regle!$C$11,regle!$C$23,IF(U405=regle!$D$11,regle!$D$23,IF(U405=regle!$E$11,regle!$E$23,IF(U405=regle!$F$11,regle!$F$23,IF(U405=regle!$G$11,regle!$G$23,IF(U405=regle!$H$11,regle!$H$23,IF(U405=regle!$I$11,regle!$I$23,IF(U405=regle!$J$11,regle!$J$23,0)))))))))))</f>
        <v>0</v>
      </c>
      <c r="AF405" s="14" t="b">
        <f>IF($A405,$M405*(IF(V405=regle!$B$11,regle!$B$23,IF(V405=regle!$C$11,regle!$C$23,IF(V405=regle!$D$11,regle!$D$23,IF(V405=regle!$E$11,regle!$E$23,IF(V405=regle!$F$11,regle!$F$23,IF(V405=regle!$G$11,regle!$G$23,IF(V405=regle!$H$11,regle!$H$23,IF(V405=regle!$I$11,regle!$I$23,IF(V405=regle!$J$11,regle!$J$23,0)))))))))))</f>
        <v>0</v>
      </c>
      <c r="AG405" s="14" t="b">
        <f>IF($A405,$M405*(IF(W405=regle!$B$11,regle!$B$23,IF(W405=regle!$C$11,regle!$C$23,IF(W405=regle!$D$11,regle!$D$23,IF(W405=regle!$E$11,regle!$E$23,IF(W405=regle!$F$11,regle!$F$23,IF(W405=regle!$G$11,regle!$G$23,IF(W405=regle!$H$11,regle!$H$23,IF(W405=regle!$I$11,regle!$I$23,IF(W405=regle!$J$11,regle!$J$23,0)))))))))))</f>
        <v>0</v>
      </c>
      <c r="AH405" s="14" t="b">
        <f>IF($A405,$M405*(IF(X405=regle!$B$11,regle!$B$23,IF(X405=regle!$C$11,regle!$C$23,IF(X405=regle!$D$11,regle!$D$23,IF(X405=regle!$E$11,regle!$E$23,IF(X405=regle!$F$11,regle!$F$23,IF(X405=regle!$G$11,regle!$G$23,IF(X405=regle!$H$11,regle!$H$23,IF(X405=regle!$I$11,regle!$I$23,IF(X405=regle!$J$11,regle!$J$23,0)))))))))))</f>
        <v>0</v>
      </c>
      <c r="AI405" s="14" t="b">
        <f>IF($A405,$M405*(IF(Y405=regle!$B$11,regle!$B$23,IF(Y405=regle!$C$11,regle!$C$23,IF(Y405=regle!$D$11,regle!$D$23,IF(Y405=regle!$E$11,regle!$E$23,IF(Y405=regle!$F$11,regle!$F$23,IF(Y405=regle!$G$11,regle!$G$23,IF(Y405=regle!$H$11,regle!$H$23,IF(Y405=regle!$I$11,regle!$I$23,IF(Y405=regle!$J$11,regle!$J$23,0)))))))))))</f>
        <v>0</v>
      </c>
      <c r="AJ405" s="14" t="b">
        <f>IF($A405,$M405*(IF(Z405=regle!$B$11,regle!$B$23,IF(Z405=regle!$C$11,regle!$C$23,IF(Z405=regle!$D$11,regle!$D$23,IF(Z405=regle!$E$11,regle!$E$23,IF(Z405=regle!$F$11,regle!$F$23,IF(Z405=regle!$G$11,regle!$G$23,IF(Z405=regle!$H$11,regle!$H$23,IF(Z405=regle!$I$11,regle!$I$23,IF(Z405=regle!$J$11,regle!$J$23,0)))))))))))</f>
        <v>0</v>
      </c>
      <c r="AK405" s="14" t="b">
        <f>IF($A405,$M405*(IF(AA405=regle!$B$11,regle!$B$23,IF(AA405=regle!$C$11,regle!$C$23,IF(AA405=regle!$D$11,regle!$D$23,IF(AA405=regle!$E$11,regle!$E$23,IF(AA405=regle!$F$11,regle!$F$23,IF(AA405=regle!$G$11,regle!$G$23,IF(AA405=regle!$H$11,regle!$H$23,IF(AA405=regle!$I$11,regle!$I$23,IF(AA405=regle!$J$11,regle!$J$23,0)))))))))))</f>
        <v>0</v>
      </c>
      <c r="AL405" s="14" t="b">
        <f>IF($A405,$M405*(IF(AB405=regle!$B$11,regle!$B$23,IF(AB405=regle!$C$11,regle!$C$23,IF(AB405=regle!$D$11,regle!$D$23,IF(AB405=regle!$E$11,regle!$E$23,IF(AB405=regle!$F$11,regle!$F$23,IF(AB405=regle!$G$11,regle!$G$23,IF(AB405=regle!$H$11,regle!$H$23,IF(AB405=regle!$I$11,regle!$I$23,IF(AB405=regle!$J$11,regle!$J$23,0)))))))))))</f>
        <v>0</v>
      </c>
      <c r="AM405" s="14" t="b">
        <f>IF($A405,$M405*(IF(AC405=regle!$B$11,regle!$B$23,IF(AC405=regle!$C$11,regle!$C$23,IF(AC405=regle!$D$11,regle!$D$23,IF(AC405=regle!$E$11,regle!$E$23,IF(AC405=regle!$F$11,regle!$F$23,IF(AC405=regle!$G$11,regle!$G$23,IF(AC405=regle!$H$11,regle!$H$23,IF(AC405=regle!$I$11,regle!$I$23,IF(AC405=regle!$J$11,regle!$J$23,0)))))))))))</f>
        <v>0</v>
      </c>
      <c r="AN405" s="14" t="b">
        <f>IF($A405,$M405*(IF(AD405=regle!$B$11,regle!$B$23,IF(AD405=regle!$C$11,regle!$C$23,IF(AD405=regle!$D$11,regle!$D$23,IF(AD405=regle!$E$11,regle!$E$23,IF(AD405=regle!$F$11,regle!$F$23,IF(AD405=regle!$G$11,regle!$G$23,IF(AD405=regle!$H$11,regle!$H$23,IF(AD405=regle!$I$11,regle!$I$23,IF(AD405=regle!$J$11,regle!$J$23,0)))))))))))</f>
        <v>0</v>
      </c>
      <c r="AO405">
        <f>IF(AO$1=$AO$1,IF(regle!B$2-$Q405&gt;=regle!$J$12,-2,IF($S405,IF(regle!$B$2-$Q405&gt;=2,0,-1),regle!B$2-$Q405)),IF(AN405+1&gt;=regle!$J$12,-2,AN405+1))</f>
        <v>39</v>
      </c>
      <c r="AP405">
        <f>IF(AP$1=$AO$1,IF(regle!C$2-$Q405&gt;=regle!$J$12,-2,IF($S405,IF(regle!$B$2-$Q405&gt;=2,0,-1),regle!C$2-$Q405)),IF(AO405+1&gt;=regle!$J$12,-2,AO405+1))</f>
        <v>-2</v>
      </c>
      <c r="AQ405">
        <f>IF(AQ$1=$AO$1,IF(regle!D$2-$Q405&gt;=regle!$J$12,-2,IF($S405,IF(regle!$B$2-$Q405&gt;=2,0,-1),regle!D$2-$Q405)),IF(AP405+1&gt;=regle!$J$12,-2,AP405+1))</f>
        <v>-1</v>
      </c>
      <c r="AR405">
        <f>IF(AR$1=$AO$1,IF(regle!E$2-$Q405&gt;=regle!$J$12,-2,IF($S405,IF(regle!$B$2-$Q405&gt;=2,0,-1),regle!E$2-$Q405)),IF(AQ405+1&gt;=regle!$J$12,-2,AQ405+1))</f>
        <v>0</v>
      </c>
      <c r="AS405">
        <f>IF(AS$1=$AO$1,IF(regle!F$2-$Q405&gt;=regle!$J$12,-2,IF($S405,IF(regle!$B$2-$Q405&gt;=2,0,-1),regle!F$2-$Q405)),IF(AR405+1&gt;=regle!$J$12,-2,AR405+1))</f>
        <v>1</v>
      </c>
      <c r="AT405">
        <f>IF(AT$1=$AO$1,IF(regle!G$2-$Q405&gt;=regle!$J$12,-2,IF($S405,IF(regle!$B$2-$Q405&gt;=2,0,-1),regle!G$2-$Q405)),IF(AS405+1&gt;=regle!$J$12,-2,AS405+1))</f>
        <v>2</v>
      </c>
      <c r="AU405">
        <f>IF(AU$1=$AO$1,IF(regle!H$2-$Q405&gt;=regle!$J$12,-2,IF($S405,IF(regle!$B$2-$Q405&gt;=2,0,-1),regle!H$2-$Q405)),IF(AT405+1&gt;=regle!$J$12,-2,AT405+1))</f>
        <v>3</v>
      </c>
      <c r="AV405">
        <f>IF(AV$1=$AO$1,IF(regle!I$2-$Q405&gt;=regle!$J$12,-2,IF($S405,IF(regle!$B$2-$Q405&gt;=2,0,-1),regle!I$2-$Q405)),IF(AU405+1&gt;=regle!$J$12,-2,AU405+1))</f>
        <v>4</v>
      </c>
      <c r="AW405">
        <f>IF(AW$1=$AO$1,IF(regle!J$2-$Q405&gt;=regle!$J$12,-2,IF($S405,IF(regle!$B$2-$Q405&gt;=2,0,-1),regle!J$2-$Q405)),IF(AV405+1&gt;=regle!$J$12,-2,AV405+1))</f>
        <v>5</v>
      </c>
      <c r="AX405">
        <f>IF(AX$1=$AO$1,IF(regle!K$2-$Q405&gt;=regle!$J$12,-2,IF($S405,IF(regle!$B$2-$Q405&gt;=2,0,-1),regle!K$2-$Q405)),IF(AW405+1&gt;=regle!$J$12,-2,AW405+1))</f>
        <v>6</v>
      </c>
    </row>
    <row r="406" spans="1:50" x14ac:dyDescent="0.25">
      <c r="A406" t="b">
        <f>AND(modif0[[#This Row],[cdstr]]&lt;&gt;0,OR(regle!$H$27=FALSE,modif0[[#This Row],[essnc]]="PM"))</f>
        <v>0</v>
      </c>
      <c r="B406">
        <f>ROW(objet!A209)</f>
        <v>209</v>
      </c>
      <c r="C406" s="10" t="str">
        <f>objet!D209</f>
        <v>2020000B1205</v>
      </c>
      <c r="D406" t="str">
        <f>LEFT(modif0[[#This Row],[cdstr]],3)</f>
        <v>202</v>
      </c>
      <c r="E406" s="10" t="str">
        <f>objet!G209</f>
        <v>HOSTENS</v>
      </c>
      <c r="F406">
        <f>LEN(modif0[[#This Row],[l_dt]])</f>
        <v>8</v>
      </c>
      <c r="G406" s="10" t="str">
        <f>objet!H209</f>
        <v>LES BECS</v>
      </c>
      <c r="H406" s="10" t="str">
        <f>objet!C209</f>
        <v>B1205</v>
      </c>
      <c r="I406" t="str">
        <f>IF(ISNUMBER(VALUE(RIGHT(LEFT(modif0[[#This Row],[idntfn]],2),1))),_xlfn.CONCAT(0,LEFT(modif0[[#This Row],[idntfn]],1)),LEFT(modif0[[#This Row],[idntfn]],2))</f>
        <v>0B</v>
      </c>
      <c r="J406">
        <f>VALUE(LEFT(RIGHT(modif0[[#This Row],[idntfn]],LEN(modif0[[#This Row],[idntfn]])-IF(LEFT(modif0[[#This Row],[sctn]],1)="0",1,2)),LEN(modif0[[#This Row],[idntfn]])-IF(LEFT(modif0[[#This Row],[sctn]],1)="0",1,2)-LEN(modif0[[#This Row],[lttr]])))</f>
        <v>1205</v>
      </c>
      <c r="K406" t="str">
        <f>IF(ISNUMBER(VALUE(RIGHT(modif0[[#This Row],[idntfn]],1))),"",IF(ISNUMBER(VALUE(LEFT(RIGHT(modif0[[#This Row],[idntfn]],2),1))),RIGHT(modif0[[#This Row],[idntfn]],1),RIGHT(modif0[[#This Row],[idntfn]],2)))</f>
        <v/>
      </c>
      <c r="L406" s="10">
        <f>objet!I209</f>
        <v>965</v>
      </c>
      <c r="M406" s="11">
        <f>modif0[[#This Row],[srfc]]/10000</f>
        <v>9.6500000000000002E-2</v>
      </c>
      <c r="N406" s="10" t="str">
        <f>objet!Z209</f>
        <v>FEUIL</v>
      </c>
      <c r="O406" s="10" t="str">
        <f>objet!AA209</f>
        <v>TAIL2013</v>
      </c>
      <c r="P406" t="str">
        <f>IF(ISNUMBER(modif0[[#This Row],[trvx]]),"",LEFT(modif0[[#This Row],[trvx]],LEN(modif0[[#This Row],[trvx]])-4))</f>
        <v>TAIL</v>
      </c>
      <c r="Q406">
        <f>VALUE(RIGHT(modif0[[#This Row],[trvx]],4))</f>
        <v>2013</v>
      </c>
      <c r="R406" t="str">
        <f>_xlfn.CONCAT(modif0[[#This Row],[tp]],"-",modif0[[#This Row],[essnc]],"_",modif0[[#This Row],[anns]])</f>
        <v>TAIL-FEUIL_2013</v>
      </c>
      <c r="S406" t="b">
        <f>modif0[[#This Row],[tp]]="CR"</f>
        <v>0</v>
      </c>
      <c r="T406">
        <v>40</v>
      </c>
      <c r="U406" t="str">
        <f>IF(NOT($A406),"",
IF(AO406=-2,regle!$J$11,
IF(AO406=regle!$B$12,regle!$B$11,
IF(AO406=regle!$C$12,regle!$C$11,
IF(AO406=regle!$D$12,regle!$D$11,
IF(AO406=regle!$E$12,regle!$E$11,
IF(AO406=regle!$F$12,regle!$F$11,
IF(AO406=regle!$G$12,regle!$G$11,
IF(AO406=regle!$H$12,regle!$H$11,
IF(AO406=regle!$I$12,regle!$I$11,""))))))))))</f>
        <v/>
      </c>
      <c r="V406" t="str">
        <f>IF(NOT($A406),"",
IF(AP406=-2,regle!$J$11,
IF(AP406=regle!$B$12,regle!$B$11,
IF(AP406=regle!$C$12,regle!$C$11,
IF(AP406=regle!$D$12,regle!$D$11,
IF(AP406=regle!$E$12,regle!$E$11,
IF(AP406=regle!$F$12,regle!$F$11,
IF(AP406=regle!$G$12,regle!$G$11,
IF(AP406=regle!$H$12,regle!$H$11,
IF(AP406=regle!$I$12,regle!$I$11,""))))))))))</f>
        <v/>
      </c>
      <c r="W406" t="str">
        <f>IF(NOT($A406),"",
IF(AQ406=-2,regle!$J$11,
IF(AQ406=regle!$B$12,regle!$B$11,
IF(AQ406=regle!$C$12,regle!$C$11,
IF(AQ406=regle!$D$12,regle!$D$11,
IF(AQ406=regle!$E$12,regle!$E$11,
IF(AQ406=regle!$F$12,regle!$F$11,
IF(AQ406=regle!$G$12,regle!$G$11,
IF(AQ406=regle!$H$12,regle!$H$11,
IF(AQ406=regle!$I$12,regle!$I$11,""))))))))))</f>
        <v/>
      </c>
      <c r="X406" t="str">
        <f>IF(NOT($A406),"",
IF(AR406=-2,regle!$J$11,
IF(AR406=regle!$B$12,regle!$B$11,
IF(AR406=regle!$C$12,regle!$C$11,
IF(AR406=regle!$D$12,regle!$D$11,
IF(AR406=regle!$E$12,regle!$E$11,
IF(AR406=regle!$F$12,regle!$F$11,
IF(AR406=regle!$G$12,regle!$G$11,
IF(AR406=regle!$H$12,regle!$H$11,
IF(AR406=regle!$I$12,regle!$I$11,""))))))))))</f>
        <v/>
      </c>
      <c r="Y406" t="str">
        <f>IF(NOT($A406),"",
IF(AS406=-2,regle!$J$11,
IF(AS406=regle!$B$12,regle!$B$11,
IF(AS406=regle!$C$12,regle!$C$11,
IF(AS406=regle!$D$12,regle!$D$11,
IF(AS406=regle!$E$12,regle!$E$11,
IF(AS406=regle!$F$12,regle!$F$11,
IF(AS406=regle!$G$12,regle!$G$11,
IF(AS406=regle!$H$12,regle!$H$11,
IF(AS406=regle!$I$12,regle!$I$11,""))))))))))</f>
        <v/>
      </c>
      <c r="Z406" t="str">
        <f>IF(NOT($A406),"",
IF(AT406=-2,regle!$J$11,
IF(AT406=regle!$B$12,regle!$B$11,
IF(AT406=regle!$C$12,regle!$C$11,
IF(AT406=regle!$D$12,regle!$D$11,
IF(AT406=regle!$E$12,regle!$E$11,
IF(AT406=regle!$F$12,regle!$F$11,
IF(AT406=regle!$G$12,regle!$G$11,
IF(AT406=regle!$H$12,regle!$H$11,
IF(AT406=regle!$I$12,regle!$I$11,""))))))))))</f>
        <v/>
      </c>
      <c r="AA406" t="str">
        <f>IF(NOT($A406),"",
IF(AU406=-2,regle!$J$11,
IF(AU406=regle!$B$12,regle!$B$11,
IF(AU406=regle!$C$12,regle!$C$11,
IF(AU406=regle!$D$12,regle!$D$11,
IF(AU406=regle!$E$12,regle!$E$11,
IF(AU406=regle!$F$12,regle!$F$11,
IF(AU406=regle!$G$12,regle!$G$11,
IF(AU406=regle!$H$12,regle!$H$11,
IF(AU406=regle!$I$12,regle!$I$11,""))))))))))</f>
        <v/>
      </c>
      <c r="AB406" t="str">
        <f>IF(NOT($A406),"",
IF(AV406=-2,regle!$J$11,
IF(AV406=regle!$B$12,regle!$B$11,
IF(AV406=regle!$C$12,regle!$C$11,
IF(AV406=regle!$D$12,regle!$D$11,
IF(AV406=regle!$E$12,regle!$E$11,
IF(AV406=regle!$F$12,regle!$F$11,
IF(AV406=regle!$G$12,regle!$G$11,
IF(AV406=regle!$H$12,regle!$H$11,
IF(AV406=regle!$I$12,regle!$I$11,""))))))))))</f>
        <v/>
      </c>
      <c r="AC406" t="str">
        <f>IF(NOT($A406),"",
IF(AW406=-2,regle!$J$11,
IF(AW406=regle!$B$12,regle!$B$11,
IF(AW406=regle!$C$12,regle!$C$11,
IF(AW406=regle!$D$12,regle!$D$11,
IF(AW406=regle!$E$12,regle!$E$11,
IF(AW406=regle!$F$12,regle!$F$11,
IF(AW406=regle!$G$12,regle!$G$11,
IF(AW406=regle!$H$12,regle!$H$11,
IF(AW406=regle!$I$12,regle!$I$11,""))))))))))</f>
        <v/>
      </c>
      <c r="AD406" t="str">
        <f>IF(NOT($A406),"",
IF(AX406=-2,regle!$J$11,
IF(AX406=regle!$B$12,regle!$B$11,
IF(AX406=regle!$C$12,regle!$C$11,
IF(AX406=regle!$D$12,regle!$D$11,
IF(AX406=regle!$E$12,regle!$E$11,
IF(AX406=regle!$F$12,regle!$F$11,
IF(AX406=regle!$G$12,regle!$G$11,
IF(AX406=regle!$H$12,regle!$H$11,
IF(AX406=regle!$I$12,regle!$I$11,""))))))))))</f>
        <v/>
      </c>
      <c r="AE406" s="14" t="b">
        <f>IF($A406,$M406*(IF(U406=regle!$B$11,regle!$B$23,IF(U406=regle!$C$11,regle!$C$23,IF(U406=regle!$D$11,regle!$D$23,IF(U406=regle!$E$11,regle!$E$23,IF(U406=regle!$F$11,regle!$F$23,IF(U406=regle!$G$11,regle!$G$23,IF(U406=regle!$H$11,regle!$H$23,IF(U406=regle!$I$11,regle!$I$23,IF(U406=regle!$J$11,regle!$J$23,0)))))))))))</f>
        <v>0</v>
      </c>
      <c r="AF406" s="14" t="b">
        <f>IF($A406,$M406*(IF(V406=regle!$B$11,regle!$B$23,IF(V406=regle!$C$11,regle!$C$23,IF(V406=regle!$D$11,regle!$D$23,IF(V406=regle!$E$11,regle!$E$23,IF(V406=regle!$F$11,regle!$F$23,IF(V406=regle!$G$11,regle!$G$23,IF(V406=regle!$H$11,regle!$H$23,IF(V406=regle!$I$11,regle!$I$23,IF(V406=regle!$J$11,regle!$J$23,0)))))))))))</f>
        <v>0</v>
      </c>
      <c r="AG406" s="14" t="b">
        <f>IF($A406,$M406*(IF(W406=regle!$B$11,regle!$B$23,IF(W406=regle!$C$11,regle!$C$23,IF(W406=regle!$D$11,regle!$D$23,IF(W406=regle!$E$11,regle!$E$23,IF(W406=regle!$F$11,regle!$F$23,IF(W406=regle!$G$11,regle!$G$23,IF(W406=regle!$H$11,regle!$H$23,IF(W406=regle!$I$11,regle!$I$23,IF(W406=regle!$J$11,regle!$J$23,0)))))))))))</f>
        <v>0</v>
      </c>
      <c r="AH406" s="14" t="b">
        <f>IF($A406,$M406*(IF(X406=regle!$B$11,regle!$B$23,IF(X406=regle!$C$11,regle!$C$23,IF(X406=regle!$D$11,regle!$D$23,IF(X406=regle!$E$11,regle!$E$23,IF(X406=regle!$F$11,regle!$F$23,IF(X406=regle!$G$11,regle!$G$23,IF(X406=regle!$H$11,regle!$H$23,IF(X406=regle!$I$11,regle!$I$23,IF(X406=regle!$J$11,regle!$J$23,0)))))))))))</f>
        <v>0</v>
      </c>
      <c r="AI406" s="14" t="b">
        <f>IF($A406,$M406*(IF(Y406=regle!$B$11,regle!$B$23,IF(Y406=regle!$C$11,regle!$C$23,IF(Y406=regle!$D$11,regle!$D$23,IF(Y406=regle!$E$11,regle!$E$23,IF(Y406=regle!$F$11,regle!$F$23,IF(Y406=regle!$G$11,regle!$G$23,IF(Y406=regle!$H$11,regle!$H$23,IF(Y406=regle!$I$11,regle!$I$23,IF(Y406=regle!$J$11,regle!$J$23,0)))))))))))</f>
        <v>0</v>
      </c>
      <c r="AJ406" s="14" t="b">
        <f>IF($A406,$M406*(IF(Z406=regle!$B$11,regle!$B$23,IF(Z406=regle!$C$11,regle!$C$23,IF(Z406=regle!$D$11,regle!$D$23,IF(Z406=regle!$E$11,regle!$E$23,IF(Z406=regle!$F$11,regle!$F$23,IF(Z406=regle!$G$11,regle!$G$23,IF(Z406=regle!$H$11,regle!$H$23,IF(Z406=regle!$I$11,regle!$I$23,IF(Z406=regle!$J$11,regle!$J$23,0)))))))))))</f>
        <v>0</v>
      </c>
      <c r="AK406" s="14" t="b">
        <f>IF($A406,$M406*(IF(AA406=regle!$B$11,regle!$B$23,IF(AA406=regle!$C$11,regle!$C$23,IF(AA406=regle!$D$11,regle!$D$23,IF(AA406=regle!$E$11,regle!$E$23,IF(AA406=regle!$F$11,regle!$F$23,IF(AA406=regle!$G$11,regle!$G$23,IF(AA406=regle!$H$11,regle!$H$23,IF(AA406=regle!$I$11,regle!$I$23,IF(AA406=regle!$J$11,regle!$J$23,0)))))))))))</f>
        <v>0</v>
      </c>
      <c r="AL406" s="14" t="b">
        <f>IF($A406,$M406*(IF(AB406=regle!$B$11,regle!$B$23,IF(AB406=regle!$C$11,regle!$C$23,IF(AB406=regle!$D$11,regle!$D$23,IF(AB406=regle!$E$11,regle!$E$23,IF(AB406=regle!$F$11,regle!$F$23,IF(AB406=regle!$G$11,regle!$G$23,IF(AB406=regle!$H$11,regle!$H$23,IF(AB406=regle!$I$11,regle!$I$23,IF(AB406=regle!$J$11,regle!$J$23,0)))))))))))</f>
        <v>0</v>
      </c>
      <c r="AM406" s="14" t="b">
        <f>IF($A406,$M406*(IF(AC406=regle!$B$11,regle!$B$23,IF(AC406=regle!$C$11,regle!$C$23,IF(AC406=regle!$D$11,regle!$D$23,IF(AC406=regle!$E$11,regle!$E$23,IF(AC406=regle!$F$11,regle!$F$23,IF(AC406=regle!$G$11,regle!$G$23,IF(AC406=regle!$H$11,regle!$H$23,IF(AC406=regle!$I$11,regle!$I$23,IF(AC406=regle!$J$11,regle!$J$23,0)))))))))))</f>
        <v>0</v>
      </c>
      <c r="AN406" s="14" t="b">
        <f>IF($A406,$M406*(IF(AD406=regle!$B$11,regle!$B$23,IF(AD406=regle!$C$11,regle!$C$23,IF(AD406=regle!$D$11,regle!$D$23,IF(AD406=regle!$E$11,regle!$E$23,IF(AD406=regle!$F$11,regle!$F$23,IF(AD406=regle!$G$11,regle!$G$23,IF(AD406=regle!$H$11,regle!$H$23,IF(AD406=regle!$I$11,regle!$I$23,IF(AD406=regle!$J$11,regle!$J$23,0)))))))))))</f>
        <v>0</v>
      </c>
      <c r="AO406">
        <f>IF(AO$1=$AO$1,IF(regle!B$2-$Q406&gt;=regle!$J$12,-2,IF($S406,IF(regle!$B$2-$Q406&gt;=2,0,-1),regle!B$2-$Q406)),IF(AN406+1&gt;=regle!$J$12,-2,AN406+1))</f>
        <v>11</v>
      </c>
      <c r="AP406">
        <f>IF(AP$1=$AO$1,IF(regle!C$2-$Q406&gt;=regle!$J$12,-2,IF($S406,IF(regle!$B$2-$Q406&gt;=2,0,-1),regle!C$2-$Q406)),IF(AO406+1&gt;=regle!$J$12,-2,AO406+1))</f>
        <v>12</v>
      </c>
      <c r="AQ406">
        <f>IF(AQ$1=$AO$1,IF(regle!D$2-$Q406&gt;=regle!$J$12,-2,IF($S406,IF(regle!$B$2-$Q406&gt;=2,0,-1),regle!D$2-$Q406)),IF(AP406+1&gt;=regle!$J$12,-2,AP406+1))</f>
        <v>13</v>
      </c>
      <c r="AR406">
        <f>IF(AR$1=$AO$1,IF(regle!E$2-$Q406&gt;=regle!$J$12,-2,IF($S406,IF(regle!$B$2-$Q406&gt;=2,0,-1),regle!E$2-$Q406)),IF(AQ406+1&gt;=regle!$J$12,-2,AQ406+1))</f>
        <v>14</v>
      </c>
      <c r="AS406">
        <f>IF(AS$1=$AO$1,IF(regle!F$2-$Q406&gt;=regle!$J$12,-2,IF($S406,IF(regle!$B$2-$Q406&gt;=2,0,-1),regle!F$2-$Q406)),IF(AR406+1&gt;=regle!$J$12,-2,AR406+1))</f>
        <v>15</v>
      </c>
      <c r="AT406">
        <f>IF(AT$1=$AO$1,IF(regle!G$2-$Q406&gt;=regle!$J$12,-2,IF($S406,IF(regle!$B$2-$Q406&gt;=2,0,-1),regle!G$2-$Q406)),IF(AS406+1&gt;=regle!$J$12,-2,AS406+1))</f>
        <v>16</v>
      </c>
      <c r="AU406">
        <f>IF(AU$1=$AO$1,IF(regle!H$2-$Q406&gt;=regle!$J$12,-2,IF($S406,IF(regle!$B$2-$Q406&gt;=2,0,-1),regle!H$2-$Q406)),IF(AT406+1&gt;=regle!$J$12,-2,AT406+1))</f>
        <v>17</v>
      </c>
      <c r="AV406">
        <f>IF(AV$1=$AO$1,IF(regle!I$2-$Q406&gt;=regle!$J$12,-2,IF($S406,IF(regle!$B$2-$Q406&gt;=2,0,-1),regle!I$2-$Q406)),IF(AU406+1&gt;=regle!$J$12,-2,AU406+1))</f>
        <v>18</v>
      </c>
      <c r="AW406">
        <f>IF(AW$1=$AO$1,IF(regle!J$2-$Q406&gt;=regle!$J$12,-2,IF($S406,IF(regle!$B$2-$Q406&gt;=2,0,-1),regle!J$2-$Q406)),IF(AV406+1&gt;=regle!$J$12,-2,AV406+1))</f>
        <v>19</v>
      </c>
      <c r="AX406">
        <f>IF(AX$1=$AO$1,IF(regle!K$2-$Q406&gt;=regle!$J$12,-2,IF($S406,IF(regle!$B$2-$Q406&gt;=2,0,-1),regle!K$2-$Q406)),IF(AW406+1&gt;=regle!$J$12,-2,AW406+1))</f>
        <v>20</v>
      </c>
    </row>
    <row r="407" spans="1:50" x14ac:dyDescent="0.25">
      <c r="A407" t="b">
        <f>AND(modif0[[#This Row],[cdstr]]&lt;&gt;0,OR(regle!$H$27=FALSE,modif0[[#This Row],[essnc]]="PM"))</f>
        <v>0</v>
      </c>
      <c r="B407">
        <f>ROW(objet!A210)</f>
        <v>210</v>
      </c>
      <c r="C407" s="10" t="str">
        <f>objet!D210</f>
        <v>2020000B1207</v>
      </c>
      <c r="D407" t="str">
        <f>LEFT(modif0[[#This Row],[cdstr]],3)</f>
        <v>202</v>
      </c>
      <c r="E407" s="10" t="str">
        <f>objet!G210</f>
        <v>HOSTENS</v>
      </c>
      <c r="F407">
        <f>LEN(modif0[[#This Row],[l_dt]])</f>
        <v>8</v>
      </c>
      <c r="G407" s="10" t="str">
        <f>objet!H210</f>
        <v>LES BECS</v>
      </c>
      <c r="H407" s="10" t="str">
        <f>objet!C210</f>
        <v>B1207</v>
      </c>
      <c r="I407" t="str">
        <f>IF(ISNUMBER(VALUE(RIGHT(LEFT(modif0[[#This Row],[idntfn]],2),1))),_xlfn.CONCAT(0,LEFT(modif0[[#This Row],[idntfn]],1)),LEFT(modif0[[#This Row],[idntfn]],2))</f>
        <v>0B</v>
      </c>
      <c r="J407">
        <f>VALUE(LEFT(RIGHT(modif0[[#This Row],[idntfn]],LEN(modif0[[#This Row],[idntfn]])-IF(LEFT(modif0[[#This Row],[sctn]],1)="0",1,2)),LEN(modif0[[#This Row],[idntfn]])-IF(LEFT(modif0[[#This Row],[sctn]],1)="0",1,2)-LEN(modif0[[#This Row],[lttr]])))</f>
        <v>1207</v>
      </c>
      <c r="K407" t="str">
        <f>IF(ISNUMBER(VALUE(RIGHT(modif0[[#This Row],[idntfn]],1))),"",IF(ISNUMBER(VALUE(LEFT(RIGHT(modif0[[#This Row],[idntfn]],2),1))),RIGHT(modif0[[#This Row],[idntfn]],1),RIGHT(modif0[[#This Row],[idntfn]],2)))</f>
        <v/>
      </c>
      <c r="L407" s="10">
        <f>objet!I210</f>
        <v>1480</v>
      </c>
      <c r="M407" s="11">
        <f>modif0[[#This Row],[srfc]]/10000</f>
        <v>0.14799999999999999</v>
      </c>
      <c r="N407" s="10" t="str">
        <f>objet!Z210</f>
        <v>FEUIL</v>
      </c>
      <c r="O407" s="10" t="str">
        <f>objet!AA210</f>
        <v>TAIL2013</v>
      </c>
      <c r="P407" t="str">
        <f>IF(ISNUMBER(modif0[[#This Row],[trvx]]),"",LEFT(modif0[[#This Row],[trvx]],LEN(modif0[[#This Row],[trvx]])-4))</f>
        <v>TAIL</v>
      </c>
      <c r="Q407">
        <f>VALUE(RIGHT(modif0[[#This Row],[trvx]],4))</f>
        <v>2013</v>
      </c>
      <c r="R407" t="str">
        <f>_xlfn.CONCAT(modif0[[#This Row],[tp]],"-",modif0[[#This Row],[essnc]],"_",modif0[[#This Row],[anns]])</f>
        <v>TAIL-FEUIL_2013</v>
      </c>
      <c r="S407" t="b">
        <f>modif0[[#This Row],[tp]]="CR"</f>
        <v>0</v>
      </c>
      <c r="T407">
        <v>40</v>
      </c>
      <c r="U407" t="str">
        <f>IF(NOT($A407),"",
IF(AO407=-2,regle!$J$11,
IF(AO407=regle!$B$12,regle!$B$11,
IF(AO407=regle!$C$12,regle!$C$11,
IF(AO407=regle!$D$12,regle!$D$11,
IF(AO407=regle!$E$12,regle!$E$11,
IF(AO407=regle!$F$12,regle!$F$11,
IF(AO407=regle!$G$12,regle!$G$11,
IF(AO407=regle!$H$12,regle!$H$11,
IF(AO407=regle!$I$12,regle!$I$11,""))))))))))</f>
        <v/>
      </c>
      <c r="V407" t="str">
        <f>IF(NOT($A407),"",
IF(AP407=-2,regle!$J$11,
IF(AP407=regle!$B$12,regle!$B$11,
IF(AP407=regle!$C$12,regle!$C$11,
IF(AP407=regle!$D$12,regle!$D$11,
IF(AP407=regle!$E$12,regle!$E$11,
IF(AP407=regle!$F$12,regle!$F$11,
IF(AP407=regle!$G$12,regle!$G$11,
IF(AP407=regle!$H$12,regle!$H$11,
IF(AP407=regle!$I$12,regle!$I$11,""))))))))))</f>
        <v/>
      </c>
      <c r="W407" t="str">
        <f>IF(NOT($A407),"",
IF(AQ407=-2,regle!$J$11,
IF(AQ407=regle!$B$12,regle!$B$11,
IF(AQ407=regle!$C$12,regle!$C$11,
IF(AQ407=regle!$D$12,regle!$D$11,
IF(AQ407=regle!$E$12,regle!$E$11,
IF(AQ407=regle!$F$12,regle!$F$11,
IF(AQ407=regle!$G$12,regle!$G$11,
IF(AQ407=regle!$H$12,regle!$H$11,
IF(AQ407=regle!$I$12,regle!$I$11,""))))))))))</f>
        <v/>
      </c>
      <c r="X407" t="str">
        <f>IF(NOT($A407),"",
IF(AR407=-2,regle!$J$11,
IF(AR407=regle!$B$12,regle!$B$11,
IF(AR407=regle!$C$12,regle!$C$11,
IF(AR407=regle!$D$12,regle!$D$11,
IF(AR407=regle!$E$12,regle!$E$11,
IF(AR407=regle!$F$12,regle!$F$11,
IF(AR407=regle!$G$12,regle!$G$11,
IF(AR407=regle!$H$12,regle!$H$11,
IF(AR407=regle!$I$12,regle!$I$11,""))))))))))</f>
        <v/>
      </c>
      <c r="Y407" t="str">
        <f>IF(NOT($A407),"",
IF(AS407=-2,regle!$J$11,
IF(AS407=regle!$B$12,regle!$B$11,
IF(AS407=regle!$C$12,regle!$C$11,
IF(AS407=regle!$D$12,regle!$D$11,
IF(AS407=regle!$E$12,regle!$E$11,
IF(AS407=regle!$F$12,regle!$F$11,
IF(AS407=regle!$G$12,regle!$G$11,
IF(AS407=regle!$H$12,regle!$H$11,
IF(AS407=regle!$I$12,regle!$I$11,""))))))))))</f>
        <v/>
      </c>
      <c r="Z407" t="str">
        <f>IF(NOT($A407),"",
IF(AT407=-2,regle!$J$11,
IF(AT407=regle!$B$12,regle!$B$11,
IF(AT407=regle!$C$12,regle!$C$11,
IF(AT407=regle!$D$12,regle!$D$11,
IF(AT407=regle!$E$12,regle!$E$11,
IF(AT407=regle!$F$12,regle!$F$11,
IF(AT407=regle!$G$12,regle!$G$11,
IF(AT407=regle!$H$12,regle!$H$11,
IF(AT407=regle!$I$12,regle!$I$11,""))))))))))</f>
        <v/>
      </c>
      <c r="AA407" t="str">
        <f>IF(NOT($A407),"",
IF(AU407=-2,regle!$J$11,
IF(AU407=regle!$B$12,regle!$B$11,
IF(AU407=regle!$C$12,regle!$C$11,
IF(AU407=regle!$D$12,regle!$D$11,
IF(AU407=regle!$E$12,regle!$E$11,
IF(AU407=regle!$F$12,regle!$F$11,
IF(AU407=regle!$G$12,regle!$G$11,
IF(AU407=regle!$H$12,regle!$H$11,
IF(AU407=regle!$I$12,regle!$I$11,""))))))))))</f>
        <v/>
      </c>
      <c r="AB407" t="str">
        <f>IF(NOT($A407),"",
IF(AV407=-2,regle!$J$11,
IF(AV407=regle!$B$12,regle!$B$11,
IF(AV407=regle!$C$12,regle!$C$11,
IF(AV407=regle!$D$12,regle!$D$11,
IF(AV407=regle!$E$12,regle!$E$11,
IF(AV407=regle!$F$12,regle!$F$11,
IF(AV407=regle!$G$12,regle!$G$11,
IF(AV407=regle!$H$12,regle!$H$11,
IF(AV407=regle!$I$12,regle!$I$11,""))))))))))</f>
        <v/>
      </c>
      <c r="AC407" t="str">
        <f>IF(NOT($A407),"",
IF(AW407=-2,regle!$J$11,
IF(AW407=regle!$B$12,regle!$B$11,
IF(AW407=regle!$C$12,regle!$C$11,
IF(AW407=regle!$D$12,regle!$D$11,
IF(AW407=regle!$E$12,regle!$E$11,
IF(AW407=regle!$F$12,regle!$F$11,
IF(AW407=regle!$G$12,regle!$G$11,
IF(AW407=regle!$H$12,regle!$H$11,
IF(AW407=regle!$I$12,regle!$I$11,""))))))))))</f>
        <v/>
      </c>
      <c r="AD407" t="str">
        <f>IF(NOT($A407),"",
IF(AX407=-2,regle!$J$11,
IF(AX407=regle!$B$12,regle!$B$11,
IF(AX407=regle!$C$12,regle!$C$11,
IF(AX407=regle!$D$12,regle!$D$11,
IF(AX407=regle!$E$12,regle!$E$11,
IF(AX407=regle!$F$12,regle!$F$11,
IF(AX407=regle!$G$12,regle!$G$11,
IF(AX407=regle!$H$12,regle!$H$11,
IF(AX407=regle!$I$12,regle!$I$11,""))))))))))</f>
        <v/>
      </c>
      <c r="AE407" s="14" t="b">
        <f>IF($A407,$M407*(IF(U407=regle!$B$11,regle!$B$23,IF(U407=regle!$C$11,regle!$C$23,IF(U407=regle!$D$11,regle!$D$23,IF(U407=regle!$E$11,regle!$E$23,IF(U407=regle!$F$11,regle!$F$23,IF(U407=regle!$G$11,regle!$G$23,IF(U407=regle!$H$11,regle!$H$23,IF(U407=regle!$I$11,regle!$I$23,IF(U407=regle!$J$11,regle!$J$23,0)))))))))))</f>
        <v>0</v>
      </c>
      <c r="AF407" s="14" t="b">
        <f>IF($A407,$M407*(IF(V407=regle!$B$11,regle!$B$23,IF(V407=regle!$C$11,regle!$C$23,IF(V407=regle!$D$11,regle!$D$23,IF(V407=regle!$E$11,regle!$E$23,IF(V407=regle!$F$11,regle!$F$23,IF(V407=regle!$G$11,regle!$G$23,IF(V407=regle!$H$11,regle!$H$23,IF(V407=regle!$I$11,regle!$I$23,IF(V407=regle!$J$11,regle!$J$23,0)))))))))))</f>
        <v>0</v>
      </c>
      <c r="AG407" s="14" t="b">
        <f>IF($A407,$M407*(IF(W407=regle!$B$11,regle!$B$23,IF(W407=regle!$C$11,regle!$C$23,IF(W407=regle!$D$11,regle!$D$23,IF(W407=regle!$E$11,regle!$E$23,IF(W407=regle!$F$11,regle!$F$23,IF(W407=regle!$G$11,regle!$G$23,IF(W407=regle!$H$11,regle!$H$23,IF(W407=regle!$I$11,regle!$I$23,IF(W407=regle!$J$11,regle!$J$23,0)))))))))))</f>
        <v>0</v>
      </c>
      <c r="AH407" s="14" t="b">
        <f>IF($A407,$M407*(IF(X407=regle!$B$11,regle!$B$23,IF(X407=regle!$C$11,regle!$C$23,IF(X407=regle!$D$11,regle!$D$23,IF(X407=regle!$E$11,regle!$E$23,IF(X407=regle!$F$11,regle!$F$23,IF(X407=regle!$G$11,regle!$G$23,IF(X407=regle!$H$11,regle!$H$23,IF(X407=regle!$I$11,regle!$I$23,IF(X407=regle!$J$11,regle!$J$23,0)))))))))))</f>
        <v>0</v>
      </c>
      <c r="AI407" s="14" t="b">
        <f>IF($A407,$M407*(IF(Y407=regle!$B$11,regle!$B$23,IF(Y407=regle!$C$11,regle!$C$23,IF(Y407=regle!$D$11,regle!$D$23,IF(Y407=regle!$E$11,regle!$E$23,IF(Y407=regle!$F$11,regle!$F$23,IF(Y407=regle!$G$11,regle!$G$23,IF(Y407=regle!$H$11,regle!$H$23,IF(Y407=regle!$I$11,regle!$I$23,IF(Y407=regle!$J$11,regle!$J$23,0)))))))))))</f>
        <v>0</v>
      </c>
      <c r="AJ407" s="14" t="b">
        <f>IF($A407,$M407*(IF(Z407=regle!$B$11,regle!$B$23,IF(Z407=regle!$C$11,regle!$C$23,IF(Z407=regle!$D$11,regle!$D$23,IF(Z407=regle!$E$11,regle!$E$23,IF(Z407=regle!$F$11,regle!$F$23,IF(Z407=regle!$G$11,regle!$G$23,IF(Z407=regle!$H$11,regle!$H$23,IF(Z407=regle!$I$11,regle!$I$23,IF(Z407=regle!$J$11,regle!$J$23,0)))))))))))</f>
        <v>0</v>
      </c>
      <c r="AK407" s="14" t="b">
        <f>IF($A407,$M407*(IF(AA407=regle!$B$11,regle!$B$23,IF(AA407=regle!$C$11,regle!$C$23,IF(AA407=regle!$D$11,regle!$D$23,IF(AA407=regle!$E$11,regle!$E$23,IF(AA407=regle!$F$11,regle!$F$23,IF(AA407=regle!$G$11,regle!$G$23,IF(AA407=regle!$H$11,regle!$H$23,IF(AA407=regle!$I$11,regle!$I$23,IF(AA407=regle!$J$11,regle!$J$23,0)))))))))))</f>
        <v>0</v>
      </c>
      <c r="AL407" s="14" t="b">
        <f>IF($A407,$M407*(IF(AB407=regle!$B$11,regle!$B$23,IF(AB407=regle!$C$11,regle!$C$23,IF(AB407=regle!$D$11,regle!$D$23,IF(AB407=regle!$E$11,regle!$E$23,IF(AB407=regle!$F$11,regle!$F$23,IF(AB407=regle!$G$11,regle!$G$23,IF(AB407=regle!$H$11,regle!$H$23,IF(AB407=regle!$I$11,regle!$I$23,IF(AB407=regle!$J$11,regle!$J$23,0)))))))))))</f>
        <v>0</v>
      </c>
      <c r="AM407" s="14" t="b">
        <f>IF($A407,$M407*(IF(AC407=regle!$B$11,regle!$B$23,IF(AC407=regle!$C$11,regle!$C$23,IF(AC407=regle!$D$11,regle!$D$23,IF(AC407=regle!$E$11,regle!$E$23,IF(AC407=regle!$F$11,regle!$F$23,IF(AC407=regle!$G$11,regle!$G$23,IF(AC407=regle!$H$11,regle!$H$23,IF(AC407=regle!$I$11,regle!$I$23,IF(AC407=regle!$J$11,regle!$J$23,0)))))))))))</f>
        <v>0</v>
      </c>
      <c r="AN407" s="14" t="b">
        <f>IF($A407,$M407*(IF(AD407=regle!$B$11,regle!$B$23,IF(AD407=regle!$C$11,regle!$C$23,IF(AD407=regle!$D$11,regle!$D$23,IF(AD407=regle!$E$11,regle!$E$23,IF(AD407=regle!$F$11,regle!$F$23,IF(AD407=regle!$G$11,regle!$G$23,IF(AD407=regle!$H$11,regle!$H$23,IF(AD407=regle!$I$11,regle!$I$23,IF(AD407=regle!$J$11,regle!$J$23,0)))))))))))</f>
        <v>0</v>
      </c>
      <c r="AO407">
        <f>IF(AO$1=$AO$1,IF(regle!B$2-$Q407&gt;=regle!$J$12,-2,IF($S407,IF(regle!$B$2-$Q407&gt;=2,0,-1),regle!B$2-$Q407)),IF(AN407+1&gt;=regle!$J$12,-2,AN407+1))</f>
        <v>11</v>
      </c>
      <c r="AP407">
        <f>IF(AP$1=$AO$1,IF(regle!C$2-$Q407&gt;=regle!$J$12,-2,IF($S407,IF(regle!$B$2-$Q407&gt;=2,0,-1),regle!C$2-$Q407)),IF(AO407+1&gt;=regle!$J$12,-2,AO407+1))</f>
        <v>12</v>
      </c>
      <c r="AQ407">
        <f>IF(AQ$1=$AO$1,IF(regle!D$2-$Q407&gt;=regle!$J$12,-2,IF($S407,IF(regle!$B$2-$Q407&gt;=2,0,-1),regle!D$2-$Q407)),IF(AP407+1&gt;=regle!$J$12,-2,AP407+1))</f>
        <v>13</v>
      </c>
      <c r="AR407">
        <f>IF(AR$1=$AO$1,IF(regle!E$2-$Q407&gt;=regle!$J$12,-2,IF($S407,IF(regle!$B$2-$Q407&gt;=2,0,-1),regle!E$2-$Q407)),IF(AQ407+1&gt;=regle!$J$12,-2,AQ407+1))</f>
        <v>14</v>
      </c>
      <c r="AS407">
        <f>IF(AS$1=$AO$1,IF(regle!F$2-$Q407&gt;=regle!$J$12,-2,IF($S407,IF(regle!$B$2-$Q407&gt;=2,0,-1),regle!F$2-$Q407)),IF(AR407+1&gt;=regle!$J$12,-2,AR407+1))</f>
        <v>15</v>
      </c>
      <c r="AT407">
        <f>IF(AT$1=$AO$1,IF(regle!G$2-$Q407&gt;=regle!$J$12,-2,IF($S407,IF(regle!$B$2-$Q407&gt;=2,0,-1),regle!G$2-$Q407)),IF(AS407+1&gt;=regle!$J$12,-2,AS407+1))</f>
        <v>16</v>
      </c>
      <c r="AU407">
        <f>IF(AU$1=$AO$1,IF(regle!H$2-$Q407&gt;=regle!$J$12,-2,IF($S407,IF(regle!$B$2-$Q407&gt;=2,0,-1),regle!H$2-$Q407)),IF(AT407+1&gt;=regle!$J$12,-2,AT407+1))</f>
        <v>17</v>
      </c>
      <c r="AV407">
        <f>IF(AV$1=$AO$1,IF(regle!I$2-$Q407&gt;=regle!$J$12,-2,IF($S407,IF(regle!$B$2-$Q407&gt;=2,0,-1),regle!I$2-$Q407)),IF(AU407+1&gt;=regle!$J$12,-2,AU407+1))</f>
        <v>18</v>
      </c>
      <c r="AW407">
        <f>IF(AW$1=$AO$1,IF(regle!J$2-$Q407&gt;=regle!$J$12,-2,IF($S407,IF(regle!$B$2-$Q407&gt;=2,0,-1),regle!J$2-$Q407)),IF(AV407+1&gt;=regle!$J$12,-2,AV407+1))</f>
        <v>19</v>
      </c>
      <c r="AX407">
        <f>IF(AX$1=$AO$1,IF(regle!K$2-$Q407&gt;=regle!$J$12,-2,IF($S407,IF(regle!$B$2-$Q407&gt;=2,0,-1),regle!K$2-$Q407)),IF(AW407+1&gt;=regle!$J$12,-2,AW407+1))</f>
        <v>20</v>
      </c>
    </row>
    <row r="408" spans="1:50" x14ac:dyDescent="0.25">
      <c r="A408" t="b">
        <f>AND(modif0[[#This Row],[cdstr]]&lt;&gt;0,OR(regle!$H$27=FALSE,modif0[[#This Row],[essnc]]="PM"))</f>
        <v>0</v>
      </c>
      <c r="B408">
        <f>ROW(objet!A218)</f>
        <v>218</v>
      </c>
      <c r="C408" s="10" t="str">
        <f>objet!D218</f>
        <v>2020000B1214</v>
      </c>
      <c r="D408" t="str">
        <f>LEFT(modif0[[#This Row],[cdstr]],3)</f>
        <v>202</v>
      </c>
      <c r="E408" s="10" t="str">
        <f>objet!G218</f>
        <v>HOSTENS</v>
      </c>
      <c r="F408">
        <f>LEN(modif0[[#This Row],[l_dt]])</f>
        <v>8</v>
      </c>
      <c r="G408" s="10" t="str">
        <f>objet!H218</f>
        <v>LES BECS</v>
      </c>
      <c r="H408" s="10" t="str">
        <f>objet!C218</f>
        <v>B1214k</v>
      </c>
      <c r="I408" t="str">
        <f>IF(ISNUMBER(VALUE(RIGHT(LEFT(modif0[[#This Row],[idntfn]],2),1))),_xlfn.CONCAT(0,LEFT(modif0[[#This Row],[idntfn]],1)),LEFT(modif0[[#This Row],[idntfn]],2))</f>
        <v>0B</v>
      </c>
      <c r="J408">
        <f>VALUE(LEFT(RIGHT(modif0[[#This Row],[idntfn]],LEN(modif0[[#This Row],[idntfn]])-IF(LEFT(modif0[[#This Row],[sctn]],1)="0",1,2)),LEN(modif0[[#This Row],[idntfn]])-IF(LEFT(modif0[[#This Row],[sctn]],1)="0",1,2)-LEN(modif0[[#This Row],[lttr]])))</f>
        <v>1214</v>
      </c>
      <c r="K408" t="str">
        <f>IF(ISNUMBER(VALUE(RIGHT(modif0[[#This Row],[idntfn]],1))),"",IF(ISNUMBER(VALUE(LEFT(RIGHT(modif0[[#This Row],[idntfn]],2),1))),RIGHT(modif0[[#This Row],[idntfn]],1),RIGHT(modif0[[#This Row],[idntfn]],2)))</f>
        <v>k</v>
      </c>
      <c r="L408" s="10">
        <f>objet!I218</f>
        <v>3629</v>
      </c>
      <c r="M408" s="11">
        <f>modif0[[#This Row],[srfc]]/10000</f>
        <v>0.3629</v>
      </c>
      <c r="N408" s="10" t="str">
        <f>objet!Z218</f>
        <v>FEUIL</v>
      </c>
      <c r="O408" s="10" t="str">
        <f>objet!AA218</f>
        <v>TAIL2013</v>
      </c>
      <c r="P408" t="str">
        <f>IF(ISNUMBER(modif0[[#This Row],[trvx]]),"",LEFT(modif0[[#This Row],[trvx]],LEN(modif0[[#This Row],[trvx]])-4))</f>
        <v>TAIL</v>
      </c>
      <c r="Q408">
        <f>VALUE(RIGHT(modif0[[#This Row],[trvx]],4))</f>
        <v>2013</v>
      </c>
      <c r="R408" t="str">
        <f>_xlfn.CONCAT(modif0[[#This Row],[tp]],"-",modif0[[#This Row],[essnc]],"_",modif0[[#This Row],[anns]])</f>
        <v>TAIL-FEUIL_2013</v>
      </c>
      <c r="S408" t="b">
        <f>modif0[[#This Row],[tp]]="CR"</f>
        <v>0</v>
      </c>
      <c r="T408">
        <v>40</v>
      </c>
      <c r="U408" t="str">
        <f>IF(NOT($A408),"",
IF(AO408=-2,regle!$J$11,
IF(AO408=regle!$B$12,regle!$B$11,
IF(AO408=regle!$C$12,regle!$C$11,
IF(AO408=regle!$D$12,regle!$D$11,
IF(AO408=regle!$E$12,regle!$E$11,
IF(AO408=regle!$F$12,regle!$F$11,
IF(AO408=regle!$G$12,regle!$G$11,
IF(AO408=regle!$H$12,regle!$H$11,
IF(AO408=regle!$I$12,regle!$I$11,""))))))))))</f>
        <v/>
      </c>
      <c r="V408" t="str">
        <f>IF(NOT($A408),"",
IF(AP408=-2,regle!$J$11,
IF(AP408=regle!$B$12,regle!$B$11,
IF(AP408=regle!$C$12,regle!$C$11,
IF(AP408=regle!$D$12,regle!$D$11,
IF(AP408=regle!$E$12,regle!$E$11,
IF(AP408=regle!$F$12,regle!$F$11,
IF(AP408=regle!$G$12,regle!$G$11,
IF(AP408=regle!$H$12,regle!$H$11,
IF(AP408=regle!$I$12,regle!$I$11,""))))))))))</f>
        <v/>
      </c>
      <c r="W408" t="str">
        <f>IF(NOT($A408),"",
IF(AQ408=-2,regle!$J$11,
IF(AQ408=regle!$B$12,regle!$B$11,
IF(AQ408=regle!$C$12,regle!$C$11,
IF(AQ408=regle!$D$12,regle!$D$11,
IF(AQ408=regle!$E$12,regle!$E$11,
IF(AQ408=regle!$F$12,regle!$F$11,
IF(AQ408=regle!$G$12,regle!$G$11,
IF(AQ408=regle!$H$12,regle!$H$11,
IF(AQ408=regle!$I$12,regle!$I$11,""))))))))))</f>
        <v/>
      </c>
      <c r="X408" t="str">
        <f>IF(NOT($A408),"",
IF(AR408=-2,regle!$J$11,
IF(AR408=regle!$B$12,regle!$B$11,
IF(AR408=regle!$C$12,regle!$C$11,
IF(AR408=regle!$D$12,regle!$D$11,
IF(AR408=regle!$E$12,regle!$E$11,
IF(AR408=regle!$F$12,regle!$F$11,
IF(AR408=regle!$G$12,regle!$G$11,
IF(AR408=regle!$H$12,regle!$H$11,
IF(AR408=regle!$I$12,regle!$I$11,""))))))))))</f>
        <v/>
      </c>
      <c r="Y408" t="str">
        <f>IF(NOT($A408),"",
IF(AS408=-2,regle!$J$11,
IF(AS408=regle!$B$12,regle!$B$11,
IF(AS408=regle!$C$12,regle!$C$11,
IF(AS408=regle!$D$12,regle!$D$11,
IF(AS408=regle!$E$12,regle!$E$11,
IF(AS408=regle!$F$12,regle!$F$11,
IF(AS408=regle!$G$12,regle!$G$11,
IF(AS408=regle!$H$12,regle!$H$11,
IF(AS408=regle!$I$12,regle!$I$11,""))))))))))</f>
        <v/>
      </c>
      <c r="Z408" t="str">
        <f>IF(NOT($A408),"",
IF(AT408=-2,regle!$J$11,
IF(AT408=regle!$B$12,regle!$B$11,
IF(AT408=regle!$C$12,regle!$C$11,
IF(AT408=regle!$D$12,regle!$D$11,
IF(AT408=regle!$E$12,regle!$E$11,
IF(AT408=regle!$F$12,regle!$F$11,
IF(AT408=regle!$G$12,regle!$G$11,
IF(AT408=regle!$H$12,regle!$H$11,
IF(AT408=regle!$I$12,regle!$I$11,""))))))))))</f>
        <v/>
      </c>
      <c r="AA408" t="str">
        <f>IF(NOT($A408),"",
IF(AU408=-2,regle!$J$11,
IF(AU408=regle!$B$12,regle!$B$11,
IF(AU408=regle!$C$12,regle!$C$11,
IF(AU408=regle!$D$12,regle!$D$11,
IF(AU408=regle!$E$12,regle!$E$11,
IF(AU408=regle!$F$12,regle!$F$11,
IF(AU408=regle!$G$12,regle!$G$11,
IF(AU408=regle!$H$12,regle!$H$11,
IF(AU408=regle!$I$12,regle!$I$11,""))))))))))</f>
        <v/>
      </c>
      <c r="AB408" t="str">
        <f>IF(NOT($A408),"",
IF(AV408=-2,regle!$J$11,
IF(AV408=regle!$B$12,regle!$B$11,
IF(AV408=regle!$C$12,regle!$C$11,
IF(AV408=regle!$D$12,regle!$D$11,
IF(AV408=regle!$E$12,regle!$E$11,
IF(AV408=regle!$F$12,regle!$F$11,
IF(AV408=regle!$G$12,regle!$G$11,
IF(AV408=regle!$H$12,regle!$H$11,
IF(AV408=regle!$I$12,regle!$I$11,""))))))))))</f>
        <v/>
      </c>
      <c r="AC408" t="str">
        <f>IF(NOT($A408),"",
IF(AW408=-2,regle!$J$11,
IF(AW408=regle!$B$12,regle!$B$11,
IF(AW408=regle!$C$12,regle!$C$11,
IF(AW408=regle!$D$12,regle!$D$11,
IF(AW408=regle!$E$12,regle!$E$11,
IF(AW408=regle!$F$12,regle!$F$11,
IF(AW408=regle!$G$12,regle!$G$11,
IF(AW408=regle!$H$12,regle!$H$11,
IF(AW408=regle!$I$12,regle!$I$11,""))))))))))</f>
        <v/>
      </c>
      <c r="AD408" t="str">
        <f>IF(NOT($A408),"",
IF(AX408=-2,regle!$J$11,
IF(AX408=regle!$B$12,regle!$B$11,
IF(AX408=regle!$C$12,regle!$C$11,
IF(AX408=regle!$D$12,regle!$D$11,
IF(AX408=regle!$E$12,regle!$E$11,
IF(AX408=regle!$F$12,regle!$F$11,
IF(AX408=regle!$G$12,regle!$G$11,
IF(AX408=regle!$H$12,regle!$H$11,
IF(AX408=regle!$I$12,regle!$I$11,""))))))))))</f>
        <v/>
      </c>
      <c r="AE408" s="14" t="b">
        <f>IF($A408,$M408*(IF(U408=regle!$B$11,regle!$B$23,IF(U408=regle!$C$11,regle!$C$23,IF(U408=regle!$D$11,regle!$D$23,IF(U408=regle!$E$11,regle!$E$23,IF(U408=regle!$F$11,regle!$F$23,IF(U408=regle!$G$11,regle!$G$23,IF(U408=regle!$H$11,regle!$H$23,IF(U408=regle!$I$11,regle!$I$23,IF(U408=regle!$J$11,regle!$J$23,0)))))))))))</f>
        <v>0</v>
      </c>
      <c r="AF408" s="14" t="b">
        <f>IF($A408,$M408*(IF(V408=regle!$B$11,regle!$B$23,IF(V408=regle!$C$11,regle!$C$23,IF(V408=regle!$D$11,regle!$D$23,IF(V408=regle!$E$11,regle!$E$23,IF(V408=regle!$F$11,regle!$F$23,IF(V408=regle!$G$11,regle!$G$23,IF(V408=regle!$H$11,regle!$H$23,IF(V408=regle!$I$11,regle!$I$23,IF(V408=regle!$J$11,regle!$J$23,0)))))))))))</f>
        <v>0</v>
      </c>
      <c r="AG408" s="14" t="b">
        <f>IF($A408,$M408*(IF(W408=regle!$B$11,regle!$B$23,IF(W408=regle!$C$11,regle!$C$23,IF(W408=regle!$D$11,regle!$D$23,IF(W408=regle!$E$11,regle!$E$23,IF(W408=regle!$F$11,regle!$F$23,IF(W408=regle!$G$11,regle!$G$23,IF(W408=regle!$H$11,regle!$H$23,IF(W408=regle!$I$11,regle!$I$23,IF(W408=regle!$J$11,regle!$J$23,0)))))))))))</f>
        <v>0</v>
      </c>
      <c r="AH408" s="14" t="b">
        <f>IF($A408,$M408*(IF(X408=regle!$B$11,regle!$B$23,IF(X408=regle!$C$11,regle!$C$23,IF(X408=regle!$D$11,regle!$D$23,IF(X408=regle!$E$11,regle!$E$23,IF(X408=regle!$F$11,regle!$F$23,IF(X408=regle!$G$11,regle!$G$23,IF(X408=regle!$H$11,regle!$H$23,IF(X408=regle!$I$11,regle!$I$23,IF(X408=regle!$J$11,regle!$J$23,0)))))))))))</f>
        <v>0</v>
      </c>
      <c r="AI408" s="14" t="b">
        <f>IF($A408,$M408*(IF(Y408=regle!$B$11,regle!$B$23,IF(Y408=regle!$C$11,regle!$C$23,IF(Y408=regle!$D$11,regle!$D$23,IF(Y408=regle!$E$11,regle!$E$23,IF(Y408=regle!$F$11,regle!$F$23,IF(Y408=regle!$G$11,regle!$G$23,IF(Y408=regle!$H$11,regle!$H$23,IF(Y408=regle!$I$11,regle!$I$23,IF(Y408=regle!$J$11,regle!$J$23,0)))))))))))</f>
        <v>0</v>
      </c>
      <c r="AJ408" s="14" t="b">
        <f>IF($A408,$M408*(IF(Z408=regle!$B$11,regle!$B$23,IF(Z408=regle!$C$11,regle!$C$23,IF(Z408=regle!$D$11,regle!$D$23,IF(Z408=regle!$E$11,regle!$E$23,IF(Z408=regle!$F$11,regle!$F$23,IF(Z408=regle!$G$11,regle!$G$23,IF(Z408=regle!$H$11,regle!$H$23,IF(Z408=regle!$I$11,regle!$I$23,IF(Z408=regle!$J$11,regle!$J$23,0)))))))))))</f>
        <v>0</v>
      </c>
      <c r="AK408" s="14" t="b">
        <f>IF($A408,$M408*(IF(AA408=regle!$B$11,regle!$B$23,IF(AA408=regle!$C$11,regle!$C$23,IF(AA408=regle!$D$11,regle!$D$23,IF(AA408=regle!$E$11,regle!$E$23,IF(AA408=regle!$F$11,regle!$F$23,IF(AA408=regle!$G$11,regle!$G$23,IF(AA408=regle!$H$11,regle!$H$23,IF(AA408=regle!$I$11,regle!$I$23,IF(AA408=regle!$J$11,regle!$J$23,0)))))))))))</f>
        <v>0</v>
      </c>
      <c r="AL408" s="14" t="b">
        <f>IF($A408,$M408*(IF(AB408=regle!$B$11,regle!$B$23,IF(AB408=regle!$C$11,regle!$C$23,IF(AB408=regle!$D$11,regle!$D$23,IF(AB408=regle!$E$11,regle!$E$23,IF(AB408=regle!$F$11,regle!$F$23,IF(AB408=regle!$G$11,regle!$G$23,IF(AB408=regle!$H$11,regle!$H$23,IF(AB408=regle!$I$11,regle!$I$23,IF(AB408=regle!$J$11,regle!$J$23,0)))))))))))</f>
        <v>0</v>
      </c>
      <c r="AM408" s="14" t="b">
        <f>IF($A408,$M408*(IF(AC408=regle!$B$11,regle!$B$23,IF(AC408=regle!$C$11,regle!$C$23,IF(AC408=regle!$D$11,regle!$D$23,IF(AC408=regle!$E$11,regle!$E$23,IF(AC408=regle!$F$11,regle!$F$23,IF(AC408=regle!$G$11,regle!$G$23,IF(AC408=regle!$H$11,regle!$H$23,IF(AC408=regle!$I$11,regle!$I$23,IF(AC408=regle!$J$11,regle!$J$23,0)))))))))))</f>
        <v>0</v>
      </c>
      <c r="AN408" s="14" t="b">
        <f>IF($A408,$M408*(IF(AD408=regle!$B$11,regle!$B$23,IF(AD408=regle!$C$11,regle!$C$23,IF(AD408=regle!$D$11,regle!$D$23,IF(AD408=regle!$E$11,regle!$E$23,IF(AD408=regle!$F$11,regle!$F$23,IF(AD408=regle!$G$11,regle!$G$23,IF(AD408=regle!$H$11,regle!$H$23,IF(AD408=regle!$I$11,regle!$I$23,IF(AD408=regle!$J$11,regle!$J$23,0)))))))))))</f>
        <v>0</v>
      </c>
      <c r="AO408">
        <f>IF(AO$1=$AO$1,IF(regle!B$2-$Q408&gt;=regle!$J$12,-2,IF($S408,IF(regle!$B$2-$Q408&gt;=2,0,-1),regle!B$2-$Q408)),IF(AN408+1&gt;=regle!$J$12,-2,AN408+1))</f>
        <v>11</v>
      </c>
      <c r="AP408">
        <f>IF(AP$1=$AO$1,IF(regle!C$2-$Q408&gt;=regle!$J$12,-2,IF($S408,IF(regle!$B$2-$Q408&gt;=2,0,-1),regle!C$2-$Q408)),IF(AO408+1&gt;=regle!$J$12,-2,AO408+1))</f>
        <v>12</v>
      </c>
      <c r="AQ408">
        <f>IF(AQ$1=$AO$1,IF(regle!D$2-$Q408&gt;=regle!$J$12,-2,IF($S408,IF(regle!$B$2-$Q408&gt;=2,0,-1),regle!D$2-$Q408)),IF(AP408+1&gt;=regle!$J$12,-2,AP408+1))</f>
        <v>13</v>
      </c>
      <c r="AR408">
        <f>IF(AR$1=$AO$1,IF(regle!E$2-$Q408&gt;=regle!$J$12,-2,IF($S408,IF(regle!$B$2-$Q408&gt;=2,0,-1),regle!E$2-$Q408)),IF(AQ408+1&gt;=regle!$J$12,-2,AQ408+1))</f>
        <v>14</v>
      </c>
      <c r="AS408">
        <f>IF(AS$1=$AO$1,IF(regle!F$2-$Q408&gt;=regle!$J$12,-2,IF($S408,IF(regle!$B$2-$Q408&gt;=2,0,-1),regle!F$2-$Q408)),IF(AR408+1&gt;=regle!$J$12,-2,AR408+1))</f>
        <v>15</v>
      </c>
      <c r="AT408">
        <f>IF(AT$1=$AO$1,IF(regle!G$2-$Q408&gt;=regle!$J$12,-2,IF($S408,IF(regle!$B$2-$Q408&gt;=2,0,-1),regle!G$2-$Q408)),IF(AS408+1&gt;=regle!$J$12,-2,AS408+1))</f>
        <v>16</v>
      </c>
      <c r="AU408">
        <f>IF(AU$1=$AO$1,IF(regle!H$2-$Q408&gt;=regle!$J$12,-2,IF($S408,IF(regle!$B$2-$Q408&gt;=2,0,-1),regle!H$2-$Q408)),IF(AT408+1&gt;=regle!$J$12,-2,AT408+1))</f>
        <v>17</v>
      </c>
      <c r="AV408">
        <f>IF(AV$1=$AO$1,IF(regle!I$2-$Q408&gt;=regle!$J$12,-2,IF($S408,IF(regle!$B$2-$Q408&gt;=2,0,-1),regle!I$2-$Q408)),IF(AU408+1&gt;=regle!$J$12,-2,AU408+1))</f>
        <v>18</v>
      </c>
      <c r="AW408">
        <f>IF(AW$1=$AO$1,IF(regle!J$2-$Q408&gt;=regle!$J$12,-2,IF($S408,IF(regle!$B$2-$Q408&gt;=2,0,-1),regle!J$2-$Q408)),IF(AV408+1&gt;=regle!$J$12,-2,AV408+1))</f>
        <v>19</v>
      </c>
      <c r="AX408">
        <f>IF(AX$1=$AO$1,IF(regle!K$2-$Q408&gt;=regle!$J$12,-2,IF($S408,IF(regle!$B$2-$Q408&gt;=2,0,-1),regle!K$2-$Q408)),IF(AW408+1&gt;=regle!$J$12,-2,AW408+1))</f>
        <v>20</v>
      </c>
    </row>
    <row r="409" spans="1:50" x14ac:dyDescent="0.25">
      <c r="A409" t="b">
        <f>AND(modif0[[#This Row],[cdstr]]&lt;&gt;0,OR(regle!$H$27=FALSE,modif0[[#This Row],[essnc]]="PM"))</f>
        <v>0</v>
      </c>
      <c r="B409">
        <f>ROW(objet!A221)</f>
        <v>221</v>
      </c>
      <c r="C409" s="10" t="str">
        <f>objet!D221</f>
        <v>2020000B1216</v>
      </c>
      <c r="D409" t="str">
        <f>LEFT(modif0[[#This Row],[cdstr]],3)</f>
        <v>202</v>
      </c>
      <c r="E409" s="10" t="str">
        <f>objet!G221</f>
        <v>HOSTENS</v>
      </c>
      <c r="F409">
        <f>LEN(modif0[[#This Row],[l_dt]])</f>
        <v>8</v>
      </c>
      <c r="G409" s="10" t="str">
        <f>objet!H221</f>
        <v>LES BECS</v>
      </c>
      <c r="H409" s="10" t="str">
        <f>objet!C221</f>
        <v>B1216</v>
      </c>
      <c r="I409" t="str">
        <f>IF(ISNUMBER(VALUE(RIGHT(LEFT(modif0[[#This Row],[idntfn]],2),1))),_xlfn.CONCAT(0,LEFT(modif0[[#This Row],[idntfn]],1)),LEFT(modif0[[#This Row],[idntfn]],2))</f>
        <v>0B</v>
      </c>
      <c r="J409">
        <f>VALUE(LEFT(RIGHT(modif0[[#This Row],[idntfn]],LEN(modif0[[#This Row],[idntfn]])-IF(LEFT(modif0[[#This Row],[sctn]],1)="0",1,2)),LEN(modif0[[#This Row],[idntfn]])-IF(LEFT(modif0[[#This Row],[sctn]],1)="0",1,2)-LEN(modif0[[#This Row],[lttr]])))</f>
        <v>1216</v>
      </c>
      <c r="K409" t="str">
        <f>IF(ISNUMBER(VALUE(RIGHT(modif0[[#This Row],[idntfn]],1))),"",IF(ISNUMBER(VALUE(LEFT(RIGHT(modif0[[#This Row],[idntfn]],2),1))),RIGHT(modif0[[#This Row],[idntfn]],1),RIGHT(modif0[[#This Row],[idntfn]],2)))</f>
        <v/>
      </c>
      <c r="L409" s="10">
        <f>objet!I221</f>
        <v>16330</v>
      </c>
      <c r="M409" s="11">
        <f>modif0[[#This Row],[srfc]]/10000</f>
        <v>1.633</v>
      </c>
      <c r="N409" s="10" t="str">
        <f>objet!Z221</f>
        <v>FEUIL</v>
      </c>
      <c r="O409" s="10" t="str">
        <f>objet!AA221</f>
        <v>TAIL2013</v>
      </c>
      <c r="P409" t="str">
        <f>IF(ISNUMBER(modif0[[#This Row],[trvx]]),"",LEFT(modif0[[#This Row],[trvx]],LEN(modif0[[#This Row],[trvx]])-4))</f>
        <v>TAIL</v>
      </c>
      <c r="Q409">
        <f>VALUE(RIGHT(modif0[[#This Row],[trvx]],4))</f>
        <v>2013</v>
      </c>
      <c r="R409" t="str">
        <f>_xlfn.CONCAT(modif0[[#This Row],[tp]],"-",modif0[[#This Row],[essnc]],"_",modif0[[#This Row],[anns]])</f>
        <v>TAIL-FEUIL_2013</v>
      </c>
      <c r="S409" t="b">
        <f>modif0[[#This Row],[tp]]="CR"</f>
        <v>0</v>
      </c>
      <c r="T409">
        <v>40</v>
      </c>
      <c r="U409" t="str">
        <f>IF(NOT($A409),"",
IF(AO409=-2,regle!$J$11,
IF(AO409=regle!$B$12,regle!$B$11,
IF(AO409=regle!$C$12,regle!$C$11,
IF(AO409=regle!$D$12,regle!$D$11,
IF(AO409=regle!$E$12,regle!$E$11,
IF(AO409=regle!$F$12,regle!$F$11,
IF(AO409=regle!$G$12,regle!$G$11,
IF(AO409=regle!$H$12,regle!$H$11,
IF(AO409=regle!$I$12,regle!$I$11,""))))))))))</f>
        <v/>
      </c>
      <c r="V409" t="str">
        <f>IF(NOT($A409),"",
IF(AP409=-2,regle!$J$11,
IF(AP409=regle!$B$12,regle!$B$11,
IF(AP409=regle!$C$12,regle!$C$11,
IF(AP409=regle!$D$12,regle!$D$11,
IF(AP409=regle!$E$12,regle!$E$11,
IF(AP409=regle!$F$12,regle!$F$11,
IF(AP409=regle!$G$12,regle!$G$11,
IF(AP409=regle!$H$12,regle!$H$11,
IF(AP409=regle!$I$12,regle!$I$11,""))))))))))</f>
        <v/>
      </c>
      <c r="W409" t="str">
        <f>IF(NOT($A409),"",
IF(AQ409=-2,regle!$J$11,
IF(AQ409=regle!$B$12,regle!$B$11,
IF(AQ409=regle!$C$12,regle!$C$11,
IF(AQ409=regle!$D$12,regle!$D$11,
IF(AQ409=regle!$E$12,regle!$E$11,
IF(AQ409=regle!$F$12,regle!$F$11,
IF(AQ409=regle!$G$12,regle!$G$11,
IF(AQ409=regle!$H$12,regle!$H$11,
IF(AQ409=regle!$I$12,regle!$I$11,""))))))))))</f>
        <v/>
      </c>
      <c r="X409" t="str">
        <f>IF(NOT($A409),"",
IF(AR409=-2,regle!$J$11,
IF(AR409=regle!$B$12,regle!$B$11,
IF(AR409=regle!$C$12,regle!$C$11,
IF(AR409=regle!$D$12,regle!$D$11,
IF(AR409=regle!$E$12,regle!$E$11,
IF(AR409=regle!$F$12,regle!$F$11,
IF(AR409=regle!$G$12,regle!$G$11,
IF(AR409=regle!$H$12,regle!$H$11,
IF(AR409=regle!$I$12,regle!$I$11,""))))))))))</f>
        <v/>
      </c>
      <c r="Y409" t="str">
        <f>IF(NOT($A409),"",
IF(AS409=-2,regle!$J$11,
IF(AS409=regle!$B$12,regle!$B$11,
IF(AS409=regle!$C$12,regle!$C$11,
IF(AS409=regle!$D$12,regle!$D$11,
IF(AS409=regle!$E$12,regle!$E$11,
IF(AS409=regle!$F$12,regle!$F$11,
IF(AS409=regle!$G$12,regle!$G$11,
IF(AS409=regle!$H$12,regle!$H$11,
IF(AS409=regle!$I$12,regle!$I$11,""))))))))))</f>
        <v/>
      </c>
      <c r="Z409" t="str">
        <f>IF(NOT($A409),"",
IF(AT409=-2,regle!$J$11,
IF(AT409=regle!$B$12,regle!$B$11,
IF(AT409=regle!$C$12,regle!$C$11,
IF(AT409=regle!$D$12,regle!$D$11,
IF(AT409=regle!$E$12,regle!$E$11,
IF(AT409=regle!$F$12,regle!$F$11,
IF(AT409=regle!$G$12,regle!$G$11,
IF(AT409=regle!$H$12,regle!$H$11,
IF(AT409=regle!$I$12,regle!$I$11,""))))))))))</f>
        <v/>
      </c>
      <c r="AA409" t="str">
        <f>IF(NOT($A409),"",
IF(AU409=-2,regle!$J$11,
IF(AU409=regle!$B$12,regle!$B$11,
IF(AU409=regle!$C$12,regle!$C$11,
IF(AU409=regle!$D$12,regle!$D$11,
IF(AU409=regle!$E$12,regle!$E$11,
IF(AU409=regle!$F$12,regle!$F$11,
IF(AU409=regle!$G$12,regle!$G$11,
IF(AU409=regle!$H$12,regle!$H$11,
IF(AU409=regle!$I$12,regle!$I$11,""))))))))))</f>
        <v/>
      </c>
      <c r="AB409" t="str">
        <f>IF(NOT($A409),"",
IF(AV409=-2,regle!$J$11,
IF(AV409=regle!$B$12,regle!$B$11,
IF(AV409=regle!$C$12,regle!$C$11,
IF(AV409=regle!$D$12,regle!$D$11,
IF(AV409=regle!$E$12,regle!$E$11,
IF(AV409=regle!$F$12,regle!$F$11,
IF(AV409=regle!$G$12,regle!$G$11,
IF(AV409=regle!$H$12,regle!$H$11,
IF(AV409=regle!$I$12,regle!$I$11,""))))))))))</f>
        <v/>
      </c>
      <c r="AC409" t="str">
        <f>IF(NOT($A409),"",
IF(AW409=-2,regle!$J$11,
IF(AW409=regle!$B$12,regle!$B$11,
IF(AW409=regle!$C$12,regle!$C$11,
IF(AW409=regle!$D$12,regle!$D$11,
IF(AW409=regle!$E$12,regle!$E$11,
IF(AW409=regle!$F$12,regle!$F$11,
IF(AW409=regle!$G$12,regle!$G$11,
IF(AW409=regle!$H$12,regle!$H$11,
IF(AW409=regle!$I$12,regle!$I$11,""))))))))))</f>
        <v/>
      </c>
      <c r="AD409" t="str">
        <f>IF(NOT($A409),"",
IF(AX409=-2,regle!$J$11,
IF(AX409=regle!$B$12,regle!$B$11,
IF(AX409=regle!$C$12,regle!$C$11,
IF(AX409=regle!$D$12,regle!$D$11,
IF(AX409=regle!$E$12,regle!$E$11,
IF(AX409=regle!$F$12,regle!$F$11,
IF(AX409=regle!$G$12,regle!$G$11,
IF(AX409=regle!$H$12,regle!$H$11,
IF(AX409=regle!$I$12,regle!$I$11,""))))))))))</f>
        <v/>
      </c>
      <c r="AE409" s="14" t="b">
        <f>IF($A409,$M409*(IF(U409=regle!$B$11,regle!$B$23,IF(U409=regle!$C$11,regle!$C$23,IF(U409=regle!$D$11,regle!$D$23,IF(U409=regle!$E$11,regle!$E$23,IF(U409=regle!$F$11,regle!$F$23,IF(U409=regle!$G$11,regle!$G$23,IF(U409=regle!$H$11,regle!$H$23,IF(U409=regle!$I$11,regle!$I$23,IF(U409=regle!$J$11,regle!$J$23,0)))))))))))</f>
        <v>0</v>
      </c>
      <c r="AF409" s="14" t="b">
        <f>IF($A409,$M409*(IF(V409=regle!$B$11,regle!$B$23,IF(V409=regle!$C$11,regle!$C$23,IF(V409=regle!$D$11,regle!$D$23,IF(V409=regle!$E$11,regle!$E$23,IF(V409=regle!$F$11,regle!$F$23,IF(V409=regle!$G$11,regle!$G$23,IF(V409=regle!$H$11,regle!$H$23,IF(V409=regle!$I$11,regle!$I$23,IF(V409=regle!$J$11,regle!$J$23,0)))))))))))</f>
        <v>0</v>
      </c>
      <c r="AG409" s="14" t="b">
        <f>IF($A409,$M409*(IF(W409=regle!$B$11,regle!$B$23,IF(W409=regle!$C$11,regle!$C$23,IF(W409=regle!$D$11,regle!$D$23,IF(W409=regle!$E$11,regle!$E$23,IF(W409=regle!$F$11,regle!$F$23,IF(W409=regle!$G$11,regle!$G$23,IF(W409=regle!$H$11,regle!$H$23,IF(W409=regle!$I$11,regle!$I$23,IF(W409=regle!$J$11,regle!$J$23,0)))))))))))</f>
        <v>0</v>
      </c>
      <c r="AH409" s="14" t="b">
        <f>IF($A409,$M409*(IF(X409=regle!$B$11,regle!$B$23,IF(X409=regle!$C$11,regle!$C$23,IF(X409=regle!$D$11,regle!$D$23,IF(X409=regle!$E$11,regle!$E$23,IF(X409=regle!$F$11,regle!$F$23,IF(X409=regle!$G$11,regle!$G$23,IF(X409=regle!$H$11,regle!$H$23,IF(X409=regle!$I$11,regle!$I$23,IF(X409=regle!$J$11,regle!$J$23,0)))))))))))</f>
        <v>0</v>
      </c>
      <c r="AI409" s="14" t="b">
        <f>IF($A409,$M409*(IF(Y409=regle!$B$11,regle!$B$23,IF(Y409=regle!$C$11,regle!$C$23,IF(Y409=regle!$D$11,regle!$D$23,IF(Y409=regle!$E$11,regle!$E$23,IF(Y409=regle!$F$11,regle!$F$23,IF(Y409=regle!$G$11,regle!$G$23,IF(Y409=regle!$H$11,regle!$H$23,IF(Y409=regle!$I$11,regle!$I$23,IF(Y409=regle!$J$11,regle!$J$23,0)))))))))))</f>
        <v>0</v>
      </c>
      <c r="AJ409" s="14" t="b">
        <f>IF($A409,$M409*(IF(Z409=regle!$B$11,regle!$B$23,IF(Z409=regle!$C$11,regle!$C$23,IF(Z409=regle!$D$11,regle!$D$23,IF(Z409=regle!$E$11,regle!$E$23,IF(Z409=regle!$F$11,regle!$F$23,IF(Z409=regle!$G$11,regle!$G$23,IF(Z409=regle!$H$11,regle!$H$23,IF(Z409=regle!$I$11,regle!$I$23,IF(Z409=regle!$J$11,regle!$J$23,0)))))))))))</f>
        <v>0</v>
      </c>
      <c r="AK409" s="14" t="b">
        <f>IF($A409,$M409*(IF(AA409=regle!$B$11,regle!$B$23,IF(AA409=regle!$C$11,regle!$C$23,IF(AA409=regle!$D$11,regle!$D$23,IF(AA409=regle!$E$11,regle!$E$23,IF(AA409=regle!$F$11,regle!$F$23,IF(AA409=regle!$G$11,regle!$G$23,IF(AA409=regle!$H$11,regle!$H$23,IF(AA409=regle!$I$11,regle!$I$23,IF(AA409=regle!$J$11,regle!$J$23,0)))))))))))</f>
        <v>0</v>
      </c>
      <c r="AL409" s="14" t="b">
        <f>IF($A409,$M409*(IF(AB409=regle!$B$11,regle!$B$23,IF(AB409=regle!$C$11,regle!$C$23,IF(AB409=regle!$D$11,regle!$D$23,IF(AB409=regle!$E$11,regle!$E$23,IF(AB409=regle!$F$11,regle!$F$23,IF(AB409=regle!$G$11,regle!$G$23,IF(AB409=regle!$H$11,regle!$H$23,IF(AB409=regle!$I$11,regle!$I$23,IF(AB409=regle!$J$11,regle!$J$23,0)))))))))))</f>
        <v>0</v>
      </c>
      <c r="AM409" s="14" t="b">
        <f>IF($A409,$M409*(IF(AC409=regle!$B$11,regle!$B$23,IF(AC409=regle!$C$11,regle!$C$23,IF(AC409=regle!$D$11,regle!$D$23,IF(AC409=regle!$E$11,regle!$E$23,IF(AC409=regle!$F$11,regle!$F$23,IF(AC409=regle!$G$11,regle!$G$23,IF(AC409=regle!$H$11,regle!$H$23,IF(AC409=regle!$I$11,regle!$I$23,IF(AC409=regle!$J$11,regle!$J$23,0)))))))))))</f>
        <v>0</v>
      </c>
      <c r="AN409" s="14" t="b">
        <f>IF($A409,$M409*(IF(AD409=regle!$B$11,regle!$B$23,IF(AD409=regle!$C$11,regle!$C$23,IF(AD409=regle!$D$11,regle!$D$23,IF(AD409=regle!$E$11,regle!$E$23,IF(AD409=regle!$F$11,regle!$F$23,IF(AD409=regle!$G$11,regle!$G$23,IF(AD409=regle!$H$11,regle!$H$23,IF(AD409=regle!$I$11,regle!$I$23,IF(AD409=regle!$J$11,regle!$J$23,0)))))))))))</f>
        <v>0</v>
      </c>
      <c r="AO409">
        <f>IF(AO$1=$AO$1,IF(regle!B$2-$Q409&gt;=regle!$J$12,-2,IF($S409,IF(regle!$B$2-$Q409&gt;=2,0,-1),regle!B$2-$Q409)),IF(AN409+1&gt;=regle!$J$12,-2,AN409+1))</f>
        <v>11</v>
      </c>
      <c r="AP409">
        <f>IF(AP$1=$AO$1,IF(regle!C$2-$Q409&gt;=regle!$J$12,-2,IF($S409,IF(regle!$B$2-$Q409&gt;=2,0,-1),regle!C$2-$Q409)),IF(AO409+1&gt;=regle!$J$12,-2,AO409+1))</f>
        <v>12</v>
      </c>
      <c r="AQ409">
        <f>IF(AQ$1=$AO$1,IF(regle!D$2-$Q409&gt;=regle!$J$12,-2,IF($S409,IF(regle!$B$2-$Q409&gt;=2,0,-1),regle!D$2-$Q409)),IF(AP409+1&gt;=regle!$J$12,-2,AP409+1))</f>
        <v>13</v>
      </c>
      <c r="AR409">
        <f>IF(AR$1=$AO$1,IF(regle!E$2-$Q409&gt;=regle!$J$12,-2,IF($S409,IF(regle!$B$2-$Q409&gt;=2,0,-1),regle!E$2-$Q409)),IF(AQ409+1&gt;=regle!$J$12,-2,AQ409+1))</f>
        <v>14</v>
      </c>
      <c r="AS409">
        <f>IF(AS$1=$AO$1,IF(regle!F$2-$Q409&gt;=regle!$J$12,-2,IF($S409,IF(regle!$B$2-$Q409&gt;=2,0,-1),regle!F$2-$Q409)),IF(AR409+1&gt;=regle!$J$12,-2,AR409+1))</f>
        <v>15</v>
      </c>
      <c r="AT409">
        <f>IF(AT$1=$AO$1,IF(regle!G$2-$Q409&gt;=regle!$J$12,-2,IF($S409,IF(regle!$B$2-$Q409&gt;=2,0,-1),regle!G$2-$Q409)),IF(AS409+1&gt;=regle!$J$12,-2,AS409+1))</f>
        <v>16</v>
      </c>
      <c r="AU409">
        <f>IF(AU$1=$AO$1,IF(regle!H$2-$Q409&gt;=regle!$J$12,-2,IF($S409,IF(regle!$B$2-$Q409&gt;=2,0,-1),regle!H$2-$Q409)),IF(AT409+1&gt;=regle!$J$12,-2,AT409+1))</f>
        <v>17</v>
      </c>
      <c r="AV409">
        <f>IF(AV$1=$AO$1,IF(regle!I$2-$Q409&gt;=regle!$J$12,-2,IF($S409,IF(regle!$B$2-$Q409&gt;=2,0,-1),regle!I$2-$Q409)),IF(AU409+1&gt;=regle!$J$12,-2,AU409+1))</f>
        <v>18</v>
      </c>
      <c r="AW409">
        <f>IF(AW$1=$AO$1,IF(regle!J$2-$Q409&gt;=regle!$J$12,-2,IF($S409,IF(regle!$B$2-$Q409&gt;=2,0,-1),regle!J$2-$Q409)),IF(AV409+1&gt;=regle!$J$12,-2,AV409+1))</f>
        <v>19</v>
      </c>
      <c r="AX409">
        <f>IF(AX$1=$AO$1,IF(regle!K$2-$Q409&gt;=regle!$J$12,-2,IF($S409,IF(regle!$B$2-$Q409&gt;=2,0,-1),regle!K$2-$Q409)),IF(AW409+1&gt;=regle!$J$12,-2,AW409+1))</f>
        <v>20</v>
      </c>
    </row>
    <row r="410" spans="1:50" x14ac:dyDescent="0.25">
      <c r="A410" t="b">
        <f>AND(modif0[[#This Row],[cdstr]]&lt;&gt;0,OR(regle!$H$27=FALSE,modif0[[#This Row],[essnc]]="PM"))</f>
        <v>0</v>
      </c>
      <c r="B410">
        <f>ROW(objet!A222)</f>
        <v>222</v>
      </c>
      <c r="C410" s="10" t="str">
        <f>objet!D222</f>
        <v>2020000B1217</v>
      </c>
      <c r="D410" t="str">
        <f>LEFT(modif0[[#This Row],[cdstr]],3)</f>
        <v>202</v>
      </c>
      <c r="E410" s="10" t="str">
        <f>objet!G222</f>
        <v>HOSTENS</v>
      </c>
      <c r="F410">
        <f>LEN(modif0[[#This Row],[l_dt]])</f>
        <v>8</v>
      </c>
      <c r="G410" s="10" t="str">
        <f>objet!H222</f>
        <v>LES BECS</v>
      </c>
      <c r="H410" s="10" t="str">
        <f>objet!C222</f>
        <v>B1217</v>
      </c>
      <c r="I410" t="str">
        <f>IF(ISNUMBER(VALUE(RIGHT(LEFT(modif0[[#This Row],[idntfn]],2),1))),_xlfn.CONCAT(0,LEFT(modif0[[#This Row],[idntfn]],1)),LEFT(modif0[[#This Row],[idntfn]],2))</f>
        <v>0B</v>
      </c>
      <c r="J410">
        <f>VALUE(LEFT(RIGHT(modif0[[#This Row],[idntfn]],LEN(modif0[[#This Row],[idntfn]])-IF(LEFT(modif0[[#This Row],[sctn]],1)="0",1,2)),LEN(modif0[[#This Row],[idntfn]])-IF(LEFT(modif0[[#This Row],[sctn]],1)="0",1,2)-LEN(modif0[[#This Row],[lttr]])))</f>
        <v>1217</v>
      </c>
      <c r="K410" t="str">
        <f>IF(ISNUMBER(VALUE(RIGHT(modif0[[#This Row],[idntfn]],1))),"",IF(ISNUMBER(VALUE(LEFT(RIGHT(modif0[[#This Row],[idntfn]],2),1))),RIGHT(modif0[[#This Row],[idntfn]],1),RIGHT(modif0[[#This Row],[idntfn]],2)))</f>
        <v/>
      </c>
      <c r="L410" s="10">
        <f>objet!I222</f>
        <v>1345</v>
      </c>
      <c r="M410" s="11">
        <f>modif0[[#This Row],[srfc]]/10000</f>
        <v>0.13450000000000001</v>
      </c>
      <c r="N410" s="10" t="str">
        <f>objet!Z222</f>
        <v>FEUIL</v>
      </c>
      <c r="O410" s="10" t="str">
        <f>objet!AA222</f>
        <v>TAIL2013</v>
      </c>
      <c r="P410" t="str">
        <f>IF(ISNUMBER(modif0[[#This Row],[trvx]]),"",LEFT(modif0[[#This Row],[trvx]],LEN(modif0[[#This Row],[trvx]])-4))</f>
        <v>TAIL</v>
      </c>
      <c r="Q410">
        <f>VALUE(RIGHT(modif0[[#This Row],[trvx]],4))</f>
        <v>2013</v>
      </c>
      <c r="R410" t="str">
        <f>_xlfn.CONCAT(modif0[[#This Row],[tp]],"-",modif0[[#This Row],[essnc]],"_",modif0[[#This Row],[anns]])</f>
        <v>TAIL-FEUIL_2013</v>
      </c>
      <c r="S410" t="b">
        <f>modif0[[#This Row],[tp]]="CR"</f>
        <v>0</v>
      </c>
      <c r="T410">
        <v>40</v>
      </c>
      <c r="U410" t="str">
        <f>IF(NOT($A410),"",
IF(AO410=-2,regle!$J$11,
IF(AO410=regle!$B$12,regle!$B$11,
IF(AO410=regle!$C$12,regle!$C$11,
IF(AO410=regle!$D$12,regle!$D$11,
IF(AO410=regle!$E$12,regle!$E$11,
IF(AO410=regle!$F$12,regle!$F$11,
IF(AO410=regle!$G$12,regle!$G$11,
IF(AO410=regle!$H$12,regle!$H$11,
IF(AO410=regle!$I$12,regle!$I$11,""))))))))))</f>
        <v/>
      </c>
      <c r="V410" t="str">
        <f>IF(NOT($A410),"",
IF(AP410=-2,regle!$J$11,
IF(AP410=regle!$B$12,regle!$B$11,
IF(AP410=regle!$C$12,regle!$C$11,
IF(AP410=regle!$D$12,regle!$D$11,
IF(AP410=regle!$E$12,regle!$E$11,
IF(AP410=regle!$F$12,regle!$F$11,
IF(AP410=regle!$G$12,regle!$G$11,
IF(AP410=regle!$H$12,regle!$H$11,
IF(AP410=regle!$I$12,regle!$I$11,""))))))))))</f>
        <v/>
      </c>
      <c r="W410" t="str">
        <f>IF(NOT($A410),"",
IF(AQ410=-2,regle!$J$11,
IF(AQ410=regle!$B$12,regle!$B$11,
IF(AQ410=regle!$C$12,regle!$C$11,
IF(AQ410=regle!$D$12,regle!$D$11,
IF(AQ410=regle!$E$12,regle!$E$11,
IF(AQ410=regle!$F$12,regle!$F$11,
IF(AQ410=regle!$G$12,regle!$G$11,
IF(AQ410=regle!$H$12,regle!$H$11,
IF(AQ410=regle!$I$12,regle!$I$11,""))))))))))</f>
        <v/>
      </c>
      <c r="X410" t="str">
        <f>IF(NOT($A410),"",
IF(AR410=-2,regle!$J$11,
IF(AR410=regle!$B$12,regle!$B$11,
IF(AR410=regle!$C$12,regle!$C$11,
IF(AR410=regle!$D$12,regle!$D$11,
IF(AR410=regle!$E$12,regle!$E$11,
IF(AR410=regle!$F$12,regle!$F$11,
IF(AR410=regle!$G$12,regle!$G$11,
IF(AR410=regle!$H$12,regle!$H$11,
IF(AR410=regle!$I$12,regle!$I$11,""))))))))))</f>
        <v/>
      </c>
      <c r="Y410" t="str">
        <f>IF(NOT($A410),"",
IF(AS410=-2,regle!$J$11,
IF(AS410=regle!$B$12,regle!$B$11,
IF(AS410=regle!$C$12,regle!$C$11,
IF(AS410=regle!$D$12,regle!$D$11,
IF(AS410=regle!$E$12,regle!$E$11,
IF(AS410=regle!$F$12,regle!$F$11,
IF(AS410=regle!$G$12,regle!$G$11,
IF(AS410=regle!$H$12,regle!$H$11,
IF(AS410=regle!$I$12,regle!$I$11,""))))))))))</f>
        <v/>
      </c>
      <c r="Z410" t="str">
        <f>IF(NOT($A410),"",
IF(AT410=-2,regle!$J$11,
IF(AT410=regle!$B$12,regle!$B$11,
IF(AT410=regle!$C$12,regle!$C$11,
IF(AT410=regle!$D$12,regle!$D$11,
IF(AT410=regle!$E$12,regle!$E$11,
IF(AT410=regle!$F$12,regle!$F$11,
IF(AT410=regle!$G$12,regle!$G$11,
IF(AT410=regle!$H$12,regle!$H$11,
IF(AT410=regle!$I$12,regle!$I$11,""))))))))))</f>
        <v/>
      </c>
      <c r="AA410" t="str">
        <f>IF(NOT($A410),"",
IF(AU410=-2,regle!$J$11,
IF(AU410=regle!$B$12,regle!$B$11,
IF(AU410=regle!$C$12,regle!$C$11,
IF(AU410=regle!$D$12,regle!$D$11,
IF(AU410=regle!$E$12,regle!$E$11,
IF(AU410=regle!$F$12,regle!$F$11,
IF(AU410=regle!$G$12,regle!$G$11,
IF(AU410=regle!$H$12,regle!$H$11,
IF(AU410=regle!$I$12,regle!$I$11,""))))))))))</f>
        <v/>
      </c>
      <c r="AB410" t="str">
        <f>IF(NOT($A410),"",
IF(AV410=-2,regle!$J$11,
IF(AV410=regle!$B$12,regle!$B$11,
IF(AV410=regle!$C$12,regle!$C$11,
IF(AV410=regle!$D$12,regle!$D$11,
IF(AV410=regle!$E$12,regle!$E$11,
IF(AV410=regle!$F$12,regle!$F$11,
IF(AV410=regle!$G$12,regle!$G$11,
IF(AV410=regle!$H$12,regle!$H$11,
IF(AV410=regle!$I$12,regle!$I$11,""))))))))))</f>
        <v/>
      </c>
      <c r="AC410" t="str">
        <f>IF(NOT($A410),"",
IF(AW410=-2,regle!$J$11,
IF(AW410=regle!$B$12,regle!$B$11,
IF(AW410=regle!$C$12,regle!$C$11,
IF(AW410=regle!$D$12,regle!$D$11,
IF(AW410=regle!$E$12,regle!$E$11,
IF(AW410=regle!$F$12,regle!$F$11,
IF(AW410=regle!$G$12,regle!$G$11,
IF(AW410=regle!$H$12,regle!$H$11,
IF(AW410=regle!$I$12,regle!$I$11,""))))))))))</f>
        <v/>
      </c>
      <c r="AD410" t="str">
        <f>IF(NOT($A410),"",
IF(AX410=-2,regle!$J$11,
IF(AX410=regle!$B$12,regle!$B$11,
IF(AX410=regle!$C$12,regle!$C$11,
IF(AX410=regle!$D$12,regle!$D$11,
IF(AX410=regle!$E$12,regle!$E$11,
IF(AX410=regle!$F$12,regle!$F$11,
IF(AX410=regle!$G$12,regle!$G$11,
IF(AX410=regle!$H$12,regle!$H$11,
IF(AX410=regle!$I$12,regle!$I$11,""))))))))))</f>
        <v/>
      </c>
      <c r="AE410" s="14" t="b">
        <f>IF($A410,$M410*(IF(U410=regle!$B$11,regle!$B$23,IF(U410=regle!$C$11,regle!$C$23,IF(U410=regle!$D$11,regle!$D$23,IF(U410=regle!$E$11,regle!$E$23,IF(U410=regle!$F$11,regle!$F$23,IF(U410=regle!$G$11,regle!$G$23,IF(U410=regle!$H$11,regle!$H$23,IF(U410=regle!$I$11,regle!$I$23,IF(U410=regle!$J$11,regle!$J$23,0)))))))))))</f>
        <v>0</v>
      </c>
      <c r="AF410" s="14" t="b">
        <f>IF($A410,$M410*(IF(V410=regle!$B$11,regle!$B$23,IF(V410=regle!$C$11,regle!$C$23,IF(V410=regle!$D$11,regle!$D$23,IF(V410=regle!$E$11,regle!$E$23,IF(V410=regle!$F$11,regle!$F$23,IF(V410=regle!$G$11,regle!$G$23,IF(V410=regle!$H$11,regle!$H$23,IF(V410=regle!$I$11,regle!$I$23,IF(V410=regle!$J$11,regle!$J$23,0)))))))))))</f>
        <v>0</v>
      </c>
      <c r="AG410" s="14" t="b">
        <f>IF($A410,$M410*(IF(W410=regle!$B$11,regle!$B$23,IF(W410=regle!$C$11,regle!$C$23,IF(W410=regle!$D$11,regle!$D$23,IF(W410=regle!$E$11,regle!$E$23,IF(W410=regle!$F$11,regle!$F$23,IF(W410=regle!$G$11,regle!$G$23,IF(W410=regle!$H$11,regle!$H$23,IF(W410=regle!$I$11,regle!$I$23,IF(W410=regle!$J$11,regle!$J$23,0)))))))))))</f>
        <v>0</v>
      </c>
      <c r="AH410" s="14" t="b">
        <f>IF($A410,$M410*(IF(X410=regle!$B$11,regle!$B$23,IF(X410=regle!$C$11,regle!$C$23,IF(X410=regle!$D$11,regle!$D$23,IF(X410=regle!$E$11,regle!$E$23,IF(X410=regle!$F$11,regle!$F$23,IF(X410=regle!$G$11,regle!$G$23,IF(X410=regle!$H$11,regle!$H$23,IF(X410=regle!$I$11,regle!$I$23,IF(X410=regle!$J$11,regle!$J$23,0)))))))))))</f>
        <v>0</v>
      </c>
      <c r="AI410" s="14" t="b">
        <f>IF($A410,$M410*(IF(Y410=regle!$B$11,regle!$B$23,IF(Y410=regle!$C$11,regle!$C$23,IF(Y410=regle!$D$11,regle!$D$23,IF(Y410=regle!$E$11,regle!$E$23,IF(Y410=regle!$F$11,regle!$F$23,IF(Y410=regle!$G$11,regle!$G$23,IF(Y410=regle!$H$11,regle!$H$23,IF(Y410=regle!$I$11,regle!$I$23,IF(Y410=regle!$J$11,regle!$J$23,0)))))))))))</f>
        <v>0</v>
      </c>
      <c r="AJ410" s="14" t="b">
        <f>IF($A410,$M410*(IF(Z410=regle!$B$11,regle!$B$23,IF(Z410=regle!$C$11,regle!$C$23,IF(Z410=regle!$D$11,regle!$D$23,IF(Z410=regle!$E$11,regle!$E$23,IF(Z410=regle!$F$11,regle!$F$23,IF(Z410=regle!$G$11,regle!$G$23,IF(Z410=regle!$H$11,regle!$H$23,IF(Z410=regle!$I$11,regle!$I$23,IF(Z410=regle!$J$11,regle!$J$23,0)))))))))))</f>
        <v>0</v>
      </c>
      <c r="AK410" s="14" t="b">
        <f>IF($A410,$M410*(IF(AA410=regle!$B$11,regle!$B$23,IF(AA410=regle!$C$11,regle!$C$23,IF(AA410=regle!$D$11,regle!$D$23,IF(AA410=regle!$E$11,regle!$E$23,IF(AA410=regle!$F$11,regle!$F$23,IF(AA410=regle!$G$11,regle!$G$23,IF(AA410=regle!$H$11,regle!$H$23,IF(AA410=regle!$I$11,regle!$I$23,IF(AA410=regle!$J$11,regle!$J$23,0)))))))))))</f>
        <v>0</v>
      </c>
      <c r="AL410" s="14" t="b">
        <f>IF($A410,$M410*(IF(AB410=regle!$B$11,regle!$B$23,IF(AB410=regle!$C$11,regle!$C$23,IF(AB410=regle!$D$11,regle!$D$23,IF(AB410=regle!$E$11,regle!$E$23,IF(AB410=regle!$F$11,regle!$F$23,IF(AB410=regle!$G$11,regle!$G$23,IF(AB410=regle!$H$11,regle!$H$23,IF(AB410=regle!$I$11,regle!$I$23,IF(AB410=regle!$J$11,regle!$J$23,0)))))))))))</f>
        <v>0</v>
      </c>
      <c r="AM410" s="14" t="b">
        <f>IF($A410,$M410*(IF(AC410=regle!$B$11,regle!$B$23,IF(AC410=regle!$C$11,regle!$C$23,IF(AC410=regle!$D$11,regle!$D$23,IF(AC410=regle!$E$11,regle!$E$23,IF(AC410=regle!$F$11,regle!$F$23,IF(AC410=regle!$G$11,regle!$G$23,IF(AC410=regle!$H$11,regle!$H$23,IF(AC410=regle!$I$11,regle!$I$23,IF(AC410=regle!$J$11,regle!$J$23,0)))))))))))</f>
        <v>0</v>
      </c>
      <c r="AN410" s="14" t="b">
        <f>IF($A410,$M410*(IF(AD410=regle!$B$11,regle!$B$23,IF(AD410=regle!$C$11,regle!$C$23,IF(AD410=regle!$D$11,regle!$D$23,IF(AD410=regle!$E$11,regle!$E$23,IF(AD410=regle!$F$11,regle!$F$23,IF(AD410=regle!$G$11,regle!$G$23,IF(AD410=regle!$H$11,regle!$H$23,IF(AD410=regle!$I$11,regle!$I$23,IF(AD410=regle!$J$11,regle!$J$23,0)))))))))))</f>
        <v>0</v>
      </c>
      <c r="AO410">
        <f>IF(AO$1=$AO$1,IF(regle!B$2-$Q410&gt;=regle!$J$12,-2,IF($S410,IF(regle!$B$2-$Q410&gt;=2,0,-1),regle!B$2-$Q410)),IF(AN410+1&gt;=regle!$J$12,-2,AN410+1))</f>
        <v>11</v>
      </c>
      <c r="AP410">
        <f>IF(AP$1=$AO$1,IF(regle!C$2-$Q410&gt;=regle!$J$12,-2,IF($S410,IF(regle!$B$2-$Q410&gt;=2,0,-1),regle!C$2-$Q410)),IF(AO410+1&gt;=regle!$J$12,-2,AO410+1))</f>
        <v>12</v>
      </c>
      <c r="AQ410">
        <f>IF(AQ$1=$AO$1,IF(regle!D$2-$Q410&gt;=regle!$J$12,-2,IF($S410,IF(regle!$B$2-$Q410&gt;=2,0,-1),regle!D$2-$Q410)),IF(AP410+1&gt;=regle!$J$12,-2,AP410+1))</f>
        <v>13</v>
      </c>
      <c r="AR410">
        <f>IF(AR$1=$AO$1,IF(regle!E$2-$Q410&gt;=regle!$J$12,-2,IF($S410,IF(regle!$B$2-$Q410&gt;=2,0,-1),regle!E$2-$Q410)),IF(AQ410+1&gt;=regle!$J$12,-2,AQ410+1))</f>
        <v>14</v>
      </c>
      <c r="AS410">
        <f>IF(AS$1=$AO$1,IF(regle!F$2-$Q410&gt;=regle!$J$12,-2,IF($S410,IF(regle!$B$2-$Q410&gt;=2,0,-1),regle!F$2-$Q410)),IF(AR410+1&gt;=regle!$J$12,-2,AR410+1))</f>
        <v>15</v>
      </c>
      <c r="AT410">
        <f>IF(AT$1=$AO$1,IF(regle!G$2-$Q410&gt;=regle!$J$12,-2,IF($S410,IF(regle!$B$2-$Q410&gt;=2,0,-1),regle!G$2-$Q410)),IF(AS410+1&gt;=regle!$J$12,-2,AS410+1))</f>
        <v>16</v>
      </c>
      <c r="AU410">
        <f>IF(AU$1=$AO$1,IF(regle!H$2-$Q410&gt;=regle!$J$12,-2,IF($S410,IF(regle!$B$2-$Q410&gt;=2,0,-1),regle!H$2-$Q410)),IF(AT410+1&gt;=regle!$J$12,-2,AT410+1))</f>
        <v>17</v>
      </c>
      <c r="AV410">
        <f>IF(AV$1=$AO$1,IF(regle!I$2-$Q410&gt;=regle!$J$12,-2,IF($S410,IF(regle!$B$2-$Q410&gt;=2,0,-1),regle!I$2-$Q410)),IF(AU410+1&gt;=regle!$J$12,-2,AU410+1))</f>
        <v>18</v>
      </c>
      <c r="AW410">
        <f>IF(AW$1=$AO$1,IF(regle!J$2-$Q410&gt;=regle!$J$12,-2,IF($S410,IF(regle!$B$2-$Q410&gt;=2,0,-1),regle!J$2-$Q410)),IF(AV410+1&gt;=regle!$J$12,-2,AV410+1))</f>
        <v>19</v>
      </c>
      <c r="AX410">
        <f>IF(AX$1=$AO$1,IF(regle!K$2-$Q410&gt;=regle!$J$12,-2,IF($S410,IF(regle!$B$2-$Q410&gt;=2,0,-1),regle!K$2-$Q410)),IF(AW410+1&gt;=regle!$J$12,-2,AW410+1))</f>
        <v>20</v>
      </c>
    </row>
    <row r="411" spans="1:50" x14ac:dyDescent="0.25">
      <c r="A411" t="b">
        <f>AND(modif0[[#This Row],[cdstr]]&lt;&gt;0,OR(regle!$H$27=FALSE,modif0[[#This Row],[essnc]]="PM"))</f>
        <v>0</v>
      </c>
      <c r="B411">
        <f>ROW(objet!A231)</f>
        <v>231</v>
      </c>
      <c r="C411" s="10" t="str">
        <f>objet!D231</f>
        <v>2020000B1223</v>
      </c>
      <c r="D411" t="str">
        <f>LEFT(modif0[[#This Row],[cdstr]],3)</f>
        <v>202</v>
      </c>
      <c r="E411" s="10" t="str">
        <f>objet!G231</f>
        <v>HOSTENS</v>
      </c>
      <c r="F411">
        <f>LEN(modif0[[#This Row],[l_dt]])</f>
        <v>13</v>
      </c>
      <c r="G411" s="10" t="str">
        <f>objet!H231</f>
        <v>LA BROUSTETTE</v>
      </c>
      <c r="H411" s="10" t="str">
        <f>objet!C231</f>
        <v>B1223</v>
      </c>
      <c r="I411" t="str">
        <f>IF(ISNUMBER(VALUE(RIGHT(LEFT(modif0[[#This Row],[idntfn]],2),1))),_xlfn.CONCAT(0,LEFT(modif0[[#This Row],[idntfn]],1)),LEFT(modif0[[#This Row],[idntfn]],2))</f>
        <v>0B</v>
      </c>
      <c r="J411">
        <f>VALUE(LEFT(RIGHT(modif0[[#This Row],[idntfn]],LEN(modif0[[#This Row],[idntfn]])-IF(LEFT(modif0[[#This Row],[sctn]],1)="0",1,2)),LEN(modif0[[#This Row],[idntfn]])-IF(LEFT(modif0[[#This Row],[sctn]],1)="0",1,2)-LEN(modif0[[#This Row],[lttr]])))</f>
        <v>1223</v>
      </c>
      <c r="K411" t="str">
        <f>IF(ISNUMBER(VALUE(RIGHT(modif0[[#This Row],[idntfn]],1))),"",IF(ISNUMBER(VALUE(LEFT(RIGHT(modif0[[#This Row],[idntfn]],2),1))),RIGHT(modif0[[#This Row],[idntfn]],1),RIGHT(modif0[[#This Row],[idntfn]],2)))</f>
        <v/>
      </c>
      <c r="L411" s="10">
        <f>objet!I231</f>
        <v>3360</v>
      </c>
      <c r="M411" s="11">
        <f>modif0[[#This Row],[srfc]]/10000</f>
        <v>0.33600000000000002</v>
      </c>
      <c r="N411" s="10" t="str">
        <f>objet!Z231</f>
        <v>FEUIL</v>
      </c>
      <c r="O411" s="10" t="str">
        <f>objet!AA231</f>
        <v>TAIL2013</v>
      </c>
      <c r="P411" t="str">
        <f>IF(ISNUMBER(modif0[[#This Row],[trvx]]),"",LEFT(modif0[[#This Row],[trvx]],LEN(modif0[[#This Row],[trvx]])-4))</f>
        <v>TAIL</v>
      </c>
      <c r="Q411">
        <f>VALUE(RIGHT(modif0[[#This Row],[trvx]],4))</f>
        <v>2013</v>
      </c>
      <c r="R411" t="str">
        <f>_xlfn.CONCAT(modif0[[#This Row],[tp]],"-",modif0[[#This Row],[essnc]],"_",modif0[[#This Row],[anns]])</f>
        <v>TAIL-FEUIL_2013</v>
      </c>
      <c r="S411" t="b">
        <f>modif0[[#This Row],[tp]]="CR"</f>
        <v>0</v>
      </c>
      <c r="T411">
        <v>40</v>
      </c>
      <c r="U411" t="str">
        <f>IF(NOT($A411),"",
IF(AO411=-2,regle!$J$11,
IF(AO411=regle!$B$12,regle!$B$11,
IF(AO411=regle!$C$12,regle!$C$11,
IF(AO411=regle!$D$12,regle!$D$11,
IF(AO411=regle!$E$12,regle!$E$11,
IF(AO411=regle!$F$12,regle!$F$11,
IF(AO411=regle!$G$12,regle!$G$11,
IF(AO411=regle!$H$12,regle!$H$11,
IF(AO411=regle!$I$12,regle!$I$11,""))))))))))</f>
        <v/>
      </c>
      <c r="V411" t="str">
        <f>IF(NOT($A411),"",
IF(AP411=-2,regle!$J$11,
IF(AP411=regle!$B$12,regle!$B$11,
IF(AP411=regle!$C$12,regle!$C$11,
IF(AP411=regle!$D$12,regle!$D$11,
IF(AP411=regle!$E$12,regle!$E$11,
IF(AP411=regle!$F$12,regle!$F$11,
IF(AP411=regle!$G$12,regle!$G$11,
IF(AP411=regle!$H$12,regle!$H$11,
IF(AP411=regle!$I$12,regle!$I$11,""))))))))))</f>
        <v/>
      </c>
      <c r="W411" t="str">
        <f>IF(NOT($A411),"",
IF(AQ411=-2,regle!$J$11,
IF(AQ411=regle!$B$12,regle!$B$11,
IF(AQ411=regle!$C$12,regle!$C$11,
IF(AQ411=regle!$D$12,regle!$D$11,
IF(AQ411=regle!$E$12,regle!$E$11,
IF(AQ411=regle!$F$12,regle!$F$11,
IF(AQ411=regle!$G$12,regle!$G$11,
IF(AQ411=regle!$H$12,regle!$H$11,
IF(AQ411=regle!$I$12,regle!$I$11,""))))))))))</f>
        <v/>
      </c>
      <c r="X411" t="str">
        <f>IF(NOT($A411),"",
IF(AR411=-2,regle!$J$11,
IF(AR411=regle!$B$12,regle!$B$11,
IF(AR411=regle!$C$12,regle!$C$11,
IF(AR411=regle!$D$12,regle!$D$11,
IF(AR411=regle!$E$12,regle!$E$11,
IF(AR411=regle!$F$12,regle!$F$11,
IF(AR411=regle!$G$12,regle!$G$11,
IF(AR411=regle!$H$12,regle!$H$11,
IF(AR411=regle!$I$12,regle!$I$11,""))))))))))</f>
        <v/>
      </c>
      <c r="Y411" t="str">
        <f>IF(NOT($A411),"",
IF(AS411=-2,regle!$J$11,
IF(AS411=regle!$B$12,regle!$B$11,
IF(AS411=regle!$C$12,regle!$C$11,
IF(AS411=regle!$D$12,regle!$D$11,
IF(AS411=regle!$E$12,regle!$E$11,
IF(AS411=regle!$F$12,regle!$F$11,
IF(AS411=regle!$G$12,regle!$G$11,
IF(AS411=regle!$H$12,regle!$H$11,
IF(AS411=regle!$I$12,regle!$I$11,""))))))))))</f>
        <v/>
      </c>
      <c r="Z411" t="str">
        <f>IF(NOT($A411),"",
IF(AT411=-2,regle!$J$11,
IF(AT411=regle!$B$12,regle!$B$11,
IF(AT411=regle!$C$12,regle!$C$11,
IF(AT411=regle!$D$12,regle!$D$11,
IF(AT411=regle!$E$12,regle!$E$11,
IF(AT411=regle!$F$12,regle!$F$11,
IF(AT411=regle!$G$12,regle!$G$11,
IF(AT411=regle!$H$12,regle!$H$11,
IF(AT411=regle!$I$12,regle!$I$11,""))))))))))</f>
        <v/>
      </c>
      <c r="AA411" t="str">
        <f>IF(NOT($A411),"",
IF(AU411=-2,regle!$J$11,
IF(AU411=regle!$B$12,regle!$B$11,
IF(AU411=regle!$C$12,regle!$C$11,
IF(AU411=regle!$D$12,regle!$D$11,
IF(AU411=regle!$E$12,regle!$E$11,
IF(AU411=regle!$F$12,regle!$F$11,
IF(AU411=regle!$G$12,regle!$G$11,
IF(AU411=regle!$H$12,regle!$H$11,
IF(AU411=regle!$I$12,regle!$I$11,""))))))))))</f>
        <v/>
      </c>
      <c r="AB411" t="str">
        <f>IF(NOT($A411),"",
IF(AV411=-2,regle!$J$11,
IF(AV411=regle!$B$12,regle!$B$11,
IF(AV411=regle!$C$12,regle!$C$11,
IF(AV411=regle!$D$12,regle!$D$11,
IF(AV411=regle!$E$12,regle!$E$11,
IF(AV411=regle!$F$12,regle!$F$11,
IF(AV411=regle!$G$12,regle!$G$11,
IF(AV411=regle!$H$12,regle!$H$11,
IF(AV411=regle!$I$12,regle!$I$11,""))))))))))</f>
        <v/>
      </c>
      <c r="AC411" t="str">
        <f>IF(NOT($A411),"",
IF(AW411=-2,regle!$J$11,
IF(AW411=regle!$B$12,regle!$B$11,
IF(AW411=regle!$C$12,regle!$C$11,
IF(AW411=regle!$D$12,regle!$D$11,
IF(AW411=regle!$E$12,regle!$E$11,
IF(AW411=regle!$F$12,regle!$F$11,
IF(AW411=regle!$G$12,regle!$G$11,
IF(AW411=regle!$H$12,regle!$H$11,
IF(AW411=regle!$I$12,regle!$I$11,""))))))))))</f>
        <v/>
      </c>
      <c r="AD411" t="str">
        <f>IF(NOT($A411),"",
IF(AX411=-2,regle!$J$11,
IF(AX411=regle!$B$12,regle!$B$11,
IF(AX411=regle!$C$12,regle!$C$11,
IF(AX411=regle!$D$12,regle!$D$11,
IF(AX411=regle!$E$12,regle!$E$11,
IF(AX411=regle!$F$12,regle!$F$11,
IF(AX411=regle!$G$12,regle!$G$11,
IF(AX411=regle!$H$12,regle!$H$11,
IF(AX411=regle!$I$12,regle!$I$11,""))))))))))</f>
        <v/>
      </c>
      <c r="AE411" s="14" t="b">
        <f>IF($A411,$M411*(IF(U411=regle!$B$11,regle!$B$23,IF(U411=regle!$C$11,regle!$C$23,IF(U411=regle!$D$11,regle!$D$23,IF(U411=regle!$E$11,regle!$E$23,IF(U411=regle!$F$11,regle!$F$23,IF(U411=regle!$G$11,regle!$G$23,IF(U411=regle!$H$11,regle!$H$23,IF(U411=regle!$I$11,regle!$I$23,IF(U411=regle!$J$11,regle!$J$23,0)))))))))))</f>
        <v>0</v>
      </c>
      <c r="AF411" s="14" t="b">
        <f>IF($A411,$M411*(IF(V411=regle!$B$11,regle!$B$23,IF(V411=regle!$C$11,regle!$C$23,IF(V411=regle!$D$11,regle!$D$23,IF(V411=regle!$E$11,regle!$E$23,IF(V411=regle!$F$11,regle!$F$23,IF(V411=regle!$G$11,regle!$G$23,IF(V411=regle!$H$11,regle!$H$23,IF(V411=regle!$I$11,regle!$I$23,IF(V411=regle!$J$11,regle!$J$23,0)))))))))))</f>
        <v>0</v>
      </c>
      <c r="AG411" s="14" t="b">
        <f>IF($A411,$M411*(IF(W411=regle!$B$11,regle!$B$23,IF(W411=regle!$C$11,regle!$C$23,IF(W411=regle!$D$11,regle!$D$23,IF(W411=regle!$E$11,regle!$E$23,IF(W411=regle!$F$11,regle!$F$23,IF(W411=regle!$G$11,regle!$G$23,IF(W411=regle!$H$11,regle!$H$23,IF(W411=regle!$I$11,regle!$I$23,IF(W411=regle!$J$11,regle!$J$23,0)))))))))))</f>
        <v>0</v>
      </c>
      <c r="AH411" s="14" t="b">
        <f>IF($A411,$M411*(IF(X411=regle!$B$11,regle!$B$23,IF(X411=regle!$C$11,regle!$C$23,IF(X411=regle!$D$11,regle!$D$23,IF(X411=regle!$E$11,regle!$E$23,IF(X411=regle!$F$11,regle!$F$23,IF(X411=regle!$G$11,regle!$G$23,IF(X411=regle!$H$11,regle!$H$23,IF(X411=regle!$I$11,regle!$I$23,IF(X411=regle!$J$11,regle!$J$23,0)))))))))))</f>
        <v>0</v>
      </c>
      <c r="AI411" s="14" t="b">
        <f>IF($A411,$M411*(IF(Y411=regle!$B$11,regle!$B$23,IF(Y411=regle!$C$11,regle!$C$23,IF(Y411=regle!$D$11,regle!$D$23,IF(Y411=regle!$E$11,regle!$E$23,IF(Y411=regle!$F$11,regle!$F$23,IF(Y411=regle!$G$11,regle!$G$23,IF(Y411=regle!$H$11,regle!$H$23,IF(Y411=regle!$I$11,regle!$I$23,IF(Y411=regle!$J$11,regle!$J$23,0)))))))))))</f>
        <v>0</v>
      </c>
      <c r="AJ411" s="14" t="b">
        <f>IF($A411,$M411*(IF(Z411=regle!$B$11,regle!$B$23,IF(Z411=regle!$C$11,regle!$C$23,IF(Z411=regle!$D$11,regle!$D$23,IF(Z411=regle!$E$11,regle!$E$23,IF(Z411=regle!$F$11,regle!$F$23,IF(Z411=regle!$G$11,regle!$G$23,IF(Z411=regle!$H$11,regle!$H$23,IF(Z411=regle!$I$11,regle!$I$23,IF(Z411=regle!$J$11,regle!$J$23,0)))))))))))</f>
        <v>0</v>
      </c>
      <c r="AK411" s="14" t="b">
        <f>IF($A411,$M411*(IF(AA411=regle!$B$11,regle!$B$23,IF(AA411=regle!$C$11,regle!$C$23,IF(AA411=regle!$D$11,regle!$D$23,IF(AA411=regle!$E$11,regle!$E$23,IF(AA411=regle!$F$11,regle!$F$23,IF(AA411=regle!$G$11,regle!$G$23,IF(AA411=regle!$H$11,regle!$H$23,IF(AA411=regle!$I$11,regle!$I$23,IF(AA411=regle!$J$11,regle!$J$23,0)))))))))))</f>
        <v>0</v>
      </c>
      <c r="AL411" s="14" t="b">
        <f>IF($A411,$M411*(IF(AB411=regle!$B$11,regle!$B$23,IF(AB411=regle!$C$11,regle!$C$23,IF(AB411=regle!$D$11,regle!$D$23,IF(AB411=regle!$E$11,regle!$E$23,IF(AB411=regle!$F$11,regle!$F$23,IF(AB411=regle!$G$11,regle!$G$23,IF(AB411=regle!$H$11,regle!$H$23,IF(AB411=regle!$I$11,regle!$I$23,IF(AB411=regle!$J$11,regle!$J$23,0)))))))))))</f>
        <v>0</v>
      </c>
      <c r="AM411" s="14" t="b">
        <f>IF($A411,$M411*(IF(AC411=regle!$B$11,regle!$B$23,IF(AC411=regle!$C$11,regle!$C$23,IF(AC411=regle!$D$11,regle!$D$23,IF(AC411=regle!$E$11,regle!$E$23,IF(AC411=regle!$F$11,regle!$F$23,IF(AC411=regle!$G$11,regle!$G$23,IF(AC411=regle!$H$11,regle!$H$23,IF(AC411=regle!$I$11,regle!$I$23,IF(AC411=regle!$J$11,regle!$J$23,0)))))))))))</f>
        <v>0</v>
      </c>
      <c r="AN411" s="14" t="b">
        <f>IF($A411,$M411*(IF(AD411=regle!$B$11,regle!$B$23,IF(AD411=regle!$C$11,regle!$C$23,IF(AD411=regle!$D$11,regle!$D$23,IF(AD411=regle!$E$11,regle!$E$23,IF(AD411=regle!$F$11,regle!$F$23,IF(AD411=regle!$G$11,regle!$G$23,IF(AD411=regle!$H$11,regle!$H$23,IF(AD411=regle!$I$11,regle!$I$23,IF(AD411=regle!$J$11,regle!$J$23,0)))))))))))</f>
        <v>0</v>
      </c>
      <c r="AO411">
        <f>IF(AO$1=$AO$1,IF(regle!B$2-$Q411&gt;=regle!$J$12,-2,IF($S411,IF(regle!$B$2-$Q411&gt;=2,0,-1),regle!B$2-$Q411)),IF(AN411+1&gt;=regle!$J$12,-2,AN411+1))</f>
        <v>11</v>
      </c>
      <c r="AP411">
        <f>IF(AP$1=$AO$1,IF(regle!C$2-$Q411&gt;=regle!$J$12,-2,IF($S411,IF(regle!$B$2-$Q411&gt;=2,0,-1),regle!C$2-$Q411)),IF(AO411+1&gt;=regle!$J$12,-2,AO411+1))</f>
        <v>12</v>
      </c>
      <c r="AQ411">
        <f>IF(AQ$1=$AO$1,IF(regle!D$2-$Q411&gt;=regle!$J$12,-2,IF($S411,IF(regle!$B$2-$Q411&gt;=2,0,-1),regle!D$2-$Q411)),IF(AP411+1&gt;=regle!$J$12,-2,AP411+1))</f>
        <v>13</v>
      </c>
      <c r="AR411">
        <f>IF(AR$1=$AO$1,IF(regle!E$2-$Q411&gt;=regle!$J$12,-2,IF($S411,IF(regle!$B$2-$Q411&gt;=2,0,-1),regle!E$2-$Q411)),IF(AQ411+1&gt;=regle!$J$12,-2,AQ411+1))</f>
        <v>14</v>
      </c>
      <c r="AS411">
        <f>IF(AS$1=$AO$1,IF(regle!F$2-$Q411&gt;=regle!$J$12,-2,IF($S411,IF(regle!$B$2-$Q411&gt;=2,0,-1),regle!F$2-$Q411)),IF(AR411+1&gt;=regle!$J$12,-2,AR411+1))</f>
        <v>15</v>
      </c>
      <c r="AT411">
        <f>IF(AT$1=$AO$1,IF(regle!G$2-$Q411&gt;=regle!$J$12,-2,IF($S411,IF(regle!$B$2-$Q411&gt;=2,0,-1),regle!G$2-$Q411)),IF(AS411+1&gt;=regle!$J$12,-2,AS411+1))</f>
        <v>16</v>
      </c>
      <c r="AU411">
        <f>IF(AU$1=$AO$1,IF(regle!H$2-$Q411&gt;=regle!$J$12,-2,IF($S411,IF(regle!$B$2-$Q411&gt;=2,0,-1),regle!H$2-$Q411)),IF(AT411+1&gt;=regle!$J$12,-2,AT411+1))</f>
        <v>17</v>
      </c>
      <c r="AV411">
        <f>IF(AV$1=$AO$1,IF(regle!I$2-$Q411&gt;=regle!$J$12,-2,IF($S411,IF(regle!$B$2-$Q411&gt;=2,0,-1),regle!I$2-$Q411)),IF(AU411+1&gt;=regle!$J$12,-2,AU411+1))</f>
        <v>18</v>
      </c>
      <c r="AW411">
        <f>IF(AW$1=$AO$1,IF(regle!J$2-$Q411&gt;=regle!$J$12,-2,IF($S411,IF(regle!$B$2-$Q411&gt;=2,0,-1),regle!J$2-$Q411)),IF(AV411+1&gt;=regle!$J$12,-2,AV411+1))</f>
        <v>19</v>
      </c>
      <c r="AX411">
        <f>IF(AX$1=$AO$1,IF(regle!K$2-$Q411&gt;=regle!$J$12,-2,IF($S411,IF(regle!$B$2-$Q411&gt;=2,0,-1),regle!K$2-$Q411)),IF(AW411+1&gt;=regle!$J$12,-2,AW411+1))</f>
        <v>20</v>
      </c>
    </row>
    <row r="412" spans="1:50" x14ac:dyDescent="0.25">
      <c r="A412" t="b">
        <f>AND(modif0[[#This Row],[cdstr]]&lt;&gt;0,OR(regle!$H$27=FALSE,modif0[[#This Row],[essnc]]="PM"))</f>
        <v>0</v>
      </c>
      <c r="B412">
        <f>ROW(objet!A237)</f>
        <v>237</v>
      </c>
      <c r="C412" s="10" t="str">
        <f>objet!D237</f>
        <v>2020000B1229</v>
      </c>
      <c r="D412" t="str">
        <f>LEFT(modif0[[#This Row],[cdstr]],3)</f>
        <v>202</v>
      </c>
      <c r="E412" s="10" t="str">
        <f>objet!G237</f>
        <v>HOSTENS</v>
      </c>
      <c r="F412">
        <f>LEN(modif0[[#This Row],[l_dt]])</f>
        <v>13</v>
      </c>
      <c r="G412" s="10" t="str">
        <f>objet!H237</f>
        <v>LA BROUSTETTE</v>
      </c>
      <c r="H412" s="10" t="str">
        <f>objet!C237</f>
        <v>B1229</v>
      </c>
      <c r="I412" t="str">
        <f>IF(ISNUMBER(VALUE(RIGHT(LEFT(modif0[[#This Row],[idntfn]],2),1))),_xlfn.CONCAT(0,LEFT(modif0[[#This Row],[idntfn]],1)),LEFT(modif0[[#This Row],[idntfn]],2))</f>
        <v>0B</v>
      </c>
      <c r="J412">
        <f>VALUE(LEFT(RIGHT(modif0[[#This Row],[idntfn]],LEN(modif0[[#This Row],[idntfn]])-IF(LEFT(modif0[[#This Row],[sctn]],1)="0",1,2)),LEN(modif0[[#This Row],[idntfn]])-IF(LEFT(modif0[[#This Row],[sctn]],1)="0",1,2)-LEN(modif0[[#This Row],[lttr]])))</f>
        <v>1229</v>
      </c>
      <c r="K412" t="str">
        <f>IF(ISNUMBER(VALUE(RIGHT(modif0[[#This Row],[idntfn]],1))),"",IF(ISNUMBER(VALUE(LEFT(RIGHT(modif0[[#This Row],[idntfn]],2),1))),RIGHT(modif0[[#This Row],[idntfn]],1),RIGHT(modif0[[#This Row],[idntfn]],2)))</f>
        <v/>
      </c>
      <c r="L412" s="10">
        <f>objet!I237</f>
        <v>9700</v>
      </c>
      <c r="M412" s="11">
        <f>modif0[[#This Row],[srfc]]/10000</f>
        <v>0.97</v>
      </c>
      <c r="N412" s="10" t="str">
        <f>objet!Z237</f>
        <v>FEUIL</v>
      </c>
      <c r="O412" s="10" t="str">
        <f>objet!AA237</f>
        <v>TAIL2013</v>
      </c>
      <c r="P412" t="str">
        <f>IF(ISNUMBER(modif0[[#This Row],[trvx]]),"",LEFT(modif0[[#This Row],[trvx]],LEN(modif0[[#This Row],[trvx]])-4))</f>
        <v>TAIL</v>
      </c>
      <c r="Q412">
        <f>VALUE(RIGHT(modif0[[#This Row],[trvx]],4))</f>
        <v>2013</v>
      </c>
      <c r="R412" t="str">
        <f>_xlfn.CONCAT(modif0[[#This Row],[tp]],"-",modif0[[#This Row],[essnc]],"_",modif0[[#This Row],[anns]])</f>
        <v>TAIL-FEUIL_2013</v>
      </c>
      <c r="S412" t="b">
        <f>modif0[[#This Row],[tp]]="CR"</f>
        <v>0</v>
      </c>
      <c r="T412">
        <v>40</v>
      </c>
      <c r="U412" t="str">
        <f>IF(NOT($A412),"",
IF(AO412=-2,regle!$J$11,
IF(AO412=regle!$B$12,regle!$B$11,
IF(AO412=regle!$C$12,regle!$C$11,
IF(AO412=regle!$D$12,regle!$D$11,
IF(AO412=regle!$E$12,regle!$E$11,
IF(AO412=regle!$F$12,regle!$F$11,
IF(AO412=regle!$G$12,regle!$G$11,
IF(AO412=regle!$H$12,regle!$H$11,
IF(AO412=regle!$I$12,regle!$I$11,""))))))))))</f>
        <v/>
      </c>
      <c r="V412" t="str">
        <f>IF(NOT($A412),"",
IF(AP412=-2,regle!$J$11,
IF(AP412=regle!$B$12,regle!$B$11,
IF(AP412=regle!$C$12,regle!$C$11,
IF(AP412=regle!$D$12,regle!$D$11,
IF(AP412=regle!$E$12,regle!$E$11,
IF(AP412=regle!$F$12,regle!$F$11,
IF(AP412=regle!$G$12,regle!$G$11,
IF(AP412=regle!$H$12,regle!$H$11,
IF(AP412=regle!$I$12,regle!$I$11,""))))))))))</f>
        <v/>
      </c>
      <c r="W412" t="str">
        <f>IF(NOT($A412),"",
IF(AQ412=-2,regle!$J$11,
IF(AQ412=regle!$B$12,regle!$B$11,
IF(AQ412=regle!$C$12,regle!$C$11,
IF(AQ412=regle!$D$12,regle!$D$11,
IF(AQ412=regle!$E$12,regle!$E$11,
IF(AQ412=regle!$F$12,regle!$F$11,
IF(AQ412=regle!$G$12,regle!$G$11,
IF(AQ412=regle!$H$12,regle!$H$11,
IF(AQ412=regle!$I$12,regle!$I$11,""))))))))))</f>
        <v/>
      </c>
      <c r="X412" t="str">
        <f>IF(NOT($A412),"",
IF(AR412=-2,regle!$J$11,
IF(AR412=regle!$B$12,regle!$B$11,
IF(AR412=regle!$C$12,regle!$C$11,
IF(AR412=regle!$D$12,regle!$D$11,
IF(AR412=regle!$E$12,regle!$E$11,
IF(AR412=regle!$F$12,regle!$F$11,
IF(AR412=regle!$G$12,regle!$G$11,
IF(AR412=regle!$H$12,regle!$H$11,
IF(AR412=regle!$I$12,regle!$I$11,""))))))))))</f>
        <v/>
      </c>
      <c r="Y412" t="str">
        <f>IF(NOT($A412),"",
IF(AS412=-2,regle!$J$11,
IF(AS412=regle!$B$12,regle!$B$11,
IF(AS412=regle!$C$12,regle!$C$11,
IF(AS412=regle!$D$12,regle!$D$11,
IF(AS412=regle!$E$12,regle!$E$11,
IF(AS412=regle!$F$12,regle!$F$11,
IF(AS412=regle!$G$12,regle!$G$11,
IF(AS412=regle!$H$12,regle!$H$11,
IF(AS412=regle!$I$12,regle!$I$11,""))))))))))</f>
        <v/>
      </c>
      <c r="Z412" t="str">
        <f>IF(NOT($A412),"",
IF(AT412=-2,regle!$J$11,
IF(AT412=regle!$B$12,regle!$B$11,
IF(AT412=regle!$C$12,regle!$C$11,
IF(AT412=regle!$D$12,regle!$D$11,
IF(AT412=regle!$E$12,regle!$E$11,
IF(AT412=regle!$F$12,regle!$F$11,
IF(AT412=regle!$G$12,regle!$G$11,
IF(AT412=regle!$H$12,regle!$H$11,
IF(AT412=regle!$I$12,regle!$I$11,""))))))))))</f>
        <v/>
      </c>
      <c r="AA412" t="str">
        <f>IF(NOT($A412),"",
IF(AU412=-2,regle!$J$11,
IF(AU412=regle!$B$12,regle!$B$11,
IF(AU412=regle!$C$12,regle!$C$11,
IF(AU412=regle!$D$12,regle!$D$11,
IF(AU412=regle!$E$12,regle!$E$11,
IF(AU412=regle!$F$12,regle!$F$11,
IF(AU412=regle!$G$12,regle!$G$11,
IF(AU412=regle!$H$12,regle!$H$11,
IF(AU412=regle!$I$12,regle!$I$11,""))))))))))</f>
        <v/>
      </c>
      <c r="AB412" t="str">
        <f>IF(NOT($A412),"",
IF(AV412=-2,regle!$J$11,
IF(AV412=regle!$B$12,regle!$B$11,
IF(AV412=regle!$C$12,regle!$C$11,
IF(AV412=regle!$D$12,regle!$D$11,
IF(AV412=regle!$E$12,regle!$E$11,
IF(AV412=regle!$F$12,regle!$F$11,
IF(AV412=regle!$G$12,regle!$G$11,
IF(AV412=regle!$H$12,regle!$H$11,
IF(AV412=regle!$I$12,regle!$I$11,""))))))))))</f>
        <v/>
      </c>
      <c r="AC412" t="str">
        <f>IF(NOT($A412),"",
IF(AW412=-2,regle!$J$11,
IF(AW412=regle!$B$12,regle!$B$11,
IF(AW412=regle!$C$12,regle!$C$11,
IF(AW412=regle!$D$12,regle!$D$11,
IF(AW412=regle!$E$12,regle!$E$11,
IF(AW412=regle!$F$12,regle!$F$11,
IF(AW412=regle!$G$12,regle!$G$11,
IF(AW412=regle!$H$12,regle!$H$11,
IF(AW412=regle!$I$12,regle!$I$11,""))))))))))</f>
        <v/>
      </c>
      <c r="AD412" t="str">
        <f>IF(NOT($A412),"",
IF(AX412=-2,regle!$J$11,
IF(AX412=regle!$B$12,regle!$B$11,
IF(AX412=regle!$C$12,regle!$C$11,
IF(AX412=regle!$D$12,regle!$D$11,
IF(AX412=regle!$E$12,regle!$E$11,
IF(AX412=regle!$F$12,regle!$F$11,
IF(AX412=regle!$G$12,regle!$G$11,
IF(AX412=regle!$H$12,regle!$H$11,
IF(AX412=regle!$I$12,regle!$I$11,""))))))))))</f>
        <v/>
      </c>
      <c r="AE412" s="14" t="b">
        <f>IF($A412,$M412*(IF(U412=regle!$B$11,regle!$B$23,IF(U412=regle!$C$11,regle!$C$23,IF(U412=regle!$D$11,regle!$D$23,IF(U412=regle!$E$11,regle!$E$23,IF(U412=regle!$F$11,regle!$F$23,IF(U412=regle!$G$11,regle!$G$23,IF(U412=regle!$H$11,regle!$H$23,IF(U412=regle!$I$11,regle!$I$23,IF(U412=regle!$J$11,regle!$J$23,0)))))))))))</f>
        <v>0</v>
      </c>
      <c r="AF412" s="14" t="b">
        <f>IF($A412,$M412*(IF(V412=regle!$B$11,regle!$B$23,IF(V412=regle!$C$11,regle!$C$23,IF(V412=regle!$D$11,regle!$D$23,IF(V412=regle!$E$11,regle!$E$23,IF(V412=regle!$F$11,regle!$F$23,IF(V412=regle!$G$11,regle!$G$23,IF(V412=regle!$H$11,regle!$H$23,IF(V412=regle!$I$11,regle!$I$23,IF(V412=regle!$J$11,regle!$J$23,0)))))))))))</f>
        <v>0</v>
      </c>
      <c r="AG412" s="14" t="b">
        <f>IF($A412,$M412*(IF(W412=regle!$B$11,regle!$B$23,IF(W412=regle!$C$11,regle!$C$23,IF(W412=regle!$D$11,regle!$D$23,IF(W412=regle!$E$11,regle!$E$23,IF(W412=regle!$F$11,regle!$F$23,IF(W412=regle!$G$11,regle!$G$23,IF(W412=regle!$H$11,regle!$H$23,IF(W412=regle!$I$11,regle!$I$23,IF(W412=regle!$J$11,regle!$J$23,0)))))))))))</f>
        <v>0</v>
      </c>
      <c r="AH412" s="14" t="b">
        <f>IF($A412,$M412*(IF(X412=regle!$B$11,regle!$B$23,IF(X412=regle!$C$11,regle!$C$23,IF(X412=regle!$D$11,regle!$D$23,IF(X412=regle!$E$11,regle!$E$23,IF(X412=regle!$F$11,regle!$F$23,IF(X412=regle!$G$11,regle!$G$23,IF(X412=regle!$H$11,regle!$H$23,IF(X412=regle!$I$11,regle!$I$23,IF(X412=regle!$J$11,regle!$J$23,0)))))))))))</f>
        <v>0</v>
      </c>
      <c r="AI412" s="14" t="b">
        <f>IF($A412,$M412*(IF(Y412=regle!$B$11,regle!$B$23,IF(Y412=regle!$C$11,regle!$C$23,IF(Y412=regle!$D$11,regle!$D$23,IF(Y412=regle!$E$11,regle!$E$23,IF(Y412=regle!$F$11,regle!$F$23,IF(Y412=regle!$G$11,regle!$G$23,IF(Y412=regle!$H$11,regle!$H$23,IF(Y412=regle!$I$11,regle!$I$23,IF(Y412=regle!$J$11,regle!$J$23,0)))))))))))</f>
        <v>0</v>
      </c>
      <c r="AJ412" s="14" t="b">
        <f>IF($A412,$M412*(IF(Z412=regle!$B$11,regle!$B$23,IF(Z412=regle!$C$11,regle!$C$23,IF(Z412=regle!$D$11,regle!$D$23,IF(Z412=regle!$E$11,regle!$E$23,IF(Z412=regle!$F$11,regle!$F$23,IF(Z412=regle!$G$11,regle!$G$23,IF(Z412=regle!$H$11,regle!$H$23,IF(Z412=regle!$I$11,regle!$I$23,IF(Z412=regle!$J$11,regle!$J$23,0)))))))))))</f>
        <v>0</v>
      </c>
      <c r="AK412" s="14" t="b">
        <f>IF($A412,$M412*(IF(AA412=regle!$B$11,regle!$B$23,IF(AA412=regle!$C$11,regle!$C$23,IF(AA412=regle!$D$11,regle!$D$23,IF(AA412=regle!$E$11,regle!$E$23,IF(AA412=regle!$F$11,regle!$F$23,IF(AA412=regle!$G$11,regle!$G$23,IF(AA412=regle!$H$11,regle!$H$23,IF(AA412=regle!$I$11,regle!$I$23,IF(AA412=regle!$J$11,regle!$J$23,0)))))))))))</f>
        <v>0</v>
      </c>
      <c r="AL412" s="14" t="b">
        <f>IF($A412,$M412*(IF(AB412=regle!$B$11,regle!$B$23,IF(AB412=regle!$C$11,regle!$C$23,IF(AB412=regle!$D$11,regle!$D$23,IF(AB412=regle!$E$11,regle!$E$23,IF(AB412=regle!$F$11,regle!$F$23,IF(AB412=regle!$G$11,regle!$G$23,IF(AB412=regle!$H$11,regle!$H$23,IF(AB412=regle!$I$11,regle!$I$23,IF(AB412=regle!$J$11,regle!$J$23,0)))))))))))</f>
        <v>0</v>
      </c>
      <c r="AM412" s="14" t="b">
        <f>IF($A412,$M412*(IF(AC412=regle!$B$11,regle!$B$23,IF(AC412=regle!$C$11,regle!$C$23,IF(AC412=regle!$D$11,regle!$D$23,IF(AC412=regle!$E$11,regle!$E$23,IF(AC412=regle!$F$11,regle!$F$23,IF(AC412=regle!$G$11,regle!$G$23,IF(AC412=regle!$H$11,regle!$H$23,IF(AC412=regle!$I$11,regle!$I$23,IF(AC412=regle!$J$11,regle!$J$23,0)))))))))))</f>
        <v>0</v>
      </c>
      <c r="AN412" s="14" t="b">
        <f>IF($A412,$M412*(IF(AD412=regle!$B$11,regle!$B$23,IF(AD412=regle!$C$11,regle!$C$23,IF(AD412=regle!$D$11,regle!$D$23,IF(AD412=regle!$E$11,regle!$E$23,IF(AD412=regle!$F$11,regle!$F$23,IF(AD412=regle!$G$11,regle!$G$23,IF(AD412=regle!$H$11,regle!$H$23,IF(AD412=regle!$I$11,regle!$I$23,IF(AD412=regle!$J$11,regle!$J$23,0)))))))))))</f>
        <v>0</v>
      </c>
      <c r="AO412">
        <f>IF(AO$1=$AO$1,IF(regle!B$2-$Q412&gt;=regle!$J$12,-2,IF($S412,IF(regle!$B$2-$Q412&gt;=2,0,-1),regle!B$2-$Q412)),IF(AN412+1&gt;=regle!$J$12,-2,AN412+1))</f>
        <v>11</v>
      </c>
      <c r="AP412">
        <f>IF(AP$1=$AO$1,IF(regle!C$2-$Q412&gt;=regle!$J$12,-2,IF($S412,IF(regle!$B$2-$Q412&gt;=2,0,-1),regle!C$2-$Q412)),IF(AO412+1&gt;=regle!$J$12,-2,AO412+1))</f>
        <v>12</v>
      </c>
      <c r="AQ412">
        <f>IF(AQ$1=$AO$1,IF(regle!D$2-$Q412&gt;=regle!$J$12,-2,IF($S412,IF(regle!$B$2-$Q412&gt;=2,0,-1),regle!D$2-$Q412)),IF(AP412+1&gt;=regle!$J$12,-2,AP412+1))</f>
        <v>13</v>
      </c>
      <c r="AR412">
        <f>IF(AR$1=$AO$1,IF(regle!E$2-$Q412&gt;=regle!$J$12,-2,IF($S412,IF(regle!$B$2-$Q412&gt;=2,0,-1),regle!E$2-$Q412)),IF(AQ412+1&gt;=regle!$J$12,-2,AQ412+1))</f>
        <v>14</v>
      </c>
      <c r="AS412">
        <f>IF(AS$1=$AO$1,IF(regle!F$2-$Q412&gt;=regle!$J$12,-2,IF($S412,IF(regle!$B$2-$Q412&gt;=2,0,-1),regle!F$2-$Q412)),IF(AR412+1&gt;=regle!$J$12,-2,AR412+1))</f>
        <v>15</v>
      </c>
      <c r="AT412">
        <f>IF(AT$1=$AO$1,IF(regle!G$2-$Q412&gt;=regle!$J$12,-2,IF($S412,IF(regle!$B$2-$Q412&gt;=2,0,-1),regle!G$2-$Q412)),IF(AS412+1&gt;=regle!$J$12,-2,AS412+1))</f>
        <v>16</v>
      </c>
      <c r="AU412">
        <f>IF(AU$1=$AO$1,IF(regle!H$2-$Q412&gt;=regle!$J$12,-2,IF($S412,IF(regle!$B$2-$Q412&gt;=2,0,-1),regle!H$2-$Q412)),IF(AT412+1&gt;=regle!$J$12,-2,AT412+1))</f>
        <v>17</v>
      </c>
      <c r="AV412">
        <f>IF(AV$1=$AO$1,IF(regle!I$2-$Q412&gt;=regle!$J$12,-2,IF($S412,IF(regle!$B$2-$Q412&gt;=2,0,-1),regle!I$2-$Q412)),IF(AU412+1&gt;=regle!$J$12,-2,AU412+1))</f>
        <v>18</v>
      </c>
      <c r="AW412">
        <f>IF(AW$1=$AO$1,IF(regle!J$2-$Q412&gt;=regle!$J$12,-2,IF($S412,IF(regle!$B$2-$Q412&gt;=2,0,-1),regle!J$2-$Q412)),IF(AV412+1&gt;=regle!$J$12,-2,AV412+1))</f>
        <v>19</v>
      </c>
      <c r="AX412">
        <f>IF(AX$1=$AO$1,IF(regle!K$2-$Q412&gt;=regle!$J$12,-2,IF($S412,IF(regle!$B$2-$Q412&gt;=2,0,-1),regle!K$2-$Q412)),IF(AW412+1&gt;=regle!$J$12,-2,AW412+1))</f>
        <v>20</v>
      </c>
    </row>
    <row r="413" spans="1:50" x14ac:dyDescent="0.25">
      <c r="A413" t="b">
        <f>AND(modif0[[#This Row],[cdstr]]&lt;&gt;0,OR(regle!$H$27=FALSE,modif0[[#This Row],[essnc]]="PM"))</f>
        <v>0</v>
      </c>
      <c r="B413">
        <f>ROW(objet!A238)</f>
        <v>238</v>
      </c>
      <c r="C413" s="10" t="str">
        <f>objet!D238</f>
        <v>2020000B1230</v>
      </c>
      <c r="D413" t="str">
        <f>LEFT(modif0[[#This Row],[cdstr]],3)</f>
        <v>202</v>
      </c>
      <c r="E413" s="10" t="str">
        <f>objet!G238</f>
        <v>HOSTENS</v>
      </c>
      <c r="F413">
        <f>LEN(modif0[[#This Row],[l_dt]])</f>
        <v>13</v>
      </c>
      <c r="G413" s="10" t="str">
        <f>objet!H238</f>
        <v>LA BROUSTETTE</v>
      </c>
      <c r="H413" s="10" t="str">
        <f>objet!C238</f>
        <v>B1230</v>
      </c>
      <c r="I413" t="str">
        <f>IF(ISNUMBER(VALUE(RIGHT(LEFT(modif0[[#This Row],[idntfn]],2),1))),_xlfn.CONCAT(0,LEFT(modif0[[#This Row],[idntfn]],1)),LEFT(modif0[[#This Row],[idntfn]],2))</f>
        <v>0B</v>
      </c>
      <c r="J413">
        <f>VALUE(LEFT(RIGHT(modif0[[#This Row],[idntfn]],LEN(modif0[[#This Row],[idntfn]])-IF(LEFT(modif0[[#This Row],[sctn]],1)="0",1,2)),LEN(modif0[[#This Row],[idntfn]])-IF(LEFT(modif0[[#This Row],[sctn]],1)="0",1,2)-LEN(modif0[[#This Row],[lttr]])))</f>
        <v>1230</v>
      </c>
      <c r="K413" t="str">
        <f>IF(ISNUMBER(VALUE(RIGHT(modif0[[#This Row],[idntfn]],1))),"",IF(ISNUMBER(VALUE(LEFT(RIGHT(modif0[[#This Row],[idntfn]],2),1))),RIGHT(modif0[[#This Row],[idntfn]],1),RIGHT(modif0[[#This Row],[idntfn]],2)))</f>
        <v/>
      </c>
      <c r="L413" s="10">
        <f>objet!I238</f>
        <v>3720</v>
      </c>
      <c r="M413" s="11">
        <f>modif0[[#This Row],[srfc]]/10000</f>
        <v>0.372</v>
      </c>
      <c r="N413" s="10" t="str">
        <f>objet!Z238</f>
        <v>FEUIL</v>
      </c>
      <c r="O413" s="10" t="str">
        <f>objet!AA238</f>
        <v>TAIL2013</v>
      </c>
      <c r="P413" t="str">
        <f>IF(ISNUMBER(modif0[[#This Row],[trvx]]),"",LEFT(modif0[[#This Row],[trvx]],LEN(modif0[[#This Row],[trvx]])-4))</f>
        <v>TAIL</v>
      </c>
      <c r="Q413">
        <f>VALUE(RIGHT(modif0[[#This Row],[trvx]],4))</f>
        <v>2013</v>
      </c>
      <c r="R413" t="str">
        <f>_xlfn.CONCAT(modif0[[#This Row],[tp]],"-",modif0[[#This Row],[essnc]],"_",modif0[[#This Row],[anns]])</f>
        <v>TAIL-FEUIL_2013</v>
      </c>
      <c r="S413" t="b">
        <f>modif0[[#This Row],[tp]]="CR"</f>
        <v>0</v>
      </c>
      <c r="T413">
        <v>40</v>
      </c>
      <c r="U413" t="str">
        <f>IF(NOT($A413),"",
IF(AO413=-2,regle!$J$11,
IF(AO413=regle!$B$12,regle!$B$11,
IF(AO413=regle!$C$12,regle!$C$11,
IF(AO413=regle!$D$12,regle!$D$11,
IF(AO413=regle!$E$12,regle!$E$11,
IF(AO413=regle!$F$12,regle!$F$11,
IF(AO413=regle!$G$12,regle!$G$11,
IF(AO413=regle!$H$12,regle!$H$11,
IF(AO413=regle!$I$12,regle!$I$11,""))))))))))</f>
        <v/>
      </c>
      <c r="V413" t="str">
        <f>IF(NOT($A413),"",
IF(AP413=-2,regle!$J$11,
IF(AP413=regle!$B$12,regle!$B$11,
IF(AP413=regle!$C$12,regle!$C$11,
IF(AP413=regle!$D$12,regle!$D$11,
IF(AP413=regle!$E$12,regle!$E$11,
IF(AP413=regle!$F$12,regle!$F$11,
IF(AP413=regle!$G$12,regle!$G$11,
IF(AP413=regle!$H$12,regle!$H$11,
IF(AP413=regle!$I$12,regle!$I$11,""))))))))))</f>
        <v/>
      </c>
      <c r="W413" t="str">
        <f>IF(NOT($A413),"",
IF(AQ413=-2,regle!$J$11,
IF(AQ413=regle!$B$12,regle!$B$11,
IF(AQ413=regle!$C$12,regle!$C$11,
IF(AQ413=regle!$D$12,regle!$D$11,
IF(AQ413=regle!$E$12,regle!$E$11,
IF(AQ413=regle!$F$12,regle!$F$11,
IF(AQ413=regle!$G$12,regle!$G$11,
IF(AQ413=regle!$H$12,regle!$H$11,
IF(AQ413=regle!$I$12,regle!$I$11,""))))))))))</f>
        <v/>
      </c>
      <c r="X413" t="str">
        <f>IF(NOT($A413),"",
IF(AR413=-2,regle!$J$11,
IF(AR413=regle!$B$12,regle!$B$11,
IF(AR413=regle!$C$12,regle!$C$11,
IF(AR413=regle!$D$12,regle!$D$11,
IF(AR413=regle!$E$12,regle!$E$11,
IF(AR413=regle!$F$12,regle!$F$11,
IF(AR413=regle!$G$12,regle!$G$11,
IF(AR413=regle!$H$12,regle!$H$11,
IF(AR413=regle!$I$12,regle!$I$11,""))))))))))</f>
        <v/>
      </c>
      <c r="Y413" t="str">
        <f>IF(NOT($A413),"",
IF(AS413=-2,regle!$J$11,
IF(AS413=regle!$B$12,regle!$B$11,
IF(AS413=regle!$C$12,regle!$C$11,
IF(AS413=regle!$D$12,regle!$D$11,
IF(AS413=regle!$E$12,regle!$E$11,
IF(AS413=regle!$F$12,regle!$F$11,
IF(AS413=regle!$G$12,regle!$G$11,
IF(AS413=regle!$H$12,regle!$H$11,
IF(AS413=regle!$I$12,regle!$I$11,""))))))))))</f>
        <v/>
      </c>
      <c r="Z413" t="str">
        <f>IF(NOT($A413),"",
IF(AT413=-2,regle!$J$11,
IF(AT413=regle!$B$12,regle!$B$11,
IF(AT413=regle!$C$12,regle!$C$11,
IF(AT413=regle!$D$12,regle!$D$11,
IF(AT413=regle!$E$12,regle!$E$11,
IF(AT413=regle!$F$12,regle!$F$11,
IF(AT413=regle!$G$12,regle!$G$11,
IF(AT413=regle!$H$12,regle!$H$11,
IF(AT413=regle!$I$12,regle!$I$11,""))))))))))</f>
        <v/>
      </c>
      <c r="AA413" t="str">
        <f>IF(NOT($A413),"",
IF(AU413=-2,regle!$J$11,
IF(AU413=regle!$B$12,regle!$B$11,
IF(AU413=regle!$C$12,regle!$C$11,
IF(AU413=regle!$D$12,regle!$D$11,
IF(AU413=regle!$E$12,regle!$E$11,
IF(AU413=regle!$F$12,regle!$F$11,
IF(AU413=regle!$G$12,regle!$G$11,
IF(AU413=regle!$H$12,regle!$H$11,
IF(AU413=regle!$I$12,regle!$I$11,""))))))))))</f>
        <v/>
      </c>
      <c r="AB413" t="str">
        <f>IF(NOT($A413),"",
IF(AV413=-2,regle!$J$11,
IF(AV413=regle!$B$12,regle!$B$11,
IF(AV413=regle!$C$12,regle!$C$11,
IF(AV413=regle!$D$12,regle!$D$11,
IF(AV413=regle!$E$12,regle!$E$11,
IF(AV413=regle!$F$12,regle!$F$11,
IF(AV413=regle!$G$12,regle!$G$11,
IF(AV413=regle!$H$12,regle!$H$11,
IF(AV413=regle!$I$12,regle!$I$11,""))))))))))</f>
        <v/>
      </c>
      <c r="AC413" t="str">
        <f>IF(NOT($A413),"",
IF(AW413=-2,regle!$J$11,
IF(AW413=regle!$B$12,regle!$B$11,
IF(AW413=regle!$C$12,regle!$C$11,
IF(AW413=regle!$D$12,regle!$D$11,
IF(AW413=regle!$E$12,regle!$E$11,
IF(AW413=regle!$F$12,regle!$F$11,
IF(AW413=regle!$G$12,regle!$G$11,
IF(AW413=regle!$H$12,regle!$H$11,
IF(AW413=regle!$I$12,regle!$I$11,""))))))))))</f>
        <v/>
      </c>
      <c r="AD413" t="str">
        <f>IF(NOT($A413),"",
IF(AX413=-2,regle!$J$11,
IF(AX413=regle!$B$12,regle!$B$11,
IF(AX413=regle!$C$12,regle!$C$11,
IF(AX413=regle!$D$12,regle!$D$11,
IF(AX413=regle!$E$12,regle!$E$11,
IF(AX413=regle!$F$12,regle!$F$11,
IF(AX413=regle!$G$12,regle!$G$11,
IF(AX413=regle!$H$12,regle!$H$11,
IF(AX413=regle!$I$12,regle!$I$11,""))))))))))</f>
        <v/>
      </c>
      <c r="AE413" s="14" t="b">
        <f>IF($A413,$M413*(IF(U413=regle!$B$11,regle!$B$23,IF(U413=regle!$C$11,regle!$C$23,IF(U413=regle!$D$11,regle!$D$23,IF(U413=regle!$E$11,regle!$E$23,IF(U413=regle!$F$11,regle!$F$23,IF(U413=regle!$G$11,regle!$G$23,IF(U413=regle!$H$11,regle!$H$23,IF(U413=regle!$I$11,regle!$I$23,IF(U413=regle!$J$11,regle!$J$23,0)))))))))))</f>
        <v>0</v>
      </c>
      <c r="AF413" s="14" t="b">
        <f>IF($A413,$M413*(IF(V413=regle!$B$11,regle!$B$23,IF(V413=regle!$C$11,regle!$C$23,IF(V413=regle!$D$11,regle!$D$23,IF(V413=regle!$E$11,regle!$E$23,IF(V413=regle!$F$11,regle!$F$23,IF(V413=regle!$G$11,regle!$G$23,IF(V413=regle!$H$11,regle!$H$23,IF(V413=regle!$I$11,regle!$I$23,IF(V413=regle!$J$11,regle!$J$23,0)))))))))))</f>
        <v>0</v>
      </c>
      <c r="AG413" s="14" t="b">
        <f>IF($A413,$M413*(IF(W413=regle!$B$11,regle!$B$23,IF(W413=regle!$C$11,regle!$C$23,IF(W413=regle!$D$11,regle!$D$23,IF(W413=regle!$E$11,regle!$E$23,IF(W413=regle!$F$11,regle!$F$23,IF(W413=regle!$G$11,regle!$G$23,IF(W413=regle!$H$11,regle!$H$23,IF(W413=regle!$I$11,regle!$I$23,IF(W413=regle!$J$11,regle!$J$23,0)))))))))))</f>
        <v>0</v>
      </c>
      <c r="AH413" s="14" t="b">
        <f>IF($A413,$M413*(IF(X413=regle!$B$11,regle!$B$23,IF(X413=regle!$C$11,regle!$C$23,IF(X413=regle!$D$11,regle!$D$23,IF(X413=regle!$E$11,regle!$E$23,IF(X413=regle!$F$11,regle!$F$23,IF(X413=regle!$G$11,regle!$G$23,IF(X413=regle!$H$11,regle!$H$23,IF(X413=regle!$I$11,regle!$I$23,IF(X413=regle!$J$11,regle!$J$23,0)))))))))))</f>
        <v>0</v>
      </c>
      <c r="AI413" s="14" t="b">
        <f>IF($A413,$M413*(IF(Y413=regle!$B$11,regle!$B$23,IF(Y413=regle!$C$11,regle!$C$23,IF(Y413=regle!$D$11,regle!$D$23,IF(Y413=regle!$E$11,regle!$E$23,IF(Y413=regle!$F$11,regle!$F$23,IF(Y413=regle!$G$11,regle!$G$23,IF(Y413=regle!$H$11,regle!$H$23,IF(Y413=regle!$I$11,regle!$I$23,IF(Y413=regle!$J$11,regle!$J$23,0)))))))))))</f>
        <v>0</v>
      </c>
      <c r="AJ413" s="14" t="b">
        <f>IF($A413,$M413*(IF(Z413=regle!$B$11,regle!$B$23,IF(Z413=regle!$C$11,regle!$C$23,IF(Z413=regle!$D$11,regle!$D$23,IF(Z413=regle!$E$11,regle!$E$23,IF(Z413=regle!$F$11,regle!$F$23,IF(Z413=regle!$G$11,regle!$G$23,IF(Z413=regle!$H$11,regle!$H$23,IF(Z413=regle!$I$11,regle!$I$23,IF(Z413=regle!$J$11,regle!$J$23,0)))))))))))</f>
        <v>0</v>
      </c>
      <c r="AK413" s="14" t="b">
        <f>IF($A413,$M413*(IF(AA413=regle!$B$11,regle!$B$23,IF(AA413=regle!$C$11,regle!$C$23,IF(AA413=regle!$D$11,regle!$D$23,IF(AA413=regle!$E$11,regle!$E$23,IF(AA413=regle!$F$11,regle!$F$23,IF(AA413=regle!$G$11,regle!$G$23,IF(AA413=regle!$H$11,regle!$H$23,IF(AA413=regle!$I$11,regle!$I$23,IF(AA413=regle!$J$11,regle!$J$23,0)))))))))))</f>
        <v>0</v>
      </c>
      <c r="AL413" s="14" t="b">
        <f>IF($A413,$M413*(IF(AB413=regle!$B$11,regle!$B$23,IF(AB413=regle!$C$11,regle!$C$23,IF(AB413=regle!$D$11,regle!$D$23,IF(AB413=regle!$E$11,regle!$E$23,IF(AB413=regle!$F$11,regle!$F$23,IF(AB413=regle!$G$11,regle!$G$23,IF(AB413=regle!$H$11,regle!$H$23,IF(AB413=regle!$I$11,regle!$I$23,IF(AB413=regle!$J$11,regle!$J$23,0)))))))))))</f>
        <v>0</v>
      </c>
      <c r="AM413" s="14" t="b">
        <f>IF($A413,$M413*(IF(AC413=regle!$B$11,regle!$B$23,IF(AC413=regle!$C$11,regle!$C$23,IF(AC413=regle!$D$11,regle!$D$23,IF(AC413=regle!$E$11,regle!$E$23,IF(AC413=regle!$F$11,regle!$F$23,IF(AC413=regle!$G$11,regle!$G$23,IF(AC413=regle!$H$11,regle!$H$23,IF(AC413=regle!$I$11,regle!$I$23,IF(AC413=regle!$J$11,regle!$J$23,0)))))))))))</f>
        <v>0</v>
      </c>
      <c r="AN413" s="14" t="b">
        <f>IF($A413,$M413*(IF(AD413=regle!$B$11,regle!$B$23,IF(AD413=regle!$C$11,regle!$C$23,IF(AD413=regle!$D$11,regle!$D$23,IF(AD413=regle!$E$11,regle!$E$23,IF(AD413=regle!$F$11,regle!$F$23,IF(AD413=regle!$G$11,regle!$G$23,IF(AD413=regle!$H$11,regle!$H$23,IF(AD413=regle!$I$11,regle!$I$23,IF(AD413=regle!$J$11,regle!$J$23,0)))))))))))</f>
        <v>0</v>
      </c>
      <c r="AO413">
        <f>IF(AO$1=$AO$1,IF(regle!B$2-$Q413&gt;=regle!$J$12,-2,IF($S413,IF(regle!$B$2-$Q413&gt;=2,0,-1),regle!B$2-$Q413)),IF(AN413+1&gt;=regle!$J$12,-2,AN413+1))</f>
        <v>11</v>
      </c>
      <c r="AP413">
        <f>IF(AP$1=$AO$1,IF(regle!C$2-$Q413&gt;=regle!$J$12,-2,IF($S413,IF(regle!$B$2-$Q413&gt;=2,0,-1),regle!C$2-$Q413)),IF(AO413+1&gt;=regle!$J$12,-2,AO413+1))</f>
        <v>12</v>
      </c>
      <c r="AQ413">
        <f>IF(AQ$1=$AO$1,IF(regle!D$2-$Q413&gt;=regle!$J$12,-2,IF($S413,IF(regle!$B$2-$Q413&gt;=2,0,-1),regle!D$2-$Q413)),IF(AP413+1&gt;=regle!$J$12,-2,AP413+1))</f>
        <v>13</v>
      </c>
      <c r="AR413">
        <f>IF(AR$1=$AO$1,IF(regle!E$2-$Q413&gt;=regle!$J$12,-2,IF($S413,IF(regle!$B$2-$Q413&gt;=2,0,-1),regle!E$2-$Q413)),IF(AQ413+1&gt;=regle!$J$12,-2,AQ413+1))</f>
        <v>14</v>
      </c>
      <c r="AS413">
        <f>IF(AS$1=$AO$1,IF(regle!F$2-$Q413&gt;=regle!$J$12,-2,IF($S413,IF(regle!$B$2-$Q413&gt;=2,0,-1),regle!F$2-$Q413)),IF(AR413+1&gt;=regle!$J$12,-2,AR413+1))</f>
        <v>15</v>
      </c>
      <c r="AT413">
        <f>IF(AT$1=$AO$1,IF(regle!G$2-$Q413&gt;=regle!$J$12,-2,IF($S413,IF(regle!$B$2-$Q413&gt;=2,0,-1),regle!G$2-$Q413)),IF(AS413+1&gt;=regle!$J$12,-2,AS413+1))</f>
        <v>16</v>
      </c>
      <c r="AU413">
        <f>IF(AU$1=$AO$1,IF(regle!H$2-$Q413&gt;=regle!$J$12,-2,IF($S413,IF(regle!$B$2-$Q413&gt;=2,0,-1),regle!H$2-$Q413)),IF(AT413+1&gt;=regle!$J$12,-2,AT413+1))</f>
        <v>17</v>
      </c>
      <c r="AV413">
        <f>IF(AV$1=$AO$1,IF(regle!I$2-$Q413&gt;=regle!$J$12,-2,IF($S413,IF(regle!$B$2-$Q413&gt;=2,0,-1),regle!I$2-$Q413)),IF(AU413+1&gt;=regle!$J$12,-2,AU413+1))</f>
        <v>18</v>
      </c>
      <c r="AW413">
        <f>IF(AW$1=$AO$1,IF(regle!J$2-$Q413&gt;=regle!$J$12,-2,IF($S413,IF(regle!$B$2-$Q413&gt;=2,0,-1),regle!J$2-$Q413)),IF(AV413+1&gt;=regle!$J$12,-2,AV413+1))</f>
        <v>19</v>
      </c>
      <c r="AX413">
        <f>IF(AX$1=$AO$1,IF(regle!K$2-$Q413&gt;=regle!$J$12,-2,IF($S413,IF(regle!$B$2-$Q413&gt;=2,0,-1),regle!K$2-$Q413)),IF(AW413+1&gt;=regle!$J$12,-2,AW413+1))</f>
        <v>20</v>
      </c>
    </row>
    <row r="414" spans="1:50" x14ac:dyDescent="0.25">
      <c r="A414" t="b">
        <f>AND(modif0[[#This Row],[cdstr]]&lt;&gt;0,OR(regle!$H$27=FALSE,modif0[[#This Row],[essnc]]="PM"))</f>
        <v>0</v>
      </c>
      <c r="B414">
        <f>ROW(objet!A239)</f>
        <v>239</v>
      </c>
      <c r="C414" s="10" t="str">
        <f>objet!D239</f>
        <v>2020000B1231</v>
      </c>
      <c r="D414" t="str">
        <f>LEFT(modif0[[#This Row],[cdstr]],3)</f>
        <v>202</v>
      </c>
      <c r="E414" s="10" t="str">
        <f>objet!G239</f>
        <v>HOSTENS</v>
      </c>
      <c r="F414">
        <f>LEN(modif0[[#This Row],[l_dt]])</f>
        <v>13</v>
      </c>
      <c r="G414" s="10" t="str">
        <f>objet!H239</f>
        <v>LA BROUSTETTE</v>
      </c>
      <c r="H414" s="10" t="str">
        <f>objet!C239</f>
        <v>B1231</v>
      </c>
      <c r="I414" t="str">
        <f>IF(ISNUMBER(VALUE(RIGHT(LEFT(modif0[[#This Row],[idntfn]],2),1))),_xlfn.CONCAT(0,LEFT(modif0[[#This Row],[idntfn]],1)),LEFT(modif0[[#This Row],[idntfn]],2))</f>
        <v>0B</v>
      </c>
      <c r="J414">
        <f>VALUE(LEFT(RIGHT(modif0[[#This Row],[idntfn]],LEN(modif0[[#This Row],[idntfn]])-IF(LEFT(modif0[[#This Row],[sctn]],1)="0",1,2)),LEN(modif0[[#This Row],[idntfn]])-IF(LEFT(modif0[[#This Row],[sctn]],1)="0",1,2)-LEN(modif0[[#This Row],[lttr]])))</f>
        <v>1231</v>
      </c>
      <c r="K414" t="str">
        <f>IF(ISNUMBER(VALUE(RIGHT(modif0[[#This Row],[idntfn]],1))),"",IF(ISNUMBER(VALUE(LEFT(RIGHT(modif0[[#This Row],[idntfn]],2),1))),RIGHT(modif0[[#This Row],[idntfn]],1),RIGHT(modif0[[#This Row],[idntfn]],2)))</f>
        <v/>
      </c>
      <c r="L414" s="10">
        <f>objet!I239</f>
        <v>2940</v>
      </c>
      <c r="M414" s="11">
        <f>modif0[[#This Row],[srfc]]/10000</f>
        <v>0.29399999999999998</v>
      </c>
      <c r="N414" s="10" t="str">
        <f>objet!Z239</f>
        <v>FEUIL</v>
      </c>
      <c r="O414" s="10" t="str">
        <f>objet!AA239</f>
        <v>TAIL2013</v>
      </c>
      <c r="P414" t="str">
        <f>IF(ISNUMBER(modif0[[#This Row],[trvx]]),"",LEFT(modif0[[#This Row],[trvx]],LEN(modif0[[#This Row],[trvx]])-4))</f>
        <v>TAIL</v>
      </c>
      <c r="Q414">
        <f>VALUE(RIGHT(modif0[[#This Row],[trvx]],4))</f>
        <v>2013</v>
      </c>
      <c r="R414" t="str">
        <f>_xlfn.CONCAT(modif0[[#This Row],[tp]],"-",modif0[[#This Row],[essnc]],"_",modif0[[#This Row],[anns]])</f>
        <v>TAIL-FEUIL_2013</v>
      </c>
      <c r="S414" t="b">
        <f>modif0[[#This Row],[tp]]="CR"</f>
        <v>0</v>
      </c>
      <c r="T414">
        <v>40</v>
      </c>
      <c r="U414" t="str">
        <f>IF(NOT($A414),"",
IF(AO414=-2,regle!$J$11,
IF(AO414=regle!$B$12,regle!$B$11,
IF(AO414=regle!$C$12,regle!$C$11,
IF(AO414=regle!$D$12,regle!$D$11,
IF(AO414=regle!$E$12,regle!$E$11,
IF(AO414=regle!$F$12,regle!$F$11,
IF(AO414=regle!$G$12,regle!$G$11,
IF(AO414=regle!$H$12,regle!$H$11,
IF(AO414=regle!$I$12,regle!$I$11,""))))))))))</f>
        <v/>
      </c>
      <c r="V414" t="str">
        <f>IF(NOT($A414),"",
IF(AP414=-2,regle!$J$11,
IF(AP414=regle!$B$12,regle!$B$11,
IF(AP414=regle!$C$12,regle!$C$11,
IF(AP414=regle!$D$12,regle!$D$11,
IF(AP414=regle!$E$12,regle!$E$11,
IF(AP414=regle!$F$12,regle!$F$11,
IF(AP414=regle!$G$12,regle!$G$11,
IF(AP414=regle!$H$12,regle!$H$11,
IF(AP414=regle!$I$12,regle!$I$11,""))))))))))</f>
        <v/>
      </c>
      <c r="W414" t="str">
        <f>IF(NOT($A414),"",
IF(AQ414=-2,regle!$J$11,
IF(AQ414=regle!$B$12,regle!$B$11,
IF(AQ414=regle!$C$12,regle!$C$11,
IF(AQ414=regle!$D$12,regle!$D$11,
IF(AQ414=regle!$E$12,regle!$E$11,
IF(AQ414=regle!$F$12,regle!$F$11,
IF(AQ414=regle!$G$12,regle!$G$11,
IF(AQ414=regle!$H$12,regle!$H$11,
IF(AQ414=regle!$I$12,regle!$I$11,""))))))))))</f>
        <v/>
      </c>
      <c r="X414" t="str">
        <f>IF(NOT($A414),"",
IF(AR414=-2,regle!$J$11,
IF(AR414=regle!$B$12,regle!$B$11,
IF(AR414=regle!$C$12,regle!$C$11,
IF(AR414=regle!$D$12,regle!$D$11,
IF(AR414=regle!$E$12,regle!$E$11,
IF(AR414=regle!$F$12,regle!$F$11,
IF(AR414=regle!$G$12,regle!$G$11,
IF(AR414=regle!$H$12,regle!$H$11,
IF(AR414=regle!$I$12,regle!$I$11,""))))))))))</f>
        <v/>
      </c>
      <c r="Y414" t="str">
        <f>IF(NOT($A414),"",
IF(AS414=-2,regle!$J$11,
IF(AS414=regle!$B$12,regle!$B$11,
IF(AS414=regle!$C$12,regle!$C$11,
IF(AS414=regle!$D$12,regle!$D$11,
IF(AS414=regle!$E$12,regle!$E$11,
IF(AS414=regle!$F$12,regle!$F$11,
IF(AS414=regle!$G$12,regle!$G$11,
IF(AS414=regle!$H$12,regle!$H$11,
IF(AS414=regle!$I$12,regle!$I$11,""))))))))))</f>
        <v/>
      </c>
      <c r="Z414" t="str">
        <f>IF(NOT($A414),"",
IF(AT414=-2,regle!$J$11,
IF(AT414=regle!$B$12,regle!$B$11,
IF(AT414=regle!$C$12,regle!$C$11,
IF(AT414=regle!$D$12,regle!$D$11,
IF(AT414=regle!$E$12,regle!$E$11,
IF(AT414=regle!$F$12,regle!$F$11,
IF(AT414=regle!$G$12,regle!$G$11,
IF(AT414=regle!$H$12,regle!$H$11,
IF(AT414=regle!$I$12,regle!$I$11,""))))))))))</f>
        <v/>
      </c>
      <c r="AA414" t="str">
        <f>IF(NOT($A414),"",
IF(AU414=-2,regle!$J$11,
IF(AU414=regle!$B$12,regle!$B$11,
IF(AU414=regle!$C$12,regle!$C$11,
IF(AU414=regle!$D$12,regle!$D$11,
IF(AU414=regle!$E$12,regle!$E$11,
IF(AU414=regle!$F$12,regle!$F$11,
IF(AU414=regle!$G$12,regle!$G$11,
IF(AU414=regle!$H$12,regle!$H$11,
IF(AU414=regle!$I$12,regle!$I$11,""))))))))))</f>
        <v/>
      </c>
      <c r="AB414" t="str">
        <f>IF(NOT($A414),"",
IF(AV414=-2,regle!$J$11,
IF(AV414=regle!$B$12,regle!$B$11,
IF(AV414=regle!$C$12,regle!$C$11,
IF(AV414=regle!$D$12,regle!$D$11,
IF(AV414=regle!$E$12,regle!$E$11,
IF(AV414=regle!$F$12,regle!$F$11,
IF(AV414=regle!$G$12,regle!$G$11,
IF(AV414=regle!$H$12,regle!$H$11,
IF(AV414=regle!$I$12,regle!$I$11,""))))))))))</f>
        <v/>
      </c>
      <c r="AC414" t="str">
        <f>IF(NOT($A414),"",
IF(AW414=-2,regle!$J$11,
IF(AW414=regle!$B$12,regle!$B$11,
IF(AW414=regle!$C$12,regle!$C$11,
IF(AW414=regle!$D$12,regle!$D$11,
IF(AW414=regle!$E$12,regle!$E$11,
IF(AW414=regle!$F$12,regle!$F$11,
IF(AW414=regle!$G$12,regle!$G$11,
IF(AW414=regle!$H$12,regle!$H$11,
IF(AW414=regle!$I$12,regle!$I$11,""))))))))))</f>
        <v/>
      </c>
      <c r="AD414" t="str">
        <f>IF(NOT($A414),"",
IF(AX414=-2,regle!$J$11,
IF(AX414=regle!$B$12,regle!$B$11,
IF(AX414=regle!$C$12,regle!$C$11,
IF(AX414=regle!$D$12,regle!$D$11,
IF(AX414=regle!$E$12,regle!$E$11,
IF(AX414=regle!$F$12,regle!$F$11,
IF(AX414=regle!$G$12,regle!$G$11,
IF(AX414=regle!$H$12,regle!$H$11,
IF(AX414=regle!$I$12,regle!$I$11,""))))))))))</f>
        <v/>
      </c>
      <c r="AE414" s="14" t="b">
        <f>IF($A414,$M414*(IF(U414=regle!$B$11,regle!$B$23,IF(U414=regle!$C$11,regle!$C$23,IF(U414=regle!$D$11,regle!$D$23,IF(U414=regle!$E$11,regle!$E$23,IF(U414=regle!$F$11,regle!$F$23,IF(U414=regle!$G$11,regle!$G$23,IF(U414=regle!$H$11,regle!$H$23,IF(U414=regle!$I$11,regle!$I$23,IF(U414=regle!$J$11,regle!$J$23,0)))))))))))</f>
        <v>0</v>
      </c>
      <c r="AF414" s="14" t="b">
        <f>IF($A414,$M414*(IF(V414=regle!$B$11,regle!$B$23,IF(V414=regle!$C$11,regle!$C$23,IF(V414=regle!$D$11,regle!$D$23,IF(V414=regle!$E$11,regle!$E$23,IF(V414=regle!$F$11,regle!$F$23,IF(V414=regle!$G$11,regle!$G$23,IF(V414=regle!$H$11,regle!$H$23,IF(V414=regle!$I$11,regle!$I$23,IF(V414=regle!$J$11,regle!$J$23,0)))))))))))</f>
        <v>0</v>
      </c>
      <c r="AG414" s="14" t="b">
        <f>IF($A414,$M414*(IF(W414=regle!$B$11,regle!$B$23,IF(W414=regle!$C$11,regle!$C$23,IF(W414=regle!$D$11,regle!$D$23,IF(W414=regle!$E$11,regle!$E$23,IF(W414=regle!$F$11,regle!$F$23,IF(W414=regle!$G$11,regle!$G$23,IF(W414=regle!$H$11,regle!$H$23,IF(W414=regle!$I$11,regle!$I$23,IF(W414=regle!$J$11,regle!$J$23,0)))))))))))</f>
        <v>0</v>
      </c>
      <c r="AH414" s="14" t="b">
        <f>IF($A414,$M414*(IF(X414=regle!$B$11,regle!$B$23,IF(X414=regle!$C$11,regle!$C$23,IF(X414=regle!$D$11,regle!$D$23,IF(X414=regle!$E$11,regle!$E$23,IF(X414=regle!$F$11,regle!$F$23,IF(X414=regle!$G$11,regle!$G$23,IF(X414=regle!$H$11,regle!$H$23,IF(X414=regle!$I$11,regle!$I$23,IF(X414=regle!$J$11,regle!$J$23,0)))))))))))</f>
        <v>0</v>
      </c>
      <c r="AI414" s="14" t="b">
        <f>IF($A414,$M414*(IF(Y414=regle!$B$11,regle!$B$23,IF(Y414=regle!$C$11,regle!$C$23,IF(Y414=regle!$D$11,regle!$D$23,IF(Y414=regle!$E$11,regle!$E$23,IF(Y414=regle!$F$11,regle!$F$23,IF(Y414=regle!$G$11,regle!$G$23,IF(Y414=regle!$H$11,regle!$H$23,IF(Y414=regle!$I$11,regle!$I$23,IF(Y414=regle!$J$11,regle!$J$23,0)))))))))))</f>
        <v>0</v>
      </c>
      <c r="AJ414" s="14" t="b">
        <f>IF($A414,$M414*(IF(Z414=regle!$B$11,regle!$B$23,IF(Z414=regle!$C$11,regle!$C$23,IF(Z414=regle!$D$11,regle!$D$23,IF(Z414=regle!$E$11,regle!$E$23,IF(Z414=regle!$F$11,regle!$F$23,IF(Z414=regle!$G$11,regle!$G$23,IF(Z414=regle!$H$11,regle!$H$23,IF(Z414=regle!$I$11,regle!$I$23,IF(Z414=regle!$J$11,regle!$J$23,0)))))))))))</f>
        <v>0</v>
      </c>
      <c r="AK414" s="14" t="b">
        <f>IF($A414,$M414*(IF(AA414=regle!$B$11,regle!$B$23,IF(AA414=regle!$C$11,regle!$C$23,IF(AA414=regle!$D$11,regle!$D$23,IF(AA414=regle!$E$11,regle!$E$23,IF(AA414=regle!$F$11,regle!$F$23,IF(AA414=regle!$G$11,regle!$G$23,IF(AA414=regle!$H$11,regle!$H$23,IF(AA414=regle!$I$11,regle!$I$23,IF(AA414=regle!$J$11,regle!$J$23,0)))))))))))</f>
        <v>0</v>
      </c>
      <c r="AL414" s="14" t="b">
        <f>IF($A414,$M414*(IF(AB414=regle!$B$11,regle!$B$23,IF(AB414=regle!$C$11,regle!$C$23,IF(AB414=regle!$D$11,regle!$D$23,IF(AB414=regle!$E$11,regle!$E$23,IF(AB414=regle!$F$11,regle!$F$23,IF(AB414=regle!$G$11,regle!$G$23,IF(AB414=regle!$H$11,regle!$H$23,IF(AB414=regle!$I$11,regle!$I$23,IF(AB414=regle!$J$11,regle!$J$23,0)))))))))))</f>
        <v>0</v>
      </c>
      <c r="AM414" s="14" t="b">
        <f>IF($A414,$M414*(IF(AC414=regle!$B$11,regle!$B$23,IF(AC414=regle!$C$11,regle!$C$23,IF(AC414=regle!$D$11,regle!$D$23,IF(AC414=regle!$E$11,regle!$E$23,IF(AC414=regle!$F$11,regle!$F$23,IF(AC414=regle!$G$11,regle!$G$23,IF(AC414=regle!$H$11,regle!$H$23,IF(AC414=regle!$I$11,regle!$I$23,IF(AC414=regle!$J$11,regle!$J$23,0)))))))))))</f>
        <v>0</v>
      </c>
      <c r="AN414" s="14" t="b">
        <f>IF($A414,$M414*(IF(AD414=regle!$B$11,regle!$B$23,IF(AD414=regle!$C$11,regle!$C$23,IF(AD414=regle!$D$11,regle!$D$23,IF(AD414=regle!$E$11,regle!$E$23,IF(AD414=regle!$F$11,regle!$F$23,IF(AD414=regle!$G$11,regle!$G$23,IF(AD414=regle!$H$11,regle!$H$23,IF(AD414=regle!$I$11,regle!$I$23,IF(AD414=regle!$J$11,regle!$J$23,0)))))))))))</f>
        <v>0</v>
      </c>
      <c r="AO414">
        <f>IF(AO$1=$AO$1,IF(regle!B$2-$Q414&gt;=regle!$J$12,-2,IF($S414,IF(regle!$B$2-$Q414&gt;=2,0,-1),regle!B$2-$Q414)),IF(AN414+1&gt;=regle!$J$12,-2,AN414+1))</f>
        <v>11</v>
      </c>
      <c r="AP414">
        <f>IF(AP$1=$AO$1,IF(regle!C$2-$Q414&gt;=regle!$J$12,-2,IF($S414,IF(regle!$B$2-$Q414&gt;=2,0,-1),regle!C$2-$Q414)),IF(AO414+1&gt;=regle!$J$12,-2,AO414+1))</f>
        <v>12</v>
      </c>
      <c r="AQ414">
        <f>IF(AQ$1=$AO$1,IF(regle!D$2-$Q414&gt;=regle!$J$12,-2,IF($S414,IF(regle!$B$2-$Q414&gt;=2,0,-1),regle!D$2-$Q414)),IF(AP414+1&gt;=regle!$J$12,-2,AP414+1))</f>
        <v>13</v>
      </c>
      <c r="AR414">
        <f>IF(AR$1=$AO$1,IF(regle!E$2-$Q414&gt;=regle!$J$12,-2,IF($S414,IF(regle!$B$2-$Q414&gt;=2,0,-1),regle!E$2-$Q414)),IF(AQ414+1&gt;=regle!$J$12,-2,AQ414+1))</f>
        <v>14</v>
      </c>
      <c r="AS414">
        <f>IF(AS$1=$AO$1,IF(regle!F$2-$Q414&gt;=regle!$J$12,-2,IF($S414,IF(regle!$B$2-$Q414&gt;=2,0,-1),regle!F$2-$Q414)),IF(AR414+1&gt;=regle!$J$12,-2,AR414+1))</f>
        <v>15</v>
      </c>
      <c r="AT414">
        <f>IF(AT$1=$AO$1,IF(regle!G$2-$Q414&gt;=regle!$J$12,-2,IF($S414,IF(regle!$B$2-$Q414&gt;=2,0,-1),regle!G$2-$Q414)),IF(AS414+1&gt;=regle!$J$12,-2,AS414+1))</f>
        <v>16</v>
      </c>
      <c r="AU414">
        <f>IF(AU$1=$AO$1,IF(regle!H$2-$Q414&gt;=regle!$J$12,-2,IF($S414,IF(regle!$B$2-$Q414&gt;=2,0,-1),regle!H$2-$Q414)),IF(AT414+1&gt;=regle!$J$12,-2,AT414+1))</f>
        <v>17</v>
      </c>
      <c r="AV414">
        <f>IF(AV$1=$AO$1,IF(regle!I$2-$Q414&gt;=regle!$J$12,-2,IF($S414,IF(regle!$B$2-$Q414&gt;=2,0,-1),regle!I$2-$Q414)),IF(AU414+1&gt;=regle!$J$12,-2,AU414+1))</f>
        <v>18</v>
      </c>
      <c r="AW414">
        <f>IF(AW$1=$AO$1,IF(regle!J$2-$Q414&gt;=regle!$J$12,-2,IF($S414,IF(regle!$B$2-$Q414&gt;=2,0,-1),regle!J$2-$Q414)),IF(AV414+1&gt;=regle!$J$12,-2,AV414+1))</f>
        <v>19</v>
      </c>
      <c r="AX414">
        <f>IF(AX$1=$AO$1,IF(regle!K$2-$Q414&gt;=regle!$J$12,-2,IF($S414,IF(regle!$B$2-$Q414&gt;=2,0,-1),regle!K$2-$Q414)),IF(AW414+1&gt;=regle!$J$12,-2,AW414+1))</f>
        <v>20</v>
      </c>
    </row>
    <row r="415" spans="1:50" x14ac:dyDescent="0.25">
      <c r="A415" t="b">
        <f>AND(modif0[[#This Row],[cdstr]]&lt;&gt;0,OR(regle!$H$27=FALSE,modif0[[#This Row],[essnc]]="PM"))</f>
        <v>0</v>
      </c>
      <c r="B415">
        <f>ROW(objet!A240)</f>
        <v>240</v>
      </c>
      <c r="C415" s="10" t="str">
        <f>objet!D240</f>
        <v>2020000B1232</v>
      </c>
      <c r="D415" t="str">
        <f>LEFT(modif0[[#This Row],[cdstr]],3)</f>
        <v>202</v>
      </c>
      <c r="E415" s="10" t="str">
        <f>objet!G240</f>
        <v>HOSTENS</v>
      </c>
      <c r="F415">
        <f>LEN(modif0[[#This Row],[l_dt]])</f>
        <v>13</v>
      </c>
      <c r="G415" s="10" t="str">
        <f>objet!H240</f>
        <v>LA BROUSTETTE</v>
      </c>
      <c r="H415" s="10" t="str">
        <f>objet!C240</f>
        <v>B1232</v>
      </c>
      <c r="I415" t="str">
        <f>IF(ISNUMBER(VALUE(RIGHT(LEFT(modif0[[#This Row],[idntfn]],2),1))),_xlfn.CONCAT(0,LEFT(modif0[[#This Row],[idntfn]],1)),LEFT(modif0[[#This Row],[idntfn]],2))</f>
        <v>0B</v>
      </c>
      <c r="J415">
        <f>VALUE(LEFT(RIGHT(modif0[[#This Row],[idntfn]],LEN(modif0[[#This Row],[idntfn]])-IF(LEFT(modif0[[#This Row],[sctn]],1)="0",1,2)),LEN(modif0[[#This Row],[idntfn]])-IF(LEFT(modif0[[#This Row],[sctn]],1)="0",1,2)-LEN(modif0[[#This Row],[lttr]])))</f>
        <v>1232</v>
      </c>
      <c r="K415" t="str">
        <f>IF(ISNUMBER(VALUE(RIGHT(modif0[[#This Row],[idntfn]],1))),"",IF(ISNUMBER(VALUE(LEFT(RIGHT(modif0[[#This Row],[idntfn]],2),1))),RIGHT(modif0[[#This Row],[idntfn]],1),RIGHT(modif0[[#This Row],[idntfn]],2)))</f>
        <v/>
      </c>
      <c r="L415" s="10">
        <f>objet!I240</f>
        <v>2090</v>
      </c>
      <c r="M415" s="11">
        <f>modif0[[#This Row],[srfc]]/10000</f>
        <v>0.20899999999999999</v>
      </c>
      <c r="N415" s="10" t="str">
        <f>objet!Z240</f>
        <v>FEUIL</v>
      </c>
      <c r="O415" s="10" t="str">
        <f>objet!AA240</f>
        <v>TAIL2013</v>
      </c>
      <c r="P415" t="str">
        <f>IF(ISNUMBER(modif0[[#This Row],[trvx]]),"",LEFT(modif0[[#This Row],[trvx]],LEN(modif0[[#This Row],[trvx]])-4))</f>
        <v>TAIL</v>
      </c>
      <c r="Q415">
        <f>VALUE(RIGHT(modif0[[#This Row],[trvx]],4))</f>
        <v>2013</v>
      </c>
      <c r="R415" t="str">
        <f>_xlfn.CONCAT(modif0[[#This Row],[tp]],"-",modif0[[#This Row],[essnc]],"_",modif0[[#This Row],[anns]])</f>
        <v>TAIL-FEUIL_2013</v>
      </c>
      <c r="S415" t="b">
        <f>modif0[[#This Row],[tp]]="CR"</f>
        <v>0</v>
      </c>
      <c r="T415">
        <v>40</v>
      </c>
      <c r="U415" t="str">
        <f>IF(NOT($A415),"",
IF(AO415=-2,regle!$J$11,
IF(AO415=regle!$B$12,regle!$B$11,
IF(AO415=regle!$C$12,regle!$C$11,
IF(AO415=regle!$D$12,regle!$D$11,
IF(AO415=regle!$E$12,regle!$E$11,
IF(AO415=regle!$F$12,regle!$F$11,
IF(AO415=regle!$G$12,regle!$G$11,
IF(AO415=regle!$H$12,regle!$H$11,
IF(AO415=regle!$I$12,regle!$I$11,""))))))))))</f>
        <v/>
      </c>
      <c r="V415" t="str">
        <f>IF(NOT($A415),"",
IF(AP415=-2,regle!$J$11,
IF(AP415=regle!$B$12,regle!$B$11,
IF(AP415=regle!$C$12,regle!$C$11,
IF(AP415=regle!$D$12,regle!$D$11,
IF(AP415=regle!$E$12,regle!$E$11,
IF(AP415=regle!$F$12,regle!$F$11,
IF(AP415=regle!$G$12,regle!$G$11,
IF(AP415=regle!$H$12,regle!$H$11,
IF(AP415=regle!$I$12,regle!$I$11,""))))))))))</f>
        <v/>
      </c>
      <c r="W415" t="str">
        <f>IF(NOT($A415),"",
IF(AQ415=-2,regle!$J$11,
IF(AQ415=regle!$B$12,regle!$B$11,
IF(AQ415=regle!$C$12,regle!$C$11,
IF(AQ415=regle!$D$12,regle!$D$11,
IF(AQ415=regle!$E$12,regle!$E$11,
IF(AQ415=regle!$F$12,regle!$F$11,
IF(AQ415=regle!$G$12,regle!$G$11,
IF(AQ415=regle!$H$12,regle!$H$11,
IF(AQ415=regle!$I$12,regle!$I$11,""))))))))))</f>
        <v/>
      </c>
      <c r="X415" t="str">
        <f>IF(NOT($A415),"",
IF(AR415=-2,regle!$J$11,
IF(AR415=regle!$B$12,regle!$B$11,
IF(AR415=regle!$C$12,regle!$C$11,
IF(AR415=regle!$D$12,regle!$D$11,
IF(AR415=regle!$E$12,regle!$E$11,
IF(AR415=regle!$F$12,regle!$F$11,
IF(AR415=regle!$G$12,regle!$G$11,
IF(AR415=regle!$H$12,regle!$H$11,
IF(AR415=regle!$I$12,regle!$I$11,""))))))))))</f>
        <v/>
      </c>
      <c r="Y415" t="str">
        <f>IF(NOT($A415),"",
IF(AS415=-2,regle!$J$11,
IF(AS415=regle!$B$12,regle!$B$11,
IF(AS415=regle!$C$12,regle!$C$11,
IF(AS415=regle!$D$12,regle!$D$11,
IF(AS415=regle!$E$12,regle!$E$11,
IF(AS415=regle!$F$12,regle!$F$11,
IF(AS415=regle!$G$12,regle!$G$11,
IF(AS415=regle!$H$12,regle!$H$11,
IF(AS415=regle!$I$12,regle!$I$11,""))))))))))</f>
        <v/>
      </c>
      <c r="Z415" t="str">
        <f>IF(NOT($A415),"",
IF(AT415=-2,regle!$J$11,
IF(AT415=regle!$B$12,regle!$B$11,
IF(AT415=regle!$C$12,regle!$C$11,
IF(AT415=regle!$D$12,regle!$D$11,
IF(AT415=regle!$E$12,regle!$E$11,
IF(AT415=regle!$F$12,regle!$F$11,
IF(AT415=regle!$G$12,regle!$G$11,
IF(AT415=regle!$H$12,regle!$H$11,
IF(AT415=regle!$I$12,regle!$I$11,""))))))))))</f>
        <v/>
      </c>
      <c r="AA415" t="str">
        <f>IF(NOT($A415),"",
IF(AU415=-2,regle!$J$11,
IF(AU415=regle!$B$12,regle!$B$11,
IF(AU415=regle!$C$12,regle!$C$11,
IF(AU415=regle!$D$12,regle!$D$11,
IF(AU415=regle!$E$12,regle!$E$11,
IF(AU415=regle!$F$12,regle!$F$11,
IF(AU415=regle!$G$12,regle!$G$11,
IF(AU415=regle!$H$12,regle!$H$11,
IF(AU415=regle!$I$12,regle!$I$11,""))))))))))</f>
        <v/>
      </c>
      <c r="AB415" t="str">
        <f>IF(NOT($A415),"",
IF(AV415=-2,regle!$J$11,
IF(AV415=regle!$B$12,regle!$B$11,
IF(AV415=regle!$C$12,regle!$C$11,
IF(AV415=regle!$D$12,regle!$D$11,
IF(AV415=regle!$E$12,regle!$E$11,
IF(AV415=regle!$F$12,regle!$F$11,
IF(AV415=regle!$G$12,regle!$G$11,
IF(AV415=regle!$H$12,regle!$H$11,
IF(AV415=regle!$I$12,regle!$I$11,""))))))))))</f>
        <v/>
      </c>
      <c r="AC415" t="str">
        <f>IF(NOT($A415),"",
IF(AW415=-2,regle!$J$11,
IF(AW415=regle!$B$12,regle!$B$11,
IF(AW415=regle!$C$12,regle!$C$11,
IF(AW415=regle!$D$12,regle!$D$11,
IF(AW415=regle!$E$12,regle!$E$11,
IF(AW415=regle!$F$12,regle!$F$11,
IF(AW415=regle!$G$12,regle!$G$11,
IF(AW415=regle!$H$12,regle!$H$11,
IF(AW415=regle!$I$12,regle!$I$11,""))))))))))</f>
        <v/>
      </c>
      <c r="AD415" t="str">
        <f>IF(NOT($A415),"",
IF(AX415=-2,regle!$J$11,
IF(AX415=regle!$B$12,regle!$B$11,
IF(AX415=regle!$C$12,regle!$C$11,
IF(AX415=regle!$D$12,regle!$D$11,
IF(AX415=regle!$E$12,regle!$E$11,
IF(AX415=regle!$F$12,regle!$F$11,
IF(AX415=regle!$G$12,regle!$G$11,
IF(AX415=regle!$H$12,regle!$H$11,
IF(AX415=regle!$I$12,regle!$I$11,""))))))))))</f>
        <v/>
      </c>
      <c r="AE415" s="14" t="b">
        <f>IF($A415,$M415*(IF(U415=regle!$B$11,regle!$B$23,IF(U415=regle!$C$11,regle!$C$23,IF(U415=regle!$D$11,regle!$D$23,IF(U415=regle!$E$11,regle!$E$23,IF(U415=regle!$F$11,regle!$F$23,IF(U415=regle!$G$11,regle!$G$23,IF(U415=regle!$H$11,regle!$H$23,IF(U415=regle!$I$11,regle!$I$23,IF(U415=regle!$J$11,regle!$J$23,0)))))))))))</f>
        <v>0</v>
      </c>
      <c r="AF415" s="14" t="b">
        <f>IF($A415,$M415*(IF(V415=regle!$B$11,regle!$B$23,IF(V415=regle!$C$11,regle!$C$23,IF(V415=regle!$D$11,regle!$D$23,IF(V415=regle!$E$11,regle!$E$23,IF(V415=regle!$F$11,regle!$F$23,IF(V415=regle!$G$11,regle!$G$23,IF(V415=regle!$H$11,regle!$H$23,IF(V415=regle!$I$11,regle!$I$23,IF(V415=regle!$J$11,regle!$J$23,0)))))))))))</f>
        <v>0</v>
      </c>
      <c r="AG415" s="14" t="b">
        <f>IF($A415,$M415*(IF(W415=regle!$B$11,regle!$B$23,IF(W415=regle!$C$11,regle!$C$23,IF(W415=regle!$D$11,regle!$D$23,IF(W415=regle!$E$11,regle!$E$23,IF(W415=regle!$F$11,regle!$F$23,IF(W415=regle!$G$11,regle!$G$23,IF(W415=regle!$H$11,regle!$H$23,IF(W415=regle!$I$11,regle!$I$23,IF(W415=regle!$J$11,regle!$J$23,0)))))))))))</f>
        <v>0</v>
      </c>
      <c r="AH415" s="14" t="b">
        <f>IF($A415,$M415*(IF(X415=regle!$B$11,regle!$B$23,IF(X415=regle!$C$11,regle!$C$23,IF(X415=regle!$D$11,regle!$D$23,IF(X415=regle!$E$11,regle!$E$23,IF(X415=regle!$F$11,regle!$F$23,IF(X415=regle!$G$11,regle!$G$23,IF(X415=regle!$H$11,regle!$H$23,IF(X415=regle!$I$11,regle!$I$23,IF(X415=regle!$J$11,regle!$J$23,0)))))))))))</f>
        <v>0</v>
      </c>
      <c r="AI415" s="14" t="b">
        <f>IF($A415,$M415*(IF(Y415=regle!$B$11,regle!$B$23,IF(Y415=regle!$C$11,regle!$C$23,IF(Y415=regle!$D$11,regle!$D$23,IF(Y415=regle!$E$11,regle!$E$23,IF(Y415=regle!$F$11,regle!$F$23,IF(Y415=regle!$G$11,regle!$G$23,IF(Y415=regle!$H$11,regle!$H$23,IF(Y415=regle!$I$11,regle!$I$23,IF(Y415=regle!$J$11,regle!$J$23,0)))))))))))</f>
        <v>0</v>
      </c>
      <c r="AJ415" s="14" t="b">
        <f>IF($A415,$M415*(IF(Z415=regle!$B$11,regle!$B$23,IF(Z415=regle!$C$11,regle!$C$23,IF(Z415=regle!$D$11,regle!$D$23,IF(Z415=regle!$E$11,regle!$E$23,IF(Z415=regle!$F$11,regle!$F$23,IF(Z415=regle!$G$11,regle!$G$23,IF(Z415=regle!$H$11,regle!$H$23,IF(Z415=regle!$I$11,regle!$I$23,IF(Z415=regle!$J$11,regle!$J$23,0)))))))))))</f>
        <v>0</v>
      </c>
      <c r="AK415" s="14" t="b">
        <f>IF($A415,$M415*(IF(AA415=regle!$B$11,regle!$B$23,IF(AA415=regle!$C$11,regle!$C$23,IF(AA415=regle!$D$11,regle!$D$23,IF(AA415=regle!$E$11,regle!$E$23,IF(AA415=regle!$F$11,regle!$F$23,IF(AA415=regle!$G$11,regle!$G$23,IF(AA415=regle!$H$11,regle!$H$23,IF(AA415=regle!$I$11,regle!$I$23,IF(AA415=regle!$J$11,regle!$J$23,0)))))))))))</f>
        <v>0</v>
      </c>
      <c r="AL415" s="14" t="b">
        <f>IF($A415,$M415*(IF(AB415=regle!$B$11,regle!$B$23,IF(AB415=regle!$C$11,regle!$C$23,IF(AB415=regle!$D$11,regle!$D$23,IF(AB415=regle!$E$11,regle!$E$23,IF(AB415=regle!$F$11,regle!$F$23,IF(AB415=regle!$G$11,regle!$G$23,IF(AB415=regle!$H$11,regle!$H$23,IF(AB415=regle!$I$11,regle!$I$23,IF(AB415=regle!$J$11,regle!$J$23,0)))))))))))</f>
        <v>0</v>
      </c>
      <c r="AM415" s="14" t="b">
        <f>IF($A415,$M415*(IF(AC415=regle!$B$11,regle!$B$23,IF(AC415=regle!$C$11,regle!$C$23,IF(AC415=regle!$D$11,regle!$D$23,IF(AC415=regle!$E$11,regle!$E$23,IF(AC415=regle!$F$11,regle!$F$23,IF(AC415=regle!$G$11,regle!$G$23,IF(AC415=regle!$H$11,regle!$H$23,IF(AC415=regle!$I$11,regle!$I$23,IF(AC415=regle!$J$11,regle!$J$23,0)))))))))))</f>
        <v>0</v>
      </c>
      <c r="AN415" s="14" t="b">
        <f>IF($A415,$M415*(IF(AD415=regle!$B$11,regle!$B$23,IF(AD415=regle!$C$11,regle!$C$23,IF(AD415=regle!$D$11,regle!$D$23,IF(AD415=regle!$E$11,regle!$E$23,IF(AD415=regle!$F$11,regle!$F$23,IF(AD415=regle!$G$11,regle!$G$23,IF(AD415=regle!$H$11,regle!$H$23,IF(AD415=regle!$I$11,regle!$I$23,IF(AD415=regle!$J$11,regle!$J$23,0)))))))))))</f>
        <v>0</v>
      </c>
      <c r="AO415">
        <f>IF(AO$1=$AO$1,IF(regle!B$2-$Q415&gt;=regle!$J$12,-2,IF($S415,IF(regle!$B$2-$Q415&gt;=2,0,-1),regle!B$2-$Q415)),IF(AN415+1&gt;=regle!$J$12,-2,AN415+1))</f>
        <v>11</v>
      </c>
      <c r="AP415">
        <f>IF(AP$1=$AO$1,IF(regle!C$2-$Q415&gt;=regle!$J$12,-2,IF($S415,IF(regle!$B$2-$Q415&gt;=2,0,-1),regle!C$2-$Q415)),IF(AO415+1&gt;=regle!$J$12,-2,AO415+1))</f>
        <v>12</v>
      </c>
      <c r="AQ415">
        <f>IF(AQ$1=$AO$1,IF(regle!D$2-$Q415&gt;=regle!$J$12,-2,IF($S415,IF(regle!$B$2-$Q415&gt;=2,0,-1),regle!D$2-$Q415)),IF(AP415+1&gt;=regle!$J$12,-2,AP415+1))</f>
        <v>13</v>
      </c>
      <c r="AR415">
        <f>IF(AR$1=$AO$1,IF(regle!E$2-$Q415&gt;=regle!$J$12,-2,IF($S415,IF(regle!$B$2-$Q415&gt;=2,0,-1),regle!E$2-$Q415)),IF(AQ415+1&gt;=regle!$J$12,-2,AQ415+1))</f>
        <v>14</v>
      </c>
      <c r="AS415">
        <f>IF(AS$1=$AO$1,IF(regle!F$2-$Q415&gt;=regle!$J$12,-2,IF($S415,IF(regle!$B$2-$Q415&gt;=2,0,-1),regle!F$2-$Q415)),IF(AR415+1&gt;=regle!$J$12,-2,AR415+1))</f>
        <v>15</v>
      </c>
      <c r="AT415">
        <f>IF(AT$1=$AO$1,IF(regle!G$2-$Q415&gt;=regle!$J$12,-2,IF($S415,IF(regle!$B$2-$Q415&gt;=2,0,-1),regle!G$2-$Q415)),IF(AS415+1&gt;=regle!$J$12,-2,AS415+1))</f>
        <v>16</v>
      </c>
      <c r="AU415">
        <f>IF(AU$1=$AO$1,IF(regle!H$2-$Q415&gt;=regle!$J$12,-2,IF($S415,IF(regle!$B$2-$Q415&gt;=2,0,-1),regle!H$2-$Q415)),IF(AT415+1&gt;=regle!$J$12,-2,AT415+1))</f>
        <v>17</v>
      </c>
      <c r="AV415">
        <f>IF(AV$1=$AO$1,IF(regle!I$2-$Q415&gt;=regle!$J$12,-2,IF($S415,IF(regle!$B$2-$Q415&gt;=2,0,-1),regle!I$2-$Q415)),IF(AU415+1&gt;=regle!$J$12,-2,AU415+1))</f>
        <v>18</v>
      </c>
      <c r="AW415">
        <f>IF(AW$1=$AO$1,IF(regle!J$2-$Q415&gt;=regle!$J$12,-2,IF($S415,IF(regle!$B$2-$Q415&gt;=2,0,-1),regle!J$2-$Q415)),IF(AV415+1&gt;=regle!$J$12,-2,AV415+1))</f>
        <v>19</v>
      </c>
      <c r="AX415">
        <f>IF(AX$1=$AO$1,IF(regle!K$2-$Q415&gt;=regle!$J$12,-2,IF($S415,IF(regle!$B$2-$Q415&gt;=2,0,-1),regle!K$2-$Q415)),IF(AW415+1&gt;=regle!$J$12,-2,AW415+1))</f>
        <v>20</v>
      </c>
    </row>
    <row r="416" spans="1:50" x14ac:dyDescent="0.25">
      <c r="A416" t="b">
        <f>AND(modif0[[#This Row],[cdstr]]&lt;&gt;0,OR(regle!$H$27=FALSE,modif0[[#This Row],[essnc]]="PM"))</f>
        <v>0</v>
      </c>
      <c r="B416">
        <f>ROW(objet!A241)</f>
        <v>241</v>
      </c>
      <c r="C416" s="10" t="str">
        <f>objet!D241</f>
        <v>2020000B1233</v>
      </c>
      <c r="D416" t="str">
        <f>LEFT(modif0[[#This Row],[cdstr]],3)</f>
        <v>202</v>
      </c>
      <c r="E416" s="10" t="str">
        <f>objet!G241</f>
        <v>HOSTENS</v>
      </c>
      <c r="F416">
        <f>LEN(modif0[[#This Row],[l_dt]])</f>
        <v>13</v>
      </c>
      <c r="G416" s="10" t="str">
        <f>objet!H241</f>
        <v>LA BROUSTETTE</v>
      </c>
      <c r="H416" s="10" t="str">
        <f>objet!C241</f>
        <v>B1233</v>
      </c>
      <c r="I416" t="str">
        <f>IF(ISNUMBER(VALUE(RIGHT(LEFT(modif0[[#This Row],[idntfn]],2),1))),_xlfn.CONCAT(0,LEFT(modif0[[#This Row],[idntfn]],1)),LEFT(modif0[[#This Row],[idntfn]],2))</f>
        <v>0B</v>
      </c>
      <c r="J416">
        <f>VALUE(LEFT(RIGHT(modif0[[#This Row],[idntfn]],LEN(modif0[[#This Row],[idntfn]])-IF(LEFT(modif0[[#This Row],[sctn]],1)="0",1,2)),LEN(modif0[[#This Row],[idntfn]])-IF(LEFT(modif0[[#This Row],[sctn]],1)="0",1,2)-LEN(modif0[[#This Row],[lttr]])))</f>
        <v>1233</v>
      </c>
      <c r="K416" t="str">
        <f>IF(ISNUMBER(VALUE(RIGHT(modif0[[#This Row],[idntfn]],1))),"",IF(ISNUMBER(VALUE(LEFT(RIGHT(modif0[[#This Row],[idntfn]],2),1))),RIGHT(modif0[[#This Row],[idntfn]],1),RIGHT(modif0[[#This Row],[idntfn]],2)))</f>
        <v/>
      </c>
      <c r="L416" s="10">
        <f>objet!I241</f>
        <v>2930</v>
      </c>
      <c r="M416" s="11">
        <f>modif0[[#This Row],[srfc]]/10000</f>
        <v>0.29299999999999998</v>
      </c>
      <c r="N416" s="10" t="str">
        <f>objet!Z241</f>
        <v>FEUIL</v>
      </c>
      <c r="O416" s="10" t="str">
        <f>objet!AA241</f>
        <v>TAIL1950</v>
      </c>
      <c r="P416" t="str">
        <f>IF(ISNUMBER(modif0[[#This Row],[trvx]]),"",LEFT(modif0[[#This Row],[trvx]],LEN(modif0[[#This Row],[trvx]])-4))</f>
        <v>TAIL</v>
      </c>
      <c r="Q416">
        <f>VALUE(RIGHT(modif0[[#This Row],[trvx]],4))</f>
        <v>1950</v>
      </c>
      <c r="R416" t="str">
        <f>_xlfn.CONCAT(modif0[[#This Row],[tp]],"-",modif0[[#This Row],[essnc]],"_",modif0[[#This Row],[anns]])</f>
        <v>TAIL-FEUIL_1950</v>
      </c>
      <c r="S416" t="b">
        <f>modif0[[#This Row],[tp]]="CR"</f>
        <v>0</v>
      </c>
      <c r="T416">
        <v>40</v>
      </c>
      <c r="U416" t="str">
        <f>IF(NOT($A416),"",
IF(AO416=-2,regle!$J$11,
IF(AO416=regle!$B$12,regle!$B$11,
IF(AO416=regle!$C$12,regle!$C$11,
IF(AO416=regle!$D$12,regle!$D$11,
IF(AO416=regle!$E$12,regle!$E$11,
IF(AO416=regle!$F$12,regle!$F$11,
IF(AO416=regle!$G$12,regle!$G$11,
IF(AO416=regle!$H$12,regle!$H$11,
IF(AO416=regle!$I$12,regle!$I$11,""))))))))))</f>
        <v/>
      </c>
      <c r="V416" t="str">
        <f>IF(NOT($A416),"",
IF(AP416=-2,regle!$J$11,
IF(AP416=regle!$B$12,regle!$B$11,
IF(AP416=regle!$C$12,regle!$C$11,
IF(AP416=regle!$D$12,regle!$D$11,
IF(AP416=regle!$E$12,regle!$E$11,
IF(AP416=regle!$F$12,regle!$F$11,
IF(AP416=regle!$G$12,regle!$G$11,
IF(AP416=regle!$H$12,regle!$H$11,
IF(AP416=regle!$I$12,regle!$I$11,""))))))))))</f>
        <v/>
      </c>
      <c r="W416" t="str">
        <f>IF(NOT($A416),"",
IF(AQ416=-2,regle!$J$11,
IF(AQ416=regle!$B$12,regle!$B$11,
IF(AQ416=regle!$C$12,regle!$C$11,
IF(AQ416=regle!$D$12,regle!$D$11,
IF(AQ416=regle!$E$12,regle!$E$11,
IF(AQ416=regle!$F$12,regle!$F$11,
IF(AQ416=regle!$G$12,regle!$G$11,
IF(AQ416=regle!$H$12,regle!$H$11,
IF(AQ416=regle!$I$12,regle!$I$11,""))))))))))</f>
        <v/>
      </c>
      <c r="X416" t="str">
        <f>IF(NOT($A416),"",
IF(AR416=-2,regle!$J$11,
IF(AR416=regle!$B$12,regle!$B$11,
IF(AR416=regle!$C$12,regle!$C$11,
IF(AR416=regle!$D$12,regle!$D$11,
IF(AR416=regle!$E$12,regle!$E$11,
IF(AR416=regle!$F$12,regle!$F$11,
IF(AR416=regle!$G$12,regle!$G$11,
IF(AR416=regle!$H$12,regle!$H$11,
IF(AR416=regle!$I$12,regle!$I$11,""))))))))))</f>
        <v/>
      </c>
      <c r="Y416" t="str">
        <f>IF(NOT($A416),"",
IF(AS416=-2,regle!$J$11,
IF(AS416=regle!$B$12,regle!$B$11,
IF(AS416=regle!$C$12,regle!$C$11,
IF(AS416=regle!$D$12,regle!$D$11,
IF(AS416=regle!$E$12,regle!$E$11,
IF(AS416=regle!$F$12,regle!$F$11,
IF(AS416=regle!$G$12,regle!$G$11,
IF(AS416=regle!$H$12,regle!$H$11,
IF(AS416=regle!$I$12,regle!$I$11,""))))))))))</f>
        <v/>
      </c>
      <c r="Z416" t="str">
        <f>IF(NOT($A416),"",
IF(AT416=-2,regle!$J$11,
IF(AT416=regle!$B$12,regle!$B$11,
IF(AT416=regle!$C$12,regle!$C$11,
IF(AT416=regle!$D$12,regle!$D$11,
IF(AT416=regle!$E$12,regle!$E$11,
IF(AT416=regle!$F$12,regle!$F$11,
IF(AT416=regle!$G$12,regle!$G$11,
IF(AT416=regle!$H$12,regle!$H$11,
IF(AT416=regle!$I$12,regle!$I$11,""))))))))))</f>
        <v/>
      </c>
      <c r="AA416" t="str">
        <f>IF(NOT($A416),"",
IF(AU416=-2,regle!$J$11,
IF(AU416=regle!$B$12,regle!$B$11,
IF(AU416=regle!$C$12,regle!$C$11,
IF(AU416=regle!$D$12,regle!$D$11,
IF(AU416=regle!$E$12,regle!$E$11,
IF(AU416=regle!$F$12,regle!$F$11,
IF(AU416=regle!$G$12,regle!$G$11,
IF(AU416=regle!$H$12,regle!$H$11,
IF(AU416=regle!$I$12,regle!$I$11,""))))))))))</f>
        <v/>
      </c>
      <c r="AB416" t="str">
        <f>IF(NOT($A416),"",
IF(AV416=-2,regle!$J$11,
IF(AV416=regle!$B$12,regle!$B$11,
IF(AV416=regle!$C$12,regle!$C$11,
IF(AV416=regle!$D$12,regle!$D$11,
IF(AV416=regle!$E$12,regle!$E$11,
IF(AV416=regle!$F$12,regle!$F$11,
IF(AV416=regle!$G$12,regle!$G$11,
IF(AV416=regle!$H$12,regle!$H$11,
IF(AV416=regle!$I$12,regle!$I$11,""))))))))))</f>
        <v/>
      </c>
      <c r="AC416" t="str">
        <f>IF(NOT($A416),"",
IF(AW416=-2,regle!$J$11,
IF(AW416=regle!$B$12,regle!$B$11,
IF(AW416=regle!$C$12,regle!$C$11,
IF(AW416=regle!$D$12,regle!$D$11,
IF(AW416=regle!$E$12,regle!$E$11,
IF(AW416=regle!$F$12,regle!$F$11,
IF(AW416=regle!$G$12,regle!$G$11,
IF(AW416=regle!$H$12,regle!$H$11,
IF(AW416=regle!$I$12,regle!$I$11,""))))))))))</f>
        <v/>
      </c>
      <c r="AD416" t="str">
        <f>IF(NOT($A416),"",
IF(AX416=-2,regle!$J$11,
IF(AX416=regle!$B$12,regle!$B$11,
IF(AX416=regle!$C$12,regle!$C$11,
IF(AX416=regle!$D$12,regle!$D$11,
IF(AX416=regle!$E$12,regle!$E$11,
IF(AX416=regle!$F$12,regle!$F$11,
IF(AX416=regle!$G$12,regle!$G$11,
IF(AX416=regle!$H$12,regle!$H$11,
IF(AX416=regle!$I$12,regle!$I$11,""))))))))))</f>
        <v/>
      </c>
      <c r="AE416" s="14" t="b">
        <f>IF($A416,$M416*(IF(U416=regle!$B$11,regle!$B$23,IF(U416=regle!$C$11,regle!$C$23,IF(U416=regle!$D$11,regle!$D$23,IF(U416=regle!$E$11,regle!$E$23,IF(U416=regle!$F$11,regle!$F$23,IF(U416=regle!$G$11,regle!$G$23,IF(U416=regle!$H$11,regle!$H$23,IF(U416=regle!$I$11,regle!$I$23,IF(U416=regle!$J$11,regle!$J$23,0)))))))))))</f>
        <v>0</v>
      </c>
      <c r="AF416" s="14" t="b">
        <f>IF($A416,$M416*(IF(V416=regle!$B$11,regle!$B$23,IF(V416=regle!$C$11,regle!$C$23,IF(V416=regle!$D$11,regle!$D$23,IF(V416=regle!$E$11,regle!$E$23,IF(V416=regle!$F$11,regle!$F$23,IF(V416=regle!$G$11,regle!$G$23,IF(V416=regle!$H$11,regle!$H$23,IF(V416=regle!$I$11,regle!$I$23,IF(V416=regle!$J$11,regle!$J$23,0)))))))))))</f>
        <v>0</v>
      </c>
      <c r="AG416" s="14" t="b">
        <f>IF($A416,$M416*(IF(W416=regle!$B$11,regle!$B$23,IF(W416=regle!$C$11,regle!$C$23,IF(W416=regle!$D$11,regle!$D$23,IF(W416=regle!$E$11,regle!$E$23,IF(W416=regle!$F$11,regle!$F$23,IF(W416=regle!$G$11,regle!$G$23,IF(W416=regle!$H$11,regle!$H$23,IF(W416=regle!$I$11,regle!$I$23,IF(W416=regle!$J$11,regle!$J$23,0)))))))))))</f>
        <v>0</v>
      </c>
      <c r="AH416" s="14" t="b">
        <f>IF($A416,$M416*(IF(X416=regle!$B$11,regle!$B$23,IF(X416=regle!$C$11,regle!$C$23,IF(X416=regle!$D$11,regle!$D$23,IF(X416=regle!$E$11,regle!$E$23,IF(X416=regle!$F$11,regle!$F$23,IF(X416=regle!$G$11,regle!$G$23,IF(X416=regle!$H$11,regle!$H$23,IF(X416=regle!$I$11,regle!$I$23,IF(X416=regle!$J$11,regle!$J$23,0)))))))))))</f>
        <v>0</v>
      </c>
      <c r="AI416" s="14" t="b">
        <f>IF($A416,$M416*(IF(Y416=regle!$B$11,regle!$B$23,IF(Y416=regle!$C$11,regle!$C$23,IF(Y416=regle!$D$11,regle!$D$23,IF(Y416=regle!$E$11,regle!$E$23,IF(Y416=regle!$F$11,regle!$F$23,IF(Y416=regle!$G$11,regle!$G$23,IF(Y416=regle!$H$11,regle!$H$23,IF(Y416=regle!$I$11,regle!$I$23,IF(Y416=regle!$J$11,regle!$J$23,0)))))))))))</f>
        <v>0</v>
      </c>
      <c r="AJ416" s="14" t="b">
        <f>IF($A416,$M416*(IF(Z416=regle!$B$11,regle!$B$23,IF(Z416=regle!$C$11,regle!$C$23,IF(Z416=regle!$D$11,regle!$D$23,IF(Z416=regle!$E$11,regle!$E$23,IF(Z416=regle!$F$11,regle!$F$23,IF(Z416=regle!$G$11,regle!$G$23,IF(Z416=regle!$H$11,regle!$H$23,IF(Z416=regle!$I$11,regle!$I$23,IF(Z416=regle!$J$11,regle!$J$23,0)))))))))))</f>
        <v>0</v>
      </c>
      <c r="AK416" s="14" t="b">
        <f>IF($A416,$M416*(IF(AA416=regle!$B$11,regle!$B$23,IF(AA416=regle!$C$11,regle!$C$23,IF(AA416=regle!$D$11,regle!$D$23,IF(AA416=regle!$E$11,regle!$E$23,IF(AA416=regle!$F$11,regle!$F$23,IF(AA416=regle!$G$11,regle!$G$23,IF(AA416=regle!$H$11,regle!$H$23,IF(AA416=regle!$I$11,regle!$I$23,IF(AA416=regle!$J$11,regle!$J$23,0)))))))))))</f>
        <v>0</v>
      </c>
      <c r="AL416" s="14" t="b">
        <f>IF($A416,$M416*(IF(AB416=regle!$B$11,regle!$B$23,IF(AB416=regle!$C$11,regle!$C$23,IF(AB416=regle!$D$11,regle!$D$23,IF(AB416=regle!$E$11,regle!$E$23,IF(AB416=regle!$F$11,regle!$F$23,IF(AB416=regle!$G$11,regle!$G$23,IF(AB416=regle!$H$11,regle!$H$23,IF(AB416=regle!$I$11,regle!$I$23,IF(AB416=regle!$J$11,regle!$J$23,0)))))))))))</f>
        <v>0</v>
      </c>
      <c r="AM416" s="14" t="b">
        <f>IF($A416,$M416*(IF(AC416=regle!$B$11,regle!$B$23,IF(AC416=regle!$C$11,regle!$C$23,IF(AC416=regle!$D$11,regle!$D$23,IF(AC416=regle!$E$11,regle!$E$23,IF(AC416=regle!$F$11,regle!$F$23,IF(AC416=regle!$G$11,regle!$G$23,IF(AC416=regle!$H$11,regle!$H$23,IF(AC416=regle!$I$11,regle!$I$23,IF(AC416=regle!$J$11,regle!$J$23,0)))))))))))</f>
        <v>0</v>
      </c>
      <c r="AN416" s="14" t="b">
        <f>IF($A416,$M416*(IF(AD416=regle!$B$11,regle!$B$23,IF(AD416=regle!$C$11,regle!$C$23,IF(AD416=regle!$D$11,regle!$D$23,IF(AD416=regle!$E$11,regle!$E$23,IF(AD416=regle!$F$11,regle!$F$23,IF(AD416=regle!$G$11,regle!$G$23,IF(AD416=regle!$H$11,regle!$H$23,IF(AD416=regle!$I$11,regle!$I$23,IF(AD416=regle!$J$11,regle!$J$23,0)))))))))))</f>
        <v>0</v>
      </c>
      <c r="AO416">
        <f>IF(AO$1=$AO$1,IF(regle!B$2-$Q416&gt;=regle!$J$12,-2,IF($S416,IF(regle!$B$2-$Q416&gt;=2,0,-1),regle!B$2-$Q416)),IF(AN416+1&gt;=regle!$J$12,-2,AN416+1))</f>
        <v>-2</v>
      </c>
      <c r="AP416">
        <f>IF(AP$1=$AO$1,IF(regle!C$2-$Q416&gt;=regle!$J$12,-2,IF($S416,IF(regle!$B$2-$Q416&gt;=2,0,-1),regle!C$2-$Q416)),IF(AO416+1&gt;=regle!$J$12,-2,AO416+1))</f>
        <v>-1</v>
      </c>
      <c r="AQ416">
        <f>IF(AQ$1=$AO$1,IF(regle!D$2-$Q416&gt;=regle!$J$12,-2,IF($S416,IF(regle!$B$2-$Q416&gt;=2,0,-1),regle!D$2-$Q416)),IF(AP416+1&gt;=regle!$J$12,-2,AP416+1))</f>
        <v>0</v>
      </c>
      <c r="AR416">
        <f>IF(AR$1=$AO$1,IF(regle!E$2-$Q416&gt;=regle!$J$12,-2,IF($S416,IF(regle!$B$2-$Q416&gt;=2,0,-1),regle!E$2-$Q416)),IF(AQ416+1&gt;=regle!$J$12,-2,AQ416+1))</f>
        <v>1</v>
      </c>
      <c r="AS416">
        <f>IF(AS$1=$AO$1,IF(regle!F$2-$Q416&gt;=regle!$J$12,-2,IF($S416,IF(regle!$B$2-$Q416&gt;=2,0,-1),regle!F$2-$Q416)),IF(AR416+1&gt;=regle!$J$12,-2,AR416+1))</f>
        <v>2</v>
      </c>
      <c r="AT416">
        <f>IF(AT$1=$AO$1,IF(regle!G$2-$Q416&gt;=regle!$J$12,-2,IF($S416,IF(regle!$B$2-$Q416&gt;=2,0,-1),regle!G$2-$Q416)),IF(AS416+1&gt;=regle!$J$12,-2,AS416+1))</f>
        <v>3</v>
      </c>
      <c r="AU416">
        <f>IF(AU$1=$AO$1,IF(regle!H$2-$Q416&gt;=regle!$J$12,-2,IF($S416,IF(regle!$B$2-$Q416&gt;=2,0,-1),regle!H$2-$Q416)),IF(AT416+1&gt;=regle!$J$12,-2,AT416+1))</f>
        <v>4</v>
      </c>
      <c r="AV416">
        <f>IF(AV$1=$AO$1,IF(regle!I$2-$Q416&gt;=regle!$J$12,-2,IF($S416,IF(regle!$B$2-$Q416&gt;=2,0,-1),regle!I$2-$Q416)),IF(AU416+1&gt;=regle!$J$12,-2,AU416+1))</f>
        <v>5</v>
      </c>
      <c r="AW416">
        <f>IF(AW$1=$AO$1,IF(regle!J$2-$Q416&gt;=regle!$J$12,-2,IF($S416,IF(regle!$B$2-$Q416&gt;=2,0,-1),regle!J$2-$Q416)),IF(AV416+1&gt;=regle!$J$12,-2,AV416+1))</f>
        <v>6</v>
      </c>
      <c r="AX416">
        <f>IF(AX$1=$AO$1,IF(regle!K$2-$Q416&gt;=regle!$J$12,-2,IF($S416,IF(regle!$B$2-$Q416&gt;=2,0,-1),regle!K$2-$Q416)),IF(AW416+1&gt;=regle!$J$12,-2,AW416+1))</f>
        <v>7</v>
      </c>
    </row>
    <row r="417" spans="1:50" x14ac:dyDescent="0.25">
      <c r="A417" t="b">
        <f>AND(modif0[[#This Row],[cdstr]]&lt;&gt;0,OR(regle!$H$27=FALSE,modif0[[#This Row],[essnc]]="PM"))</f>
        <v>0</v>
      </c>
      <c r="B417">
        <f>ROW(objet!A242)</f>
        <v>242</v>
      </c>
      <c r="C417" s="10" t="str">
        <f>objet!D242</f>
        <v>2020000B1234</v>
      </c>
      <c r="D417" t="str">
        <f>LEFT(modif0[[#This Row],[cdstr]],3)</f>
        <v>202</v>
      </c>
      <c r="E417" s="10" t="str">
        <f>objet!G242</f>
        <v>HOSTENS</v>
      </c>
      <c r="F417">
        <f>LEN(modif0[[#This Row],[l_dt]])</f>
        <v>13</v>
      </c>
      <c r="G417" s="10" t="str">
        <f>objet!H242</f>
        <v>LA BROUSTETTE</v>
      </c>
      <c r="H417" s="10" t="str">
        <f>objet!C242</f>
        <v>B1234</v>
      </c>
      <c r="I417" t="str">
        <f>IF(ISNUMBER(VALUE(RIGHT(LEFT(modif0[[#This Row],[idntfn]],2),1))),_xlfn.CONCAT(0,LEFT(modif0[[#This Row],[idntfn]],1)),LEFT(modif0[[#This Row],[idntfn]],2))</f>
        <v>0B</v>
      </c>
      <c r="J417">
        <f>VALUE(LEFT(RIGHT(modif0[[#This Row],[idntfn]],LEN(modif0[[#This Row],[idntfn]])-IF(LEFT(modif0[[#This Row],[sctn]],1)="0",1,2)),LEN(modif0[[#This Row],[idntfn]])-IF(LEFT(modif0[[#This Row],[sctn]],1)="0",1,2)-LEN(modif0[[#This Row],[lttr]])))</f>
        <v>1234</v>
      </c>
      <c r="K417" t="str">
        <f>IF(ISNUMBER(VALUE(RIGHT(modif0[[#This Row],[idntfn]],1))),"",IF(ISNUMBER(VALUE(LEFT(RIGHT(modif0[[#This Row],[idntfn]],2),1))),RIGHT(modif0[[#This Row],[idntfn]],1),RIGHT(modif0[[#This Row],[idntfn]],2)))</f>
        <v/>
      </c>
      <c r="L417" s="10">
        <f>objet!I242</f>
        <v>4270</v>
      </c>
      <c r="M417" s="11">
        <f>modif0[[#This Row],[srfc]]/10000</f>
        <v>0.42699999999999999</v>
      </c>
      <c r="N417" s="10" t="str">
        <f>objet!Z242</f>
        <v>FEUIL</v>
      </c>
      <c r="O417" s="10" t="str">
        <f>objet!AA242</f>
        <v>TAIL2013</v>
      </c>
      <c r="P417" t="str">
        <f>IF(ISNUMBER(modif0[[#This Row],[trvx]]),"",LEFT(modif0[[#This Row],[trvx]],LEN(modif0[[#This Row],[trvx]])-4))</f>
        <v>TAIL</v>
      </c>
      <c r="Q417">
        <f>VALUE(RIGHT(modif0[[#This Row],[trvx]],4))</f>
        <v>2013</v>
      </c>
      <c r="R417" t="str">
        <f>_xlfn.CONCAT(modif0[[#This Row],[tp]],"-",modif0[[#This Row],[essnc]],"_",modif0[[#This Row],[anns]])</f>
        <v>TAIL-FEUIL_2013</v>
      </c>
      <c r="S417" t="b">
        <f>modif0[[#This Row],[tp]]="CR"</f>
        <v>0</v>
      </c>
      <c r="T417">
        <v>40</v>
      </c>
      <c r="U417" t="str">
        <f>IF(NOT($A417),"",
IF(AO417=-2,regle!$J$11,
IF(AO417=regle!$B$12,regle!$B$11,
IF(AO417=regle!$C$12,regle!$C$11,
IF(AO417=regle!$D$12,regle!$D$11,
IF(AO417=regle!$E$12,regle!$E$11,
IF(AO417=regle!$F$12,regle!$F$11,
IF(AO417=regle!$G$12,regle!$G$11,
IF(AO417=regle!$H$12,regle!$H$11,
IF(AO417=regle!$I$12,regle!$I$11,""))))))))))</f>
        <v/>
      </c>
      <c r="V417" t="str">
        <f>IF(NOT($A417),"",
IF(AP417=-2,regle!$J$11,
IF(AP417=regle!$B$12,regle!$B$11,
IF(AP417=regle!$C$12,regle!$C$11,
IF(AP417=regle!$D$12,regle!$D$11,
IF(AP417=regle!$E$12,regle!$E$11,
IF(AP417=regle!$F$12,regle!$F$11,
IF(AP417=regle!$G$12,regle!$G$11,
IF(AP417=regle!$H$12,regle!$H$11,
IF(AP417=regle!$I$12,regle!$I$11,""))))))))))</f>
        <v/>
      </c>
      <c r="W417" t="str">
        <f>IF(NOT($A417),"",
IF(AQ417=-2,regle!$J$11,
IF(AQ417=regle!$B$12,regle!$B$11,
IF(AQ417=regle!$C$12,regle!$C$11,
IF(AQ417=regle!$D$12,regle!$D$11,
IF(AQ417=regle!$E$12,regle!$E$11,
IF(AQ417=regle!$F$12,regle!$F$11,
IF(AQ417=regle!$G$12,regle!$G$11,
IF(AQ417=regle!$H$12,regle!$H$11,
IF(AQ417=regle!$I$12,regle!$I$11,""))))))))))</f>
        <v/>
      </c>
      <c r="X417" t="str">
        <f>IF(NOT($A417),"",
IF(AR417=-2,regle!$J$11,
IF(AR417=regle!$B$12,regle!$B$11,
IF(AR417=regle!$C$12,regle!$C$11,
IF(AR417=regle!$D$12,regle!$D$11,
IF(AR417=regle!$E$12,regle!$E$11,
IF(AR417=regle!$F$12,regle!$F$11,
IF(AR417=regle!$G$12,regle!$G$11,
IF(AR417=regle!$H$12,regle!$H$11,
IF(AR417=regle!$I$12,regle!$I$11,""))))))))))</f>
        <v/>
      </c>
      <c r="Y417" t="str">
        <f>IF(NOT($A417),"",
IF(AS417=-2,regle!$J$11,
IF(AS417=regle!$B$12,regle!$B$11,
IF(AS417=regle!$C$12,regle!$C$11,
IF(AS417=regle!$D$12,regle!$D$11,
IF(AS417=regle!$E$12,regle!$E$11,
IF(AS417=regle!$F$12,regle!$F$11,
IF(AS417=regle!$G$12,regle!$G$11,
IF(AS417=regle!$H$12,regle!$H$11,
IF(AS417=regle!$I$12,regle!$I$11,""))))))))))</f>
        <v/>
      </c>
      <c r="Z417" t="str">
        <f>IF(NOT($A417),"",
IF(AT417=-2,regle!$J$11,
IF(AT417=regle!$B$12,regle!$B$11,
IF(AT417=regle!$C$12,regle!$C$11,
IF(AT417=regle!$D$12,regle!$D$11,
IF(AT417=regle!$E$12,regle!$E$11,
IF(AT417=regle!$F$12,regle!$F$11,
IF(AT417=regle!$G$12,regle!$G$11,
IF(AT417=regle!$H$12,regle!$H$11,
IF(AT417=regle!$I$12,regle!$I$11,""))))))))))</f>
        <v/>
      </c>
      <c r="AA417" t="str">
        <f>IF(NOT($A417),"",
IF(AU417=-2,regle!$J$11,
IF(AU417=regle!$B$12,regle!$B$11,
IF(AU417=regle!$C$12,regle!$C$11,
IF(AU417=regle!$D$12,regle!$D$11,
IF(AU417=regle!$E$12,regle!$E$11,
IF(AU417=regle!$F$12,regle!$F$11,
IF(AU417=regle!$G$12,regle!$G$11,
IF(AU417=regle!$H$12,regle!$H$11,
IF(AU417=regle!$I$12,regle!$I$11,""))))))))))</f>
        <v/>
      </c>
      <c r="AB417" t="str">
        <f>IF(NOT($A417),"",
IF(AV417=-2,regle!$J$11,
IF(AV417=regle!$B$12,regle!$B$11,
IF(AV417=regle!$C$12,regle!$C$11,
IF(AV417=regle!$D$12,regle!$D$11,
IF(AV417=regle!$E$12,regle!$E$11,
IF(AV417=regle!$F$12,regle!$F$11,
IF(AV417=regle!$G$12,regle!$G$11,
IF(AV417=regle!$H$12,regle!$H$11,
IF(AV417=regle!$I$12,regle!$I$11,""))))))))))</f>
        <v/>
      </c>
      <c r="AC417" t="str">
        <f>IF(NOT($A417),"",
IF(AW417=-2,regle!$J$11,
IF(AW417=regle!$B$12,regle!$B$11,
IF(AW417=regle!$C$12,regle!$C$11,
IF(AW417=regle!$D$12,regle!$D$11,
IF(AW417=regle!$E$12,regle!$E$11,
IF(AW417=regle!$F$12,regle!$F$11,
IF(AW417=regle!$G$12,regle!$G$11,
IF(AW417=regle!$H$12,regle!$H$11,
IF(AW417=regle!$I$12,regle!$I$11,""))))))))))</f>
        <v/>
      </c>
      <c r="AD417" t="str">
        <f>IF(NOT($A417),"",
IF(AX417=-2,regle!$J$11,
IF(AX417=regle!$B$12,regle!$B$11,
IF(AX417=regle!$C$12,regle!$C$11,
IF(AX417=regle!$D$12,regle!$D$11,
IF(AX417=regle!$E$12,regle!$E$11,
IF(AX417=regle!$F$12,regle!$F$11,
IF(AX417=regle!$G$12,regle!$G$11,
IF(AX417=regle!$H$12,regle!$H$11,
IF(AX417=regle!$I$12,regle!$I$11,""))))))))))</f>
        <v/>
      </c>
      <c r="AE417" s="14" t="b">
        <f>IF($A417,$M417*(IF(U417=regle!$B$11,regle!$B$23,IF(U417=regle!$C$11,regle!$C$23,IF(U417=regle!$D$11,regle!$D$23,IF(U417=regle!$E$11,regle!$E$23,IF(U417=regle!$F$11,regle!$F$23,IF(U417=regle!$G$11,regle!$G$23,IF(U417=regle!$H$11,regle!$H$23,IF(U417=regle!$I$11,regle!$I$23,IF(U417=regle!$J$11,regle!$J$23,0)))))))))))</f>
        <v>0</v>
      </c>
      <c r="AF417" s="14" t="b">
        <f>IF($A417,$M417*(IF(V417=regle!$B$11,regle!$B$23,IF(V417=regle!$C$11,regle!$C$23,IF(V417=regle!$D$11,regle!$D$23,IF(V417=regle!$E$11,regle!$E$23,IF(V417=regle!$F$11,regle!$F$23,IF(V417=regle!$G$11,regle!$G$23,IF(V417=regle!$H$11,regle!$H$23,IF(V417=regle!$I$11,regle!$I$23,IF(V417=regle!$J$11,regle!$J$23,0)))))))))))</f>
        <v>0</v>
      </c>
      <c r="AG417" s="14" t="b">
        <f>IF($A417,$M417*(IF(W417=regle!$B$11,regle!$B$23,IF(W417=regle!$C$11,regle!$C$23,IF(W417=regle!$D$11,regle!$D$23,IF(W417=regle!$E$11,regle!$E$23,IF(W417=regle!$F$11,regle!$F$23,IF(W417=regle!$G$11,regle!$G$23,IF(W417=regle!$H$11,regle!$H$23,IF(W417=regle!$I$11,regle!$I$23,IF(W417=regle!$J$11,regle!$J$23,0)))))))))))</f>
        <v>0</v>
      </c>
      <c r="AH417" s="14" t="b">
        <f>IF($A417,$M417*(IF(X417=regle!$B$11,regle!$B$23,IF(X417=regle!$C$11,regle!$C$23,IF(X417=regle!$D$11,regle!$D$23,IF(X417=regle!$E$11,regle!$E$23,IF(X417=regle!$F$11,regle!$F$23,IF(X417=regle!$G$11,regle!$G$23,IF(X417=regle!$H$11,regle!$H$23,IF(X417=regle!$I$11,regle!$I$23,IF(X417=regle!$J$11,regle!$J$23,0)))))))))))</f>
        <v>0</v>
      </c>
      <c r="AI417" s="14" t="b">
        <f>IF($A417,$M417*(IF(Y417=regle!$B$11,regle!$B$23,IF(Y417=regle!$C$11,regle!$C$23,IF(Y417=regle!$D$11,regle!$D$23,IF(Y417=regle!$E$11,regle!$E$23,IF(Y417=regle!$F$11,regle!$F$23,IF(Y417=regle!$G$11,regle!$G$23,IF(Y417=regle!$H$11,regle!$H$23,IF(Y417=regle!$I$11,regle!$I$23,IF(Y417=regle!$J$11,regle!$J$23,0)))))))))))</f>
        <v>0</v>
      </c>
      <c r="AJ417" s="14" t="b">
        <f>IF($A417,$M417*(IF(Z417=regle!$B$11,regle!$B$23,IF(Z417=regle!$C$11,regle!$C$23,IF(Z417=regle!$D$11,regle!$D$23,IF(Z417=regle!$E$11,regle!$E$23,IF(Z417=regle!$F$11,regle!$F$23,IF(Z417=regle!$G$11,regle!$G$23,IF(Z417=regle!$H$11,regle!$H$23,IF(Z417=regle!$I$11,regle!$I$23,IF(Z417=regle!$J$11,regle!$J$23,0)))))))))))</f>
        <v>0</v>
      </c>
      <c r="AK417" s="14" t="b">
        <f>IF($A417,$M417*(IF(AA417=regle!$B$11,regle!$B$23,IF(AA417=regle!$C$11,regle!$C$23,IF(AA417=regle!$D$11,regle!$D$23,IF(AA417=regle!$E$11,regle!$E$23,IF(AA417=regle!$F$11,regle!$F$23,IF(AA417=regle!$G$11,regle!$G$23,IF(AA417=regle!$H$11,regle!$H$23,IF(AA417=regle!$I$11,regle!$I$23,IF(AA417=regle!$J$11,regle!$J$23,0)))))))))))</f>
        <v>0</v>
      </c>
      <c r="AL417" s="14" t="b">
        <f>IF($A417,$M417*(IF(AB417=regle!$B$11,regle!$B$23,IF(AB417=regle!$C$11,regle!$C$23,IF(AB417=regle!$D$11,regle!$D$23,IF(AB417=regle!$E$11,regle!$E$23,IF(AB417=regle!$F$11,regle!$F$23,IF(AB417=regle!$G$11,regle!$G$23,IF(AB417=regle!$H$11,regle!$H$23,IF(AB417=regle!$I$11,regle!$I$23,IF(AB417=regle!$J$11,regle!$J$23,0)))))))))))</f>
        <v>0</v>
      </c>
      <c r="AM417" s="14" t="b">
        <f>IF($A417,$M417*(IF(AC417=regle!$B$11,regle!$B$23,IF(AC417=regle!$C$11,regle!$C$23,IF(AC417=regle!$D$11,regle!$D$23,IF(AC417=regle!$E$11,regle!$E$23,IF(AC417=regle!$F$11,regle!$F$23,IF(AC417=regle!$G$11,regle!$G$23,IF(AC417=regle!$H$11,regle!$H$23,IF(AC417=regle!$I$11,regle!$I$23,IF(AC417=regle!$J$11,regle!$J$23,0)))))))))))</f>
        <v>0</v>
      </c>
      <c r="AN417" s="14" t="b">
        <f>IF($A417,$M417*(IF(AD417=regle!$B$11,regle!$B$23,IF(AD417=regle!$C$11,regle!$C$23,IF(AD417=regle!$D$11,regle!$D$23,IF(AD417=regle!$E$11,regle!$E$23,IF(AD417=regle!$F$11,regle!$F$23,IF(AD417=regle!$G$11,regle!$G$23,IF(AD417=regle!$H$11,regle!$H$23,IF(AD417=regle!$I$11,regle!$I$23,IF(AD417=regle!$J$11,regle!$J$23,0)))))))))))</f>
        <v>0</v>
      </c>
      <c r="AO417">
        <f>IF(AO$1=$AO$1,IF(regle!B$2-$Q417&gt;=regle!$J$12,-2,IF($S417,IF(regle!$B$2-$Q417&gt;=2,0,-1),regle!B$2-$Q417)),IF(AN417+1&gt;=regle!$J$12,-2,AN417+1))</f>
        <v>11</v>
      </c>
      <c r="AP417">
        <f>IF(AP$1=$AO$1,IF(regle!C$2-$Q417&gt;=regle!$J$12,-2,IF($S417,IF(regle!$B$2-$Q417&gt;=2,0,-1),regle!C$2-$Q417)),IF(AO417+1&gt;=regle!$J$12,-2,AO417+1))</f>
        <v>12</v>
      </c>
      <c r="AQ417">
        <f>IF(AQ$1=$AO$1,IF(regle!D$2-$Q417&gt;=regle!$J$12,-2,IF($S417,IF(regle!$B$2-$Q417&gt;=2,0,-1),regle!D$2-$Q417)),IF(AP417+1&gt;=regle!$J$12,-2,AP417+1))</f>
        <v>13</v>
      </c>
      <c r="AR417">
        <f>IF(AR$1=$AO$1,IF(regle!E$2-$Q417&gt;=regle!$J$12,-2,IF($S417,IF(regle!$B$2-$Q417&gt;=2,0,-1),regle!E$2-$Q417)),IF(AQ417+1&gt;=regle!$J$12,-2,AQ417+1))</f>
        <v>14</v>
      </c>
      <c r="AS417">
        <f>IF(AS$1=$AO$1,IF(regle!F$2-$Q417&gt;=regle!$J$12,-2,IF($S417,IF(regle!$B$2-$Q417&gt;=2,0,-1),regle!F$2-$Q417)),IF(AR417+1&gt;=regle!$J$12,-2,AR417+1))</f>
        <v>15</v>
      </c>
      <c r="AT417">
        <f>IF(AT$1=$AO$1,IF(regle!G$2-$Q417&gt;=regle!$J$12,-2,IF($S417,IF(regle!$B$2-$Q417&gt;=2,0,-1),regle!G$2-$Q417)),IF(AS417+1&gt;=regle!$J$12,-2,AS417+1))</f>
        <v>16</v>
      </c>
      <c r="AU417">
        <f>IF(AU$1=$AO$1,IF(regle!H$2-$Q417&gt;=regle!$J$12,-2,IF($S417,IF(regle!$B$2-$Q417&gt;=2,0,-1),regle!H$2-$Q417)),IF(AT417+1&gt;=regle!$J$12,-2,AT417+1))</f>
        <v>17</v>
      </c>
      <c r="AV417">
        <f>IF(AV$1=$AO$1,IF(regle!I$2-$Q417&gt;=regle!$J$12,-2,IF($S417,IF(regle!$B$2-$Q417&gt;=2,0,-1),regle!I$2-$Q417)),IF(AU417+1&gt;=regle!$J$12,-2,AU417+1))</f>
        <v>18</v>
      </c>
      <c r="AW417">
        <f>IF(AW$1=$AO$1,IF(regle!J$2-$Q417&gt;=regle!$J$12,-2,IF($S417,IF(regle!$B$2-$Q417&gt;=2,0,-1),regle!J$2-$Q417)),IF(AV417+1&gt;=regle!$J$12,-2,AV417+1))</f>
        <v>19</v>
      </c>
      <c r="AX417">
        <f>IF(AX$1=$AO$1,IF(regle!K$2-$Q417&gt;=regle!$J$12,-2,IF($S417,IF(regle!$B$2-$Q417&gt;=2,0,-1),regle!K$2-$Q417)),IF(AW417+1&gt;=regle!$J$12,-2,AW417+1))</f>
        <v>20</v>
      </c>
    </row>
    <row r="418" spans="1:50" x14ac:dyDescent="0.25">
      <c r="A418" t="b">
        <f>AND(modif0[[#This Row],[cdstr]]&lt;&gt;0,OR(regle!$H$27=FALSE,modif0[[#This Row],[essnc]]="PM"))</f>
        <v>0</v>
      </c>
      <c r="B418">
        <f>ROW(objet!A259)</f>
        <v>259</v>
      </c>
      <c r="C418" s="10" t="str">
        <f>objet!D259</f>
        <v>2020000B1249</v>
      </c>
      <c r="D418" t="str">
        <f>LEFT(modif0[[#This Row],[cdstr]],3)</f>
        <v>202</v>
      </c>
      <c r="E418" s="10" t="str">
        <f>objet!G259</f>
        <v>HOSTENS</v>
      </c>
      <c r="F418">
        <f>LEN(modif0[[#This Row],[l_dt]])</f>
        <v>13</v>
      </c>
      <c r="G418" s="10" t="str">
        <f>objet!H259</f>
        <v>LA BROUSTETTE</v>
      </c>
      <c r="H418" s="10" t="str">
        <f>objet!C259</f>
        <v>B1249n</v>
      </c>
      <c r="I418" t="str">
        <f>IF(ISNUMBER(VALUE(RIGHT(LEFT(modif0[[#This Row],[idntfn]],2),1))),_xlfn.CONCAT(0,LEFT(modif0[[#This Row],[idntfn]],1)),LEFT(modif0[[#This Row],[idntfn]],2))</f>
        <v>0B</v>
      </c>
      <c r="J418">
        <f>VALUE(LEFT(RIGHT(modif0[[#This Row],[idntfn]],LEN(modif0[[#This Row],[idntfn]])-IF(LEFT(modif0[[#This Row],[sctn]],1)="0",1,2)),LEN(modif0[[#This Row],[idntfn]])-IF(LEFT(modif0[[#This Row],[sctn]],1)="0",1,2)-LEN(modif0[[#This Row],[lttr]])))</f>
        <v>1249</v>
      </c>
      <c r="K418" t="str">
        <f>IF(ISNUMBER(VALUE(RIGHT(modif0[[#This Row],[idntfn]],1))),"",IF(ISNUMBER(VALUE(LEFT(RIGHT(modif0[[#This Row],[idntfn]],2),1))),RIGHT(modif0[[#This Row],[idntfn]],1),RIGHT(modif0[[#This Row],[idntfn]],2)))</f>
        <v>n</v>
      </c>
      <c r="L418" s="10">
        <f>objet!I259</f>
        <v>15903</v>
      </c>
      <c r="M418" s="11">
        <f>modif0[[#This Row],[srfc]]/10000</f>
        <v>1.5903</v>
      </c>
      <c r="N418" s="10" t="str">
        <f>objet!Z259</f>
        <v>FEUIL</v>
      </c>
      <c r="O418" s="10" t="str">
        <f>objet!AA259</f>
        <v>TAIL1990</v>
      </c>
      <c r="P418" t="str">
        <f>IF(ISNUMBER(modif0[[#This Row],[trvx]]),"",LEFT(modif0[[#This Row],[trvx]],LEN(modif0[[#This Row],[trvx]])-4))</f>
        <v>TAIL</v>
      </c>
      <c r="Q418">
        <f>VALUE(RIGHT(modif0[[#This Row],[trvx]],4))</f>
        <v>1990</v>
      </c>
      <c r="R418" t="str">
        <f>_xlfn.CONCAT(modif0[[#This Row],[tp]],"-",modif0[[#This Row],[essnc]],"_",modif0[[#This Row],[anns]])</f>
        <v>TAIL-FEUIL_1990</v>
      </c>
      <c r="S418" t="b">
        <f>modif0[[#This Row],[tp]]="CR"</f>
        <v>0</v>
      </c>
      <c r="T418">
        <v>40</v>
      </c>
      <c r="U418" t="str">
        <f>IF(NOT($A418),"",
IF(AO418=-2,regle!$J$11,
IF(AO418=regle!$B$12,regle!$B$11,
IF(AO418=regle!$C$12,regle!$C$11,
IF(AO418=regle!$D$12,regle!$D$11,
IF(AO418=regle!$E$12,regle!$E$11,
IF(AO418=regle!$F$12,regle!$F$11,
IF(AO418=regle!$G$12,regle!$G$11,
IF(AO418=regle!$H$12,regle!$H$11,
IF(AO418=regle!$I$12,regle!$I$11,""))))))))))</f>
        <v/>
      </c>
      <c r="V418" t="str">
        <f>IF(NOT($A418),"",
IF(AP418=-2,regle!$J$11,
IF(AP418=regle!$B$12,regle!$B$11,
IF(AP418=regle!$C$12,regle!$C$11,
IF(AP418=regle!$D$12,regle!$D$11,
IF(AP418=regle!$E$12,regle!$E$11,
IF(AP418=regle!$F$12,regle!$F$11,
IF(AP418=regle!$G$12,regle!$G$11,
IF(AP418=regle!$H$12,regle!$H$11,
IF(AP418=regle!$I$12,regle!$I$11,""))))))))))</f>
        <v/>
      </c>
      <c r="W418" t="str">
        <f>IF(NOT($A418),"",
IF(AQ418=-2,regle!$J$11,
IF(AQ418=regle!$B$12,regle!$B$11,
IF(AQ418=regle!$C$12,regle!$C$11,
IF(AQ418=regle!$D$12,regle!$D$11,
IF(AQ418=regle!$E$12,regle!$E$11,
IF(AQ418=regle!$F$12,regle!$F$11,
IF(AQ418=regle!$G$12,regle!$G$11,
IF(AQ418=regle!$H$12,regle!$H$11,
IF(AQ418=regle!$I$12,regle!$I$11,""))))))))))</f>
        <v/>
      </c>
      <c r="X418" t="str">
        <f>IF(NOT($A418),"",
IF(AR418=-2,regle!$J$11,
IF(AR418=regle!$B$12,regle!$B$11,
IF(AR418=regle!$C$12,regle!$C$11,
IF(AR418=regle!$D$12,regle!$D$11,
IF(AR418=regle!$E$12,regle!$E$11,
IF(AR418=regle!$F$12,regle!$F$11,
IF(AR418=regle!$G$12,regle!$G$11,
IF(AR418=regle!$H$12,regle!$H$11,
IF(AR418=regle!$I$12,regle!$I$11,""))))))))))</f>
        <v/>
      </c>
      <c r="Y418" t="str">
        <f>IF(NOT($A418),"",
IF(AS418=-2,regle!$J$11,
IF(AS418=regle!$B$12,regle!$B$11,
IF(AS418=regle!$C$12,regle!$C$11,
IF(AS418=regle!$D$12,regle!$D$11,
IF(AS418=regle!$E$12,regle!$E$11,
IF(AS418=regle!$F$12,regle!$F$11,
IF(AS418=regle!$G$12,regle!$G$11,
IF(AS418=regle!$H$12,regle!$H$11,
IF(AS418=regle!$I$12,regle!$I$11,""))))))))))</f>
        <v/>
      </c>
      <c r="Z418" t="str">
        <f>IF(NOT($A418),"",
IF(AT418=-2,regle!$J$11,
IF(AT418=regle!$B$12,regle!$B$11,
IF(AT418=regle!$C$12,regle!$C$11,
IF(AT418=regle!$D$12,regle!$D$11,
IF(AT418=regle!$E$12,regle!$E$11,
IF(AT418=regle!$F$12,regle!$F$11,
IF(AT418=regle!$G$12,regle!$G$11,
IF(AT418=regle!$H$12,regle!$H$11,
IF(AT418=regle!$I$12,regle!$I$11,""))))))))))</f>
        <v/>
      </c>
      <c r="AA418" t="str">
        <f>IF(NOT($A418),"",
IF(AU418=-2,regle!$J$11,
IF(AU418=regle!$B$12,regle!$B$11,
IF(AU418=regle!$C$12,regle!$C$11,
IF(AU418=regle!$D$12,regle!$D$11,
IF(AU418=regle!$E$12,regle!$E$11,
IF(AU418=regle!$F$12,regle!$F$11,
IF(AU418=regle!$G$12,regle!$G$11,
IF(AU418=regle!$H$12,regle!$H$11,
IF(AU418=regle!$I$12,regle!$I$11,""))))))))))</f>
        <v/>
      </c>
      <c r="AB418" t="str">
        <f>IF(NOT($A418),"",
IF(AV418=-2,regle!$J$11,
IF(AV418=regle!$B$12,regle!$B$11,
IF(AV418=regle!$C$12,regle!$C$11,
IF(AV418=regle!$D$12,regle!$D$11,
IF(AV418=regle!$E$12,regle!$E$11,
IF(AV418=regle!$F$12,regle!$F$11,
IF(AV418=regle!$G$12,regle!$G$11,
IF(AV418=regle!$H$12,regle!$H$11,
IF(AV418=regle!$I$12,regle!$I$11,""))))))))))</f>
        <v/>
      </c>
      <c r="AC418" t="str">
        <f>IF(NOT($A418),"",
IF(AW418=-2,regle!$J$11,
IF(AW418=regle!$B$12,regle!$B$11,
IF(AW418=regle!$C$12,regle!$C$11,
IF(AW418=regle!$D$12,regle!$D$11,
IF(AW418=regle!$E$12,regle!$E$11,
IF(AW418=regle!$F$12,regle!$F$11,
IF(AW418=regle!$G$12,regle!$G$11,
IF(AW418=regle!$H$12,regle!$H$11,
IF(AW418=regle!$I$12,regle!$I$11,""))))))))))</f>
        <v/>
      </c>
      <c r="AD418" t="str">
        <f>IF(NOT($A418),"",
IF(AX418=-2,regle!$J$11,
IF(AX418=regle!$B$12,regle!$B$11,
IF(AX418=regle!$C$12,regle!$C$11,
IF(AX418=regle!$D$12,regle!$D$11,
IF(AX418=regle!$E$12,regle!$E$11,
IF(AX418=regle!$F$12,regle!$F$11,
IF(AX418=regle!$G$12,regle!$G$11,
IF(AX418=regle!$H$12,regle!$H$11,
IF(AX418=regle!$I$12,regle!$I$11,""))))))))))</f>
        <v/>
      </c>
      <c r="AE418" s="14" t="b">
        <f>IF($A418,$M418*(IF(U418=regle!$B$11,regle!$B$23,IF(U418=regle!$C$11,regle!$C$23,IF(U418=regle!$D$11,regle!$D$23,IF(U418=regle!$E$11,regle!$E$23,IF(U418=regle!$F$11,regle!$F$23,IF(U418=regle!$G$11,regle!$G$23,IF(U418=regle!$H$11,regle!$H$23,IF(U418=regle!$I$11,regle!$I$23,IF(U418=regle!$J$11,regle!$J$23,0)))))))))))</f>
        <v>0</v>
      </c>
      <c r="AF418" s="14" t="b">
        <f>IF($A418,$M418*(IF(V418=regle!$B$11,regle!$B$23,IF(V418=regle!$C$11,regle!$C$23,IF(V418=regle!$D$11,regle!$D$23,IF(V418=regle!$E$11,regle!$E$23,IF(V418=regle!$F$11,regle!$F$23,IF(V418=regle!$G$11,regle!$G$23,IF(V418=regle!$H$11,regle!$H$23,IF(V418=regle!$I$11,regle!$I$23,IF(V418=regle!$J$11,regle!$J$23,0)))))))))))</f>
        <v>0</v>
      </c>
      <c r="AG418" s="14" t="b">
        <f>IF($A418,$M418*(IF(W418=regle!$B$11,regle!$B$23,IF(W418=regle!$C$11,regle!$C$23,IF(W418=regle!$D$11,regle!$D$23,IF(W418=regle!$E$11,regle!$E$23,IF(W418=regle!$F$11,regle!$F$23,IF(W418=regle!$G$11,regle!$G$23,IF(W418=regle!$H$11,regle!$H$23,IF(W418=regle!$I$11,regle!$I$23,IF(W418=regle!$J$11,regle!$J$23,0)))))))))))</f>
        <v>0</v>
      </c>
      <c r="AH418" s="14" t="b">
        <f>IF($A418,$M418*(IF(X418=regle!$B$11,regle!$B$23,IF(X418=regle!$C$11,regle!$C$23,IF(X418=regle!$D$11,regle!$D$23,IF(X418=regle!$E$11,regle!$E$23,IF(X418=regle!$F$11,regle!$F$23,IF(X418=regle!$G$11,regle!$G$23,IF(X418=regle!$H$11,regle!$H$23,IF(X418=regle!$I$11,regle!$I$23,IF(X418=regle!$J$11,regle!$J$23,0)))))))))))</f>
        <v>0</v>
      </c>
      <c r="AI418" s="14" t="b">
        <f>IF($A418,$M418*(IF(Y418=regle!$B$11,regle!$B$23,IF(Y418=regle!$C$11,regle!$C$23,IF(Y418=regle!$D$11,regle!$D$23,IF(Y418=regle!$E$11,regle!$E$23,IF(Y418=regle!$F$11,regle!$F$23,IF(Y418=regle!$G$11,regle!$G$23,IF(Y418=regle!$H$11,regle!$H$23,IF(Y418=regle!$I$11,regle!$I$23,IF(Y418=regle!$J$11,regle!$J$23,0)))))))))))</f>
        <v>0</v>
      </c>
      <c r="AJ418" s="14" t="b">
        <f>IF($A418,$M418*(IF(Z418=regle!$B$11,regle!$B$23,IF(Z418=regle!$C$11,regle!$C$23,IF(Z418=regle!$D$11,regle!$D$23,IF(Z418=regle!$E$11,regle!$E$23,IF(Z418=regle!$F$11,regle!$F$23,IF(Z418=regle!$G$11,regle!$G$23,IF(Z418=regle!$H$11,regle!$H$23,IF(Z418=regle!$I$11,regle!$I$23,IF(Z418=regle!$J$11,regle!$J$23,0)))))))))))</f>
        <v>0</v>
      </c>
      <c r="AK418" s="14" t="b">
        <f>IF($A418,$M418*(IF(AA418=regle!$B$11,regle!$B$23,IF(AA418=regle!$C$11,regle!$C$23,IF(AA418=regle!$D$11,regle!$D$23,IF(AA418=regle!$E$11,regle!$E$23,IF(AA418=regle!$F$11,regle!$F$23,IF(AA418=regle!$G$11,regle!$G$23,IF(AA418=regle!$H$11,regle!$H$23,IF(AA418=regle!$I$11,regle!$I$23,IF(AA418=regle!$J$11,regle!$J$23,0)))))))))))</f>
        <v>0</v>
      </c>
      <c r="AL418" s="14" t="b">
        <f>IF($A418,$M418*(IF(AB418=regle!$B$11,regle!$B$23,IF(AB418=regle!$C$11,regle!$C$23,IF(AB418=regle!$D$11,regle!$D$23,IF(AB418=regle!$E$11,regle!$E$23,IF(AB418=regle!$F$11,regle!$F$23,IF(AB418=regle!$G$11,regle!$G$23,IF(AB418=regle!$H$11,regle!$H$23,IF(AB418=regle!$I$11,regle!$I$23,IF(AB418=regle!$J$11,regle!$J$23,0)))))))))))</f>
        <v>0</v>
      </c>
      <c r="AM418" s="14" t="b">
        <f>IF($A418,$M418*(IF(AC418=regle!$B$11,regle!$B$23,IF(AC418=regle!$C$11,regle!$C$23,IF(AC418=regle!$D$11,regle!$D$23,IF(AC418=regle!$E$11,regle!$E$23,IF(AC418=regle!$F$11,regle!$F$23,IF(AC418=regle!$G$11,regle!$G$23,IF(AC418=regle!$H$11,regle!$H$23,IF(AC418=regle!$I$11,regle!$I$23,IF(AC418=regle!$J$11,regle!$J$23,0)))))))))))</f>
        <v>0</v>
      </c>
      <c r="AN418" s="14" t="b">
        <f>IF($A418,$M418*(IF(AD418=regle!$B$11,regle!$B$23,IF(AD418=regle!$C$11,regle!$C$23,IF(AD418=regle!$D$11,regle!$D$23,IF(AD418=regle!$E$11,regle!$E$23,IF(AD418=regle!$F$11,regle!$F$23,IF(AD418=regle!$G$11,regle!$G$23,IF(AD418=regle!$H$11,regle!$H$23,IF(AD418=regle!$I$11,regle!$I$23,IF(AD418=regle!$J$11,regle!$J$23,0)))))))))))</f>
        <v>0</v>
      </c>
      <c r="AO418">
        <f>IF(AO$1=$AO$1,IF(regle!B$2-$Q418&gt;=regle!$J$12,-2,IF($S418,IF(regle!$B$2-$Q418&gt;=2,0,-1),regle!B$2-$Q418)),IF(AN418+1&gt;=regle!$J$12,-2,AN418+1))</f>
        <v>34</v>
      </c>
      <c r="AP418">
        <f>IF(AP$1=$AO$1,IF(regle!C$2-$Q418&gt;=regle!$J$12,-2,IF($S418,IF(regle!$B$2-$Q418&gt;=2,0,-1),regle!C$2-$Q418)),IF(AO418+1&gt;=regle!$J$12,-2,AO418+1))</f>
        <v>35</v>
      </c>
      <c r="AQ418">
        <f>IF(AQ$1=$AO$1,IF(regle!D$2-$Q418&gt;=regle!$J$12,-2,IF($S418,IF(regle!$B$2-$Q418&gt;=2,0,-1),regle!D$2-$Q418)),IF(AP418+1&gt;=regle!$J$12,-2,AP418+1))</f>
        <v>36</v>
      </c>
      <c r="AR418">
        <f>IF(AR$1=$AO$1,IF(regle!E$2-$Q418&gt;=regle!$J$12,-2,IF($S418,IF(regle!$B$2-$Q418&gt;=2,0,-1),regle!E$2-$Q418)),IF(AQ418+1&gt;=regle!$J$12,-2,AQ418+1))</f>
        <v>37</v>
      </c>
      <c r="AS418">
        <f>IF(AS$1=$AO$1,IF(regle!F$2-$Q418&gt;=regle!$J$12,-2,IF($S418,IF(regle!$B$2-$Q418&gt;=2,0,-1),regle!F$2-$Q418)),IF(AR418+1&gt;=regle!$J$12,-2,AR418+1))</f>
        <v>38</v>
      </c>
      <c r="AT418">
        <f>IF(AT$1=$AO$1,IF(regle!G$2-$Q418&gt;=regle!$J$12,-2,IF($S418,IF(regle!$B$2-$Q418&gt;=2,0,-1),regle!G$2-$Q418)),IF(AS418+1&gt;=regle!$J$12,-2,AS418+1))</f>
        <v>39</v>
      </c>
      <c r="AU418">
        <f>IF(AU$1=$AO$1,IF(regle!H$2-$Q418&gt;=regle!$J$12,-2,IF($S418,IF(regle!$B$2-$Q418&gt;=2,0,-1),regle!H$2-$Q418)),IF(AT418+1&gt;=regle!$J$12,-2,AT418+1))</f>
        <v>-2</v>
      </c>
      <c r="AV418">
        <f>IF(AV$1=$AO$1,IF(regle!I$2-$Q418&gt;=regle!$J$12,-2,IF($S418,IF(regle!$B$2-$Q418&gt;=2,0,-1),regle!I$2-$Q418)),IF(AU418+1&gt;=regle!$J$12,-2,AU418+1))</f>
        <v>-1</v>
      </c>
      <c r="AW418">
        <f>IF(AW$1=$AO$1,IF(regle!J$2-$Q418&gt;=regle!$J$12,-2,IF($S418,IF(regle!$B$2-$Q418&gt;=2,0,-1),regle!J$2-$Q418)),IF(AV418+1&gt;=regle!$J$12,-2,AV418+1))</f>
        <v>0</v>
      </c>
      <c r="AX418">
        <f>IF(AX$1=$AO$1,IF(regle!K$2-$Q418&gt;=regle!$J$12,-2,IF($S418,IF(regle!$B$2-$Q418&gt;=2,0,-1),regle!K$2-$Q418)),IF(AW418+1&gt;=regle!$J$12,-2,AW418+1))</f>
        <v>1</v>
      </c>
    </row>
    <row r="419" spans="1:50" x14ac:dyDescent="0.25">
      <c r="A419" t="b">
        <f>AND(modif0[[#This Row],[cdstr]]&lt;&gt;0,OR(regle!$H$27=FALSE,modif0[[#This Row],[essnc]]="PM"))</f>
        <v>0</v>
      </c>
      <c r="B419">
        <f>ROW(objet!A285)</f>
        <v>285</v>
      </c>
      <c r="C419" s="10" t="str">
        <f>objet!D285</f>
        <v>2020000B2472</v>
      </c>
      <c r="D419" t="str">
        <f>LEFT(modif0[[#This Row],[cdstr]],3)</f>
        <v>202</v>
      </c>
      <c r="E419" s="10" t="str">
        <f>objet!G285</f>
        <v>HOSTENS</v>
      </c>
      <c r="F419">
        <f>LEN(modif0[[#This Row],[l_dt]])</f>
        <v>8</v>
      </c>
      <c r="G419" s="10" t="str">
        <f>objet!H285</f>
        <v>LES BECS</v>
      </c>
      <c r="H419" s="10" t="str">
        <f>objet!C285</f>
        <v>B2472j</v>
      </c>
      <c r="I419" t="str">
        <f>IF(ISNUMBER(VALUE(RIGHT(LEFT(modif0[[#This Row],[idntfn]],2),1))),_xlfn.CONCAT(0,LEFT(modif0[[#This Row],[idntfn]],1)),LEFT(modif0[[#This Row],[idntfn]],2))</f>
        <v>0B</v>
      </c>
      <c r="J419">
        <f>VALUE(LEFT(RIGHT(modif0[[#This Row],[idntfn]],LEN(modif0[[#This Row],[idntfn]])-IF(LEFT(modif0[[#This Row],[sctn]],1)="0",1,2)),LEN(modif0[[#This Row],[idntfn]])-IF(LEFT(modif0[[#This Row],[sctn]],1)="0",1,2)-LEN(modif0[[#This Row],[lttr]])))</f>
        <v>2472</v>
      </c>
      <c r="K419" t="str">
        <f>IF(ISNUMBER(VALUE(RIGHT(modif0[[#This Row],[idntfn]],1))),"",IF(ISNUMBER(VALUE(LEFT(RIGHT(modif0[[#This Row],[idntfn]],2),1))),RIGHT(modif0[[#This Row],[idntfn]],1),RIGHT(modif0[[#This Row],[idntfn]],2)))</f>
        <v>j</v>
      </c>
      <c r="L419" s="10">
        <f>objet!I285</f>
        <v>9088</v>
      </c>
      <c r="M419" s="11">
        <f>modif0[[#This Row],[srfc]]/10000</f>
        <v>0.90880000000000005</v>
      </c>
      <c r="N419" s="10" t="str">
        <f>objet!Z285</f>
        <v>FEUIL</v>
      </c>
      <c r="O419" s="10" t="str">
        <f>objet!AA285</f>
        <v>TAIL1970</v>
      </c>
      <c r="P419" t="str">
        <f>IF(ISNUMBER(modif0[[#This Row],[trvx]]),"",LEFT(modif0[[#This Row],[trvx]],LEN(modif0[[#This Row],[trvx]])-4))</f>
        <v>TAIL</v>
      </c>
      <c r="Q419">
        <f>VALUE(RIGHT(modif0[[#This Row],[trvx]],4))</f>
        <v>1970</v>
      </c>
      <c r="R419" t="str">
        <f>_xlfn.CONCAT(modif0[[#This Row],[tp]],"-",modif0[[#This Row],[essnc]],"_",modif0[[#This Row],[anns]])</f>
        <v>TAIL-FEUIL_1970</v>
      </c>
      <c r="S419" t="b">
        <f>modif0[[#This Row],[tp]]="CR"</f>
        <v>0</v>
      </c>
      <c r="T419">
        <v>40</v>
      </c>
      <c r="U419" t="str">
        <f>IF(NOT($A419),"",
IF(AO419=-2,regle!$J$11,
IF(AO419=regle!$B$12,regle!$B$11,
IF(AO419=regle!$C$12,regle!$C$11,
IF(AO419=regle!$D$12,regle!$D$11,
IF(AO419=regle!$E$12,regle!$E$11,
IF(AO419=regle!$F$12,regle!$F$11,
IF(AO419=regle!$G$12,regle!$G$11,
IF(AO419=regle!$H$12,regle!$H$11,
IF(AO419=regle!$I$12,regle!$I$11,""))))))))))</f>
        <v/>
      </c>
      <c r="V419" t="str">
        <f>IF(NOT($A419),"",
IF(AP419=-2,regle!$J$11,
IF(AP419=regle!$B$12,regle!$B$11,
IF(AP419=regle!$C$12,regle!$C$11,
IF(AP419=regle!$D$12,regle!$D$11,
IF(AP419=regle!$E$12,regle!$E$11,
IF(AP419=regle!$F$12,regle!$F$11,
IF(AP419=regle!$G$12,regle!$G$11,
IF(AP419=regle!$H$12,regle!$H$11,
IF(AP419=regle!$I$12,regle!$I$11,""))))))))))</f>
        <v/>
      </c>
      <c r="W419" t="str">
        <f>IF(NOT($A419),"",
IF(AQ419=-2,regle!$J$11,
IF(AQ419=regle!$B$12,regle!$B$11,
IF(AQ419=regle!$C$12,regle!$C$11,
IF(AQ419=regle!$D$12,regle!$D$11,
IF(AQ419=regle!$E$12,regle!$E$11,
IF(AQ419=regle!$F$12,regle!$F$11,
IF(AQ419=regle!$G$12,regle!$G$11,
IF(AQ419=regle!$H$12,regle!$H$11,
IF(AQ419=regle!$I$12,regle!$I$11,""))))))))))</f>
        <v/>
      </c>
      <c r="X419" t="str">
        <f>IF(NOT($A419),"",
IF(AR419=-2,regle!$J$11,
IF(AR419=regle!$B$12,regle!$B$11,
IF(AR419=regle!$C$12,regle!$C$11,
IF(AR419=regle!$D$12,regle!$D$11,
IF(AR419=regle!$E$12,regle!$E$11,
IF(AR419=regle!$F$12,regle!$F$11,
IF(AR419=regle!$G$12,regle!$G$11,
IF(AR419=regle!$H$12,regle!$H$11,
IF(AR419=regle!$I$12,regle!$I$11,""))))))))))</f>
        <v/>
      </c>
      <c r="Y419" t="str">
        <f>IF(NOT($A419),"",
IF(AS419=-2,regle!$J$11,
IF(AS419=regle!$B$12,regle!$B$11,
IF(AS419=regle!$C$12,regle!$C$11,
IF(AS419=regle!$D$12,regle!$D$11,
IF(AS419=regle!$E$12,regle!$E$11,
IF(AS419=regle!$F$12,regle!$F$11,
IF(AS419=regle!$G$12,regle!$G$11,
IF(AS419=regle!$H$12,regle!$H$11,
IF(AS419=regle!$I$12,regle!$I$11,""))))))))))</f>
        <v/>
      </c>
      <c r="Z419" t="str">
        <f>IF(NOT($A419),"",
IF(AT419=-2,regle!$J$11,
IF(AT419=regle!$B$12,regle!$B$11,
IF(AT419=regle!$C$12,regle!$C$11,
IF(AT419=regle!$D$12,regle!$D$11,
IF(AT419=regle!$E$12,regle!$E$11,
IF(AT419=regle!$F$12,regle!$F$11,
IF(AT419=regle!$G$12,regle!$G$11,
IF(AT419=regle!$H$12,regle!$H$11,
IF(AT419=regle!$I$12,regle!$I$11,""))))))))))</f>
        <v/>
      </c>
      <c r="AA419" t="str">
        <f>IF(NOT($A419),"",
IF(AU419=-2,regle!$J$11,
IF(AU419=regle!$B$12,regle!$B$11,
IF(AU419=regle!$C$12,regle!$C$11,
IF(AU419=regle!$D$12,regle!$D$11,
IF(AU419=regle!$E$12,regle!$E$11,
IF(AU419=regle!$F$12,regle!$F$11,
IF(AU419=regle!$G$12,regle!$G$11,
IF(AU419=regle!$H$12,regle!$H$11,
IF(AU419=regle!$I$12,regle!$I$11,""))))))))))</f>
        <v/>
      </c>
      <c r="AB419" t="str">
        <f>IF(NOT($A419),"",
IF(AV419=-2,regle!$J$11,
IF(AV419=regle!$B$12,regle!$B$11,
IF(AV419=regle!$C$12,regle!$C$11,
IF(AV419=regle!$D$12,regle!$D$11,
IF(AV419=regle!$E$12,regle!$E$11,
IF(AV419=regle!$F$12,regle!$F$11,
IF(AV419=regle!$G$12,regle!$G$11,
IF(AV419=regle!$H$12,regle!$H$11,
IF(AV419=regle!$I$12,regle!$I$11,""))))))))))</f>
        <v/>
      </c>
      <c r="AC419" t="str">
        <f>IF(NOT($A419),"",
IF(AW419=-2,regle!$J$11,
IF(AW419=regle!$B$12,regle!$B$11,
IF(AW419=regle!$C$12,regle!$C$11,
IF(AW419=regle!$D$12,regle!$D$11,
IF(AW419=regle!$E$12,regle!$E$11,
IF(AW419=regle!$F$12,regle!$F$11,
IF(AW419=regle!$G$12,regle!$G$11,
IF(AW419=regle!$H$12,regle!$H$11,
IF(AW419=regle!$I$12,regle!$I$11,""))))))))))</f>
        <v/>
      </c>
      <c r="AD419" t="str">
        <f>IF(NOT($A419),"",
IF(AX419=-2,regle!$J$11,
IF(AX419=regle!$B$12,regle!$B$11,
IF(AX419=regle!$C$12,regle!$C$11,
IF(AX419=regle!$D$12,regle!$D$11,
IF(AX419=regle!$E$12,regle!$E$11,
IF(AX419=regle!$F$12,regle!$F$11,
IF(AX419=regle!$G$12,regle!$G$11,
IF(AX419=regle!$H$12,regle!$H$11,
IF(AX419=regle!$I$12,regle!$I$11,""))))))))))</f>
        <v/>
      </c>
      <c r="AE419" s="14" t="b">
        <f>IF($A419,$M419*(IF(U419=regle!$B$11,regle!$B$23,IF(U419=regle!$C$11,regle!$C$23,IF(U419=regle!$D$11,regle!$D$23,IF(U419=regle!$E$11,regle!$E$23,IF(U419=regle!$F$11,regle!$F$23,IF(U419=regle!$G$11,regle!$G$23,IF(U419=regle!$H$11,regle!$H$23,IF(U419=regle!$I$11,regle!$I$23,IF(U419=regle!$J$11,regle!$J$23,0)))))))))))</f>
        <v>0</v>
      </c>
      <c r="AF419" s="14" t="b">
        <f>IF($A419,$M419*(IF(V419=regle!$B$11,regle!$B$23,IF(V419=regle!$C$11,regle!$C$23,IF(V419=regle!$D$11,regle!$D$23,IF(V419=regle!$E$11,regle!$E$23,IF(V419=regle!$F$11,regle!$F$23,IF(V419=regle!$G$11,regle!$G$23,IF(V419=regle!$H$11,regle!$H$23,IF(V419=regle!$I$11,regle!$I$23,IF(V419=regle!$J$11,regle!$J$23,0)))))))))))</f>
        <v>0</v>
      </c>
      <c r="AG419" s="14" t="b">
        <f>IF($A419,$M419*(IF(W419=regle!$B$11,regle!$B$23,IF(W419=regle!$C$11,regle!$C$23,IF(W419=regle!$D$11,regle!$D$23,IF(W419=regle!$E$11,regle!$E$23,IF(W419=regle!$F$11,regle!$F$23,IF(W419=regle!$G$11,regle!$G$23,IF(W419=regle!$H$11,regle!$H$23,IF(W419=regle!$I$11,regle!$I$23,IF(W419=regle!$J$11,regle!$J$23,0)))))))))))</f>
        <v>0</v>
      </c>
      <c r="AH419" s="14" t="b">
        <f>IF($A419,$M419*(IF(X419=regle!$B$11,regle!$B$23,IF(X419=regle!$C$11,regle!$C$23,IF(X419=regle!$D$11,regle!$D$23,IF(X419=regle!$E$11,regle!$E$23,IF(X419=regle!$F$11,regle!$F$23,IF(X419=regle!$G$11,regle!$G$23,IF(X419=regle!$H$11,regle!$H$23,IF(X419=regle!$I$11,regle!$I$23,IF(X419=regle!$J$11,regle!$J$23,0)))))))))))</f>
        <v>0</v>
      </c>
      <c r="AI419" s="14" t="b">
        <f>IF($A419,$M419*(IF(Y419=regle!$B$11,regle!$B$23,IF(Y419=regle!$C$11,regle!$C$23,IF(Y419=regle!$D$11,regle!$D$23,IF(Y419=regle!$E$11,regle!$E$23,IF(Y419=regle!$F$11,regle!$F$23,IF(Y419=regle!$G$11,regle!$G$23,IF(Y419=regle!$H$11,regle!$H$23,IF(Y419=regle!$I$11,regle!$I$23,IF(Y419=regle!$J$11,regle!$J$23,0)))))))))))</f>
        <v>0</v>
      </c>
      <c r="AJ419" s="14" t="b">
        <f>IF($A419,$M419*(IF(Z419=regle!$B$11,regle!$B$23,IF(Z419=regle!$C$11,regle!$C$23,IF(Z419=regle!$D$11,regle!$D$23,IF(Z419=regle!$E$11,regle!$E$23,IF(Z419=regle!$F$11,regle!$F$23,IF(Z419=regle!$G$11,regle!$G$23,IF(Z419=regle!$H$11,regle!$H$23,IF(Z419=regle!$I$11,regle!$I$23,IF(Z419=regle!$J$11,regle!$J$23,0)))))))))))</f>
        <v>0</v>
      </c>
      <c r="AK419" s="14" t="b">
        <f>IF($A419,$M419*(IF(AA419=regle!$B$11,regle!$B$23,IF(AA419=regle!$C$11,regle!$C$23,IF(AA419=regle!$D$11,regle!$D$23,IF(AA419=regle!$E$11,regle!$E$23,IF(AA419=regle!$F$11,regle!$F$23,IF(AA419=regle!$G$11,regle!$G$23,IF(AA419=regle!$H$11,regle!$H$23,IF(AA419=regle!$I$11,regle!$I$23,IF(AA419=regle!$J$11,regle!$J$23,0)))))))))))</f>
        <v>0</v>
      </c>
      <c r="AL419" s="14" t="b">
        <f>IF($A419,$M419*(IF(AB419=regle!$B$11,regle!$B$23,IF(AB419=regle!$C$11,regle!$C$23,IF(AB419=regle!$D$11,regle!$D$23,IF(AB419=regle!$E$11,regle!$E$23,IF(AB419=regle!$F$11,regle!$F$23,IF(AB419=regle!$G$11,regle!$G$23,IF(AB419=regle!$H$11,regle!$H$23,IF(AB419=regle!$I$11,regle!$I$23,IF(AB419=regle!$J$11,regle!$J$23,0)))))))))))</f>
        <v>0</v>
      </c>
      <c r="AM419" s="14" t="b">
        <f>IF($A419,$M419*(IF(AC419=regle!$B$11,regle!$B$23,IF(AC419=regle!$C$11,regle!$C$23,IF(AC419=regle!$D$11,regle!$D$23,IF(AC419=regle!$E$11,regle!$E$23,IF(AC419=regle!$F$11,regle!$F$23,IF(AC419=regle!$G$11,regle!$G$23,IF(AC419=regle!$H$11,regle!$H$23,IF(AC419=regle!$I$11,regle!$I$23,IF(AC419=regle!$J$11,regle!$J$23,0)))))))))))</f>
        <v>0</v>
      </c>
      <c r="AN419" s="14" t="b">
        <f>IF($A419,$M419*(IF(AD419=regle!$B$11,regle!$B$23,IF(AD419=regle!$C$11,regle!$C$23,IF(AD419=regle!$D$11,regle!$D$23,IF(AD419=regle!$E$11,regle!$E$23,IF(AD419=regle!$F$11,regle!$F$23,IF(AD419=regle!$G$11,regle!$G$23,IF(AD419=regle!$H$11,regle!$H$23,IF(AD419=regle!$I$11,regle!$I$23,IF(AD419=regle!$J$11,regle!$J$23,0)))))))))))</f>
        <v>0</v>
      </c>
      <c r="AO419">
        <f>IF(AO$1=$AO$1,IF(regle!B$2-$Q419&gt;=regle!$J$12,-2,IF($S419,IF(regle!$B$2-$Q419&gt;=2,0,-1),regle!B$2-$Q419)),IF(AN419+1&gt;=regle!$J$12,-2,AN419+1))</f>
        <v>-2</v>
      </c>
      <c r="AP419">
        <f>IF(AP$1=$AO$1,IF(regle!C$2-$Q419&gt;=regle!$J$12,-2,IF($S419,IF(regle!$B$2-$Q419&gt;=2,0,-1),regle!C$2-$Q419)),IF(AO419+1&gt;=regle!$J$12,-2,AO419+1))</f>
        <v>-1</v>
      </c>
      <c r="AQ419">
        <f>IF(AQ$1=$AO$1,IF(regle!D$2-$Q419&gt;=regle!$J$12,-2,IF($S419,IF(regle!$B$2-$Q419&gt;=2,0,-1),regle!D$2-$Q419)),IF(AP419+1&gt;=regle!$J$12,-2,AP419+1))</f>
        <v>0</v>
      </c>
      <c r="AR419">
        <f>IF(AR$1=$AO$1,IF(regle!E$2-$Q419&gt;=regle!$J$12,-2,IF($S419,IF(regle!$B$2-$Q419&gt;=2,0,-1),regle!E$2-$Q419)),IF(AQ419+1&gt;=regle!$J$12,-2,AQ419+1))</f>
        <v>1</v>
      </c>
      <c r="AS419">
        <f>IF(AS$1=$AO$1,IF(regle!F$2-$Q419&gt;=regle!$J$12,-2,IF($S419,IF(regle!$B$2-$Q419&gt;=2,0,-1),regle!F$2-$Q419)),IF(AR419+1&gt;=regle!$J$12,-2,AR419+1))</f>
        <v>2</v>
      </c>
      <c r="AT419">
        <f>IF(AT$1=$AO$1,IF(regle!G$2-$Q419&gt;=regle!$J$12,-2,IF($S419,IF(regle!$B$2-$Q419&gt;=2,0,-1),regle!G$2-$Q419)),IF(AS419+1&gt;=regle!$J$12,-2,AS419+1))</f>
        <v>3</v>
      </c>
      <c r="AU419">
        <f>IF(AU$1=$AO$1,IF(regle!H$2-$Q419&gt;=regle!$J$12,-2,IF($S419,IF(regle!$B$2-$Q419&gt;=2,0,-1),regle!H$2-$Q419)),IF(AT419+1&gt;=regle!$J$12,-2,AT419+1))</f>
        <v>4</v>
      </c>
      <c r="AV419">
        <f>IF(AV$1=$AO$1,IF(regle!I$2-$Q419&gt;=regle!$J$12,-2,IF($S419,IF(regle!$B$2-$Q419&gt;=2,0,-1),regle!I$2-$Q419)),IF(AU419+1&gt;=regle!$J$12,-2,AU419+1))</f>
        <v>5</v>
      </c>
      <c r="AW419">
        <f>IF(AW$1=$AO$1,IF(regle!J$2-$Q419&gt;=regle!$J$12,-2,IF($S419,IF(regle!$B$2-$Q419&gt;=2,0,-1),regle!J$2-$Q419)),IF(AV419+1&gt;=regle!$J$12,-2,AV419+1))</f>
        <v>6</v>
      </c>
      <c r="AX419">
        <f>IF(AX$1=$AO$1,IF(regle!K$2-$Q419&gt;=regle!$J$12,-2,IF($S419,IF(regle!$B$2-$Q419&gt;=2,0,-1),regle!K$2-$Q419)),IF(AW419+1&gt;=regle!$J$12,-2,AW419+1))</f>
        <v>7</v>
      </c>
    </row>
    <row r="420" spans="1:50" x14ac:dyDescent="0.25">
      <c r="A420" t="b">
        <f>AND(modif0[[#This Row],[cdstr]]&lt;&gt;0,OR(regle!$H$27=FALSE,modif0[[#This Row],[essnc]]="PM"))</f>
        <v>0</v>
      </c>
      <c r="B420">
        <f>ROW(objet!A298)</f>
        <v>298</v>
      </c>
      <c r="C420" s="10" t="str">
        <f>objet!D298</f>
        <v>1710000B0266</v>
      </c>
      <c r="D420" t="str">
        <f>LEFT(modif0[[#This Row],[cdstr]],3)</f>
        <v>171</v>
      </c>
      <c r="E420" s="10" t="str">
        <f>objet!G298</f>
        <v>MANO</v>
      </c>
      <c r="F420">
        <f>LEN(modif0[[#This Row],[l_dt]])</f>
        <v>17</v>
      </c>
      <c r="G420" s="10" t="str">
        <f>objet!H298</f>
        <v>LANDE DE TABARTON</v>
      </c>
      <c r="H420" s="10" t="str">
        <f>objet!C298</f>
        <v>B266m</v>
      </c>
      <c r="I420" t="str">
        <f>IF(ISNUMBER(VALUE(RIGHT(LEFT(modif0[[#This Row],[idntfn]],2),1))),_xlfn.CONCAT(0,LEFT(modif0[[#This Row],[idntfn]],1)),LEFT(modif0[[#This Row],[idntfn]],2))</f>
        <v>0B</v>
      </c>
      <c r="J420">
        <f>VALUE(LEFT(RIGHT(modif0[[#This Row],[idntfn]],LEN(modif0[[#This Row],[idntfn]])-IF(LEFT(modif0[[#This Row],[sctn]],1)="0",1,2)),LEN(modif0[[#This Row],[idntfn]])-IF(LEFT(modif0[[#This Row],[sctn]],1)="0",1,2)-LEN(modif0[[#This Row],[lttr]])))</f>
        <v>266</v>
      </c>
      <c r="K420" t="str">
        <f>IF(ISNUMBER(VALUE(RIGHT(modif0[[#This Row],[idntfn]],1))),"",IF(ISNUMBER(VALUE(LEFT(RIGHT(modif0[[#This Row],[idntfn]],2),1))),RIGHT(modif0[[#This Row],[idntfn]],1),RIGHT(modif0[[#This Row],[idntfn]],2)))</f>
        <v>m</v>
      </c>
      <c r="L420" s="10">
        <f>objet!I298</f>
        <v>2898</v>
      </c>
      <c r="M420" s="11">
        <f>modif0[[#This Row],[srfc]]/10000</f>
        <v>0.2898</v>
      </c>
      <c r="N420" s="10" t="str">
        <f>objet!Z298</f>
        <v>FEUIL</v>
      </c>
      <c r="O420" s="10" t="str">
        <f>objet!AA298</f>
        <v>TAIL1960</v>
      </c>
      <c r="P420" t="str">
        <f>IF(ISNUMBER(modif0[[#This Row],[trvx]]),"",LEFT(modif0[[#This Row],[trvx]],LEN(modif0[[#This Row],[trvx]])-4))</f>
        <v>TAIL</v>
      </c>
      <c r="Q420">
        <f>VALUE(RIGHT(modif0[[#This Row],[trvx]],4))</f>
        <v>1960</v>
      </c>
      <c r="R420" t="str">
        <f>_xlfn.CONCAT(modif0[[#This Row],[tp]],"-",modif0[[#This Row],[essnc]],"_",modif0[[#This Row],[anns]])</f>
        <v>TAIL-FEUIL_1960</v>
      </c>
      <c r="S420" t="b">
        <f>modif0[[#This Row],[tp]]="CR"</f>
        <v>0</v>
      </c>
      <c r="T420">
        <v>40</v>
      </c>
      <c r="U420" t="str">
        <f>IF(NOT($A420),"",
IF(AO420=-2,regle!$J$11,
IF(AO420=regle!$B$12,regle!$B$11,
IF(AO420=regle!$C$12,regle!$C$11,
IF(AO420=regle!$D$12,regle!$D$11,
IF(AO420=regle!$E$12,regle!$E$11,
IF(AO420=regle!$F$12,regle!$F$11,
IF(AO420=regle!$G$12,regle!$G$11,
IF(AO420=regle!$H$12,regle!$H$11,
IF(AO420=regle!$I$12,regle!$I$11,""))))))))))</f>
        <v/>
      </c>
      <c r="V420" t="str">
        <f>IF(NOT($A420),"",
IF(AP420=-2,regle!$J$11,
IF(AP420=regle!$B$12,regle!$B$11,
IF(AP420=regle!$C$12,regle!$C$11,
IF(AP420=regle!$D$12,regle!$D$11,
IF(AP420=regle!$E$12,regle!$E$11,
IF(AP420=regle!$F$12,regle!$F$11,
IF(AP420=regle!$G$12,regle!$G$11,
IF(AP420=regle!$H$12,regle!$H$11,
IF(AP420=regle!$I$12,regle!$I$11,""))))))))))</f>
        <v/>
      </c>
      <c r="W420" t="str">
        <f>IF(NOT($A420),"",
IF(AQ420=-2,regle!$J$11,
IF(AQ420=regle!$B$12,regle!$B$11,
IF(AQ420=regle!$C$12,regle!$C$11,
IF(AQ420=regle!$D$12,regle!$D$11,
IF(AQ420=regle!$E$12,regle!$E$11,
IF(AQ420=regle!$F$12,regle!$F$11,
IF(AQ420=regle!$G$12,regle!$G$11,
IF(AQ420=regle!$H$12,regle!$H$11,
IF(AQ420=regle!$I$12,regle!$I$11,""))))))))))</f>
        <v/>
      </c>
      <c r="X420" t="str">
        <f>IF(NOT($A420),"",
IF(AR420=-2,regle!$J$11,
IF(AR420=regle!$B$12,regle!$B$11,
IF(AR420=regle!$C$12,regle!$C$11,
IF(AR420=regle!$D$12,regle!$D$11,
IF(AR420=regle!$E$12,regle!$E$11,
IF(AR420=regle!$F$12,regle!$F$11,
IF(AR420=regle!$G$12,regle!$G$11,
IF(AR420=regle!$H$12,regle!$H$11,
IF(AR420=regle!$I$12,regle!$I$11,""))))))))))</f>
        <v/>
      </c>
      <c r="Y420" t="str">
        <f>IF(NOT($A420),"",
IF(AS420=-2,regle!$J$11,
IF(AS420=regle!$B$12,regle!$B$11,
IF(AS420=regle!$C$12,regle!$C$11,
IF(AS420=regle!$D$12,regle!$D$11,
IF(AS420=regle!$E$12,regle!$E$11,
IF(AS420=regle!$F$12,regle!$F$11,
IF(AS420=regle!$G$12,regle!$G$11,
IF(AS420=regle!$H$12,regle!$H$11,
IF(AS420=regle!$I$12,regle!$I$11,""))))))))))</f>
        <v/>
      </c>
      <c r="Z420" t="str">
        <f>IF(NOT($A420),"",
IF(AT420=-2,regle!$J$11,
IF(AT420=regle!$B$12,regle!$B$11,
IF(AT420=regle!$C$12,regle!$C$11,
IF(AT420=regle!$D$12,regle!$D$11,
IF(AT420=regle!$E$12,regle!$E$11,
IF(AT420=regle!$F$12,regle!$F$11,
IF(AT420=regle!$G$12,regle!$G$11,
IF(AT420=regle!$H$12,regle!$H$11,
IF(AT420=regle!$I$12,regle!$I$11,""))))))))))</f>
        <v/>
      </c>
      <c r="AA420" t="str">
        <f>IF(NOT($A420),"",
IF(AU420=-2,regle!$J$11,
IF(AU420=regle!$B$12,regle!$B$11,
IF(AU420=regle!$C$12,regle!$C$11,
IF(AU420=regle!$D$12,regle!$D$11,
IF(AU420=regle!$E$12,regle!$E$11,
IF(AU420=regle!$F$12,regle!$F$11,
IF(AU420=regle!$G$12,regle!$G$11,
IF(AU420=regle!$H$12,regle!$H$11,
IF(AU420=regle!$I$12,regle!$I$11,""))))))))))</f>
        <v/>
      </c>
      <c r="AB420" t="str">
        <f>IF(NOT($A420),"",
IF(AV420=-2,regle!$J$11,
IF(AV420=regle!$B$12,regle!$B$11,
IF(AV420=regle!$C$12,regle!$C$11,
IF(AV420=regle!$D$12,regle!$D$11,
IF(AV420=regle!$E$12,regle!$E$11,
IF(AV420=regle!$F$12,regle!$F$11,
IF(AV420=regle!$G$12,regle!$G$11,
IF(AV420=regle!$H$12,regle!$H$11,
IF(AV420=regle!$I$12,regle!$I$11,""))))))))))</f>
        <v/>
      </c>
      <c r="AC420" t="str">
        <f>IF(NOT($A420),"",
IF(AW420=-2,regle!$J$11,
IF(AW420=regle!$B$12,regle!$B$11,
IF(AW420=regle!$C$12,regle!$C$11,
IF(AW420=regle!$D$12,regle!$D$11,
IF(AW420=regle!$E$12,regle!$E$11,
IF(AW420=regle!$F$12,regle!$F$11,
IF(AW420=regle!$G$12,regle!$G$11,
IF(AW420=regle!$H$12,regle!$H$11,
IF(AW420=regle!$I$12,regle!$I$11,""))))))))))</f>
        <v/>
      </c>
      <c r="AD420" t="str">
        <f>IF(NOT($A420),"",
IF(AX420=-2,regle!$J$11,
IF(AX420=regle!$B$12,regle!$B$11,
IF(AX420=regle!$C$12,regle!$C$11,
IF(AX420=regle!$D$12,regle!$D$11,
IF(AX420=regle!$E$12,regle!$E$11,
IF(AX420=regle!$F$12,regle!$F$11,
IF(AX420=regle!$G$12,regle!$G$11,
IF(AX420=regle!$H$12,regle!$H$11,
IF(AX420=regle!$I$12,regle!$I$11,""))))))))))</f>
        <v/>
      </c>
      <c r="AE420" s="14" t="b">
        <f>IF($A420,$M420*(IF(U420=regle!$B$11,regle!$B$23,IF(U420=regle!$C$11,regle!$C$23,IF(U420=regle!$D$11,regle!$D$23,IF(U420=regle!$E$11,regle!$E$23,IF(U420=regle!$F$11,regle!$F$23,IF(U420=regle!$G$11,regle!$G$23,IF(U420=regle!$H$11,regle!$H$23,IF(U420=regle!$I$11,regle!$I$23,IF(U420=regle!$J$11,regle!$J$23,0)))))))))))</f>
        <v>0</v>
      </c>
      <c r="AF420" s="14" t="b">
        <f>IF($A420,$M420*(IF(V420=regle!$B$11,regle!$B$23,IF(V420=regle!$C$11,regle!$C$23,IF(V420=regle!$D$11,regle!$D$23,IF(V420=regle!$E$11,regle!$E$23,IF(V420=regle!$F$11,regle!$F$23,IF(V420=regle!$G$11,regle!$G$23,IF(V420=regle!$H$11,regle!$H$23,IF(V420=regle!$I$11,regle!$I$23,IF(V420=regle!$J$11,regle!$J$23,0)))))))))))</f>
        <v>0</v>
      </c>
      <c r="AG420" s="14" t="b">
        <f>IF($A420,$M420*(IF(W420=regle!$B$11,regle!$B$23,IF(W420=regle!$C$11,regle!$C$23,IF(W420=regle!$D$11,regle!$D$23,IF(W420=regle!$E$11,regle!$E$23,IF(W420=regle!$F$11,regle!$F$23,IF(W420=regle!$G$11,regle!$G$23,IF(W420=regle!$H$11,regle!$H$23,IF(W420=regle!$I$11,regle!$I$23,IF(W420=regle!$J$11,regle!$J$23,0)))))))))))</f>
        <v>0</v>
      </c>
      <c r="AH420" s="14" t="b">
        <f>IF($A420,$M420*(IF(X420=regle!$B$11,regle!$B$23,IF(X420=regle!$C$11,regle!$C$23,IF(X420=regle!$D$11,regle!$D$23,IF(X420=regle!$E$11,regle!$E$23,IF(X420=regle!$F$11,regle!$F$23,IF(X420=regle!$G$11,regle!$G$23,IF(X420=regle!$H$11,regle!$H$23,IF(X420=regle!$I$11,regle!$I$23,IF(X420=regle!$J$11,regle!$J$23,0)))))))))))</f>
        <v>0</v>
      </c>
      <c r="AI420" s="14" t="b">
        <f>IF($A420,$M420*(IF(Y420=regle!$B$11,regle!$B$23,IF(Y420=regle!$C$11,regle!$C$23,IF(Y420=regle!$D$11,regle!$D$23,IF(Y420=regle!$E$11,regle!$E$23,IF(Y420=regle!$F$11,regle!$F$23,IF(Y420=regle!$G$11,regle!$G$23,IF(Y420=regle!$H$11,regle!$H$23,IF(Y420=regle!$I$11,regle!$I$23,IF(Y420=regle!$J$11,regle!$J$23,0)))))))))))</f>
        <v>0</v>
      </c>
      <c r="AJ420" s="14" t="b">
        <f>IF($A420,$M420*(IF(Z420=regle!$B$11,regle!$B$23,IF(Z420=regle!$C$11,regle!$C$23,IF(Z420=regle!$D$11,regle!$D$23,IF(Z420=regle!$E$11,regle!$E$23,IF(Z420=regle!$F$11,regle!$F$23,IF(Z420=regle!$G$11,regle!$G$23,IF(Z420=regle!$H$11,regle!$H$23,IF(Z420=regle!$I$11,regle!$I$23,IF(Z420=regle!$J$11,regle!$J$23,0)))))))))))</f>
        <v>0</v>
      </c>
      <c r="AK420" s="14" t="b">
        <f>IF($A420,$M420*(IF(AA420=regle!$B$11,regle!$B$23,IF(AA420=regle!$C$11,regle!$C$23,IF(AA420=regle!$D$11,regle!$D$23,IF(AA420=regle!$E$11,regle!$E$23,IF(AA420=regle!$F$11,regle!$F$23,IF(AA420=regle!$G$11,regle!$G$23,IF(AA420=regle!$H$11,regle!$H$23,IF(AA420=regle!$I$11,regle!$I$23,IF(AA420=regle!$J$11,regle!$J$23,0)))))))))))</f>
        <v>0</v>
      </c>
      <c r="AL420" s="14" t="b">
        <f>IF($A420,$M420*(IF(AB420=regle!$B$11,regle!$B$23,IF(AB420=regle!$C$11,regle!$C$23,IF(AB420=regle!$D$11,regle!$D$23,IF(AB420=regle!$E$11,regle!$E$23,IF(AB420=regle!$F$11,regle!$F$23,IF(AB420=regle!$G$11,regle!$G$23,IF(AB420=regle!$H$11,regle!$H$23,IF(AB420=regle!$I$11,regle!$I$23,IF(AB420=regle!$J$11,regle!$J$23,0)))))))))))</f>
        <v>0</v>
      </c>
      <c r="AM420" s="14" t="b">
        <f>IF($A420,$M420*(IF(AC420=regle!$B$11,regle!$B$23,IF(AC420=regle!$C$11,regle!$C$23,IF(AC420=regle!$D$11,regle!$D$23,IF(AC420=regle!$E$11,regle!$E$23,IF(AC420=regle!$F$11,regle!$F$23,IF(AC420=regle!$G$11,regle!$G$23,IF(AC420=regle!$H$11,regle!$H$23,IF(AC420=regle!$I$11,regle!$I$23,IF(AC420=regle!$J$11,regle!$J$23,0)))))))))))</f>
        <v>0</v>
      </c>
      <c r="AN420" s="14" t="b">
        <f>IF($A420,$M420*(IF(AD420=regle!$B$11,regle!$B$23,IF(AD420=regle!$C$11,regle!$C$23,IF(AD420=regle!$D$11,regle!$D$23,IF(AD420=regle!$E$11,regle!$E$23,IF(AD420=regle!$F$11,regle!$F$23,IF(AD420=regle!$G$11,regle!$G$23,IF(AD420=regle!$H$11,regle!$H$23,IF(AD420=regle!$I$11,regle!$I$23,IF(AD420=regle!$J$11,regle!$J$23,0)))))))))))</f>
        <v>0</v>
      </c>
      <c r="AO420">
        <f>IF(AO$1=$AO$1,IF(regle!B$2-$Q420&gt;=regle!$J$12,-2,IF($S420,IF(regle!$B$2-$Q420&gt;=2,0,-1),regle!B$2-$Q420)),IF(AN420+1&gt;=regle!$J$12,-2,AN420+1))</f>
        <v>-2</v>
      </c>
      <c r="AP420">
        <f>IF(AP$1=$AO$1,IF(regle!C$2-$Q420&gt;=regle!$J$12,-2,IF($S420,IF(regle!$B$2-$Q420&gt;=2,0,-1),regle!C$2-$Q420)),IF(AO420+1&gt;=regle!$J$12,-2,AO420+1))</f>
        <v>-1</v>
      </c>
      <c r="AQ420">
        <f>IF(AQ$1=$AO$1,IF(regle!D$2-$Q420&gt;=regle!$J$12,-2,IF($S420,IF(regle!$B$2-$Q420&gt;=2,0,-1),regle!D$2-$Q420)),IF(AP420+1&gt;=regle!$J$12,-2,AP420+1))</f>
        <v>0</v>
      </c>
      <c r="AR420">
        <f>IF(AR$1=$AO$1,IF(regle!E$2-$Q420&gt;=regle!$J$12,-2,IF($S420,IF(regle!$B$2-$Q420&gt;=2,0,-1),regle!E$2-$Q420)),IF(AQ420+1&gt;=regle!$J$12,-2,AQ420+1))</f>
        <v>1</v>
      </c>
      <c r="AS420">
        <f>IF(AS$1=$AO$1,IF(regle!F$2-$Q420&gt;=regle!$J$12,-2,IF($S420,IF(regle!$B$2-$Q420&gt;=2,0,-1),regle!F$2-$Q420)),IF(AR420+1&gt;=regle!$J$12,-2,AR420+1))</f>
        <v>2</v>
      </c>
      <c r="AT420">
        <f>IF(AT$1=$AO$1,IF(regle!G$2-$Q420&gt;=regle!$J$12,-2,IF($S420,IF(regle!$B$2-$Q420&gt;=2,0,-1),regle!G$2-$Q420)),IF(AS420+1&gt;=regle!$J$12,-2,AS420+1))</f>
        <v>3</v>
      </c>
      <c r="AU420">
        <f>IF(AU$1=$AO$1,IF(regle!H$2-$Q420&gt;=regle!$J$12,-2,IF($S420,IF(regle!$B$2-$Q420&gt;=2,0,-1),regle!H$2-$Q420)),IF(AT420+1&gt;=regle!$J$12,-2,AT420+1))</f>
        <v>4</v>
      </c>
      <c r="AV420">
        <f>IF(AV$1=$AO$1,IF(regle!I$2-$Q420&gt;=regle!$J$12,-2,IF($S420,IF(regle!$B$2-$Q420&gt;=2,0,-1),regle!I$2-$Q420)),IF(AU420+1&gt;=regle!$J$12,-2,AU420+1))</f>
        <v>5</v>
      </c>
      <c r="AW420">
        <f>IF(AW$1=$AO$1,IF(regle!J$2-$Q420&gt;=regle!$J$12,-2,IF($S420,IF(regle!$B$2-$Q420&gt;=2,0,-1),regle!J$2-$Q420)),IF(AV420+1&gt;=regle!$J$12,-2,AV420+1))</f>
        <v>6</v>
      </c>
      <c r="AX420">
        <f>IF(AX$1=$AO$1,IF(regle!K$2-$Q420&gt;=regle!$J$12,-2,IF($S420,IF(regle!$B$2-$Q420&gt;=2,0,-1),regle!K$2-$Q420)),IF(AW420+1&gt;=regle!$J$12,-2,AW420+1))</f>
        <v>7</v>
      </c>
    </row>
    <row r="421" spans="1:50" x14ac:dyDescent="0.25">
      <c r="A421" t="b">
        <f>AND(modif0[[#This Row],[cdstr]]&lt;&gt;0,OR(regle!$H$27=FALSE,modif0[[#This Row],[essnc]]="PM"))</f>
        <v>0</v>
      </c>
      <c r="B421">
        <f>ROW(objet!A309)</f>
        <v>309</v>
      </c>
      <c r="C421" s="10" t="str">
        <f>objet!D309</f>
        <v>1710000B0296</v>
      </c>
      <c r="D421" t="str">
        <f>LEFT(modif0[[#This Row],[cdstr]],3)</f>
        <v>171</v>
      </c>
      <c r="E421" s="10" t="str">
        <f>objet!G309</f>
        <v>MANO</v>
      </c>
      <c r="F421">
        <f>LEN(modif0[[#This Row],[l_dt]])</f>
        <v>17</v>
      </c>
      <c r="G421" s="10" t="str">
        <f>objet!H309</f>
        <v>LANDE DE TABARTON</v>
      </c>
      <c r="H421" s="10" t="str">
        <f>objet!C309</f>
        <v>B296</v>
      </c>
      <c r="I421" t="str">
        <f>IF(ISNUMBER(VALUE(RIGHT(LEFT(modif0[[#This Row],[idntfn]],2),1))),_xlfn.CONCAT(0,LEFT(modif0[[#This Row],[idntfn]],1)),LEFT(modif0[[#This Row],[idntfn]],2))</f>
        <v>0B</v>
      </c>
      <c r="J421">
        <f>VALUE(LEFT(RIGHT(modif0[[#This Row],[idntfn]],LEN(modif0[[#This Row],[idntfn]])-IF(LEFT(modif0[[#This Row],[sctn]],1)="0",1,2)),LEN(modif0[[#This Row],[idntfn]])-IF(LEFT(modif0[[#This Row],[sctn]],1)="0",1,2)-LEN(modif0[[#This Row],[lttr]])))</f>
        <v>296</v>
      </c>
      <c r="K421" t="str">
        <f>IF(ISNUMBER(VALUE(RIGHT(modif0[[#This Row],[idntfn]],1))),"",IF(ISNUMBER(VALUE(LEFT(RIGHT(modif0[[#This Row],[idntfn]],2),1))),RIGHT(modif0[[#This Row],[idntfn]],1),RIGHT(modif0[[#This Row],[idntfn]],2)))</f>
        <v/>
      </c>
      <c r="L421" s="10">
        <f>objet!I309</f>
        <v>6640</v>
      </c>
      <c r="M421" s="11">
        <f>modif0[[#This Row],[srfc]]/10000</f>
        <v>0.66400000000000003</v>
      </c>
      <c r="N421" s="10" t="str">
        <f>objet!Z309</f>
        <v>FEUIL</v>
      </c>
      <c r="O421" s="10" t="str">
        <f>objet!AA309</f>
        <v>TAIL1980</v>
      </c>
      <c r="P421" t="str">
        <f>IF(ISNUMBER(modif0[[#This Row],[trvx]]),"",LEFT(modif0[[#This Row],[trvx]],LEN(modif0[[#This Row],[trvx]])-4))</f>
        <v>TAIL</v>
      </c>
      <c r="Q421">
        <f>VALUE(RIGHT(modif0[[#This Row],[trvx]],4))</f>
        <v>1980</v>
      </c>
      <c r="R421" t="str">
        <f>_xlfn.CONCAT(modif0[[#This Row],[tp]],"-",modif0[[#This Row],[essnc]],"_",modif0[[#This Row],[anns]])</f>
        <v>TAIL-FEUIL_1980</v>
      </c>
      <c r="S421" t="b">
        <f>modif0[[#This Row],[tp]]="CR"</f>
        <v>0</v>
      </c>
      <c r="T421">
        <v>40</v>
      </c>
      <c r="U421" t="str">
        <f>IF(NOT($A421),"",
IF(AO421=-2,regle!$J$11,
IF(AO421=regle!$B$12,regle!$B$11,
IF(AO421=regle!$C$12,regle!$C$11,
IF(AO421=regle!$D$12,regle!$D$11,
IF(AO421=regle!$E$12,regle!$E$11,
IF(AO421=regle!$F$12,regle!$F$11,
IF(AO421=regle!$G$12,regle!$G$11,
IF(AO421=regle!$H$12,regle!$H$11,
IF(AO421=regle!$I$12,regle!$I$11,""))))))))))</f>
        <v/>
      </c>
      <c r="V421" t="str">
        <f>IF(NOT($A421),"",
IF(AP421=-2,regle!$J$11,
IF(AP421=regle!$B$12,regle!$B$11,
IF(AP421=regle!$C$12,regle!$C$11,
IF(AP421=regle!$D$12,regle!$D$11,
IF(AP421=regle!$E$12,regle!$E$11,
IF(AP421=regle!$F$12,regle!$F$11,
IF(AP421=regle!$G$12,regle!$G$11,
IF(AP421=regle!$H$12,regle!$H$11,
IF(AP421=regle!$I$12,regle!$I$11,""))))))))))</f>
        <v/>
      </c>
      <c r="W421" t="str">
        <f>IF(NOT($A421),"",
IF(AQ421=-2,regle!$J$11,
IF(AQ421=regle!$B$12,regle!$B$11,
IF(AQ421=regle!$C$12,regle!$C$11,
IF(AQ421=regle!$D$12,regle!$D$11,
IF(AQ421=regle!$E$12,regle!$E$11,
IF(AQ421=regle!$F$12,regle!$F$11,
IF(AQ421=regle!$G$12,regle!$G$11,
IF(AQ421=regle!$H$12,regle!$H$11,
IF(AQ421=regle!$I$12,regle!$I$11,""))))))))))</f>
        <v/>
      </c>
      <c r="X421" t="str">
        <f>IF(NOT($A421),"",
IF(AR421=-2,regle!$J$11,
IF(AR421=regle!$B$12,regle!$B$11,
IF(AR421=regle!$C$12,regle!$C$11,
IF(AR421=regle!$D$12,regle!$D$11,
IF(AR421=regle!$E$12,regle!$E$11,
IF(AR421=regle!$F$12,regle!$F$11,
IF(AR421=regle!$G$12,regle!$G$11,
IF(AR421=regle!$H$12,regle!$H$11,
IF(AR421=regle!$I$12,regle!$I$11,""))))))))))</f>
        <v/>
      </c>
      <c r="Y421" t="str">
        <f>IF(NOT($A421),"",
IF(AS421=-2,regle!$J$11,
IF(AS421=regle!$B$12,regle!$B$11,
IF(AS421=regle!$C$12,regle!$C$11,
IF(AS421=regle!$D$12,regle!$D$11,
IF(AS421=regle!$E$12,regle!$E$11,
IF(AS421=regle!$F$12,regle!$F$11,
IF(AS421=regle!$G$12,regle!$G$11,
IF(AS421=regle!$H$12,regle!$H$11,
IF(AS421=regle!$I$12,regle!$I$11,""))))))))))</f>
        <v/>
      </c>
      <c r="Z421" t="str">
        <f>IF(NOT($A421),"",
IF(AT421=-2,regle!$J$11,
IF(AT421=regle!$B$12,regle!$B$11,
IF(AT421=regle!$C$12,regle!$C$11,
IF(AT421=regle!$D$12,regle!$D$11,
IF(AT421=regle!$E$12,regle!$E$11,
IF(AT421=regle!$F$12,regle!$F$11,
IF(AT421=regle!$G$12,regle!$G$11,
IF(AT421=regle!$H$12,regle!$H$11,
IF(AT421=regle!$I$12,regle!$I$11,""))))))))))</f>
        <v/>
      </c>
      <c r="AA421" t="str">
        <f>IF(NOT($A421),"",
IF(AU421=-2,regle!$J$11,
IF(AU421=regle!$B$12,regle!$B$11,
IF(AU421=regle!$C$12,regle!$C$11,
IF(AU421=regle!$D$12,regle!$D$11,
IF(AU421=regle!$E$12,regle!$E$11,
IF(AU421=regle!$F$12,regle!$F$11,
IF(AU421=regle!$G$12,regle!$G$11,
IF(AU421=regle!$H$12,regle!$H$11,
IF(AU421=regle!$I$12,regle!$I$11,""))))))))))</f>
        <v/>
      </c>
      <c r="AB421" t="str">
        <f>IF(NOT($A421),"",
IF(AV421=-2,regle!$J$11,
IF(AV421=regle!$B$12,regle!$B$11,
IF(AV421=regle!$C$12,regle!$C$11,
IF(AV421=regle!$D$12,regle!$D$11,
IF(AV421=regle!$E$12,regle!$E$11,
IF(AV421=regle!$F$12,regle!$F$11,
IF(AV421=regle!$G$12,regle!$G$11,
IF(AV421=regle!$H$12,regle!$H$11,
IF(AV421=regle!$I$12,regle!$I$11,""))))))))))</f>
        <v/>
      </c>
      <c r="AC421" t="str">
        <f>IF(NOT($A421),"",
IF(AW421=-2,regle!$J$11,
IF(AW421=regle!$B$12,regle!$B$11,
IF(AW421=regle!$C$12,regle!$C$11,
IF(AW421=regle!$D$12,regle!$D$11,
IF(AW421=regle!$E$12,regle!$E$11,
IF(AW421=regle!$F$12,regle!$F$11,
IF(AW421=regle!$G$12,regle!$G$11,
IF(AW421=regle!$H$12,regle!$H$11,
IF(AW421=regle!$I$12,regle!$I$11,""))))))))))</f>
        <v/>
      </c>
      <c r="AD421" t="str">
        <f>IF(NOT($A421),"",
IF(AX421=-2,regle!$J$11,
IF(AX421=regle!$B$12,regle!$B$11,
IF(AX421=regle!$C$12,regle!$C$11,
IF(AX421=regle!$D$12,regle!$D$11,
IF(AX421=regle!$E$12,regle!$E$11,
IF(AX421=regle!$F$12,regle!$F$11,
IF(AX421=regle!$G$12,regle!$G$11,
IF(AX421=regle!$H$12,regle!$H$11,
IF(AX421=regle!$I$12,regle!$I$11,""))))))))))</f>
        <v/>
      </c>
      <c r="AE421" s="14" t="b">
        <f>IF($A421,$M421*(IF(U421=regle!$B$11,regle!$B$23,IF(U421=regle!$C$11,regle!$C$23,IF(U421=regle!$D$11,regle!$D$23,IF(U421=regle!$E$11,regle!$E$23,IF(U421=regle!$F$11,regle!$F$23,IF(U421=regle!$G$11,regle!$G$23,IF(U421=regle!$H$11,regle!$H$23,IF(U421=regle!$I$11,regle!$I$23,IF(U421=regle!$J$11,regle!$J$23,0)))))))))))</f>
        <v>0</v>
      </c>
      <c r="AF421" s="14" t="b">
        <f>IF($A421,$M421*(IF(V421=regle!$B$11,regle!$B$23,IF(V421=regle!$C$11,regle!$C$23,IF(V421=regle!$D$11,regle!$D$23,IF(V421=regle!$E$11,regle!$E$23,IF(V421=regle!$F$11,regle!$F$23,IF(V421=regle!$G$11,regle!$G$23,IF(V421=regle!$H$11,regle!$H$23,IF(V421=regle!$I$11,regle!$I$23,IF(V421=regle!$J$11,regle!$J$23,0)))))))))))</f>
        <v>0</v>
      </c>
      <c r="AG421" s="14" t="b">
        <f>IF($A421,$M421*(IF(W421=regle!$B$11,regle!$B$23,IF(W421=regle!$C$11,regle!$C$23,IF(W421=regle!$D$11,regle!$D$23,IF(W421=regle!$E$11,regle!$E$23,IF(W421=regle!$F$11,regle!$F$23,IF(W421=regle!$G$11,regle!$G$23,IF(W421=regle!$H$11,regle!$H$23,IF(W421=regle!$I$11,regle!$I$23,IF(W421=regle!$J$11,regle!$J$23,0)))))))))))</f>
        <v>0</v>
      </c>
      <c r="AH421" s="14" t="b">
        <f>IF($A421,$M421*(IF(X421=regle!$B$11,regle!$B$23,IF(X421=regle!$C$11,regle!$C$23,IF(X421=regle!$D$11,regle!$D$23,IF(X421=regle!$E$11,regle!$E$23,IF(X421=regle!$F$11,regle!$F$23,IF(X421=regle!$G$11,regle!$G$23,IF(X421=regle!$H$11,regle!$H$23,IF(X421=regle!$I$11,regle!$I$23,IF(X421=regle!$J$11,regle!$J$23,0)))))))))))</f>
        <v>0</v>
      </c>
      <c r="AI421" s="14" t="b">
        <f>IF($A421,$M421*(IF(Y421=regle!$B$11,regle!$B$23,IF(Y421=regle!$C$11,regle!$C$23,IF(Y421=regle!$D$11,regle!$D$23,IF(Y421=regle!$E$11,regle!$E$23,IF(Y421=regle!$F$11,regle!$F$23,IF(Y421=regle!$G$11,regle!$G$23,IF(Y421=regle!$H$11,regle!$H$23,IF(Y421=regle!$I$11,regle!$I$23,IF(Y421=regle!$J$11,regle!$J$23,0)))))))))))</f>
        <v>0</v>
      </c>
      <c r="AJ421" s="14" t="b">
        <f>IF($A421,$M421*(IF(Z421=regle!$B$11,regle!$B$23,IF(Z421=regle!$C$11,regle!$C$23,IF(Z421=regle!$D$11,regle!$D$23,IF(Z421=regle!$E$11,regle!$E$23,IF(Z421=regle!$F$11,regle!$F$23,IF(Z421=regle!$G$11,regle!$G$23,IF(Z421=regle!$H$11,regle!$H$23,IF(Z421=regle!$I$11,regle!$I$23,IF(Z421=regle!$J$11,regle!$J$23,0)))))))))))</f>
        <v>0</v>
      </c>
      <c r="AK421" s="14" t="b">
        <f>IF($A421,$M421*(IF(AA421=regle!$B$11,regle!$B$23,IF(AA421=regle!$C$11,regle!$C$23,IF(AA421=regle!$D$11,regle!$D$23,IF(AA421=regle!$E$11,regle!$E$23,IF(AA421=regle!$F$11,regle!$F$23,IF(AA421=regle!$G$11,regle!$G$23,IF(AA421=regle!$H$11,regle!$H$23,IF(AA421=regle!$I$11,regle!$I$23,IF(AA421=regle!$J$11,regle!$J$23,0)))))))))))</f>
        <v>0</v>
      </c>
      <c r="AL421" s="14" t="b">
        <f>IF($A421,$M421*(IF(AB421=regle!$B$11,regle!$B$23,IF(AB421=regle!$C$11,regle!$C$23,IF(AB421=regle!$D$11,regle!$D$23,IF(AB421=regle!$E$11,regle!$E$23,IF(AB421=regle!$F$11,regle!$F$23,IF(AB421=regle!$G$11,regle!$G$23,IF(AB421=regle!$H$11,regle!$H$23,IF(AB421=regle!$I$11,regle!$I$23,IF(AB421=regle!$J$11,regle!$J$23,0)))))))))))</f>
        <v>0</v>
      </c>
      <c r="AM421" s="14" t="b">
        <f>IF($A421,$M421*(IF(AC421=regle!$B$11,regle!$B$23,IF(AC421=regle!$C$11,regle!$C$23,IF(AC421=regle!$D$11,regle!$D$23,IF(AC421=regle!$E$11,regle!$E$23,IF(AC421=regle!$F$11,regle!$F$23,IF(AC421=regle!$G$11,regle!$G$23,IF(AC421=regle!$H$11,regle!$H$23,IF(AC421=regle!$I$11,regle!$I$23,IF(AC421=regle!$J$11,regle!$J$23,0)))))))))))</f>
        <v>0</v>
      </c>
      <c r="AN421" s="14" t="b">
        <f>IF($A421,$M421*(IF(AD421=regle!$B$11,regle!$B$23,IF(AD421=regle!$C$11,regle!$C$23,IF(AD421=regle!$D$11,regle!$D$23,IF(AD421=regle!$E$11,regle!$E$23,IF(AD421=regle!$F$11,regle!$F$23,IF(AD421=regle!$G$11,regle!$G$23,IF(AD421=regle!$H$11,regle!$H$23,IF(AD421=regle!$I$11,regle!$I$23,IF(AD421=regle!$J$11,regle!$J$23,0)))))))))))</f>
        <v>0</v>
      </c>
      <c r="AO421">
        <f>IF(AO$1=$AO$1,IF(regle!B$2-$Q421&gt;=regle!$J$12,-2,IF($S421,IF(regle!$B$2-$Q421&gt;=2,0,-1),regle!B$2-$Q421)),IF(AN421+1&gt;=regle!$J$12,-2,AN421+1))</f>
        <v>-2</v>
      </c>
      <c r="AP421">
        <f>IF(AP$1=$AO$1,IF(regle!C$2-$Q421&gt;=regle!$J$12,-2,IF($S421,IF(regle!$B$2-$Q421&gt;=2,0,-1),regle!C$2-$Q421)),IF(AO421+1&gt;=regle!$J$12,-2,AO421+1))</f>
        <v>-1</v>
      </c>
      <c r="AQ421">
        <f>IF(AQ$1=$AO$1,IF(regle!D$2-$Q421&gt;=regle!$J$12,-2,IF($S421,IF(regle!$B$2-$Q421&gt;=2,0,-1),regle!D$2-$Q421)),IF(AP421+1&gt;=regle!$J$12,-2,AP421+1))</f>
        <v>0</v>
      </c>
      <c r="AR421">
        <f>IF(AR$1=$AO$1,IF(regle!E$2-$Q421&gt;=regle!$J$12,-2,IF($S421,IF(regle!$B$2-$Q421&gt;=2,0,-1),regle!E$2-$Q421)),IF(AQ421+1&gt;=regle!$J$12,-2,AQ421+1))</f>
        <v>1</v>
      </c>
      <c r="AS421">
        <f>IF(AS$1=$AO$1,IF(regle!F$2-$Q421&gt;=regle!$J$12,-2,IF($S421,IF(regle!$B$2-$Q421&gt;=2,0,-1),regle!F$2-$Q421)),IF(AR421+1&gt;=regle!$J$12,-2,AR421+1))</f>
        <v>2</v>
      </c>
      <c r="AT421">
        <f>IF(AT$1=$AO$1,IF(regle!G$2-$Q421&gt;=regle!$J$12,-2,IF($S421,IF(regle!$B$2-$Q421&gt;=2,0,-1),regle!G$2-$Q421)),IF(AS421+1&gt;=regle!$J$12,-2,AS421+1))</f>
        <v>3</v>
      </c>
      <c r="AU421">
        <f>IF(AU$1=$AO$1,IF(regle!H$2-$Q421&gt;=regle!$J$12,-2,IF($S421,IF(regle!$B$2-$Q421&gt;=2,0,-1),regle!H$2-$Q421)),IF(AT421+1&gt;=regle!$J$12,-2,AT421+1))</f>
        <v>4</v>
      </c>
      <c r="AV421">
        <f>IF(AV$1=$AO$1,IF(regle!I$2-$Q421&gt;=regle!$J$12,-2,IF($S421,IF(regle!$B$2-$Q421&gt;=2,0,-1),regle!I$2-$Q421)),IF(AU421+1&gt;=regle!$J$12,-2,AU421+1))</f>
        <v>5</v>
      </c>
      <c r="AW421">
        <f>IF(AW$1=$AO$1,IF(regle!J$2-$Q421&gt;=regle!$J$12,-2,IF($S421,IF(regle!$B$2-$Q421&gt;=2,0,-1),regle!J$2-$Q421)),IF(AV421+1&gt;=regle!$J$12,-2,AV421+1))</f>
        <v>6</v>
      </c>
      <c r="AX421">
        <f>IF(AX$1=$AO$1,IF(regle!K$2-$Q421&gt;=regle!$J$12,-2,IF($S421,IF(regle!$B$2-$Q421&gt;=2,0,-1),regle!K$2-$Q421)),IF(AW421+1&gt;=regle!$J$12,-2,AW421+1))</f>
        <v>7</v>
      </c>
    </row>
    <row r="422" spans="1:50" x14ac:dyDescent="0.25">
      <c r="A422" t="b">
        <f>AND(modif0[[#This Row],[cdstr]]&lt;&gt;0,OR(regle!$H$27=FALSE,modif0[[#This Row],[essnc]]="PM"))</f>
        <v>0</v>
      </c>
      <c r="B422">
        <f>ROW(objet!A313)</f>
        <v>313</v>
      </c>
      <c r="C422" s="10" t="str">
        <f>objet!D313</f>
        <v>1710000B0300</v>
      </c>
      <c r="D422" t="str">
        <f>LEFT(modif0[[#This Row],[cdstr]],3)</f>
        <v>171</v>
      </c>
      <c r="E422" s="10" t="str">
        <f>objet!G313</f>
        <v>MANO</v>
      </c>
      <c r="F422">
        <f>LEN(modif0[[#This Row],[l_dt]])</f>
        <v>17</v>
      </c>
      <c r="G422" s="10" t="str">
        <f>objet!H313</f>
        <v>LANDE DE TABARTON</v>
      </c>
      <c r="H422" s="10" t="str">
        <f>objet!C313</f>
        <v>B300</v>
      </c>
      <c r="I422" t="str">
        <f>IF(ISNUMBER(VALUE(RIGHT(LEFT(modif0[[#This Row],[idntfn]],2),1))),_xlfn.CONCAT(0,LEFT(modif0[[#This Row],[idntfn]],1)),LEFT(modif0[[#This Row],[idntfn]],2))</f>
        <v>0B</v>
      </c>
      <c r="J422">
        <f>VALUE(LEFT(RIGHT(modif0[[#This Row],[idntfn]],LEN(modif0[[#This Row],[idntfn]])-IF(LEFT(modif0[[#This Row],[sctn]],1)="0",1,2)),LEN(modif0[[#This Row],[idntfn]])-IF(LEFT(modif0[[#This Row],[sctn]],1)="0",1,2)-LEN(modif0[[#This Row],[lttr]])))</f>
        <v>300</v>
      </c>
      <c r="K422" t="str">
        <f>IF(ISNUMBER(VALUE(RIGHT(modif0[[#This Row],[idntfn]],1))),"",IF(ISNUMBER(VALUE(LEFT(RIGHT(modif0[[#This Row],[idntfn]],2),1))),RIGHT(modif0[[#This Row],[idntfn]],1),RIGHT(modif0[[#This Row],[idntfn]],2)))</f>
        <v/>
      </c>
      <c r="L422" s="10">
        <f>objet!I313</f>
        <v>3200</v>
      </c>
      <c r="M422" s="11">
        <f>modif0[[#This Row],[srfc]]/10000</f>
        <v>0.32</v>
      </c>
      <c r="N422" s="10" t="str">
        <f>objet!Z313</f>
        <v>FEUIL</v>
      </c>
      <c r="O422" s="10" t="str">
        <f>objet!AA313</f>
        <v>TAIL1997</v>
      </c>
      <c r="P422" t="str">
        <f>IF(ISNUMBER(modif0[[#This Row],[trvx]]),"",LEFT(modif0[[#This Row],[trvx]],LEN(modif0[[#This Row],[trvx]])-4))</f>
        <v>TAIL</v>
      </c>
      <c r="Q422">
        <f>VALUE(RIGHT(modif0[[#This Row],[trvx]],4))</f>
        <v>1997</v>
      </c>
      <c r="R422" t="str">
        <f>_xlfn.CONCAT(modif0[[#This Row],[tp]],"-",modif0[[#This Row],[essnc]],"_",modif0[[#This Row],[anns]])</f>
        <v>TAIL-FEUIL_1997</v>
      </c>
      <c r="S422" t="b">
        <f>modif0[[#This Row],[tp]]="CR"</f>
        <v>0</v>
      </c>
      <c r="T422">
        <v>40</v>
      </c>
      <c r="U422" t="str">
        <f>IF(NOT($A422),"",
IF(AO422=-2,regle!$J$11,
IF(AO422=regle!$B$12,regle!$B$11,
IF(AO422=regle!$C$12,regle!$C$11,
IF(AO422=regle!$D$12,regle!$D$11,
IF(AO422=regle!$E$12,regle!$E$11,
IF(AO422=regle!$F$12,regle!$F$11,
IF(AO422=regle!$G$12,regle!$G$11,
IF(AO422=regle!$H$12,regle!$H$11,
IF(AO422=regle!$I$12,regle!$I$11,""))))))))))</f>
        <v/>
      </c>
      <c r="V422" t="str">
        <f>IF(NOT($A422),"",
IF(AP422=-2,regle!$J$11,
IF(AP422=regle!$B$12,regle!$B$11,
IF(AP422=regle!$C$12,regle!$C$11,
IF(AP422=regle!$D$12,regle!$D$11,
IF(AP422=regle!$E$12,regle!$E$11,
IF(AP422=regle!$F$12,regle!$F$11,
IF(AP422=regle!$G$12,regle!$G$11,
IF(AP422=regle!$H$12,regle!$H$11,
IF(AP422=regle!$I$12,regle!$I$11,""))))))))))</f>
        <v/>
      </c>
      <c r="W422" t="str">
        <f>IF(NOT($A422),"",
IF(AQ422=-2,regle!$J$11,
IF(AQ422=regle!$B$12,regle!$B$11,
IF(AQ422=regle!$C$12,regle!$C$11,
IF(AQ422=regle!$D$12,regle!$D$11,
IF(AQ422=regle!$E$12,regle!$E$11,
IF(AQ422=regle!$F$12,regle!$F$11,
IF(AQ422=regle!$G$12,regle!$G$11,
IF(AQ422=regle!$H$12,regle!$H$11,
IF(AQ422=regle!$I$12,regle!$I$11,""))))))))))</f>
        <v/>
      </c>
      <c r="X422" t="str">
        <f>IF(NOT($A422),"",
IF(AR422=-2,regle!$J$11,
IF(AR422=regle!$B$12,regle!$B$11,
IF(AR422=regle!$C$12,regle!$C$11,
IF(AR422=regle!$D$12,regle!$D$11,
IF(AR422=regle!$E$12,regle!$E$11,
IF(AR422=regle!$F$12,regle!$F$11,
IF(AR422=regle!$G$12,regle!$G$11,
IF(AR422=regle!$H$12,regle!$H$11,
IF(AR422=regle!$I$12,regle!$I$11,""))))))))))</f>
        <v/>
      </c>
      <c r="Y422" t="str">
        <f>IF(NOT($A422),"",
IF(AS422=-2,regle!$J$11,
IF(AS422=regle!$B$12,regle!$B$11,
IF(AS422=regle!$C$12,regle!$C$11,
IF(AS422=regle!$D$12,regle!$D$11,
IF(AS422=regle!$E$12,regle!$E$11,
IF(AS422=regle!$F$12,regle!$F$11,
IF(AS422=regle!$G$12,regle!$G$11,
IF(AS422=regle!$H$12,regle!$H$11,
IF(AS422=regle!$I$12,regle!$I$11,""))))))))))</f>
        <v/>
      </c>
      <c r="Z422" t="str">
        <f>IF(NOT($A422),"",
IF(AT422=-2,regle!$J$11,
IF(AT422=regle!$B$12,regle!$B$11,
IF(AT422=regle!$C$12,regle!$C$11,
IF(AT422=regle!$D$12,regle!$D$11,
IF(AT422=regle!$E$12,regle!$E$11,
IF(AT422=regle!$F$12,regle!$F$11,
IF(AT422=regle!$G$12,regle!$G$11,
IF(AT422=regle!$H$12,regle!$H$11,
IF(AT422=regle!$I$12,regle!$I$11,""))))))))))</f>
        <v/>
      </c>
      <c r="AA422" t="str">
        <f>IF(NOT($A422),"",
IF(AU422=-2,regle!$J$11,
IF(AU422=regle!$B$12,regle!$B$11,
IF(AU422=regle!$C$12,regle!$C$11,
IF(AU422=regle!$D$12,regle!$D$11,
IF(AU422=regle!$E$12,regle!$E$11,
IF(AU422=regle!$F$12,regle!$F$11,
IF(AU422=regle!$G$12,regle!$G$11,
IF(AU422=regle!$H$12,regle!$H$11,
IF(AU422=regle!$I$12,regle!$I$11,""))))))))))</f>
        <v/>
      </c>
      <c r="AB422" t="str">
        <f>IF(NOT($A422),"",
IF(AV422=-2,regle!$J$11,
IF(AV422=regle!$B$12,regle!$B$11,
IF(AV422=regle!$C$12,regle!$C$11,
IF(AV422=regle!$D$12,regle!$D$11,
IF(AV422=regle!$E$12,regle!$E$11,
IF(AV422=regle!$F$12,regle!$F$11,
IF(AV422=regle!$G$12,regle!$G$11,
IF(AV422=regle!$H$12,regle!$H$11,
IF(AV422=regle!$I$12,regle!$I$11,""))))))))))</f>
        <v/>
      </c>
      <c r="AC422" t="str">
        <f>IF(NOT($A422),"",
IF(AW422=-2,regle!$J$11,
IF(AW422=regle!$B$12,regle!$B$11,
IF(AW422=regle!$C$12,regle!$C$11,
IF(AW422=regle!$D$12,regle!$D$11,
IF(AW422=regle!$E$12,regle!$E$11,
IF(AW422=regle!$F$12,regle!$F$11,
IF(AW422=regle!$G$12,regle!$G$11,
IF(AW422=regle!$H$12,regle!$H$11,
IF(AW422=regle!$I$12,regle!$I$11,""))))))))))</f>
        <v/>
      </c>
      <c r="AD422" t="str">
        <f>IF(NOT($A422),"",
IF(AX422=-2,regle!$J$11,
IF(AX422=regle!$B$12,regle!$B$11,
IF(AX422=regle!$C$12,regle!$C$11,
IF(AX422=regle!$D$12,regle!$D$11,
IF(AX422=regle!$E$12,regle!$E$11,
IF(AX422=regle!$F$12,regle!$F$11,
IF(AX422=regle!$G$12,regle!$G$11,
IF(AX422=regle!$H$12,regle!$H$11,
IF(AX422=regle!$I$12,regle!$I$11,""))))))))))</f>
        <v/>
      </c>
      <c r="AE422" s="14" t="b">
        <f>IF($A422,$M422*(IF(U422=regle!$B$11,regle!$B$23,IF(U422=regle!$C$11,regle!$C$23,IF(U422=regle!$D$11,regle!$D$23,IF(U422=regle!$E$11,regle!$E$23,IF(U422=regle!$F$11,regle!$F$23,IF(U422=regle!$G$11,regle!$G$23,IF(U422=regle!$H$11,regle!$H$23,IF(U422=regle!$I$11,regle!$I$23,IF(U422=regle!$J$11,regle!$J$23,0)))))))))))</f>
        <v>0</v>
      </c>
      <c r="AF422" s="14" t="b">
        <f>IF($A422,$M422*(IF(V422=regle!$B$11,regle!$B$23,IF(V422=regle!$C$11,regle!$C$23,IF(V422=regle!$D$11,regle!$D$23,IF(V422=regle!$E$11,regle!$E$23,IF(V422=regle!$F$11,regle!$F$23,IF(V422=regle!$G$11,regle!$G$23,IF(V422=regle!$H$11,regle!$H$23,IF(V422=regle!$I$11,regle!$I$23,IF(V422=regle!$J$11,regle!$J$23,0)))))))))))</f>
        <v>0</v>
      </c>
      <c r="AG422" s="14" t="b">
        <f>IF($A422,$M422*(IF(W422=regle!$B$11,regle!$B$23,IF(W422=regle!$C$11,regle!$C$23,IF(W422=regle!$D$11,regle!$D$23,IF(W422=regle!$E$11,regle!$E$23,IF(W422=regle!$F$11,regle!$F$23,IF(W422=regle!$G$11,regle!$G$23,IF(W422=regle!$H$11,regle!$H$23,IF(W422=regle!$I$11,regle!$I$23,IF(W422=regle!$J$11,regle!$J$23,0)))))))))))</f>
        <v>0</v>
      </c>
      <c r="AH422" s="14" t="b">
        <f>IF($A422,$M422*(IF(X422=regle!$B$11,regle!$B$23,IF(X422=regle!$C$11,regle!$C$23,IF(X422=regle!$D$11,regle!$D$23,IF(X422=regle!$E$11,regle!$E$23,IF(X422=regle!$F$11,regle!$F$23,IF(X422=regle!$G$11,regle!$G$23,IF(X422=regle!$H$11,regle!$H$23,IF(X422=regle!$I$11,regle!$I$23,IF(X422=regle!$J$11,regle!$J$23,0)))))))))))</f>
        <v>0</v>
      </c>
      <c r="AI422" s="14" t="b">
        <f>IF($A422,$M422*(IF(Y422=regle!$B$11,regle!$B$23,IF(Y422=regle!$C$11,regle!$C$23,IF(Y422=regle!$D$11,regle!$D$23,IF(Y422=regle!$E$11,regle!$E$23,IF(Y422=regle!$F$11,regle!$F$23,IF(Y422=regle!$G$11,regle!$G$23,IF(Y422=regle!$H$11,regle!$H$23,IF(Y422=regle!$I$11,regle!$I$23,IF(Y422=regle!$J$11,regle!$J$23,0)))))))))))</f>
        <v>0</v>
      </c>
      <c r="AJ422" s="14" t="b">
        <f>IF($A422,$M422*(IF(Z422=regle!$B$11,regle!$B$23,IF(Z422=regle!$C$11,regle!$C$23,IF(Z422=regle!$D$11,regle!$D$23,IF(Z422=regle!$E$11,regle!$E$23,IF(Z422=regle!$F$11,regle!$F$23,IF(Z422=regle!$G$11,regle!$G$23,IF(Z422=regle!$H$11,regle!$H$23,IF(Z422=regle!$I$11,regle!$I$23,IF(Z422=regle!$J$11,regle!$J$23,0)))))))))))</f>
        <v>0</v>
      </c>
      <c r="AK422" s="14" t="b">
        <f>IF($A422,$M422*(IF(AA422=regle!$B$11,regle!$B$23,IF(AA422=regle!$C$11,regle!$C$23,IF(AA422=regle!$D$11,regle!$D$23,IF(AA422=regle!$E$11,regle!$E$23,IF(AA422=regle!$F$11,regle!$F$23,IF(AA422=regle!$G$11,regle!$G$23,IF(AA422=regle!$H$11,regle!$H$23,IF(AA422=regle!$I$11,regle!$I$23,IF(AA422=regle!$J$11,regle!$J$23,0)))))))))))</f>
        <v>0</v>
      </c>
      <c r="AL422" s="14" t="b">
        <f>IF($A422,$M422*(IF(AB422=regle!$B$11,regle!$B$23,IF(AB422=regle!$C$11,regle!$C$23,IF(AB422=regle!$D$11,regle!$D$23,IF(AB422=regle!$E$11,regle!$E$23,IF(AB422=regle!$F$11,regle!$F$23,IF(AB422=regle!$G$11,regle!$G$23,IF(AB422=regle!$H$11,regle!$H$23,IF(AB422=regle!$I$11,regle!$I$23,IF(AB422=regle!$J$11,regle!$J$23,0)))))))))))</f>
        <v>0</v>
      </c>
      <c r="AM422" s="14" t="b">
        <f>IF($A422,$M422*(IF(AC422=regle!$B$11,regle!$B$23,IF(AC422=regle!$C$11,regle!$C$23,IF(AC422=regle!$D$11,regle!$D$23,IF(AC422=regle!$E$11,regle!$E$23,IF(AC422=regle!$F$11,regle!$F$23,IF(AC422=regle!$G$11,regle!$G$23,IF(AC422=regle!$H$11,regle!$H$23,IF(AC422=regle!$I$11,regle!$I$23,IF(AC422=regle!$J$11,regle!$J$23,0)))))))))))</f>
        <v>0</v>
      </c>
      <c r="AN422" s="14" t="b">
        <f>IF($A422,$M422*(IF(AD422=regle!$B$11,regle!$B$23,IF(AD422=regle!$C$11,regle!$C$23,IF(AD422=regle!$D$11,regle!$D$23,IF(AD422=regle!$E$11,regle!$E$23,IF(AD422=regle!$F$11,regle!$F$23,IF(AD422=regle!$G$11,regle!$G$23,IF(AD422=regle!$H$11,regle!$H$23,IF(AD422=regle!$I$11,regle!$I$23,IF(AD422=regle!$J$11,regle!$J$23,0)))))))))))</f>
        <v>0</v>
      </c>
      <c r="AO422">
        <f>IF(AO$1=$AO$1,IF(regle!B$2-$Q422&gt;=regle!$J$12,-2,IF($S422,IF(regle!$B$2-$Q422&gt;=2,0,-1),regle!B$2-$Q422)),IF(AN422+1&gt;=regle!$J$12,-2,AN422+1))</f>
        <v>27</v>
      </c>
      <c r="AP422">
        <f>IF(AP$1=$AO$1,IF(regle!C$2-$Q422&gt;=regle!$J$12,-2,IF($S422,IF(regle!$B$2-$Q422&gt;=2,0,-1),regle!C$2-$Q422)),IF(AO422+1&gt;=regle!$J$12,-2,AO422+1))</f>
        <v>28</v>
      </c>
      <c r="AQ422">
        <f>IF(AQ$1=$AO$1,IF(regle!D$2-$Q422&gt;=regle!$J$12,-2,IF($S422,IF(regle!$B$2-$Q422&gt;=2,0,-1),regle!D$2-$Q422)),IF(AP422+1&gt;=regle!$J$12,-2,AP422+1))</f>
        <v>29</v>
      </c>
      <c r="AR422">
        <f>IF(AR$1=$AO$1,IF(regle!E$2-$Q422&gt;=regle!$J$12,-2,IF($S422,IF(regle!$B$2-$Q422&gt;=2,0,-1),regle!E$2-$Q422)),IF(AQ422+1&gt;=regle!$J$12,-2,AQ422+1))</f>
        <v>30</v>
      </c>
      <c r="AS422">
        <f>IF(AS$1=$AO$1,IF(regle!F$2-$Q422&gt;=regle!$J$12,-2,IF($S422,IF(regle!$B$2-$Q422&gt;=2,0,-1),regle!F$2-$Q422)),IF(AR422+1&gt;=regle!$J$12,-2,AR422+1))</f>
        <v>31</v>
      </c>
      <c r="AT422">
        <f>IF(AT$1=$AO$1,IF(regle!G$2-$Q422&gt;=regle!$J$12,-2,IF($S422,IF(regle!$B$2-$Q422&gt;=2,0,-1),regle!G$2-$Q422)),IF(AS422+1&gt;=regle!$J$12,-2,AS422+1))</f>
        <v>32</v>
      </c>
      <c r="AU422">
        <f>IF(AU$1=$AO$1,IF(regle!H$2-$Q422&gt;=regle!$J$12,-2,IF($S422,IF(regle!$B$2-$Q422&gt;=2,0,-1),regle!H$2-$Q422)),IF(AT422+1&gt;=regle!$J$12,-2,AT422+1))</f>
        <v>33</v>
      </c>
      <c r="AV422">
        <f>IF(AV$1=$AO$1,IF(regle!I$2-$Q422&gt;=regle!$J$12,-2,IF($S422,IF(regle!$B$2-$Q422&gt;=2,0,-1),regle!I$2-$Q422)),IF(AU422+1&gt;=regle!$J$12,-2,AU422+1))</f>
        <v>34</v>
      </c>
      <c r="AW422">
        <f>IF(AW$1=$AO$1,IF(regle!J$2-$Q422&gt;=regle!$J$12,-2,IF($S422,IF(regle!$B$2-$Q422&gt;=2,0,-1),regle!J$2-$Q422)),IF(AV422+1&gt;=regle!$J$12,-2,AV422+1))</f>
        <v>35</v>
      </c>
      <c r="AX422">
        <f>IF(AX$1=$AO$1,IF(regle!K$2-$Q422&gt;=regle!$J$12,-2,IF($S422,IF(regle!$B$2-$Q422&gt;=2,0,-1),regle!K$2-$Q422)),IF(AW422+1&gt;=regle!$J$12,-2,AW422+1))</f>
        <v>36</v>
      </c>
    </row>
    <row r="423" spans="1:50" x14ac:dyDescent="0.25">
      <c r="A423" t="b">
        <f>AND(modif0[[#This Row],[cdstr]]&lt;&gt;0,OR(regle!$H$27=FALSE,modif0[[#This Row],[essnc]]="PM"))</f>
        <v>0</v>
      </c>
      <c r="B423">
        <f>ROW(objet!A314)</f>
        <v>314</v>
      </c>
      <c r="C423" s="10" t="str">
        <f>objet!D314</f>
        <v>1710000B0301</v>
      </c>
      <c r="D423" t="str">
        <f>LEFT(modif0[[#This Row],[cdstr]],3)</f>
        <v>171</v>
      </c>
      <c r="E423" s="10" t="str">
        <f>objet!G314</f>
        <v>MANO</v>
      </c>
      <c r="F423">
        <f>LEN(modif0[[#This Row],[l_dt]])</f>
        <v>17</v>
      </c>
      <c r="G423" s="10" t="str">
        <f>objet!H314</f>
        <v>LANDE DE TABARTON</v>
      </c>
      <c r="H423" s="10" t="str">
        <f>objet!C314</f>
        <v>B301</v>
      </c>
      <c r="I423" t="str">
        <f>IF(ISNUMBER(VALUE(RIGHT(LEFT(modif0[[#This Row],[idntfn]],2),1))),_xlfn.CONCAT(0,LEFT(modif0[[#This Row],[idntfn]],1)),LEFT(modif0[[#This Row],[idntfn]],2))</f>
        <v>0B</v>
      </c>
      <c r="J423">
        <f>VALUE(LEFT(RIGHT(modif0[[#This Row],[idntfn]],LEN(modif0[[#This Row],[idntfn]])-IF(LEFT(modif0[[#This Row],[sctn]],1)="0",1,2)),LEN(modif0[[#This Row],[idntfn]])-IF(LEFT(modif0[[#This Row],[sctn]],1)="0",1,2)-LEN(modif0[[#This Row],[lttr]])))</f>
        <v>301</v>
      </c>
      <c r="K423" t="str">
        <f>IF(ISNUMBER(VALUE(RIGHT(modif0[[#This Row],[idntfn]],1))),"",IF(ISNUMBER(VALUE(LEFT(RIGHT(modif0[[#This Row],[idntfn]],2),1))),RIGHT(modif0[[#This Row],[idntfn]],1),RIGHT(modif0[[#This Row],[idntfn]],2)))</f>
        <v/>
      </c>
      <c r="L423" s="10">
        <f>objet!I314</f>
        <v>210</v>
      </c>
      <c r="M423" s="11">
        <f>modif0[[#This Row],[srfc]]/10000</f>
        <v>2.1000000000000001E-2</v>
      </c>
      <c r="N423" s="10" t="str">
        <f>objet!Z314</f>
        <v>FEUIL</v>
      </c>
      <c r="O423" s="10" t="str">
        <f>objet!AA314</f>
        <v>TAIL1997</v>
      </c>
      <c r="P423" t="str">
        <f>IF(ISNUMBER(modif0[[#This Row],[trvx]]),"",LEFT(modif0[[#This Row],[trvx]],LEN(modif0[[#This Row],[trvx]])-4))</f>
        <v>TAIL</v>
      </c>
      <c r="Q423">
        <f>VALUE(RIGHT(modif0[[#This Row],[trvx]],4))</f>
        <v>1997</v>
      </c>
      <c r="R423" t="str">
        <f>_xlfn.CONCAT(modif0[[#This Row],[tp]],"-",modif0[[#This Row],[essnc]],"_",modif0[[#This Row],[anns]])</f>
        <v>TAIL-FEUIL_1997</v>
      </c>
      <c r="S423" t="b">
        <f>modif0[[#This Row],[tp]]="CR"</f>
        <v>0</v>
      </c>
      <c r="T423">
        <v>40</v>
      </c>
      <c r="U423" t="str">
        <f>IF(NOT($A423),"",
IF(AO423=-2,regle!$J$11,
IF(AO423=regle!$B$12,regle!$B$11,
IF(AO423=regle!$C$12,regle!$C$11,
IF(AO423=regle!$D$12,regle!$D$11,
IF(AO423=regle!$E$12,regle!$E$11,
IF(AO423=regle!$F$12,regle!$F$11,
IF(AO423=regle!$G$12,regle!$G$11,
IF(AO423=regle!$H$12,regle!$H$11,
IF(AO423=regle!$I$12,regle!$I$11,""))))))))))</f>
        <v/>
      </c>
      <c r="V423" t="str">
        <f>IF(NOT($A423),"",
IF(AP423=-2,regle!$J$11,
IF(AP423=regle!$B$12,regle!$B$11,
IF(AP423=regle!$C$12,regle!$C$11,
IF(AP423=regle!$D$12,regle!$D$11,
IF(AP423=regle!$E$12,regle!$E$11,
IF(AP423=regle!$F$12,regle!$F$11,
IF(AP423=regle!$G$12,regle!$G$11,
IF(AP423=regle!$H$12,regle!$H$11,
IF(AP423=regle!$I$12,regle!$I$11,""))))))))))</f>
        <v/>
      </c>
      <c r="W423" t="str">
        <f>IF(NOT($A423),"",
IF(AQ423=-2,regle!$J$11,
IF(AQ423=regle!$B$12,regle!$B$11,
IF(AQ423=regle!$C$12,regle!$C$11,
IF(AQ423=regle!$D$12,regle!$D$11,
IF(AQ423=regle!$E$12,regle!$E$11,
IF(AQ423=regle!$F$12,regle!$F$11,
IF(AQ423=regle!$G$12,regle!$G$11,
IF(AQ423=regle!$H$12,regle!$H$11,
IF(AQ423=regle!$I$12,regle!$I$11,""))))))))))</f>
        <v/>
      </c>
      <c r="X423" t="str">
        <f>IF(NOT($A423),"",
IF(AR423=-2,regle!$J$11,
IF(AR423=regle!$B$12,regle!$B$11,
IF(AR423=regle!$C$12,regle!$C$11,
IF(AR423=regle!$D$12,regle!$D$11,
IF(AR423=regle!$E$12,regle!$E$11,
IF(AR423=regle!$F$12,regle!$F$11,
IF(AR423=regle!$G$12,regle!$G$11,
IF(AR423=regle!$H$12,regle!$H$11,
IF(AR423=regle!$I$12,regle!$I$11,""))))))))))</f>
        <v/>
      </c>
      <c r="Y423" t="str">
        <f>IF(NOT($A423),"",
IF(AS423=-2,regle!$J$11,
IF(AS423=regle!$B$12,regle!$B$11,
IF(AS423=regle!$C$12,regle!$C$11,
IF(AS423=regle!$D$12,regle!$D$11,
IF(AS423=regle!$E$12,regle!$E$11,
IF(AS423=regle!$F$12,regle!$F$11,
IF(AS423=regle!$G$12,regle!$G$11,
IF(AS423=regle!$H$12,regle!$H$11,
IF(AS423=regle!$I$12,regle!$I$11,""))))))))))</f>
        <v/>
      </c>
      <c r="Z423" t="str">
        <f>IF(NOT($A423),"",
IF(AT423=-2,regle!$J$11,
IF(AT423=regle!$B$12,regle!$B$11,
IF(AT423=regle!$C$12,regle!$C$11,
IF(AT423=regle!$D$12,regle!$D$11,
IF(AT423=regle!$E$12,regle!$E$11,
IF(AT423=regle!$F$12,regle!$F$11,
IF(AT423=regle!$G$12,regle!$G$11,
IF(AT423=regle!$H$12,regle!$H$11,
IF(AT423=regle!$I$12,regle!$I$11,""))))))))))</f>
        <v/>
      </c>
      <c r="AA423" t="str">
        <f>IF(NOT($A423),"",
IF(AU423=-2,regle!$J$11,
IF(AU423=regle!$B$12,regle!$B$11,
IF(AU423=regle!$C$12,regle!$C$11,
IF(AU423=regle!$D$12,regle!$D$11,
IF(AU423=regle!$E$12,regle!$E$11,
IF(AU423=regle!$F$12,regle!$F$11,
IF(AU423=regle!$G$12,regle!$G$11,
IF(AU423=regle!$H$12,regle!$H$11,
IF(AU423=regle!$I$12,regle!$I$11,""))))))))))</f>
        <v/>
      </c>
      <c r="AB423" t="str">
        <f>IF(NOT($A423),"",
IF(AV423=-2,regle!$J$11,
IF(AV423=regle!$B$12,regle!$B$11,
IF(AV423=regle!$C$12,regle!$C$11,
IF(AV423=regle!$D$12,regle!$D$11,
IF(AV423=regle!$E$12,regle!$E$11,
IF(AV423=regle!$F$12,regle!$F$11,
IF(AV423=regle!$G$12,regle!$G$11,
IF(AV423=regle!$H$12,regle!$H$11,
IF(AV423=regle!$I$12,regle!$I$11,""))))))))))</f>
        <v/>
      </c>
      <c r="AC423" t="str">
        <f>IF(NOT($A423),"",
IF(AW423=-2,regle!$J$11,
IF(AW423=regle!$B$12,regle!$B$11,
IF(AW423=regle!$C$12,regle!$C$11,
IF(AW423=regle!$D$12,regle!$D$11,
IF(AW423=regle!$E$12,regle!$E$11,
IF(AW423=regle!$F$12,regle!$F$11,
IF(AW423=regle!$G$12,regle!$G$11,
IF(AW423=regle!$H$12,regle!$H$11,
IF(AW423=regle!$I$12,regle!$I$11,""))))))))))</f>
        <v/>
      </c>
      <c r="AD423" t="str">
        <f>IF(NOT($A423),"",
IF(AX423=-2,regle!$J$11,
IF(AX423=regle!$B$12,regle!$B$11,
IF(AX423=regle!$C$12,regle!$C$11,
IF(AX423=regle!$D$12,regle!$D$11,
IF(AX423=regle!$E$12,regle!$E$11,
IF(AX423=regle!$F$12,regle!$F$11,
IF(AX423=regle!$G$12,regle!$G$11,
IF(AX423=regle!$H$12,regle!$H$11,
IF(AX423=regle!$I$12,regle!$I$11,""))))))))))</f>
        <v/>
      </c>
      <c r="AE423" s="14" t="b">
        <f>IF($A423,$M423*(IF(U423=regle!$B$11,regle!$B$23,IF(U423=regle!$C$11,regle!$C$23,IF(U423=regle!$D$11,regle!$D$23,IF(U423=regle!$E$11,regle!$E$23,IF(U423=regle!$F$11,regle!$F$23,IF(U423=regle!$G$11,regle!$G$23,IF(U423=regle!$H$11,regle!$H$23,IF(U423=regle!$I$11,regle!$I$23,IF(U423=regle!$J$11,regle!$J$23,0)))))))))))</f>
        <v>0</v>
      </c>
      <c r="AF423" s="14" t="b">
        <f>IF($A423,$M423*(IF(V423=regle!$B$11,regle!$B$23,IF(V423=regle!$C$11,regle!$C$23,IF(V423=regle!$D$11,regle!$D$23,IF(V423=regle!$E$11,regle!$E$23,IF(V423=regle!$F$11,regle!$F$23,IF(V423=regle!$G$11,regle!$G$23,IF(V423=regle!$H$11,regle!$H$23,IF(V423=regle!$I$11,regle!$I$23,IF(V423=regle!$J$11,regle!$J$23,0)))))))))))</f>
        <v>0</v>
      </c>
      <c r="AG423" s="14" t="b">
        <f>IF($A423,$M423*(IF(W423=regle!$B$11,regle!$B$23,IF(W423=regle!$C$11,regle!$C$23,IF(W423=regle!$D$11,regle!$D$23,IF(W423=regle!$E$11,regle!$E$23,IF(W423=regle!$F$11,regle!$F$23,IF(W423=regle!$G$11,regle!$G$23,IF(W423=regle!$H$11,regle!$H$23,IF(W423=regle!$I$11,regle!$I$23,IF(W423=regle!$J$11,regle!$J$23,0)))))))))))</f>
        <v>0</v>
      </c>
      <c r="AH423" s="14" t="b">
        <f>IF($A423,$M423*(IF(X423=regle!$B$11,regle!$B$23,IF(X423=regle!$C$11,regle!$C$23,IF(X423=regle!$D$11,regle!$D$23,IF(X423=regle!$E$11,regle!$E$23,IF(X423=regle!$F$11,regle!$F$23,IF(X423=regle!$G$11,regle!$G$23,IF(X423=regle!$H$11,regle!$H$23,IF(X423=regle!$I$11,regle!$I$23,IF(X423=regle!$J$11,regle!$J$23,0)))))))))))</f>
        <v>0</v>
      </c>
      <c r="AI423" s="14" t="b">
        <f>IF($A423,$M423*(IF(Y423=regle!$B$11,regle!$B$23,IF(Y423=regle!$C$11,regle!$C$23,IF(Y423=regle!$D$11,regle!$D$23,IF(Y423=regle!$E$11,regle!$E$23,IF(Y423=regle!$F$11,regle!$F$23,IF(Y423=regle!$G$11,regle!$G$23,IF(Y423=regle!$H$11,regle!$H$23,IF(Y423=regle!$I$11,regle!$I$23,IF(Y423=regle!$J$11,regle!$J$23,0)))))))))))</f>
        <v>0</v>
      </c>
      <c r="AJ423" s="14" t="b">
        <f>IF($A423,$M423*(IF(Z423=regle!$B$11,regle!$B$23,IF(Z423=regle!$C$11,regle!$C$23,IF(Z423=regle!$D$11,regle!$D$23,IF(Z423=regle!$E$11,regle!$E$23,IF(Z423=regle!$F$11,regle!$F$23,IF(Z423=regle!$G$11,regle!$G$23,IF(Z423=regle!$H$11,regle!$H$23,IF(Z423=regle!$I$11,regle!$I$23,IF(Z423=regle!$J$11,regle!$J$23,0)))))))))))</f>
        <v>0</v>
      </c>
      <c r="AK423" s="14" t="b">
        <f>IF($A423,$M423*(IF(AA423=regle!$B$11,regle!$B$23,IF(AA423=regle!$C$11,regle!$C$23,IF(AA423=regle!$D$11,regle!$D$23,IF(AA423=regle!$E$11,regle!$E$23,IF(AA423=regle!$F$11,regle!$F$23,IF(AA423=regle!$G$11,regle!$G$23,IF(AA423=regle!$H$11,regle!$H$23,IF(AA423=regle!$I$11,regle!$I$23,IF(AA423=regle!$J$11,regle!$J$23,0)))))))))))</f>
        <v>0</v>
      </c>
      <c r="AL423" s="14" t="b">
        <f>IF($A423,$M423*(IF(AB423=regle!$B$11,regle!$B$23,IF(AB423=regle!$C$11,regle!$C$23,IF(AB423=regle!$D$11,regle!$D$23,IF(AB423=regle!$E$11,regle!$E$23,IF(AB423=regle!$F$11,regle!$F$23,IF(AB423=regle!$G$11,regle!$G$23,IF(AB423=regle!$H$11,regle!$H$23,IF(AB423=regle!$I$11,regle!$I$23,IF(AB423=regle!$J$11,regle!$J$23,0)))))))))))</f>
        <v>0</v>
      </c>
      <c r="AM423" s="14" t="b">
        <f>IF($A423,$M423*(IF(AC423=regle!$B$11,regle!$B$23,IF(AC423=regle!$C$11,regle!$C$23,IF(AC423=regle!$D$11,regle!$D$23,IF(AC423=regle!$E$11,regle!$E$23,IF(AC423=regle!$F$11,regle!$F$23,IF(AC423=regle!$G$11,regle!$G$23,IF(AC423=regle!$H$11,regle!$H$23,IF(AC423=regle!$I$11,regle!$I$23,IF(AC423=regle!$J$11,regle!$J$23,0)))))))))))</f>
        <v>0</v>
      </c>
      <c r="AN423" s="14" t="b">
        <f>IF($A423,$M423*(IF(AD423=regle!$B$11,regle!$B$23,IF(AD423=regle!$C$11,regle!$C$23,IF(AD423=regle!$D$11,regle!$D$23,IF(AD423=regle!$E$11,regle!$E$23,IF(AD423=regle!$F$11,regle!$F$23,IF(AD423=regle!$G$11,regle!$G$23,IF(AD423=regle!$H$11,regle!$H$23,IF(AD423=regle!$I$11,regle!$I$23,IF(AD423=regle!$J$11,regle!$J$23,0)))))))))))</f>
        <v>0</v>
      </c>
      <c r="AO423">
        <f>IF(AO$1=$AO$1,IF(regle!B$2-$Q423&gt;=regle!$J$12,-2,IF($S423,IF(regle!$B$2-$Q423&gt;=2,0,-1),regle!B$2-$Q423)),IF(AN423+1&gt;=regle!$J$12,-2,AN423+1))</f>
        <v>27</v>
      </c>
      <c r="AP423">
        <f>IF(AP$1=$AO$1,IF(regle!C$2-$Q423&gt;=regle!$J$12,-2,IF($S423,IF(regle!$B$2-$Q423&gt;=2,0,-1),regle!C$2-$Q423)),IF(AO423+1&gt;=regle!$J$12,-2,AO423+1))</f>
        <v>28</v>
      </c>
      <c r="AQ423">
        <f>IF(AQ$1=$AO$1,IF(regle!D$2-$Q423&gt;=regle!$J$12,-2,IF($S423,IF(regle!$B$2-$Q423&gt;=2,0,-1),regle!D$2-$Q423)),IF(AP423+1&gt;=regle!$J$12,-2,AP423+1))</f>
        <v>29</v>
      </c>
      <c r="AR423">
        <f>IF(AR$1=$AO$1,IF(regle!E$2-$Q423&gt;=regle!$J$12,-2,IF($S423,IF(regle!$B$2-$Q423&gt;=2,0,-1),regle!E$2-$Q423)),IF(AQ423+1&gt;=regle!$J$12,-2,AQ423+1))</f>
        <v>30</v>
      </c>
      <c r="AS423">
        <f>IF(AS$1=$AO$1,IF(regle!F$2-$Q423&gt;=regle!$J$12,-2,IF($S423,IF(regle!$B$2-$Q423&gt;=2,0,-1),regle!F$2-$Q423)),IF(AR423+1&gt;=regle!$J$12,-2,AR423+1))</f>
        <v>31</v>
      </c>
      <c r="AT423">
        <f>IF(AT$1=$AO$1,IF(regle!G$2-$Q423&gt;=regle!$J$12,-2,IF($S423,IF(regle!$B$2-$Q423&gt;=2,0,-1),regle!G$2-$Q423)),IF(AS423+1&gt;=regle!$J$12,-2,AS423+1))</f>
        <v>32</v>
      </c>
      <c r="AU423">
        <f>IF(AU$1=$AO$1,IF(regle!H$2-$Q423&gt;=regle!$J$12,-2,IF($S423,IF(regle!$B$2-$Q423&gt;=2,0,-1),regle!H$2-$Q423)),IF(AT423+1&gt;=regle!$J$12,-2,AT423+1))</f>
        <v>33</v>
      </c>
      <c r="AV423">
        <f>IF(AV$1=$AO$1,IF(regle!I$2-$Q423&gt;=regle!$J$12,-2,IF($S423,IF(regle!$B$2-$Q423&gt;=2,0,-1),regle!I$2-$Q423)),IF(AU423+1&gt;=regle!$J$12,-2,AU423+1))</f>
        <v>34</v>
      </c>
      <c r="AW423">
        <f>IF(AW$1=$AO$1,IF(regle!J$2-$Q423&gt;=regle!$J$12,-2,IF($S423,IF(regle!$B$2-$Q423&gt;=2,0,-1),regle!J$2-$Q423)),IF(AV423+1&gt;=regle!$J$12,-2,AV423+1))</f>
        <v>35</v>
      </c>
      <c r="AX423">
        <f>IF(AX$1=$AO$1,IF(regle!K$2-$Q423&gt;=regle!$J$12,-2,IF($S423,IF(regle!$B$2-$Q423&gt;=2,0,-1),regle!K$2-$Q423)),IF(AW423+1&gt;=regle!$J$12,-2,AW423+1))</f>
        <v>36</v>
      </c>
    </row>
    <row r="424" spans="1:50" x14ac:dyDescent="0.25">
      <c r="A424" t="b">
        <f>AND(modif0[[#This Row],[cdstr]]&lt;&gt;0,OR(regle!$H$27=FALSE,modif0[[#This Row],[essnc]]="PM"))</f>
        <v>0</v>
      </c>
      <c r="B424">
        <f>ROW(objet!A320)</f>
        <v>320</v>
      </c>
      <c r="C424" s="10" t="str">
        <f>objet!D320</f>
        <v>1710000B0305</v>
      </c>
      <c r="D424" t="str">
        <f>LEFT(modif0[[#This Row],[cdstr]],3)</f>
        <v>171</v>
      </c>
      <c r="E424" s="10" t="str">
        <f>objet!G320</f>
        <v>MANO</v>
      </c>
      <c r="F424">
        <f>LEN(modif0[[#This Row],[l_dt]])</f>
        <v>17</v>
      </c>
      <c r="G424" s="10" t="str">
        <f>objet!H320</f>
        <v>LANDE DE TABARTON</v>
      </c>
      <c r="H424" s="10" t="str">
        <f>objet!C320</f>
        <v>B305</v>
      </c>
      <c r="I424" t="str">
        <f>IF(ISNUMBER(VALUE(RIGHT(LEFT(modif0[[#This Row],[idntfn]],2),1))),_xlfn.CONCAT(0,LEFT(modif0[[#This Row],[idntfn]],1)),LEFT(modif0[[#This Row],[idntfn]],2))</f>
        <v>0B</v>
      </c>
      <c r="J424">
        <f>VALUE(LEFT(RIGHT(modif0[[#This Row],[idntfn]],LEN(modif0[[#This Row],[idntfn]])-IF(LEFT(modif0[[#This Row],[sctn]],1)="0",1,2)),LEN(modif0[[#This Row],[idntfn]])-IF(LEFT(modif0[[#This Row],[sctn]],1)="0",1,2)-LEN(modif0[[#This Row],[lttr]])))</f>
        <v>305</v>
      </c>
      <c r="K424" t="str">
        <f>IF(ISNUMBER(VALUE(RIGHT(modif0[[#This Row],[idntfn]],1))),"",IF(ISNUMBER(VALUE(LEFT(RIGHT(modif0[[#This Row],[idntfn]],2),1))),RIGHT(modif0[[#This Row],[idntfn]],1),RIGHT(modif0[[#This Row],[idntfn]],2)))</f>
        <v/>
      </c>
      <c r="L424" s="10">
        <f>objet!I320</f>
        <v>2428</v>
      </c>
      <c r="M424" s="11">
        <f>modif0[[#This Row],[srfc]]/10000</f>
        <v>0.24279999999999999</v>
      </c>
      <c r="N424" s="10" t="str">
        <f>objet!Z320</f>
        <v>FEUIL</v>
      </c>
      <c r="O424" s="10" t="str">
        <f>objet!AA320</f>
        <v>TAIL1997</v>
      </c>
      <c r="P424" t="str">
        <f>IF(ISNUMBER(modif0[[#This Row],[trvx]]),"",LEFT(modif0[[#This Row],[trvx]],LEN(modif0[[#This Row],[trvx]])-4))</f>
        <v>TAIL</v>
      </c>
      <c r="Q424">
        <f>VALUE(RIGHT(modif0[[#This Row],[trvx]],4))</f>
        <v>1997</v>
      </c>
      <c r="R424" t="str">
        <f>_xlfn.CONCAT(modif0[[#This Row],[tp]],"-",modif0[[#This Row],[essnc]],"_",modif0[[#This Row],[anns]])</f>
        <v>TAIL-FEUIL_1997</v>
      </c>
      <c r="S424" t="b">
        <f>modif0[[#This Row],[tp]]="CR"</f>
        <v>0</v>
      </c>
      <c r="T424">
        <v>40</v>
      </c>
      <c r="U424" t="str">
        <f>IF(NOT($A424),"",
IF(AO424=-2,regle!$J$11,
IF(AO424=regle!$B$12,regle!$B$11,
IF(AO424=regle!$C$12,regle!$C$11,
IF(AO424=regle!$D$12,regle!$D$11,
IF(AO424=regle!$E$12,regle!$E$11,
IF(AO424=regle!$F$12,regle!$F$11,
IF(AO424=regle!$G$12,regle!$G$11,
IF(AO424=regle!$H$12,regle!$H$11,
IF(AO424=regle!$I$12,regle!$I$11,""))))))))))</f>
        <v/>
      </c>
      <c r="V424" t="str">
        <f>IF(NOT($A424),"",
IF(AP424=-2,regle!$J$11,
IF(AP424=regle!$B$12,regle!$B$11,
IF(AP424=regle!$C$12,regle!$C$11,
IF(AP424=regle!$D$12,regle!$D$11,
IF(AP424=regle!$E$12,regle!$E$11,
IF(AP424=regle!$F$12,regle!$F$11,
IF(AP424=regle!$G$12,regle!$G$11,
IF(AP424=regle!$H$12,regle!$H$11,
IF(AP424=regle!$I$12,regle!$I$11,""))))))))))</f>
        <v/>
      </c>
      <c r="W424" t="str">
        <f>IF(NOT($A424),"",
IF(AQ424=-2,regle!$J$11,
IF(AQ424=regle!$B$12,regle!$B$11,
IF(AQ424=regle!$C$12,regle!$C$11,
IF(AQ424=regle!$D$12,regle!$D$11,
IF(AQ424=regle!$E$12,regle!$E$11,
IF(AQ424=regle!$F$12,regle!$F$11,
IF(AQ424=regle!$G$12,regle!$G$11,
IF(AQ424=regle!$H$12,regle!$H$11,
IF(AQ424=regle!$I$12,regle!$I$11,""))))))))))</f>
        <v/>
      </c>
      <c r="X424" t="str">
        <f>IF(NOT($A424),"",
IF(AR424=-2,regle!$J$11,
IF(AR424=regle!$B$12,regle!$B$11,
IF(AR424=regle!$C$12,regle!$C$11,
IF(AR424=regle!$D$12,regle!$D$11,
IF(AR424=regle!$E$12,regle!$E$11,
IF(AR424=regle!$F$12,regle!$F$11,
IF(AR424=regle!$G$12,regle!$G$11,
IF(AR424=regle!$H$12,regle!$H$11,
IF(AR424=regle!$I$12,regle!$I$11,""))))))))))</f>
        <v/>
      </c>
      <c r="Y424" t="str">
        <f>IF(NOT($A424),"",
IF(AS424=-2,regle!$J$11,
IF(AS424=regle!$B$12,regle!$B$11,
IF(AS424=regle!$C$12,regle!$C$11,
IF(AS424=regle!$D$12,regle!$D$11,
IF(AS424=regle!$E$12,regle!$E$11,
IF(AS424=regle!$F$12,regle!$F$11,
IF(AS424=regle!$G$12,regle!$G$11,
IF(AS424=regle!$H$12,regle!$H$11,
IF(AS424=regle!$I$12,regle!$I$11,""))))))))))</f>
        <v/>
      </c>
      <c r="Z424" t="str">
        <f>IF(NOT($A424),"",
IF(AT424=-2,regle!$J$11,
IF(AT424=regle!$B$12,regle!$B$11,
IF(AT424=regle!$C$12,regle!$C$11,
IF(AT424=regle!$D$12,regle!$D$11,
IF(AT424=regle!$E$12,regle!$E$11,
IF(AT424=regle!$F$12,regle!$F$11,
IF(AT424=regle!$G$12,regle!$G$11,
IF(AT424=regle!$H$12,regle!$H$11,
IF(AT424=regle!$I$12,regle!$I$11,""))))))))))</f>
        <v/>
      </c>
      <c r="AA424" t="str">
        <f>IF(NOT($A424),"",
IF(AU424=-2,regle!$J$11,
IF(AU424=regle!$B$12,regle!$B$11,
IF(AU424=regle!$C$12,regle!$C$11,
IF(AU424=regle!$D$12,regle!$D$11,
IF(AU424=regle!$E$12,regle!$E$11,
IF(AU424=regle!$F$12,regle!$F$11,
IF(AU424=regle!$G$12,regle!$G$11,
IF(AU424=regle!$H$12,regle!$H$11,
IF(AU424=regle!$I$12,regle!$I$11,""))))))))))</f>
        <v/>
      </c>
      <c r="AB424" t="str">
        <f>IF(NOT($A424),"",
IF(AV424=-2,regle!$J$11,
IF(AV424=regle!$B$12,regle!$B$11,
IF(AV424=regle!$C$12,regle!$C$11,
IF(AV424=regle!$D$12,regle!$D$11,
IF(AV424=regle!$E$12,regle!$E$11,
IF(AV424=regle!$F$12,regle!$F$11,
IF(AV424=regle!$G$12,regle!$G$11,
IF(AV424=regle!$H$12,regle!$H$11,
IF(AV424=regle!$I$12,regle!$I$11,""))))))))))</f>
        <v/>
      </c>
      <c r="AC424" t="str">
        <f>IF(NOT($A424),"",
IF(AW424=-2,regle!$J$11,
IF(AW424=regle!$B$12,regle!$B$11,
IF(AW424=regle!$C$12,regle!$C$11,
IF(AW424=regle!$D$12,regle!$D$11,
IF(AW424=regle!$E$12,regle!$E$11,
IF(AW424=regle!$F$12,regle!$F$11,
IF(AW424=regle!$G$12,regle!$G$11,
IF(AW424=regle!$H$12,regle!$H$11,
IF(AW424=regle!$I$12,regle!$I$11,""))))))))))</f>
        <v/>
      </c>
      <c r="AD424" t="str">
        <f>IF(NOT($A424),"",
IF(AX424=-2,regle!$J$11,
IF(AX424=regle!$B$12,regle!$B$11,
IF(AX424=regle!$C$12,regle!$C$11,
IF(AX424=regle!$D$12,regle!$D$11,
IF(AX424=regle!$E$12,regle!$E$11,
IF(AX424=regle!$F$12,regle!$F$11,
IF(AX424=regle!$G$12,regle!$G$11,
IF(AX424=regle!$H$12,regle!$H$11,
IF(AX424=regle!$I$12,regle!$I$11,""))))))))))</f>
        <v/>
      </c>
      <c r="AE424" s="14" t="b">
        <f>IF($A424,$M424*(IF(U424=regle!$B$11,regle!$B$23,IF(U424=regle!$C$11,regle!$C$23,IF(U424=regle!$D$11,regle!$D$23,IF(U424=regle!$E$11,regle!$E$23,IF(U424=regle!$F$11,regle!$F$23,IF(U424=regle!$G$11,regle!$G$23,IF(U424=regle!$H$11,regle!$H$23,IF(U424=regle!$I$11,regle!$I$23,IF(U424=regle!$J$11,regle!$J$23,0)))))))))))</f>
        <v>0</v>
      </c>
      <c r="AF424" s="14" t="b">
        <f>IF($A424,$M424*(IF(V424=regle!$B$11,regle!$B$23,IF(V424=regle!$C$11,regle!$C$23,IF(V424=regle!$D$11,regle!$D$23,IF(V424=regle!$E$11,regle!$E$23,IF(V424=regle!$F$11,regle!$F$23,IF(V424=regle!$G$11,regle!$G$23,IF(V424=regle!$H$11,regle!$H$23,IF(V424=regle!$I$11,regle!$I$23,IF(V424=regle!$J$11,regle!$J$23,0)))))))))))</f>
        <v>0</v>
      </c>
      <c r="AG424" s="14" t="b">
        <f>IF($A424,$M424*(IF(W424=regle!$B$11,regle!$B$23,IF(W424=regle!$C$11,regle!$C$23,IF(W424=regle!$D$11,regle!$D$23,IF(W424=regle!$E$11,regle!$E$23,IF(W424=regle!$F$11,regle!$F$23,IF(W424=regle!$G$11,regle!$G$23,IF(W424=regle!$H$11,regle!$H$23,IF(W424=regle!$I$11,regle!$I$23,IF(W424=regle!$J$11,regle!$J$23,0)))))))))))</f>
        <v>0</v>
      </c>
      <c r="AH424" s="14" t="b">
        <f>IF($A424,$M424*(IF(X424=regle!$B$11,regle!$B$23,IF(X424=regle!$C$11,regle!$C$23,IF(X424=regle!$D$11,regle!$D$23,IF(X424=regle!$E$11,regle!$E$23,IF(X424=regle!$F$11,regle!$F$23,IF(X424=regle!$G$11,regle!$G$23,IF(X424=regle!$H$11,regle!$H$23,IF(X424=regle!$I$11,regle!$I$23,IF(X424=regle!$J$11,regle!$J$23,0)))))))))))</f>
        <v>0</v>
      </c>
      <c r="AI424" s="14" t="b">
        <f>IF($A424,$M424*(IF(Y424=regle!$B$11,regle!$B$23,IF(Y424=regle!$C$11,regle!$C$23,IF(Y424=regle!$D$11,regle!$D$23,IF(Y424=regle!$E$11,regle!$E$23,IF(Y424=regle!$F$11,regle!$F$23,IF(Y424=regle!$G$11,regle!$G$23,IF(Y424=regle!$H$11,regle!$H$23,IF(Y424=regle!$I$11,regle!$I$23,IF(Y424=regle!$J$11,regle!$J$23,0)))))))))))</f>
        <v>0</v>
      </c>
      <c r="AJ424" s="14" t="b">
        <f>IF($A424,$M424*(IF(Z424=regle!$B$11,regle!$B$23,IF(Z424=regle!$C$11,regle!$C$23,IF(Z424=regle!$D$11,regle!$D$23,IF(Z424=regle!$E$11,regle!$E$23,IF(Z424=regle!$F$11,regle!$F$23,IF(Z424=regle!$G$11,regle!$G$23,IF(Z424=regle!$H$11,regle!$H$23,IF(Z424=regle!$I$11,regle!$I$23,IF(Z424=regle!$J$11,regle!$J$23,0)))))))))))</f>
        <v>0</v>
      </c>
      <c r="AK424" s="14" t="b">
        <f>IF($A424,$M424*(IF(AA424=regle!$B$11,regle!$B$23,IF(AA424=regle!$C$11,regle!$C$23,IF(AA424=regle!$D$11,regle!$D$23,IF(AA424=regle!$E$11,regle!$E$23,IF(AA424=regle!$F$11,regle!$F$23,IF(AA424=regle!$G$11,regle!$G$23,IF(AA424=regle!$H$11,regle!$H$23,IF(AA424=regle!$I$11,regle!$I$23,IF(AA424=regle!$J$11,regle!$J$23,0)))))))))))</f>
        <v>0</v>
      </c>
      <c r="AL424" s="14" t="b">
        <f>IF($A424,$M424*(IF(AB424=regle!$B$11,regle!$B$23,IF(AB424=regle!$C$11,regle!$C$23,IF(AB424=regle!$D$11,regle!$D$23,IF(AB424=regle!$E$11,regle!$E$23,IF(AB424=regle!$F$11,regle!$F$23,IF(AB424=regle!$G$11,regle!$G$23,IF(AB424=regle!$H$11,regle!$H$23,IF(AB424=regle!$I$11,regle!$I$23,IF(AB424=regle!$J$11,regle!$J$23,0)))))))))))</f>
        <v>0</v>
      </c>
      <c r="AM424" s="14" t="b">
        <f>IF($A424,$M424*(IF(AC424=regle!$B$11,regle!$B$23,IF(AC424=regle!$C$11,regle!$C$23,IF(AC424=regle!$D$11,regle!$D$23,IF(AC424=regle!$E$11,regle!$E$23,IF(AC424=regle!$F$11,regle!$F$23,IF(AC424=regle!$G$11,regle!$G$23,IF(AC424=regle!$H$11,regle!$H$23,IF(AC424=regle!$I$11,regle!$I$23,IF(AC424=regle!$J$11,regle!$J$23,0)))))))))))</f>
        <v>0</v>
      </c>
      <c r="AN424" s="14" t="b">
        <f>IF($A424,$M424*(IF(AD424=regle!$B$11,regle!$B$23,IF(AD424=regle!$C$11,regle!$C$23,IF(AD424=regle!$D$11,regle!$D$23,IF(AD424=regle!$E$11,regle!$E$23,IF(AD424=regle!$F$11,regle!$F$23,IF(AD424=regle!$G$11,regle!$G$23,IF(AD424=regle!$H$11,regle!$H$23,IF(AD424=regle!$I$11,regle!$I$23,IF(AD424=regle!$J$11,regle!$J$23,0)))))))))))</f>
        <v>0</v>
      </c>
      <c r="AO424">
        <f>IF(AO$1=$AO$1,IF(regle!B$2-$Q424&gt;=regle!$J$12,-2,IF($S424,IF(regle!$B$2-$Q424&gt;=2,0,-1),regle!B$2-$Q424)),IF(AN424+1&gt;=regle!$J$12,-2,AN424+1))</f>
        <v>27</v>
      </c>
      <c r="AP424">
        <f>IF(AP$1=$AO$1,IF(regle!C$2-$Q424&gt;=regle!$J$12,-2,IF($S424,IF(regle!$B$2-$Q424&gt;=2,0,-1),regle!C$2-$Q424)),IF(AO424+1&gt;=regle!$J$12,-2,AO424+1))</f>
        <v>28</v>
      </c>
      <c r="AQ424">
        <f>IF(AQ$1=$AO$1,IF(regle!D$2-$Q424&gt;=regle!$J$12,-2,IF($S424,IF(regle!$B$2-$Q424&gt;=2,0,-1),regle!D$2-$Q424)),IF(AP424+1&gt;=regle!$J$12,-2,AP424+1))</f>
        <v>29</v>
      </c>
      <c r="AR424">
        <f>IF(AR$1=$AO$1,IF(regle!E$2-$Q424&gt;=regle!$J$12,-2,IF($S424,IF(regle!$B$2-$Q424&gt;=2,0,-1),regle!E$2-$Q424)),IF(AQ424+1&gt;=regle!$J$12,-2,AQ424+1))</f>
        <v>30</v>
      </c>
      <c r="AS424">
        <f>IF(AS$1=$AO$1,IF(regle!F$2-$Q424&gt;=regle!$J$12,-2,IF($S424,IF(regle!$B$2-$Q424&gt;=2,0,-1),regle!F$2-$Q424)),IF(AR424+1&gt;=regle!$J$12,-2,AR424+1))</f>
        <v>31</v>
      </c>
      <c r="AT424">
        <f>IF(AT$1=$AO$1,IF(regle!G$2-$Q424&gt;=regle!$J$12,-2,IF($S424,IF(regle!$B$2-$Q424&gt;=2,0,-1),regle!G$2-$Q424)),IF(AS424+1&gt;=regle!$J$12,-2,AS424+1))</f>
        <v>32</v>
      </c>
      <c r="AU424">
        <f>IF(AU$1=$AO$1,IF(regle!H$2-$Q424&gt;=regle!$J$12,-2,IF($S424,IF(regle!$B$2-$Q424&gt;=2,0,-1),regle!H$2-$Q424)),IF(AT424+1&gt;=regle!$J$12,-2,AT424+1))</f>
        <v>33</v>
      </c>
      <c r="AV424">
        <f>IF(AV$1=$AO$1,IF(regle!I$2-$Q424&gt;=regle!$J$12,-2,IF($S424,IF(regle!$B$2-$Q424&gt;=2,0,-1),regle!I$2-$Q424)),IF(AU424+1&gt;=regle!$J$12,-2,AU424+1))</f>
        <v>34</v>
      </c>
      <c r="AW424">
        <f>IF(AW$1=$AO$1,IF(regle!J$2-$Q424&gt;=regle!$J$12,-2,IF($S424,IF(regle!$B$2-$Q424&gt;=2,0,-1),regle!J$2-$Q424)),IF(AV424+1&gt;=regle!$J$12,-2,AV424+1))</f>
        <v>35</v>
      </c>
      <c r="AX424">
        <f>IF(AX$1=$AO$1,IF(regle!K$2-$Q424&gt;=regle!$J$12,-2,IF($S424,IF(regle!$B$2-$Q424&gt;=2,0,-1),regle!K$2-$Q424)),IF(AW424+1&gt;=regle!$J$12,-2,AW424+1))</f>
        <v>36</v>
      </c>
    </row>
    <row r="425" spans="1:50" x14ac:dyDescent="0.25">
      <c r="A425" t="b">
        <f>AND(modif0[[#This Row],[cdstr]]&lt;&gt;0,OR(regle!$H$27=FALSE,modif0[[#This Row],[essnc]]="PM"))</f>
        <v>0</v>
      </c>
      <c r="B425">
        <f>ROW(objet!A339)</f>
        <v>339</v>
      </c>
      <c r="C425" s="10" t="str">
        <f>objet!D339</f>
        <v>5360000B0658</v>
      </c>
      <c r="D425" t="str">
        <f>LEFT(modif0[[#This Row],[cdstr]],3)</f>
        <v>536</v>
      </c>
      <c r="E425" s="10" t="str">
        <f>objet!G339</f>
        <v>LE TUZAN</v>
      </c>
      <c r="F425">
        <f>LEN(modif0[[#This Row],[l_dt]])</f>
        <v>14</v>
      </c>
      <c r="G425" s="10" t="str">
        <f>objet!H339</f>
        <v>TABARTON-OUEST</v>
      </c>
      <c r="H425" s="10" t="str">
        <f>objet!C339</f>
        <v>B658j</v>
      </c>
      <c r="I425" t="str">
        <f>IF(ISNUMBER(VALUE(RIGHT(LEFT(modif0[[#This Row],[idntfn]],2),1))),_xlfn.CONCAT(0,LEFT(modif0[[#This Row],[idntfn]],1)),LEFT(modif0[[#This Row],[idntfn]],2))</f>
        <v>0B</v>
      </c>
      <c r="J425">
        <f>VALUE(LEFT(RIGHT(modif0[[#This Row],[idntfn]],LEN(modif0[[#This Row],[idntfn]])-IF(LEFT(modif0[[#This Row],[sctn]],1)="0",1,2)),LEN(modif0[[#This Row],[idntfn]])-IF(LEFT(modif0[[#This Row],[sctn]],1)="0",1,2)-LEN(modif0[[#This Row],[lttr]])))</f>
        <v>658</v>
      </c>
      <c r="K425" t="str">
        <f>IF(ISNUMBER(VALUE(RIGHT(modif0[[#This Row],[idntfn]],1))),"",IF(ISNUMBER(VALUE(LEFT(RIGHT(modif0[[#This Row],[idntfn]],2),1))),RIGHT(modif0[[#This Row],[idntfn]],1),RIGHT(modif0[[#This Row],[idntfn]],2)))</f>
        <v>j</v>
      </c>
      <c r="L425" s="10">
        <f>objet!I339</f>
        <v>48208</v>
      </c>
      <c r="M425" s="11">
        <f>modif0[[#This Row],[srfc]]/10000</f>
        <v>4.8208000000000002</v>
      </c>
      <c r="N425" s="10" t="str">
        <f>objet!Z339</f>
        <v>FEUIL</v>
      </c>
      <c r="O425" s="10" t="str">
        <f>objet!AA339</f>
        <v>TAIL2013</v>
      </c>
      <c r="P425" t="str">
        <f>IF(ISNUMBER(modif0[[#This Row],[trvx]]),"",LEFT(modif0[[#This Row],[trvx]],LEN(modif0[[#This Row],[trvx]])-4))</f>
        <v>TAIL</v>
      </c>
      <c r="Q425">
        <f>VALUE(RIGHT(modif0[[#This Row],[trvx]],4))</f>
        <v>2013</v>
      </c>
      <c r="R425" t="str">
        <f>_xlfn.CONCAT(modif0[[#This Row],[tp]],"-",modif0[[#This Row],[essnc]],"_",modif0[[#This Row],[anns]])</f>
        <v>TAIL-FEUIL_2013</v>
      </c>
      <c r="S425" t="b">
        <f>modif0[[#This Row],[tp]]="CR"</f>
        <v>0</v>
      </c>
      <c r="T425">
        <v>40</v>
      </c>
      <c r="U425" t="str">
        <f>IF(NOT($A425),"",
IF(AO425=-2,regle!$J$11,
IF(AO425=regle!$B$12,regle!$B$11,
IF(AO425=regle!$C$12,regle!$C$11,
IF(AO425=regle!$D$12,regle!$D$11,
IF(AO425=regle!$E$12,regle!$E$11,
IF(AO425=regle!$F$12,regle!$F$11,
IF(AO425=regle!$G$12,regle!$G$11,
IF(AO425=regle!$H$12,regle!$H$11,
IF(AO425=regle!$I$12,regle!$I$11,""))))))))))</f>
        <v/>
      </c>
      <c r="V425" t="str">
        <f>IF(NOT($A425),"",
IF(AP425=-2,regle!$J$11,
IF(AP425=regle!$B$12,regle!$B$11,
IF(AP425=regle!$C$12,regle!$C$11,
IF(AP425=regle!$D$12,regle!$D$11,
IF(AP425=regle!$E$12,regle!$E$11,
IF(AP425=regle!$F$12,regle!$F$11,
IF(AP425=regle!$G$12,regle!$G$11,
IF(AP425=regle!$H$12,regle!$H$11,
IF(AP425=regle!$I$12,regle!$I$11,""))))))))))</f>
        <v/>
      </c>
      <c r="W425" t="str">
        <f>IF(NOT($A425),"",
IF(AQ425=-2,regle!$J$11,
IF(AQ425=regle!$B$12,regle!$B$11,
IF(AQ425=regle!$C$12,regle!$C$11,
IF(AQ425=regle!$D$12,regle!$D$11,
IF(AQ425=regle!$E$12,regle!$E$11,
IF(AQ425=regle!$F$12,regle!$F$11,
IF(AQ425=regle!$G$12,regle!$G$11,
IF(AQ425=regle!$H$12,regle!$H$11,
IF(AQ425=regle!$I$12,regle!$I$11,""))))))))))</f>
        <v/>
      </c>
      <c r="X425" t="str">
        <f>IF(NOT($A425),"",
IF(AR425=-2,regle!$J$11,
IF(AR425=regle!$B$12,regle!$B$11,
IF(AR425=regle!$C$12,regle!$C$11,
IF(AR425=regle!$D$12,regle!$D$11,
IF(AR425=regle!$E$12,regle!$E$11,
IF(AR425=regle!$F$12,regle!$F$11,
IF(AR425=regle!$G$12,regle!$G$11,
IF(AR425=regle!$H$12,regle!$H$11,
IF(AR425=regle!$I$12,regle!$I$11,""))))))))))</f>
        <v/>
      </c>
      <c r="Y425" t="str">
        <f>IF(NOT($A425),"",
IF(AS425=-2,regle!$J$11,
IF(AS425=regle!$B$12,regle!$B$11,
IF(AS425=regle!$C$12,regle!$C$11,
IF(AS425=regle!$D$12,regle!$D$11,
IF(AS425=regle!$E$12,regle!$E$11,
IF(AS425=regle!$F$12,regle!$F$11,
IF(AS425=regle!$G$12,regle!$G$11,
IF(AS425=regle!$H$12,regle!$H$11,
IF(AS425=regle!$I$12,regle!$I$11,""))))))))))</f>
        <v/>
      </c>
      <c r="Z425" t="str">
        <f>IF(NOT($A425),"",
IF(AT425=-2,regle!$J$11,
IF(AT425=regle!$B$12,regle!$B$11,
IF(AT425=regle!$C$12,regle!$C$11,
IF(AT425=regle!$D$12,regle!$D$11,
IF(AT425=regle!$E$12,regle!$E$11,
IF(AT425=regle!$F$12,regle!$F$11,
IF(AT425=regle!$G$12,regle!$G$11,
IF(AT425=regle!$H$12,regle!$H$11,
IF(AT425=regle!$I$12,regle!$I$11,""))))))))))</f>
        <v/>
      </c>
      <c r="AA425" t="str">
        <f>IF(NOT($A425),"",
IF(AU425=-2,regle!$J$11,
IF(AU425=regle!$B$12,regle!$B$11,
IF(AU425=regle!$C$12,regle!$C$11,
IF(AU425=regle!$D$12,regle!$D$11,
IF(AU425=regle!$E$12,regle!$E$11,
IF(AU425=regle!$F$12,regle!$F$11,
IF(AU425=regle!$G$12,regle!$G$11,
IF(AU425=regle!$H$12,regle!$H$11,
IF(AU425=regle!$I$12,regle!$I$11,""))))))))))</f>
        <v/>
      </c>
      <c r="AB425" t="str">
        <f>IF(NOT($A425),"",
IF(AV425=-2,regle!$J$11,
IF(AV425=regle!$B$12,regle!$B$11,
IF(AV425=regle!$C$12,regle!$C$11,
IF(AV425=regle!$D$12,regle!$D$11,
IF(AV425=regle!$E$12,regle!$E$11,
IF(AV425=regle!$F$12,regle!$F$11,
IF(AV425=regle!$G$12,regle!$G$11,
IF(AV425=regle!$H$12,regle!$H$11,
IF(AV425=regle!$I$12,regle!$I$11,""))))))))))</f>
        <v/>
      </c>
      <c r="AC425" t="str">
        <f>IF(NOT($A425),"",
IF(AW425=-2,regle!$J$11,
IF(AW425=regle!$B$12,regle!$B$11,
IF(AW425=regle!$C$12,regle!$C$11,
IF(AW425=regle!$D$12,regle!$D$11,
IF(AW425=regle!$E$12,regle!$E$11,
IF(AW425=regle!$F$12,regle!$F$11,
IF(AW425=regle!$G$12,regle!$G$11,
IF(AW425=regle!$H$12,regle!$H$11,
IF(AW425=regle!$I$12,regle!$I$11,""))))))))))</f>
        <v/>
      </c>
      <c r="AD425" t="str">
        <f>IF(NOT($A425),"",
IF(AX425=-2,regle!$J$11,
IF(AX425=regle!$B$12,regle!$B$11,
IF(AX425=regle!$C$12,regle!$C$11,
IF(AX425=regle!$D$12,regle!$D$11,
IF(AX425=regle!$E$12,regle!$E$11,
IF(AX425=regle!$F$12,regle!$F$11,
IF(AX425=regle!$G$12,regle!$G$11,
IF(AX425=regle!$H$12,regle!$H$11,
IF(AX425=regle!$I$12,regle!$I$11,""))))))))))</f>
        <v/>
      </c>
      <c r="AE425" s="14" t="b">
        <f>IF($A425,$M425*(IF(U425=regle!$B$11,regle!$B$23,IF(U425=regle!$C$11,regle!$C$23,IF(U425=regle!$D$11,regle!$D$23,IF(U425=regle!$E$11,regle!$E$23,IF(U425=regle!$F$11,regle!$F$23,IF(U425=regle!$G$11,regle!$G$23,IF(U425=regle!$H$11,regle!$H$23,IF(U425=regle!$I$11,regle!$I$23,IF(U425=regle!$J$11,regle!$J$23,0)))))))))))</f>
        <v>0</v>
      </c>
      <c r="AF425" s="14" t="b">
        <f>IF($A425,$M425*(IF(V425=regle!$B$11,regle!$B$23,IF(V425=regle!$C$11,regle!$C$23,IF(V425=regle!$D$11,regle!$D$23,IF(V425=regle!$E$11,regle!$E$23,IF(V425=regle!$F$11,regle!$F$23,IF(V425=regle!$G$11,regle!$G$23,IF(V425=regle!$H$11,regle!$H$23,IF(V425=regle!$I$11,regle!$I$23,IF(V425=regle!$J$11,regle!$J$23,0)))))))))))</f>
        <v>0</v>
      </c>
      <c r="AG425" s="14" t="b">
        <f>IF($A425,$M425*(IF(W425=regle!$B$11,regle!$B$23,IF(W425=regle!$C$11,regle!$C$23,IF(W425=regle!$D$11,regle!$D$23,IF(W425=regle!$E$11,regle!$E$23,IF(W425=regle!$F$11,regle!$F$23,IF(W425=regle!$G$11,regle!$G$23,IF(W425=regle!$H$11,regle!$H$23,IF(W425=regle!$I$11,regle!$I$23,IF(W425=regle!$J$11,regle!$J$23,0)))))))))))</f>
        <v>0</v>
      </c>
      <c r="AH425" s="14" t="b">
        <f>IF($A425,$M425*(IF(X425=regle!$B$11,regle!$B$23,IF(X425=regle!$C$11,regle!$C$23,IF(X425=regle!$D$11,regle!$D$23,IF(X425=regle!$E$11,regle!$E$23,IF(X425=regle!$F$11,regle!$F$23,IF(X425=regle!$G$11,regle!$G$23,IF(X425=regle!$H$11,regle!$H$23,IF(X425=regle!$I$11,regle!$I$23,IF(X425=regle!$J$11,regle!$J$23,0)))))))))))</f>
        <v>0</v>
      </c>
      <c r="AI425" s="14" t="b">
        <f>IF($A425,$M425*(IF(Y425=regle!$B$11,regle!$B$23,IF(Y425=regle!$C$11,regle!$C$23,IF(Y425=regle!$D$11,regle!$D$23,IF(Y425=regle!$E$11,regle!$E$23,IF(Y425=regle!$F$11,regle!$F$23,IF(Y425=regle!$G$11,regle!$G$23,IF(Y425=regle!$H$11,regle!$H$23,IF(Y425=regle!$I$11,regle!$I$23,IF(Y425=regle!$J$11,regle!$J$23,0)))))))))))</f>
        <v>0</v>
      </c>
      <c r="AJ425" s="14" t="b">
        <f>IF($A425,$M425*(IF(Z425=regle!$B$11,regle!$B$23,IF(Z425=regle!$C$11,regle!$C$23,IF(Z425=regle!$D$11,regle!$D$23,IF(Z425=regle!$E$11,regle!$E$23,IF(Z425=regle!$F$11,regle!$F$23,IF(Z425=regle!$G$11,regle!$G$23,IF(Z425=regle!$H$11,regle!$H$23,IF(Z425=regle!$I$11,regle!$I$23,IF(Z425=regle!$J$11,regle!$J$23,0)))))))))))</f>
        <v>0</v>
      </c>
      <c r="AK425" s="14" t="b">
        <f>IF($A425,$M425*(IF(AA425=regle!$B$11,regle!$B$23,IF(AA425=regle!$C$11,regle!$C$23,IF(AA425=regle!$D$11,regle!$D$23,IF(AA425=regle!$E$11,regle!$E$23,IF(AA425=regle!$F$11,regle!$F$23,IF(AA425=regle!$G$11,regle!$G$23,IF(AA425=regle!$H$11,regle!$H$23,IF(AA425=regle!$I$11,regle!$I$23,IF(AA425=regle!$J$11,regle!$J$23,0)))))))))))</f>
        <v>0</v>
      </c>
      <c r="AL425" s="14" t="b">
        <f>IF($A425,$M425*(IF(AB425=regle!$B$11,regle!$B$23,IF(AB425=regle!$C$11,regle!$C$23,IF(AB425=regle!$D$11,regle!$D$23,IF(AB425=regle!$E$11,regle!$E$23,IF(AB425=regle!$F$11,regle!$F$23,IF(AB425=regle!$G$11,regle!$G$23,IF(AB425=regle!$H$11,regle!$H$23,IF(AB425=regle!$I$11,regle!$I$23,IF(AB425=regle!$J$11,regle!$J$23,0)))))))))))</f>
        <v>0</v>
      </c>
      <c r="AM425" s="14" t="b">
        <f>IF($A425,$M425*(IF(AC425=regle!$B$11,regle!$B$23,IF(AC425=regle!$C$11,regle!$C$23,IF(AC425=regle!$D$11,regle!$D$23,IF(AC425=regle!$E$11,regle!$E$23,IF(AC425=regle!$F$11,regle!$F$23,IF(AC425=regle!$G$11,regle!$G$23,IF(AC425=regle!$H$11,regle!$H$23,IF(AC425=regle!$I$11,regle!$I$23,IF(AC425=regle!$J$11,regle!$J$23,0)))))))))))</f>
        <v>0</v>
      </c>
      <c r="AN425" s="14" t="b">
        <f>IF($A425,$M425*(IF(AD425=regle!$B$11,regle!$B$23,IF(AD425=regle!$C$11,regle!$C$23,IF(AD425=regle!$D$11,regle!$D$23,IF(AD425=regle!$E$11,regle!$E$23,IF(AD425=regle!$F$11,regle!$F$23,IF(AD425=regle!$G$11,regle!$G$23,IF(AD425=regle!$H$11,regle!$H$23,IF(AD425=regle!$I$11,regle!$I$23,IF(AD425=regle!$J$11,regle!$J$23,0)))))))))))</f>
        <v>0</v>
      </c>
      <c r="AO425">
        <f>IF(AO$1=$AO$1,IF(regle!B$2-$Q425&gt;=regle!$J$12,-2,IF($S425,IF(regle!$B$2-$Q425&gt;=2,0,-1),regle!B$2-$Q425)),IF(AN425+1&gt;=regle!$J$12,-2,AN425+1))</f>
        <v>11</v>
      </c>
      <c r="AP425">
        <f>IF(AP$1=$AO$1,IF(regle!C$2-$Q425&gt;=regle!$J$12,-2,IF($S425,IF(regle!$B$2-$Q425&gt;=2,0,-1),regle!C$2-$Q425)),IF(AO425+1&gt;=regle!$J$12,-2,AO425+1))</f>
        <v>12</v>
      </c>
      <c r="AQ425">
        <f>IF(AQ$1=$AO$1,IF(regle!D$2-$Q425&gt;=regle!$J$12,-2,IF($S425,IF(regle!$B$2-$Q425&gt;=2,0,-1),regle!D$2-$Q425)),IF(AP425+1&gt;=regle!$J$12,-2,AP425+1))</f>
        <v>13</v>
      </c>
      <c r="AR425">
        <f>IF(AR$1=$AO$1,IF(regle!E$2-$Q425&gt;=regle!$J$12,-2,IF($S425,IF(regle!$B$2-$Q425&gt;=2,0,-1),regle!E$2-$Q425)),IF(AQ425+1&gt;=regle!$J$12,-2,AQ425+1))</f>
        <v>14</v>
      </c>
      <c r="AS425">
        <f>IF(AS$1=$AO$1,IF(regle!F$2-$Q425&gt;=regle!$J$12,-2,IF($S425,IF(regle!$B$2-$Q425&gt;=2,0,-1),regle!F$2-$Q425)),IF(AR425+1&gt;=regle!$J$12,-2,AR425+1))</f>
        <v>15</v>
      </c>
      <c r="AT425">
        <f>IF(AT$1=$AO$1,IF(regle!G$2-$Q425&gt;=regle!$J$12,-2,IF($S425,IF(regle!$B$2-$Q425&gt;=2,0,-1),regle!G$2-$Q425)),IF(AS425+1&gt;=regle!$J$12,-2,AS425+1))</f>
        <v>16</v>
      </c>
      <c r="AU425">
        <f>IF(AU$1=$AO$1,IF(regle!H$2-$Q425&gt;=regle!$J$12,-2,IF($S425,IF(regle!$B$2-$Q425&gt;=2,0,-1),regle!H$2-$Q425)),IF(AT425+1&gt;=regle!$J$12,-2,AT425+1))</f>
        <v>17</v>
      </c>
      <c r="AV425">
        <f>IF(AV$1=$AO$1,IF(regle!I$2-$Q425&gt;=regle!$J$12,-2,IF($S425,IF(regle!$B$2-$Q425&gt;=2,0,-1),regle!I$2-$Q425)),IF(AU425+1&gt;=regle!$J$12,-2,AU425+1))</f>
        <v>18</v>
      </c>
      <c r="AW425">
        <f>IF(AW$1=$AO$1,IF(regle!J$2-$Q425&gt;=regle!$J$12,-2,IF($S425,IF(regle!$B$2-$Q425&gt;=2,0,-1),regle!J$2-$Q425)),IF(AV425+1&gt;=regle!$J$12,-2,AV425+1))</f>
        <v>19</v>
      </c>
      <c r="AX425">
        <f>IF(AX$1=$AO$1,IF(regle!K$2-$Q425&gt;=regle!$J$12,-2,IF($S425,IF(regle!$B$2-$Q425&gt;=2,0,-1),regle!K$2-$Q425)),IF(AW425+1&gt;=regle!$J$12,-2,AW425+1))</f>
        <v>20</v>
      </c>
    </row>
    <row r="426" spans="1:50" x14ac:dyDescent="0.25">
      <c r="A426" t="b">
        <f>AND(modif0[[#This Row],[cdstr]]&lt;&gt;0,OR(regle!$H$27=FALSE,modif0[[#This Row],[essnc]]="PM"))</f>
        <v>0</v>
      </c>
      <c r="B426">
        <f>ROW(objet!A345)</f>
        <v>345</v>
      </c>
      <c r="C426" s="10" t="str">
        <f>objet!D345</f>
        <v>5360000B0659</v>
      </c>
      <c r="D426" t="str">
        <f>LEFT(modif0[[#This Row],[cdstr]],3)</f>
        <v>536</v>
      </c>
      <c r="E426" s="10" t="str">
        <f>objet!G345</f>
        <v>LE TUZAN</v>
      </c>
      <c r="F426">
        <f>LEN(modif0[[#This Row],[l_dt]])</f>
        <v>14</v>
      </c>
      <c r="G426" s="10" t="str">
        <f>objet!H345</f>
        <v>TABARTON-OUEST</v>
      </c>
      <c r="H426" s="10" t="str">
        <f>objet!C345</f>
        <v>B659o</v>
      </c>
      <c r="I426" t="str">
        <f>IF(ISNUMBER(VALUE(RIGHT(LEFT(modif0[[#This Row],[idntfn]],2),1))),_xlfn.CONCAT(0,LEFT(modif0[[#This Row],[idntfn]],1)),LEFT(modif0[[#This Row],[idntfn]],2))</f>
        <v>0B</v>
      </c>
      <c r="J426">
        <f>VALUE(LEFT(RIGHT(modif0[[#This Row],[idntfn]],LEN(modif0[[#This Row],[idntfn]])-IF(LEFT(modif0[[#This Row],[sctn]],1)="0",1,2)),LEN(modif0[[#This Row],[idntfn]])-IF(LEFT(modif0[[#This Row],[sctn]],1)="0",1,2)-LEN(modif0[[#This Row],[lttr]])))</f>
        <v>659</v>
      </c>
      <c r="K426" t="str">
        <f>IF(ISNUMBER(VALUE(RIGHT(modif0[[#This Row],[idntfn]],1))),"",IF(ISNUMBER(VALUE(LEFT(RIGHT(modif0[[#This Row],[idntfn]],2),1))),RIGHT(modif0[[#This Row],[idntfn]],1),RIGHT(modif0[[#This Row],[idntfn]],2)))</f>
        <v>o</v>
      </c>
      <c r="L426" s="10">
        <f>objet!I345</f>
        <v>4367</v>
      </c>
      <c r="M426" s="11">
        <f>modif0[[#This Row],[srfc]]/10000</f>
        <v>0.43669999999999998</v>
      </c>
      <c r="N426" s="10" t="str">
        <f>objet!Z345</f>
        <v>FEUIL</v>
      </c>
      <c r="O426" s="10" t="str">
        <f>objet!AA345</f>
        <v>TAIL2000</v>
      </c>
      <c r="P426" t="str">
        <f>IF(ISNUMBER(modif0[[#This Row],[trvx]]),"",LEFT(modif0[[#This Row],[trvx]],LEN(modif0[[#This Row],[trvx]])-4))</f>
        <v>TAIL</v>
      </c>
      <c r="Q426">
        <f>VALUE(RIGHT(modif0[[#This Row],[trvx]],4))</f>
        <v>2000</v>
      </c>
      <c r="R426" t="str">
        <f>_xlfn.CONCAT(modif0[[#This Row],[tp]],"-",modif0[[#This Row],[essnc]],"_",modif0[[#This Row],[anns]])</f>
        <v>TAIL-FEUIL_2000</v>
      </c>
      <c r="S426" t="b">
        <f>modif0[[#This Row],[tp]]="CR"</f>
        <v>0</v>
      </c>
      <c r="T426">
        <v>40</v>
      </c>
      <c r="U426" t="str">
        <f>IF(NOT($A426),"",
IF(AO426=-2,regle!$J$11,
IF(AO426=regle!$B$12,regle!$B$11,
IF(AO426=regle!$C$12,regle!$C$11,
IF(AO426=regle!$D$12,regle!$D$11,
IF(AO426=regle!$E$12,regle!$E$11,
IF(AO426=regle!$F$12,regle!$F$11,
IF(AO426=regle!$G$12,regle!$G$11,
IF(AO426=regle!$H$12,regle!$H$11,
IF(AO426=regle!$I$12,regle!$I$11,""))))))))))</f>
        <v/>
      </c>
      <c r="V426" t="str">
        <f>IF(NOT($A426),"",
IF(AP426=-2,regle!$J$11,
IF(AP426=regle!$B$12,regle!$B$11,
IF(AP426=regle!$C$12,regle!$C$11,
IF(AP426=regle!$D$12,regle!$D$11,
IF(AP426=regle!$E$12,regle!$E$11,
IF(AP426=regle!$F$12,regle!$F$11,
IF(AP426=regle!$G$12,regle!$G$11,
IF(AP426=regle!$H$12,regle!$H$11,
IF(AP426=regle!$I$12,regle!$I$11,""))))))))))</f>
        <v/>
      </c>
      <c r="W426" t="str">
        <f>IF(NOT($A426),"",
IF(AQ426=-2,regle!$J$11,
IF(AQ426=regle!$B$12,regle!$B$11,
IF(AQ426=regle!$C$12,regle!$C$11,
IF(AQ426=regle!$D$12,regle!$D$11,
IF(AQ426=regle!$E$12,regle!$E$11,
IF(AQ426=regle!$F$12,regle!$F$11,
IF(AQ426=regle!$G$12,regle!$G$11,
IF(AQ426=regle!$H$12,regle!$H$11,
IF(AQ426=regle!$I$12,regle!$I$11,""))))))))))</f>
        <v/>
      </c>
      <c r="X426" t="str">
        <f>IF(NOT($A426),"",
IF(AR426=-2,regle!$J$11,
IF(AR426=regle!$B$12,regle!$B$11,
IF(AR426=regle!$C$12,regle!$C$11,
IF(AR426=regle!$D$12,regle!$D$11,
IF(AR426=regle!$E$12,regle!$E$11,
IF(AR426=regle!$F$12,regle!$F$11,
IF(AR426=regle!$G$12,regle!$G$11,
IF(AR426=regle!$H$12,regle!$H$11,
IF(AR426=regle!$I$12,regle!$I$11,""))))))))))</f>
        <v/>
      </c>
      <c r="Y426" t="str">
        <f>IF(NOT($A426),"",
IF(AS426=-2,regle!$J$11,
IF(AS426=regle!$B$12,regle!$B$11,
IF(AS426=regle!$C$12,regle!$C$11,
IF(AS426=regle!$D$12,regle!$D$11,
IF(AS426=regle!$E$12,regle!$E$11,
IF(AS426=regle!$F$12,regle!$F$11,
IF(AS426=regle!$G$12,regle!$G$11,
IF(AS426=regle!$H$12,regle!$H$11,
IF(AS426=regle!$I$12,regle!$I$11,""))))))))))</f>
        <v/>
      </c>
      <c r="Z426" t="str">
        <f>IF(NOT($A426),"",
IF(AT426=-2,regle!$J$11,
IF(AT426=regle!$B$12,regle!$B$11,
IF(AT426=regle!$C$12,regle!$C$11,
IF(AT426=regle!$D$12,regle!$D$11,
IF(AT426=regle!$E$12,regle!$E$11,
IF(AT426=regle!$F$12,regle!$F$11,
IF(AT426=regle!$G$12,regle!$G$11,
IF(AT426=regle!$H$12,regle!$H$11,
IF(AT426=regle!$I$12,regle!$I$11,""))))))))))</f>
        <v/>
      </c>
      <c r="AA426" t="str">
        <f>IF(NOT($A426),"",
IF(AU426=-2,regle!$J$11,
IF(AU426=regle!$B$12,regle!$B$11,
IF(AU426=regle!$C$12,regle!$C$11,
IF(AU426=regle!$D$12,regle!$D$11,
IF(AU426=regle!$E$12,regle!$E$11,
IF(AU426=regle!$F$12,regle!$F$11,
IF(AU426=regle!$G$12,regle!$G$11,
IF(AU426=regle!$H$12,regle!$H$11,
IF(AU426=regle!$I$12,regle!$I$11,""))))))))))</f>
        <v/>
      </c>
      <c r="AB426" t="str">
        <f>IF(NOT($A426),"",
IF(AV426=-2,regle!$J$11,
IF(AV426=regle!$B$12,regle!$B$11,
IF(AV426=regle!$C$12,regle!$C$11,
IF(AV426=regle!$D$12,regle!$D$11,
IF(AV426=regle!$E$12,regle!$E$11,
IF(AV426=regle!$F$12,regle!$F$11,
IF(AV426=regle!$G$12,regle!$G$11,
IF(AV426=regle!$H$12,regle!$H$11,
IF(AV426=regle!$I$12,regle!$I$11,""))))))))))</f>
        <v/>
      </c>
      <c r="AC426" t="str">
        <f>IF(NOT($A426),"",
IF(AW426=-2,regle!$J$11,
IF(AW426=regle!$B$12,regle!$B$11,
IF(AW426=regle!$C$12,regle!$C$11,
IF(AW426=regle!$D$12,regle!$D$11,
IF(AW426=regle!$E$12,regle!$E$11,
IF(AW426=regle!$F$12,regle!$F$11,
IF(AW426=regle!$G$12,regle!$G$11,
IF(AW426=regle!$H$12,regle!$H$11,
IF(AW426=regle!$I$12,regle!$I$11,""))))))))))</f>
        <v/>
      </c>
      <c r="AD426" t="str">
        <f>IF(NOT($A426),"",
IF(AX426=-2,regle!$J$11,
IF(AX426=regle!$B$12,regle!$B$11,
IF(AX426=regle!$C$12,regle!$C$11,
IF(AX426=regle!$D$12,regle!$D$11,
IF(AX426=regle!$E$12,regle!$E$11,
IF(AX426=regle!$F$12,regle!$F$11,
IF(AX426=regle!$G$12,regle!$G$11,
IF(AX426=regle!$H$12,regle!$H$11,
IF(AX426=regle!$I$12,regle!$I$11,""))))))))))</f>
        <v/>
      </c>
      <c r="AE426" s="14" t="b">
        <f>IF($A426,$M426*(IF(U426=regle!$B$11,regle!$B$23,IF(U426=regle!$C$11,regle!$C$23,IF(U426=regle!$D$11,regle!$D$23,IF(U426=regle!$E$11,regle!$E$23,IF(U426=regle!$F$11,regle!$F$23,IF(U426=regle!$G$11,regle!$G$23,IF(U426=regle!$H$11,regle!$H$23,IF(U426=regle!$I$11,regle!$I$23,IF(U426=regle!$J$11,regle!$J$23,0)))))))))))</f>
        <v>0</v>
      </c>
      <c r="AF426" s="14" t="b">
        <f>IF($A426,$M426*(IF(V426=regle!$B$11,regle!$B$23,IF(V426=regle!$C$11,regle!$C$23,IF(V426=regle!$D$11,regle!$D$23,IF(V426=regle!$E$11,regle!$E$23,IF(V426=regle!$F$11,regle!$F$23,IF(V426=regle!$G$11,regle!$G$23,IF(V426=regle!$H$11,regle!$H$23,IF(V426=regle!$I$11,regle!$I$23,IF(V426=regle!$J$11,regle!$J$23,0)))))))))))</f>
        <v>0</v>
      </c>
      <c r="AG426" s="14" t="b">
        <f>IF($A426,$M426*(IF(W426=regle!$B$11,regle!$B$23,IF(W426=regle!$C$11,regle!$C$23,IF(W426=regle!$D$11,regle!$D$23,IF(W426=regle!$E$11,regle!$E$23,IF(W426=regle!$F$11,regle!$F$23,IF(W426=regle!$G$11,regle!$G$23,IF(W426=regle!$H$11,regle!$H$23,IF(W426=regle!$I$11,regle!$I$23,IF(W426=regle!$J$11,regle!$J$23,0)))))))))))</f>
        <v>0</v>
      </c>
      <c r="AH426" s="14" t="b">
        <f>IF($A426,$M426*(IF(X426=regle!$B$11,regle!$B$23,IF(X426=regle!$C$11,regle!$C$23,IF(X426=regle!$D$11,regle!$D$23,IF(X426=regle!$E$11,regle!$E$23,IF(X426=regle!$F$11,regle!$F$23,IF(X426=regle!$G$11,regle!$G$23,IF(X426=regle!$H$11,regle!$H$23,IF(X426=regle!$I$11,regle!$I$23,IF(X426=regle!$J$11,regle!$J$23,0)))))))))))</f>
        <v>0</v>
      </c>
      <c r="AI426" s="14" t="b">
        <f>IF($A426,$M426*(IF(Y426=regle!$B$11,regle!$B$23,IF(Y426=regle!$C$11,regle!$C$23,IF(Y426=regle!$D$11,regle!$D$23,IF(Y426=regle!$E$11,regle!$E$23,IF(Y426=regle!$F$11,regle!$F$23,IF(Y426=regle!$G$11,regle!$G$23,IF(Y426=regle!$H$11,regle!$H$23,IF(Y426=regle!$I$11,regle!$I$23,IF(Y426=regle!$J$11,regle!$J$23,0)))))))))))</f>
        <v>0</v>
      </c>
      <c r="AJ426" s="14" t="b">
        <f>IF($A426,$M426*(IF(Z426=regle!$B$11,regle!$B$23,IF(Z426=regle!$C$11,regle!$C$23,IF(Z426=regle!$D$11,regle!$D$23,IF(Z426=regle!$E$11,regle!$E$23,IF(Z426=regle!$F$11,regle!$F$23,IF(Z426=regle!$G$11,regle!$G$23,IF(Z426=regle!$H$11,regle!$H$23,IF(Z426=regle!$I$11,regle!$I$23,IF(Z426=regle!$J$11,regle!$J$23,0)))))))))))</f>
        <v>0</v>
      </c>
      <c r="AK426" s="14" t="b">
        <f>IF($A426,$M426*(IF(AA426=regle!$B$11,regle!$B$23,IF(AA426=regle!$C$11,regle!$C$23,IF(AA426=regle!$D$11,regle!$D$23,IF(AA426=regle!$E$11,regle!$E$23,IF(AA426=regle!$F$11,regle!$F$23,IF(AA426=regle!$G$11,regle!$G$23,IF(AA426=regle!$H$11,regle!$H$23,IF(AA426=regle!$I$11,regle!$I$23,IF(AA426=regle!$J$11,regle!$J$23,0)))))))))))</f>
        <v>0</v>
      </c>
      <c r="AL426" s="14" t="b">
        <f>IF($A426,$M426*(IF(AB426=regle!$B$11,regle!$B$23,IF(AB426=regle!$C$11,regle!$C$23,IF(AB426=regle!$D$11,regle!$D$23,IF(AB426=regle!$E$11,regle!$E$23,IF(AB426=regle!$F$11,regle!$F$23,IF(AB426=regle!$G$11,regle!$G$23,IF(AB426=regle!$H$11,regle!$H$23,IF(AB426=regle!$I$11,regle!$I$23,IF(AB426=regle!$J$11,regle!$J$23,0)))))))))))</f>
        <v>0</v>
      </c>
      <c r="AM426" s="14" t="b">
        <f>IF($A426,$M426*(IF(AC426=regle!$B$11,regle!$B$23,IF(AC426=regle!$C$11,regle!$C$23,IF(AC426=regle!$D$11,regle!$D$23,IF(AC426=regle!$E$11,regle!$E$23,IF(AC426=regle!$F$11,regle!$F$23,IF(AC426=regle!$G$11,regle!$G$23,IF(AC426=regle!$H$11,regle!$H$23,IF(AC426=regle!$I$11,regle!$I$23,IF(AC426=regle!$J$11,regle!$J$23,0)))))))))))</f>
        <v>0</v>
      </c>
      <c r="AN426" s="14" t="b">
        <f>IF($A426,$M426*(IF(AD426=regle!$B$11,regle!$B$23,IF(AD426=regle!$C$11,regle!$C$23,IF(AD426=regle!$D$11,regle!$D$23,IF(AD426=regle!$E$11,regle!$E$23,IF(AD426=regle!$F$11,regle!$F$23,IF(AD426=regle!$G$11,regle!$G$23,IF(AD426=regle!$H$11,regle!$H$23,IF(AD426=regle!$I$11,regle!$I$23,IF(AD426=regle!$J$11,regle!$J$23,0)))))))))))</f>
        <v>0</v>
      </c>
      <c r="AO426">
        <f>IF(AO$1=$AO$1,IF(regle!B$2-$Q426&gt;=regle!$J$12,-2,IF($S426,IF(regle!$B$2-$Q426&gt;=2,0,-1),regle!B$2-$Q426)),IF(AN426+1&gt;=regle!$J$12,-2,AN426+1))</f>
        <v>24</v>
      </c>
      <c r="AP426">
        <f>IF(AP$1=$AO$1,IF(regle!C$2-$Q426&gt;=regle!$J$12,-2,IF($S426,IF(regle!$B$2-$Q426&gt;=2,0,-1),regle!C$2-$Q426)),IF(AO426+1&gt;=regle!$J$12,-2,AO426+1))</f>
        <v>25</v>
      </c>
      <c r="AQ426">
        <f>IF(AQ$1=$AO$1,IF(regle!D$2-$Q426&gt;=regle!$J$12,-2,IF($S426,IF(regle!$B$2-$Q426&gt;=2,0,-1),regle!D$2-$Q426)),IF(AP426+1&gt;=regle!$J$12,-2,AP426+1))</f>
        <v>26</v>
      </c>
      <c r="AR426">
        <f>IF(AR$1=$AO$1,IF(regle!E$2-$Q426&gt;=regle!$J$12,-2,IF($S426,IF(regle!$B$2-$Q426&gt;=2,0,-1),regle!E$2-$Q426)),IF(AQ426+1&gt;=regle!$J$12,-2,AQ426+1))</f>
        <v>27</v>
      </c>
      <c r="AS426">
        <f>IF(AS$1=$AO$1,IF(regle!F$2-$Q426&gt;=regle!$J$12,-2,IF($S426,IF(regle!$B$2-$Q426&gt;=2,0,-1),regle!F$2-$Q426)),IF(AR426+1&gt;=regle!$J$12,-2,AR426+1))</f>
        <v>28</v>
      </c>
      <c r="AT426">
        <f>IF(AT$1=$AO$1,IF(regle!G$2-$Q426&gt;=regle!$J$12,-2,IF($S426,IF(regle!$B$2-$Q426&gt;=2,0,-1),regle!G$2-$Q426)),IF(AS426+1&gt;=regle!$J$12,-2,AS426+1))</f>
        <v>29</v>
      </c>
      <c r="AU426">
        <f>IF(AU$1=$AO$1,IF(regle!H$2-$Q426&gt;=regle!$J$12,-2,IF($S426,IF(regle!$B$2-$Q426&gt;=2,0,-1),regle!H$2-$Q426)),IF(AT426+1&gt;=regle!$J$12,-2,AT426+1))</f>
        <v>30</v>
      </c>
      <c r="AV426">
        <f>IF(AV$1=$AO$1,IF(regle!I$2-$Q426&gt;=regle!$J$12,-2,IF($S426,IF(regle!$B$2-$Q426&gt;=2,0,-1),regle!I$2-$Q426)),IF(AU426+1&gt;=regle!$J$12,-2,AU426+1))</f>
        <v>31</v>
      </c>
      <c r="AW426">
        <f>IF(AW$1=$AO$1,IF(regle!J$2-$Q426&gt;=regle!$J$12,-2,IF($S426,IF(regle!$B$2-$Q426&gt;=2,0,-1),regle!J$2-$Q426)),IF(AV426+1&gt;=regle!$J$12,-2,AV426+1))</f>
        <v>32</v>
      </c>
      <c r="AX426">
        <f>IF(AX$1=$AO$1,IF(regle!K$2-$Q426&gt;=regle!$J$12,-2,IF($S426,IF(regle!$B$2-$Q426&gt;=2,0,-1),regle!K$2-$Q426)),IF(AW426+1&gt;=regle!$J$12,-2,AW426+1))</f>
        <v>33</v>
      </c>
    </row>
    <row r="427" spans="1:50" x14ac:dyDescent="0.25">
      <c r="A427" t="b">
        <f>AND(modif0[[#This Row],[cdstr]]&lt;&gt;0,OR(regle!$H$27=FALSE,modif0[[#This Row],[essnc]]="PM"))</f>
        <v>0</v>
      </c>
      <c r="B427">
        <f>ROW(objet!A388)</f>
        <v>388</v>
      </c>
      <c r="C427" s="10" t="str">
        <f>objet!D388</f>
        <v>0770000D2309</v>
      </c>
      <c r="D427" t="str">
        <f>LEFT(modif0[[#This Row],[cdstr]],3)</f>
        <v>077</v>
      </c>
      <c r="E427" s="10" t="str">
        <f>objet!G388</f>
        <v>CABANAC-ET-VILLAGRAINS</v>
      </c>
      <c r="F427">
        <f>LEN(modif0[[#This Row],[l_dt]])</f>
        <v>12</v>
      </c>
      <c r="G427" s="10" t="str">
        <f>objet!H388</f>
        <v>LES JEANNOTS</v>
      </c>
      <c r="H427" s="10" t="str">
        <f>objet!C388</f>
        <v>D2309</v>
      </c>
      <c r="I427" t="str">
        <f>IF(ISNUMBER(VALUE(RIGHT(LEFT(modif0[[#This Row],[idntfn]],2),1))),_xlfn.CONCAT(0,LEFT(modif0[[#This Row],[idntfn]],1)),LEFT(modif0[[#This Row],[idntfn]],2))</f>
        <v>0D</v>
      </c>
      <c r="J427">
        <f>VALUE(LEFT(RIGHT(modif0[[#This Row],[idntfn]],LEN(modif0[[#This Row],[idntfn]])-IF(LEFT(modif0[[#This Row],[sctn]],1)="0",1,2)),LEN(modif0[[#This Row],[idntfn]])-IF(LEFT(modif0[[#This Row],[sctn]],1)="0",1,2)-LEN(modif0[[#This Row],[lttr]])))</f>
        <v>2309</v>
      </c>
      <c r="K427" t="str">
        <f>IF(ISNUMBER(VALUE(RIGHT(modif0[[#This Row],[idntfn]],1))),"",IF(ISNUMBER(VALUE(LEFT(RIGHT(modif0[[#This Row],[idntfn]],2),1))),RIGHT(modif0[[#This Row],[idntfn]],1),RIGHT(modif0[[#This Row],[idntfn]],2)))</f>
        <v/>
      </c>
      <c r="L427" s="10">
        <f>objet!I388</f>
        <v>26</v>
      </c>
      <c r="M427" s="11">
        <f>modif0[[#This Row],[srfc]]/10000</f>
        <v>2.5999999999999999E-3</v>
      </c>
      <c r="N427" s="10" t="str">
        <f>objet!Z388</f>
        <v>FEUIL</v>
      </c>
      <c r="O427" s="10" t="str">
        <f>objet!AA388</f>
        <v>TAIL1980</v>
      </c>
      <c r="P427" t="str">
        <f>IF(ISNUMBER(modif0[[#This Row],[trvx]]),"",LEFT(modif0[[#This Row],[trvx]],LEN(modif0[[#This Row],[trvx]])-4))</f>
        <v>TAIL</v>
      </c>
      <c r="Q427">
        <f>VALUE(RIGHT(modif0[[#This Row],[trvx]],4))</f>
        <v>1980</v>
      </c>
      <c r="R427" t="str">
        <f>_xlfn.CONCAT(modif0[[#This Row],[tp]],"-",modif0[[#This Row],[essnc]],"_",modif0[[#This Row],[anns]])</f>
        <v>TAIL-FEUIL_1980</v>
      </c>
      <c r="S427" t="b">
        <f>modif0[[#This Row],[tp]]="CR"</f>
        <v>0</v>
      </c>
      <c r="T427">
        <v>40</v>
      </c>
      <c r="U427" t="str">
        <f>IF(NOT($A427),"",
IF(AO427=-2,regle!$J$11,
IF(AO427=regle!$B$12,regle!$B$11,
IF(AO427=regle!$C$12,regle!$C$11,
IF(AO427=regle!$D$12,regle!$D$11,
IF(AO427=regle!$E$12,regle!$E$11,
IF(AO427=regle!$F$12,regle!$F$11,
IF(AO427=regle!$G$12,regle!$G$11,
IF(AO427=regle!$H$12,regle!$H$11,
IF(AO427=regle!$I$12,regle!$I$11,""))))))))))</f>
        <v/>
      </c>
      <c r="V427" t="str">
        <f>IF(NOT($A427),"",
IF(AP427=-2,regle!$J$11,
IF(AP427=regle!$B$12,regle!$B$11,
IF(AP427=regle!$C$12,regle!$C$11,
IF(AP427=regle!$D$12,regle!$D$11,
IF(AP427=regle!$E$12,regle!$E$11,
IF(AP427=regle!$F$12,regle!$F$11,
IF(AP427=regle!$G$12,regle!$G$11,
IF(AP427=regle!$H$12,regle!$H$11,
IF(AP427=regle!$I$12,regle!$I$11,""))))))))))</f>
        <v/>
      </c>
      <c r="W427" t="str">
        <f>IF(NOT($A427),"",
IF(AQ427=-2,regle!$J$11,
IF(AQ427=regle!$B$12,regle!$B$11,
IF(AQ427=regle!$C$12,regle!$C$11,
IF(AQ427=regle!$D$12,regle!$D$11,
IF(AQ427=regle!$E$12,regle!$E$11,
IF(AQ427=regle!$F$12,regle!$F$11,
IF(AQ427=regle!$G$12,regle!$G$11,
IF(AQ427=regle!$H$12,regle!$H$11,
IF(AQ427=regle!$I$12,regle!$I$11,""))))))))))</f>
        <v/>
      </c>
      <c r="X427" t="str">
        <f>IF(NOT($A427),"",
IF(AR427=-2,regle!$J$11,
IF(AR427=regle!$B$12,regle!$B$11,
IF(AR427=regle!$C$12,regle!$C$11,
IF(AR427=regle!$D$12,regle!$D$11,
IF(AR427=regle!$E$12,regle!$E$11,
IF(AR427=regle!$F$12,regle!$F$11,
IF(AR427=regle!$G$12,regle!$G$11,
IF(AR427=regle!$H$12,regle!$H$11,
IF(AR427=regle!$I$12,regle!$I$11,""))))))))))</f>
        <v/>
      </c>
      <c r="Y427" t="str">
        <f>IF(NOT($A427),"",
IF(AS427=-2,regle!$J$11,
IF(AS427=regle!$B$12,regle!$B$11,
IF(AS427=regle!$C$12,regle!$C$11,
IF(AS427=regle!$D$12,regle!$D$11,
IF(AS427=regle!$E$12,regle!$E$11,
IF(AS427=regle!$F$12,regle!$F$11,
IF(AS427=regle!$G$12,regle!$G$11,
IF(AS427=regle!$H$12,regle!$H$11,
IF(AS427=regle!$I$12,regle!$I$11,""))))))))))</f>
        <v/>
      </c>
      <c r="Z427" t="str">
        <f>IF(NOT($A427),"",
IF(AT427=-2,regle!$J$11,
IF(AT427=regle!$B$12,regle!$B$11,
IF(AT427=regle!$C$12,regle!$C$11,
IF(AT427=regle!$D$12,regle!$D$11,
IF(AT427=regle!$E$12,regle!$E$11,
IF(AT427=regle!$F$12,regle!$F$11,
IF(AT427=regle!$G$12,regle!$G$11,
IF(AT427=regle!$H$12,regle!$H$11,
IF(AT427=regle!$I$12,regle!$I$11,""))))))))))</f>
        <v/>
      </c>
      <c r="AA427" t="str">
        <f>IF(NOT($A427),"",
IF(AU427=-2,regle!$J$11,
IF(AU427=regle!$B$12,regle!$B$11,
IF(AU427=regle!$C$12,regle!$C$11,
IF(AU427=regle!$D$12,regle!$D$11,
IF(AU427=regle!$E$12,regle!$E$11,
IF(AU427=regle!$F$12,regle!$F$11,
IF(AU427=regle!$G$12,regle!$G$11,
IF(AU427=regle!$H$12,regle!$H$11,
IF(AU427=regle!$I$12,regle!$I$11,""))))))))))</f>
        <v/>
      </c>
      <c r="AB427" t="str">
        <f>IF(NOT($A427),"",
IF(AV427=-2,regle!$J$11,
IF(AV427=regle!$B$12,regle!$B$11,
IF(AV427=regle!$C$12,regle!$C$11,
IF(AV427=regle!$D$12,regle!$D$11,
IF(AV427=regle!$E$12,regle!$E$11,
IF(AV427=regle!$F$12,regle!$F$11,
IF(AV427=regle!$G$12,regle!$G$11,
IF(AV427=regle!$H$12,regle!$H$11,
IF(AV427=regle!$I$12,regle!$I$11,""))))))))))</f>
        <v/>
      </c>
      <c r="AC427" t="str">
        <f>IF(NOT($A427),"",
IF(AW427=-2,regle!$J$11,
IF(AW427=regle!$B$12,regle!$B$11,
IF(AW427=regle!$C$12,regle!$C$11,
IF(AW427=regle!$D$12,regle!$D$11,
IF(AW427=regle!$E$12,regle!$E$11,
IF(AW427=regle!$F$12,regle!$F$11,
IF(AW427=regle!$G$12,regle!$G$11,
IF(AW427=regle!$H$12,regle!$H$11,
IF(AW427=regle!$I$12,regle!$I$11,""))))))))))</f>
        <v/>
      </c>
      <c r="AD427" t="str">
        <f>IF(NOT($A427),"",
IF(AX427=-2,regle!$J$11,
IF(AX427=regle!$B$12,regle!$B$11,
IF(AX427=regle!$C$12,regle!$C$11,
IF(AX427=regle!$D$12,regle!$D$11,
IF(AX427=regle!$E$12,regle!$E$11,
IF(AX427=regle!$F$12,regle!$F$11,
IF(AX427=regle!$G$12,regle!$G$11,
IF(AX427=regle!$H$12,regle!$H$11,
IF(AX427=regle!$I$12,regle!$I$11,""))))))))))</f>
        <v/>
      </c>
      <c r="AE427" s="14" t="b">
        <f>IF($A427,$M427*(IF(U427=regle!$B$11,regle!$B$23,IF(U427=regle!$C$11,regle!$C$23,IF(U427=regle!$D$11,regle!$D$23,IF(U427=regle!$E$11,regle!$E$23,IF(U427=regle!$F$11,regle!$F$23,IF(U427=regle!$G$11,regle!$G$23,IF(U427=regle!$H$11,regle!$H$23,IF(U427=regle!$I$11,regle!$I$23,IF(U427=regle!$J$11,regle!$J$23,0)))))))))))</f>
        <v>0</v>
      </c>
      <c r="AF427" s="14" t="b">
        <f>IF($A427,$M427*(IF(V427=regle!$B$11,regle!$B$23,IF(V427=regle!$C$11,regle!$C$23,IF(V427=regle!$D$11,regle!$D$23,IF(V427=regle!$E$11,regle!$E$23,IF(V427=regle!$F$11,regle!$F$23,IF(V427=regle!$G$11,regle!$G$23,IF(V427=regle!$H$11,regle!$H$23,IF(V427=regle!$I$11,regle!$I$23,IF(V427=regle!$J$11,regle!$J$23,0)))))))))))</f>
        <v>0</v>
      </c>
      <c r="AG427" s="14" t="b">
        <f>IF($A427,$M427*(IF(W427=regle!$B$11,regle!$B$23,IF(W427=regle!$C$11,regle!$C$23,IF(W427=regle!$D$11,regle!$D$23,IF(W427=regle!$E$11,regle!$E$23,IF(W427=regle!$F$11,regle!$F$23,IF(W427=regle!$G$11,regle!$G$23,IF(W427=regle!$H$11,regle!$H$23,IF(W427=regle!$I$11,regle!$I$23,IF(W427=regle!$J$11,regle!$J$23,0)))))))))))</f>
        <v>0</v>
      </c>
      <c r="AH427" s="14" t="b">
        <f>IF($A427,$M427*(IF(X427=regle!$B$11,regle!$B$23,IF(X427=regle!$C$11,regle!$C$23,IF(X427=regle!$D$11,regle!$D$23,IF(X427=regle!$E$11,regle!$E$23,IF(X427=regle!$F$11,regle!$F$23,IF(X427=regle!$G$11,regle!$G$23,IF(X427=regle!$H$11,regle!$H$23,IF(X427=regle!$I$11,regle!$I$23,IF(X427=regle!$J$11,regle!$J$23,0)))))))))))</f>
        <v>0</v>
      </c>
      <c r="AI427" s="14" t="b">
        <f>IF($A427,$M427*(IF(Y427=regle!$B$11,regle!$B$23,IF(Y427=regle!$C$11,regle!$C$23,IF(Y427=regle!$D$11,regle!$D$23,IF(Y427=regle!$E$11,regle!$E$23,IF(Y427=regle!$F$11,regle!$F$23,IF(Y427=regle!$G$11,regle!$G$23,IF(Y427=regle!$H$11,regle!$H$23,IF(Y427=regle!$I$11,regle!$I$23,IF(Y427=regle!$J$11,regle!$J$23,0)))))))))))</f>
        <v>0</v>
      </c>
      <c r="AJ427" s="14" t="b">
        <f>IF($A427,$M427*(IF(Z427=regle!$B$11,regle!$B$23,IF(Z427=regle!$C$11,regle!$C$23,IF(Z427=regle!$D$11,regle!$D$23,IF(Z427=regle!$E$11,regle!$E$23,IF(Z427=regle!$F$11,regle!$F$23,IF(Z427=regle!$G$11,regle!$G$23,IF(Z427=regle!$H$11,regle!$H$23,IF(Z427=regle!$I$11,regle!$I$23,IF(Z427=regle!$J$11,regle!$J$23,0)))))))))))</f>
        <v>0</v>
      </c>
      <c r="AK427" s="14" t="b">
        <f>IF($A427,$M427*(IF(AA427=regle!$B$11,regle!$B$23,IF(AA427=regle!$C$11,regle!$C$23,IF(AA427=regle!$D$11,regle!$D$23,IF(AA427=regle!$E$11,regle!$E$23,IF(AA427=regle!$F$11,regle!$F$23,IF(AA427=regle!$G$11,regle!$G$23,IF(AA427=regle!$H$11,regle!$H$23,IF(AA427=regle!$I$11,regle!$I$23,IF(AA427=regle!$J$11,regle!$J$23,0)))))))))))</f>
        <v>0</v>
      </c>
      <c r="AL427" s="14" t="b">
        <f>IF($A427,$M427*(IF(AB427=regle!$B$11,regle!$B$23,IF(AB427=regle!$C$11,regle!$C$23,IF(AB427=regle!$D$11,regle!$D$23,IF(AB427=regle!$E$11,regle!$E$23,IF(AB427=regle!$F$11,regle!$F$23,IF(AB427=regle!$G$11,regle!$G$23,IF(AB427=regle!$H$11,regle!$H$23,IF(AB427=regle!$I$11,regle!$I$23,IF(AB427=regle!$J$11,regle!$J$23,0)))))))))))</f>
        <v>0</v>
      </c>
      <c r="AM427" s="14" t="b">
        <f>IF($A427,$M427*(IF(AC427=regle!$B$11,regle!$B$23,IF(AC427=regle!$C$11,regle!$C$23,IF(AC427=regle!$D$11,regle!$D$23,IF(AC427=regle!$E$11,regle!$E$23,IF(AC427=regle!$F$11,regle!$F$23,IF(AC427=regle!$G$11,regle!$G$23,IF(AC427=regle!$H$11,regle!$H$23,IF(AC427=regle!$I$11,regle!$I$23,IF(AC427=regle!$J$11,regle!$J$23,0)))))))))))</f>
        <v>0</v>
      </c>
      <c r="AN427" s="14" t="b">
        <f>IF($A427,$M427*(IF(AD427=regle!$B$11,regle!$B$23,IF(AD427=regle!$C$11,regle!$C$23,IF(AD427=regle!$D$11,regle!$D$23,IF(AD427=regle!$E$11,regle!$E$23,IF(AD427=regle!$F$11,regle!$F$23,IF(AD427=regle!$G$11,regle!$G$23,IF(AD427=regle!$H$11,regle!$H$23,IF(AD427=regle!$I$11,regle!$I$23,IF(AD427=regle!$J$11,regle!$J$23,0)))))))))))</f>
        <v>0</v>
      </c>
      <c r="AO427">
        <f>IF(AO$1=$AO$1,IF(regle!B$2-$Q427&gt;=regle!$J$12,-2,IF($S427,IF(regle!$B$2-$Q427&gt;=2,0,-1),regle!B$2-$Q427)),IF(AN427+1&gt;=regle!$J$12,-2,AN427+1))</f>
        <v>-2</v>
      </c>
      <c r="AP427">
        <f>IF(AP$1=$AO$1,IF(regle!C$2-$Q427&gt;=regle!$J$12,-2,IF($S427,IF(regle!$B$2-$Q427&gt;=2,0,-1),regle!C$2-$Q427)),IF(AO427+1&gt;=regle!$J$12,-2,AO427+1))</f>
        <v>-1</v>
      </c>
      <c r="AQ427">
        <f>IF(AQ$1=$AO$1,IF(regle!D$2-$Q427&gt;=regle!$J$12,-2,IF($S427,IF(regle!$B$2-$Q427&gt;=2,0,-1),regle!D$2-$Q427)),IF(AP427+1&gt;=regle!$J$12,-2,AP427+1))</f>
        <v>0</v>
      </c>
      <c r="AR427">
        <f>IF(AR$1=$AO$1,IF(regle!E$2-$Q427&gt;=regle!$J$12,-2,IF($S427,IF(regle!$B$2-$Q427&gt;=2,0,-1),regle!E$2-$Q427)),IF(AQ427+1&gt;=regle!$J$12,-2,AQ427+1))</f>
        <v>1</v>
      </c>
      <c r="AS427">
        <f>IF(AS$1=$AO$1,IF(regle!F$2-$Q427&gt;=regle!$J$12,-2,IF($S427,IF(regle!$B$2-$Q427&gt;=2,0,-1),regle!F$2-$Q427)),IF(AR427+1&gt;=regle!$J$12,-2,AR427+1))</f>
        <v>2</v>
      </c>
      <c r="AT427">
        <f>IF(AT$1=$AO$1,IF(regle!G$2-$Q427&gt;=regle!$J$12,-2,IF($S427,IF(regle!$B$2-$Q427&gt;=2,0,-1),regle!G$2-$Q427)),IF(AS427+1&gt;=regle!$J$12,-2,AS427+1))</f>
        <v>3</v>
      </c>
      <c r="AU427">
        <f>IF(AU$1=$AO$1,IF(regle!H$2-$Q427&gt;=regle!$J$12,-2,IF($S427,IF(regle!$B$2-$Q427&gt;=2,0,-1),regle!H$2-$Q427)),IF(AT427+1&gt;=regle!$J$12,-2,AT427+1))</f>
        <v>4</v>
      </c>
      <c r="AV427">
        <f>IF(AV$1=$AO$1,IF(regle!I$2-$Q427&gt;=regle!$J$12,-2,IF($S427,IF(regle!$B$2-$Q427&gt;=2,0,-1),regle!I$2-$Q427)),IF(AU427+1&gt;=regle!$J$12,-2,AU427+1))</f>
        <v>5</v>
      </c>
      <c r="AW427">
        <f>IF(AW$1=$AO$1,IF(regle!J$2-$Q427&gt;=regle!$J$12,-2,IF($S427,IF(regle!$B$2-$Q427&gt;=2,0,-1),regle!J$2-$Q427)),IF(AV427+1&gt;=regle!$J$12,-2,AV427+1))</f>
        <v>6</v>
      </c>
      <c r="AX427">
        <f>IF(AX$1=$AO$1,IF(regle!K$2-$Q427&gt;=regle!$J$12,-2,IF($S427,IF(regle!$B$2-$Q427&gt;=2,0,-1),regle!K$2-$Q427)),IF(AW427+1&gt;=regle!$J$12,-2,AW427+1))</f>
        <v>7</v>
      </c>
    </row>
    <row r="428" spans="1:50" x14ac:dyDescent="0.25">
      <c r="A428" t="b">
        <f>AND(modif0[[#This Row],[cdstr]]&lt;&gt;0,OR(regle!$H$27=FALSE,modif0[[#This Row],[essnc]]="PM"))</f>
        <v>0</v>
      </c>
      <c r="B428">
        <f>ROW(objet!A393)</f>
        <v>393</v>
      </c>
      <c r="C428" s="10" t="str">
        <f>objet!D393</f>
        <v>2000000M0001</v>
      </c>
      <c r="D428" t="str">
        <f>LEFT(modif0[[#This Row],[cdstr]],3)</f>
        <v>200</v>
      </c>
      <c r="E428" s="10" t="str">
        <f>objet!G393</f>
        <v>MOUSTEY</v>
      </c>
      <c r="F428">
        <f>LEN(modif0[[#This Row],[l_dt]])</f>
        <v>5</v>
      </c>
      <c r="G428" s="10" t="str">
        <f>objet!H393</f>
        <v>Plata</v>
      </c>
      <c r="H428" s="10" t="str">
        <f>objet!C393</f>
        <v>M1</v>
      </c>
      <c r="I428" t="str">
        <f>IF(ISNUMBER(VALUE(RIGHT(LEFT(modif0[[#This Row],[idntfn]],2),1))),_xlfn.CONCAT(0,LEFT(modif0[[#This Row],[idntfn]],1)),LEFT(modif0[[#This Row],[idntfn]],2))</f>
        <v>0M</v>
      </c>
      <c r="J428">
        <f>VALUE(LEFT(RIGHT(modif0[[#This Row],[idntfn]],LEN(modif0[[#This Row],[idntfn]])-IF(LEFT(modif0[[#This Row],[sctn]],1)="0",1,2)),LEN(modif0[[#This Row],[idntfn]])-IF(LEFT(modif0[[#This Row],[sctn]],1)="0",1,2)-LEN(modif0[[#This Row],[lttr]])))</f>
        <v>1</v>
      </c>
      <c r="K428" t="str">
        <f>IF(ISNUMBER(VALUE(RIGHT(modif0[[#This Row],[idntfn]],1))),"",IF(ISNUMBER(VALUE(LEFT(RIGHT(modif0[[#This Row],[idntfn]],2),1))),RIGHT(modif0[[#This Row],[idntfn]],1),RIGHT(modif0[[#This Row],[idntfn]],2)))</f>
        <v/>
      </c>
      <c r="L428" s="10">
        <f>objet!I393</f>
        <v>10017</v>
      </c>
      <c r="M428" s="11">
        <f>modif0[[#This Row],[srfc]]/10000</f>
        <v>1.0017</v>
      </c>
      <c r="N428" s="10" t="str">
        <f>objet!Z393</f>
        <v>FEUIL</v>
      </c>
      <c r="O428" s="10" t="str">
        <f>objet!AA393</f>
        <v>TAIL1980</v>
      </c>
      <c r="P428" t="str">
        <f>IF(ISNUMBER(modif0[[#This Row],[trvx]]),"",LEFT(modif0[[#This Row],[trvx]],LEN(modif0[[#This Row],[trvx]])-4))</f>
        <v>TAIL</v>
      </c>
      <c r="Q428">
        <f>VALUE(RIGHT(modif0[[#This Row],[trvx]],4))</f>
        <v>1980</v>
      </c>
      <c r="R428" t="str">
        <f>_xlfn.CONCAT(modif0[[#This Row],[tp]],"-",modif0[[#This Row],[essnc]],"_",modif0[[#This Row],[anns]])</f>
        <v>TAIL-FEUIL_1980</v>
      </c>
      <c r="S428" t="b">
        <f>modif0[[#This Row],[tp]]="CR"</f>
        <v>0</v>
      </c>
      <c r="T428">
        <v>40</v>
      </c>
      <c r="U428" t="str">
        <f>IF(NOT($A428),"",
IF(AO428=-2,regle!$J$11,
IF(AO428=regle!$B$12,regle!$B$11,
IF(AO428=regle!$C$12,regle!$C$11,
IF(AO428=regle!$D$12,regle!$D$11,
IF(AO428=regle!$E$12,regle!$E$11,
IF(AO428=regle!$F$12,regle!$F$11,
IF(AO428=regle!$G$12,regle!$G$11,
IF(AO428=regle!$H$12,regle!$H$11,
IF(AO428=regle!$I$12,regle!$I$11,""))))))))))</f>
        <v/>
      </c>
      <c r="V428" t="str">
        <f>IF(NOT($A428),"",
IF(AP428=-2,regle!$J$11,
IF(AP428=regle!$B$12,regle!$B$11,
IF(AP428=regle!$C$12,regle!$C$11,
IF(AP428=regle!$D$12,regle!$D$11,
IF(AP428=regle!$E$12,regle!$E$11,
IF(AP428=regle!$F$12,regle!$F$11,
IF(AP428=regle!$G$12,regle!$G$11,
IF(AP428=regle!$H$12,regle!$H$11,
IF(AP428=regle!$I$12,regle!$I$11,""))))))))))</f>
        <v/>
      </c>
      <c r="W428" t="str">
        <f>IF(NOT($A428),"",
IF(AQ428=-2,regle!$J$11,
IF(AQ428=regle!$B$12,regle!$B$11,
IF(AQ428=regle!$C$12,regle!$C$11,
IF(AQ428=regle!$D$12,regle!$D$11,
IF(AQ428=regle!$E$12,regle!$E$11,
IF(AQ428=regle!$F$12,regle!$F$11,
IF(AQ428=regle!$G$12,regle!$G$11,
IF(AQ428=regle!$H$12,regle!$H$11,
IF(AQ428=regle!$I$12,regle!$I$11,""))))))))))</f>
        <v/>
      </c>
      <c r="X428" t="str">
        <f>IF(NOT($A428),"",
IF(AR428=-2,regle!$J$11,
IF(AR428=regle!$B$12,regle!$B$11,
IF(AR428=regle!$C$12,regle!$C$11,
IF(AR428=regle!$D$12,regle!$D$11,
IF(AR428=regle!$E$12,regle!$E$11,
IF(AR428=regle!$F$12,regle!$F$11,
IF(AR428=regle!$G$12,regle!$G$11,
IF(AR428=regle!$H$12,regle!$H$11,
IF(AR428=regle!$I$12,regle!$I$11,""))))))))))</f>
        <v/>
      </c>
      <c r="Y428" t="str">
        <f>IF(NOT($A428),"",
IF(AS428=-2,regle!$J$11,
IF(AS428=regle!$B$12,regle!$B$11,
IF(AS428=regle!$C$12,regle!$C$11,
IF(AS428=regle!$D$12,regle!$D$11,
IF(AS428=regle!$E$12,regle!$E$11,
IF(AS428=regle!$F$12,regle!$F$11,
IF(AS428=regle!$G$12,regle!$G$11,
IF(AS428=regle!$H$12,regle!$H$11,
IF(AS428=regle!$I$12,regle!$I$11,""))))))))))</f>
        <v/>
      </c>
      <c r="Z428" t="str">
        <f>IF(NOT($A428),"",
IF(AT428=-2,regle!$J$11,
IF(AT428=regle!$B$12,regle!$B$11,
IF(AT428=regle!$C$12,regle!$C$11,
IF(AT428=regle!$D$12,regle!$D$11,
IF(AT428=regle!$E$12,regle!$E$11,
IF(AT428=regle!$F$12,regle!$F$11,
IF(AT428=regle!$G$12,regle!$G$11,
IF(AT428=regle!$H$12,regle!$H$11,
IF(AT428=regle!$I$12,regle!$I$11,""))))))))))</f>
        <v/>
      </c>
      <c r="AA428" t="str">
        <f>IF(NOT($A428),"",
IF(AU428=-2,regle!$J$11,
IF(AU428=regle!$B$12,regle!$B$11,
IF(AU428=regle!$C$12,regle!$C$11,
IF(AU428=regle!$D$12,regle!$D$11,
IF(AU428=regle!$E$12,regle!$E$11,
IF(AU428=regle!$F$12,regle!$F$11,
IF(AU428=regle!$G$12,regle!$G$11,
IF(AU428=regle!$H$12,regle!$H$11,
IF(AU428=regle!$I$12,regle!$I$11,""))))))))))</f>
        <v/>
      </c>
      <c r="AB428" t="str">
        <f>IF(NOT($A428),"",
IF(AV428=-2,regle!$J$11,
IF(AV428=regle!$B$12,regle!$B$11,
IF(AV428=regle!$C$12,regle!$C$11,
IF(AV428=regle!$D$12,regle!$D$11,
IF(AV428=regle!$E$12,regle!$E$11,
IF(AV428=regle!$F$12,regle!$F$11,
IF(AV428=regle!$G$12,regle!$G$11,
IF(AV428=regle!$H$12,regle!$H$11,
IF(AV428=regle!$I$12,regle!$I$11,""))))))))))</f>
        <v/>
      </c>
      <c r="AC428" t="str">
        <f>IF(NOT($A428),"",
IF(AW428=-2,regle!$J$11,
IF(AW428=regle!$B$12,regle!$B$11,
IF(AW428=regle!$C$12,regle!$C$11,
IF(AW428=regle!$D$12,regle!$D$11,
IF(AW428=regle!$E$12,regle!$E$11,
IF(AW428=regle!$F$12,regle!$F$11,
IF(AW428=regle!$G$12,regle!$G$11,
IF(AW428=regle!$H$12,regle!$H$11,
IF(AW428=regle!$I$12,regle!$I$11,""))))))))))</f>
        <v/>
      </c>
      <c r="AD428" t="str">
        <f>IF(NOT($A428),"",
IF(AX428=-2,regle!$J$11,
IF(AX428=regle!$B$12,regle!$B$11,
IF(AX428=regle!$C$12,regle!$C$11,
IF(AX428=regle!$D$12,regle!$D$11,
IF(AX428=regle!$E$12,regle!$E$11,
IF(AX428=regle!$F$12,regle!$F$11,
IF(AX428=regle!$G$12,regle!$G$11,
IF(AX428=regle!$H$12,regle!$H$11,
IF(AX428=regle!$I$12,regle!$I$11,""))))))))))</f>
        <v/>
      </c>
      <c r="AE428" s="14" t="b">
        <f>IF($A428,$M428*(IF(U428=regle!$B$11,regle!$B$23,IF(U428=regle!$C$11,regle!$C$23,IF(U428=regle!$D$11,regle!$D$23,IF(U428=regle!$E$11,regle!$E$23,IF(U428=regle!$F$11,regle!$F$23,IF(U428=regle!$G$11,regle!$G$23,IF(U428=regle!$H$11,regle!$H$23,IF(U428=regle!$I$11,regle!$I$23,IF(U428=regle!$J$11,regle!$J$23,0)))))))))))</f>
        <v>0</v>
      </c>
      <c r="AF428" s="14" t="b">
        <f>IF($A428,$M428*(IF(V428=regle!$B$11,regle!$B$23,IF(V428=regle!$C$11,regle!$C$23,IF(V428=regle!$D$11,regle!$D$23,IF(V428=regle!$E$11,regle!$E$23,IF(V428=regle!$F$11,regle!$F$23,IF(V428=regle!$G$11,regle!$G$23,IF(V428=regle!$H$11,regle!$H$23,IF(V428=regle!$I$11,regle!$I$23,IF(V428=regle!$J$11,regle!$J$23,0)))))))))))</f>
        <v>0</v>
      </c>
      <c r="AG428" s="14" t="b">
        <f>IF($A428,$M428*(IF(W428=regle!$B$11,regle!$B$23,IF(W428=regle!$C$11,regle!$C$23,IF(W428=regle!$D$11,regle!$D$23,IF(W428=regle!$E$11,regle!$E$23,IF(W428=regle!$F$11,regle!$F$23,IF(W428=regle!$G$11,regle!$G$23,IF(W428=regle!$H$11,regle!$H$23,IF(W428=regle!$I$11,regle!$I$23,IF(W428=regle!$J$11,regle!$J$23,0)))))))))))</f>
        <v>0</v>
      </c>
      <c r="AH428" s="14" t="b">
        <f>IF($A428,$M428*(IF(X428=regle!$B$11,regle!$B$23,IF(X428=regle!$C$11,regle!$C$23,IF(X428=regle!$D$11,regle!$D$23,IF(X428=regle!$E$11,regle!$E$23,IF(X428=regle!$F$11,regle!$F$23,IF(X428=regle!$G$11,regle!$G$23,IF(X428=regle!$H$11,regle!$H$23,IF(X428=regle!$I$11,regle!$I$23,IF(X428=regle!$J$11,regle!$J$23,0)))))))))))</f>
        <v>0</v>
      </c>
      <c r="AI428" s="14" t="b">
        <f>IF($A428,$M428*(IF(Y428=regle!$B$11,regle!$B$23,IF(Y428=regle!$C$11,regle!$C$23,IF(Y428=regle!$D$11,regle!$D$23,IF(Y428=regle!$E$11,regle!$E$23,IF(Y428=regle!$F$11,regle!$F$23,IF(Y428=regle!$G$11,regle!$G$23,IF(Y428=regle!$H$11,regle!$H$23,IF(Y428=regle!$I$11,regle!$I$23,IF(Y428=regle!$J$11,regle!$J$23,0)))))))))))</f>
        <v>0</v>
      </c>
      <c r="AJ428" s="14" t="b">
        <f>IF($A428,$M428*(IF(Z428=regle!$B$11,regle!$B$23,IF(Z428=regle!$C$11,regle!$C$23,IF(Z428=regle!$D$11,regle!$D$23,IF(Z428=regle!$E$11,regle!$E$23,IF(Z428=regle!$F$11,regle!$F$23,IF(Z428=regle!$G$11,regle!$G$23,IF(Z428=regle!$H$11,regle!$H$23,IF(Z428=regle!$I$11,regle!$I$23,IF(Z428=regle!$J$11,regle!$J$23,0)))))))))))</f>
        <v>0</v>
      </c>
      <c r="AK428" s="14" t="b">
        <f>IF($A428,$M428*(IF(AA428=regle!$B$11,regle!$B$23,IF(AA428=regle!$C$11,regle!$C$23,IF(AA428=regle!$D$11,regle!$D$23,IF(AA428=regle!$E$11,regle!$E$23,IF(AA428=regle!$F$11,regle!$F$23,IF(AA428=regle!$G$11,regle!$G$23,IF(AA428=regle!$H$11,regle!$H$23,IF(AA428=regle!$I$11,regle!$I$23,IF(AA428=regle!$J$11,regle!$J$23,0)))))))))))</f>
        <v>0</v>
      </c>
      <c r="AL428" s="14" t="b">
        <f>IF($A428,$M428*(IF(AB428=regle!$B$11,regle!$B$23,IF(AB428=regle!$C$11,regle!$C$23,IF(AB428=regle!$D$11,regle!$D$23,IF(AB428=regle!$E$11,regle!$E$23,IF(AB428=regle!$F$11,regle!$F$23,IF(AB428=regle!$G$11,regle!$G$23,IF(AB428=regle!$H$11,regle!$H$23,IF(AB428=regle!$I$11,regle!$I$23,IF(AB428=regle!$J$11,regle!$J$23,0)))))))))))</f>
        <v>0</v>
      </c>
      <c r="AM428" s="14" t="b">
        <f>IF($A428,$M428*(IF(AC428=regle!$B$11,regle!$B$23,IF(AC428=regle!$C$11,regle!$C$23,IF(AC428=regle!$D$11,regle!$D$23,IF(AC428=regle!$E$11,regle!$E$23,IF(AC428=regle!$F$11,regle!$F$23,IF(AC428=regle!$G$11,regle!$G$23,IF(AC428=regle!$H$11,regle!$H$23,IF(AC428=regle!$I$11,regle!$I$23,IF(AC428=regle!$J$11,regle!$J$23,0)))))))))))</f>
        <v>0</v>
      </c>
      <c r="AN428" s="14" t="b">
        <f>IF($A428,$M428*(IF(AD428=regle!$B$11,regle!$B$23,IF(AD428=regle!$C$11,regle!$C$23,IF(AD428=regle!$D$11,regle!$D$23,IF(AD428=regle!$E$11,regle!$E$23,IF(AD428=regle!$F$11,regle!$F$23,IF(AD428=regle!$G$11,regle!$G$23,IF(AD428=regle!$H$11,regle!$H$23,IF(AD428=regle!$I$11,regle!$I$23,IF(AD428=regle!$J$11,regle!$J$23,0)))))))))))</f>
        <v>0</v>
      </c>
      <c r="AO428">
        <f>IF(AO$1=$AO$1,IF(regle!B$2-$Q428&gt;=regle!$J$12,-2,IF($S428,IF(regle!$B$2-$Q428&gt;=2,0,-1),regle!B$2-$Q428)),IF(AN428+1&gt;=regle!$J$12,-2,AN428+1))</f>
        <v>-2</v>
      </c>
      <c r="AP428">
        <f>IF(AP$1=$AO$1,IF(regle!C$2-$Q428&gt;=regle!$J$12,-2,IF($S428,IF(regle!$B$2-$Q428&gt;=2,0,-1),regle!C$2-$Q428)),IF(AO428+1&gt;=regle!$J$12,-2,AO428+1))</f>
        <v>-1</v>
      </c>
      <c r="AQ428">
        <f>IF(AQ$1=$AO$1,IF(regle!D$2-$Q428&gt;=regle!$J$12,-2,IF($S428,IF(regle!$B$2-$Q428&gt;=2,0,-1),regle!D$2-$Q428)),IF(AP428+1&gt;=regle!$J$12,-2,AP428+1))</f>
        <v>0</v>
      </c>
      <c r="AR428">
        <f>IF(AR$1=$AO$1,IF(regle!E$2-$Q428&gt;=regle!$J$12,-2,IF($S428,IF(regle!$B$2-$Q428&gt;=2,0,-1),regle!E$2-$Q428)),IF(AQ428+1&gt;=regle!$J$12,-2,AQ428+1))</f>
        <v>1</v>
      </c>
      <c r="AS428">
        <f>IF(AS$1=$AO$1,IF(regle!F$2-$Q428&gt;=regle!$J$12,-2,IF($S428,IF(regle!$B$2-$Q428&gt;=2,0,-1),regle!F$2-$Q428)),IF(AR428+1&gt;=regle!$J$12,-2,AR428+1))</f>
        <v>2</v>
      </c>
      <c r="AT428">
        <f>IF(AT$1=$AO$1,IF(regle!G$2-$Q428&gt;=regle!$J$12,-2,IF($S428,IF(regle!$B$2-$Q428&gt;=2,0,-1),regle!G$2-$Q428)),IF(AS428+1&gt;=regle!$J$12,-2,AS428+1))</f>
        <v>3</v>
      </c>
      <c r="AU428">
        <f>IF(AU$1=$AO$1,IF(regle!H$2-$Q428&gt;=regle!$J$12,-2,IF($S428,IF(regle!$B$2-$Q428&gt;=2,0,-1),regle!H$2-$Q428)),IF(AT428+1&gt;=regle!$J$12,-2,AT428+1))</f>
        <v>4</v>
      </c>
      <c r="AV428">
        <f>IF(AV$1=$AO$1,IF(regle!I$2-$Q428&gt;=regle!$J$12,-2,IF($S428,IF(regle!$B$2-$Q428&gt;=2,0,-1),regle!I$2-$Q428)),IF(AU428+1&gt;=regle!$J$12,-2,AU428+1))</f>
        <v>5</v>
      </c>
      <c r="AW428">
        <f>IF(AW$1=$AO$1,IF(regle!J$2-$Q428&gt;=regle!$J$12,-2,IF($S428,IF(regle!$B$2-$Q428&gt;=2,0,-1),regle!J$2-$Q428)),IF(AV428+1&gt;=regle!$J$12,-2,AV428+1))</f>
        <v>6</v>
      </c>
      <c r="AX428">
        <f>IF(AX$1=$AO$1,IF(regle!K$2-$Q428&gt;=regle!$J$12,-2,IF($S428,IF(regle!$B$2-$Q428&gt;=2,0,-1),regle!K$2-$Q428)),IF(AW428+1&gt;=regle!$J$12,-2,AW428+1))</f>
        <v>7</v>
      </c>
    </row>
    <row r="429" spans="1:50" x14ac:dyDescent="0.25">
      <c r="A429" t="b">
        <f>AND(modif0[[#This Row],[cdstr]]&lt;&gt;0,OR(regle!$H$27=FALSE,modif0[[#This Row],[essnc]]="PM"))</f>
        <v>0</v>
      </c>
      <c r="B429">
        <f>ROW(objet!A395)</f>
        <v>395</v>
      </c>
      <c r="C429" s="10" t="str">
        <f>objet!D395</f>
        <v>2000000M0011</v>
      </c>
      <c r="D429" t="str">
        <f>LEFT(modif0[[#This Row],[cdstr]],3)</f>
        <v>200</v>
      </c>
      <c r="E429" s="10" t="str">
        <f>objet!G395</f>
        <v>MOUSTEY</v>
      </c>
      <c r="F429">
        <f>LEN(modif0[[#This Row],[l_dt]])</f>
        <v>5</v>
      </c>
      <c r="G429" s="10" t="str">
        <f>objet!H395</f>
        <v>Plata</v>
      </c>
      <c r="H429" s="10" t="str">
        <f>objet!C395</f>
        <v>M11b</v>
      </c>
      <c r="I429" t="str">
        <f>IF(ISNUMBER(VALUE(RIGHT(LEFT(modif0[[#This Row],[idntfn]],2),1))),_xlfn.CONCAT(0,LEFT(modif0[[#This Row],[idntfn]],1)),LEFT(modif0[[#This Row],[idntfn]],2))</f>
        <v>0M</v>
      </c>
      <c r="J429">
        <f>VALUE(LEFT(RIGHT(modif0[[#This Row],[idntfn]],LEN(modif0[[#This Row],[idntfn]])-IF(LEFT(modif0[[#This Row],[sctn]],1)="0",1,2)),LEN(modif0[[#This Row],[idntfn]])-IF(LEFT(modif0[[#This Row],[sctn]],1)="0",1,2)-LEN(modif0[[#This Row],[lttr]])))</f>
        <v>11</v>
      </c>
      <c r="K429" t="str">
        <f>IF(ISNUMBER(VALUE(RIGHT(modif0[[#This Row],[idntfn]],1))),"",IF(ISNUMBER(VALUE(LEFT(RIGHT(modif0[[#This Row],[idntfn]],2),1))),RIGHT(modif0[[#This Row],[idntfn]],1),RIGHT(modif0[[#This Row],[idntfn]],2)))</f>
        <v>b</v>
      </c>
      <c r="L429" s="10">
        <f>objet!I395</f>
        <v>915</v>
      </c>
      <c r="M429" s="11">
        <f>modif0[[#This Row],[srfc]]/10000</f>
        <v>9.1499999999999998E-2</v>
      </c>
      <c r="N429" s="10" t="str">
        <f>objet!Z395</f>
        <v>FEUIL</v>
      </c>
      <c r="O429" s="10" t="str">
        <f>objet!AA395</f>
        <v>TAIL1986</v>
      </c>
      <c r="P429" t="str">
        <f>IF(ISNUMBER(modif0[[#This Row],[trvx]]),"",LEFT(modif0[[#This Row],[trvx]],LEN(modif0[[#This Row],[trvx]])-4))</f>
        <v>TAIL</v>
      </c>
      <c r="Q429">
        <f>VALUE(RIGHT(modif0[[#This Row],[trvx]],4))</f>
        <v>1986</v>
      </c>
      <c r="R429" t="str">
        <f>_xlfn.CONCAT(modif0[[#This Row],[tp]],"-",modif0[[#This Row],[essnc]],"_",modif0[[#This Row],[anns]])</f>
        <v>TAIL-FEUIL_1986</v>
      </c>
      <c r="S429" t="b">
        <f>modif0[[#This Row],[tp]]="CR"</f>
        <v>0</v>
      </c>
      <c r="T429">
        <v>40</v>
      </c>
      <c r="U429" t="str">
        <f>IF(NOT($A429),"",
IF(AO429=-2,regle!$J$11,
IF(AO429=regle!$B$12,regle!$B$11,
IF(AO429=regle!$C$12,regle!$C$11,
IF(AO429=regle!$D$12,regle!$D$11,
IF(AO429=regle!$E$12,regle!$E$11,
IF(AO429=regle!$F$12,regle!$F$11,
IF(AO429=regle!$G$12,regle!$G$11,
IF(AO429=regle!$H$12,regle!$H$11,
IF(AO429=regle!$I$12,regle!$I$11,""))))))))))</f>
        <v/>
      </c>
      <c r="V429" t="str">
        <f>IF(NOT($A429),"",
IF(AP429=-2,regle!$J$11,
IF(AP429=regle!$B$12,regle!$B$11,
IF(AP429=regle!$C$12,regle!$C$11,
IF(AP429=regle!$D$12,regle!$D$11,
IF(AP429=regle!$E$12,regle!$E$11,
IF(AP429=regle!$F$12,regle!$F$11,
IF(AP429=regle!$G$12,regle!$G$11,
IF(AP429=regle!$H$12,regle!$H$11,
IF(AP429=regle!$I$12,regle!$I$11,""))))))))))</f>
        <v/>
      </c>
      <c r="W429" t="str">
        <f>IF(NOT($A429),"",
IF(AQ429=-2,regle!$J$11,
IF(AQ429=regle!$B$12,regle!$B$11,
IF(AQ429=regle!$C$12,regle!$C$11,
IF(AQ429=regle!$D$12,regle!$D$11,
IF(AQ429=regle!$E$12,regle!$E$11,
IF(AQ429=regle!$F$12,regle!$F$11,
IF(AQ429=regle!$G$12,regle!$G$11,
IF(AQ429=regle!$H$12,regle!$H$11,
IF(AQ429=regle!$I$12,regle!$I$11,""))))))))))</f>
        <v/>
      </c>
      <c r="X429" t="str">
        <f>IF(NOT($A429),"",
IF(AR429=-2,regle!$J$11,
IF(AR429=regle!$B$12,regle!$B$11,
IF(AR429=regle!$C$12,regle!$C$11,
IF(AR429=regle!$D$12,regle!$D$11,
IF(AR429=regle!$E$12,regle!$E$11,
IF(AR429=regle!$F$12,regle!$F$11,
IF(AR429=regle!$G$12,regle!$G$11,
IF(AR429=regle!$H$12,regle!$H$11,
IF(AR429=regle!$I$12,regle!$I$11,""))))))))))</f>
        <v/>
      </c>
      <c r="Y429" t="str">
        <f>IF(NOT($A429),"",
IF(AS429=-2,regle!$J$11,
IF(AS429=regle!$B$12,regle!$B$11,
IF(AS429=regle!$C$12,regle!$C$11,
IF(AS429=regle!$D$12,regle!$D$11,
IF(AS429=regle!$E$12,regle!$E$11,
IF(AS429=regle!$F$12,regle!$F$11,
IF(AS429=regle!$G$12,regle!$G$11,
IF(AS429=regle!$H$12,regle!$H$11,
IF(AS429=regle!$I$12,regle!$I$11,""))))))))))</f>
        <v/>
      </c>
      <c r="Z429" t="str">
        <f>IF(NOT($A429),"",
IF(AT429=-2,regle!$J$11,
IF(AT429=regle!$B$12,regle!$B$11,
IF(AT429=regle!$C$12,regle!$C$11,
IF(AT429=regle!$D$12,regle!$D$11,
IF(AT429=regle!$E$12,regle!$E$11,
IF(AT429=regle!$F$12,regle!$F$11,
IF(AT429=regle!$G$12,regle!$G$11,
IF(AT429=regle!$H$12,regle!$H$11,
IF(AT429=regle!$I$12,regle!$I$11,""))))))))))</f>
        <v/>
      </c>
      <c r="AA429" t="str">
        <f>IF(NOT($A429),"",
IF(AU429=-2,regle!$J$11,
IF(AU429=regle!$B$12,regle!$B$11,
IF(AU429=regle!$C$12,regle!$C$11,
IF(AU429=regle!$D$12,regle!$D$11,
IF(AU429=regle!$E$12,regle!$E$11,
IF(AU429=regle!$F$12,regle!$F$11,
IF(AU429=regle!$G$12,regle!$G$11,
IF(AU429=regle!$H$12,regle!$H$11,
IF(AU429=regle!$I$12,regle!$I$11,""))))))))))</f>
        <v/>
      </c>
      <c r="AB429" t="str">
        <f>IF(NOT($A429),"",
IF(AV429=-2,regle!$J$11,
IF(AV429=regle!$B$12,regle!$B$11,
IF(AV429=regle!$C$12,regle!$C$11,
IF(AV429=regle!$D$12,regle!$D$11,
IF(AV429=regle!$E$12,regle!$E$11,
IF(AV429=regle!$F$12,regle!$F$11,
IF(AV429=regle!$G$12,regle!$G$11,
IF(AV429=regle!$H$12,regle!$H$11,
IF(AV429=regle!$I$12,regle!$I$11,""))))))))))</f>
        <v/>
      </c>
      <c r="AC429" t="str">
        <f>IF(NOT($A429),"",
IF(AW429=-2,regle!$J$11,
IF(AW429=regle!$B$12,regle!$B$11,
IF(AW429=regle!$C$12,regle!$C$11,
IF(AW429=regle!$D$12,regle!$D$11,
IF(AW429=regle!$E$12,regle!$E$11,
IF(AW429=regle!$F$12,regle!$F$11,
IF(AW429=regle!$G$12,regle!$G$11,
IF(AW429=regle!$H$12,regle!$H$11,
IF(AW429=regle!$I$12,regle!$I$11,""))))))))))</f>
        <v/>
      </c>
      <c r="AD429" t="str">
        <f>IF(NOT($A429),"",
IF(AX429=-2,regle!$J$11,
IF(AX429=regle!$B$12,regle!$B$11,
IF(AX429=regle!$C$12,regle!$C$11,
IF(AX429=regle!$D$12,regle!$D$11,
IF(AX429=regle!$E$12,regle!$E$11,
IF(AX429=regle!$F$12,regle!$F$11,
IF(AX429=regle!$G$12,regle!$G$11,
IF(AX429=regle!$H$12,regle!$H$11,
IF(AX429=regle!$I$12,regle!$I$11,""))))))))))</f>
        <v/>
      </c>
      <c r="AE429" s="14" t="b">
        <f>IF($A429,$M429*(IF(U429=regle!$B$11,regle!$B$23,IF(U429=regle!$C$11,regle!$C$23,IF(U429=regle!$D$11,regle!$D$23,IF(U429=regle!$E$11,regle!$E$23,IF(U429=regle!$F$11,regle!$F$23,IF(U429=regle!$G$11,regle!$G$23,IF(U429=regle!$H$11,regle!$H$23,IF(U429=regle!$I$11,regle!$I$23,IF(U429=regle!$J$11,regle!$J$23,0)))))))))))</f>
        <v>0</v>
      </c>
      <c r="AF429" s="14" t="b">
        <f>IF($A429,$M429*(IF(V429=regle!$B$11,regle!$B$23,IF(V429=regle!$C$11,regle!$C$23,IF(V429=regle!$D$11,regle!$D$23,IF(V429=regle!$E$11,regle!$E$23,IF(V429=regle!$F$11,regle!$F$23,IF(V429=regle!$G$11,regle!$G$23,IF(V429=regle!$H$11,regle!$H$23,IF(V429=regle!$I$11,regle!$I$23,IF(V429=regle!$J$11,regle!$J$23,0)))))))))))</f>
        <v>0</v>
      </c>
      <c r="AG429" s="14" t="b">
        <f>IF($A429,$M429*(IF(W429=regle!$B$11,regle!$B$23,IF(W429=regle!$C$11,regle!$C$23,IF(W429=regle!$D$11,regle!$D$23,IF(W429=regle!$E$11,regle!$E$23,IF(W429=regle!$F$11,regle!$F$23,IF(W429=regle!$G$11,regle!$G$23,IF(W429=regle!$H$11,regle!$H$23,IF(W429=regle!$I$11,regle!$I$23,IF(W429=regle!$J$11,regle!$J$23,0)))))))))))</f>
        <v>0</v>
      </c>
      <c r="AH429" s="14" t="b">
        <f>IF($A429,$M429*(IF(X429=regle!$B$11,regle!$B$23,IF(X429=regle!$C$11,regle!$C$23,IF(X429=regle!$D$11,regle!$D$23,IF(X429=regle!$E$11,regle!$E$23,IF(X429=regle!$F$11,regle!$F$23,IF(X429=regle!$G$11,regle!$G$23,IF(X429=regle!$H$11,regle!$H$23,IF(X429=regle!$I$11,regle!$I$23,IF(X429=regle!$J$11,regle!$J$23,0)))))))))))</f>
        <v>0</v>
      </c>
      <c r="AI429" s="14" t="b">
        <f>IF($A429,$M429*(IF(Y429=regle!$B$11,regle!$B$23,IF(Y429=regle!$C$11,regle!$C$23,IF(Y429=regle!$D$11,regle!$D$23,IF(Y429=regle!$E$11,regle!$E$23,IF(Y429=regle!$F$11,regle!$F$23,IF(Y429=regle!$G$11,regle!$G$23,IF(Y429=regle!$H$11,regle!$H$23,IF(Y429=regle!$I$11,regle!$I$23,IF(Y429=regle!$J$11,regle!$J$23,0)))))))))))</f>
        <v>0</v>
      </c>
      <c r="AJ429" s="14" t="b">
        <f>IF($A429,$M429*(IF(Z429=regle!$B$11,regle!$B$23,IF(Z429=regle!$C$11,regle!$C$23,IF(Z429=regle!$D$11,regle!$D$23,IF(Z429=regle!$E$11,regle!$E$23,IF(Z429=regle!$F$11,regle!$F$23,IF(Z429=regle!$G$11,regle!$G$23,IF(Z429=regle!$H$11,regle!$H$23,IF(Z429=regle!$I$11,regle!$I$23,IF(Z429=regle!$J$11,regle!$J$23,0)))))))))))</f>
        <v>0</v>
      </c>
      <c r="AK429" s="14" t="b">
        <f>IF($A429,$M429*(IF(AA429=regle!$B$11,regle!$B$23,IF(AA429=regle!$C$11,regle!$C$23,IF(AA429=regle!$D$11,regle!$D$23,IF(AA429=regle!$E$11,regle!$E$23,IF(AA429=regle!$F$11,regle!$F$23,IF(AA429=regle!$G$11,regle!$G$23,IF(AA429=regle!$H$11,regle!$H$23,IF(AA429=regle!$I$11,regle!$I$23,IF(AA429=regle!$J$11,regle!$J$23,0)))))))))))</f>
        <v>0</v>
      </c>
      <c r="AL429" s="14" t="b">
        <f>IF($A429,$M429*(IF(AB429=regle!$B$11,regle!$B$23,IF(AB429=regle!$C$11,regle!$C$23,IF(AB429=regle!$D$11,regle!$D$23,IF(AB429=regle!$E$11,regle!$E$23,IF(AB429=regle!$F$11,regle!$F$23,IF(AB429=regle!$G$11,regle!$G$23,IF(AB429=regle!$H$11,regle!$H$23,IF(AB429=regle!$I$11,regle!$I$23,IF(AB429=regle!$J$11,regle!$J$23,0)))))))))))</f>
        <v>0</v>
      </c>
      <c r="AM429" s="14" t="b">
        <f>IF($A429,$M429*(IF(AC429=regle!$B$11,regle!$B$23,IF(AC429=regle!$C$11,regle!$C$23,IF(AC429=regle!$D$11,regle!$D$23,IF(AC429=regle!$E$11,regle!$E$23,IF(AC429=regle!$F$11,regle!$F$23,IF(AC429=regle!$G$11,regle!$G$23,IF(AC429=regle!$H$11,regle!$H$23,IF(AC429=regle!$I$11,regle!$I$23,IF(AC429=regle!$J$11,regle!$J$23,0)))))))))))</f>
        <v>0</v>
      </c>
      <c r="AN429" s="14" t="b">
        <f>IF($A429,$M429*(IF(AD429=regle!$B$11,regle!$B$23,IF(AD429=regle!$C$11,regle!$C$23,IF(AD429=regle!$D$11,regle!$D$23,IF(AD429=regle!$E$11,regle!$E$23,IF(AD429=regle!$F$11,regle!$F$23,IF(AD429=regle!$G$11,regle!$G$23,IF(AD429=regle!$H$11,regle!$H$23,IF(AD429=regle!$I$11,regle!$I$23,IF(AD429=regle!$J$11,regle!$J$23,0)))))))))))</f>
        <v>0</v>
      </c>
      <c r="AO429">
        <f>IF(AO$1=$AO$1,IF(regle!B$2-$Q429&gt;=regle!$J$12,-2,IF($S429,IF(regle!$B$2-$Q429&gt;=2,0,-1),regle!B$2-$Q429)),IF(AN429+1&gt;=regle!$J$12,-2,AN429+1))</f>
        <v>38</v>
      </c>
      <c r="AP429">
        <f>IF(AP$1=$AO$1,IF(regle!C$2-$Q429&gt;=regle!$J$12,-2,IF($S429,IF(regle!$B$2-$Q429&gt;=2,0,-1),regle!C$2-$Q429)),IF(AO429+1&gt;=regle!$J$12,-2,AO429+1))</f>
        <v>39</v>
      </c>
      <c r="AQ429">
        <f>IF(AQ$1=$AO$1,IF(regle!D$2-$Q429&gt;=regle!$J$12,-2,IF($S429,IF(regle!$B$2-$Q429&gt;=2,0,-1),regle!D$2-$Q429)),IF(AP429+1&gt;=regle!$J$12,-2,AP429+1))</f>
        <v>-2</v>
      </c>
      <c r="AR429">
        <f>IF(AR$1=$AO$1,IF(regle!E$2-$Q429&gt;=regle!$J$12,-2,IF($S429,IF(regle!$B$2-$Q429&gt;=2,0,-1),regle!E$2-$Q429)),IF(AQ429+1&gt;=regle!$J$12,-2,AQ429+1))</f>
        <v>-1</v>
      </c>
      <c r="AS429">
        <f>IF(AS$1=$AO$1,IF(regle!F$2-$Q429&gt;=regle!$J$12,-2,IF($S429,IF(regle!$B$2-$Q429&gt;=2,0,-1),regle!F$2-$Q429)),IF(AR429+1&gt;=regle!$J$12,-2,AR429+1))</f>
        <v>0</v>
      </c>
      <c r="AT429">
        <f>IF(AT$1=$AO$1,IF(regle!G$2-$Q429&gt;=regle!$J$12,-2,IF($S429,IF(regle!$B$2-$Q429&gt;=2,0,-1),regle!G$2-$Q429)),IF(AS429+1&gt;=regle!$J$12,-2,AS429+1))</f>
        <v>1</v>
      </c>
      <c r="AU429">
        <f>IF(AU$1=$AO$1,IF(regle!H$2-$Q429&gt;=regle!$J$12,-2,IF($S429,IF(regle!$B$2-$Q429&gt;=2,0,-1),regle!H$2-$Q429)),IF(AT429+1&gt;=regle!$J$12,-2,AT429+1))</f>
        <v>2</v>
      </c>
      <c r="AV429">
        <f>IF(AV$1=$AO$1,IF(regle!I$2-$Q429&gt;=regle!$J$12,-2,IF($S429,IF(regle!$B$2-$Q429&gt;=2,0,-1),regle!I$2-$Q429)),IF(AU429+1&gt;=regle!$J$12,-2,AU429+1))</f>
        <v>3</v>
      </c>
      <c r="AW429">
        <f>IF(AW$1=$AO$1,IF(regle!J$2-$Q429&gt;=regle!$J$12,-2,IF($S429,IF(regle!$B$2-$Q429&gt;=2,0,-1),regle!J$2-$Q429)),IF(AV429+1&gt;=regle!$J$12,-2,AV429+1))</f>
        <v>4</v>
      </c>
      <c r="AX429">
        <f>IF(AX$1=$AO$1,IF(regle!K$2-$Q429&gt;=regle!$J$12,-2,IF($S429,IF(regle!$B$2-$Q429&gt;=2,0,-1),regle!K$2-$Q429)),IF(AW429+1&gt;=regle!$J$12,-2,AW429+1))</f>
        <v>5</v>
      </c>
    </row>
    <row r="430" spans="1:50" x14ac:dyDescent="0.25">
      <c r="A430" t="b">
        <f>AND(modif0[[#This Row],[cdstr]]&lt;&gt;0,OR(regle!$H$27=FALSE,modif0[[#This Row],[essnc]]="PM"))</f>
        <v>0</v>
      </c>
      <c r="B430">
        <f>ROW(objet!A398)</f>
        <v>398</v>
      </c>
      <c r="C430" s="10" t="str">
        <f>objet!D398</f>
        <v>2000000M0021</v>
      </c>
      <c r="D430" t="str">
        <f>LEFT(modif0[[#This Row],[cdstr]],3)</f>
        <v>200</v>
      </c>
      <c r="E430" s="10" t="str">
        <f>objet!G398</f>
        <v>MOUSTEY</v>
      </c>
      <c r="F430">
        <f>LEN(modif0[[#This Row],[l_dt]])</f>
        <v>5</v>
      </c>
      <c r="G430" s="10" t="str">
        <f>objet!H398</f>
        <v>Plata</v>
      </c>
      <c r="H430" s="10" t="str">
        <f>objet!C398</f>
        <v>M21b</v>
      </c>
      <c r="I430" t="str">
        <f>IF(ISNUMBER(VALUE(RIGHT(LEFT(modif0[[#This Row],[idntfn]],2),1))),_xlfn.CONCAT(0,LEFT(modif0[[#This Row],[idntfn]],1)),LEFT(modif0[[#This Row],[idntfn]],2))</f>
        <v>0M</v>
      </c>
      <c r="J430">
        <f>VALUE(LEFT(RIGHT(modif0[[#This Row],[idntfn]],LEN(modif0[[#This Row],[idntfn]])-IF(LEFT(modif0[[#This Row],[sctn]],1)="0",1,2)),LEN(modif0[[#This Row],[idntfn]])-IF(LEFT(modif0[[#This Row],[sctn]],1)="0",1,2)-LEN(modif0[[#This Row],[lttr]])))</f>
        <v>21</v>
      </c>
      <c r="K430" t="str">
        <f>IF(ISNUMBER(VALUE(RIGHT(modif0[[#This Row],[idntfn]],1))),"",IF(ISNUMBER(VALUE(LEFT(RIGHT(modif0[[#This Row],[idntfn]],2),1))),RIGHT(modif0[[#This Row],[idntfn]],1),RIGHT(modif0[[#This Row],[idntfn]],2)))</f>
        <v>b</v>
      </c>
      <c r="L430" s="10">
        <f>objet!I398</f>
        <v>357</v>
      </c>
      <c r="M430" s="11">
        <f>modif0[[#This Row],[srfc]]/10000</f>
        <v>3.5700000000000003E-2</v>
      </c>
      <c r="N430" s="10" t="str">
        <f>objet!Z398</f>
        <v>FEUIL</v>
      </c>
      <c r="O430" s="10" t="str">
        <f>objet!AA398</f>
        <v>TAIL1986</v>
      </c>
      <c r="P430" t="str">
        <f>IF(ISNUMBER(modif0[[#This Row],[trvx]]),"",LEFT(modif0[[#This Row],[trvx]],LEN(modif0[[#This Row],[trvx]])-4))</f>
        <v>TAIL</v>
      </c>
      <c r="Q430">
        <f>VALUE(RIGHT(modif0[[#This Row],[trvx]],4))</f>
        <v>1986</v>
      </c>
      <c r="R430" t="str">
        <f>_xlfn.CONCAT(modif0[[#This Row],[tp]],"-",modif0[[#This Row],[essnc]],"_",modif0[[#This Row],[anns]])</f>
        <v>TAIL-FEUIL_1986</v>
      </c>
      <c r="S430" t="b">
        <f>modif0[[#This Row],[tp]]="CR"</f>
        <v>0</v>
      </c>
      <c r="T430">
        <v>40</v>
      </c>
      <c r="U430" t="str">
        <f>IF(NOT($A430),"",
IF(AO430=-2,regle!$J$11,
IF(AO430=regle!$B$12,regle!$B$11,
IF(AO430=regle!$C$12,regle!$C$11,
IF(AO430=regle!$D$12,regle!$D$11,
IF(AO430=regle!$E$12,regle!$E$11,
IF(AO430=regle!$F$12,regle!$F$11,
IF(AO430=regle!$G$12,regle!$G$11,
IF(AO430=regle!$H$12,regle!$H$11,
IF(AO430=regle!$I$12,regle!$I$11,""))))))))))</f>
        <v/>
      </c>
      <c r="V430" t="str">
        <f>IF(NOT($A430),"",
IF(AP430=-2,regle!$J$11,
IF(AP430=regle!$B$12,regle!$B$11,
IF(AP430=regle!$C$12,regle!$C$11,
IF(AP430=regle!$D$12,regle!$D$11,
IF(AP430=regle!$E$12,regle!$E$11,
IF(AP430=regle!$F$12,regle!$F$11,
IF(AP430=regle!$G$12,regle!$G$11,
IF(AP430=regle!$H$12,regle!$H$11,
IF(AP430=regle!$I$12,regle!$I$11,""))))))))))</f>
        <v/>
      </c>
      <c r="W430" t="str">
        <f>IF(NOT($A430),"",
IF(AQ430=-2,regle!$J$11,
IF(AQ430=regle!$B$12,regle!$B$11,
IF(AQ430=regle!$C$12,regle!$C$11,
IF(AQ430=regle!$D$12,regle!$D$11,
IF(AQ430=regle!$E$12,regle!$E$11,
IF(AQ430=regle!$F$12,regle!$F$11,
IF(AQ430=regle!$G$12,regle!$G$11,
IF(AQ430=regle!$H$12,regle!$H$11,
IF(AQ430=regle!$I$12,regle!$I$11,""))))))))))</f>
        <v/>
      </c>
      <c r="X430" t="str">
        <f>IF(NOT($A430),"",
IF(AR430=-2,regle!$J$11,
IF(AR430=regle!$B$12,regle!$B$11,
IF(AR430=regle!$C$12,regle!$C$11,
IF(AR430=regle!$D$12,regle!$D$11,
IF(AR430=regle!$E$12,regle!$E$11,
IF(AR430=regle!$F$12,regle!$F$11,
IF(AR430=regle!$G$12,regle!$G$11,
IF(AR430=regle!$H$12,regle!$H$11,
IF(AR430=regle!$I$12,regle!$I$11,""))))))))))</f>
        <v/>
      </c>
      <c r="Y430" t="str">
        <f>IF(NOT($A430),"",
IF(AS430=-2,regle!$J$11,
IF(AS430=regle!$B$12,regle!$B$11,
IF(AS430=regle!$C$12,regle!$C$11,
IF(AS430=regle!$D$12,regle!$D$11,
IF(AS430=regle!$E$12,regle!$E$11,
IF(AS430=regle!$F$12,regle!$F$11,
IF(AS430=regle!$G$12,regle!$G$11,
IF(AS430=regle!$H$12,regle!$H$11,
IF(AS430=regle!$I$12,regle!$I$11,""))))))))))</f>
        <v/>
      </c>
      <c r="Z430" t="str">
        <f>IF(NOT($A430),"",
IF(AT430=-2,regle!$J$11,
IF(AT430=regle!$B$12,regle!$B$11,
IF(AT430=regle!$C$12,regle!$C$11,
IF(AT430=regle!$D$12,regle!$D$11,
IF(AT430=regle!$E$12,regle!$E$11,
IF(AT430=regle!$F$12,regle!$F$11,
IF(AT430=regle!$G$12,regle!$G$11,
IF(AT430=regle!$H$12,regle!$H$11,
IF(AT430=regle!$I$12,regle!$I$11,""))))))))))</f>
        <v/>
      </c>
      <c r="AA430" t="str">
        <f>IF(NOT($A430),"",
IF(AU430=-2,regle!$J$11,
IF(AU430=regle!$B$12,regle!$B$11,
IF(AU430=regle!$C$12,regle!$C$11,
IF(AU430=regle!$D$12,regle!$D$11,
IF(AU430=regle!$E$12,regle!$E$11,
IF(AU430=regle!$F$12,regle!$F$11,
IF(AU430=regle!$G$12,regle!$G$11,
IF(AU430=regle!$H$12,regle!$H$11,
IF(AU430=regle!$I$12,regle!$I$11,""))))))))))</f>
        <v/>
      </c>
      <c r="AB430" t="str">
        <f>IF(NOT($A430),"",
IF(AV430=-2,regle!$J$11,
IF(AV430=regle!$B$12,regle!$B$11,
IF(AV430=regle!$C$12,regle!$C$11,
IF(AV430=regle!$D$12,regle!$D$11,
IF(AV430=regle!$E$12,regle!$E$11,
IF(AV430=regle!$F$12,regle!$F$11,
IF(AV430=regle!$G$12,regle!$G$11,
IF(AV430=regle!$H$12,regle!$H$11,
IF(AV430=regle!$I$12,regle!$I$11,""))))))))))</f>
        <v/>
      </c>
      <c r="AC430" t="str">
        <f>IF(NOT($A430),"",
IF(AW430=-2,regle!$J$11,
IF(AW430=regle!$B$12,regle!$B$11,
IF(AW430=regle!$C$12,regle!$C$11,
IF(AW430=regle!$D$12,regle!$D$11,
IF(AW430=regle!$E$12,regle!$E$11,
IF(AW430=regle!$F$12,regle!$F$11,
IF(AW430=regle!$G$12,regle!$G$11,
IF(AW430=regle!$H$12,regle!$H$11,
IF(AW430=regle!$I$12,regle!$I$11,""))))))))))</f>
        <v/>
      </c>
      <c r="AD430" t="str">
        <f>IF(NOT($A430),"",
IF(AX430=-2,regle!$J$11,
IF(AX430=regle!$B$12,regle!$B$11,
IF(AX430=regle!$C$12,regle!$C$11,
IF(AX430=regle!$D$12,regle!$D$11,
IF(AX430=regle!$E$12,regle!$E$11,
IF(AX430=regle!$F$12,regle!$F$11,
IF(AX430=regle!$G$12,regle!$G$11,
IF(AX430=regle!$H$12,regle!$H$11,
IF(AX430=regle!$I$12,regle!$I$11,""))))))))))</f>
        <v/>
      </c>
      <c r="AE430" s="14" t="b">
        <f>IF($A430,$M430*(IF(U430=regle!$B$11,regle!$B$23,IF(U430=regle!$C$11,regle!$C$23,IF(U430=regle!$D$11,regle!$D$23,IF(U430=regle!$E$11,regle!$E$23,IF(U430=regle!$F$11,regle!$F$23,IF(U430=regle!$G$11,regle!$G$23,IF(U430=regle!$H$11,regle!$H$23,IF(U430=regle!$I$11,regle!$I$23,IF(U430=regle!$J$11,regle!$J$23,0)))))))))))</f>
        <v>0</v>
      </c>
      <c r="AF430" s="14" t="b">
        <f>IF($A430,$M430*(IF(V430=regle!$B$11,regle!$B$23,IF(V430=regle!$C$11,regle!$C$23,IF(V430=regle!$D$11,regle!$D$23,IF(V430=regle!$E$11,regle!$E$23,IF(V430=regle!$F$11,regle!$F$23,IF(V430=regle!$G$11,regle!$G$23,IF(V430=regle!$H$11,regle!$H$23,IF(V430=regle!$I$11,regle!$I$23,IF(V430=regle!$J$11,regle!$J$23,0)))))))))))</f>
        <v>0</v>
      </c>
      <c r="AG430" s="14" t="b">
        <f>IF($A430,$M430*(IF(W430=regle!$B$11,regle!$B$23,IF(W430=regle!$C$11,regle!$C$23,IF(W430=regle!$D$11,regle!$D$23,IF(W430=regle!$E$11,regle!$E$23,IF(W430=regle!$F$11,regle!$F$23,IF(W430=regle!$G$11,regle!$G$23,IF(W430=regle!$H$11,regle!$H$23,IF(W430=regle!$I$11,regle!$I$23,IF(W430=regle!$J$11,regle!$J$23,0)))))))))))</f>
        <v>0</v>
      </c>
      <c r="AH430" s="14" t="b">
        <f>IF($A430,$M430*(IF(X430=regle!$B$11,regle!$B$23,IF(X430=regle!$C$11,regle!$C$23,IF(X430=regle!$D$11,regle!$D$23,IF(X430=regle!$E$11,regle!$E$23,IF(X430=regle!$F$11,regle!$F$23,IF(X430=regle!$G$11,regle!$G$23,IF(X430=regle!$H$11,regle!$H$23,IF(X430=regle!$I$11,regle!$I$23,IF(X430=regle!$J$11,regle!$J$23,0)))))))))))</f>
        <v>0</v>
      </c>
      <c r="AI430" s="14" t="b">
        <f>IF($A430,$M430*(IF(Y430=regle!$B$11,regle!$B$23,IF(Y430=regle!$C$11,regle!$C$23,IF(Y430=regle!$D$11,regle!$D$23,IF(Y430=regle!$E$11,regle!$E$23,IF(Y430=regle!$F$11,regle!$F$23,IF(Y430=regle!$G$11,regle!$G$23,IF(Y430=regle!$H$11,regle!$H$23,IF(Y430=regle!$I$11,regle!$I$23,IF(Y430=regle!$J$11,regle!$J$23,0)))))))))))</f>
        <v>0</v>
      </c>
      <c r="AJ430" s="14" t="b">
        <f>IF($A430,$M430*(IF(Z430=regle!$B$11,regle!$B$23,IF(Z430=regle!$C$11,regle!$C$23,IF(Z430=regle!$D$11,regle!$D$23,IF(Z430=regle!$E$11,regle!$E$23,IF(Z430=regle!$F$11,regle!$F$23,IF(Z430=regle!$G$11,regle!$G$23,IF(Z430=regle!$H$11,regle!$H$23,IF(Z430=regle!$I$11,regle!$I$23,IF(Z430=regle!$J$11,regle!$J$23,0)))))))))))</f>
        <v>0</v>
      </c>
      <c r="AK430" s="14" t="b">
        <f>IF($A430,$M430*(IF(AA430=regle!$B$11,regle!$B$23,IF(AA430=regle!$C$11,regle!$C$23,IF(AA430=regle!$D$11,regle!$D$23,IF(AA430=regle!$E$11,regle!$E$23,IF(AA430=regle!$F$11,regle!$F$23,IF(AA430=regle!$G$11,regle!$G$23,IF(AA430=regle!$H$11,regle!$H$23,IF(AA430=regle!$I$11,regle!$I$23,IF(AA430=regle!$J$11,regle!$J$23,0)))))))))))</f>
        <v>0</v>
      </c>
      <c r="AL430" s="14" t="b">
        <f>IF($A430,$M430*(IF(AB430=regle!$B$11,regle!$B$23,IF(AB430=regle!$C$11,regle!$C$23,IF(AB430=regle!$D$11,regle!$D$23,IF(AB430=regle!$E$11,regle!$E$23,IF(AB430=regle!$F$11,regle!$F$23,IF(AB430=regle!$G$11,regle!$G$23,IF(AB430=regle!$H$11,regle!$H$23,IF(AB430=regle!$I$11,regle!$I$23,IF(AB430=regle!$J$11,regle!$J$23,0)))))))))))</f>
        <v>0</v>
      </c>
      <c r="AM430" s="14" t="b">
        <f>IF($A430,$M430*(IF(AC430=regle!$B$11,regle!$B$23,IF(AC430=regle!$C$11,regle!$C$23,IF(AC430=regle!$D$11,regle!$D$23,IF(AC430=regle!$E$11,regle!$E$23,IF(AC430=regle!$F$11,regle!$F$23,IF(AC430=regle!$G$11,regle!$G$23,IF(AC430=regle!$H$11,regle!$H$23,IF(AC430=regle!$I$11,regle!$I$23,IF(AC430=regle!$J$11,regle!$J$23,0)))))))))))</f>
        <v>0</v>
      </c>
      <c r="AN430" s="14" t="b">
        <f>IF($A430,$M430*(IF(AD430=regle!$B$11,regle!$B$23,IF(AD430=regle!$C$11,regle!$C$23,IF(AD430=regle!$D$11,regle!$D$23,IF(AD430=regle!$E$11,regle!$E$23,IF(AD430=regle!$F$11,regle!$F$23,IF(AD430=regle!$G$11,regle!$G$23,IF(AD430=regle!$H$11,regle!$H$23,IF(AD430=regle!$I$11,regle!$I$23,IF(AD430=regle!$J$11,regle!$J$23,0)))))))))))</f>
        <v>0</v>
      </c>
      <c r="AO430">
        <f>IF(AO$1=$AO$1,IF(regle!B$2-$Q430&gt;=regle!$J$12,-2,IF($S430,IF(regle!$B$2-$Q430&gt;=2,0,-1),regle!B$2-$Q430)),IF(AN430+1&gt;=regle!$J$12,-2,AN430+1))</f>
        <v>38</v>
      </c>
      <c r="AP430">
        <f>IF(AP$1=$AO$1,IF(regle!C$2-$Q430&gt;=regle!$J$12,-2,IF($S430,IF(regle!$B$2-$Q430&gt;=2,0,-1),regle!C$2-$Q430)),IF(AO430+1&gt;=regle!$J$12,-2,AO430+1))</f>
        <v>39</v>
      </c>
      <c r="AQ430">
        <f>IF(AQ$1=$AO$1,IF(regle!D$2-$Q430&gt;=regle!$J$12,-2,IF($S430,IF(regle!$B$2-$Q430&gt;=2,0,-1),regle!D$2-$Q430)),IF(AP430+1&gt;=regle!$J$12,-2,AP430+1))</f>
        <v>-2</v>
      </c>
      <c r="AR430">
        <f>IF(AR$1=$AO$1,IF(regle!E$2-$Q430&gt;=regle!$J$12,-2,IF($S430,IF(regle!$B$2-$Q430&gt;=2,0,-1),regle!E$2-$Q430)),IF(AQ430+1&gt;=regle!$J$12,-2,AQ430+1))</f>
        <v>-1</v>
      </c>
      <c r="AS430">
        <f>IF(AS$1=$AO$1,IF(regle!F$2-$Q430&gt;=regle!$J$12,-2,IF($S430,IF(regle!$B$2-$Q430&gt;=2,0,-1),regle!F$2-$Q430)),IF(AR430+1&gt;=regle!$J$12,-2,AR430+1))</f>
        <v>0</v>
      </c>
      <c r="AT430">
        <f>IF(AT$1=$AO$1,IF(regle!G$2-$Q430&gt;=regle!$J$12,-2,IF($S430,IF(regle!$B$2-$Q430&gt;=2,0,-1),regle!G$2-$Q430)),IF(AS430+1&gt;=regle!$J$12,-2,AS430+1))</f>
        <v>1</v>
      </c>
      <c r="AU430">
        <f>IF(AU$1=$AO$1,IF(regle!H$2-$Q430&gt;=regle!$J$12,-2,IF($S430,IF(regle!$B$2-$Q430&gt;=2,0,-1),regle!H$2-$Q430)),IF(AT430+1&gt;=regle!$J$12,-2,AT430+1))</f>
        <v>2</v>
      </c>
      <c r="AV430">
        <f>IF(AV$1=$AO$1,IF(regle!I$2-$Q430&gt;=regle!$J$12,-2,IF($S430,IF(regle!$B$2-$Q430&gt;=2,0,-1),regle!I$2-$Q430)),IF(AU430+1&gt;=regle!$J$12,-2,AU430+1))</f>
        <v>3</v>
      </c>
      <c r="AW430">
        <f>IF(AW$1=$AO$1,IF(regle!J$2-$Q430&gt;=regle!$J$12,-2,IF($S430,IF(regle!$B$2-$Q430&gt;=2,0,-1),regle!J$2-$Q430)),IF(AV430+1&gt;=regle!$J$12,-2,AV430+1))</f>
        <v>4</v>
      </c>
      <c r="AX430">
        <f>IF(AX$1=$AO$1,IF(regle!K$2-$Q430&gt;=regle!$J$12,-2,IF($S430,IF(regle!$B$2-$Q430&gt;=2,0,-1),regle!K$2-$Q430)),IF(AW430+1&gt;=regle!$J$12,-2,AW430+1))</f>
        <v>5</v>
      </c>
    </row>
    <row r="431" spans="1:50" x14ac:dyDescent="0.25">
      <c r="A431" t="b">
        <f>AND(modif0[[#This Row],[cdstr]]&lt;&gt;0,OR(regle!$H$27=FALSE,modif0[[#This Row],[essnc]]="PM"))</f>
        <v>0</v>
      </c>
      <c r="B431">
        <f>ROW(objet!A399)</f>
        <v>399</v>
      </c>
      <c r="C431" s="10" t="str">
        <f>objet!D399</f>
        <v>2000000M0022</v>
      </c>
      <c r="D431" t="str">
        <f>LEFT(modif0[[#This Row],[cdstr]],3)</f>
        <v>200</v>
      </c>
      <c r="E431" s="10" t="str">
        <f>objet!G399</f>
        <v>MOUSTEY</v>
      </c>
      <c r="F431">
        <f>LEN(modif0[[#This Row],[l_dt]])</f>
        <v>5</v>
      </c>
      <c r="G431" s="10" t="str">
        <f>objet!H399</f>
        <v>Plata</v>
      </c>
      <c r="H431" s="10" t="str">
        <f>objet!C399</f>
        <v>M22</v>
      </c>
      <c r="I431" t="str">
        <f>IF(ISNUMBER(VALUE(RIGHT(LEFT(modif0[[#This Row],[idntfn]],2),1))),_xlfn.CONCAT(0,LEFT(modif0[[#This Row],[idntfn]],1)),LEFT(modif0[[#This Row],[idntfn]],2))</f>
        <v>0M</v>
      </c>
      <c r="J431">
        <f>VALUE(LEFT(RIGHT(modif0[[#This Row],[idntfn]],LEN(modif0[[#This Row],[idntfn]])-IF(LEFT(modif0[[#This Row],[sctn]],1)="0",1,2)),LEN(modif0[[#This Row],[idntfn]])-IF(LEFT(modif0[[#This Row],[sctn]],1)="0",1,2)-LEN(modif0[[#This Row],[lttr]])))</f>
        <v>22</v>
      </c>
      <c r="K431" t="str">
        <f>IF(ISNUMBER(VALUE(RIGHT(modif0[[#This Row],[idntfn]],1))),"",IF(ISNUMBER(VALUE(LEFT(RIGHT(modif0[[#This Row],[idntfn]],2),1))),RIGHT(modif0[[#This Row],[idntfn]],1),RIGHT(modif0[[#This Row],[idntfn]],2)))</f>
        <v/>
      </c>
      <c r="L431" s="10">
        <f>objet!I399</f>
        <v>1521</v>
      </c>
      <c r="M431" s="11">
        <f>modif0[[#This Row],[srfc]]/10000</f>
        <v>0.15210000000000001</v>
      </c>
      <c r="N431" s="10" t="str">
        <f>objet!Z399</f>
        <v>FEUIL</v>
      </c>
      <c r="O431" s="10" t="str">
        <f>objet!AA399</f>
        <v>TAIL1986</v>
      </c>
      <c r="P431" t="str">
        <f>IF(ISNUMBER(modif0[[#This Row],[trvx]]),"",LEFT(modif0[[#This Row],[trvx]],LEN(modif0[[#This Row],[trvx]])-4))</f>
        <v>TAIL</v>
      </c>
      <c r="Q431">
        <f>VALUE(RIGHT(modif0[[#This Row],[trvx]],4))</f>
        <v>1986</v>
      </c>
      <c r="R431" t="str">
        <f>_xlfn.CONCAT(modif0[[#This Row],[tp]],"-",modif0[[#This Row],[essnc]],"_",modif0[[#This Row],[anns]])</f>
        <v>TAIL-FEUIL_1986</v>
      </c>
      <c r="S431" t="b">
        <f>modif0[[#This Row],[tp]]="CR"</f>
        <v>0</v>
      </c>
      <c r="T431">
        <v>40</v>
      </c>
      <c r="U431" t="str">
        <f>IF(NOT($A431),"",
IF(AO431=-2,regle!$J$11,
IF(AO431=regle!$B$12,regle!$B$11,
IF(AO431=regle!$C$12,regle!$C$11,
IF(AO431=regle!$D$12,regle!$D$11,
IF(AO431=regle!$E$12,regle!$E$11,
IF(AO431=regle!$F$12,regle!$F$11,
IF(AO431=regle!$G$12,regle!$G$11,
IF(AO431=regle!$H$12,regle!$H$11,
IF(AO431=regle!$I$12,regle!$I$11,""))))))))))</f>
        <v/>
      </c>
      <c r="V431" t="str">
        <f>IF(NOT($A431),"",
IF(AP431=-2,regle!$J$11,
IF(AP431=regle!$B$12,regle!$B$11,
IF(AP431=regle!$C$12,regle!$C$11,
IF(AP431=regle!$D$12,regle!$D$11,
IF(AP431=regle!$E$12,regle!$E$11,
IF(AP431=regle!$F$12,regle!$F$11,
IF(AP431=regle!$G$12,regle!$G$11,
IF(AP431=regle!$H$12,regle!$H$11,
IF(AP431=regle!$I$12,regle!$I$11,""))))))))))</f>
        <v/>
      </c>
      <c r="W431" t="str">
        <f>IF(NOT($A431),"",
IF(AQ431=-2,regle!$J$11,
IF(AQ431=regle!$B$12,regle!$B$11,
IF(AQ431=regle!$C$12,regle!$C$11,
IF(AQ431=regle!$D$12,regle!$D$11,
IF(AQ431=regle!$E$12,regle!$E$11,
IF(AQ431=regle!$F$12,regle!$F$11,
IF(AQ431=regle!$G$12,regle!$G$11,
IF(AQ431=regle!$H$12,regle!$H$11,
IF(AQ431=regle!$I$12,regle!$I$11,""))))))))))</f>
        <v/>
      </c>
      <c r="X431" t="str">
        <f>IF(NOT($A431),"",
IF(AR431=-2,regle!$J$11,
IF(AR431=regle!$B$12,regle!$B$11,
IF(AR431=regle!$C$12,regle!$C$11,
IF(AR431=regle!$D$12,regle!$D$11,
IF(AR431=regle!$E$12,regle!$E$11,
IF(AR431=regle!$F$12,regle!$F$11,
IF(AR431=regle!$G$12,regle!$G$11,
IF(AR431=regle!$H$12,regle!$H$11,
IF(AR431=regle!$I$12,regle!$I$11,""))))))))))</f>
        <v/>
      </c>
      <c r="Y431" t="str">
        <f>IF(NOT($A431),"",
IF(AS431=-2,regle!$J$11,
IF(AS431=regle!$B$12,regle!$B$11,
IF(AS431=regle!$C$12,regle!$C$11,
IF(AS431=regle!$D$12,regle!$D$11,
IF(AS431=regle!$E$12,regle!$E$11,
IF(AS431=regle!$F$12,regle!$F$11,
IF(AS431=regle!$G$12,regle!$G$11,
IF(AS431=regle!$H$12,regle!$H$11,
IF(AS431=regle!$I$12,regle!$I$11,""))))))))))</f>
        <v/>
      </c>
      <c r="Z431" t="str">
        <f>IF(NOT($A431),"",
IF(AT431=-2,regle!$J$11,
IF(AT431=regle!$B$12,regle!$B$11,
IF(AT431=regle!$C$12,regle!$C$11,
IF(AT431=regle!$D$12,regle!$D$11,
IF(AT431=regle!$E$12,regle!$E$11,
IF(AT431=regle!$F$12,regle!$F$11,
IF(AT431=regle!$G$12,regle!$G$11,
IF(AT431=regle!$H$12,regle!$H$11,
IF(AT431=regle!$I$12,regle!$I$11,""))))))))))</f>
        <v/>
      </c>
      <c r="AA431" t="str">
        <f>IF(NOT($A431),"",
IF(AU431=-2,regle!$J$11,
IF(AU431=regle!$B$12,regle!$B$11,
IF(AU431=regle!$C$12,regle!$C$11,
IF(AU431=regle!$D$12,regle!$D$11,
IF(AU431=regle!$E$12,regle!$E$11,
IF(AU431=regle!$F$12,regle!$F$11,
IF(AU431=regle!$G$12,regle!$G$11,
IF(AU431=regle!$H$12,regle!$H$11,
IF(AU431=regle!$I$12,regle!$I$11,""))))))))))</f>
        <v/>
      </c>
      <c r="AB431" t="str">
        <f>IF(NOT($A431),"",
IF(AV431=-2,regle!$J$11,
IF(AV431=regle!$B$12,regle!$B$11,
IF(AV431=regle!$C$12,regle!$C$11,
IF(AV431=regle!$D$12,regle!$D$11,
IF(AV431=regle!$E$12,regle!$E$11,
IF(AV431=regle!$F$12,regle!$F$11,
IF(AV431=regle!$G$12,regle!$G$11,
IF(AV431=regle!$H$12,regle!$H$11,
IF(AV431=regle!$I$12,regle!$I$11,""))))))))))</f>
        <v/>
      </c>
      <c r="AC431" t="str">
        <f>IF(NOT($A431),"",
IF(AW431=-2,regle!$J$11,
IF(AW431=regle!$B$12,regle!$B$11,
IF(AW431=regle!$C$12,regle!$C$11,
IF(AW431=regle!$D$12,regle!$D$11,
IF(AW431=regle!$E$12,regle!$E$11,
IF(AW431=regle!$F$12,regle!$F$11,
IF(AW431=regle!$G$12,regle!$G$11,
IF(AW431=regle!$H$12,regle!$H$11,
IF(AW431=regle!$I$12,regle!$I$11,""))))))))))</f>
        <v/>
      </c>
      <c r="AD431" t="str">
        <f>IF(NOT($A431),"",
IF(AX431=-2,regle!$J$11,
IF(AX431=regle!$B$12,regle!$B$11,
IF(AX431=regle!$C$12,regle!$C$11,
IF(AX431=regle!$D$12,regle!$D$11,
IF(AX431=regle!$E$12,regle!$E$11,
IF(AX431=regle!$F$12,regle!$F$11,
IF(AX431=regle!$G$12,regle!$G$11,
IF(AX431=regle!$H$12,regle!$H$11,
IF(AX431=regle!$I$12,regle!$I$11,""))))))))))</f>
        <v/>
      </c>
      <c r="AE431" s="14" t="b">
        <f>IF($A431,$M431*(IF(U431=regle!$B$11,regle!$B$23,IF(U431=regle!$C$11,regle!$C$23,IF(U431=regle!$D$11,regle!$D$23,IF(U431=regle!$E$11,regle!$E$23,IF(U431=regle!$F$11,regle!$F$23,IF(U431=regle!$G$11,regle!$G$23,IF(U431=regle!$H$11,regle!$H$23,IF(U431=regle!$I$11,regle!$I$23,IF(U431=regle!$J$11,regle!$J$23,0)))))))))))</f>
        <v>0</v>
      </c>
      <c r="AF431" s="14" t="b">
        <f>IF($A431,$M431*(IF(V431=regle!$B$11,regle!$B$23,IF(V431=regle!$C$11,regle!$C$23,IF(V431=regle!$D$11,regle!$D$23,IF(V431=regle!$E$11,regle!$E$23,IF(V431=regle!$F$11,regle!$F$23,IF(V431=regle!$G$11,regle!$G$23,IF(V431=regle!$H$11,regle!$H$23,IF(V431=regle!$I$11,regle!$I$23,IF(V431=regle!$J$11,regle!$J$23,0)))))))))))</f>
        <v>0</v>
      </c>
      <c r="AG431" s="14" t="b">
        <f>IF($A431,$M431*(IF(W431=regle!$B$11,regle!$B$23,IF(W431=regle!$C$11,regle!$C$23,IF(W431=regle!$D$11,regle!$D$23,IF(W431=regle!$E$11,regle!$E$23,IF(W431=regle!$F$11,regle!$F$23,IF(W431=regle!$G$11,regle!$G$23,IF(W431=regle!$H$11,regle!$H$23,IF(W431=regle!$I$11,regle!$I$23,IF(W431=regle!$J$11,regle!$J$23,0)))))))))))</f>
        <v>0</v>
      </c>
      <c r="AH431" s="14" t="b">
        <f>IF($A431,$M431*(IF(X431=regle!$B$11,regle!$B$23,IF(X431=regle!$C$11,regle!$C$23,IF(X431=regle!$D$11,regle!$D$23,IF(X431=regle!$E$11,regle!$E$23,IF(X431=regle!$F$11,regle!$F$23,IF(X431=regle!$G$11,regle!$G$23,IF(X431=regle!$H$11,regle!$H$23,IF(X431=regle!$I$11,regle!$I$23,IF(X431=regle!$J$11,regle!$J$23,0)))))))))))</f>
        <v>0</v>
      </c>
      <c r="AI431" s="14" t="b">
        <f>IF($A431,$M431*(IF(Y431=regle!$B$11,regle!$B$23,IF(Y431=regle!$C$11,regle!$C$23,IF(Y431=regle!$D$11,regle!$D$23,IF(Y431=regle!$E$11,regle!$E$23,IF(Y431=regle!$F$11,regle!$F$23,IF(Y431=regle!$G$11,regle!$G$23,IF(Y431=regle!$H$11,regle!$H$23,IF(Y431=regle!$I$11,regle!$I$23,IF(Y431=regle!$J$11,regle!$J$23,0)))))))))))</f>
        <v>0</v>
      </c>
      <c r="AJ431" s="14" t="b">
        <f>IF($A431,$M431*(IF(Z431=regle!$B$11,regle!$B$23,IF(Z431=regle!$C$11,regle!$C$23,IF(Z431=regle!$D$11,regle!$D$23,IF(Z431=regle!$E$11,regle!$E$23,IF(Z431=regle!$F$11,regle!$F$23,IF(Z431=regle!$G$11,regle!$G$23,IF(Z431=regle!$H$11,regle!$H$23,IF(Z431=regle!$I$11,regle!$I$23,IF(Z431=regle!$J$11,regle!$J$23,0)))))))))))</f>
        <v>0</v>
      </c>
      <c r="AK431" s="14" t="b">
        <f>IF($A431,$M431*(IF(AA431=regle!$B$11,regle!$B$23,IF(AA431=regle!$C$11,regle!$C$23,IF(AA431=regle!$D$11,regle!$D$23,IF(AA431=regle!$E$11,regle!$E$23,IF(AA431=regle!$F$11,regle!$F$23,IF(AA431=regle!$G$11,regle!$G$23,IF(AA431=regle!$H$11,regle!$H$23,IF(AA431=regle!$I$11,regle!$I$23,IF(AA431=regle!$J$11,regle!$J$23,0)))))))))))</f>
        <v>0</v>
      </c>
      <c r="AL431" s="14" t="b">
        <f>IF($A431,$M431*(IF(AB431=regle!$B$11,regle!$B$23,IF(AB431=regle!$C$11,regle!$C$23,IF(AB431=regle!$D$11,regle!$D$23,IF(AB431=regle!$E$11,regle!$E$23,IF(AB431=regle!$F$11,regle!$F$23,IF(AB431=regle!$G$11,regle!$G$23,IF(AB431=regle!$H$11,regle!$H$23,IF(AB431=regle!$I$11,regle!$I$23,IF(AB431=regle!$J$11,regle!$J$23,0)))))))))))</f>
        <v>0</v>
      </c>
      <c r="AM431" s="14" t="b">
        <f>IF($A431,$M431*(IF(AC431=regle!$B$11,regle!$B$23,IF(AC431=regle!$C$11,regle!$C$23,IF(AC431=regle!$D$11,regle!$D$23,IF(AC431=regle!$E$11,regle!$E$23,IF(AC431=regle!$F$11,regle!$F$23,IF(AC431=regle!$G$11,regle!$G$23,IF(AC431=regle!$H$11,regle!$H$23,IF(AC431=regle!$I$11,regle!$I$23,IF(AC431=regle!$J$11,regle!$J$23,0)))))))))))</f>
        <v>0</v>
      </c>
      <c r="AN431" s="14" t="b">
        <f>IF($A431,$M431*(IF(AD431=regle!$B$11,regle!$B$23,IF(AD431=regle!$C$11,regle!$C$23,IF(AD431=regle!$D$11,regle!$D$23,IF(AD431=regle!$E$11,regle!$E$23,IF(AD431=regle!$F$11,regle!$F$23,IF(AD431=regle!$G$11,regle!$G$23,IF(AD431=regle!$H$11,regle!$H$23,IF(AD431=regle!$I$11,regle!$I$23,IF(AD431=regle!$J$11,regle!$J$23,0)))))))))))</f>
        <v>0</v>
      </c>
      <c r="AO431">
        <f>IF(AO$1=$AO$1,IF(regle!B$2-$Q431&gt;=regle!$J$12,-2,IF($S431,IF(regle!$B$2-$Q431&gt;=2,0,-1),regle!B$2-$Q431)),IF(AN431+1&gt;=regle!$J$12,-2,AN431+1))</f>
        <v>38</v>
      </c>
      <c r="AP431">
        <f>IF(AP$1=$AO$1,IF(regle!C$2-$Q431&gt;=regle!$J$12,-2,IF($S431,IF(regle!$B$2-$Q431&gt;=2,0,-1),regle!C$2-$Q431)),IF(AO431+1&gt;=regle!$J$12,-2,AO431+1))</f>
        <v>39</v>
      </c>
      <c r="AQ431">
        <f>IF(AQ$1=$AO$1,IF(regle!D$2-$Q431&gt;=regle!$J$12,-2,IF($S431,IF(regle!$B$2-$Q431&gt;=2,0,-1),regle!D$2-$Q431)),IF(AP431+1&gt;=regle!$J$12,-2,AP431+1))</f>
        <v>-2</v>
      </c>
      <c r="AR431">
        <f>IF(AR$1=$AO$1,IF(regle!E$2-$Q431&gt;=regle!$J$12,-2,IF($S431,IF(regle!$B$2-$Q431&gt;=2,0,-1),regle!E$2-$Q431)),IF(AQ431+1&gt;=regle!$J$12,-2,AQ431+1))</f>
        <v>-1</v>
      </c>
      <c r="AS431">
        <f>IF(AS$1=$AO$1,IF(regle!F$2-$Q431&gt;=regle!$J$12,-2,IF($S431,IF(regle!$B$2-$Q431&gt;=2,0,-1),regle!F$2-$Q431)),IF(AR431+1&gt;=regle!$J$12,-2,AR431+1))</f>
        <v>0</v>
      </c>
      <c r="AT431">
        <f>IF(AT$1=$AO$1,IF(regle!G$2-$Q431&gt;=regle!$J$12,-2,IF($S431,IF(regle!$B$2-$Q431&gt;=2,0,-1),regle!G$2-$Q431)),IF(AS431+1&gt;=regle!$J$12,-2,AS431+1))</f>
        <v>1</v>
      </c>
      <c r="AU431">
        <f>IF(AU$1=$AO$1,IF(regle!H$2-$Q431&gt;=regle!$J$12,-2,IF($S431,IF(regle!$B$2-$Q431&gt;=2,0,-1),regle!H$2-$Q431)),IF(AT431+1&gt;=regle!$J$12,-2,AT431+1))</f>
        <v>2</v>
      </c>
      <c r="AV431">
        <f>IF(AV$1=$AO$1,IF(regle!I$2-$Q431&gt;=regle!$J$12,-2,IF($S431,IF(regle!$B$2-$Q431&gt;=2,0,-1),regle!I$2-$Q431)),IF(AU431+1&gt;=regle!$J$12,-2,AU431+1))</f>
        <v>3</v>
      </c>
      <c r="AW431">
        <f>IF(AW$1=$AO$1,IF(regle!J$2-$Q431&gt;=regle!$J$12,-2,IF($S431,IF(regle!$B$2-$Q431&gt;=2,0,-1),regle!J$2-$Q431)),IF(AV431+1&gt;=regle!$J$12,-2,AV431+1))</f>
        <v>4</v>
      </c>
      <c r="AX431">
        <f>IF(AX$1=$AO$1,IF(regle!K$2-$Q431&gt;=regle!$J$12,-2,IF($S431,IF(regle!$B$2-$Q431&gt;=2,0,-1),regle!K$2-$Q431)),IF(AW431+1&gt;=regle!$J$12,-2,AW431+1))</f>
        <v>5</v>
      </c>
    </row>
    <row r="432" spans="1:50" x14ac:dyDescent="0.25">
      <c r="A432" t="b">
        <f>AND(modif0[[#This Row],[cdstr]]&lt;&gt;0,OR(regle!$H$27=FALSE,modif0[[#This Row],[essnc]]="PM"))</f>
        <v>0</v>
      </c>
      <c r="B432">
        <f>ROW(objet!A401)</f>
        <v>401</v>
      </c>
      <c r="C432" s="10" t="str">
        <f>objet!D401</f>
        <v>2000000M0023</v>
      </c>
      <c r="D432" t="str">
        <f>LEFT(modif0[[#This Row],[cdstr]],3)</f>
        <v>200</v>
      </c>
      <c r="E432" s="10" t="str">
        <f>objet!G401</f>
        <v>MOUSTEY</v>
      </c>
      <c r="F432">
        <f>LEN(modif0[[#This Row],[l_dt]])</f>
        <v>5</v>
      </c>
      <c r="G432" s="10" t="str">
        <f>objet!H401</f>
        <v>Plata</v>
      </c>
      <c r="H432" s="10" t="str">
        <f>objet!C401</f>
        <v>M23b</v>
      </c>
      <c r="I432" t="str">
        <f>IF(ISNUMBER(VALUE(RIGHT(LEFT(modif0[[#This Row],[idntfn]],2),1))),_xlfn.CONCAT(0,LEFT(modif0[[#This Row],[idntfn]],1)),LEFT(modif0[[#This Row],[idntfn]],2))</f>
        <v>0M</v>
      </c>
      <c r="J432">
        <f>VALUE(LEFT(RIGHT(modif0[[#This Row],[idntfn]],LEN(modif0[[#This Row],[idntfn]])-IF(LEFT(modif0[[#This Row],[sctn]],1)="0",1,2)),LEN(modif0[[#This Row],[idntfn]])-IF(LEFT(modif0[[#This Row],[sctn]],1)="0",1,2)-LEN(modif0[[#This Row],[lttr]])))</f>
        <v>23</v>
      </c>
      <c r="K432" t="str">
        <f>IF(ISNUMBER(VALUE(RIGHT(modif0[[#This Row],[idntfn]],1))),"",IF(ISNUMBER(VALUE(LEFT(RIGHT(modif0[[#This Row],[idntfn]],2),1))),RIGHT(modif0[[#This Row],[idntfn]],1),RIGHT(modif0[[#This Row],[idntfn]],2)))</f>
        <v>b</v>
      </c>
      <c r="L432" s="10">
        <f>objet!I401</f>
        <v>3580</v>
      </c>
      <c r="M432" s="11">
        <f>modif0[[#This Row],[srfc]]/10000</f>
        <v>0.35799999999999998</v>
      </c>
      <c r="N432" s="10" t="str">
        <f>objet!Z401</f>
        <v>FEUIL</v>
      </c>
      <c r="O432" s="10" t="str">
        <f>objet!AA401</f>
        <v>TAIL1986</v>
      </c>
      <c r="P432" t="str">
        <f>IF(ISNUMBER(modif0[[#This Row],[trvx]]),"",LEFT(modif0[[#This Row],[trvx]],LEN(modif0[[#This Row],[trvx]])-4))</f>
        <v>TAIL</v>
      </c>
      <c r="Q432">
        <f>VALUE(RIGHT(modif0[[#This Row],[trvx]],4))</f>
        <v>1986</v>
      </c>
      <c r="R432" t="str">
        <f>_xlfn.CONCAT(modif0[[#This Row],[tp]],"-",modif0[[#This Row],[essnc]],"_",modif0[[#This Row],[anns]])</f>
        <v>TAIL-FEUIL_1986</v>
      </c>
      <c r="S432" t="b">
        <f>modif0[[#This Row],[tp]]="CR"</f>
        <v>0</v>
      </c>
      <c r="T432">
        <v>40</v>
      </c>
      <c r="U432" t="str">
        <f>IF(NOT($A432),"",
IF(AO432=-2,regle!$J$11,
IF(AO432=regle!$B$12,regle!$B$11,
IF(AO432=regle!$C$12,regle!$C$11,
IF(AO432=regle!$D$12,regle!$D$11,
IF(AO432=regle!$E$12,regle!$E$11,
IF(AO432=regle!$F$12,regle!$F$11,
IF(AO432=regle!$G$12,regle!$G$11,
IF(AO432=regle!$H$12,regle!$H$11,
IF(AO432=regle!$I$12,regle!$I$11,""))))))))))</f>
        <v/>
      </c>
      <c r="V432" t="str">
        <f>IF(NOT($A432),"",
IF(AP432=-2,regle!$J$11,
IF(AP432=regle!$B$12,regle!$B$11,
IF(AP432=regle!$C$12,regle!$C$11,
IF(AP432=regle!$D$12,regle!$D$11,
IF(AP432=regle!$E$12,regle!$E$11,
IF(AP432=regle!$F$12,regle!$F$11,
IF(AP432=regle!$G$12,regle!$G$11,
IF(AP432=regle!$H$12,regle!$H$11,
IF(AP432=regle!$I$12,regle!$I$11,""))))))))))</f>
        <v/>
      </c>
      <c r="W432" t="str">
        <f>IF(NOT($A432),"",
IF(AQ432=-2,regle!$J$11,
IF(AQ432=regle!$B$12,regle!$B$11,
IF(AQ432=regle!$C$12,regle!$C$11,
IF(AQ432=regle!$D$12,regle!$D$11,
IF(AQ432=regle!$E$12,regle!$E$11,
IF(AQ432=regle!$F$12,regle!$F$11,
IF(AQ432=regle!$G$12,regle!$G$11,
IF(AQ432=regle!$H$12,regle!$H$11,
IF(AQ432=regle!$I$12,regle!$I$11,""))))))))))</f>
        <v/>
      </c>
      <c r="X432" t="str">
        <f>IF(NOT($A432),"",
IF(AR432=-2,regle!$J$11,
IF(AR432=regle!$B$12,regle!$B$11,
IF(AR432=regle!$C$12,regle!$C$11,
IF(AR432=regle!$D$12,regle!$D$11,
IF(AR432=regle!$E$12,regle!$E$11,
IF(AR432=regle!$F$12,regle!$F$11,
IF(AR432=regle!$G$12,regle!$G$11,
IF(AR432=regle!$H$12,regle!$H$11,
IF(AR432=regle!$I$12,regle!$I$11,""))))))))))</f>
        <v/>
      </c>
      <c r="Y432" t="str">
        <f>IF(NOT($A432),"",
IF(AS432=-2,regle!$J$11,
IF(AS432=regle!$B$12,regle!$B$11,
IF(AS432=regle!$C$12,regle!$C$11,
IF(AS432=regle!$D$12,regle!$D$11,
IF(AS432=regle!$E$12,regle!$E$11,
IF(AS432=regle!$F$12,regle!$F$11,
IF(AS432=regle!$G$12,regle!$G$11,
IF(AS432=regle!$H$12,regle!$H$11,
IF(AS432=regle!$I$12,regle!$I$11,""))))))))))</f>
        <v/>
      </c>
      <c r="Z432" t="str">
        <f>IF(NOT($A432),"",
IF(AT432=-2,regle!$J$11,
IF(AT432=regle!$B$12,regle!$B$11,
IF(AT432=regle!$C$12,regle!$C$11,
IF(AT432=regle!$D$12,regle!$D$11,
IF(AT432=regle!$E$12,regle!$E$11,
IF(AT432=regle!$F$12,regle!$F$11,
IF(AT432=regle!$G$12,regle!$G$11,
IF(AT432=regle!$H$12,regle!$H$11,
IF(AT432=regle!$I$12,regle!$I$11,""))))))))))</f>
        <v/>
      </c>
      <c r="AA432" t="str">
        <f>IF(NOT($A432),"",
IF(AU432=-2,regle!$J$11,
IF(AU432=regle!$B$12,regle!$B$11,
IF(AU432=regle!$C$12,regle!$C$11,
IF(AU432=regle!$D$12,regle!$D$11,
IF(AU432=regle!$E$12,regle!$E$11,
IF(AU432=regle!$F$12,regle!$F$11,
IF(AU432=regle!$G$12,regle!$G$11,
IF(AU432=regle!$H$12,regle!$H$11,
IF(AU432=regle!$I$12,regle!$I$11,""))))))))))</f>
        <v/>
      </c>
      <c r="AB432" t="str">
        <f>IF(NOT($A432),"",
IF(AV432=-2,regle!$J$11,
IF(AV432=regle!$B$12,regle!$B$11,
IF(AV432=regle!$C$12,regle!$C$11,
IF(AV432=regle!$D$12,regle!$D$11,
IF(AV432=regle!$E$12,regle!$E$11,
IF(AV432=regle!$F$12,regle!$F$11,
IF(AV432=regle!$G$12,regle!$G$11,
IF(AV432=regle!$H$12,regle!$H$11,
IF(AV432=regle!$I$12,regle!$I$11,""))))))))))</f>
        <v/>
      </c>
      <c r="AC432" t="str">
        <f>IF(NOT($A432),"",
IF(AW432=-2,regle!$J$11,
IF(AW432=regle!$B$12,regle!$B$11,
IF(AW432=regle!$C$12,regle!$C$11,
IF(AW432=regle!$D$12,regle!$D$11,
IF(AW432=regle!$E$12,regle!$E$11,
IF(AW432=regle!$F$12,regle!$F$11,
IF(AW432=regle!$G$12,regle!$G$11,
IF(AW432=regle!$H$12,regle!$H$11,
IF(AW432=regle!$I$12,regle!$I$11,""))))))))))</f>
        <v/>
      </c>
      <c r="AD432" t="str">
        <f>IF(NOT($A432),"",
IF(AX432=-2,regle!$J$11,
IF(AX432=regle!$B$12,regle!$B$11,
IF(AX432=regle!$C$12,regle!$C$11,
IF(AX432=regle!$D$12,regle!$D$11,
IF(AX432=regle!$E$12,regle!$E$11,
IF(AX432=regle!$F$12,regle!$F$11,
IF(AX432=regle!$G$12,regle!$G$11,
IF(AX432=regle!$H$12,regle!$H$11,
IF(AX432=regle!$I$12,regle!$I$11,""))))))))))</f>
        <v/>
      </c>
      <c r="AE432" s="14" t="b">
        <f>IF($A432,$M432*(IF(U432=regle!$B$11,regle!$B$23,IF(U432=regle!$C$11,regle!$C$23,IF(U432=regle!$D$11,regle!$D$23,IF(U432=regle!$E$11,regle!$E$23,IF(U432=regle!$F$11,regle!$F$23,IF(U432=regle!$G$11,regle!$G$23,IF(U432=regle!$H$11,regle!$H$23,IF(U432=regle!$I$11,regle!$I$23,IF(U432=regle!$J$11,regle!$J$23,0)))))))))))</f>
        <v>0</v>
      </c>
      <c r="AF432" s="14" t="b">
        <f>IF($A432,$M432*(IF(V432=regle!$B$11,regle!$B$23,IF(V432=regle!$C$11,regle!$C$23,IF(V432=regle!$D$11,regle!$D$23,IF(V432=regle!$E$11,regle!$E$23,IF(V432=regle!$F$11,regle!$F$23,IF(V432=regle!$G$11,regle!$G$23,IF(V432=regle!$H$11,regle!$H$23,IF(V432=regle!$I$11,regle!$I$23,IF(V432=regle!$J$11,regle!$J$23,0)))))))))))</f>
        <v>0</v>
      </c>
      <c r="AG432" s="14" t="b">
        <f>IF($A432,$M432*(IF(W432=regle!$B$11,regle!$B$23,IF(W432=regle!$C$11,regle!$C$23,IF(W432=regle!$D$11,regle!$D$23,IF(W432=regle!$E$11,regle!$E$23,IF(W432=regle!$F$11,regle!$F$23,IF(W432=regle!$G$11,regle!$G$23,IF(W432=regle!$H$11,regle!$H$23,IF(W432=regle!$I$11,regle!$I$23,IF(W432=regle!$J$11,regle!$J$23,0)))))))))))</f>
        <v>0</v>
      </c>
      <c r="AH432" s="14" t="b">
        <f>IF($A432,$M432*(IF(X432=regle!$B$11,regle!$B$23,IF(X432=regle!$C$11,regle!$C$23,IF(X432=regle!$D$11,regle!$D$23,IF(X432=regle!$E$11,regle!$E$23,IF(X432=regle!$F$11,regle!$F$23,IF(X432=regle!$G$11,regle!$G$23,IF(X432=regle!$H$11,regle!$H$23,IF(X432=regle!$I$11,regle!$I$23,IF(X432=regle!$J$11,regle!$J$23,0)))))))))))</f>
        <v>0</v>
      </c>
      <c r="AI432" s="14" t="b">
        <f>IF($A432,$M432*(IF(Y432=regle!$B$11,regle!$B$23,IF(Y432=regle!$C$11,regle!$C$23,IF(Y432=regle!$D$11,regle!$D$23,IF(Y432=regle!$E$11,regle!$E$23,IF(Y432=regle!$F$11,regle!$F$23,IF(Y432=regle!$G$11,regle!$G$23,IF(Y432=regle!$H$11,regle!$H$23,IF(Y432=regle!$I$11,regle!$I$23,IF(Y432=regle!$J$11,regle!$J$23,0)))))))))))</f>
        <v>0</v>
      </c>
      <c r="AJ432" s="14" t="b">
        <f>IF($A432,$M432*(IF(Z432=regle!$B$11,regle!$B$23,IF(Z432=regle!$C$11,regle!$C$23,IF(Z432=regle!$D$11,regle!$D$23,IF(Z432=regle!$E$11,regle!$E$23,IF(Z432=regle!$F$11,regle!$F$23,IF(Z432=regle!$G$11,regle!$G$23,IF(Z432=regle!$H$11,regle!$H$23,IF(Z432=regle!$I$11,regle!$I$23,IF(Z432=regle!$J$11,regle!$J$23,0)))))))))))</f>
        <v>0</v>
      </c>
      <c r="AK432" s="14" t="b">
        <f>IF($A432,$M432*(IF(AA432=regle!$B$11,regle!$B$23,IF(AA432=regle!$C$11,regle!$C$23,IF(AA432=regle!$D$11,regle!$D$23,IF(AA432=regle!$E$11,regle!$E$23,IF(AA432=regle!$F$11,regle!$F$23,IF(AA432=regle!$G$11,regle!$G$23,IF(AA432=regle!$H$11,regle!$H$23,IF(AA432=regle!$I$11,regle!$I$23,IF(AA432=regle!$J$11,regle!$J$23,0)))))))))))</f>
        <v>0</v>
      </c>
      <c r="AL432" s="14" t="b">
        <f>IF($A432,$M432*(IF(AB432=regle!$B$11,regle!$B$23,IF(AB432=regle!$C$11,regle!$C$23,IF(AB432=regle!$D$11,regle!$D$23,IF(AB432=regle!$E$11,regle!$E$23,IF(AB432=regle!$F$11,regle!$F$23,IF(AB432=regle!$G$11,regle!$G$23,IF(AB432=regle!$H$11,regle!$H$23,IF(AB432=regle!$I$11,regle!$I$23,IF(AB432=regle!$J$11,regle!$J$23,0)))))))))))</f>
        <v>0</v>
      </c>
      <c r="AM432" s="14" t="b">
        <f>IF($A432,$M432*(IF(AC432=regle!$B$11,regle!$B$23,IF(AC432=regle!$C$11,regle!$C$23,IF(AC432=regle!$D$11,regle!$D$23,IF(AC432=regle!$E$11,regle!$E$23,IF(AC432=regle!$F$11,regle!$F$23,IF(AC432=regle!$G$11,regle!$G$23,IF(AC432=regle!$H$11,regle!$H$23,IF(AC432=regle!$I$11,regle!$I$23,IF(AC432=regle!$J$11,regle!$J$23,0)))))))))))</f>
        <v>0</v>
      </c>
      <c r="AN432" s="14" t="b">
        <f>IF($A432,$M432*(IF(AD432=regle!$B$11,regle!$B$23,IF(AD432=regle!$C$11,regle!$C$23,IF(AD432=regle!$D$11,regle!$D$23,IF(AD432=regle!$E$11,regle!$E$23,IF(AD432=regle!$F$11,regle!$F$23,IF(AD432=regle!$G$11,regle!$G$23,IF(AD432=regle!$H$11,regle!$H$23,IF(AD432=regle!$I$11,regle!$I$23,IF(AD432=regle!$J$11,regle!$J$23,0)))))))))))</f>
        <v>0</v>
      </c>
      <c r="AO432">
        <f>IF(AO$1=$AO$1,IF(regle!B$2-$Q432&gt;=regle!$J$12,-2,IF($S432,IF(regle!$B$2-$Q432&gt;=2,0,-1),regle!B$2-$Q432)),IF(AN432+1&gt;=regle!$J$12,-2,AN432+1))</f>
        <v>38</v>
      </c>
      <c r="AP432">
        <f>IF(AP$1=$AO$1,IF(regle!C$2-$Q432&gt;=regle!$J$12,-2,IF($S432,IF(regle!$B$2-$Q432&gt;=2,0,-1),regle!C$2-$Q432)),IF(AO432+1&gt;=regle!$J$12,-2,AO432+1))</f>
        <v>39</v>
      </c>
      <c r="AQ432">
        <f>IF(AQ$1=$AO$1,IF(regle!D$2-$Q432&gt;=regle!$J$12,-2,IF($S432,IF(regle!$B$2-$Q432&gt;=2,0,-1),regle!D$2-$Q432)),IF(AP432+1&gt;=regle!$J$12,-2,AP432+1))</f>
        <v>-2</v>
      </c>
      <c r="AR432">
        <f>IF(AR$1=$AO$1,IF(regle!E$2-$Q432&gt;=regle!$J$12,-2,IF($S432,IF(regle!$B$2-$Q432&gt;=2,0,-1),regle!E$2-$Q432)),IF(AQ432+1&gt;=regle!$J$12,-2,AQ432+1))</f>
        <v>-1</v>
      </c>
      <c r="AS432">
        <f>IF(AS$1=$AO$1,IF(regle!F$2-$Q432&gt;=regle!$J$12,-2,IF($S432,IF(regle!$B$2-$Q432&gt;=2,0,-1),regle!F$2-$Q432)),IF(AR432+1&gt;=regle!$J$12,-2,AR432+1))</f>
        <v>0</v>
      </c>
      <c r="AT432">
        <f>IF(AT$1=$AO$1,IF(regle!G$2-$Q432&gt;=regle!$J$12,-2,IF($S432,IF(regle!$B$2-$Q432&gt;=2,0,-1),regle!G$2-$Q432)),IF(AS432+1&gt;=regle!$J$12,-2,AS432+1))</f>
        <v>1</v>
      </c>
      <c r="AU432">
        <f>IF(AU$1=$AO$1,IF(regle!H$2-$Q432&gt;=regle!$J$12,-2,IF($S432,IF(regle!$B$2-$Q432&gt;=2,0,-1),regle!H$2-$Q432)),IF(AT432+1&gt;=regle!$J$12,-2,AT432+1))</f>
        <v>2</v>
      </c>
      <c r="AV432">
        <f>IF(AV$1=$AO$1,IF(regle!I$2-$Q432&gt;=regle!$J$12,-2,IF($S432,IF(regle!$B$2-$Q432&gt;=2,0,-1),regle!I$2-$Q432)),IF(AU432+1&gt;=regle!$J$12,-2,AU432+1))</f>
        <v>3</v>
      </c>
      <c r="AW432">
        <f>IF(AW$1=$AO$1,IF(regle!J$2-$Q432&gt;=regle!$J$12,-2,IF($S432,IF(regle!$B$2-$Q432&gt;=2,0,-1),regle!J$2-$Q432)),IF(AV432+1&gt;=regle!$J$12,-2,AV432+1))</f>
        <v>4</v>
      </c>
      <c r="AX432">
        <f>IF(AX$1=$AO$1,IF(regle!K$2-$Q432&gt;=regle!$J$12,-2,IF($S432,IF(regle!$B$2-$Q432&gt;=2,0,-1),regle!K$2-$Q432)),IF(AW432+1&gt;=regle!$J$12,-2,AW432+1))</f>
        <v>5</v>
      </c>
    </row>
    <row r="433" spans="1:50" x14ac:dyDescent="0.25">
      <c r="A433" t="b">
        <f>AND(modif0[[#This Row],[cdstr]]&lt;&gt;0,OR(regle!$H$27=FALSE,modif0[[#This Row],[essnc]]="PM"))</f>
        <v>0</v>
      </c>
      <c r="B433">
        <f>ROW(objet!A403)</f>
        <v>403</v>
      </c>
      <c r="C433" s="10" t="str">
        <f>objet!D403</f>
        <v>2000000M0033</v>
      </c>
      <c r="D433" t="str">
        <f>LEFT(modif0[[#This Row],[cdstr]],3)</f>
        <v>200</v>
      </c>
      <c r="E433" s="10" t="str">
        <f>objet!G403</f>
        <v>MOUSTEY</v>
      </c>
      <c r="F433">
        <f>LEN(modif0[[#This Row],[l_dt]])</f>
        <v>4</v>
      </c>
      <c r="G433" s="10" t="str">
        <f>objet!H403</f>
        <v>Kycs</v>
      </c>
      <c r="H433" s="10" t="str">
        <f>objet!C403</f>
        <v>M33k</v>
      </c>
      <c r="I433" t="str">
        <f>IF(ISNUMBER(VALUE(RIGHT(LEFT(modif0[[#This Row],[idntfn]],2),1))),_xlfn.CONCAT(0,LEFT(modif0[[#This Row],[idntfn]],1)),LEFT(modif0[[#This Row],[idntfn]],2))</f>
        <v>0M</v>
      </c>
      <c r="J433">
        <f>VALUE(LEFT(RIGHT(modif0[[#This Row],[idntfn]],LEN(modif0[[#This Row],[idntfn]])-IF(LEFT(modif0[[#This Row],[sctn]],1)="0",1,2)),LEN(modif0[[#This Row],[idntfn]])-IF(LEFT(modif0[[#This Row],[sctn]],1)="0",1,2)-LEN(modif0[[#This Row],[lttr]])))</f>
        <v>33</v>
      </c>
      <c r="K433" t="str">
        <f>IF(ISNUMBER(VALUE(RIGHT(modif0[[#This Row],[idntfn]],1))),"",IF(ISNUMBER(VALUE(LEFT(RIGHT(modif0[[#This Row],[idntfn]],2),1))),RIGHT(modif0[[#This Row],[idntfn]],1),RIGHT(modif0[[#This Row],[idntfn]],2)))</f>
        <v>k</v>
      </c>
      <c r="L433" s="10">
        <f>objet!I403</f>
        <v>31364</v>
      </c>
      <c r="M433" s="11">
        <f>modif0[[#This Row],[srfc]]/10000</f>
        <v>3.1364000000000001</v>
      </c>
      <c r="N433" s="10" t="str">
        <f>objet!Z403</f>
        <v>FEUIL</v>
      </c>
      <c r="O433" s="10" t="str">
        <f>objet!AA403</f>
        <v>TAIL1986</v>
      </c>
      <c r="P433" t="str">
        <f>IF(ISNUMBER(modif0[[#This Row],[trvx]]),"",LEFT(modif0[[#This Row],[trvx]],LEN(modif0[[#This Row],[trvx]])-4))</f>
        <v>TAIL</v>
      </c>
      <c r="Q433">
        <f>VALUE(RIGHT(modif0[[#This Row],[trvx]],4))</f>
        <v>1986</v>
      </c>
      <c r="R433" t="str">
        <f>_xlfn.CONCAT(modif0[[#This Row],[tp]],"-",modif0[[#This Row],[essnc]],"_",modif0[[#This Row],[anns]])</f>
        <v>TAIL-FEUIL_1986</v>
      </c>
      <c r="S433" t="b">
        <f>modif0[[#This Row],[tp]]="CR"</f>
        <v>0</v>
      </c>
      <c r="T433">
        <v>40</v>
      </c>
      <c r="U433" t="str">
        <f>IF(NOT($A433),"",
IF(AO433=-2,regle!$J$11,
IF(AO433=regle!$B$12,regle!$B$11,
IF(AO433=regle!$C$12,regle!$C$11,
IF(AO433=regle!$D$12,regle!$D$11,
IF(AO433=regle!$E$12,regle!$E$11,
IF(AO433=regle!$F$12,regle!$F$11,
IF(AO433=regle!$G$12,regle!$G$11,
IF(AO433=regle!$H$12,regle!$H$11,
IF(AO433=regle!$I$12,regle!$I$11,""))))))))))</f>
        <v/>
      </c>
      <c r="V433" t="str">
        <f>IF(NOT($A433),"",
IF(AP433=-2,regle!$J$11,
IF(AP433=regle!$B$12,regle!$B$11,
IF(AP433=regle!$C$12,regle!$C$11,
IF(AP433=regle!$D$12,regle!$D$11,
IF(AP433=regle!$E$12,regle!$E$11,
IF(AP433=regle!$F$12,regle!$F$11,
IF(AP433=regle!$G$12,regle!$G$11,
IF(AP433=regle!$H$12,regle!$H$11,
IF(AP433=regle!$I$12,regle!$I$11,""))))))))))</f>
        <v/>
      </c>
      <c r="W433" t="str">
        <f>IF(NOT($A433),"",
IF(AQ433=-2,regle!$J$11,
IF(AQ433=regle!$B$12,regle!$B$11,
IF(AQ433=regle!$C$12,regle!$C$11,
IF(AQ433=regle!$D$12,regle!$D$11,
IF(AQ433=regle!$E$12,regle!$E$11,
IF(AQ433=regle!$F$12,regle!$F$11,
IF(AQ433=regle!$G$12,regle!$G$11,
IF(AQ433=regle!$H$12,regle!$H$11,
IF(AQ433=regle!$I$12,regle!$I$11,""))))))))))</f>
        <v/>
      </c>
      <c r="X433" t="str">
        <f>IF(NOT($A433),"",
IF(AR433=-2,regle!$J$11,
IF(AR433=regle!$B$12,regle!$B$11,
IF(AR433=regle!$C$12,regle!$C$11,
IF(AR433=regle!$D$12,regle!$D$11,
IF(AR433=regle!$E$12,regle!$E$11,
IF(AR433=regle!$F$12,regle!$F$11,
IF(AR433=regle!$G$12,regle!$G$11,
IF(AR433=regle!$H$12,regle!$H$11,
IF(AR433=regle!$I$12,regle!$I$11,""))))))))))</f>
        <v/>
      </c>
      <c r="Y433" t="str">
        <f>IF(NOT($A433),"",
IF(AS433=-2,regle!$J$11,
IF(AS433=regle!$B$12,regle!$B$11,
IF(AS433=regle!$C$12,regle!$C$11,
IF(AS433=regle!$D$12,regle!$D$11,
IF(AS433=regle!$E$12,regle!$E$11,
IF(AS433=regle!$F$12,regle!$F$11,
IF(AS433=regle!$G$12,regle!$G$11,
IF(AS433=regle!$H$12,regle!$H$11,
IF(AS433=regle!$I$12,regle!$I$11,""))))))))))</f>
        <v/>
      </c>
      <c r="Z433" t="str">
        <f>IF(NOT($A433),"",
IF(AT433=-2,regle!$J$11,
IF(AT433=regle!$B$12,regle!$B$11,
IF(AT433=regle!$C$12,regle!$C$11,
IF(AT433=regle!$D$12,regle!$D$11,
IF(AT433=regle!$E$12,regle!$E$11,
IF(AT433=regle!$F$12,regle!$F$11,
IF(AT433=regle!$G$12,regle!$G$11,
IF(AT433=regle!$H$12,regle!$H$11,
IF(AT433=regle!$I$12,regle!$I$11,""))))))))))</f>
        <v/>
      </c>
      <c r="AA433" t="str">
        <f>IF(NOT($A433),"",
IF(AU433=-2,regle!$J$11,
IF(AU433=regle!$B$12,regle!$B$11,
IF(AU433=regle!$C$12,regle!$C$11,
IF(AU433=regle!$D$12,regle!$D$11,
IF(AU433=regle!$E$12,regle!$E$11,
IF(AU433=regle!$F$12,regle!$F$11,
IF(AU433=regle!$G$12,regle!$G$11,
IF(AU433=regle!$H$12,regle!$H$11,
IF(AU433=regle!$I$12,regle!$I$11,""))))))))))</f>
        <v/>
      </c>
      <c r="AB433" t="str">
        <f>IF(NOT($A433),"",
IF(AV433=-2,regle!$J$11,
IF(AV433=regle!$B$12,regle!$B$11,
IF(AV433=regle!$C$12,regle!$C$11,
IF(AV433=regle!$D$12,regle!$D$11,
IF(AV433=regle!$E$12,regle!$E$11,
IF(AV433=regle!$F$12,regle!$F$11,
IF(AV433=regle!$G$12,regle!$G$11,
IF(AV433=regle!$H$12,regle!$H$11,
IF(AV433=regle!$I$12,regle!$I$11,""))))))))))</f>
        <v/>
      </c>
      <c r="AC433" t="str">
        <f>IF(NOT($A433),"",
IF(AW433=-2,regle!$J$11,
IF(AW433=regle!$B$12,regle!$B$11,
IF(AW433=regle!$C$12,regle!$C$11,
IF(AW433=regle!$D$12,regle!$D$11,
IF(AW433=regle!$E$12,regle!$E$11,
IF(AW433=regle!$F$12,regle!$F$11,
IF(AW433=regle!$G$12,regle!$G$11,
IF(AW433=regle!$H$12,regle!$H$11,
IF(AW433=regle!$I$12,regle!$I$11,""))))))))))</f>
        <v/>
      </c>
      <c r="AD433" t="str">
        <f>IF(NOT($A433),"",
IF(AX433=-2,regle!$J$11,
IF(AX433=regle!$B$12,regle!$B$11,
IF(AX433=regle!$C$12,regle!$C$11,
IF(AX433=regle!$D$12,regle!$D$11,
IF(AX433=regle!$E$12,regle!$E$11,
IF(AX433=regle!$F$12,regle!$F$11,
IF(AX433=regle!$G$12,regle!$G$11,
IF(AX433=regle!$H$12,regle!$H$11,
IF(AX433=regle!$I$12,regle!$I$11,""))))))))))</f>
        <v/>
      </c>
      <c r="AE433" s="14" t="b">
        <f>IF($A433,$M433*(IF(U433=regle!$B$11,regle!$B$23,IF(U433=regle!$C$11,regle!$C$23,IF(U433=regle!$D$11,regle!$D$23,IF(U433=regle!$E$11,regle!$E$23,IF(U433=regle!$F$11,regle!$F$23,IF(U433=regle!$G$11,regle!$G$23,IF(U433=regle!$H$11,regle!$H$23,IF(U433=regle!$I$11,regle!$I$23,IF(U433=regle!$J$11,regle!$J$23,0)))))))))))</f>
        <v>0</v>
      </c>
      <c r="AF433" s="14" t="b">
        <f>IF($A433,$M433*(IF(V433=regle!$B$11,regle!$B$23,IF(V433=regle!$C$11,regle!$C$23,IF(V433=regle!$D$11,regle!$D$23,IF(V433=regle!$E$11,regle!$E$23,IF(V433=regle!$F$11,regle!$F$23,IF(V433=regle!$G$11,regle!$G$23,IF(V433=regle!$H$11,regle!$H$23,IF(V433=regle!$I$11,regle!$I$23,IF(V433=regle!$J$11,regle!$J$23,0)))))))))))</f>
        <v>0</v>
      </c>
      <c r="AG433" s="14" t="b">
        <f>IF($A433,$M433*(IF(W433=regle!$B$11,regle!$B$23,IF(W433=regle!$C$11,regle!$C$23,IF(W433=regle!$D$11,regle!$D$23,IF(W433=regle!$E$11,regle!$E$23,IF(W433=regle!$F$11,regle!$F$23,IF(W433=regle!$G$11,regle!$G$23,IF(W433=regle!$H$11,regle!$H$23,IF(W433=regle!$I$11,regle!$I$23,IF(W433=regle!$J$11,regle!$J$23,0)))))))))))</f>
        <v>0</v>
      </c>
      <c r="AH433" s="14" t="b">
        <f>IF($A433,$M433*(IF(X433=regle!$B$11,regle!$B$23,IF(X433=regle!$C$11,regle!$C$23,IF(X433=regle!$D$11,regle!$D$23,IF(X433=regle!$E$11,regle!$E$23,IF(X433=regle!$F$11,regle!$F$23,IF(X433=regle!$G$11,regle!$G$23,IF(X433=regle!$H$11,regle!$H$23,IF(X433=regle!$I$11,regle!$I$23,IF(X433=regle!$J$11,regle!$J$23,0)))))))))))</f>
        <v>0</v>
      </c>
      <c r="AI433" s="14" t="b">
        <f>IF($A433,$M433*(IF(Y433=regle!$B$11,regle!$B$23,IF(Y433=regle!$C$11,regle!$C$23,IF(Y433=regle!$D$11,regle!$D$23,IF(Y433=regle!$E$11,regle!$E$23,IF(Y433=regle!$F$11,regle!$F$23,IF(Y433=regle!$G$11,regle!$G$23,IF(Y433=regle!$H$11,regle!$H$23,IF(Y433=regle!$I$11,regle!$I$23,IF(Y433=regle!$J$11,regle!$J$23,0)))))))))))</f>
        <v>0</v>
      </c>
      <c r="AJ433" s="14" t="b">
        <f>IF($A433,$M433*(IF(Z433=regle!$B$11,regle!$B$23,IF(Z433=regle!$C$11,regle!$C$23,IF(Z433=regle!$D$11,regle!$D$23,IF(Z433=regle!$E$11,regle!$E$23,IF(Z433=regle!$F$11,regle!$F$23,IF(Z433=regle!$G$11,regle!$G$23,IF(Z433=regle!$H$11,regle!$H$23,IF(Z433=regle!$I$11,regle!$I$23,IF(Z433=regle!$J$11,regle!$J$23,0)))))))))))</f>
        <v>0</v>
      </c>
      <c r="AK433" s="14" t="b">
        <f>IF($A433,$M433*(IF(AA433=regle!$B$11,regle!$B$23,IF(AA433=regle!$C$11,regle!$C$23,IF(AA433=regle!$D$11,regle!$D$23,IF(AA433=regle!$E$11,regle!$E$23,IF(AA433=regle!$F$11,regle!$F$23,IF(AA433=regle!$G$11,regle!$G$23,IF(AA433=regle!$H$11,regle!$H$23,IF(AA433=regle!$I$11,regle!$I$23,IF(AA433=regle!$J$11,regle!$J$23,0)))))))))))</f>
        <v>0</v>
      </c>
      <c r="AL433" s="14" t="b">
        <f>IF($A433,$M433*(IF(AB433=regle!$B$11,regle!$B$23,IF(AB433=regle!$C$11,regle!$C$23,IF(AB433=regle!$D$11,regle!$D$23,IF(AB433=regle!$E$11,regle!$E$23,IF(AB433=regle!$F$11,regle!$F$23,IF(AB433=regle!$G$11,regle!$G$23,IF(AB433=regle!$H$11,regle!$H$23,IF(AB433=regle!$I$11,regle!$I$23,IF(AB433=regle!$J$11,regle!$J$23,0)))))))))))</f>
        <v>0</v>
      </c>
      <c r="AM433" s="14" t="b">
        <f>IF($A433,$M433*(IF(AC433=regle!$B$11,regle!$B$23,IF(AC433=regle!$C$11,regle!$C$23,IF(AC433=regle!$D$11,regle!$D$23,IF(AC433=regle!$E$11,regle!$E$23,IF(AC433=regle!$F$11,regle!$F$23,IF(AC433=regle!$G$11,regle!$G$23,IF(AC433=regle!$H$11,regle!$H$23,IF(AC433=regle!$I$11,regle!$I$23,IF(AC433=regle!$J$11,regle!$J$23,0)))))))))))</f>
        <v>0</v>
      </c>
      <c r="AN433" s="14" t="b">
        <f>IF($A433,$M433*(IF(AD433=regle!$B$11,regle!$B$23,IF(AD433=regle!$C$11,regle!$C$23,IF(AD433=regle!$D$11,regle!$D$23,IF(AD433=regle!$E$11,regle!$E$23,IF(AD433=regle!$F$11,regle!$F$23,IF(AD433=regle!$G$11,regle!$G$23,IF(AD433=regle!$H$11,regle!$H$23,IF(AD433=regle!$I$11,regle!$I$23,IF(AD433=regle!$J$11,regle!$J$23,0)))))))))))</f>
        <v>0</v>
      </c>
      <c r="AO433">
        <f>IF(AO$1=$AO$1,IF(regle!B$2-$Q433&gt;=regle!$J$12,-2,IF($S433,IF(regle!$B$2-$Q433&gt;=2,0,-1),regle!B$2-$Q433)),IF(AN433+1&gt;=regle!$J$12,-2,AN433+1))</f>
        <v>38</v>
      </c>
      <c r="AP433">
        <f>IF(AP$1=$AO$1,IF(regle!C$2-$Q433&gt;=regle!$J$12,-2,IF($S433,IF(regle!$B$2-$Q433&gt;=2,0,-1),regle!C$2-$Q433)),IF(AO433+1&gt;=regle!$J$12,-2,AO433+1))</f>
        <v>39</v>
      </c>
      <c r="AQ433">
        <f>IF(AQ$1=$AO$1,IF(regle!D$2-$Q433&gt;=regle!$J$12,-2,IF($S433,IF(regle!$B$2-$Q433&gt;=2,0,-1),regle!D$2-$Q433)),IF(AP433+1&gt;=regle!$J$12,-2,AP433+1))</f>
        <v>-2</v>
      </c>
      <c r="AR433">
        <f>IF(AR$1=$AO$1,IF(regle!E$2-$Q433&gt;=regle!$J$12,-2,IF($S433,IF(regle!$B$2-$Q433&gt;=2,0,-1),regle!E$2-$Q433)),IF(AQ433+1&gt;=regle!$J$12,-2,AQ433+1))</f>
        <v>-1</v>
      </c>
      <c r="AS433">
        <f>IF(AS$1=$AO$1,IF(regle!F$2-$Q433&gt;=regle!$J$12,-2,IF($S433,IF(regle!$B$2-$Q433&gt;=2,0,-1),regle!F$2-$Q433)),IF(AR433+1&gt;=regle!$J$12,-2,AR433+1))</f>
        <v>0</v>
      </c>
      <c r="AT433">
        <f>IF(AT$1=$AO$1,IF(regle!G$2-$Q433&gt;=regle!$J$12,-2,IF($S433,IF(regle!$B$2-$Q433&gt;=2,0,-1),regle!G$2-$Q433)),IF(AS433+1&gt;=regle!$J$12,-2,AS433+1))</f>
        <v>1</v>
      </c>
      <c r="AU433">
        <f>IF(AU$1=$AO$1,IF(regle!H$2-$Q433&gt;=regle!$J$12,-2,IF($S433,IF(regle!$B$2-$Q433&gt;=2,0,-1),regle!H$2-$Q433)),IF(AT433+1&gt;=regle!$J$12,-2,AT433+1))</f>
        <v>2</v>
      </c>
      <c r="AV433">
        <f>IF(AV$1=$AO$1,IF(regle!I$2-$Q433&gt;=regle!$J$12,-2,IF($S433,IF(regle!$B$2-$Q433&gt;=2,0,-1),regle!I$2-$Q433)),IF(AU433+1&gt;=regle!$J$12,-2,AU433+1))</f>
        <v>3</v>
      </c>
      <c r="AW433">
        <f>IF(AW$1=$AO$1,IF(regle!J$2-$Q433&gt;=regle!$J$12,-2,IF($S433,IF(regle!$B$2-$Q433&gt;=2,0,-1),regle!J$2-$Q433)),IF(AV433+1&gt;=regle!$J$12,-2,AV433+1))</f>
        <v>4</v>
      </c>
      <c r="AX433">
        <f>IF(AX$1=$AO$1,IF(regle!K$2-$Q433&gt;=regle!$J$12,-2,IF($S433,IF(regle!$B$2-$Q433&gt;=2,0,-1),regle!K$2-$Q433)),IF(AW433+1&gt;=regle!$J$12,-2,AW433+1))</f>
        <v>5</v>
      </c>
    </row>
    <row r="434" spans="1:50" x14ac:dyDescent="0.25">
      <c r="A434" t="b">
        <f>AND(modif0[[#This Row],[cdstr]]&lt;&gt;0,OR(regle!$H$27=FALSE,modif0[[#This Row],[essnc]]="PM"))</f>
        <v>0</v>
      </c>
      <c r="B434">
        <f>ROW(objet!A415)</f>
        <v>415</v>
      </c>
      <c r="C434" s="10" t="str">
        <f>objet!D415</f>
        <v>2000000M0071</v>
      </c>
      <c r="D434" t="str">
        <f>LEFT(modif0[[#This Row],[cdstr]],3)</f>
        <v>200</v>
      </c>
      <c r="E434" s="10" t="str">
        <f>objet!G415</f>
        <v>MOUSTEY</v>
      </c>
      <c r="F434">
        <f>LEN(modif0[[#This Row],[l_dt]])</f>
        <v>4</v>
      </c>
      <c r="G434" s="10" t="str">
        <f>objet!H415</f>
        <v>Kycs</v>
      </c>
      <c r="H434" s="10" t="str">
        <f>objet!C415</f>
        <v>M71k</v>
      </c>
      <c r="I434" t="str">
        <f>IF(ISNUMBER(VALUE(RIGHT(LEFT(modif0[[#This Row],[idntfn]],2),1))),_xlfn.CONCAT(0,LEFT(modif0[[#This Row],[idntfn]],1)),LEFT(modif0[[#This Row],[idntfn]],2))</f>
        <v>0M</v>
      </c>
      <c r="J434">
        <f>VALUE(LEFT(RIGHT(modif0[[#This Row],[idntfn]],LEN(modif0[[#This Row],[idntfn]])-IF(LEFT(modif0[[#This Row],[sctn]],1)="0",1,2)),LEN(modif0[[#This Row],[idntfn]])-IF(LEFT(modif0[[#This Row],[sctn]],1)="0",1,2)-LEN(modif0[[#This Row],[lttr]])))</f>
        <v>71</v>
      </c>
      <c r="K434" t="str">
        <f>IF(ISNUMBER(VALUE(RIGHT(modif0[[#This Row],[idntfn]],1))),"",IF(ISNUMBER(VALUE(LEFT(RIGHT(modif0[[#This Row],[idntfn]],2),1))),RIGHT(modif0[[#This Row],[idntfn]],1),RIGHT(modif0[[#This Row],[idntfn]],2)))</f>
        <v>k</v>
      </c>
      <c r="L434" s="10">
        <f>objet!I415</f>
        <v>4882</v>
      </c>
      <c r="M434" s="11">
        <f>modif0[[#This Row],[srfc]]/10000</f>
        <v>0.48820000000000002</v>
      </c>
      <c r="N434" s="10" t="str">
        <f>objet!Z415</f>
        <v>FEUIL</v>
      </c>
      <c r="O434" s="10" t="str">
        <f>objet!AA415</f>
        <v>TAIL1986</v>
      </c>
      <c r="P434" t="str">
        <f>IF(ISNUMBER(modif0[[#This Row],[trvx]]),"",LEFT(modif0[[#This Row],[trvx]],LEN(modif0[[#This Row],[trvx]])-4))</f>
        <v>TAIL</v>
      </c>
      <c r="Q434">
        <f>VALUE(RIGHT(modif0[[#This Row],[trvx]],4))</f>
        <v>1986</v>
      </c>
      <c r="R434" t="str">
        <f>_xlfn.CONCAT(modif0[[#This Row],[tp]],"-",modif0[[#This Row],[essnc]],"_",modif0[[#This Row],[anns]])</f>
        <v>TAIL-FEUIL_1986</v>
      </c>
      <c r="S434" t="b">
        <f>modif0[[#This Row],[tp]]="CR"</f>
        <v>0</v>
      </c>
      <c r="T434">
        <v>40</v>
      </c>
      <c r="U434" t="str">
        <f>IF(NOT($A434),"",
IF(AO434=-2,regle!$J$11,
IF(AO434=regle!$B$12,regle!$B$11,
IF(AO434=regle!$C$12,regle!$C$11,
IF(AO434=regle!$D$12,regle!$D$11,
IF(AO434=regle!$E$12,regle!$E$11,
IF(AO434=regle!$F$12,regle!$F$11,
IF(AO434=regle!$G$12,regle!$G$11,
IF(AO434=regle!$H$12,regle!$H$11,
IF(AO434=regle!$I$12,regle!$I$11,""))))))))))</f>
        <v/>
      </c>
      <c r="V434" t="str">
        <f>IF(NOT($A434),"",
IF(AP434=-2,regle!$J$11,
IF(AP434=regle!$B$12,regle!$B$11,
IF(AP434=regle!$C$12,regle!$C$11,
IF(AP434=regle!$D$12,regle!$D$11,
IF(AP434=regle!$E$12,regle!$E$11,
IF(AP434=regle!$F$12,regle!$F$11,
IF(AP434=regle!$G$12,regle!$G$11,
IF(AP434=regle!$H$12,regle!$H$11,
IF(AP434=regle!$I$12,regle!$I$11,""))))))))))</f>
        <v/>
      </c>
      <c r="W434" t="str">
        <f>IF(NOT($A434),"",
IF(AQ434=-2,regle!$J$11,
IF(AQ434=regle!$B$12,regle!$B$11,
IF(AQ434=regle!$C$12,regle!$C$11,
IF(AQ434=regle!$D$12,regle!$D$11,
IF(AQ434=regle!$E$12,regle!$E$11,
IF(AQ434=regle!$F$12,regle!$F$11,
IF(AQ434=regle!$G$12,regle!$G$11,
IF(AQ434=regle!$H$12,regle!$H$11,
IF(AQ434=regle!$I$12,regle!$I$11,""))))))))))</f>
        <v/>
      </c>
      <c r="X434" t="str">
        <f>IF(NOT($A434),"",
IF(AR434=-2,regle!$J$11,
IF(AR434=regle!$B$12,regle!$B$11,
IF(AR434=regle!$C$12,regle!$C$11,
IF(AR434=regle!$D$12,regle!$D$11,
IF(AR434=regle!$E$12,regle!$E$11,
IF(AR434=regle!$F$12,regle!$F$11,
IF(AR434=regle!$G$12,regle!$G$11,
IF(AR434=regle!$H$12,regle!$H$11,
IF(AR434=regle!$I$12,regle!$I$11,""))))))))))</f>
        <v/>
      </c>
      <c r="Y434" t="str">
        <f>IF(NOT($A434),"",
IF(AS434=-2,regle!$J$11,
IF(AS434=regle!$B$12,regle!$B$11,
IF(AS434=regle!$C$12,regle!$C$11,
IF(AS434=regle!$D$12,regle!$D$11,
IF(AS434=regle!$E$12,regle!$E$11,
IF(AS434=regle!$F$12,regle!$F$11,
IF(AS434=regle!$G$12,regle!$G$11,
IF(AS434=regle!$H$12,regle!$H$11,
IF(AS434=regle!$I$12,regle!$I$11,""))))))))))</f>
        <v/>
      </c>
      <c r="Z434" t="str">
        <f>IF(NOT($A434),"",
IF(AT434=-2,regle!$J$11,
IF(AT434=regle!$B$12,regle!$B$11,
IF(AT434=regle!$C$12,regle!$C$11,
IF(AT434=regle!$D$12,regle!$D$11,
IF(AT434=regle!$E$12,regle!$E$11,
IF(AT434=regle!$F$12,regle!$F$11,
IF(AT434=regle!$G$12,regle!$G$11,
IF(AT434=regle!$H$12,regle!$H$11,
IF(AT434=regle!$I$12,regle!$I$11,""))))))))))</f>
        <v/>
      </c>
      <c r="AA434" t="str">
        <f>IF(NOT($A434),"",
IF(AU434=-2,regle!$J$11,
IF(AU434=regle!$B$12,regle!$B$11,
IF(AU434=regle!$C$12,regle!$C$11,
IF(AU434=regle!$D$12,regle!$D$11,
IF(AU434=regle!$E$12,regle!$E$11,
IF(AU434=regle!$F$12,regle!$F$11,
IF(AU434=regle!$G$12,regle!$G$11,
IF(AU434=regle!$H$12,regle!$H$11,
IF(AU434=regle!$I$12,regle!$I$11,""))))))))))</f>
        <v/>
      </c>
      <c r="AB434" t="str">
        <f>IF(NOT($A434),"",
IF(AV434=-2,regle!$J$11,
IF(AV434=regle!$B$12,regle!$B$11,
IF(AV434=regle!$C$12,regle!$C$11,
IF(AV434=regle!$D$12,regle!$D$11,
IF(AV434=regle!$E$12,regle!$E$11,
IF(AV434=regle!$F$12,regle!$F$11,
IF(AV434=regle!$G$12,regle!$G$11,
IF(AV434=regle!$H$12,regle!$H$11,
IF(AV434=regle!$I$12,regle!$I$11,""))))))))))</f>
        <v/>
      </c>
      <c r="AC434" t="str">
        <f>IF(NOT($A434),"",
IF(AW434=-2,regle!$J$11,
IF(AW434=regle!$B$12,regle!$B$11,
IF(AW434=regle!$C$12,regle!$C$11,
IF(AW434=regle!$D$12,regle!$D$11,
IF(AW434=regle!$E$12,regle!$E$11,
IF(AW434=regle!$F$12,regle!$F$11,
IF(AW434=regle!$G$12,regle!$G$11,
IF(AW434=regle!$H$12,regle!$H$11,
IF(AW434=regle!$I$12,regle!$I$11,""))))))))))</f>
        <v/>
      </c>
      <c r="AD434" t="str">
        <f>IF(NOT($A434),"",
IF(AX434=-2,regle!$J$11,
IF(AX434=regle!$B$12,regle!$B$11,
IF(AX434=regle!$C$12,regle!$C$11,
IF(AX434=regle!$D$12,regle!$D$11,
IF(AX434=regle!$E$12,regle!$E$11,
IF(AX434=regle!$F$12,regle!$F$11,
IF(AX434=regle!$G$12,regle!$G$11,
IF(AX434=regle!$H$12,regle!$H$11,
IF(AX434=regle!$I$12,regle!$I$11,""))))))))))</f>
        <v/>
      </c>
      <c r="AE434" s="14" t="b">
        <f>IF($A434,$M434*(IF(U434=regle!$B$11,regle!$B$23,IF(U434=regle!$C$11,regle!$C$23,IF(U434=regle!$D$11,regle!$D$23,IF(U434=regle!$E$11,regle!$E$23,IF(U434=regle!$F$11,regle!$F$23,IF(U434=regle!$G$11,regle!$G$23,IF(U434=regle!$H$11,regle!$H$23,IF(U434=regle!$I$11,regle!$I$23,IF(U434=regle!$J$11,regle!$J$23,0)))))))))))</f>
        <v>0</v>
      </c>
      <c r="AF434" s="14" t="b">
        <f>IF($A434,$M434*(IF(V434=regle!$B$11,regle!$B$23,IF(V434=regle!$C$11,regle!$C$23,IF(V434=regle!$D$11,regle!$D$23,IF(V434=regle!$E$11,regle!$E$23,IF(V434=regle!$F$11,regle!$F$23,IF(V434=regle!$G$11,regle!$G$23,IF(V434=regle!$H$11,regle!$H$23,IF(V434=regle!$I$11,regle!$I$23,IF(V434=regle!$J$11,regle!$J$23,0)))))))))))</f>
        <v>0</v>
      </c>
      <c r="AG434" s="14" t="b">
        <f>IF($A434,$M434*(IF(W434=regle!$B$11,regle!$B$23,IF(W434=regle!$C$11,regle!$C$23,IF(W434=regle!$D$11,regle!$D$23,IF(W434=regle!$E$11,regle!$E$23,IF(W434=regle!$F$11,regle!$F$23,IF(W434=regle!$G$11,regle!$G$23,IF(W434=regle!$H$11,regle!$H$23,IF(W434=regle!$I$11,regle!$I$23,IF(W434=regle!$J$11,regle!$J$23,0)))))))))))</f>
        <v>0</v>
      </c>
      <c r="AH434" s="14" t="b">
        <f>IF($A434,$M434*(IF(X434=regle!$B$11,regle!$B$23,IF(X434=regle!$C$11,regle!$C$23,IF(X434=regle!$D$11,regle!$D$23,IF(X434=regle!$E$11,regle!$E$23,IF(X434=regle!$F$11,regle!$F$23,IF(X434=regle!$G$11,regle!$G$23,IF(X434=regle!$H$11,regle!$H$23,IF(X434=regle!$I$11,regle!$I$23,IF(X434=regle!$J$11,regle!$J$23,0)))))))))))</f>
        <v>0</v>
      </c>
      <c r="AI434" s="14" t="b">
        <f>IF($A434,$M434*(IF(Y434=regle!$B$11,regle!$B$23,IF(Y434=regle!$C$11,regle!$C$23,IF(Y434=regle!$D$11,regle!$D$23,IF(Y434=regle!$E$11,regle!$E$23,IF(Y434=regle!$F$11,regle!$F$23,IF(Y434=regle!$G$11,regle!$G$23,IF(Y434=regle!$H$11,regle!$H$23,IF(Y434=regle!$I$11,regle!$I$23,IF(Y434=regle!$J$11,regle!$J$23,0)))))))))))</f>
        <v>0</v>
      </c>
      <c r="AJ434" s="14" t="b">
        <f>IF($A434,$M434*(IF(Z434=regle!$B$11,regle!$B$23,IF(Z434=regle!$C$11,regle!$C$23,IF(Z434=regle!$D$11,regle!$D$23,IF(Z434=regle!$E$11,regle!$E$23,IF(Z434=regle!$F$11,regle!$F$23,IF(Z434=regle!$G$11,regle!$G$23,IF(Z434=regle!$H$11,regle!$H$23,IF(Z434=regle!$I$11,regle!$I$23,IF(Z434=regle!$J$11,regle!$J$23,0)))))))))))</f>
        <v>0</v>
      </c>
      <c r="AK434" s="14" t="b">
        <f>IF($A434,$M434*(IF(AA434=regle!$B$11,regle!$B$23,IF(AA434=regle!$C$11,regle!$C$23,IF(AA434=regle!$D$11,regle!$D$23,IF(AA434=regle!$E$11,regle!$E$23,IF(AA434=regle!$F$11,regle!$F$23,IF(AA434=regle!$G$11,regle!$G$23,IF(AA434=regle!$H$11,regle!$H$23,IF(AA434=regle!$I$11,regle!$I$23,IF(AA434=regle!$J$11,regle!$J$23,0)))))))))))</f>
        <v>0</v>
      </c>
      <c r="AL434" s="14" t="b">
        <f>IF($A434,$M434*(IF(AB434=regle!$B$11,regle!$B$23,IF(AB434=regle!$C$11,regle!$C$23,IF(AB434=regle!$D$11,regle!$D$23,IF(AB434=regle!$E$11,regle!$E$23,IF(AB434=regle!$F$11,regle!$F$23,IF(AB434=regle!$G$11,regle!$G$23,IF(AB434=regle!$H$11,regle!$H$23,IF(AB434=regle!$I$11,regle!$I$23,IF(AB434=regle!$J$11,regle!$J$23,0)))))))))))</f>
        <v>0</v>
      </c>
      <c r="AM434" s="14" t="b">
        <f>IF($A434,$M434*(IF(AC434=regle!$B$11,regle!$B$23,IF(AC434=regle!$C$11,regle!$C$23,IF(AC434=regle!$D$11,regle!$D$23,IF(AC434=regle!$E$11,regle!$E$23,IF(AC434=regle!$F$11,regle!$F$23,IF(AC434=regle!$G$11,regle!$G$23,IF(AC434=regle!$H$11,regle!$H$23,IF(AC434=regle!$I$11,regle!$I$23,IF(AC434=regle!$J$11,regle!$J$23,0)))))))))))</f>
        <v>0</v>
      </c>
      <c r="AN434" s="14" t="b">
        <f>IF($A434,$M434*(IF(AD434=regle!$B$11,regle!$B$23,IF(AD434=regle!$C$11,regle!$C$23,IF(AD434=regle!$D$11,regle!$D$23,IF(AD434=regle!$E$11,regle!$E$23,IF(AD434=regle!$F$11,regle!$F$23,IF(AD434=regle!$G$11,regle!$G$23,IF(AD434=regle!$H$11,regle!$H$23,IF(AD434=regle!$I$11,regle!$I$23,IF(AD434=regle!$J$11,regle!$J$23,0)))))))))))</f>
        <v>0</v>
      </c>
      <c r="AO434">
        <f>IF(AO$1=$AO$1,IF(regle!B$2-$Q434&gt;=regle!$J$12,-2,IF($S434,IF(regle!$B$2-$Q434&gt;=2,0,-1),regle!B$2-$Q434)),IF(AN434+1&gt;=regle!$J$12,-2,AN434+1))</f>
        <v>38</v>
      </c>
      <c r="AP434">
        <f>IF(AP$1=$AO$1,IF(regle!C$2-$Q434&gt;=regle!$J$12,-2,IF($S434,IF(regle!$B$2-$Q434&gt;=2,0,-1),regle!C$2-$Q434)),IF(AO434+1&gt;=regle!$J$12,-2,AO434+1))</f>
        <v>39</v>
      </c>
      <c r="AQ434">
        <f>IF(AQ$1=$AO$1,IF(regle!D$2-$Q434&gt;=regle!$J$12,-2,IF($S434,IF(regle!$B$2-$Q434&gt;=2,0,-1),regle!D$2-$Q434)),IF(AP434+1&gt;=regle!$J$12,-2,AP434+1))</f>
        <v>-2</v>
      </c>
      <c r="AR434">
        <f>IF(AR$1=$AO$1,IF(regle!E$2-$Q434&gt;=regle!$J$12,-2,IF($S434,IF(regle!$B$2-$Q434&gt;=2,0,-1),regle!E$2-$Q434)),IF(AQ434+1&gt;=regle!$J$12,-2,AQ434+1))</f>
        <v>-1</v>
      </c>
      <c r="AS434">
        <f>IF(AS$1=$AO$1,IF(regle!F$2-$Q434&gt;=regle!$J$12,-2,IF($S434,IF(regle!$B$2-$Q434&gt;=2,0,-1),regle!F$2-$Q434)),IF(AR434+1&gt;=regle!$J$12,-2,AR434+1))</f>
        <v>0</v>
      </c>
      <c r="AT434">
        <f>IF(AT$1=$AO$1,IF(regle!G$2-$Q434&gt;=regle!$J$12,-2,IF($S434,IF(regle!$B$2-$Q434&gt;=2,0,-1),regle!G$2-$Q434)),IF(AS434+1&gt;=regle!$J$12,-2,AS434+1))</f>
        <v>1</v>
      </c>
      <c r="AU434">
        <f>IF(AU$1=$AO$1,IF(regle!H$2-$Q434&gt;=regle!$J$12,-2,IF($S434,IF(regle!$B$2-$Q434&gt;=2,0,-1),regle!H$2-$Q434)),IF(AT434+1&gt;=regle!$J$12,-2,AT434+1))</f>
        <v>2</v>
      </c>
      <c r="AV434">
        <f>IF(AV$1=$AO$1,IF(regle!I$2-$Q434&gt;=regle!$J$12,-2,IF($S434,IF(regle!$B$2-$Q434&gt;=2,0,-1),regle!I$2-$Q434)),IF(AU434+1&gt;=regle!$J$12,-2,AU434+1))</f>
        <v>3</v>
      </c>
      <c r="AW434">
        <f>IF(AW$1=$AO$1,IF(regle!J$2-$Q434&gt;=regle!$J$12,-2,IF($S434,IF(regle!$B$2-$Q434&gt;=2,0,-1),regle!J$2-$Q434)),IF(AV434+1&gt;=regle!$J$12,-2,AV434+1))</f>
        <v>4</v>
      </c>
      <c r="AX434">
        <f>IF(AX$1=$AO$1,IF(regle!K$2-$Q434&gt;=regle!$J$12,-2,IF($S434,IF(regle!$B$2-$Q434&gt;=2,0,-1),regle!K$2-$Q434)),IF(AW434+1&gt;=regle!$J$12,-2,AW434+1))</f>
        <v>5</v>
      </c>
    </row>
    <row r="435" spans="1:50" x14ac:dyDescent="0.25">
      <c r="A435" t="b">
        <f>AND(modif0[[#This Row],[cdstr]]&lt;&gt;0,OR(regle!$H$27=FALSE,modif0[[#This Row],[essnc]]="PM"))</f>
        <v>0</v>
      </c>
      <c r="B435">
        <f>ROW(objet!A418)</f>
        <v>418</v>
      </c>
      <c r="C435" s="10" t="str">
        <f>objet!D418</f>
        <v>2000000M0007</v>
      </c>
      <c r="D435" t="str">
        <f>LEFT(modif0[[#This Row],[cdstr]],3)</f>
        <v>200</v>
      </c>
      <c r="E435" s="10" t="str">
        <f>objet!G418</f>
        <v>MOUSTEY</v>
      </c>
      <c r="F435">
        <f>LEN(modif0[[#This Row],[l_dt]])</f>
        <v>5</v>
      </c>
      <c r="G435" s="10" t="str">
        <f>objet!H418</f>
        <v>Plata</v>
      </c>
      <c r="H435" s="10" t="str">
        <f>objet!C418</f>
        <v>M7b</v>
      </c>
      <c r="I435" t="str">
        <f>IF(ISNUMBER(VALUE(RIGHT(LEFT(modif0[[#This Row],[idntfn]],2),1))),_xlfn.CONCAT(0,LEFT(modif0[[#This Row],[idntfn]],1)),LEFT(modif0[[#This Row],[idntfn]],2))</f>
        <v>0M</v>
      </c>
      <c r="J435">
        <f>VALUE(LEFT(RIGHT(modif0[[#This Row],[idntfn]],LEN(modif0[[#This Row],[idntfn]])-IF(LEFT(modif0[[#This Row],[sctn]],1)="0",1,2)),LEN(modif0[[#This Row],[idntfn]])-IF(LEFT(modif0[[#This Row],[sctn]],1)="0",1,2)-LEN(modif0[[#This Row],[lttr]])))</f>
        <v>7</v>
      </c>
      <c r="K435" t="str">
        <f>IF(ISNUMBER(VALUE(RIGHT(modif0[[#This Row],[idntfn]],1))),"",IF(ISNUMBER(VALUE(LEFT(RIGHT(modif0[[#This Row],[idntfn]],2),1))),RIGHT(modif0[[#This Row],[idntfn]],1),RIGHT(modif0[[#This Row],[idntfn]],2)))</f>
        <v>b</v>
      </c>
      <c r="L435" s="10">
        <f>objet!I418</f>
        <v>964</v>
      </c>
      <c r="M435" s="11">
        <f>modif0[[#This Row],[srfc]]/10000</f>
        <v>9.64E-2</v>
      </c>
      <c r="N435" s="10" t="str">
        <f>objet!Z418</f>
        <v>FEUIL</v>
      </c>
      <c r="O435" s="10" t="str">
        <f>objet!AA418</f>
        <v>TAIL1986</v>
      </c>
      <c r="P435" t="str">
        <f>IF(ISNUMBER(modif0[[#This Row],[trvx]]),"",LEFT(modif0[[#This Row],[trvx]],LEN(modif0[[#This Row],[trvx]])-4))</f>
        <v>TAIL</v>
      </c>
      <c r="Q435">
        <f>VALUE(RIGHT(modif0[[#This Row],[trvx]],4))</f>
        <v>1986</v>
      </c>
      <c r="R435" t="str">
        <f>_xlfn.CONCAT(modif0[[#This Row],[tp]],"-",modif0[[#This Row],[essnc]],"_",modif0[[#This Row],[anns]])</f>
        <v>TAIL-FEUIL_1986</v>
      </c>
      <c r="S435" t="b">
        <f>modif0[[#This Row],[tp]]="CR"</f>
        <v>0</v>
      </c>
      <c r="T435">
        <v>40</v>
      </c>
      <c r="U435" t="str">
        <f>IF(NOT($A435),"",
IF(AO435=-2,regle!$J$11,
IF(AO435=regle!$B$12,regle!$B$11,
IF(AO435=regle!$C$12,regle!$C$11,
IF(AO435=regle!$D$12,regle!$D$11,
IF(AO435=regle!$E$12,regle!$E$11,
IF(AO435=regle!$F$12,regle!$F$11,
IF(AO435=regle!$G$12,regle!$G$11,
IF(AO435=regle!$H$12,regle!$H$11,
IF(AO435=regle!$I$12,regle!$I$11,""))))))))))</f>
        <v/>
      </c>
      <c r="V435" t="str">
        <f>IF(NOT($A435),"",
IF(AP435=-2,regle!$J$11,
IF(AP435=regle!$B$12,regle!$B$11,
IF(AP435=regle!$C$12,regle!$C$11,
IF(AP435=regle!$D$12,regle!$D$11,
IF(AP435=regle!$E$12,regle!$E$11,
IF(AP435=regle!$F$12,regle!$F$11,
IF(AP435=regle!$G$12,regle!$G$11,
IF(AP435=regle!$H$12,regle!$H$11,
IF(AP435=regle!$I$12,regle!$I$11,""))))))))))</f>
        <v/>
      </c>
      <c r="W435" t="str">
        <f>IF(NOT($A435),"",
IF(AQ435=-2,regle!$J$11,
IF(AQ435=regle!$B$12,regle!$B$11,
IF(AQ435=regle!$C$12,regle!$C$11,
IF(AQ435=regle!$D$12,regle!$D$11,
IF(AQ435=regle!$E$12,regle!$E$11,
IF(AQ435=regle!$F$12,regle!$F$11,
IF(AQ435=regle!$G$12,regle!$G$11,
IF(AQ435=regle!$H$12,regle!$H$11,
IF(AQ435=regle!$I$12,regle!$I$11,""))))))))))</f>
        <v/>
      </c>
      <c r="X435" t="str">
        <f>IF(NOT($A435),"",
IF(AR435=-2,regle!$J$11,
IF(AR435=regle!$B$12,regle!$B$11,
IF(AR435=regle!$C$12,regle!$C$11,
IF(AR435=regle!$D$12,regle!$D$11,
IF(AR435=regle!$E$12,regle!$E$11,
IF(AR435=regle!$F$12,regle!$F$11,
IF(AR435=regle!$G$12,regle!$G$11,
IF(AR435=regle!$H$12,regle!$H$11,
IF(AR435=regle!$I$12,regle!$I$11,""))))))))))</f>
        <v/>
      </c>
      <c r="Y435" t="str">
        <f>IF(NOT($A435),"",
IF(AS435=-2,regle!$J$11,
IF(AS435=regle!$B$12,regle!$B$11,
IF(AS435=regle!$C$12,regle!$C$11,
IF(AS435=regle!$D$12,regle!$D$11,
IF(AS435=regle!$E$12,regle!$E$11,
IF(AS435=regle!$F$12,regle!$F$11,
IF(AS435=regle!$G$12,regle!$G$11,
IF(AS435=regle!$H$12,regle!$H$11,
IF(AS435=regle!$I$12,regle!$I$11,""))))))))))</f>
        <v/>
      </c>
      <c r="Z435" t="str">
        <f>IF(NOT($A435),"",
IF(AT435=-2,regle!$J$11,
IF(AT435=regle!$B$12,regle!$B$11,
IF(AT435=regle!$C$12,regle!$C$11,
IF(AT435=regle!$D$12,regle!$D$11,
IF(AT435=regle!$E$12,regle!$E$11,
IF(AT435=regle!$F$12,regle!$F$11,
IF(AT435=regle!$G$12,regle!$G$11,
IF(AT435=regle!$H$12,regle!$H$11,
IF(AT435=regle!$I$12,regle!$I$11,""))))))))))</f>
        <v/>
      </c>
      <c r="AA435" t="str">
        <f>IF(NOT($A435),"",
IF(AU435=-2,regle!$J$11,
IF(AU435=regle!$B$12,regle!$B$11,
IF(AU435=regle!$C$12,regle!$C$11,
IF(AU435=regle!$D$12,regle!$D$11,
IF(AU435=regle!$E$12,regle!$E$11,
IF(AU435=regle!$F$12,regle!$F$11,
IF(AU435=regle!$G$12,regle!$G$11,
IF(AU435=regle!$H$12,regle!$H$11,
IF(AU435=regle!$I$12,regle!$I$11,""))))))))))</f>
        <v/>
      </c>
      <c r="AB435" t="str">
        <f>IF(NOT($A435),"",
IF(AV435=-2,regle!$J$11,
IF(AV435=regle!$B$12,regle!$B$11,
IF(AV435=regle!$C$12,regle!$C$11,
IF(AV435=regle!$D$12,regle!$D$11,
IF(AV435=regle!$E$12,regle!$E$11,
IF(AV435=regle!$F$12,regle!$F$11,
IF(AV435=regle!$G$12,regle!$G$11,
IF(AV435=regle!$H$12,regle!$H$11,
IF(AV435=regle!$I$12,regle!$I$11,""))))))))))</f>
        <v/>
      </c>
      <c r="AC435" t="str">
        <f>IF(NOT($A435),"",
IF(AW435=-2,regle!$J$11,
IF(AW435=regle!$B$12,regle!$B$11,
IF(AW435=regle!$C$12,regle!$C$11,
IF(AW435=regle!$D$12,regle!$D$11,
IF(AW435=regle!$E$12,regle!$E$11,
IF(AW435=regle!$F$12,regle!$F$11,
IF(AW435=regle!$G$12,regle!$G$11,
IF(AW435=regle!$H$12,regle!$H$11,
IF(AW435=regle!$I$12,regle!$I$11,""))))))))))</f>
        <v/>
      </c>
      <c r="AD435" t="str">
        <f>IF(NOT($A435),"",
IF(AX435=-2,regle!$J$11,
IF(AX435=regle!$B$12,regle!$B$11,
IF(AX435=regle!$C$12,regle!$C$11,
IF(AX435=regle!$D$12,regle!$D$11,
IF(AX435=regle!$E$12,regle!$E$11,
IF(AX435=regle!$F$12,regle!$F$11,
IF(AX435=regle!$G$12,regle!$G$11,
IF(AX435=regle!$H$12,regle!$H$11,
IF(AX435=regle!$I$12,regle!$I$11,""))))))))))</f>
        <v/>
      </c>
      <c r="AE435" s="14" t="b">
        <f>IF($A435,$M435*(IF(U435=regle!$B$11,regle!$B$23,IF(U435=regle!$C$11,regle!$C$23,IF(U435=regle!$D$11,regle!$D$23,IF(U435=regle!$E$11,regle!$E$23,IF(U435=regle!$F$11,regle!$F$23,IF(U435=regle!$G$11,regle!$G$23,IF(U435=regle!$H$11,regle!$H$23,IF(U435=regle!$I$11,regle!$I$23,IF(U435=regle!$J$11,regle!$J$23,0)))))))))))</f>
        <v>0</v>
      </c>
      <c r="AF435" s="14" t="b">
        <f>IF($A435,$M435*(IF(V435=regle!$B$11,regle!$B$23,IF(V435=regle!$C$11,regle!$C$23,IF(V435=regle!$D$11,regle!$D$23,IF(V435=regle!$E$11,regle!$E$23,IF(V435=regle!$F$11,regle!$F$23,IF(V435=regle!$G$11,regle!$G$23,IF(V435=regle!$H$11,regle!$H$23,IF(V435=regle!$I$11,regle!$I$23,IF(V435=regle!$J$11,regle!$J$23,0)))))))))))</f>
        <v>0</v>
      </c>
      <c r="AG435" s="14" t="b">
        <f>IF($A435,$M435*(IF(W435=regle!$B$11,regle!$B$23,IF(W435=regle!$C$11,regle!$C$23,IF(W435=regle!$D$11,regle!$D$23,IF(W435=regle!$E$11,regle!$E$23,IF(W435=regle!$F$11,regle!$F$23,IF(W435=regle!$G$11,regle!$G$23,IF(W435=regle!$H$11,regle!$H$23,IF(W435=regle!$I$11,regle!$I$23,IF(W435=regle!$J$11,regle!$J$23,0)))))))))))</f>
        <v>0</v>
      </c>
      <c r="AH435" s="14" t="b">
        <f>IF($A435,$M435*(IF(X435=regle!$B$11,regle!$B$23,IF(X435=regle!$C$11,regle!$C$23,IF(X435=regle!$D$11,regle!$D$23,IF(X435=regle!$E$11,regle!$E$23,IF(X435=regle!$F$11,regle!$F$23,IF(X435=regle!$G$11,regle!$G$23,IF(X435=regle!$H$11,regle!$H$23,IF(X435=regle!$I$11,regle!$I$23,IF(X435=regle!$J$11,regle!$J$23,0)))))))))))</f>
        <v>0</v>
      </c>
      <c r="AI435" s="14" t="b">
        <f>IF($A435,$M435*(IF(Y435=regle!$B$11,regle!$B$23,IF(Y435=regle!$C$11,regle!$C$23,IF(Y435=regle!$D$11,regle!$D$23,IF(Y435=regle!$E$11,regle!$E$23,IF(Y435=regle!$F$11,regle!$F$23,IF(Y435=regle!$G$11,regle!$G$23,IF(Y435=regle!$H$11,regle!$H$23,IF(Y435=regle!$I$11,regle!$I$23,IF(Y435=regle!$J$11,regle!$J$23,0)))))))))))</f>
        <v>0</v>
      </c>
      <c r="AJ435" s="14" t="b">
        <f>IF($A435,$M435*(IF(Z435=regle!$B$11,regle!$B$23,IF(Z435=regle!$C$11,regle!$C$23,IF(Z435=regle!$D$11,regle!$D$23,IF(Z435=regle!$E$11,regle!$E$23,IF(Z435=regle!$F$11,regle!$F$23,IF(Z435=regle!$G$11,regle!$G$23,IF(Z435=regle!$H$11,regle!$H$23,IF(Z435=regle!$I$11,regle!$I$23,IF(Z435=regle!$J$11,regle!$J$23,0)))))))))))</f>
        <v>0</v>
      </c>
      <c r="AK435" s="14" t="b">
        <f>IF($A435,$M435*(IF(AA435=regle!$B$11,regle!$B$23,IF(AA435=regle!$C$11,regle!$C$23,IF(AA435=regle!$D$11,regle!$D$23,IF(AA435=regle!$E$11,regle!$E$23,IF(AA435=regle!$F$11,regle!$F$23,IF(AA435=regle!$G$11,regle!$G$23,IF(AA435=regle!$H$11,regle!$H$23,IF(AA435=regle!$I$11,regle!$I$23,IF(AA435=regle!$J$11,regle!$J$23,0)))))))))))</f>
        <v>0</v>
      </c>
      <c r="AL435" s="14" t="b">
        <f>IF($A435,$M435*(IF(AB435=regle!$B$11,regle!$B$23,IF(AB435=regle!$C$11,regle!$C$23,IF(AB435=regle!$D$11,regle!$D$23,IF(AB435=regle!$E$11,regle!$E$23,IF(AB435=regle!$F$11,regle!$F$23,IF(AB435=regle!$G$11,regle!$G$23,IF(AB435=regle!$H$11,regle!$H$23,IF(AB435=regle!$I$11,regle!$I$23,IF(AB435=regle!$J$11,regle!$J$23,0)))))))))))</f>
        <v>0</v>
      </c>
      <c r="AM435" s="14" t="b">
        <f>IF($A435,$M435*(IF(AC435=regle!$B$11,regle!$B$23,IF(AC435=regle!$C$11,regle!$C$23,IF(AC435=regle!$D$11,regle!$D$23,IF(AC435=regle!$E$11,regle!$E$23,IF(AC435=regle!$F$11,regle!$F$23,IF(AC435=regle!$G$11,regle!$G$23,IF(AC435=regle!$H$11,regle!$H$23,IF(AC435=regle!$I$11,regle!$I$23,IF(AC435=regle!$J$11,regle!$J$23,0)))))))))))</f>
        <v>0</v>
      </c>
      <c r="AN435" s="14" t="b">
        <f>IF($A435,$M435*(IF(AD435=regle!$B$11,regle!$B$23,IF(AD435=regle!$C$11,regle!$C$23,IF(AD435=regle!$D$11,regle!$D$23,IF(AD435=regle!$E$11,regle!$E$23,IF(AD435=regle!$F$11,regle!$F$23,IF(AD435=regle!$G$11,regle!$G$23,IF(AD435=regle!$H$11,regle!$H$23,IF(AD435=regle!$I$11,regle!$I$23,IF(AD435=regle!$J$11,regle!$J$23,0)))))))))))</f>
        <v>0</v>
      </c>
      <c r="AO435">
        <f>IF(AO$1=$AO$1,IF(regle!B$2-$Q435&gt;=regle!$J$12,-2,IF($S435,IF(regle!$B$2-$Q435&gt;=2,0,-1),regle!B$2-$Q435)),IF(AN435+1&gt;=regle!$J$12,-2,AN435+1))</f>
        <v>38</v>
      </c>
      <c r="AP435">
        <f>IF(AP$1=$AO$1,IF(regle!C$2-$Q435&gt;=regle!$J$12,-2,IF($S435,IF(regle!$B$2-$Q435&gt;=2,0,-1),regle!C$2-$Q435)),IF(AO435+1&gt;=regle!$J$12,-2,AO435+1))</f>
        <v>39</v>
      </c>
      <c r="AQ435">
        <f>IF(AQ$1=$AO$1,IF(regle!D$2-$Q435&gt;=regle!$J$12,-2,IF($S435,IF(regle!$B$2-$Q435&gt;=2,0,-1),regle!D$2-$Q435)),IF(AP435+1&gt;=regle!$J$12,-2,AP435+1))</f>
        <v>-2</v>
      </c>
      <c r="AR435">
        <f>IF(AR$1=$AO$1,IF(regle!E$2-$Q435&gt;=regle!$J$12,-2,IF($S435,IF(regle!$B$2-$Q435&gt;=2,0,-1),regle!E$2-$Q435)),IF(AQ435+1&gt;=regle!$J$12,-2,AQ435+1))</f>
        <v>-1</v>
      </c>
      <c r="AS435">
        <f>IF(AS$1=$AO$1,IF(regle!F$2-$Q435&gt;=regle!$J$12,-2,IF($S435,IF(regle!$B$2-$Q435&gt;=2,0,-1),regle!F$2-$Q435)),IF(AR435+1&gt;=regle!$J$12,-2,AR435+1))</f>
        <v>0</v>
      </c>
      <c r="AT435">
        <f>IF(AT$1=$AO$1,IF(regle!G$2-$Q435&gt;=regle!$J$12,-2,IF($S435,IF(regle!$B$2-$Q435&gt;=2,0,-1),regle!G$2-$Q435)),IF(AS435+1&gt;=regle!$J$12,-2,AS435+1))</f>
        <v>1</v>
      </c>
      <c r="AU435">
        <f>IF(AU$1=$AO$1,IF(regle!H$2-$Q435&gt;=regle!$J$12,-2,IF($S435,IF(regle!$B$2-$Q435&gt;=2,0,-1),regle!H$2-$Q435)),IF(AT435+1&gt;=regle!$J$12,-2,AT435+1))</f>
        <v>2</v>
      </c>
      <c r="AV435">
        <f>IF(AV$1=$AO$1,IF(regle!I$2-$Q435&gt;=regle!$J$12,-2,IF($S435,IF(regle!$B$2-$Q435&gt;=2,0,-1),regle!I$2-$Q435)),IF(AU435+1&gt;=regle!$J$12,-2,AU435+1))</f>
        <v>3</v>
      </c>
      <c r="AW435">
        <f>IF(AW$1=$AO$1,IF(regle!J$2-$Q435&gt;=regle!$J$12,-2,IF($S435,IF(regle!$B$2-$Q435&gt;=2,0,-1),regle!J$2-$Q435)),IF(AV435+1&gt;=regle!$J$12,-2,AV435+1))</f>
        <v>4</v>
      </c>
      <c r="AX435">
        <f>IF(AX$1=$AO$1,IF(regle!K$2-$Q435&gt;=regle!$J$12,-2,IF($S435,IF(regle!$B$2-$Q435&gt;=2,0,-1),regle!K$2-$Q435)),IF(AW435+1&gt;=regle!$J$12,-2,AW435+1))</f>
        <v>5</v>
      </c>
    </row>
    <row r="436" spans="1:50" x14ac:dyDescent="0.25">
      <c r="A436" t="b">
        <f>AND(modif0[[#This Row],[cdstr]]&lt;&gt;0,OR(regle!$H$27=FALSE,modif0[[#This Row],[essnc]]="PM"))</f>
        <v>0</v>
      </c>
      <c r="B436">
        <f>ROW(objet!A419)</f>
        <v>419</v>
      </c>
      <c r="C436" s="10" t="str">
        <f>objet!D419</f>
        <v>2000000M0080</v>
      </c>
      <c r="D436" t="str">
        <f>LEFT(modif0[[#This Row],[cdstr]],3)</f>
        <v>200</v>
      </c>
      <c r="E436" s="10" t="str">
        <f>objet!G419</f>
        <v>MOUSTEY</v>
      </c>
      <c r="F436">
        <f>LEN(modif0[[#This Row],[l_dt]])</f>
        <v>4</v>
      </c>
      <c r="G436" s="10" t="str">
        <f>objet!H419</f>
        <v>Kycs</v>
      </c>
      <c r="H436" s="10" t="str">
        <f>objet!C419</f>
        <v>M80j</v>
      </c>
      <c r="I436" t="str">
        <f>IF(ISNUMBER(VALUE(RIGHT(LEFT(modif0[[#This Row],[idntfn]],2),1))),_xlfn.CONCAT(0,LEFT(modif0[[#This Row],[idntfn]],1)),LEFT(modif0[[#This Row],[idntfn]],2))</f>
        <v>0M</v>
      </c>
      <c r="J436">
        <f>VALUE(LEFT(RIGHT(modif0[[#This Row],[idntfn]],LEN(modif0[[#This Row],[idntfn]])-IF(LEFT(modif0[[#This Row],[sctn]],1)="0",1,2)),LEN(modif0[[#This Row],[idntfn]])-IF(LEFT(modif0[[#This Row],[sctn]],1)="0",1,2)-LEN(modif0[[#This Row],[lttr]])))</f>
        <v>80</v>
      </c>
      <c r="K436" t="str">
        <f>IF(ISNUMBER(VALUE(RIGHT(modif0[[#This Row],[idntfn]],1))),"",IF(ISNUMBER(VALUE(LEFT(RIGHT(modif0[[#This Row],[idntfn]],2),1))),RIGHT(modif0[[#This Row],[idntfn]],1),RIGHT(modif0[[#This Row],[idntfn]],2)))</f>
        <v>j</v>
      </c>
      <c r="L436" s="10">
        <f>objet!I419</f>
        <v>17396</v>
      </c>
      <c r="M436" s="11">
        <f>modif0[[#This Row],[srfc]]/10000</f>
        <v>1.7396</v>
      </c>
      <c r="N436" s="10" t="str">
        <f>objet!Z419</f>
        <v>FEUIL</v>
      </c>
      <c r="O436" s="10" t="str">
        <f>objet!AA419</f>
        <v>TAIL1986</v>
      </c>
      <c r="P436" t="str">
        <f>IF(ISNUMBER(modif0[[#This Row],[trvx]]),"",LEFT(modif0[[#This Row],[trvx]],LEN(modif0[[#This Row],[trvx]])-4))</f>
        <v>TAIL</v>
      </c>
      <c r="Q436">
        <f>VALUE(RIGHT(modif0[[#This Row],[trvx]],4))</f>
        <v>1986</v>
      </c>
      <c r="R436" t="str">
        <f>_xlfn.CONCAT(modif0[[#This Row],[tp]],"-",modif0[[#This Row],[essnc]],"_",modif0[[#This Row],[anns]])</f>
        <v>TAIL-FEUIL_1986</v>
      </c>
      <c r="S436" t="b">
        <f>modif0[[#This Row],[tp]]="CR"</f>
        <v>0</v>
      </c>
      <c r="T436">
        <v>40</v>
      </c>
      <c r="U436" t="str">
        <f>IF(NOT($A436),"",
IF(AO436=-2,regle!$J$11,
IF(AO436=regle!$B$12,regle!$B$11,
IF(AO436=regle!$C$12,regle!$C$11,
IF(AO436=regle!$D$12,regle!$D$11,
IF(AO436=regle!$E$12,regle!$E$11,
IF(AO436=regle!$F$12,regle!$F$11,
IF(AO436=regle!$G$12,regle!$G$11,
IF(AO436=regle!$H$12,regle!$H$11,
IF(AO436=regle!$I$12,regle!$I$11,""))))))))))</f>
        <v/>
      </c>
      <c r="V436" t="str">
        <f>IF(NOT($A436),"",
IF(AP436=-2,regle!$J$11,
IF(AP436=regle!$B$12,regle!$B$11,
IF(AP436=regle!$C$12,regle!$C$11,
IF(AP436=regle!$D$12,regle!$D$11,
IF(AP436=regle!$E$12,regle!$E$11,
IF(AP436=regle!$F$12,regle!$F$11,
IF(AP436=regle!$G$12,regle!$G$11,
IF(AP436=regle!$H$12,regle!$H$11,
IF(AP436=regle!$I$12,regle!$I$11,""))))))))))</f>
        <v/>
      </c>
      <c r="W436" t="str">
        <f>IF(NOT($A436),"",
IF(AQ436=-2,regle!$J$11,
IF(AQ436=regle!$B$12,regle!$B$11,
IF(AQ436=regle!$C$12,regle!$C$11,
IF(AQ436=regle!$D$12,regle!$D$11,
IF(AQ436=regle!$E$12,regle!$E$11,
IF(AQ436=regle!$F$12,regle!$F$11,
IF(AQ436=regle!$G$12,regle!$G$11,
IF(AQ436=regle!$H$12,regle!$H$11,
IF(AQ436=regle!$I$12,regle!$I$11,""))))))))))</f>
        <v/>
      </c>
      <c r="X436" t="str">
        <f>IF(NOT($A436),"",
IF(AR436=-2,regle!$J$11,
IF(AR436=regle!$B$12,regle!$B$11,
IF(AR436=regle!$C$12,regle!$C$11,
IF(AR436=regle!$D$12,regle!$D$11,
IF(AR436=regle!$E$12,regle!$E$11,
IF(AR436=regle!$F$12,regle!$F$11,
IF(AR436=regle!$G$12,regle!$G$11,
IF(AR436=regle!$H$12,regle!$H$11,
IF(AR436=regle!$I$12,regle!$I$11,""))))))))))</f>
        <v/>
      </c>
      <c r="Y436" t="str">
        <f>IF(NOT($A436),"",
IF(AS436=-2,regle!$J$11,
IF(AS436=regle!$B$12,regle!$B$11,
IF(AS436=regle!$C$12,regle!$C$11,
IF(AS436=regle!$D$12,regle!$D$11,
IF(AS436=regle!$E$12,regle!$E$11,
IF(AS436=regle!$F$12,regle!$F$11,
IF(AS436=regle!$G$12,regle!$G$11,
IF(AS436=regle!$H$12,regle!$H$11,
IF(AS436=regle!$I$12,regle!$I$11,""))))))))))</f>
        <v/>
      </c>
      <c r="Z436" t="str">
        <f>IF(NOT($A436),"",
IF(AT436=-2,regle!$J$11,
IF(AT436=regle!$B$12,regle!$B$11,
IF(AT436=regle!$C$12,regle!$C$11,
IF(AT436=regle!$D$12,regle!$D$11,
IF(AT436=regle!$E$12,regle!$E$11,
IF(AT436=regle!$F$12,regle!$F$11,
IF(AT436=regle!$G$12,regle!$G$11,
IF(AT436=regle!$H$12,regle!$H$11,
IF(AT436=regle!$I$12,regle!$I$11,""))))))))))</f>
        <v/>
      </c>
      <c r="AA436" t="str">
        <f>IF(NOT($A436),"",
IF(AU436=-2,regle!$J$11,
IF(AU436=regle!$B$12,regle!$B$11,
IF(AU436=regle!$C$12,regle!$C$11,
IF(AU436=regle!$D$12,regle!$D$11,
IF(AU436=regle!$E$12,regle!$E$11,
IF(AU436=regle!$F$12,regle!$F$11,
IF(AU436=regle!$G$12,regle!$G$11,
IF(AU436=regle!$H$12,regle!$H$11,
IF(AU436=regle!$I$12,regle!$I$11,""))))))))))</f>
        <v/>
      </c>
      <c r="AB436" t="str">
        <f>IF(NOT($A436),"",
IF(AV436=-2,regle!$J$11,
IF(AV436=regle!$B$12,regle!$B$11,
IF(AV436=regle!$C$12,regle!$C$11,
IF(AV436=regle!$D$12,regle!$D$11,
IF(AV436=regle!$E$12,regle!$E$11,
IF(AV436=regle!$F$12,regle!$F$11,
IF(AV436=regle!$G$12,regle!$G$11,
IF(AV436=regle!$H$12,regle!$H$11,
IF(AV436=regle!$I$12,regle!$I$11,""))))))))))</f>
        <v/>
      </c>
      <c r="AC436" t="str">
        <f>IF(NOT($A436),"",
IF(AW436=-2,regle!$J$11,
IF(AW436=regle!$B$12,regle!$B$11,
IF(AW436=regle!$C$12,regle!$C$11,
IF(AW436=regle!$D$12,regle!$D$11,
IF(AW436=regle!$E$12,regle!$E$11,
IF(AW436=regle!$F$12,regle!$F$11,
IF(AW436=regle!$G$12,regle!$G$11,
IF(AW436=regle!$H$12,regle!$H$11,
IF(AW436=regle!$I$12,regle!$I$11,""))))))))))</f>
        <v/>
      </c>
      <c r="AD436" t="str">
        <f>IF(NOT($A436),"",
IF(AX436=-2,regle!$J$11,
IF(AX436=regle!$B$12,regle!$B$11,
IF(AX436=regle!$C$12,regle!$C$11,
IF(AX436=regle!$D$12,regle!$D$11,
IF(AX436=regle!$E$12,regle!$E$11,
IF(AX436=regle!$F$12,regle!$F$11,
IF(AX436=regle!$G$12,regle!$G$11,
IF(AX436=regle!$H$12,regle!$H$11,
IF(AX436=regle!$I$12,regle!$I$11,""))))))))))</f>
        <v/>
      </c>
      <c r="AE436" s="14" t="b">
        <f>IF($A436,$M436*(IF(U436=regle!$B$11,regle!$B$23,IF(U436=regle!$C$11,regle!$C$23,IF(U436=regle!$D$11,regle!$D$23,IF(U436=regle!$E$11,regle!$E$23,IF(U436=regle!$F$11,regle!$F$23,IF(U436=regle!$G$11,regle!$G$23,IF(U436=regle!$H$11,regle!$H$23,IF(U436=regle!$I$11,regle!$I$23,IF(U436=regle!$J$11,regle!$J$23,0)))))))))))</f>
        <v>0</v>
      </c>
      <c r="AF436" s="14" t="b">
        <f>IF($A436,$M436*(IF(V436=regle!$B$11,regle!$B$23,IF(V436=regle!$C$11,regle!$C$23,IF(V436=regle!$D$11,regle!$D$23,IF(V436=regle!$E$11,regle!$E$23,IF(V436=regle!$F$11,regle!$F$23,IF(V436=regle!$G$11,regle!$G$23,IF(V436=regle!$H$11,regle!$H$23,IF(V436=regle!$I$11,regle!$I$23,IF(V436=regle!$J$11,regle!$J$23,0)))))))))))</f>
        <v>0</v>
      </c>
      <c r="AG436" s="14" t="b">
        <f>IF($A436,$M436*(IF(W436=regle!$B$11,regle!$B$23,IF(W436=regle!$C$11,regle!$C$23,IF(W436=regle!$D$11,regle!$D$23,IF(W436=regle!$E$11,regle!$E$23,IF(W436=regle!$F$11,regle!$F$23,IF(W436=regle!$G$11,regle!$G$23,IF(W436=regle!$H$11,regle!$H$23,IF(W436=regle!$I$11,regle!$I$23,IF(W436=regle!$J$11,regle!$J$23,0)))))))))))</f>
        <v>0</v>
      </c>
      <c r="AH436" s="14" t="b">
        <f>IF($A436,$M436*(IF(X436=regle!$B$11,regle!$B$23,IF(X436=regle!$C$11,regle!$C$23,IF(X436=regle!$D$11,regle!$D$23,IF(X436=regle!$E$11,regle!$E$23,IF(X436=regle!$F$11,regle!$F$23,IF(X436=regle!$G$11,regle!$G$23,IF(X436=regle!$H$11,regle!$H$23,IF(X436=regle!$I$11,regle!$I$23,IF(X436=regle!$J$11,regle!$J$23,0)))))))))))</f>
        <v>0</v>
      </c>
      <c r="AI436" s="14" t="b">
        <f>IF($A436,$M436*(IF(Y436=regle!$B$11,regle!$B$23,IF(Y436=regle!$C$11,regle!$C$23,IF(Y436=regle!$D$11,regle!$D$23,IF(Y436=regle!$E$11,regle!$E$23,IF(Y436=regle!$F$11,regle!$F$23,IF(Y436=regle!$G$11,regle!$G$23,IF(Y436=regle!$H$11,regle!$H$23,IF(Y436=regle!$I$11,regle!$I$23,IF(Y436=regle!$J$11,regle!$J$23,0)))))))))))</f>
        <v>0</v>
      </c>
      <c r="AJ436" s="14" t="b">
        <f>IF($A436,$M436*(IF(Z436=regle!$B$11,regle!$B$23,IF(Z436=regle!$C$11,regle!$C$23,IF(Z436=regle!$D$11,regle!$D$23,IF(Z436=regle!$E$11,regle!$E$23,IF(Z436=regle!$F$11,regle!$F$23,IF(Z436=regle!$G$11,regle!$G$23,IF(Z436=regle!$H$11,regle!$H$23,IF(Z436=regle!$I$11,regle!$I$23,IF(Z436=regle!$J$11,regle!$J$23,0)))))))))))</f>
        <v>0</v>
      </c>
      <c r="AK436" s="14" t="b">
        <f>IF($A436,$M436*(IF(AA436=regle!$B$11,regle!$B$23,IF(AA436=regle!$C$11,regle!$C$23,IF(AA436=regle!$D$11,regle!$D$23,IF(AA436=regle!$E$11,regle!$E$23,IF(AA436=regle!$F$11,regle!$F$23,IF(AA436=regle!$G$11,regle!$G$23,IF(AA436=regle!$H$11,regle!$H$23,IF(AA436=regle!$I$11,regle!$I$23,IF(AA436=regle!$J$11,regle!$J$23,0)))))))))))</f>
        <v>0</v>
      </c>
      <c r="AL436" s="14" t="b">
        <f>IF($A436,$M436*(IF(AB436=regle!$B$11,regle!$B$23,IF(AB436=regle!$C$11,regle!$C$23,IF(AB436=regle!$D$11,regle!$D$23,IF(AB436=regle!$E$11,regle!$E$23,IF(AB436=regle!$F$11,regle!$F$23,IF(AB436=regle!$G$11,regle!$G$23,IF(AB436=regle!$H$11,regle!$H$23,IF(AB436=regle!$I$11,regle!$I$23,IF(AB436=regle!$J$11,regle!$J$23,0)))))))))))</f>
        <v>0</v>
      </c>
      <c r="AM436" s="14" t="b">
        <f>IF($A436,$M436*(IF(AC436=regle!$B$11,regle!$B$23,IF(AC436=regle!$C$11,regle!$C$23,IF(AC436=regle!$D$11,regle!$D$23,IF(AC436=regle!$E$11,regle!$E$23,IF(AC436=regle!$F$11,regle!$F$23,IF(AC436=regle!$G$11,regle!$G$23,IF(AC436=regle!$H$11,regle!$H$23,IF(AC436=regle!$I$11,regle!$I$23,IF(AC436=regle!$J$11,regle!$J$23,0)))))))))))</f>
        <v>0</v>
      </c>
      <c r="AN436" s="14" t="b">
        <f>IF($A436,$M436*(IF(AD436=regle!$B$11,regle!$B$23,IF(AD436=regle!$C$11,regle!$C$23,IF(AD436=regle!$D$11,regle!$D$23,IF(AD436=regle!$E$11,regle!$E$23,IF(AD436=regle!$F$11,regle!$F$23,IF(AD436=regle!$G$11,regle!$G$23,IF(AD436=regle!$H$11,regle!$H$23,IF(AD436=regle!$I$11,regle!$I$23,IF(AD436=regle!$J$11,regle!$J$23,0)))))))))))</f>
        <v>0</v>
      </c>
      <c r="AO436">
        <f>IF(AO$1=$AO$1,IF(regle!B$2-$Q436&gt;=regle!$J$12,-2,IF($S436,IF(regle!$B$2-$Q436&gt;=2,0,-1),regle!B$2-$Q436)),IF(AN436+1&gt;=regle!$J$12,-2,AN436+1))</f>
        <v>38</v>
      </c>
      <c r="AP436">
        <f>IF(AP$1=$AO$1,IF(regle!C$2-$Q436&gt;=regle!$J$12,-2,IF($S436,IF(regle!$B$2-$Q436&gt;=2,0,-1),regle!C$2-$Q436)),IF(AO436+1&gt;=regle!$J$12,-2,AO436+1))</f>
        <v>39</v>
      </c>
      <c r="AQ436">
        <f>IF(AQ$1=$AO$1,IF(regle!D$2-$Q436&gt;=regle!$J$12,-2,IF($S436,IF(regle!$B$2-$Q436&gt;=2,0,-1),regle!D$2-$Q436)),IF(AP436+1&gt;=regle!$J$12,-2,AP436+1))</f>
        <v>-2</v>
      </c>
      <c r="AR436">
        <f>IF(AR$1=$AO$1,IF(regle!E$2-$Q436&gt;=regle!$J$12,-2,IF($S436,IF(regle!$B$2-$Q436&gt;=2,0,-1),regle!E$2-$Q436)),IF(AQ436+1&gt;=regle!$J$12,-2,AQ436+1))</f>
        <v>-1</v>
      </c>
      <c r="AS436">
        <f>IF(AS$1=$AO$1,IF(regle!F$2-$Q436&gt;=regle!$J$12,-2,IF($S436,IF(regle!$B$2-$Q436&gt;=2,0,-1),regle!F$2-$Q436)),IF(AR436+1&gt;=regle!$J$12,-2,AR436+1))</f>
        <v>0</v>
      </c>
      <c r="AT436">
        <f>IF(AT$1=$AO$1,IF(regle!G$2-$Q436&gt;=regle!$J$12,-2,IF($S436,IF(regle!$B$2-$Q436&gt;=2,0,-1),regle!G$2-$Q436)),IF(AS436+1&gt;=regle!$J$12,-2,AS436+1))</f>
        <v>1</v>
      </c>
      <c r="AU436">
        <f>IF(AU$1=$AO$1,IF(regle!H$2-$Q436&gt;=regle!$J$12,-2,IF($S436,IF(regle!$B$2-$Q436&gt;=2,0,-1),regle!H$2-$Q436)),IF(AT436+1&gt;=regle!$J$12,-2,AT436+1))</f>
        <v>2</v>
      </c>
      <c r="AV436">
        <f>IF(AV$1=$AO$1,IF(regle!I$2-$Q436&gt;=regle!$J$12,-2,IF($S436,IF(regle!$B$2-$Q436&gt;=2,0,-1),regle!I$2-$Q436)),IF(AU436+1&gt;=regle!$J$12,-2,AU436+1))</f>
        <v>3</v>
      </c>
      <c r="AW436">
        <f>IF(AW$1=$AO$1,IF(regle!J$2-$Q436&gt;=regle!$J$12,-2,IF($S436,IF(regle!$B$2-$Q436&gt;=2,0,-1),regle!J$2-$Q436)),IF(AV436+1&gt;=regle!$J$12,-2,AV436+1))</f>
        <v>4</v>
      </c>
      <c r="AX436">
        <f>IF(AX$1=$AO$1,IF(regle!K$2-$Q436&gt;=regle!$J$12,-2,IF($S436,IF(regle!$B$2-$Q436&gt;=2,0,-1),regle!K$2-$Q436)),IF(AW436+1&gt;=regle!$J$12,-2,AW436+1))</f>
        <v>5</v>
      </c>
    </row>
    <row r="437" spans="1:50" x14ac:dyDescent="0.25">
      <c r="A437" t="b">
        <f>AND(modif0[[#This Row],[cdstr]]&lt;&gt;0,OR(regle!$H$27=FALSE,modif0[[#This Row],[essnc]]="PM"))</f>
        <v>0</v>
      </c>
      <c r="B437">
        <f>ROW(objet!A426)</f>
        <v>426</v>
      </c>
      <c r="C437" s="10" t="str">
        <f>objet!D426</f>
        <v>2000000M0080</v>
      </c>
      <c r="D437" t="str">
        <f>LEFT(modif0[[#This Row],[cdstr]],3)</f>
        <v>200</v>
      </c>
      <c r="E437" s="10" t="str">
        <f>objet!G426</f>
        <v>MOUSTEY</v>
      </c>
      <c r="F437">
        <f>LEN(modif0[[#This Row],[l_dt]])</f>
        <v>4</v>
      </c>
      <c r="G437" s="10" t="str">
        <f>objet!H426</f>
        <v>Kycs</v>
      </c>
      <c r="H437" s="10" t="str">
        <f>objet!C426</f>
        <v>M80q</v>
      </c>
      <c r="I437" t="str">
        <f>IF(ISNUMBER(VALUE(RIGHT(LEFT(modif0[[#This Row],[idntfn]],2),1))),_xlfn.CONCAT(0,LEFT(modif0[[#This Row],[idntfn]],1)),LEFT(modif0[[#This Row],[idntfn]],2))</f>
        <v>0M</v>
      </c>
      <c r="J437">
        <f>VALUE(LEFT(RIGHT(modif0[[#This Row],[idntfn]],LEN(modif0[[#This Row],[idntfn]])-IF(LEFT(modif0[[#This Row],[sctn]],1)="0",1,2)),LEN(modif0[[#This Row],[idntfn]])-IF(LEFT(modif0[[#This Row],[sctn]],1)="0",1,2)-LEN(modif0[[#This Row],[lttr]])))</f>
        <v>80</v>
      </c>
      <c r="K437" t="str">
        <f>IF(ISNUMBER(VALUE(RIGHT(modif0[[#This Row],[idntfn]],1))),"",IF(ISNUMBER(VALUE(LEFT(RIGHT(modif0[[#This Row],[idntfn]],2),1))),RIGHT(modif0[[#This Row],[idntfn]],1),RIGHT(modif0[[#This Row],[idntfn]],2)))</f>
        <v>q</v>
      </c>
      <c r="L437" s="10">
        <f>objet!I426</f>
        <v>2646</v>
      </c>
      <c r="M437" s="11">
        <f>modif0[[#This Row],[srfc]]/10000</f>
        <v>0.2646</v>
      </c>
      <c r="N437" s="10" t="str">
        <f>objet!Z426</f>
        <v>FEUIL</v>
      </c>
      <c r="O437" s="10" t="str">
        <f>objet!AA426</f>
        <v>TAIL1993</v>
      </c>
      <c r="P437" t="str">
        <f>IF(ISNUMBER(modif0[[#This Row],[trvx]]),"",LEFT(modif0[[#This Row],[trvx]],LEN(modif0[[#This Row],[trvx]])-4))</f>
        <v>TAIL</v>
      </c>
      <c r="Q437">
        <f>VALUE(RIGHT(modif0[[#This Row],[trvx]],4))</f>
        <v>1993</v>
      </c>
      <c r="R437" t="str">
        <f>_xlfn.CONCAT(modif0[[#This Row],[tp]],"-",modif0[[#This Row],[essnc]],"_",modif0[[#This Row],[anns]])</f>
        <v>TAIL-FEUIL_1993</v>
      </c>
      <c r="S437" t="b">
        <f>modif0[[#This Row],[tp]]="CR"</f>
        <v>0</v>
      </c>
      <c r="T437">
        <v>40</v>
      </c>
      <c r="U437" t="str">
        <f>IF(NOT($A437),"",
IF(AO437=-2,regle!$J$11,
IF(AO437=regle!$B$12,regle!$B$11,
IF(AO437=regle!$C$12,regle!$C$11,
IF(AO437=regle!$D$12,regle!$D$11,
IF(AO437=regle!$E$12,regle!$E$11,
IF(AO437=regle!$F$12,regle!$F$11,
IF(AO437=regle!$G$12,regle!$G$11,
IF(AO437=regle!$H$12,regle!$H$11,
IF(AO437=regle!$I$12,regle!$I$11,""))))))))))</f>
        <v/>
      </c>
      <c r="V437" t="str">
        <f>IF(NOT($A437),"",
IF(AP437=-2,regle!$J$11,
IF(AP437=regle!$B$12,regle!$B$11,
IF(AP437=regle!$C$12,regle!$C$11,
IF(AP437=regle!$D$12,regle!$D$11,
IF(AP437=regle!$E$12,regle!$E$11,
IF(AP437=regle!$F$12,regle!$F$11,
IF(AP437=regle!$G$12,regle!$G$11,
IF(AP437=regle!$H$12,regle!$H$11,
IF(AP437=regle!$I$12,regle!$I$11,""))))))))))</f>
        <v/>
      </c>
      <c r="W437" t="str">
        <f>IF(NOT($A437),"",
IF(AQ437=-2,regle!$J$11,
IF(AQ437=regle!$B$12,regle!$B$11,
IF(AQ437=regle!$C$12,regle!$C$11,
IF(AQ437=regle!$D$12,regle!$D$11,
IF(AQ437=regle!$E$12,regle!$E$11,
IF(AQ437=regle!$F$12,regle!$F$11,
IF(AQ437=regle!$G$12,regle!$G$11,
IF(AQ437=regle!$H$12,regle!$H$11,
IF(AQ437=regle!$I$12,regle!$I$11,""))))))))))</f>
        <v/>
      </c>
      <c r="X437" t="str">
        <f>IF(NOT($A437),"",
IF(AR437=-2,regle!$J$11,
IF(AR437=regle!$B$12,regle!$B$11,
IF(AR437=regle!$C$12,regle!$C$11,
IF(AR437=regle!$D$12,regle!$D$11,
IF(AR437=regle!$E$12,regle!$E$11,
IF(AR437=regle!$F$12,regle!$F$11,
IF(AR437=regle!$G$12,regle!$G$11,
IF(AR437=regle!$H$12,regle!$H$11,
IF(AR437=regle!$I$12,regle!$I$11,""))))))))))</f>
        <v/>
      </c>
      <c r="Y437" t="str">
        <f>IF(NOT($A437),"",
IF(AS437=-2,regle!$J$11,
IF(AS437=regle!$B$12,regle!$B$11,
IF(AS437=regle!$C$12,regle!$C$11,
IF(AS437=regle!$D$12,regle!$D$11,
IF(AS437=regle!$E$12,regle!$E$11,
IF(AS437=regle!$F$12,regle!$F$11,
IF(AS437=regle!$G$12,regle!$G$11,
IF(AS437=regle!$H$12,regle!$H$11,
IF(AS437=regle!$I$12,regle!$I$11,""))))))))))</f>
        <v/>
      </c>
      <c r="Z437" t="str">
        <f>IF(NOT($A437),"",
IF(AT437=-2,regle!$J$11,
IF(AT437=regle!$B$12,regle!$B$11,
IF(AT437=regle!$C$12,regle!$C$11,
IF(AT437=regle!$D$12,regle!$D$11,
IF(AT437=regle!$E$12,regle!$E$11,
IF(AT437=regle!$F$12,regle!$F$11,
IF(AT437=regle!$G$12,regle!$G$11,
IF(AT437=regle!$H$12,regle!$H$11,
IF(AT437=regle!$I$12,regle!$I$11,""))))))))))</f>
        <v/>
      </c>
      <c r="AA437" t="str">
        <f>IF(NOT($A437),"",
IF(AU437=-2,regle!$J$11,
IF(AU437=regle!$B$12,regle!$B$11,
IF(AU437=regle!$C$12,regle!$C$11,
IF(AU437=regle!$D$12,regle!$D$11,
IF(AU437=regle!$E$12,regle!$E$11,
IF(AU437=regle!$F$12,regle!$F$11,
IF(AU437=regle!$G$12,regle!$G$11,
IF(AU437=regle!$H$12,regle!$H$11,
IF(AU437=regle!$I$12,regle!$I$11,""))))))))))</f>
        <v/>
      </c>
      <c r="AB437" t="str">
        <f>IF(NOT($A437),"",
IF(AV437=-2,regle!$J$11,
IF(AV437=regle!$B$12,regle!$B$11,
IF(AV437=regle!$C$12,regle!$C$11,
IF(AV437=regle!$D$12,regle!$D$11,
IF(AV437=regle!$E$12,regle!$E$11,
IF(AV437=regle!$F$12,regle!$F$11,
IF(AV437=regle!$G$12,regle!$G$11,
IF(AV437=regle!$H$12,regle!$H$11,
IF(AV437=regle!$I$12,regle!$I$11,""))))))))))</f>
        <v/>
      </c>
      <c r="AC437" t="str">
        <f>IF(NOT($A437),"",
IF(AW437=-2,regle!$J$11,
IF(AW437=regle!$B$12,regle!$B$11,
IF(AW437=regle!$C$12,regle!$C$11,
IF(AW437=regle!$D$12,regle!$D$11,
IF(AW437=regle!$E$12,regle!$E$11,
IF(AW437=regle!$F$12,regle!$F$11,
IF(AW437=regle!$G$12,regle!$G$11,
IF(AW437=regle!$H$12,regle!$H$11,
IF(AW437=regle!$I$12,regle!$I$11,""))))))))))</f>
        <v/>
      </c>
      <c r="AD437" t="str">
        <f>IF(NOT($A437),"",
IF(AX437=-2,regle!$J$11,
IF(AX437=regle!$B$12,regle!$B$11,
IF(AX437=regle!$C$12,regle!$C$11,
IF(AX437=regle!$D$12,regle!$D$11,
IF(AX437=regle!$E$12,regle!$E$11,
IF(AX437=regle!$F$12,regle!$F$11,
IF(AX437=regle!$G$12,regle!$G$11,
IF(AX437=regle!$H$12,regle!$H$11,
IF(AX437=regle!$I$12,regle!$I$11,""))))))))))</f>
        <v/>
      </c>
      <c r="AE437" s="14" t="b">
        <f>IF($A437,$M437*(IF(U437=regle!$B$11,regle!$B$23,IF(U437=regle!$C$11,regle!$C$23,IF(U437=regle!$D$11,regle!$D$23,IF(U437=regle!$E$11,regle!$E$23,IF(U437=regle!$F$11,regle!$F$23,IF(U437=regle!$G$11,regle!$G$23,IF(U437=regle!$H$11,regle!$H$23,IF(U437=regle!$I$11,regle!$I$23,IF(U437=regle!$J$11,regle!$J$23,0)))))))))))</f>
        <v>0</v>
      </c>
      <c r="AF437" s="14" t="b">
        <f>IF($A437,$M437*(IF(V437=regle!$B$11,regle!$B$23,IF(V437=regle!$C$11,regle!$C$23,IF(V437=regle!$D$11,regle!$D$23,IF(V437=regle!$E$11,regle!$E$23,IF(V437=regle!$F$11,regle!$F$23,IF(V437=regle!$G$11,regle!$G$23,IF(V437=regle!$H$11,regle!$H$23,IF(V437=regle!$I$11,regle!$I$23,IF(V437=regle!$J$11,regle!$J$23,0)))))))))))</f>
        <v>0</v>
      </c>
      <c r="AG437" s="14" t="b">
        <f>IF($A437,$M437*(IF(W437=regle!$B$11,regle!$B$23,IF(W437=regle!$C$11,regle!$C$23,IF(W437=regle!$D$11,regle!$D$23,IF(W437=regle!$E$11,regle!$E$23,IF(W437=regle!$F$11,regle!$F$23,IF(W437=regle!$G$11,regle!$G$23,IF(W437=regle!$H$11,regle!$H$23,IF(W437=regle!$I$11,regle!$I$23,IF(W437=regle!$J$11,regle!$J$23,0)))))))))))</f>
        <v>0</v>
      </c>
      <c r="AH437" s="14" t="b">
        <f>IF($A437,$M437*(IF(X437=regle!$B$11,regle!$B$23,IF(X437=regle!$C$11,regle!$C$23,IF(X437=regle!$D$11,regle!$D$23,IF(X437=regle!$E$11,regle!$E$23,IF(X437=regle!$F$11,regle!$F$23,IF(X437=regle!$G$11,regle!$G$23,IF(X437=regle!$H$11,regle!$H$23,IF(X437=regle!$I$11,regle!$I$23,IF(X437=regle!$J$11,regle!$J$23,0)))))))))))</f>
        <v>0</v>
      </c>
      <c r="AI437" s="14" t="b">
        <f>IF($A437,$M437*(IF(Y437=regle!$B$11,regle!$B$23,IF(Y437=regle!$C$11,regle!$C$23,IF(Y437=regle!$D$11,regle!$D$23,IF(Y437=regle!$E$11,regle!$E$23,IF(Y437=regle!$F$11,regle!$F$23,IF(Y437=regle!$G$11,regle!$G$23,IF(Y437=regle!$H$11,regle!$H$23,IF(Y437=regle!$I$11,regle!$I$23,IF(Y437=regle!$J$11,regle!$J$23,0)))))))))))</f>
        <v>0</v>
      </c>
      <c r="AJ437" s="14" t="b">
        <f>IF($A437,$M437*(IF(Z437=regle!$B$11,regle!$B$23,IF(Z437=regle!$C$11,regle!$C$23,IF(Z437=regle!$D$11,regle!$D$23,IF(Z437=regle!$E$11,regle!$E$23,IF(Z437=regle!$F$11,regle!$F$23,IF(Z437=regle!$G$11,regle!$G$23,IF(Z437=regle!$H$11,regle!$H$23,IF(Z437=regle!$I$11,regle!$I$23,IF(Z437=regle!$J$11,regle!$J$23,0)))))))))))</f>
        <v>0</v>
      </c>
      <c r="AK437" s="14" t="b">
        <f>IF($A437,$M437*(IF(AA437=regle!$B$11,regle!$B$23,IF(AA437=regle!$C$11,regle!$C$23,IF(AA437=regle!$D$11,regle!$D$23,IF(AA437=regle!$E$11,regle!$E$23,IF(AA437=regle!$F$11,regle!$F$23,IF(AA437=regle!$G$11,regle!$G$23,IF(AA437=regle!$H$11,regle!$H$23,IF(AA437=regle!$I$11,regle!$I$23,IF(AA437=regle!$J$11,regle!$J$23,0)))))))))))</f>
        <v>0</v>
      </c>
      <c r="AL437" s="14" t="b">
        <f>IF($A437,$M437*(IF(AB437=regle!$B$11,regle!$B$23,IF(AB437=regle!$C$11,regle!$C$23,IF(AB437=regle!$D$11,regle!$D$23,IF(AB437=regle!$E$11,regle!$E$23,IF(AB437=regle!$F$11,regle!$F$23,IF(AB437=regle!$G$11,regle!$G$23,IF(AB437=regle!$H$11,regle!$H$23,IF(AB437=regle!$I$11,regle!$I$23,IF(AB437=regle!$J$11,regle!$J$23,0)))))))))))</f>
        <v>0</v>
      </c>
      <c r="AM437" s="14" t="b">
        <f>IF($A437,$M437*(IF(AC437=regle!$B$11,regle!$B$23,IF(AC437=regle!$C$11,regle!$C$23,IF(AC437=regle!$D$11,regle!$D$23,IF(AC437=regle!$E$11,regle!$E$23,IF(AC437=regle!$F$11,regle!$F$23,IF(AC437=regle!$G$11,regle!$G$23,IF(AC437=regle!$H$11,regle!$H$23,IF(AC437=regle!$I$11,regle!$I$23,IF(AC437=regle!$J$11,regle!$J$23,0)))))))))))</f>
        <v>0</v>
      </c>
      <c r="AN437" s="14" t="b">
        <f>IF($A437,$M437*(IF(AD437=regle!$B$11,regle!$B$23,IF(AD437=regle!$C$11,regle!$C$23,IF(AD437=regle!$D$11,regle!$D$23,IF(AD437=regle!$E$11,regle!$E$23,IF(AD437=regle!$F$11,regle!$F$23,IF(AD437=regle!$G$11,regle!$G$23,IF(AD437=regle!$H$11,regle!$H$23,IF(AD437=regle!$I$11,regle!$I$23,IF(AD437=regle!$J$11,regle!$J$23,0)))))))))))</f>
        <v>0</v>
      </c>
      <c r="AO437">
        <f>IF(AO$1=$AO$1,IF(regle!B$2-$Q437&gt;=regle!$J$12,-2,IF($S437,IF(regle!$B$2-$Q437&gt;=2,0,-1),regle!B$2-$Q437)),IF(AN437+1&gt;=regle!$J$12,-2,AN437+1))</f>
        <v>31</v>
      </c>
      <c r="AP437">
        <f>IF(AP$1=$AO$1,IF(regle!C$2-$Q437&gt;=regle!$J$12,-2,IF($S437,IF(regle!$B$2-$Q437&gt;=2,0,-1),regle!C$2-$Q437)),IF(AO437+1&gt;=regle!$J$12,-2,AO437+1))</f>
        <v>32</v>
      </c>
      <c r="AQ437">
        <f>IF(AQ$1=$AO$1,IF(regle!D$2-$Q437&gt;=regle!$J$12,-2,IF($S437,IF(regle!$B$2-$Q437&gt;=2,0,-1),regle!D$2-$Q437)),IF(AP437+1&gt;=regle!$J$12,-2,AP437+1))</f>
        <v>33</v>
      </c>
      <c r="AR437">
        <f>IF(AR$1=$AO$1,IF(regle!E$2-$Q437&gt;=regle!$J$12,-2,IF($S437,IF(regle!$B$2-$Q437&gt;=2,0,-1),regle!E$2-$Q437)),IF(AQ437+1&gt;=regle!$J$12,-2,AQ437+1))</f>
        <v>34</v>
      </c>
      <c r="AS437">
        <f>IF(AS$1=$AO$1,IF(regle!F$2-$Q437&gt;=regle!$J$12,-2,IF($S437,IF(regle!$B$2-$Q437&gt;=2,0,-1),regle!F$2-$Q437)),IF(AR437+1&gt;=regle!$J$12,-2,AR437+1))</f>
        <v>35</v>
      </c>
      <c r="AT437">
        <f>IF(AT$1=$AO$1,IF(regle!G$2-$Q437&gt;=regle!$J$12,-2,IF($S437,IF(regle!$B$2-$Q437&gt;=2,0,-1),regle!G$2-$Q437)),IF(AS437+1&gt;=regle!$J$12,-2,AS437+1))</f>
        <v>36</v>
      </c>
      <c r="AU437">
        <f>IF(AU$1=$AO$1,IF(regle!H$2-$Q437&gt;=regle!$J$12,-2,IF($S437,IF(regle!$B$2-$Q437&gt;=2,0,-1),regle!H$2-$Q437)),IF(AT437+1&gt;=regle!$J$12,-2,AT437+1))</f>
        <v>37</v>
      </c>
      <c r="AV437">
        <f>IF(AV$1=$AO$1,IF(regle!I$2-$Q437&gt;=regle!$J$12,-2,IF($S437,IF(regle!$B$2-$Q437&gt;=2,0,-1),regle!I$2-$Q437)),IF(AU437+1&gt;=regle!$J$12,-2,AU437+1))</f>
        <v>38</v>
      </c>
      <c r="AW437">
        <f>IF(AW$1=$AO$1,IF(regle!J$2-$Q437&gt;=regle!$J$12,-2,IF($S437,IF(regle!$B$2-$Q437&gt;=2,0,-1),regle!J$2-$Q437)),IF(AV437+1&gt;=regle!$J$12,-2,AV437+1))</f>
        <v>39</v>
      </c>
      <c r="AX437">
        <f>IF(AX$1=$AO$1,IF(regle!K$2-$Q437&gt;=regle!$J$12,-2,IF($S437,IF(regle!$B$2-$Q437&gt;=2,0,-1),regle!K$2-$Q437)),IF(AW437+1&gt;=regle!$J$12,-2,AW437+1))</f>
        <v>-2</v>
      </c>
    </row>
    <row r="438" spans="1:50" x14ac:dyDescent="0.25">
      <c r="A438" t="b">
        <f>AND(modif0[[#This Row],[cdstr]]&lt;&gt;0,OR(regle!$H$27=FALSE,modif0[[#This Row],[essnc]]="PM"))</f>
        <v>0</v>
      </c>
      <c r="B438">
        <f>ROW(objet!A428)</f>
        <v>428</v>
      </c>
      <c r="C438" s="10" t="str">
        <f>objet!D428</f>
        <v>2000000M0009</v>
      </c>
      <c r="D438" t="str">
        <f>LEFT(modif0[[#This Row],[cdstr]],3)</f>
        <v>200</v>
      </c>
      <c r="E438" s="10" t="str">
        <f>objet!G428</f>
        <v>MOUSTEY</v>
      </c>
      <c r="F438">
        <f>LEN(modif0[[#This Row],[l_dt]])</f>
        <v>5</v>
      </c>
      <c r="G438" s="10" t="str">
        <f>objet!H428</f>
        <v>Plata</v>
      </c>
      <c r="H438" s="10" t="str">
        <f>objet!C428</f>
        <v>M9b</v>
      </c>
      <c r="I438" t="str">
        <f>IF(ISNUMBER(VALUE(RIGHT(LEFT(modif0[[#This Row],[idntfn]],2),1))),_xlfn.CONCAT(0,LEFT(modif0[[#This Row],[idntfn]],1)),LEFT(modif0[[#This Row],[idntfn]],2))</f>
        <v>0M</v>
      </c>
      <c r="J438">
        <f>VALUE(LEFT(RIGHT(modif0[[#This Row],[idntfn]],LEN(modif0[[#This Row],[idntfn]])-IF(LEFT(modif0[[#This Row],[sctn]],1)="0",1,2)),LEN(modif0[[#This Row],[idntfn]])-IF(LEFT(modif0[[#This Row],[sctn]],1)="0",1,2)-LEN(modif0[[#This Row],[lttr]])))</f>
        <v>9</v>
      </c>
      <c r="K438" t="str">
        <f>IF(ISNUMBER(VALUE(RIGHT(modif0[[#This Row],[idntfn]],1))),"",IF(ISNUMBER(VALUE(LEFT(RIGHT(modif0[[#This Row],[idntfn]],2),1))),RIGHT(modif0[[#This Row],[idntfn]],1),RIGHT(modif0[[#This Row],[idntfn]],2)))</f>
        <v>b</v>
      </c>
      <c r="L438" s="10">
        <f>objet!I428</f>
        <v>1053</v>
      </c>
      <c r="M438" s="11">
        <f>modif0[[#This Row],[srfc]]/10000</f>
        <v>0.1053</v>
      </c>
      <c r="N438" s="10" t="str">
        <f>objet!Z428</f>
        <v>FEUIL</v>
      </c>
      <c r="O438" s="10" t="str">
        <f>objet!AA428</f>
        <v>TAIL1986</v>
      </c>
      <c r="P438" t="str">
        <f>IF(ISNUMBER(modif0[[#This Row],[trvx]]),"",LEFT(modif0[[#This Row],[trvx]],LEN(modif0[[#This Row],[trvx]])-4))</f>
        <v>TAIL</v>
      </c>
      <c r="Q438">
        <f>VALUE(RIGHT(modif0[[#This Row],[trvx]],4))</f>
        <v>1986</v>
      </c>
      <c r="R438" t="str">
        <f>_xlfn.CONCAT(modif0[[#This Row],[tp]],"-",modif0[[#This Row],[essnc]],"_",modif0[[#This Row],[anns]])</f>
        <v>TAIL-FEUIL_1986</v>
      </c>
      <c r="S438" t="b">
        <f>modif0[[#This Row],[tp]]="CR"</f>
        <v>0</v>
      </c>
      <c r="T438">
        <v>40</v>
      </c>
      <c r="U438" t="str">
        <f>IF(NOT($A438),"",
IF(AO438=-2,regle!$J$11,
IF(AO438=regle!$B$12,regle!$B$11,
IF(AO438=regle!$C$12,regle!$C$11,
IF(AO438=regle!$D$12,regle!$D$11,
IF(AO438=regle!$E$12,regle!$E$11,
IF(AO438=regle!$F$12,regle!$F$11,
IF(AO438=regle!$G$12,regle!$G$11,
IF(AO438=regle!$H$12,regle!$H$11,
IF(AO438=regle!$I$12,regle!$I$11,""))))))))))</f>
        <v/>
      </c>
      <c r="V438" t="str">
        <f>IF(NOT($A438),"",
IF(AP438=-2,regle!$J$11,
IF(AP438=regle!$B$12,regle!$B$11,
IF(AP438=regle!$C$12,regle!$C$11,
IF(AP438=regle!$D$12,regle!$D$11,
IF(AP438=regle!$E$12,regle!$E$11,
IF(AP438=regle!$F$12,regle!$F$11,
IF(AP438=regle!$G$12,regle!$G$11,
IF(AP438=regle!$H$12,regle!$H$11,
IF(AP438=regle!$I$12,regle!$I$11,""))))))))))</f>
        <v/>
      </c>
      <c r="W438" t="str">
        <f>IF(NOT($A438),"",
IF(AQ438=-2,regle!$J$11,
IF(AQ438=regle!$B$12,regle!$B$11,
IF(AQ438=regle!$C$12,regle!$C$11,
IF(AQ438=regle!$D$12,regle!$D$11,
IF(AQ438=regle!$E$12,regle!$E$11,
IF(AQ438=regle!$F$12,regle!$F$11,
IF(AQ438=regle!$G$12,regle!$G$11,
IF(AQ438=regle!$H$12,regle!$H$11,
IF(AQ438=regle!$I$12,regle!$I$11,""))))))))))</f>
        <v/>
      </c>
      <c r="X438" t="str">
        <f>IF(NOT($A438),"",
IF(AR438=-2,regle!$J$11,
IF(AR438=regle!$B$12,regle!$B$11,
IF(AR438=regle!$C$12,regle!$C$11,
IF(AR438=regle!$D$12,regle!$D$11,
IF(AR438=regle!$E$12,regle!$E$11,
IF(AR438=regle!$F$12,regle!$F$11,
IF(AR438=regle!$G$12,regle!$G$11,
IF(AR438=regle!$H$12,regle!$H$11,
IF(AR438=regle!$I$12,regle!$I$11,""))))))))))</f>
        <v/>
      </c>
      <c r="Y438" t="str">
        <f>IF(NOT($A438),"",
IF(AS438=-2,regle!$J$11,
IF(AS438=regle!$B$12,regle!$B$11,
IF(AS438=regle!$C$12,regle!$C$11,
IF(AS438=regle!$D$12,regle!$D$11,
IF(AS438=regle!$E$12,regle!$E$11,
IF(AS438=regle!$F$12,regle!$F$11,
IF(AS438=regle!$G$12,regle!$G$11,
IF(AS438=regle!$H$12,regle!$H$11,
IF(AS438=regle!$I$12,regle!$I$11,""))))))))))</f>
        <v/>
      </c>
      <c r="Z438" t="str">
        <f>IF(NOT($A438),"",
IF(AT438=-2,regle!$J$11,
IF(AT438=regle!$B$12,regle!$B$11,
IF(AT438=regle!$C$12,regle!$C$11,
IF(AT438=regle!$D$12,regle!$D$11,
IF(AT438=regle!$E$12,regle!$E$11,
IF(AT438=regle!$F$12,regle!$F$11,
IF(AT438=regle!$G$12,regle!$G$11,
IF(AT438=regle!$H$12,regle!$H$11,
IF(AT438=regle!$I$12,regle!$I$11,""))))))))))</f>
        <v/>
      </c>
      <c r="AA438" t="str">
        <f>IF(NOT($A438),"",
IF(AU438=-2,regle!$J$11,
IF(AU438=regle!$B$12,regle!$B$11,
IF(AU438=regle!$C$12,regle!$C$11,
IF(AU438=regle!$D$12,regle!$D$11,
IF(AU438=regle!$E$12,regle!$E$11,
IF(AU438=regle!$F$12,regle!$F$11,
IF(AU438=regle!$G$12,regle!$G$11,
IF(AU438=regle!$H$12,regle!$H$11,
IF(AU438=regle!$I$12,regle!$I$11,""))))))))))</f>
        <v/>
      </c>
      <c r="AB438" t="str">
        <f>IF(NOT($A438),"",
IF(AV438=-2,regle!$J$11,
IF(AV438=regle!$B$12,regle!$B$11,
IF(AV438=regle!$C$12,regle!$C$11,
IF(AV438=regle!$D$12,regle!$D$11,
IF(AV438=regle!$E$12,regle!$E$11,
IF(AV438=regle!$F$12,regle!$F$11,
IF(AV438=regle!$G$12,regle!$G$11,
IF(AV438=regle!$H$12,regle!$H$11,
IF(AV438=regle!$I$12,regle!$I$11,""))))))))))</f>
        <v/>
      </c>
      <c r="AC438" t="str">
        <f>IF(NOT($A438),"",
IF(AW438=-2,regle!$J$11,
IF(AW438=regle!$B$12,regle!$B$11,
IF(AW438=regle!$C$12,regle!$C$11,
IF(AW438=regle!$D$12,regle!$D$11,
IF(AW438=regle!$E$12,regle!$E$11,
IF(AW438=regle!$F$12,regle!$F$11,
IF(AW438=regle!$G$12,regle!$G$11,
IF(AW438=regle!$H$12,regle!$H$11,
IF(AW438=regle!$I$12,regle!$I$11,""))))))))))</f>
        <v/>
      </c>
      <c r="AD438" t="str">
        <f>IF(NOT($A438),"",
IF(AX438=-2,regle!$J$11,
IF(AX438=regle!$B$12,regle!$B$11,
IF(AX438=regle!$C$12,regle!$C$11,
IF(AX438=regle!$D$12,regle!$D$11,
IF(AX438=regle!$E$12,regle!$E$11,
IF(AX438=regle!$F$12,regle!$F$11,
IF(AX438=regle!$G$12,regle!$G$11,
IF(AX438=regle!$H$12,regle!$H$11,
IF(AX438=regle!$I$12,regle!$I$11,""))))))))))</f>
        <v/>
      </c>
      <c r="AE438" s="14" t="b">
        <f>IF($A438,$M438*(IF(U438=regle!$B$11,regle!$B$23,IF(U438=regle!$C$11,regle!$C$23,IF(U438=regle!$D$11,regle!$D$23,IF(U438=regle!$E$11,regle!$E$23,IF(U438=regle!$F$11,regle!$F$23,IF(U438=regle!$G$11,regle!$G$23,IF(U438=regle!$H$11,regle!$H$23,IF(U438=regle!$I$11,regle!$I$23,IF(U438=regle!$J$11,regle!$J$23,0)))))))))))</f>
        <v>0</v>
      </c>
      <c r="AF438" s="14" t="b">
        <f>IF($A438,$M438*(IF(V438=regle!$B$11,regle!$B$23,IF(V438=regle!$C$11,regle!$C$23,IF(V438=regle!$D$11,regle!$D$23,IF(V438=regle!$E$11,regle!$E$23,IF(V438=regle!$F$11,regle!$F$23,IF(V438=regle!$G$11,regle!$G$23,IF(V438=regle!$H$11,regle!$H$23,IF(V438=regle!$I$11,regle!$I$23,IF(V438=regle!$J$11,regle!$J$23,0)))))))))))</f>
        <v>0</v>
      </c>
      <c r="AG438" s="14" t="b">
        <f>IF($A438,$M438*(IF(W438=regle!$B$11,regle!$B$23,IF(W438=regle!$C$11,regle!$C$23,IF(W438=regle!$D$11,regle!$D$23,IF(W438=regle!$E$11,regle!$E$23,IF(W438=regle!$F$11,regle!$F$23,IF(W438=regle!$G$11,regle!$G$23,IF(W438=regle!$H$11,regle!$H$23,IF(W438=regle!$I$11,regle!$I$23,IF(W438=regle!$J$11,regle!$J$23,0)))))))))))</f>
        <v>0</v>
      </c>
      <c r="AH438" s="14" t="b">
        <f>IF($A438,$M438*(IF(X438=regle!$B$11,regle!$B$23,IF(X438=regle!$C$11,regle!$C$23,IF(X438=regle!$D$11,regle!$D$23,IF(X438=regle!$E$11,regle!$E$23,IF(X438=regle!$F$11,regle!$F$23,IF(X438=regle!$G$11,regle!$G$23,IF(X438=regle!$H$11,regle!$H$23,IF(X438=regle!$I$11,regle!$I$23,IF(X438=regle!$J$11,regle!$J$23,0)))))))))))</f>
        <v>0</v>
      </c>
      <c r="AI438" s="14" t="b">
        <f>IF($A438,$M438*(IF(Y438=regle!$B$11,regle!$B$23,IF(Y438=regle!$C$11,regle!$C$23,IF(Y438=regle!$D$11,regle!$D$23,IF(Y438=regle!$E$11,regle!$E$23,IF(Y438=regle!$F$11,regle!$F$23,IF(Y438=regle!$G$11,regle!$G$23,IF(Y438=regle!$H$11,regle!$H$23,IF(Y438=regle!$I$11,regle!$I$23,IF(Y438=regle!$J$11,regle!$J$23,0)))))))))))</f>
        <v>0</v>
      </c>
      <c r="AJ438" s="14" t="b">
        <f>IF($A438,$M438*(IF(Z438=regle!$B$11,regle!$B$23,IF(Z438=regle!$C$11,regle!$C$23,IF(Z438=regle!$D$11,regle!$D$23,IF(Z438=regle!$E$11,regle!$E$23,IF(Z438=regle!$F$11,regle!$F$23,IF(Z438=regle!$G$11,regle!$G$23,IF(Z438=regle!$H$11,regle!$H$23,IF(Z438=regle!$I$11,regle!$I$23,IF(Z438=regle!$J$11,regle!$J$23,0)))))))))))</f>
        <v>0</v>
      </c>
      <c r="AK438" s="14" t="b">
        <f>IF($A438,$M438*(IF(AA438=regle!$B$11,regle!$B$23,IF(AA438=regle!$C$11,regle!$C$23,IF(AA438=regle!$D$11,regle!$D$23,IF(AA438=regle!$E$11,regle!$E$23,IF(AA438=regle!$F$11,regle!$F$23,IF(AA438=regle!$G$11,regle!$G$23,IF(AA438=regle!$H$11,regle!$H$23,IF(AA438=regle!$I$11,regle!$I$23,IF(AA438=regle!$J$11,regle!$J$23,0)))))))))))</f>
        <v>0</v>
      </c>
      <c r="AL438" s="14" t="b">
        <f>IF($A438,$M438*(IF(AB438=regle!$B$11,regle!$B$23,IF(AB438=regle!$C$11,regle!$C$23,IF(AB438=regle!$D$11,regle!$D$23,IF(AB438=regle!$E$11,regle!$E$23,IF(AB438=regle!$F$11,regle!$F$23,IF(AB438=regle!$G$11,regle!$G$23,IF(AB438=regle!$H$11,regle!$H$23,IF(AB438=regle!$I$11,regle!$I$23,IF(AB438=regle!$J$11,regle!$J$23,0)))))))))))</f>
        <v>0</v>
      </c>
      <c r="AM438" s="14" t="b">
        <f>IF($A438,$M438*(IF(AC438=regle!$B$11,regle!$B$23,IF(AC438=regle!$C$11,regle!$C$23,IF(AC438=regle!$D$11,regle!$D$23,IF(AC438=regle!$E$11,regle!$E$23,IF(AC438=regle!$F$11,regle!$F$23,IF(AC438=regle!$G$11,regle!$G$23,IF(AC438=regle!$H$11,regle!$H$23,IF(AC438=regle!$I$11,regle!$I$23,IF(AC438=regle!$J$11,regle!$J$23,0)))))))))))</f>
        <v>0</v>
      </c>
      <c r="AN438" s="14" t="b">
        <f>IF($A438,$M438*(IF(AD438=regle!$B$11,regle!$B$23,IF(AD438=regle!$C$11,regle!$C$23,IF(AD438=regle!$D$11,regle!$D$23,IF(AD438=regle!$E$11,regle!$E$23,IF(AD438=regle!$F$11,regle!$F$23,IF(AD438=regle!$G$11,regle!$G$23,IF(AD438=regle!$H$11,regle!$H$23,IF(AD438=regle!$I$11,regle!$I$23,IF(AD438=regle!$J$11,regle!$J$23,0)))))))))))</f>
        <v>0</v>
      </c>
      <c r="AO438">
        <f>IF(AO$1=$AO$1,IF(regle!B$2-$Q438&gt;=regle!$J$12,-2,IF($S438,IF(regle!$B$2-$Q438&gt;=2,0,-1),regle!B$2-$Q438)),IF(AN438+1&gt;=regle!$J$12,-2,AN438+1))</f>
        <v>38</v>
      </c>
      <c r="AP438">
        <f>IF(AP$1=$AO$1,IF(regle!C$2-$Q438&gt;=regle!$J$12,-2,IF($S438,IF(regle!$B$2-$Q438&gt;=2,0,-1),regle!C$2-$Q438)),IF(AO438+1&gt;=regle!$J$12,-2,AO438+1))</f>
        <v>39</v>
      </c>
      <c r="AQ438">
        <f>IF(AQ$1=$AO$1,IF(regle!D$2-$Q438&gt;=regle!$J$12,-2,IF($S438,IF(regle!$B$2-$Q438&gt;=2,0,-1),regle!D$2-$Q438)),IF(AP438+1&gt;=regle!$J$12,-2,AP438+1))</f>
        <v>-2</v>
      </c>
      <c r="AR438">
        <f>IF(AR$1=$AO$1,IF(regle!E$2-$Q438&gt;=regle!$J$12,-2,IF($S438,IF(regle!$B$2-$Q438&gt;=2,0,-1),regle!E$2-$Q438)),IF(AQ438+1&gt;=regle!$J$12,-2,AQ438+1))</f>
        <v>-1</v>
      </c>
      <c r="AS438">
        <f>IF(AS$1=$AO$1,IF(regle!F$2-$Q438&gt;=regle!$J$12,-2,IF($S438,IF(regle!$B$2-$Q438&gt;=2,0,-1),regle!F$2-$Q438)),IF(AR438+1&gt;=regle!$J$12,-2,AR438+1))</f>
        <v>0</v>
      </c>
      <c r="AT438">
        <f>IF(AT$1=$AO$1,IF(regle!G$2-$Q438&gt;=regle!$J$12,-2,IF($S438,IF(regle!$B$2-$Q438&gt;=2,0,-1),regle!G$2-$Q438)),IF(AS438+1&gt;=regle!$J$12,-2,AS438+1))</f>
        <v>1</v>
      </c>
      <c r="AU438">
        <f>IF(AU$1=$AO$1,IF(regle!H$2-$Q438&gt;=regle!$J$12,-2,IF($S438,IF(regle!$B$2-$Q438&gt;=2,0,-1),regle!H$2-$Q438)),IF(AT438+1&gt;=regle!$J$12,-2,AT438+1))</f>
        <v>2</v>
      </c>
      <c r="AV438">
        <f>IF(AV$1=$AO$1,IF(regle!I$2-$Q438&gt;=regle!$J$12,-2,IF($S438,IF(regle!$B$2-$Q438&gt;=2,0,-1),regle!I$2-$Q438)),IF(AU438+1&gt;=regle!$J$12,-2,AU438+1))</f>
        <v>3</v>
      </c>
      <c r="AW438">
        <f>IF(AW$1=$AO$1,IF(regle!J$2-$Q438&gt;=regle!$J$12,-2,IF($S438,IF(regle!$B$2-$Q438&gt;=2,0,-1),regle!J$2-$Q438)),IF(AV438+1&gt;=regle!$J$12,-2,AV438+1))</f>
        <v>4</v>
      </c>
      <c r="AX438">
        <f>IF(AX$1=$AO$1,IF(regle!K$2-$Q438&gt;=regle!$J$12,-2,IF($S438,IF(regle!$B$2-$Q438&gt;=2,0,-1),regle!K$2-$Q438)),IF(AW438+1&gt;=regle!$J$12,-2,AW438+1))</f>
        <v>5</v>
      </c>
    </row>
    <row r="439" spans="1:50" x14ac:dyDescent="0.25">
      <c r="A439" t="b">
        <f>AND(modif0[[#This Row],[cdstr]]&lt;&gt;0,OR(regle!$H$27=FALSE,modif0[[#This Row],[essnc]]="PM"))</f>
        <v>0</v>
      </c>
      <c r="B439">
        <f>ROW(objet!A430)</f>
        <v>430</v>
      </c>
      <c r="C439" s="10" t="str">
        <f>objet!D430</f>
        <v>2000000N0154</v>
      </c>
      <c r="D439" t="str">
        <f>LEFT(modif0[[#This Row],[cdstr]],3)</f>
        <v>200</v>
      </c>
      <c r="E439" s="10" t="str">
        <f>objet!G430</f>
        <v>MOUSTEY</v>
      </c>
      <c r="F439">
        <f>LEN(modif0[[#This Row],[l_dt]])</f>
        <v>9</v>
      </c>
      <c r="G439" s="10" t="str">
        <f>objet!H430</f>
        <v>Peyroulet</v>
      </c>
      <c r="H439" s="10" t="str">
        <f>objet!C430</f>
        <v>N154</v>
      </c>
      <c r="I439" t="str">
        <f>IF(ISNUMBER(VALUE(RIGHT(LEFT(modif0[[#This Row],[idntfn]],2),1))),_xlfn.CONCAT(0,LEFT(modif0[[#This Row],[idntfn]],1)),LEFT(modif0[[#This Row],[idntfn]],2))</f>
        <v>0N</v>
      </c>
      <c r="J439">
        <f>VALUE(LEFT(RIGHT(modif0[[#This Row],[idntfn]],LEN(modif0[[#This Row],[idntfn]])-IF(LEFT(modif0[[#This Row],[sctn]],1)="0",1,2)),LEN(modif0[[#This Row],[idntfn]])-IF(LEFT(modif0[[#This Row],[sctn]],1)="0",1,2)-LEN(modif0[[#This Row],[lttr]])))</f>
        <v>154</v>
      </c>
      <c r="K439" t="str">
        <f>IF(ISNUMBER(VALUE(RIGHT(modif0[[#This Row],[idntfn]],1))),"",IF(ISNUMBER(VALUE(LEFT(RIGHT(modif0[[#This Row],[idntfn]],2),1))),RIGHT(modif0[[#This Row],[idntfn]],1),RIGHT(modif0[[#This Row],[idntfn]],2)))</f>
        <v/>
      </c>
      <c r="L439" s="10">
        <f>objet!I430</f>
        <v>1655</v>
      </c>
      <c r="M439" s="11">
        <f>modif0[[#This Row],[srfc]]/10000</f>
        <v>0.16550000000000001</v>
      </c>
      <c r="N439" s="10" t="str">
        <f>objet!Z430</f>
        <v>FEUIL</v>
      </c>
      <c r="O439" s="10" t="str">
        <f>objet!AA430</f>
        <v>TAIL1986</v>
      </c>
      <c r="P439" t="str">
        <f>IF(ISNUMBER(modif0[[#This Row],[trvx]]),"",LEFT(modif0[[#This Row],[trvx]],LEN(modif0[[#This Row],[trvx]])-4))</f>
        <v>TAIL</v>
      </c>
      <c r="Q439">
        <f>VALUE(RIGHT(modif0[[#This Row],[trvx]],4))</f>
        <v>1986</v>
      </c>
      <c r="R439" t="str">
        <f>_xlfn.CONCAT(modif0[[#This Row],[tp]],"-",modif0[[#This Row],[essnc]],"_",modif0[[#This Row],[anns]])</f>
        <v>TAIL-FEUIL_1986</v>
      </c>
      <c r="S439" t="b">
        <f>modif0[[#This Row],[tp]]="CR"</f>
        <v>0</v>
      </c>
      <c r="T439">
        <v>40</v>
      </c>
      <c r="U439" t="str">
        <f>IF(NOT($A439),"",
IF(AO439=-2,regle!$J$11,
IF(AO439=regle!$B$12,regle!$B$11,
IF(AO439=regle!$C$12,regle!$C$11,
IF(AO439=regle!$D$12,regle!$D$11,
IF(AO439=regle!$E$12,regle!$E$11,
IF(AO439=regle!$F$12,regle!$F$11,
IF(AO439=regle!$G$12,regle!$G$11,
IF(AO439=regle!$H$12,regle!$H$11,
IF(AO439=regle!$I$12,regle!$I$11,""))))))))))</f>
        <v/>
      </c>
      <c r="V439" t="str">
        <f>IF(NOT($A439),"",
IF(AP439=-2,regle!$J$11,
IF(AP439=regle!$B$12,regle!$B$11,
IF(AP439=regle!$C$12,regle!$C$11,
IF(AP439=regle!$D$12,regle!$D$11,
IF(AP439=regle!$E$12,regle!$E$11,
IF(AP439=regle!$F$12,regle!$F$11,
IF(AP439=regle!$G$12,regle!$G$11,
IF(AP439=regle!$H$12,regle!$H$11,
IF(AP439=regle!$I$12,regle!$I$11,""))))))))))</f>
        <v/>
      </c>
      <c r="W439" t="str">
        <f>IF(NOT($A439),"",
IF(AQ439=-2,regle!$J$11,
IF(AQ439=regle!$B$12,regle!$B$11,
IF(AQ439=regle!$C$12,regle!$C$11,
IF(AQ439=regle!$D$12,regle!$D$11,
IF(AQ439=regle!$E$12,regle!$E$11,
IF(AQ439=regle!$F$12,regle!$F$11,
IF(AQ439=regle!$G$12,regle!$G$11,
IF(AQ439=regle!$H$12,regle!$H$11,
IF(AQ439=regle!$I$12,regle!$I$11,""))))))))))</f>
        <v/>
      </c>
      <c r="X439" t="str">
        <f>IF(NOT($A439),"",
IF(AR439=-2,regle!$J$11,
IF(AR439=regle!$B$12,regle!$B$11,
IF(AR439=regle!$C$12,regle!$C$11,
IF(AR439=regle!$D$12,regle!$D$11,
IF(AR439=regle!$E$12,regle!$E$11,
IF(AR439=regle!$F$12,regle!$F$11,
IF(AR439=regle!$G$12,regle!$G$11,
IF(AR439=regle!$H$12,regle!$H$11,
IF(AR439=regle!$I$12,regle!$I$11,""))))))))))</f>
        <v/>
      </c>
      <c r="Y439" t="str">
        <f>IF(NOT($A439),"",
IF(AS439=-2,regle!$J$11,
IF(AS439=regle!$B$12,regle!$B$11,
IF(AS439=regle!$C$12,regle!$C$11,
IF(AS439=regle!$D$12,regle!$D$11,
IF(AS439=regle!$E$12,regle!$E$11,
IF(AS439=regle!$F$12,regle!$F$11,
IF(AS439=regle!$G$12,regle!$G$11,
IF(AS439=regle!$H$12,regle!$H$11,
IF(AS439=regle!$I$12,regle!$I$11,""))))))))))</f>
        <v/>
      </c>
      <c r="Z439" t="str">
        <f>IF(NOT($A439),"",
IF(AT439=-2,regle!$J$11,
IF(AT439=regle!$B$12,regle!$B$11,
IF(AT439=regle!$C$12,regle!$C$11,
IF(AT439=regle!$D$12,regle!$D$11,
IF(AT439=regle!$E$12,regle!$E$11,
IF(AT439=regle!$F$12,regle!$F$11,
IF(AT439=regle!$G$12,regle!$G$11,
IF(AT439=regle!$H$12,regle!$H$11,
IF(AT439=regle!$I$12,regle!$I$11,""))))))))))</f>
        <v/>
      </c>
      <c r="AA439" t="str">
        <f>IF(NOT($A439),"",
IF(AU439=-2,regle!$J$11,
IF(AU439=regle!$B$12,regle!$B$11,
IF(AU439=regle!$C$12,regle!$C$11,
IF(AU439=regle!$D$12,regle!$D$11,
IF(AU439=regle!$E$12,regle!$E$11,
IF(AU439=regle!$F$12,regle!$F$11,
IF(AU439=regle!$G$12,regle!$G$11,
IF(AU439=regle!$H$12,regle!$H$11,
IF(AU439=regle!$I$12,regle!$I$11,""))))))))))</f>
        <v/>
      </c>
      <c r="AB439" t="str">
        <f>IF(NOT($A439),"",
IF(AV439=-2,regle!$J$11,
IF(AV439=regle!$B$12,regle!$B$11,
IF(AV439=regle!$C$12,regle!$C$11,
IF(AV439=regle!$D$12,regle!$D$11,
IF(AV439=regle!$E$12,regle!$E$11,
IF(AV439=regle!$F$12,regle!$F$11,
IF(AV439=regle!$G$12,regle!$G$11,
IF(AV439=regle!$H$12,regle!$H$11,
IF(AV439=regle!$I$12,regle!$I$11,""))))))))))</f>
        <v/>
      </c>
      <c r="AC439" t="str">
        <f>IF(NOT($A439),"",
IF(AW439=-2,regle!$J$11,
IF(AW439=regle!$B$12,regle!$B$11,
IF(AW439=regle!$C$12,regle!$C$11,
IF(AW439=regle!$D$12,regle!$D$11,
IF(AW439=regle!$E$12,regle!$E$11,
IF(AW439=regle!$F$12,regle!$F$11,
IF(AW439=regle!$G$12,regle!$G$11,
IF(AW439=regle!$H$12,regle!$H$11,
IF(AW439=regle!$I$12,regle!$I$11,""))))))))))</f>
        <v/>
      </c>
      <c r="AD439" t="str">
        <f>IF(NOT($A439),"",
IF(AX439=-2,regle!$J$11,
IF(AX439=regle!$B$12,regle!$B$11,
IF(AX439=regle!$C$12,regle!$C$11,
IF(AX439=regle!$D$12,regle!$D$11,
IF(AX439=regle!$E$12,regle!$E$11,
IF(AX439=regle!$F$12,regle!$F$11,
IF(AX439=regle!$G$12,regle!$G$11,
IF(AX439=regle!$H$12,regle!$H$11,
IF(AX439=regle!$I$12,regle!$I$11,""))))))))))</f>
        <v/>
      </c>
      <c r="AE439" s="14" t="b">
        <f>IF($A439,$M439*(IF(U439=regle!$B$11,regle!$B$23,IF(U439=regle!$C$11,regle!$C$23,IF(U439=regle!$D$11,regle!$D$23,IF(U439=regle!$E$11,regle!$E$23,IF(U439=regle!$F$11,regle!$F$23,IF(U439=regle!$G$11,regle!$G$23,IF(U439=regle!$H$11,regle!$H$23,IF(U439=regle!$I$11,regle!$I$23,IF(U439=regle!$J$11,regle!$J$23,0)))))))))))</f>
        <v>0</v>
      </c>
      <c r="AF439" s="14" t="b">
        <f>IF($A439,$M439*(IF(V439=regle!$B$11,regle!$B$23,IF(V439=regle!$C$11,regle!$C$23,IF(V439=regle!$D$11,regle!$D$23,IF(V439=regle!$E$11,regle!$E$23,IF(V439=regle!$F$11,regle!$F$23,IF(V439=regle!$G$11,regle!$G$23,IF(V439=regle!$H$11,regle!$H$23,IF(V439=regle!$I$11,regle!$I$23,IF(V439=regle!$J$11,regle!$J$23,0)))))))))))</f>
        <v>0</v>
      </c>
      <c r="AG439" s="14" t="b">
        <f>IF($A439,$M439*(IF(W439=regle!$B$11,regle!$B$23,IF(W439=regle!$C$11,regle!$C$23,IF(W439=regle!$D$11,regle!$D$23,IF(W439=regle!$E$11,regle!$E$23,IF(W439=regle!$F$11,regle!$F$23,IF(W439=regle!$G$11,regle!$G$23,IF(W439=regle!$H$11,regle!$H$23,IF(W439=regle!$I$11,regle!$I$23,IF(W439=regle!$J$11,regle!$J$23,0)))))))))))</f>
        <v>0</v>
      </c>
      <c r="AH439" s="14" t="b">
        <f>IF($A439,$M439*(IF(X439=regle!$B$11,regle!$B$23,IF(X439=regle!$C$11,regle!$C$23,IF(X439=regle!$D$11,regle!$D$23,IF(X439=regle!$E$11,regle!$E$23,IF(X439=regle!$F$11,regle!$F$23,IF(X439=regle!$G$11,regle!$G$23,IF(X439=regle!$H$11,regle!$H$23,IF(X439=regle!$I$11,regle!$I$23,IF(X439=regle!$J$11,regle!$J$23,0)))))))))))</f>
        <v>0</v>
      </c>
      <c r="AI439" s="14" t="b">
        <f>IF($A439,$M439*(IF(Y439=regle!$B$11,regle!$B$23,IF(Y439=regle!$C$11,regle!$C$23,IF(Y439=regle!$D$11,regle!$D$23,IF(Y439=regle!$E$11,regle!$E$23,IF(Y439=regle!$F$11,regle!$F$23,IF(Y439=regle!$G$11,regle!$G$23,IF(Y439=regle!$H$11,regle!$H$23,IF(Y439=regle!$I$11,regle!$I$23,IF(Y439=regle!$J$11,regle!$J$23,0)))))))))))</f>
        <v>0</v>
      </c>
      <c r="AJ439" s="14" t="b">
        <f>IF($A439,$M439*(IF(Z439=regle!$B$11,regle!$B$23,IF(Z439=regle!$C$11,regle!$C$23,IF(Z439=regle!$D$11,regle!$D$23,IF(Z439=regle!$E$11,regle!$E$23,IF(Z439=regle!$F$11,regle!$F$23,IF(Z439=regle!$G$11,regle!$G$23,IF(Z439=regle!$H$11,regle!$H$23,IF(Z439=regle!$I$11,regle!$I$23,IF(Z439=regle!$J$11,regle!$J$23,0)))))))))))</f>
        <v>0</v>
      </c>
      <c r="AK439" s="14" t="b">
        <f>IF($A439,$M439*(IF(AA439=regle!$B$11,regle!$B$23,IF(AA439=regle!$C$11,regle!$C$23,IF(AA439=regle!$D$11,regle!$D$23,IF(AA439=regle!$E$11,regle!$E$23,IF(AA439=regle!$F$11,regle!$F$23,IF(AA439=regle!$G$11,regle!$G$23,IF(AA439=regle!$H$11,regle!$H$23,IF(AA439=regle!$I$11,regle!$I$23,IF(AA439=regle!$J$11,regle!$J$23,0)))))))))))</f>
        <v>0</v>
      </c>
      <c r="AL439" s="14" t="b">
        <f>IF($A439,$M439*(IF(AB439=regle!$B$11,regle!$B$23,IF(AB439=regle!$C$11,regle!$C$23,IF(AB439=regle!$D$11,regle!$D$23,IF(AB439=regle!$E$11,regle!$E$23,IF(AB439=regle!$F$11,regle!$F$23,IF(AB439=regle!$G$11,regle!$G$23,IF(AB439=regle!$H$11,regle!$H$23,IF(AB439=regle!$I$11,regle!$I$23,IF(AB439=regle!$J$11,regle!$J$23,0)))))))))))</f>
        <v>0</v>
      </c>
      <c r="AM439" s="14" t="b">
        <f>IF($A439,$M439*(IF(AC439=regle!$B$11,regle!$B$23,IF(AC439=regle!$C$11,regle!$C$23,IF(AC439=regle!$D$11,regle!$D$23,IF(AC439=regle!$E$11,regle!$E$23,IF(AC439=regle!$F$11,regle!$F$23,IF(AC439=regle!$G$11,regle!$G$23,IF(AC439=regle!$H$11,regle!$H$23,IF(AC439=regle!$I$11,regle!$I$23,IF(AC439=regle!$J$11,regle!$J$23,0)))))))))))</f>
        <v>0</v>
      </c>
      <c r="AN439" s="14" t="b">
        <f>IF($A439,$M439*(IF(AD439=regle!$B$11,regle!$B$23,IF(AD439=regle!$C$11,regle!$C$23,IF(AD439=regle!$D$11,regle!$D$23,IF(AD439=regle!$E$11,regle!$E$23,IF(AD439=regle!$F$11,regle!$F$23,IF(AD439=regle!$G$11,regle!$G$23,IF(AD439=regle!$H$11,regle!$H$23,IF(AD439=regle!$I$11,regle!$I$23,IF(AD439=regle!$J$11,regle!$J$23,0)))))))))))</f>
        <v>0</v>
      </c>
      <c r="AO439">
        <f>IF(AO$1=$AO$1,IF(regle!B$2-$Q439&gt;=regle!$J$12,-2,IF($S439,IF(regle!$B$2-$Q439&gt;=2,0,-1),regle!B$2-$Q439)),IF(AN439+1&gt;=regle!$J$12,-2,AN439+1))</f>
        <v>38</v>
      </c>
      <c r="AP439">
        <f>IF(AP$1=$AO$1,IF(regle!C$2-$Q439&gt;=regle!$J$12,-2,IF($S439,IF(regle!$B$2-$Q439&gt;=2,0,-1),regle!C$2-$Q439)),IF(AO439+1&gt;=regle!$J$12,-2,AO439+1))</f>
        <v>39</v>
      </c>
      <c r="AQ439">
        <f>IF(AQ$1=$AO$1,IF(regle!D$2-$Q439&gt;=regle!$J$12,-2,IF($S439,IF(regle!$B$2-$Q439&gt;=2,0,-1),regle!D$2-$Q439)),IF(AP439+1&gt;=regle!$J$12,-2,AP439+1))</f>
        <v>-2</v>
      </c>
      <c r="AR439">
        <f>IF(AR$1=$AO$1,IF(regle!E$2-$Q439&gt;=regle!$J$12,-2,IF($S439,IF(regle!$B$2-$Q439&gt;=2,0,-1),regle!E$2-$Q439)),IF(AQ439+1&gt;=regle!$J$12,-2,AQ439+1))</f>
        <v>-1</v>
      </c>
      <c r="AS439">
        <f>IF(AS$1=$AO$1,IF(regle!F$2-$Q439&gt;=regle!$J$12,-2,IF($S439,IF(regle!$B$2-$Q439&gt;=2,0,-1),regle!F$2-$Q439)),IF(AR439+1&gt;=regle!$J$12,-2,AR439+1))</f>
        <v>0</v>
      </c>
      <c r="AT439">
        <f>IF(AT$1=$AO$1,IF(regle!G$2-$Q439&gt;=regle!$J$12,-2,IF($S439,IF(regle!$B$2-$Q439&gt;=2,0,-1),regle!G$2-$Q439)),IF(AS439+1&gt;=regle!$J$12,-2,AS439+1))</f>
        <v>1</v>
      </c>
      <c r="AU439">
        <f>IF(AU$1=$AO$1,IF(regle!H$2-$Q439&gt;=regle!$J$12,-2,IF($S439,IF(regle!$B$2-$Q439&gt;=2,0,-1),regle!H$2-$Q439)),IF(AT439+1&gt;=regle!$J$12,-2,AT439+1))</f>
        <v>2</v>
      </c>
      <c r="AV439">
        <f>IF(AV$1=$AO$1,IF(regle!I$2-$Q439&gt;=regle!$J$12,-2,IF($S439,IF(regle!$B$2-$Q439&gt;=2,0,-1),regle!I$2-$Q439)),IF(AU439+1&gt;=regle!$J$12,-2,AU439+1))</f>
        <v>3</v>
      </c>
      <c r="AW439">
        <f>IF(AW$1=$AO$1,IF(regle!J$2-$Q439&gt;=regle!$J$12,-2,IF($S439,IF(regle!$B$2-$Q439&gt;=2,0,-1),regle!J$2-$Q439)),IF(AV439+1&gt;=regle!$J$12,-2,AV439+1))</f>
        <v>4</v>
      </c>
      <c r="AX439">
        <f>IF(AX$1=$AO$1,IF(regle!K$2-$Q439&gt;=regle!$J$12,-2,IF($S439,IF(regle!$B$2-$Q439&gt;=2,0,-1),regle!K$2-$Q439)),IF(AW439+1&gt;=regle!$J$12,-2,AW439+1))</f>
        <v>5</v>
      </c>
    </row>
    <row r="440" spans="1:50" x14ac:dyDescent="0.25">
      <c r="A440" t="b">
        <f>AND(modif0[[#This Row],[cdstr]]&lt;&gt;0,OR(regle!$H$27=FALSE,modif0[[#This Row],[essnc]]="PM"))</f>
        <v>0</v>
      </c>
      <c r="B440">
        <f>ROW(objet!A433)</f>
        <v>433</v>
      </c>
      <c r="C440" s="10" t="str">
        <f>objet!D433</f>
        <v>2000000N0161</v>
      </c>
      <c r="D440" t="str">
        <f>LEFT(modif0[[#This Row],[cdstr]],3)</f>
        <v>200</v>
      </c>
      <c r="E440" s="10" t="str">
        <f>objet!G433</f>
        <v>MOUSTEY</v>
      </c>
      <c r="F440">
        <f>LEN(modif0[[#This Row],[l_dt]])</f>
        <v>9</v>
      </c>
      <c r="G440" s="10" t="str">
        <f>objet!H433</f>
        <v>Peyroulet</v>
      </c>
      <c r="H440" s="10" t="str">
        <f>objet!C433</f>
        <v>N161c</v>
      </c>
      <c r="I440" t="str">
        <f>IF(ISNUMBER(VALUE(RIGHT(LEFT(modif0[[#This Row],[idntfn]],2),1))),_xlfn.CONCAT(0,LEFT(modif0[[#This Row],[idntfn]],1)),LEFT(modif0[[#This Row],[idntfn]],2))</f>
        <v>0N</v>
      </c>
      <c r="J440">
        <f>VALUE(LEFT(RIGHT(modif0[[#This Row],[idntfn]],LEN(modif0[[#This Row],[idntfn]])-IF(LEFT(modif0[[#This Row],[sctn]],1)="0",1,2)),LEN(modif0[[#This Row],[idntfn]])-IF(LEFT(modif0[[#This Row],[sctn]],1)="0",1,2)-LEN(modif0[[#This Row],[lttr]])))</f>
        <v>161</v>
      </c>
      <c r="K440" t="str">
        <f>IF(ISNUMBER(VALUE(RIGHT(modif0[[#This Row],[idntfn]],1))),"",IF(ISNUMBER(VALUE(LEFT(RIGHT(modif0[[#This Row],[idntfn]],2),1))),RIGHT(modif0[[#This Row],[idntfn]],1),RIGHT(modif0[[#This Row],[idntfn]],2)))</f>
        <v>c</v>
      </c>
      <c r="L440" s="10">
        <f>objet!I433</f>
        <v>4208</v>
      </c>
      <c r="M440" s="11">
        <f>modif0[[#This Row],[srfc]]/10000</f>
        <v>0.42080000000000001</v>
      </c>
      <c r="N440" s="10" t="str">
        <f>objet!Z433</f>
        <v>FEUIL</v>
      </c>
      <c r="O440" s="10" t="str">
        <f>objet!AA433</f>
        <v>TAIL1986</v>
      </c>
      <c r="P440" t="str">
        <f>IF(ISNUMBER(modif0[[#This Row],[trvx]]),"",LEFT(modif0[[#This Row],[trvx]],LEN(modif0[[#This Row],[trvx]])-4))</f>
        <v>TAIL</v>
      </c>
      <c r="Q440">
        <f>VALUE(RIGHT(modif0[[#This Row],[trvx]],4))</f>
        <v>1986</v>
      </c>
      <c r="R440" t="str">
        <f>_xlfn.CONCAT(modif0[[#This Row],[tp]],"-",modif0[[#This Row],[essnc]],"_",modif0[[#This Row],[anns]])</f>
        <v>TAIL-FEUIL_1986</v>
      </c>
      <c r="S440" t="b">
        <f>modif0[[#This Row],[tp]]="CR"</f>
        <v>0</v>
      </c>
      <c r="T440">
        <v>40</v>
      </c>
      <c r="U440" t="str">
        <f>IF(NOT($A440),"",
IF(AO440=-2,regle!$J$11,
IF(AO440=regle!$B$12,regle!$B$11,
IF(AO440=regle!$C$12,regle!$C$11,
IF(AO440=regle!$D$12,regle!$D$11,
IF(AO440=regle!$E$12,regle!$E$11,
IF(AO440=regle!$F$12,regle!$F$11,
IF(AO440=regle!$G$12,regle!$G$11,
IF(AO440=regle!$H$12,regle!$H$11,
IF(AO440=regle!$I$12,regle!$I$11,""))))))))))</f>
        <v/>
      </c>
      <c r="V440" t="str">
        <f>IF(NOT($A440),"",
IF(AP440=-2,regle!$J$11,
IF(AP440=regle!$B$12,regle!$B$11,
IF(AP440=regle!$C$12,regle!$C$11,
IF(AP440=regle!$D$12,regle!$D$11,
IF(AP440=regle!$E$12,regle!$E$11,
IF(AP440=regle!$F$12,regle!$F$11,
IF(AP440=regle!$G$12,regle!$G$11,
IF(AP440=regle!$H$12,regle!$H$11,
IF(AP440=regle!$I$12,regle!$I$11,""))))))))))</f>
        <v/>
      </c>
      <c r="W440" t="str">
        <f>IF(NOT($A440),"",
IF(AQ440=-2,regle!$J$11,
IF(AQ440=regle!$B$12,regle!$B$11,
IF(AQ440=regle!$C$12,regle!$C$11,
IF(AQ440=regle!$D$12,regle!$D$11,
IF(AQ440=regle!$E$12,regle!$E$11,
IF(AQ440=regle!$F$12,regle!$F$11,
IF(AQ440=regle!$G$12,regle!$G$11,
IF(AQ440=regle!$H$12,regle!$H$11,
IF(AQ440=regle!$I$12,regle!$I$11,""))))))))))</f>
        <v/>
      </c>
      <c r="X440" t="str">
        <f>IF(NOT($A440),"",
IF(AR440=-2,regle!$J$11,
IF(AR440=regle!$B$12,regle!$B$11,
IF(AR440=regle!$C$12,regle!$C$11,
IF(AR440=regle!$D$12,regle!$D$11,
IF(AR440=regle!$E$12,regle!$E$11,
IF(AR440=regle!$F$12,regle!$F$11,
IF(AR440=regle!$G$12,regle!$G$11,
IF(AR440=regle!$H$12,regle!$H$11,
IF(AR440=regle!$I$12,regle!$I$11,""))))))))))</f>
        <v/>
      </c>
      <c r="Y440" t="str">
        <f>IF(NOT($A440),"",
IF(AS440=-2,regle!$J$11,
IF(AS440=regle!$B$12,regle!$B$11,
IF(AS440=regle!$C$12,regle!$C$11,
IF(AS440=regle!$D$12,regle!$D$11,
IF(AS440=regle!$E$12,regle!$E$11,
IF(AS440=regle!$F$12,regle!$F$11,
IF(AS440=regle!$G$12,regle!$G$11,
IF(AS440=regle!$H$12,regle!$H$11,
IF(AS440=regle!$I$12,regle!$I$11,""))))))))))</f>
        <v/>
      </c>
      <c r="Z440" t="str">
        <f>IF(NOT($A440),"",
IF(AT440=-2,regle!$J$11,
IF(AT440=regle!$B$12,regle!$B$11,
IF(AT440=regle!$C$12,regle!$C$11,
IF(AT440=regle!$D$12,regle!$D$11,
IF(AT440=regle!$E$12,regle!$E$11,
IF(AT440=regle!$F$12,regle!$F$11,
IF(AT440=regle!$G$12,regle!$G$11,
IF(AT440=regle!$H$12,regle!$H$11,
IF(AT440=regle!$I$12,regle!$I$11,""))))))))))</f>
        <v/>
      </c>
      <c r="AA440" t="str">
        <f>IF(NOT($A440),"",
IF(AU440=-2,regle!$J$11,
IF(AU440=regle!$B$12,regle!$B$11,
IF(AU440=regle!$C$12,regle!$C$11,
IF(AU440=regle!$D$12,regle!$D$11,
IF(AU440=regle!$E$12,regle!$E$11,
IF(AU440=regle!$F$12,regle!$F$11,
IF(AU440=regle!$G$12,regle!$G$11,
IF(AU440=regle!$H$12,regle!$H$11,
IF(AU440=regle!$I$12,regle!$I$11,""))))))))))</f>
        <v/>
      </c>
      <c r="AB440" t="str">
        <f>IF(NOT($A440),"",
IF(AV440=-2,regle!$J$11,
IF(AV440=regle!$B$12,regle!$B$11,
IF(AV440=regle!$C$12,regle!$C$11,
IF(AV440=regle!$D$12,regle!$D$11,
IF(AV440=regle!$E$12,regle!$E$11,
IF(AV440=regle!$F$12,regle!$F$11,
IF(AV440=regle!$G$12,regle!$G$11,
IF(AV440=regle!$H$12,regle!$H$11,
IF(AV440=regle!$I$12,regle!$I$11,""))))))))))</f>
        <v/>
      </c>
      <c r="AC440" t="str">
        <f>IF(NOT($A440),"",
IF(AW440=-2,regle!$J$11,
IF(AW440=regle!$B$12,regle!$B$11,
IF(AW440=regle!$C$12,regle!$C$11,
IF(AW440=regle!$D$12,regle!$D$11,
IF(AW440=regle!$E$12,regle!$E$11,
IF(AW440=regle!$F$12,regle!$F$11,
IF(AW440=regle!$G$12,regle!$G$11,
IF(AW440=regle!$H$12,regle!$H$11,
IF(AW440=regle!$I$12,regle!$I$11,""))))))))))</f>
        <v/>
      </c>
      <c r="AD440" t="str">
        <f>IF(NOT($A440),"",
IF(AX440=-2,regle!$J$11,
IF(AX440=regle!$B$12,regle!$B$11,
IF(AX440=regle!$C$12,regle!$C$11,
IF(AX440=regle!$D$12,regle!$D$11,
IF(AX440=regle!$E$12,regle!$E$11,
IF(AX440=regle!$F$12,regle!$F$11,
IF(AX440=regle!$G$12,regle!$G$11,
IF(AX440=regle!$H$12,regle!$H$11,
IF(AX440=regle!$I$12,regle!$I$11,""))))))))))</f>
        <v/>
      </c>
      <c r="AE440" s="14" t="b">
        <f>IF($A440,$M440*(IF(U440=regle!$B$11,regle!$B$23,IF(U440=regle!$C$11,regle!$C$23,IF(U440=regle!$D$11,regle!$D$23,IF(U440=regle!$E$11,regle!$E$23,IF(U440=regle!$F$11,regle!$F$23,IF(U440=regle!$G$11,regle!$G$23,IF(U440=regle!$H$11,regle!$H$23,IF(U440=regle!$I$11,regle!$I$23,IF(U440=regle!$J$11,regle!$J$23,0)))))))))))</f>
        <v>0</v>
      </c>
      <c r="AF440" s="14" t="b">
        <f>IF($A440,$M440*(IF(V440=regle!$B$11,regle!$B$23,IF(V440=regle!$C$11,regle!$C$23,IF(V440=regle!$D$11,regle!$D$23,IF(V440=regle!$E$11,regle!$E$23,IF(V440=regle!$F$11,regle!$F$23,IF(V440=regle!$G$11,regle!$G$23,IF(V440=regle!$H$11,regle!$H$23,IF(V440=regle!$I$11,regle!$I$23,IF(V440=regle!$J$11,regle!$J$23,0)))))))))))</f>
        <v>0</v>
      </c>
      <c r="AG440" s="14" t="b">
        <f>IF($A440,$M440*(IF(W440=regle!$B$11,regle!$B$23,IF(W440=regle!$C$11,regle!$C$23,IF(W440=regle!$D$11,regle!$D$23,IF(W440=regle!$E$11,regle!$E$23,IF(W440=regle!$F$11,regle!$F$23,IF(W440=regle!$G$11,regle!$G$23,IF(W440=regle!$H$11,regle!$H$23,IF(W440=regle!$I$11,regle!$I$23,IF(W440=regle!$J$11,regle!$J$23,0)))))))))))</f>
        <v>0</v>
      </c>
      <c r="AH440" s="14" t="b">
        <f>IF($A440,$M440*(IF(X440=regle!$B$11,regle!$B$23,IF(X440=regle!$C$11,regle!$C$23,IF(X440=regle!$D$11,regle!$D$23,IF(X440=regle!$E$11,regle!$E$23,IF(X440=regle!$F$11,regle!$F$23,IF(X440=regle!$G$11,regle!$G$23,IF(X440=regle!$H$11,regle!$H$23,IF(X440=regle!$I$11,regle!$I$23,IF(X440=regle!$J$11,regle!$J$23,0)))))))))))</f>
        <v>0</v>
      </c>
      <c r="AI440" s="14" t="b">
        <f>IF($A440,$M440*(IF(Y440=regle!$B$11,regle!$B$23,IF(Y440=regle!$C$11,regle!$C$23,IF(Y440=regle!$D$11,regle!$D$23,IF(Y440=regle!$E$11,regle!$E$23,IF(Y440=regle!$F$11,regle!$F$23,IF(Y440=regle!$G$11,regle!$G$23,IF(Y440=regle!$H$11,regle!$H$23,IF(Y440=regle!$I$11,regle!$I$23,IF(Y440=regle!$J$11,regle!$J$23,0)))))))))))</f>
        <v>0</v>
      </c>
      <c r="AJ440" s="14" t="b">
        <f>IF($A440,$M440*(IF(Z440=regle!$B$11,regle!$B$23,IF(Z440=regle!$C$11,regle!$C$23,IF(Z440=regle!$D$11,regle!$D$23,IF(Z440=regle!$E$11,regle!$E$23,IF(Z440=regle!$F$11,regle!$F$23,IF(Z440=regle!$G$11,regle!$G$23,IF(Z440=regle!$H$11,regle!$H$23,IF(Z440=regle!$I$11,regle!$I$23,IF(Z440=regle!$J$11,regle!$J$23,0)))))))))))</f>
        <v>0</v>
      </c>
      <c r="AK440" s="14" t="b">
        <f>IF($A440,$M440*(IF(AA440=regle!$B$11,regle!$B$23,IF(AA440=regle!$C$11,regle!$C$23,IF(AA440=regle!$D$11,regle!$D$23,IF(AA440=regle!$E$11,regle!$E$23,IF(AA440=regle!$F$11,regle!$F$23,IF(AA440=regle!$G$11,regle!$G$23,IF(AA440=regle!$H$11,regle!$H$23,IF(AA440=regle!$I$11,regle!$I$23,IF(AA440=regle!$J$11,regle!$J$23,0)))))))))))</f>
        <v>0</v>
      </c>
      <c r="AL440" s="14" t="b">
        <f>IF($A440,$M440*(IF(AB440=regle!$B$11,regle!$B$23,IF(AB440=regle!$C$11,regle!$C$23,IF(AB440=regle!$D$11,regle!$D$23,IF(AB440=regle!$E$11,regle!$E$23,IF(AB440=regle!$F$11,regle!$F$23,IF(AB440=regle!$G$11,regle!$G$23,IF(AB440=regle!$H$11,regle!$H$23,IF(AB440=regle!$I$11,regle!$I$23,IF(AB440=regle!$J$11,regle!$J$23,0)))))))))))</f>
        <v>0</v>
      </c>
      <c r="AM440" s="14" t="b">
        <f>IF($A440,$M440*(IF(AC440=regle!$B$11,regle!$B$23,IF(AC440=regle!$C$11,regle!$C$23,IF(AC440=regle!$D$11,regle!$D$23,IF(AC440=regle!$E$11,regle!$E$23,IF(AC440=regle!$F$11,regle!$F$23,IF(AC440=regle!$G$11,regle!$G$23,IF(AC440=regle!$H$11,regle!$H$23,IF(AC440=regle!$I$11,regle!$I$23,IF(AC440=regle!$J$11,regle!$J$23,0)))))))))))</f>
        <v>0</v>
      </c>
      <c r="AN440" s="14" t="b">
        <f>IF($A440,$M440*(IF(AD440=regle!$B$11,regle!$B$23,IF(AD440=regle!$C$11,regle!$C$23,IF(AD440=regle!$D$11,regle!$D$23,IF(AD440=regle!$E$11,regle!$E$23,IF(AD440=regle!$F$11,regle!$F$23,IF(AD440=regle!$G$11,regle!$G$23,IF(AD440=regle!$H$11,regle!$H$23,IF(AD440=regle!$I$11,regle!$I$23,IF(AD440=regle!$J$11,regle!$J$23,0)))))))))))</f>
        <v>0</v>
      </c>
      <c r="AO440">
        <f>IF(AO$1=$AO$1,IF(regle!B$2-$Q440&gt;=regle!$J$12,-2,IF($S440,IF(regle!$B$2-$Q440&gt;=2,0,-1),regle!B$2-$Q440)),IF(AN440+1&gt;=regle!$J$12,-2,AN440+1))</f>
        <v>38</v>
      </c>
      <c r="AP440">
        <f>IF(AP$1=$AO$1,IF(regle!C$2-$Q440&gt;=regle!$J$12,-2,IF($S440,IF(regle!$B$2-$Q440&gt;=2,0,-1),regle!C$2-$Q440)),IF(AO440+1&gt;=regle!$J$12,-2,AO440+1))</f>
        <v>39</v>
      </c>
      <c r="AQ440">
        <f>IF(AQ$1=$AO$1,IF(regle!D$2-$Q440&gt;=regle!$J$12,-2,IF($S440,IF(regle!$B$2-$Q440&gt;=2,0,-1),regle!D$2-$Q440)),IF(AP440+1&gt;=regle!$J$12,-2,AP440+1))</f>
        <v>-2</v>
      </c>
      <c r="AR440">
        <f>IF(AR$1=$AO$1,IF(regle!E$2-$Q440&gt;=regle!$J$12,-2,IF($S440,IF(regle!$B$2-$Q440&gt;=2,0,-1),regle!E$2-$Q440)),IF(AQ440+1&gt;=regle!$J$12,-2,AQ440+1))</f>
        <v>-1</v>
      </c>
      <c r="AS440">
        <f>IF(AS$1=$AO$1,IF(regle!F$2-$Q440&gt;=regle!$J$12,-2,IF($S440,IF(regle!$B$2-$Q440&gt;=2,0,-1),regle!F$2-$Q440)),IF(AR440+1&gt;=regle!$J$12,-2,AR440+1))</f>
        <v>0</v>
      </c>
      <c r="AT440">
        <f>IF(AT$1=$AO$1,IF(regle!G$2-$Q440&gt;=regle!$J$12,-2,IF($S440,IF(regle!$B$2-$Q440&gt;=2,0,-1),regle!G$2-$Q440)),IF(AS440+1&gt;=regle!$J$12,-2,AS440+1))</f>
        <v>1</v>
      </c>
      <c r="AU440">
        <f>IF(AU$1=$AO$1,IF(regle!H$2-$Q440&gt;=regle!$J$12,-2,IF($S440,IF(regle!$B$2-$Q440&gt;=2,0,-1),regle!H$2-$Q440)),IF(AT440+1&gt;=regle!$J$12,-2,AT440+1))</f>
        <v>2</v>
      </c>
      <c r="AV440">
        <f>IF(AV$1=$AO$1,IF(regle!I$2-$Q440&gt;=regle!$J$12,-2,IF($S440,IF(regle!$B$2-$Q440&gt;=2,0,-1),regle!I$2-$Q440)),IF(AU440+1&gt;=regle!$J$12,-2,AU440+1))</f>
        <v>3</v>
      </c>
      <c r="AW440">
        <f>IF(AW$1=$AO$1,IF(regle!J$2-$Q440&gt;=regle!$J$12,-2,IF($S440,IF(regle!$B$2-$Q440&gt;=2,0,-1),regle!J$2-$Q440)),IF(AV440+1&gt;=regle!$J$12,-2,AV440+1))</f>
        <v>4</v>
      </c>
      <c r="AX440">
        <f>IF(AX$1=$AO$1,IF(regle!K$2-$Q440&gt;=regle!$J$12,-2,IF($S440,IF(regle!$B$2-$Q440&gt;=2,0,-1),regle!K$2-$Q440)),IF(AW440+1&gt;=regle!$J$12,-2,AW440+1))</f>
        <v>5</v>
      </c>
    </row>
    <row r="441" spans="1:50" x14ac:dyDescent="0.25">
      <c r="A441" t="b">
        <f>AND(modif0[[#This Row],[cdstr]]&lt;&gt;0,OR(regle!$H$27=FALSE,modif0[[#This Row],[essnc]]="PM"))</f>
        <v>0</v>
      </c>
      <c r="B441">
        <f>ROW(objet!A434)</f>
        <v>434</v>
      </c>
      <c r="C441" s="10" t="str">
        <f>objet!D434</f>
        <v>2000000N0175</v>
      </c>
      <c r="D441" t="str">
        <f>LEFT(modif0[[#This Row],[cdstr]],3)</f>
        <v>200</v>
      </c>
      <c r="E441" s="10" t="str">
        <f>objet!G434</f>
        <v>MOUSTEY</v>
      </c>
      <c r="F441">
        <f>LEN(modif0[[#This Row],[l_dt]])</f>
        <v>9</v>
      </c>
      <c r="G441" s="10" t="str">
        <f>objet!H434</f>
        <v>Peyroulet</v>
      </c>
      <c r="H441" s="10" t="str">
        <f>objet!C434</f>
        <v>N175</v>
      </c>
      <c r="I441" t="str">
        <f>IF(ISNUMBER(VALUE(RIGHT(LEFT(modif0[[#This Row],[idntfn]],2),1))),_xlfn.CONCAT(0,LEFT(modif0[[#This Row],[idntfn]],1)),LEFT(modif0[[#This Row],[idntfn]],2))</f>
        <v>0N</v>
      </c>
      <c r="J441">
        <f>VALUE(LEFT(RIGHT(modif0[[#This Row],[idntfn]],LEN(modif0[[#This Row],[idntfn]])-IF(LEFT(modif0[[#This Row],[sctn]],1)="0",1,2)),LEN(modif0[[#This Row],[idntfn]])-IF(LEFT(modif0[[#This Row],[sctn]],1)="0",1,2)-LEN(modif0[[#This Row],[lttr]])))</f>
        <v>175</v>
      </c>
      <c r="K441" t="str">
        <f>IF(ISNUMBER(VALUE(RIGHT(modif0[[#This Row],[idntfn]],1))),"",IF(ISNUMBER(VALUE(LEFT(RIGHT(modif0[[#This Row],[idntfn]],2),1))),RIGHT(modif0[[#This Row],[idntfn]],1),RIGHT(modif0[[#This Row],[idntfn]],2)))</f>
        <v/>
      </c>
      <c r="L441" s="10">
        <f>objet!I434</f>
        <v>967</v>
      </c>
      <c r="M441" s="11">
        <f>modif0[[#This Row],[srfc]]/10000</f>
        <v>9.6699999999999994E-2</v>
      </c>
      <c r="N441" s="10" t="str">
        <f>objet!Z434</f>
        <v>FEUIL</v>
      </c>
      <c r="O441" s="10" t="str">
        <f>objet!AA434</f>
        <v>TAIL1996</v>
      </c>
      <c r="P441" t="str">
        <f>IF(ISNUMBER(modif0[[#This Row],[trvx]]),"",LEFT(modif0[[#This Row],[trvx]],LEN(modif0[[#This Row],[trvx]])-4))</f>
        <v>TAIL</v>
      </c>
      <c r="Q441">
        <f>VALUE(RIGHT(modif0[[#This Row],[trvx]],4))</f>
        <v>1996</v>
      </c>
      <c r="R441" t="str">
        <f>_xlfn.CONCAT(modif0[[#This Row],[tp]],"-",modif0[[#This Row],[essnc]],"_",modif0[[#This Row],[anns]])</f>
        <v>TAIL-FEUIL_1996</v>
      </c>
      <c r="S441" t="b">
        <f>modif0[[#This Row],[tp]]="CR"</f>
        <v>0</v>
      </c>
      <c r="T441">
        <v>40</v>
      </c>
      <c r="U441" t="str">
        <f>IF(NOT($A441),"",
IF(AO441=-2,regle!$J$11,
IF(AO441=regle!$B$12,regle!$B$11,
IF(AO441=regle!$C$12,regle!$C$11,
IF(AO441=regle!$D$12,regle!$D$11,
IF(AO441=regle!$E$12,regle!$E$11,
IF(AO441=regle!$F$12,regle!$F$11,
IF(AO441=regle!$G$12,regle!$G$11,
IF(AO441=regle!$H$12,regle!$H$11,
IF(AO441=regle!$I$12,regle!$I$11,""))))))))))</f>
        <v/>
      </c>
      <c r="V441" t="str">
        <f>IF(NOT($A441),"",
IF(AP441=-2,regle!$J$11,
IF(AP441=regle!$B$12,regle!$B$11,
IF(AP441=regle!$C$12,regle!$C$11,
IF(AP441=regle!$D$12,regle!$D$11,
IF(AP441=regle!$E$12,regle!$E$11,
IF(AP441=regle!$F$12,regle!$F$11,
IF(AP441=regle!$G$12,regle!$G$11,
IF(AP441=regle!$H$12,regle!$H$11,
IF(AP441=regle!$I$12,regle!$I$11,""))))))))))</f>
        <v/>
      </c>
      <c r="W441" t="str">
        <f>IF(NOT($A441),"",
IF(AQ441=-2,regle!$J$11,
IF(AQ441=regle!$B$12,regle!$B$11,
IF(AQ441=regle!$C$12,regle!$C$11,
IF(AQ441=regle!$D$12,regle!$D$11,
IF(AQ441=regle!$E$12,regle!$E$11,
IF(AQ441=regle!$F$12,regle!$F$11,
IF(AQ441=regle!$G$12,regle!$G$11,
IF(AQ441=regle!$H$12,regle!$H$11,
IF(AQ441=regle!$I$12,regle!$I$11,""))))))))))</f>
        <v/>
      </c>
      <c r="X441" t="str">
        <f>IF(NOT($A441),"",
IF(AR441=-2,regle!$J$11,
IF(AR441=regle!$B$12,regle!$B$11,
IF(AR441=regle!$C$12,regle!$C$11,
IF(AR441=regle!$D$12,regle!$D$11,
IF(AR441=regle!$E$12,regle!$E$11,
IF(AR441=regle!$F$12,regle!$F$11,
IF(AR441=regle!$G$12,regle!$G$11,
IF(AR441=regle!$H$12,regle!$H$11,
IF(AR441=regle!$I$12,regle!$I$11,""))))))))))</f>
        <v/>
      </c>
      <c r="Y441" t="str">
        <f>IF(NOT($A441),"",
IF(AS441=-2,regle!$J$11,
IF(AS441=regle!$B$12,regle!$B$11,
IF(AS441=regle!$C$12,regle!$C$11,
IF(AS441=regle!$D$12,regle!$D$11,
IF(AS441=regle!$E$12,regle!$E$11,
IF(AS441=regle!$F$12,regle!$F$11,
IF(AS441=regle!$G$12,regle!$G$11,
IF(AS441=regle!$H$12,regle!$H$11,
IF(AS441=regle!$I$12,regle!$I$11,""))))))))))</f>
        <v/>
      </c>
      <c r="Z441" t="str">
        <f>IF(NOT($A441),"",
IF(AT441=-2,regle!$J$11,
IF(AT441=regle!$B$12,regle!$B$11,
IF(AT441=regle!$C$12,regle!$C$11,
IF(AT441=regle!$D$12,regle!$D$11,
IF(AT441=regle!$E$12,regle!$E$11,
IF(AT441=regle!$F$12,regle!$F$11,
IF(AT441=regle!$G$12,regle!$G$11,
IF(AT441=regle!$H$12,regle!$H$11,
IF(AT441=regle!$I$12,regle!$I$11,""))))))))))</f>
        <v/>
      </c>
      <c r="AA441" t="str">
        <f>IF(NOT($A441),"",
IF(AU441=-2,regle!$J$11,
IF(AU441=regle!$B$12,regle!$B$11,
IF(AU441=regle!$C$12,regle!$C$11,
IF(AU441=regle!$D$12,regle!$D$11,
IF(AU441=regle!$E$12,regle!$E$11,
IF(AU441=regle!$F$12,regle!$F$11,
IF(AU441=regle!$G$12,regle!$G$11,
IF(AU441=regle!$H$12,regle!$H$11,
IF(AU441=regle!$I$12,regle!$I$11,""))))))))))</f>
        <v/>
      </c>
      <c r="AB441" t="str">
        <f>IF(NOT($A441),"",
IF(AV441=-2,regle!$J$11,
IF(AV441=regle!$B$12,regle!$B$11,
IF(AV441=regle!$C$12,regle!$C$11,
IF(AV441=regle!$D$12,regle!$D$11,
IF(AV441=regle!$E$12,regle!$E$11,
IF(AV441=regle!$F$12,regle!$F$11,
IF(AV441=regle!$G$12,regle!$G$11,
IF(AV441=regle!$H$12,regle!$H$11,
IF(AV441=regle!$I$12,regle!$I$11,""))))))))))</f>
        <v/>
      </c>
      <c r="AC441" t="str">
        <f>IF(NOT($A441),"",
IF(AW441=-2,regle!$J$11,
IF(AW441=regle!$B$12,regle!$B$11,
IF(AW441=regle!$C$12,regle!$C$11,
IF(AW441=regle!$D$12,regle!$D$11,
IF(AW441=regle!$E$12,regle!$E$11,
IF(AW441=regle!$F$12,regle!$F$11,
IF(AW441=regle!$G$12,regle!$G$11,
IF(AW441=regle!$H$12,regle!$H$11,
IF(AW441=regle!$I$12,regle!$I$11,""))))))))))</f>
        <v/>
      </c>
      <c r="AD441" t="str">
        <f>IF(NOT($A441),"",
IF(AX441=-2,regle!$J$11,
IF(AX441=regle!$B$12,regle!$B$11,
IF(AX441=regle!$C$12,regle!$C$11,
IF(AX441=regle!$D$12,regle!$D$11,
IF(AX441=regle!$E$12,regle!$E$11,
IF(AX441=regle!$F$12,regle!$F$11,
IF(AX441=regle!$G$12,regle!$G$11,
IF(AX441=regle!$H$12,regle!$H$11,
IF(AX441=regle!$I$12,regle!$I$11,""))))))))))</f>
        <v/>
      </c>
      <c r="AE441" s="14" t="b">
        <f>IF($A441,$M441*(IF(U441=regle!$B$11,regle!$B$23,IF(U441=regle!$C$11,regle!$C$23,IF(U441=regle!$D$11,regle!$D$23,IF(U441=regle!$E$11,regle!$E$23,IF(U441=regle!$F$11,regle!$F$23,IF(U441=regle!$G$11,regle!$G$23,IF(U441=regle!$H$11,regle!$H$23,IF(U441=regle!$I$11,regle!$I$23,IF(U441=regle!$J$11,regle!$J$23,0)))))))))))</f>
        <v>0</v>
      </c>
      <c r="AF441" s="14" t="b">
        <f>IF($A441,$M441*(IF(V441=regle!$B$11,regle!$B$23,IF(V441=regle!$C$11,regle!$C$23,IF(V441=regle!$D$11,regle!$D$23,IF(V441=regle!$E$11,regle!$E$23,IF(V441=regle!$F$11,regle!$F$23,IF(V441=regle!$G$11,regle!$G$23,IF(V441=regle!$H$11,regle!$H$23,IF(V441=regle!$I$11,regle!$I$23,IF(V441=regle!$J$11,regle!$J$23,0)))))))))))</f>
        <v>0</v>
      </c>
      <c r="AG441" s="14" t="b">
        <f>IF($A441,$M441*(IF(W441=regle!$B$11,regle!$B$23,IF(W441=regle!$C$11,regle!$C$23,IF(W441=regle!$D$11,regle!$D$23,IF(W441=regle!$E$11,regle!$E$23,IF(W441=regle!$F$11,regle!$F$23,IF(W441=regle!$G$11,regle!$G$23,IF(W441=regle!$H$11,regle!$H$23,IF(W441=regle!$I$11,regle!$I$23,IF(W441=regle!$J$11,regle!$J$23,0)))))))))))</f>
        <v>0</v>
      </c>
      <c r="AH441" s="14" t="b">
        <f>IF($A441,$M441*(IF(X441=regle!$B$11,regle!$B$23,IF(X441=regle!$C$11,regle!$C$23,IF(X441=regle!$D$11,regle!$D$23,IF(X441=regle!$E$11,regle!$E$23,IF(X441=regle!$F$11,regle!$F$23,IF(X441=regle!$G$11,regle!$G$23,IF(X441=regle!$H$11,regle!$H$23,IF(X441=regle!$I$11,regle!$I$23,IF(X441=regle!$J$11,regle!$J$23,0)))))))))))</f>
        <v>0</v>
      </c>
      <c r="AI441" s="14" t="b">
        <f>IF($A441,$M441*(IF(Y441=regle!$B$11,regle!$B$23,IF(Y441=regle!$C$11,regle!$C$23,IF(Y441=regle!$D$11,regle!$D$23,IF(Y441=regle!$E$11,regle!$E$23,IF(Y441=regle!$F$11,regle!$F$23,IF(Y441=regle!$G$11,regle!$G$23,IF(Y441=regle!$H$11,regle!$H$23,IF(Y441=regle!$I$11,regle!$I$23,IF(Y441=regle!$J$11,regle!$J$23,0)))))))))))</f>
        <v>0</v>
      </c>
      <c r="AJ441" s="14" t="b">
        <f>IF($A441,$M441*(IF(Z441=regle!$B$11,regle!$B$23,IF(Z441=regle!$C$11,regle!$C$23,IF(Z441=regle!$D$11,regle!$D$23,IF(Z441=regle!$E$11,regle!$E$23,IF(Z441=regle!$F$11,regle!$F$23,IF(Z441=regle!$G$11,regle!$G$23,IF(Z441=regle!$H$11,regle!$H$23,IF(Z441=regle!$I$11,regle!$I$23,IF(Z441=regle!$J$11,regle!$J$23,0)))))))))))</f>
        <v>0</v>
      </c>
      <c r="AK441" s="14" t="b">
        <f>IF($A441,$M441*(IF(AA441=regle!$B$11,regle!$B$23,IF(AA441=regle!$C$11,regle!$C$23,IF(AA441=regle!$D$11,regle!$D$23,IF(AA441=regle!$E$11,regle!$E$23,IF(AA441=regle!$F$11,regle!$F$23,IF(AA441=regle!$G$11,regle!$G$23,IF(AA441=regle!$H$11,regle!$H$23,IF(AA441=regle!$I$11,regle!$I$23,IF(AA441=regle!$J$11,regle!$J$23,0)))))))))))</f>
        <v>0</v>
      </c>
      <c r="AL441" s="14" t="b">
        <f>IF($A441,$M441*(IF(AB441=regle!$B$11,regle!$B$23,IF(AB441=regle!$C$11,regle!$C$23,IF(AB441=regle!$D$11,regle!$D$23,IF(AB441=regle!$E$11,regle!$E$23,IF(AB441=regle!$F$11,regle!$F$23,IF(AB441=regle!$G$11,regle!$G$23,IF(AB441=regle!$H$11,regle!$H$23,IF(AB441=regle!$I$11,regle!$I$23,IF(AB441=regle!$J$11,regle!$J$23,0)))))))))))</f>
        <v>0</v>
      </c>
      <c r="AM441" s="14" t="b">
        <f>IF($A441,$M441*(IF(AC441=regle!$B$11,regle!$B$23,IF(AC441=regle!$C$11,regle!$C$23,IF(AC441=regle!$D$11,regle!$D$23,IF(AC441=regle!$E$11,regle!$E$23,IF(AC441=regle!$F$11,regle!$F$23,IF(AC441=regle!$G$11,regle!$G$23,IF(AC441=regle!$H$11,regle!$H$23,IF(AC441=regle!$I$11,regle!$I$23,IF(AC441=regle!$J$11,regle!$J$23,0)))))))))))</f>
        <v>0</v>
      </c>
      <c r="AN441" s="14" t="b">
        <f>IF($A441,$M441*(IF(AD441=regle!$B$11,regle!$B$23,IF(AD441=regle!$C$11,regle!$C$23,IF(AD441=regle!$D$11,regle!$D$23,IF(AD441=regle!$E$11,regle!$E$23,IF(AD441=regle!$F$11,regle!$F$23,IF(AD441=regle!$G$11,regle!$G$23,IF(AD441=regle!$H$11,regle!$H$23,IF(AD441=regle!$I$11,regle!$I$23,IF(AD441=regle!$J$11,regle!$J$23,0)))))))))))</f>
        <v>0</v>
      </c>
      <c r="AO441">
        <f>IF(AO$1=$AO$1,IF(regle!B$2-$Q441&gt;=regle!$J$12,-2,IF($S441,IF(regle!$B$2-$Q441&gt;=2,0,-1),regle!B$2-$Q441)),IF(AN441+1&gt;=regle!$J$12,-2,AN441+1))</f>
        <v>28</v>
      </c>
      <c r="AP441">
        <f>IF(AP$1=$AO$1,IF(regle!C$2-$Q441&gt;=regle!$J$12,-2,IF($S441,IF(regle!$B$2-$Q441&gt;=2,0,-1),regle!C$2-$Q441)),IF(AO441+1&gt;=regle!$J$12,-2,AO441+1))</f>
        <v>29</v>
      </c>
      <c r="AQ441">
        <f>IF(AQ$1=$AO$1,IF(regle!D$2-$Q441&gt;=regle!$J$12,-2,IF($S441,IF(regle!$B$2-$Q441&gt;=2,0,-1),regle!D$2-$Q441)),IF(AP441+1&gt;=regle!$J$12,-2,AP441+1))</f>
        <v>30</v>
      </c>
      <c r="AR441">
        <f>IF(AR$1=$AO$1,IF(regle!E$2-$Q441&gt;=regle!$J$12,-2,IF($S441,IF(regle!$B$2-$Q441&gt;=2,0,-1),regle!E$2-$Q441)),IF(AQ441+1&gt;=regle!$J$12,-2,AQ441+1))</f>
        <v>31</v>
      </c>
      <c r="AS441">
        <f>IF(AS$1=$AO$1,IF(regle!F$2-$Q441&gt;=regle!$J$12,-2,IF($S441,IF(regle!$B$2-$Q441&gt;=2,0,-1),regle!F$2-$Q441)),IF(AR441+1&gt;=regle!$J$12,-2,AR441+1))</f>
        <v>32</v>
      </c>
      <c r="AT441">
        <f>IF(AT$1=$AO$1,IF(regle!G$2-$Q441&gt;=regle!$J$12,-2,IF($S441,IF(regle!$B$2-$Q441&gt;=2,0,-1),regle!G$2-$Q441)),IF(AS441+1&gt;=regle!$J$12,-2,AS441+1))</f>
        <v>33</v>
      </c>
      <c r="AU441">
        <f>IF(AU$1=$AO$1,IF(regle!H$2-$Q441&gt;=regle!$J$12,-2,IF($S441,IF(regle!$B$2-$Q441&gt;=2,0,-1),regle!H$2-$Q441)),IF(AT441+1&gt;=regle!$J$12,-2,AT441+1))</f>
        <v>34</v>
      </c>
      <c r="AV441">
        <f>IF(AV$1=$AO$1,IF(regle!I$2-$Q441&gt;=regle!$J$12,-2,IF($S441,IF(regle!$B$2-$Q441&gt;=2,0,-1),regle!I$2-$Q441)),IF(AU441+1&gt;=regle!$J$12,-2,AU441+1))</f>
        <v>35</v>
      </c>
      <c r="AW441">
        <f>IF(AW$1=$AO$1,IF(regle!J$2-$Q441&gt;=regle!$J$12,-2,IF($S441,IF(regle!$B$2-$Q441&gt;=2,0,-1),regle!J$2-$Q441)),IF(AV441+1&gt;=regle!$J$12,-2,AV441+1))</f>
        <v>36</v>
      </c>
      <c r="AX441">
        <f>IF(AX$1=$AO$1,IF(regle!K$2-$Q441&gt;=regle!$J$12,-2,IF($S441,IF(regle!$B$2-$Q441&gt;=2,0,-1),regle!K$2-$Q441)),IF(AW441+1&gt;=regle!$J$12,-2,AW441+1))</f>
        <v>37</v>
      </c>
    </row>
    <row r="442" spans="1:50" x14ac:dyDescent="0.25">
      <c r="A442" t="b">
        <f>AND(modif0[[#This Row],[cdstr]]&lt;&gt;0,OR(regle!$H$27=FALSE,modif0[[#This Row],[essnc]]="PM"))</f>
        <v>0</v>
      </c>
      <c r="B442">
        <f>ROW(objet!A439)</f>
        <v>439</v>
      </c>
      <c r="C442" s="10" t="str">
        <f>objet!D439</f>
        <v>2000000N0715</v>
      </c>
      <c r="D442" t="str">
        <f>LEFT(modif0[[#This Row],[cdstr]],3)</f>
        <v>200</v>
      </c>
      <c r="E442" s="10" t="str">
        <f>objet!G439</f>
        <v>MOUSTEY</v>
      </c>
      <c r="F442">
        <f>LEN(modif0[[#This Row],[l_dt]])</f>
        <v>18</v>
      </c>
      <c r="G442" s="10" t="str">
        <f>objet!H439</f>
        <v>Quartier de Capsus</v>
      </c>
      <c r="H442" s="10" t="str">
        <f>objet!C439</f>
        <v>N715</v>
      </c>
      <c r="I442" t="str">
        <f>IF(ISNUMBER(VALUE(RIGHT(LEFT(modif0[[#This Row],[idntfn]],2),1))),_xlfn.CONCAT(0,LEFT(modif0[[#This Row],[idntfn]],1)),LEFT(modif0[[#This Row],[idntfn]],2))</f>
        <v>0N</v>
      </c>
      <c r="J442">
        <f>VALUE(LEFT(RIGHT(modif0[[#This Row],[idntfn]],LEN(modif0[[#This Row],[idntfn]])-IF(LEFT(modif0[[#This Row],[sctn]],1)="0",1,2)),LEN(modif0[[#This Row],[idntfn]])-IF(LEFT(modif0[[#This Row],[sctn]],1)="0",1,2)-LEN(modif0[[#This Row],[lttr]])))</f>
        <v>715</v>
      </c>
      <c r="K442" t="str">
        <f>IF(ISNUMBER(VALUE(RIGHT(modif0[[#This Row],[idntfn]],1))),"",IF(ISNUMBER(VALUE(LEFT(RIGHT(modif0[[#This Row],[idntfn]],2),1))),RIGHT(modif0[[#This Row],[idntfn]],1),RIGHT(modif0[[#This Row],[idntfn]],2)))</f>
        <v/>
      </c>
      <c r="L442" s="10">
        <f>objet!I439</f>
        <v>2310</v>
      </c>
      <c r="M442" s="11">
        <f>modif0[[#This Row],[srfc]]/10000</f>
        <v>0.23100000000000001</v>
      </c>
      <c r="N442" s="10" t="str">
        <f>objet!Z439</f>
        <v>FEUIL</v>
      </c>
      <c r="O442" s="10" t="str">
        <f>objet!AA439</f>
        <v>TAIL1996</v>
      </c>
      <c r="P442" t="str">
        <f>IF(ISNUMBER(modif0[[#This Row],[trvx]]),"",LEFT(modif0[[#This Row],[trvx]],LEN(modif0[[#This Row],[trvx]])-4))</f>
        <v>TAIL</v>
      </c>
      <c r="Q442">
        <f>VALUE(RIGHT(modif0[[#This Row],[trvx]],4))</f>
        <v>1996</v>
      </c>
      <c r="R442" t="str">
        <f>_xlfn.CONCAT(modif0[[#This Row],[tp]],"-",modif0[[#This Row],[essnc]],"_",modif0[[#This Row],[anns]])</f>
        <v>TAIL-FEUIL_1996</v>
      </c>
      <c r="S442" t="b">
        <f>modif0[[#This Row],[tp]]="CR"</f>
        <v>0</v>
      </c>
      <c r="T442">
        <v>40</v>
      </c>
      <c r="U442" t="str">
        <f>IF(NOT($A442),"",
IF(AO442=-2,regle!$J$11,
IF(AO442=regle!$B$12,regle!$B$11,
IF(AO442=regle!$C$12,regle!$C$11,
IF(AO442=regle!$D$12,regle!$D$11,
IF(AO442=regle!$E$12,regle!$E$11,
IF(AO442=regle!$F$12,regle!$F$11,
IF(AO442=regle!$G$12,regle!$G$11,
IF(AO442=regle!$H$12,regle!$H$11,
IF(AO442=regle!$I$12,regle!$I$11,""))))))))))</f>
        <v/>
      </c>
      <c r="V442" t="str">
        <f>IF(NOT($A442),"",
IF(AP442=-2,regle!$J$11,
IF(AP442=regle!$B$12,regle!$B$11,
IF(AP442=regle!$C$12,regle!$C$11,
IF(AP442=regle!$D$12,regle!$D$11,
IF(AP442=regle!$E$12,regle!$E$11,
IF(AP442=regle!$F$12,regle!$F$11,
IF(AP442=regle!$G$12,regle!$G$11,
IF(AP442=regle!$H$12,regle!$H$11,
IF(AP442=regle!$I$12,regle!$I$11,""))))))))))</f>
        <v/>
      </c>
      <c r="W442" t="str">
        <f>IF(NOT($A442),"",
IF(AQ442=-2,regle!$J$11,
IF(AQ442=regle!$B$12,regle!$B$11,
IF(AQ442=regle!$C$12,regle!$C$11,
IF(AQ442=regle!$D$12,regle!$D$11,
IF(AQ442=regle!$E$12,regle!$E$11,
IF(AQ442=regle!$F$12,regle!$F$11,
IF(AQ442=regle!$G$12,regle!$G$11,
IF(AQ442=regle!$H$12,regle!$H$11,
IF(AQ442=regle!$I$12,regle!$I$11,""))))))))))</f>
        <v/>
      </c>
      <c r="X442" t="str">
        <f>IF(NOT($A442),"",
IF(AR442=-2,regle!$J$11,
IF(AR442=regle!$B$12,regle!$B$11,
IF(AR442=regle!$C$12,regle!$C$11,
IF(AR442=regle!$D$12,regle!$D$11,
IF(AR442=regle!$E$12,regle!$E$11,
IF(AR442=regle!$F$12,regle!$F$11,
IF(AR442=regle!$G$12,regle!$G$11,
IF(AR442=regle!$H$12,regle!$H$11,
IF(AR442=regle!$I$12,regle!$I$11,""))))))))))</f>
        <v/>
      </c>
      <c r="Y442" t="str">
        <f>IF(NOT($A442),"",
IF(AS442=-2,regle!$J$11,
IF(AS442=regle!$B$12,regle!$B$11,
IF(AS442=regle!$C$12,regle!$C$11,
IF(AS442=regle!$D$12,regle!$D$11,
IF(AS442=regle!$E$12,regle!$E$11,
IF(AS442=regle!$F$12,regle!$F$11,
IF(AS442=regle!$G$12,regle!$G$11,
IF(AS442=regle!$H$12,regle!$H$11,
IF(AS442=regle!$I$12,regle!$I$11,""))))))))))</f>
        <v/>
      </c>
      <c r="Z442" t="str">
        <f>IF(NOT($A442),"",
IF(AT442=-2,regle!$J$11,
IF(AT442=regle!$B$12,regle!$B$11,
IF(AT442=regle!$C$12,regle!$C$11,
IF(AT442=regle!$D$12,regle!$D$11,
IF(AT442=regle!$E$12,regle!$E$11,
IF(AT442=regle!$F$12,regle!$F$11,
IF(AT442=regle!$G$12,regle!$G$11,
IF(AT442=regle!$H$12,regle!$H$11,
IF(AT442=regle!$I$12,regle!$I$11,""))))))))))</f>
        <v/>
      </c>
      <c r="AA442" t="str">
        <f>IF(NOT($A442),"",
IF(AU442=-2,regle!$J$11,
IF(AU442=regle!$B$12,regle!$B$11,
IF(AU442=regle!$C$12,regle!$C$11,
IF(AU442=regle!$D$12,regle!$D$11,
IF(AU442=regle!$E$12,regle!$E$11,
IF(AU442=regle!$F$12,regle!$F$11,
IF(AU442=regle!$G$12,regle!$G$11,
IF(AU442=regle!$H$12,regle!$H$11,
IF(AU442=regle!$I$12,regle!$I$11,""))))))))))</f>
        <v/>
      </c>
      <c r="AB442" t="str">
        <f>IF(NOT($A442),"",
IF(AV442=-2,regle!$J$11,
IF(AV442=regle!$B$12,regle!$B$11,
IF(AV442=regle!$C$12,regle!$C$11,
IF(AV442=regle!$D$12,regle!$D$11,
IF(AV442=regle!$E$12,regle!$E$11,
IF(AV442=regle!$F$12,regle!$F$11,
IF(AV442=regle!$G$12,regle!$G$11,
IF(AV442=regle!$H$12,regle!$H$11,
IF(AV442=regle!$I$12,regle!$I$11,""))))))))))</f>
        <v/>
      </c>
      <c r="AC442" t="str">
        <f>IF(NOT($A442),"",
IF(AW442=-2,regle!$J$11,
IF(AW442=regle!$B$12,regle!$B$11,
IF(AW442=regle!$C$12,regle!$C$11,
IF(AW442=regle!$D$12,regle!$D$11,
IF(AW442=regle!$E$12,regle!$E$11,
IF(AW442=regle!$F$12,regle!$F$11,
IF(AW442=regle!$G$12,regle!$G$11,
IF(AW442=regle!$H$12,regle!$H$11,
IF(AW442=regle!$I$12,regle!$I$11,""))))))))))</f>
        <v/>
      </c>
      <c r="AD442" t="str">
        <f>IF(NOT($A442),"",
IF(AX442=-2,regle!$J$11,
IF(AX442=regle!$B$12,regle!$B$11,
IF(AX442=regle!$C$12,regle!$C$11,
IF(AX442=regle!$D$12,regle!$D$11,
IF(AX442=regle!$E$12,regle!$E$11,
IF(AX442=regle!$F$12,regle!$F$11,
IF(AX442=regle!$G$12,regle!$G$11,
IF(AX442=regle!$H$12,regle!$H$11,
IF(AX442=regle!$I$12,regle!$I$11,""))))))))))</f>
        <v/>
      </c>
      <c r="AE442" s="14" t="b">
        <f>IF($A442,$M442*(IF(U442=regle!$B$11,regle!$B$23,IF(U442=regle!$C$11,regle!$C$23,IF(U442=regle!$D$11,regle!$D$23,IF(U442=regle!$E$11,regle!$E$23,IF(U442=regle!$F$11,regle!$F$23,IF(U442=regle!$G$11,regle!$G$23,IF(U442=regle!$H$11,regle!$H$23,IF(U442=regle!$I$11,regle!$I$23,IF(U442=regle!$J$11,regle!$J$23,0)))))))))))</f>
        <v>0</v>
      </c>
      <c r="AF442" s="14" t="b">
        <f>IF($A442,$M442*(IF(V442=regle!$B$11,regle!$B$23,IF(V442=regle!$C$11,regle!$C$23,IF(V442=regle!$D$11,regle!$D$23,IF(V442=regle!$E$11,regle!$E$23,IF(V442=regle!$F$11,regle!$F$23,IF(V442=regle!$G$11,regle!$G$23,IF(V442=regle!$H$11,regle!$H$23,IF(V442=regle!$I$11,regle!$I$23,IF(V442=regle!$J$11,regle!$J$23,0)))))))))))</f>
        <v>0</v>
      </c>
      <c r="AG442" s="14" t="b">
        <f>IF($A442,$M442*(IF(W442=regle!$B$11,regle!$B$23,IF(W442=regle!$C$11,regle!$C$23,IF(W442=regle!$D$11,regle!$D$23,IF(W442=regle!$E$11,regle!$E$23,IF(W442=regle!$F$11,regle!$F$23,IF(W442=regle!$G$11,regle!$G$23,IF(W442=regle!$H$11,regle!$H$23,IF(W442=regle!$I$11,regle!$I$23,IF(W442=regle!$J$11,regle!$J$23,0)))))))))))</f>
        <v>0</v>
      </c>
      <c r="AH442" s="14" t="b">
        <f>IF($A442,$M442*(IF(X442=regle!$B$11,regle!$B$23,IF(X442=regle!$C$11,regle!$C$23,IF(X442=regle!$D$11,regle!$D$23,IF(X442=regle!$E$11,regle!$E$23,IF(X442=regle!$F$11,regle!$F$23,IF(X442=regle!$G$11,regle!$G$23,IF(X442=regle!$H$11,regle!$H$23,IF(X442=regle!$I$11,regle!$I$23,IF(X442=regle!$J$11,regle!$J$23,0)))))))))))</f>
        <v>0</v>
      </c>
      <c r="AI442" s="14" t="b">
        <f>IF($A442,$M442*(IF(Y442=regle!$B$11,regle!$B$23,IF(Y442=regle!$C$11,regle!$C$23,IF(Y442=regle!$D$11,regle!$D$23,IF(Y442=regle!$E$11,regle!$E$23,IF(Y442=regle!$F$11,regle!$F$23,IF(Y442=regle!$G$11,regle!$G$23,IF(Y442=regle!$H$11,regle!$H$23,IF(Y442=regle!$I$11,regle!$I$23,IF(Y442=regle!$J$11,regle!$J$23,0)))))))))))</f>
        <v>0</v>
      </c>
      <c r="AJ442" s="14" t="b">
        <f>IF($A442,$M442*(IF(Z442=regle!$B$11,regle!$B$23,IF(Z442=regle!$C$11,regle!$C$23,IF(Z442=regle!$D$11,regle!$D$23,IF(Z442=regle!$E$11,regle!$E$23,IF(Z442=regle!$F$11,regle!$F$23,IF(Z442=regle!$G$11,regle!$G$23,IF(Z442=regle!$H$11,regle!$H$23,IF(Z442=regle!$I$11,regle!$I$23,IF(Z442=regle!$J$11,regle!$J$23,0)))))))))))</f>
        <v>0</v>
      </c>
      <c r="AK442" s="14" t="b">
        <f>IF($A442,$M442*(IF(AA442=regle!$B$11,regle!$B$23,IF(AA442=regle!$C$11,regle!$C$23,IF(AA442=regle!$D$11,regle!$D$23,IF(AA442=regle!$E$11,regle!$E$23,IF(AA442=regle!$F$11,regle!$F$23,IF(AA442=regle!$G$11,regle!$G$23,IF(AA442=regle!$H$11,regle!$H$23,IF(AA442=regle!$I$11,regle!$I$23,IF(AA442=regle!$J$11,regle!$J$23,0)))))))))))</f>
        <v>0</v>
      </c>
      <c r="AL442" s="14" t="b">
        <f>IF($A442,$M442*(IF(AB442=regle!$B$11,regle!$B$23,IF(AB442=regle!$C$11,regle!$C$23,IF(AB442=regle!$D$11,regle!$D$23,IF(AB442=regle!$E$11,regle!$E$23,IF(AB442=regle!$F$11,regle!$F$23,IF(AB442=regle!$G$11,regle!$G$23,IF(AB442=regle!$H$11,regle!$H$23,IF(AB442=regle!$I$11,regle!$I$23,IF(AB442=regle!$J$11,regle!$J$23,0)))))))))))</f>
        <v>0</v>
      </c>
      <c r="AM442" s="14" t="b">
        <f>IF($A442,$M442*(IF(AC442=regle!$B$11,regle!$B$23,IF(AC442=regle!$C$11,regle!$C$23,IF(AC442=regle!$D$11,regle!$D$23,IF(AC442=regle!$E$11,regle!$E$23,IF(AC442=regle!$F$11,regle!$F$23,IF(AC442=regle!$G$11,regle!$G$23,IF(AC442=regle!$H$11,regle!$H$23,IF(AC442=regle!$I$11,regle!$I$23,IF(AC442=regle!$J$11,regle!$J$23,0)))))))))))</f>
        <v>0</v>
      </c>
      <c r="AN442" s="14" t="b">
        <f>IF($A442,$M442*(IF(AD442=regle!$B$11,regle!$B$23,IF(AD442=regle!$C$11,regle!$C$23,IF(AD442=regle!$D$11,regle!$D$23,IF(AD442=regle!$E$11,regle!$E$23,IF(AD442=regle!$F$11,regle!$F$23,IF(AD442=regle!$G$11,regle!$G$23,IF(AD442=regle!$H$11,regle!$H$23,IF(AD442=regle!$I$11,regle!$I$23,IF(AD442=regle!$J$11,regle!$J$23,0)))))))))))</f>
        <v>0</v>
      </c>
      <c r="AO442">
        <f>IF(AO$1=$AO$1,IF(regle!B$2-$Q442&gt;=regle!$J$12,-2,IF($S442,IF(regle!$B$2-$Q442&gt;=2,0,-1),regle!B$2-$Q442)),IF(AN442+1&gt;=regle!$J$12,-2,AN442+1))</f>
        <v>28</v>
      </c>
      <c r="AP442">
        <f>IF(AP$1=$AO$1,IF(regle!C$2-$Q442&gt;=regle!$J$12,-2,IF($S442,IF(regle!$B$2-$Q442&gt;=2,0,-1),regle!C$2-$Q442)),IF(AO442+1&gt;=regle!$J$12,-2,AO442+1))</f>
        <v>29</v>
      </c>
      <c r="AQ442">
        <f>IF(AQ$1=$AO$1,IF(regle!D$2-$Q442&gt;=regle!$J$12,-2,IF($S442,IF(regle!$B$2-$Q442&gt;=2,0,-1),regle!D$2-$Q442)),IF(AP442+1&gt;=regle!$J$12,-2,AP442+1))</f>
        <v>30</v>
      </c>
      <c r="AR442">
        <f>IF(AR$1=$AO$1,IF(regle!E$2-$Q442&gt;=regle!$J$12,-2,IF($S442,IF(regle!$B$2-$Q442&gt;=2,0,-1),regle!E$2-$Q442)),IF(AQ442+1&gt;=regle!$J$12,-2,AQ442+1))</f>
        <v>31</v>
      </c>
      <c r="AS442">
        <f>IF(AS$1=$AO$1,IF(regle!F$2-$Q442&gt;=regle!$J$12,-2,IF($S442,IF(regle!$B$2-$Q442&gt;=2,0,-1),regle!F$2-$Q442)),IF(AR442+1&gt;=regle!$J$12,-2,AR442+1))</f>
        <v>32</v>
      </c>
      <c r="AT442">
        <f>IF(AT$1=$AO$1,IF(regle!G$2-$Q442&gt;=regle!$J$12,-2,IF($S442,IF(regle!$B$2-$Q442&gt;=2,0,-1),regle!G$2-$Q442)),IF(AS442+1&gt;=regle!$J$12,-2,AS442+1))</f>
        <v>33</v>
      </c>
      <c r="AU442">
        <f>IF(AU$1=$AO$1,IF(regle!H$2-$Q442&gt;=regle!$J$12,-2,IF($S442,IF(regle!$B$2-$Q442&gt;=2,0,-1),regle!H$2-$Q442)),IF(AT442+1&gt;=regle!$J$12,-2,AT442+1))</f>
        <v>34</v>
      </c>
      <c r="AV442">
        <f>IF(AV$1=$AO$1,IF(regle!I$2-$Q442&gt;=regle!$J$12,-2,IF($S442,IF(regle!$B$2-$Q442&gt;=2,0,-1),regle!I$2-$Q442)),IF(AU442+1&gt;=regle!$J$12,-2,AU442+1))</f>
        <v>35</v>
      </c>
      <c r="AW442">
        <f>IF(AW$1=$AO$1,IF(regle!J$2-$Q442&gt;=regle!$J$12,-2,IF($S442,IF(regle!$B$2-$Q442&gt;=2,0,-1),regle!J$2-$Q442)),IF(AV442+1&gt;=regle!$J$12,-2,AV442+1))</f>
        <v>36</v>
      </c>
      <c r="AX442">
        <f>IF(AX$1=$AO$1,IF(regle!K$2-$Q442&gt;=regle!$J$12,-2,IF($S442,IF(regle!$B$2-$Q442&gt;=2,0,-1),regle!K$2-$Q442)),IF(AW442+1&gt;=regle!$J$12,-2,AW442+1))</f>
        <v>37</v>
      </c>
    </row>
    <row r="443" spans="1:50" x14ac:dyDescent="0.25">
      <c r="A443" t="b">
        <f>AND(modif0[[#This Row],[cdstr]]&lt;&gt;0,OR(regle!$H$27=FALSE,modif0[[#This Row],[essnc]]="PM"))</f>
        <v>0</v>
      </c>
      <c r="B443">
        <f>ROW(objet!A443)</f>
        <v>443</v>
      </c>
      <c r="C443" s="10" t="str">
        <f>objet!D443</f>
        <v>2000000R0089</v>
      </c>
      <c r="D443" t="str">
        <f>LEFT(modif0[[#This Row],[cdstr]],3)</f>
        <v>200</v>
      </c>
      <c r="E443" s="10" t="str">
        <f>objet!G443</f>
        <v>MOUSTEY</v>
      </c>
      <c r="F443">
        <f>LEN(modif0[[#This Row],[l_dt]])</f>
        <v>8</v>
      </c>
      <c r="G443" s="10" t="str">
        <f>objet!H443</f>
        <v>Pignotte</v>
      </c>
      <c r="H443" s="10" t="str">
        <f>objet!C443</f>
        <v>R89</v>
      </c>
      <c r="I443" t="str">
        <f>IF(ISNUMBER(VALUE(RIGHT(LEFT(modif0[[#This Row],[idntfn]],2),1))),_xlfn.CONCAT(0,LEFT(modif0[[#This Row],[idntfn]],1)),LEFT(modif0[[#This Row],[idntfn]],2))</f>
        <v>0R</v>
      </c>
      <c r="J443">
        <f>VALUE(LEFT(RIGHT(modif0[[#This Row],[idntfn]],LEN(modif0[[#This Row],[idntfn]])-IF(LEFT(modif0[[#This Row],[sctn]],1)="0",1,2)),LEN(modif0[[#This Row],[idntfn]])-IF(LEFT(modif0[[#This Row],[sctn]],1)="0",1,2)-LEN(modif0[[#This Row],[lttr]])))</f>
        <v>89</v>
      </c>
      <c r="K443" t="str">
        <f>IF(ISNUMBER(VALUE(RIGHT(modif0[[#This Row],[idntfn]],1))),"",IF(ISNUMBER(VALUE(LEFT(RIGHT(modif0[[#This Row],[idntfn]],2),1))),RIGHT(modif0[[#This Row],[idntfn]],1),RIGHT(modif0[[#This Row],[idntfn]],2)))</f>
        <v/>
      </c>
      <c r="L443" s="10">
        <f>objet!I443</f>
        <v>129</v>
      </c>
      <c r="M443" s="11">
        <f>modif0[[#This Row],[srfc]]/10000</f>
        <v>1.29E-2</v>
      </c>
      <c r="N443" s="10" t="str">
        <f>objet!Z443</f>
        <v>FEUIL</v>
      </c>
      <c r="O443" s="10" t="str">
        <f>objet!AA443</f>
        <v>TAIL1986</v>
      </c>
      <c r="P443" t="str">
        <f>IF(ISNUMBER(modif0[[#This Row],[trvx]]),"",LEFT(modif0[[#This Row],[trvx]],LEN(modif0[[#This Row],[trvx]])-4))</f>
        <v>TAIL</v>
      </c>
      <c r="Q443">
        <f>VALUE(RIGHT(modif0[[#This Row],[trvx]],4))</f>
        <v>1986</v>
      </c>
      <c r="R443" t="str">
        <f>_xlfn.CONCAT(modif0[[#This Row],[tp]],"-",modif0[[#This Row],[essnc]],"_",modif0[[#This Row],[anns]])</f>
        <v>TAIL-FEUIL_1986</v>
      </c>
      <c r="S443" t="b">
        <f>modif0[[#This Row],[tp]]="CR"</f>
        <v>0</v>
      </c>
      <c r="T443">
        <v>40</v>
      </c>
      <c r="U443" t="str">
        <f>IF(NOT($A443),"",
IF(AO443=-2,regle!$J$11,
IF(AO443=regle!$B$12,regle!$B$11,
IF(AO443=regle!$C$12,regle!$C$11,
IF(AO443=regle!$D$12,regle!$D$11,
IF(AO443=regle!$E$12,regle!$E$11,
IF(AO443=regle!$F$12,regle!$F$11,
IF(AO443=regle!$G$12,regle!$G$11,
IF(AO443=regle!$H$12,regle!$H$11,
IF(AO443=regle!$I$12,regle!$I$11,""))))))))))</f>
        <v/>
      </c>
      <c r="V443" t="str">
        <f>IF(NOT($A443),"",
IF(AP443=-2,regle!$J$11,
IF(AP443=regle!$B$12,regle!$B$11,
IF(AP443=regle!$C$12,regle!$C$11,
IF(AP443=regle!$D$12,regle!$D$11,
IF(AP443=regle!$E$12,regle!$E$11,
IF(AP443=regle!$F$12,regle!$F$11,
IF(AP443=regle!$G$12,regle!$G$11,
IF(AP443=regle!$H$12,regle!$H$11,
IF(AP443=regle!$I$12,regle!$I$11,""))))))))))</f>
        <v/>
      </c>
      <c r="W443" t="str">
        <f>IF(NOT($A443),"",
IF(AQ443=-2,regle!$J$11,
IF(AQ443=regle!$B$12,regle!$B$11,
IF(AQ443=regle!$C$12,regle!$C$11,
IF(AQ443=regle!$D$12,regle!$D$11,
IF(AQ443=regle!$E$12,regle!$E$11,
IF(AQ443=regle!$F$12,regle!$F$11,
IF(AQ443=regle!$G$12,regle!$G$11,
IF(AQ443=regle!$H$12,regle!$H$11,
IF(AQ443=regle!$I$12,regle!$I$11,""))))))))))</f>
        <v/>
      </c>
      <c r="X443" t="str">
        <f>IF(NOT($A443),"",
IF(AR443=-2,regle!$J$11,
IF(AR443=regle!$B$12,regle!$B$11,
IF(AR443=regle!$C$12,regle!$C$11,
IF(AR443=regle!$D$12,regle!$D$11,
IF(AR443=regle!$E$12,regle!$E$11,
IF(AR443=regle!$F$12,regle!$F$11,
IF(AR443=regle!$G$12,regle!$G$11,
IF(AR443=regle!$H$12,regle!$H$11,
IF(AR443=regle!$I$12,regle!$I$11,""))))))))))</f>
        <v/>
      </c>
      <c r="Y443" t="str">
        <f>IF(NOT($A443),"",
IF(AS443=-2,regle!$J$11,
IF(AS443=regle!$B$12,regle!$B$11,
IF(AS443=regle!$C$12,regle!$C$11,
IF(AS443=regle!$D$12,regle!$D$11,
IF(AS443=regle!$E$12,regle!$E$11,
IF(AS443=regle!$F$12,regle!$F$11,
IF(AS443=regle!$G$12,regle!$G$11,
IF(AS443=regle!$H$12,regle!$H$11,
IF(AS443=regle!$I$12,regle!$I$11,""))))))))))</f>
        <v/>
      </c>
      <c r="Z443" t="str">
        <f>IF(NOT($A443),"",
IF(AT443=-2,regle!$J$11,
IF(AT443=regle!$B$12,regle!$B$11,
IF(AT443=regle!$C$12,regle!$C$11,
IF(AT443=regle!$D$12,regle!$D$11,
IF(AT443=regle!$E$12,regle!$E$11,
IF(AT443=regle!$F$12,regle!$F$11,
IF(AT443=regle!$G$12,regle!$G$11,
IF(AT443=regle!$H$12,regle!$H$11,
IF(AT443=regle!$I$12,regle!$I$11,""))))))))))</f>
        <v/>
      </c>
      <c r="AA443" t="str">
        <f>IF(NOT($A443),"",
IF(AU443=-2,regle!$J$11,
IF(AU443=regle!$B$12,regle!$B$11,
IF(AU443=regle!$C$12,regle!$C$11,
IF(AU443=regle!$D$12,regle!$D$11,
IF(AU443=regle!$E$12,regle!$E$11,
IF(AU443=regle!$F$12,regle!$F$11,
IF(AU443=regle!$G$12,regle!$G$11,
IF(AU443=regle!$H$12,regle!$H$11,
IF(AU443=regle!$I$12,regle!$I$11,""))))))))))</f>
        <v/>
      </c>
      <c r="AB443" t="str">
        <f>IF(NOT($A443),"",
IF(AV443=-2,regle!$J$11,
IF(AV443=regle!$B$12,regle!$B$11,
IF(AV443=regle!$C$12,regle!$C$11,
IF(AV443=regle!$D$12,regle!$D$11,
IF(AV443=regle!$E$12,regle!$E$11,
IF(AV443=regle!$F$12,regle!$F$11,
IF(AV443=regle!$G$12,regle!$G$11,
IF(AV443=regle!$H$12,regle!$H$11,
IF(AV443=regle!$I$12,regle!$I$11,""))))))))))</f>
        <v/>
      </c>
      <c r="AC443" t="str">
        <f>IF(NOT($A443),"",
IF(AW443=-2,regle!$J$11,
IF(AW443=regle!$B$12,regle!$B$11,
IF(AW443=regle!$C$12,regle!$C$11,
IF(AW443=regle!$D$12,regle!$D$11,
IF(AW443=regle!$E$12,regle!$E$11,
IF(AW443=regle!$F$12,regle!$F$11,
IF(AW443=regle!$G$12,regle!$G$11,
IF(AW443=regle!$H$12,regle!$H$11,
IF(AW443=regle!$I$12,regle!$I$11,""))))))))))</f>
        <v/>
      </c>
      <c r="AD443" t="str">
        <f>IF(NOT($A443),"",
IF(AX443=-2,regle!$J$11,
IF(AX443=regle!$B$12,regle!$B$11,
IF(AX443=regle!$C$12,regle!$C$11,
IF(AX443=regle!$D$12,regle!$D$11,
IF(AX443=regle!$E$12,regle!$E$11,
IF(AX443=regle!$F$12,regle!$F$11,
IF(AX443=regle!$G$12,regle!$G$11,
IF(AX443=regle!$H$12,regle!$H$11,
IF(AX443=regle!$I$12,regle!$I$11,""))))))))))</f>
        <v/>
      </c>
      <c r="AE443" s="14" t="b">
        <f>IF($A443,$M443*(IF(U443=regle!$B$11,regle!$B$23,IF(U443=regle!$C$11,regle!$C$23,IF(U443=regle!$D$11,regle!$D$23,IF(U443=regle!$E$11,regle!$E$23,IF(U443=regle!$F$11,regle!$F$23,IF(U443=regle!$G$11,regle!$G$23,IF(U443=regle!$H$11,regle!$H$23,IF(U443=regle!$I$11,regle!$I$23,IF(U443=regle!$J$11,regle!$J$23,0)))))))))))</f>
        <v>0</v>
      </c>
      <c r="AF443" s="14" t="b">
        <f>IF($A443,$M443*(IF(V443=regle!$B$11,regle!$B$23,IF(V443=regle!$C$11,regle!$C$23,IF(V443=regle!$D$11,regle!$D$23,IF(V443=regle!$E$11,regle!$E$23,IF(V443=regle!$F$11,regle!$F$23,IF(V443=regle!$G$11,regle!$G$23,IF(V443=regle!$H$11,regle!$H$23,IF(V443=regle!$I$11,regle!$I$23,IF(V443=regle!$J$11,regle!$J$23,0)))))))))))</f>
        <v>0</v>
      </c>
      <c r="AG443" s="14" t="b">
        <f>IF($A443,$M443*(IF(W443=regle!$B$11,regle!$B$23,IF(W443=regle!$C$11,regle!$C$23,IF(W443=regle!$D$11,regle!$D$23,IF(W443=regle!$E$11,regle!$E$23,IF(W443=regle!$F$11,regle!$F$23,IF(W443=regle!$G$11,regle!$G$23,IF(W443=regle!$H$11,regle!$H$23,IF(W443=regle!$I$11,regle!$I$23,IF(W443=regle!$J$11,regle!$J$23,0)))))))))))</f>
        <v>0</v>
      </c>
      <c r="AH443" s="14" t="b">
        <f>IF($A443,$M443*(IF(X443=regle!$B$11,regle!$B$23,IF(X443=regle!$C$11,regle!$C$23,IF(X443=regle!$D$11,regle!$D$23,IF(X443=regle!$E$11,regle!$E$23,IF(X443=regle!$F$11,regle!$F$23,IF(X443=regle!$G$11,regle!$G$23,IF(X443=regle!$H$11,regle!$H$23,IF(X443=regle!$I$11,regle!$I$23,IF(X443=regle!$J$11,regle!$J$23,0)))))))))))</f>
        <v>0</v>
      </c>
      <c r="AI443" s="14" t="b">
        <f>IF($A443,$M443*(IF(Y443=regle!$B$11,regle!$B$23,IF(Y443=regle!$C$11,regle!$C$23,IF(Y443=regle!$D$11,regle!$D$23,IF(Y443=regle!$E$11,regle!$E$23,IF(Y443=regle!$F$11,regle!$F$23,IF(Y443=regle!$G$11,regle!$G$23,IF(Y443=regle!$H$11,regle!$H$23,IF(Y443=regle!$I$11,regle!$I$23,IF(Y443=regle!$J$11,regle!$J$23,0)))))))))))</f>
        <v>0</v>
      </c>
      <c r="AJ443" s="14" t="b">
        <f>IF($A443,$M443*(IF(Z443=regle!$B$11,regle!$B$23,IF(Z443=regle!$C$11,regle!$C$23,IF(Z443=regle!$D$11,regle!$D$23,IF(Z443=regle!$E$11,regle!$E$23,IF(Z443=regle!$F$11,regle!$F$23,IF(Z443=regle!$G$11,regle!$G$23,IF(Z443=regle!$H$11,regle!$H$23,IF(Z443=regle!$I$11,regle!$I$23,IF(Z443=regle!$J$11,regle!$J$23,0)))))))))))</f>
        <v>0</v>
      </c>
      <c r="AK443" s="14" t="b">
        <f>IF($A443,$M443*(IF(AA443=regle!$B$11,regle!$B$23,IF(AA443=regle!$C$11,regle!$C$23,IF(AA443=regle!$D$11,regle!$D$23,IF(AA443=regle!$E$11,regle!$E$23,IF(AA443=regle!$F$11,regle!$F$23,IF(AA443=regle!$G$11,regle!$G$23,IF(AA443=regle!$H$11,regle!$H$23,IF(AA443=regle!$I$11,regle!$I$23,IF(AA443=regle!$J$11,regle!$J$23,0)))))))))))</f>
        <v>0</v>
      </c>
      <c r="AL443" s="14" t="b">
        <f>IF($A443,$M443*(IF(AB443=regle!$B$11,regle!$B$23,IF(AB443=regle!$C$11,regle!$C$23,IF(AB443=regle!$D$11,regle!$D$23,IF(AB443=regle!$E$11,regle!$E$23,IF(AB443=regle!$F$11,regle!$F$23,IF(AB443=regle!$G$11,regle!$G$23,IF(AB443=regle!$H$11,regle!$H$23,IF(AB443=regle!$I$11,regle!$I$23,IF(AB443=regle!$J$11,regle!$J$23,0)))))))))))</f>
        <v>0</v>
      </c>
      <c r="AM443" s="14" t="b">
        <f>IF($A443,$M443*(IF(AC443=regle!$B$11,regle!$B$23,IF(AC443=regle!$C$11,regle!$C$23,IF(AC443=regle!$D$11,regle!$D$23,IF(AC443=regle!$E$11,regle!$E$23,IF(AC443=regle!$F$11,regle!$F$23,IF(AC443=regle!$G$11,regle!$G$23,IF(AC443=regle!$H$11,regle!$H$23,IF(AC443=regle!$I$11,regle!$I$23,IF(AC443=regle!$J$11,regle!$J$23,0)))))))))))</f>
        <v>0</v>
      </c>
      <c r="AN443" s="14" t="b">
        <f>IF($A443,$M443*(IF(AD443=regle!$B$11,regle!$B$23,IF(AD443=regle!$C$11,regle!$C$23,IF(AD443=regle!$D$11,regle!$D$23,IF(AD443=regle!$E$11,regle!$E$23,IF(AD443=regle!$F$11,regle!$F$23,IF(AD443=regle!$G$11,regle!$G$23,IF(AD443=regle!$H$11,regle!$H$23,IF(AD443=regle!$I$11,regle!$I$23,IF(AD443=regle!$J$11,regle!$J$23,0)))))))))))</f>
        <v>0</v>
      </c>
      <c r="AO443">
        <f>IF(AO$1=$AO$1,IF(regle!B$2-$Q443&gt;=regle!$J$12,-2,IF($S443,IF(regle!$B$2-$Q443&gt;=2,0,-1),regle!B$2-$Q443)),IF(AN443+1&gt;=regle!$J$12,-2,AN443+1))</f>
        <v>38</v>
      </c>
      <c r="AP443">
        <f>IF(AP$1=$AO$1,IF(regle!C$2-$Q443&gt;=regle!$J$12,-2,IF($S443,IF(regle!$B$2-$Q443&gt;=2,0,-1),regle!C$2-$Q443)),IF(AO443+1&gt;=regle!$J$12,-2,AO443+1))</f>
        <v>39</v>
      </c>
      <c r="AQ443">
        <f>IF(AQ$1=$AO$1,IF(regle!D$2-$Q443&gt;=regle!$J$12,-2,IF($S443,IF(regle!$B$2-$Q443&gt;=2,0,-1),regle!D$2-$Q443)),IF(AP443+1&gt;=regle!$J$12,-2,AP443+1))</f>
        <v>-2</v>
      </c>
      <c r="AR443">
        <f>IF(AR$1=$AO$1,IF(regle!E$2-$Q443&gt;=regle!$J$12,-2,IF($S443,IF(regle!$B$2-$Q443&gt;=2,0,-1),regle!E$2-$Q443)),IF(AQ443+1&gt;=regle!$J$12,-2,AQ443+1))</f>
        <v>-1</v>
      </c>
      <c r="AS443">
        <f>IF(AS$1=$AO$1,IF(regle!F$2-$Q443&gt;=regle!$J$12,-2,IF($S443,IF(regle!$B$2-$Q443&gt;=2,0,-1),regle!F$2-$Q443)),IF(AR443+1&gt;=regle!$J$12,-2,AR443+1))</f>
        <v>0</v>
      </c>
      <c r="AT443">
        <f>IF(AT$1=$AO$1,IF(regle!G$2-$Q443&gt;=regle!$J$12,-2,IF($S443,IF(regle!$B$2-$Q443&gt;=2,0,-1),regle!G$2-$Q443)),IF(AS443+1&gt;=regle!$J$12,-2,AS443+1))</f>
        <v>1</v>
      </c>
      <c r="AU443">
        <f>IF(AU$1=$AO$1,IF(regle!H$2-$Q443&gt;=regle!$J$12,-2,IF($S443,IF(regle!$B$2-$Q443&gt;=2,0,-1),regle!H$2-$Q443)),IF(AT443+1&gt;=regle!$J$12,-2,AT443+1))</f>
        <v>2</v>
      </c>
      <c r="AV443">
        <f>IF(AV$1=$AO$1,IF(regle!I$2-$Q443&gt;=regle!$J$12,-2,IF($S443,IF(regle!$B$2-$Q443&gt;=2,0,-1),regle!I$2-$Q443)),IF(AU443+1&gt;=regle!$J$12,-2,AU443+1))</f>
        <v>3</v>
      </c>
      <c r="AW443">
        <f>IF(AW$1=$AO$1,IF(regle!J$2-$Q443&gt;=regle!$J$12,-2,IF($S443,IF(regle!$B$2-$Q443&gt;=2,0,-1),regle!J$2-$Q443)),IF(AV443+1&gt;=regle!$J$12,-2,AV443+1))</f>
        <v>4</v>
      </c>
      <c r="AX443">
        <f>IF(AX$1=$AO$1,IF(regle!K$2-$Q443&gt;=regle!$J$12,-2,IF($S443,IF(regle!$B$2-$Q443&gt;=2,0,-1),regle!K$2-$Q443)),IF(AW443+1&gt;=regle!$J$12,-2,AW443+1))</f>
        <v>5</v>
      </c>
    </row>
  </sheetData>
  <phoneticPr fontId="18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15"/>
  <dimension ref="A1:BH74"/>
  <sheetViews>
    <sheetView topLeftCell="AO1" workbookViewId="0">
      <selection activeCell="BK4" sqref="BK4"/>
    </sheetView>
  </sheetViews>
  <sheetFormatPr baseColWidth="10" defaultColWidth="11.42578125" defaultRowHeight="15" x14ac:dyDescent="0.25"/>
  <cols>
    <col min="1" max="1" width="9.7109375" customWidth="1"/>
    <col min="2" max="13" width="11.42578125" style="5"/>
    <col min="55" max="55" width="11.42578125" style="4"/>
  </cols>
  <sheetData>
    <row r="1" spans="1:60" x14ac:dyDescent="0.25">
      <c r="A1" t="s">
        <v>1802</v>
      </c>
      <c r="B1" s="3" t="str">
        <f>regle!A31</f>
        <v>p_25 :</v>
      </c>
      <c r="C1" s="3" t="str">
        <f>regle!A30</f>
        <v>p_40 :</v>
      </c>
      <c r="D1">
        <f>regle!B2</f>
        <v>2024</v>
      </c>
      <c r="E1">
        <f>regle!C2</f>
        <v>2025</v>
      </c>
      <c r="F1">
        <f>regle!D2</f>
        <v>2026</v>
      </c>
      <c r="G1">
        <f>regle!E2</f>
        <v>2027</v>
      </c>
      <c r="H1">
        <f>regle!F2</f>
        <v>2028</v>
      </c>
      <c r="I1">
        <f>regle!G2</f>
        <v>2029</v>
      </c>
      <c r="J1">
        <f>regle!H2</f>
        <v>2030</v>
      </c>
      <c r="K1">
        <f>regle!I2</f>
        <v>2031</v>
      </c>
      <c r="L1">
        <f>regle!J2</f>
        <v>2032</v>
      </c>
      <c r="M1">
        <f>regle!K2</f>
        <v>2033</v>
      </c>
      <c r="P1" t="str">
        <f t="shared" ref="P1:AA1" si="0">B1</f>
        <v>p_25 :</v>
      </c>
      <c r="Q1" t="str">
        <f t="shared" si="0"/>
        <v>p_40 :</v>
      </c>
      <c r="R1">
        <f t="shared" si="0"/>
        <v>2024</v>
      </c>
      <c r="S1">
        <f t="shared" si="0"/>
        <v>2025</v>
      </c>
      <c r="T1">
        <f t="shared" si="0"/>
        <v>2026</v>
      </c>
      <c r="U1">
        <f t="shared" si="0"/>
        <v>2027</v>
      </c>
      <c r="V1">
        <f t="shared" si="0"/>
        <v>2028</v>
      </c>
      <c r="W1">
        <f t="shared" si="0"/>
        <v>2029</v>
      </c>
      <c r="X1">
        <f t="shared" si="0"/>
        <v>2030</v>
      </c>
      <c r="Y1">
        <f t="shared" si="0"/>
        <v>2031</v>
      </c>
      <c r="Z1">
        <f t="shared" si="0"/>
        <v>2032</v>
      </c>
      <c r="AA1">
        <f t="shared" si="0"/>
        <v>2033</v>
      </c>
      <c r="AD1" s="5">
        <f t="shared" ref="AD1:AM1" si="1">SUM(AD3:AD44)</f>
        <v>42.000000000000014</v>
      </c>
      <c r="AE1" s="5">
        <f t="shared" si="1"/>
        <v>42.000000000000014</v>
      </c>
      <c r="AF1" s="5">
        <f t="shared" si="1"/>
        <v>42.000000000000014</v>
      </c>
      <c r="AG1" s="5">
        <f t="shared" si="1"/>
        <v>42.000000000000014</v>
      </c>
      <c r="AH1" s="5">
        <f t="shared" si="1"/>
        <v>42.000000000000007</v>
      </c>
      <c r="AI1" s="5">
        <f t="shared" si="1"/>
        <v>42.000000000000007</v>
      </c>
      <c r="AJ1" s="5">
        <f t="shared" si="1"/>
        <v>42.000000000000007</v>
      </c>
      <c r="AK1" s="5">
        <f t="shared" si="1"/>
        <v>42.000000000000014</v>
      </c>
      <c r="AL1" s="5">
        <f t="shared" si="1"/>
        <v>42</v>
      </c>
      <c r="AM1" s="5">
        <f t="shared" si="1"/>
        <v>42.000000000000007</v>
      </c>
      <c r="AO1" t="str">
        <f t="shared" ref="AO1:BA1" si="2">A1</f>
        <v>age :</v>
      </c>
      <c r="AP1" t="str">
        <f t="shared" si="2"/>
        <v>p_25 :</v>
      </c>
      <c r="AQ1" t="str">
        <f t="shared" si="2"/>
        <v>p_40 :</v>
      </c>
      <c r="AR1">
        <f t="shared" si="2"/>
        <v>2024</v>
      </c>
      <c r="AS1">
        <f t="shared" si="2"/>
        <v>2025</v>
      </c>
      <c r="AT1">
        <f t="shared" si="2"/>
        <v>2026</v>
      </c>
      <c r="AU1">
        <f t="shared" si="2"/>
        <v>2027</v>
      </c>
      <c r="AV1">
        <f t="shared" si="2"/>
        <v>2028</v>
      </c>
      <c r="AW1">
        <f t="shared" si="2"/>
        <v>2029</v>
      </c>
      <c r="AX1">
        <f t="shared" si="2"/>
        <v>2030</v>
      </c>
      <c r="AY1">
        <f t="shared" si="2"/>
        <v>2031</v>
      </c>
      <c r="AZ1">
        <f t="shared" si="2"/>
        <v>2032</v>
      </c>
      <c r="BA1">
        <f t="shared" si="2"/>
        <v>2033</v>
      </c>
      <c r="BC1" s="4">
        <f>O1</f>
        <v>0</v>
      </c>
      <c r="BD1" t="str">
        <f>P1</f>
        <v>p_25 :</v>
      </c>
      <c r="BE1" t="str">
        <f>Q1</f>
        <v>p_40 :</v>
      </c>
      <c r="BF1">
        <f>AR1</f>
        <v>2024</v>
      </c>
      <c r="BG1">
        <f>W1</f>
        <v>2029</v>
      </c>
      <c r="BH1">
        <f>BA1</f>
        <v>2033</v>
      </c>
    </row>
    <row r="2" spans="1:60" x14ac:dyDescent="0.25">
      <c r="A2">
        <v>-2</v>
      </c>
      <c r="B2" s="5">
        <f>B3</f>
        <v>27.394696296296281</v>
      </c>
      <c r="C2" s="5">
        <f>C3</f>
        <v>17.610876190476183</v>
      </c>
      <c r="D2" s="5">
        <f>SUMIFS(modif1[[srfcH]:[srfcH]],modif2[N+1],$A2,modif1[[essnc]:[essnc]],"PM")</f>
        <v>9.9627999999999997</v>
      </c>
      <c r="E2" s="5">
        <f>SUMIFS(modif1[[srfcH]:[srfcH]],modif2[N+2],$A2,modif1[[essnc]:[essnc]],"PM")</f>
        <v>14.952300000000001</v>
      </c>
      <c r="F2" s="5">
        <f>SUMIFS(modif1[[srfcH]:[srfcH]],modif2[N+3],$A2,modif1[[essnc]:[essnc]],"PM")</f>
        <v>0</v>
      </c>
      <c r="G2" s="5">
        <f>SUMIFS(modif1[[srfcH]:[srfcH]],modif2[N+4],$A2,modif1[[essnc]:[essnc]],"PM")</f>
        <v>0</v>
      </c>
      <c r="H2" s="5">
        <f>SUMIFS(modif1[[srfcH]:[srfcH]],modif2[N+5],$A2,modif1[[essnc]:[essnc]],"PM")</f>
        <v>17.860299999999999</v>
      </c>
      <c r="I2" s="5">
        <f>SUMIFS(modif1[[srfcH]:[srfcH]],modif2[N+6],$A2,modif1[[essnc]:[essnc]],"PM")</f>
        <v>17.468300000000003</v>
      </c>
      <c r="J2" s="5">
        <f>SUMIFS(modif1[[srfcH]:[srfcH]],modif2[N+7],$A2,modif1[[essnc]:[essnc]],"PM")</f>
        <v>17.424599999999998</v>
      </c>
      <c r="K2" s="5">
        <f>SUMIFS(modif1[[srfcH]:[srfcH]],modif2[N+8],$A2,modif1[[essnc]:[essnc]],"PM")</f>
        <v>16.6449</v>
      </c>
      <c r="L2" s="5">
        <f>SUMIFS(modif1[[srfcH]:[srfcH]],modif2[N+9],$A2,modif1[[essnc]:[essnc]],"PM")</f>
        <v>14.7233</v>
      </c>
      <c r="M2" s="5">
        <f>SUMIFS(modif1[[srfcH]:[srfcH]],modif2[N+10],$A2,modif1[[essnc]:[essnc]],"PM")</f>
        <v>18.321400000000001</v>
      </c>
      <c r="O2" s="4" t="s">
        <v>63</v>
      </c>
      <c r="P2" s="5">
        <f t="shared" ref="P2:AA2" si="3">SUM(B2:B3)</f>
        <v>54.789392592592563</v>
      </c>
      <c r="Q2" s="5">
        <f t="shared" si="3"/>
        <v>35.221752380952367</v>
      </c>
      <c r="R2" s="5">
        <f t="shared" si="3"/>
        <v>116.66459999999999</v>
      </c>
      <c r="S2" s="5">
        <f t="shared" si="3"/>
        <v>24.915100000000002</v>
      </c>
      <c r="T2" s="5">
        <f t="shared" si="3"/>
        <v>8.5400000000000004E-2</v>
      </c>
      <c r="U2" s="5">
        <f t="shared" si="3"/>
        <v>8.5400000000000004E-2</v>
      </c>
      <c r="V2" s="5">
        <f t="shared" si="3"/>
        <v>17.860299999999999</v>
      </c>
      <c r="W2" s="5">
        <f t="shared" si="3"/>
        <v>17.468300000000003</v>
      </c>
      <c r="X2" s="5">
        <f t="shared" si="3"/>
        <v>28.189399999999999</v>
      </c>
      <c r="Y2" s="5">
        <f t="shared" si="3"/>
        <v>17.404699999999998</v>
      </c>
      <c r="Z2" s="5">
        <f t="shared" si="3"/>
        <v>18.394100000000002</v>
      </c>
      <c r="AA2" s="5">
        <f t="shared" si="3"/>
        <v>18.321400000000001</v>
      </c>
      <c r="AC2" t="str">
        <f t="shared" ref="AC2:AC45" si="4">A1</f>
        <v>age :</v>
      </c>
      <c r="AD2">
        <f t="shared" ref="AD2:AM2" si="5">D1</f>
        <v>2024</v>
      </c>
      <c r="AE2">
        <f t="shared" si="5"/>
        <v>2025</v>
      </c>
      <c r="AF2">
        <f t="shared" si="5"/>
        <v>2026</v>
      </c>
      <c r="AG2">
        <f t="shared" si="5"/>
        <v>2027</v>
      </c>
      <c r="AH2">
        <f t="shared" si="5"/>
        <v>2028</v>
      </c>
      <c r="AI2">
        <f t="shared" si="5"/>
        <v>2029</v>
      </c>
      <c r="AJ2">
        <f t="shared" si="5"/>
        <v>2030</v>
      </c>
      <c r="AK2">
        <f t="shared" si="5"/>
        <v>2031</v>
      </c>
      <c r="AL2">
        <f t="shared" si="5"/>
        <v>2032</v>
      </c>
      <c r="AM2">
        <f t="shared" si="5"/>
        <v>2033</v>
      </c>
      <c r="BG2" s="5"/>
      <c r="BH2" s="23">
        <f>SUM(BA7:BA11)</f>
        <v>52.078799999999994</v>
      </c>
    </row>
    <row r="3" spans="1:60" x14ac:dyDescent="0.25">
      <c r="A3">
        <v>-1</v>
      </c>
      <c r="B3" s="5">
        <f>B4</f>
        <v>27.394696296296281</v>
      </c>
      <c r="C3" s="5">
        <f>C4</f>
        <v>17.610876190476183</v>
      </c>
      <c r="D3" s="5">
        <f>SUMIFS(modif1[[srfcH]:[srfcH]],modif2[N+1],$A3,modif1[[essnc]:[essnc]],"PM")</f>
        <v>106.70179999999999</v>
      </c>
      <c r="E3" s="5">
        <f>SUMIFS(modif1[[srfcH]:[srfcH]],modif2[N+2],$A3,modif1[[essnc]:[essnc]],"PM")</f>
        <v>9.9627999999999997</v>
      </c>
      <c r="F3" s="5">
        <f>SUMIFS(modif1[[srfcH]:[srfcH]],modif2[N+3],$A3,modif1[[essnc]:[essnc]],"PM")</f>
        <v>8.5400000000000004E-2</v>
      </c>
      <c r="G3" s="5">
        <f>SUMIFS(modif1[[srfcH]:[srfcH]],modif2[N+4],$A3,modif1[[essnc]:[essnc]],"PM")</f>
        <v>8.5400000000000004E-2</v>
      </c>
      <c r="H3" s="5">
        <f>SUMIFS(modif1[[srfcH]:[srfcH]],modif2[N+5],$A3,modif1[[essnc]:[essnc]],"PM")</f>
        <v>0</v>
      </c>
      <c r="I3" s="5">
        <f>SUMIFS(modif1[[srfcH]:[srfcH]],modif2[N+6],$A3,modif1[[essnc]:[essnc]],"PM")</f>
        <v>0</v>
      </c>
      <c r="J3" s="5">
        <f>SUMIFS(modif1[[srfcH]:[srfcH]],modif2[N+7],$A3,modif1[[essnc]:[essnc]],"PM")</f>
        <v>10.764799999999999</v>
      </c>
      <c r="K3" s="5">
        <f>SUMIFS(modif1[[srfcH]:[srfcH]],modif2[N+8],$A3,modif1[[essnc]:[essnc]],"PM")</f>
        <v>0.75980000000000003</v>
      </c>
      <c r="L3" s="5">
        <f>SUMIFS(modif1[[srfcH]:[srfcH]],modif2[N+9],$A3,modif1[[essnc]:[essnc]],"PM")</f>
        <v>3.6707999999999998</v>
      </c>
      <c r="M3" s="5">
        <f>SUMIFS(modif1[[srfcH]:[srfcH]],modif2[N+10],$A3,modif1[[essnc]:[essnc]],"PM")</f>
        <v>0</v>
      </c>
      <c r="O3" s="4" t="s">
        <v>64</v>
      </c>
      <c r="P3" s="5">
        <f t="shared" ref="P3:AA3" si="6">SUM(B4:B8)</f>
        <v>136.9734814814814</v>
      </c>
      <c r="Q3" s="5">
        <f t="shared" si="6"/>
        <v>88.05438095238091</v>
      </c>
      <c r="R3" s="5">
        <f t="shared" si="6"/>
        <v>39.159599999999998</v>
      </c>
      <c r="S3" s="5">
        <f t="shared" si="6"/>
        <v>142.85049999999998</v>
      </c>
      <c r="T3" s="5">
        <f t="shared" si="6"/>
        <v>167.68019999999999</v>
      </c>
      <c r="U3" s="5">
        <f t="shared" si="6"/>
        <v>167.68019999999999</v>
      </c>
      <c r="V3" s="5">
        <f t="shared" si="6"/>
        <v>166.93059999999997</v>
      </c>
      <c r="W3" s="5">
        <f t="shared" si="6"/>
        <v>149.47719999999998</v>
      </c>
      <c r="X3" s="5">
        <f t="shared" si="6"/>
        <v>49.478899999999996</v>
      </c>
      <c r="Y3" s="5">
        <f t="shared" si="6"/>
        <v>52.078799999999994</v>
      </c>
      <c r="Z3" s="5">
        <f t="shared" si="6"/>
        <v>65.812700000000007</v>
      </c>
      <c r="AA3" s="5">
        <f t="shared" si="6"/>
        <v>84.121399999999994</v>
      </c>
      <c r="AC3">
        <f t="shared" si="4"/>
        <v>-2</v>
      </c>
      <c r="AD3" s="67">
        <f>D2/regle!$B$30</f>
        <v>0.56571858732320202</v>
      </c>
      <c r="AE3" s="67">
        <f>E2/regle!$B$30</f>
        <v>0.84903782402865802</v>
      </c>
      <c r="AF3" s="67">
        <f>F2/regle!$B$30</f>
        <v>0</v>
      </c>
      <c r="AG3" s="67">
        <f>G2/regle!$B$30</f>
        <v>0</v>
      </c>
      <c r="AH3" s="67">
        <f>H2/regle!$B$30</f>
        <v>1.0141630550817626</v>
      </c>
      <c r="AI3" s="67">
        <f>I2/regle!$B$30</f>
        <v>0.99190408308285738</v>
      </c>
      <c r="AJ3" s="67">
        <f>J2/regle!$B$30</f>
        <v>0.98942266196971385</v>
      </c>
      <c r="AK3" s="67">
        <f>K2/regle!$B$30</f>
        <v>0.94514888526678897</v>
      </c>
      <c r="AL3" s="67">
        <f>L2/regle!$B$30</f>
        <v>0.83603449599868518</v>
      </c>
      <c r="AM3" s="67">
        <f>M2/regle!$B$30</f>
        <v>1.0403457387263935</v>
      </c>
      <c r="BA3" s="3">
        <f t="shared" ref="BA3:BA34" si="7">M2</f>
        <v>18.321400000000001</v>
      </c>
      <c r="BC3" s="6"/>
      <c r="BD3" s="5"/>
      <c r="BE3" s="5"/>
      <c r="BF3" s="5"/>
      <c r="BG3" s="5">
        <f>SUM(AW12:AW13)</f>
        <v>131.53149999999999</v>
      </c>
      <c r="BH3" s="5">
        <f>SUM(BA12:BA13)</f>
        <v>131.53149999999999</v>
      </c>
    </row>
    <row r="4" spans="1:60" x14ac:dyDescent="0.25">
      <c r="A4">
        <v>0</v>
      </c>
      <c r="B4" s="5">
        <f>regle!B31</f>
        <v>27.394696296296281</v>
      </c>
      <c r="C4" s="5">
        <f>regle!B30</f>
        <v>17.610876190476183</v>
      </c>
      <c r="D4" s="5">
        <f>SUMIFS(modif1[[srfcH]:[srfcH]],modif2[N+1],$A4,modif1[[essnc]:[essnc]],"PM")</f>
        <v>35.313699999999997</v>
      </c>
      <c r="E4" s="5">
        <f>SUMIFS(modif1[[srfcH]:[srfcH]],modif2[N+2],$A4,modif1[[essnc]:[essnc]],"PM")</f>
        <v>106.70179999999999</v>
      </c>
      <c r="F4" s="5">
        <f>SUMIFS(modif1[[srfcH]:[srfcH]],modif2[N+3],$A4,modif1[[essnc]:[essnc]],"PM")</f>
        <v>24.829699999999999</v>
      </c>
      <c r="G4" s="5">
        <f>SUMIFS(modif1[[srfcH]:[srfcH]],modif2[N+4],$A4,modif1[[essnc]:[essnc]],"PM")</f>
        <v>0</v>
      </c>
      <c r="H4" s="5">
        <f>SUMIFS(modif1[[srfcH]:[srfcH]],modif2[N+5],$A4,modif1[[essnc]:[essnc]],"PM")</f>
        <v>8.5400000000000004E-2</v>
      </c>
      <c r="I4" s="5">
        <f>SUMIFS(modif1[[srfcH]:[srfcH]],modif2[N+6],$A4,modif1[[essnc]:[essnc]],"PM")</f>
        <v>17.860299999999999</v>
      </c>
      <c r="J4" s="5">
        <f>SUMIFS(modif1[[srfcH]:[srfcH]],modif2[N+7],$A4,modif1[[essnc]:[essnc]],"PM")</f>
        <v>6.7035</v>
      </c>
      <c r="K4" s="5">
        <f>SUMIFS(modif1[[srfcH]:[srfcH]],modif2[N+8],$A4,modif1[[essnc]:[essnc]],"PM")</f>
        <v>27.429600000000001</v>
      </c>
      <c r="L4" s="5">
        <f>SUMIFS(modif1[[srfcH]:[srfcH]],modif2[N+9],$A4,modif1[[essnc]:[essnc]],"PM")</f>
        <v>13.7339</v>
      </c>
      <c r="M4" s="5">
        <f>SUMIFS(modif1[[srfcH]:[srfcH]],modif2[N+10],$A4,modif1[[essnc]:[essnc]],"PM")</f>
        <v>18.394099999999998</v>
      </c>
      <c r="O4" s="4" t="s">
        <v>65</v>
      </c>
      <c r="P4" s="5">
        <f t="shared" ref="P4:AA4" si="8">SUM(B9:B13)</f>
        <v>136.9734814814814</v>
      </c>
      <c r="Q4" s="5">
        <f t="shared" si="8"/>
        <v>88.05438095238091</v>
      </c>
      <c r="R4" s="5">
        <f t="shared" si="8"/>
        <v>189.52190000000002</v>
      </c>
      <c r="S4" s="5">
        <f t="shared" si="8"/>
        <v>103.49289999999999</v>
      </c>
      <c r="T4" s="5">
        <f t="shared" si="8"/>
        <v>103.49289999999999</v>
      </c>
      <c r="U4" s="5">
        <f t="shared" si="8"/>
        <v>57.782999999999987</v>
      </c>
      <c r="V4" s="5">
        <f t="shared" si="8"/>
        <v>32.475900000000003</v>
      </c>
      <c r="W4" s="5">
        <f t="shared" si="8"/>
        <v>39.159599999999998</v>
      </c>
      <c r="X4" s="5">
        <f t="shared" si="8"/>
        <v>142.85049999999998</v>
      </c>
      <c r="Y4" s="5">
        <f t="shared" si="8"/>
        <v>167.68019999999999</v>
      </c>
      <c r="Z4" s="5">
        <f t="shared" si="8"/>
        <v>167.68019999999999</v>
      </c>
      <c r="AA4" s="5">
        <f t="shared" si="8"/>
        <v>166.93059999999997</v>
      </c>
      <c r="AC4">
        <f t="shared" si="4"/>
        <v>-1</v>
      </c>
      <c r="AD4" s="67">
        <f>D3/regle!$B$30</f>
        <v>6.0588581082469615</v>
      </c>
      <c r="AE4" s="67">
        <f>E3/regle!$B$30</f>
        <v>0.56571858732320202</v>
      </c>
      <c r="AF4" s="67">
        <f>F3/regle!$B$30</f>
        <v>4.8492760426186868E-3</v>
      </c>
      <c r="AG4" s="67">
        <f>G3/regle!$B$30</f>
        <v>4.8492760426186868E-3</v>
      </c>
      <c r="AH4" s="67">
        <f>H3/regle!$B$30</f>
        <v>0</v>
      </c>
      <c r="AI4" s="67">
        <f>I3/regle!$B$30</f>
        <v>0</v>
      </c>
      <c r="AJ4" s="67">
        <f>J3/regle!$B$30</f>
        <v>0.61125862697402378</v>
      </c>
      <c r="AK4" s="67">
        <f>K3/regle!$B$30</f>
        <v>4.314379317542949E-2</v>
      </c>
      <c r="AL4" s="67">
        <f>L3/regle!$B$30</f>
        <v>0.20843937350403599</v>
      </c>
      <c r="AM4" s="67">
        <f>M3/regle!$B$30</f>
        <v>0</v>
      </c>
      <c r="AZ4" s="3">
        <f t="shared" ref="AZ4:AZ35" si="9">L2</f>
        <v>14.7233</v>
      </c>
      <c r="BA4" s="3">
        <f t="shared" si="7"/>
        <v>0</v>
      </c>
      <c r="BC4" s="6" t="str">
        <f t="shared" ref="BC4:BC12" si="10">O3</f>
        <v>00 - 04 ans</v>
      </c>
      <c r="BD4" s="5">
        <f>SUM(AP14:AP18)</f>
        <v>136.9734814814814</v>
      </c>
      <c r="BE4" s="5">
        <f>SUM(AQ14:AQ18)</f>
        <v>88.05438095238091</v>
      </c>
      <c r="BF4" s="5">
        <f>SUM(AR14:AR18)</f>
        <v>39.159599999999998</v>
      </c>
      <c r="BG4" s="5">
        <f>SUM(AW14:AW18)</f>
        <v>39.159599999999998</v>
      </c>
      <c r="BH4" s="5">
        <f>SUM(BA14:BA18)</f>
        <v>39.159599999999998</v>
      </c>
    </row>
    <row r="5" spans="1:60" x14ac:dyDescent="0.25">
      <c r="A5">
        <v>1</v>
      </c>
      <c r="B5" s="5">
        <f>B4</f>
        <v>27.394696296296281</v>
      </c>
      <c r="C5" s="5">
        <f>C4</f>
        <v>17.610876190476183</v>
      </c>
      <c r="D5" s="5">
        <f>SUMIFS(modif1[[srfcH]:[srfcH]],modif2[N+1],$A5,modif1[[essnc]:[essnc]],"PM")</f>
        <v>0.83499999999999996</v>
      </c>
      <c r="E5" s="5">
        <f>SUMIFS(modif1[[srfcH]:[srfcH]],modif2[N+2],$A5,modif1[[essnc]:[essnc]],"PM")</f>
        <v>35.313699999999997</v>
      </c>
      <c r="F5" s="5">
        <f>SUMIFS(modif1[[srfcH]:[srfcH]],modif2[N+3],$A5,modif1[[essnc]:[essnc]],"PM")</f>
        <v>106.70179999999999</v>
      </c>
      <c r="G5" s="5">
        <f>SUMIFS(modif1[[srfcH]:[srfcH]],modif2[N+4],$A5,modif1[[essnc]:[essnc]],"PM")</f>
        <v>24.829699999999999</v>
      </c>
      <c r="H5" s="5">
        <f>SUMIFS(modif1[[srfcH]:[srfcH]],modif2[N+5],$A5,modif1[[essnc]:[essnc]],"PM")</f>
        <v>0</v>
      </c>
      <c r="I5" s="5">
        <f>SUMIFS(modif1[[srfcH]:[srfcH]],modif2[N+6],$A5,modif1[[essnc]:[essnc]],"PM")</f>
        <v>8.5400000000000004E-2</v>
      </c>
      <c r="J5" s="5">
        <f>SUMIFS(modif1[[srfcH]:[srfcH]],modif2[N+7],$A5,modif1[[essnc]:[essnc]],"PM")</f>
        <v>17.860299999999999</v>
      </c>
      <c r="K5" s="5">
        <f>SUMIFS(modif1[[srfcH]:[srfcH]],modif2[N+8],$A5,modif1[[essnc]:[essnc]],"PM")</f>
        <v>6.7035</v>
      </c>
      <c r="L5" s="5">
        <f>SUMIFS(modif1[[srfcH]:[srfcH]],modif2[N+9],$A5,modif1[[essnc]:[essnc]],"PM")</f>
        <v>27.429600000000001</v>
      </c>
      <c r="M5" s="5">
        <f>SUMIFS(modif1[[srfcH]:[srfcH]],modif2[N+10],$A5,modif1[[essnc]:[essnc]],"PM")</f>
        <v>13.7339</v>
      </c>
      <c r="O5" s="4" t="s">
        <v>66</v>
      </c>
      <c r="P5" s="5">
        <f t="shared" ref="P5:AA5" si="11">SUM(B14:B18)</f>
        <v>136.9734814814814</v>
      </c>
      <c r="Q5" s="5">
        <f t="shared" si="11"/>
        <v>88.05438095238091</v>
      </c>
      <c r="R5" s="5">
        <f t="shared" si="11"/>
        <v>170.77819999999997</v>
      </c>
      <c r="S5" s="5">
        <f t="shared" si="11"/>
        <v>246.80259999999998</v>
      </c>
      <c r="T5" s="5">
        <f t="shared" si="11"/>
        <v>246.80259999999998</v>
      </c>
      <c r="U5" s="5">
        <f t="shared" si="11"/>
        <v>210.31209999999999</v>
      </c>
      <c r="V5" s="5">
        <f t="shared" si="11"/>
        <v>230.13549999999998</v>
      </c>
      <c r="W5" s="5">
        <f t="shared" si="11"/>
        <v>189.52190000000002</v>
      </c>
      <c r="X5" s="5">
        <f t="shared" si="11"/>
        <v>103.49289999999999</v>
      </c>
      <c r="Y5" s="5">
        <f t="shared" si="11"/>
        <v>103.49289999999999</v>
      </c>
      <c r="Z5" s="5">
        <f t="shared" si="11"/>
        <v>57.782999999999987</v>
      </c>
      <c r="AA5" s="5">
        <f t="shared" si="11"/>
        <v>32.475900000000003</v>
      </c>
      <c r="AC5">
        <f t="shared" si="4"/>
        <v>0</v>
      </c>
      <c r="AD5" s="67">
        <f>D4/regle!$B$30</f>
        <v>2.0052210700962938</v>
      </c>
      <c r="AE5" s="67">
        <f>E4/regle!$B$30</f>
        <v>6.0588581082469615</v>
      </c>
      <c r="AF5" s="67">
        <f>F4/regle!$B$30</f>
        <v>1.4099071353092412</v>
      </c>
      <c r="AG5" s="67">
        <f>G4/regle!$B$30</f>
        <v>0</v>
      </c>
      <c r="AH5" s="67">
        <f>H4/regle!$B$30</f>
        <v>4.8492760426186868E-3</v>
      </c>
      <c r="AI5" s="67">
        <f>I4/regle!$B$30</f>
        <v>1.0141630550817626</v>
      </c>
      <c r="AJ5" s="67">
        <f>J4/regle!$B$30</f>
        <v>0.38064545610883332</v>
      </c>
      <c r="AK5" s="67">
        <f>K4/regle!$B$30</f>
        <v>1.5575374957683084</v>
      </c>
      <c r="AL5" s="67">
        <f>L4/regle!$B$30</f>
        <v>0.7798533049381825</v>
      </c>
      <c r="AM5" s="67">
        <f>M4/regle!$B$30</f>
        <v>1.0444738695027209</v>
      </c>
      <c r="AY5" s="3">
        <f t="shared" ref="AY5:AY36" si="12">K2</f>
        <v>16.6449</v>
      </c>
      <c r="AZ5" s="3">
        <f t="shared" si="9"/>
        <v>3.6707999999999998</v>
      </c>
      <c r="BA5" s="3">
        <f t="shared" si="7"/>
        <v>18.394099999999998</v>
      </c>
      <c r="BC5" s="6" t="str">
        <f t="shared" si="10"/>
        <v>05 - 09 ans</v>
      </c>
      <c r="BD5" s="5">
        <f>SUM(AP19:AP23)</f>
        <v>136.9734814814814</v>
      </c>
      <c r="BE5" s="5">
        <f>SUM(AQ19:AQ23)</f>
        <v>88.05438095238091</v>
      </c>
      <c r="BF5" s="5">
        <f>SUM(AR19:AR23)</f>
        <v>189.52190000000002</v>
      </c>
      <c r="BG5" s="5">
        <f>SUM(AW19:AW23)</f>
        <v>189.52190000000002</v>
      </c>
      <c r="BH5" s="5">
        <f>SUM(BA19:BA23)</f>
        <v>189.52190000000002</v>
      </c>
    </row>
    <row r="6" spans="1:60" x14ac:dyDescent="0.25">
      <c r="A6">
        <v>2</v>
      </c>
      <c r="B6" s="5">
        <f t="shared" ref="B6:B28" si="13">B5</f>
        <v>27.394696296296281</v>
      </c>
      <c r="C6" s="5">
        <f t="shared" ref="C6:C43" si="14">C5</f>
        <v>17.610876190476183</v>
      </c>
      <c r="D6" s="5">
        <f>SUMIFS(modif1[[srfcH]:[srfcH]],modif2[N+1],$A6,modif1[[essnc]:[essnc]],"PM")</f>
        <v>0</v>
      </c>
      <c r="E6" s="5">
        <f>SUMIFS(modif1[[srfcH]:[srfcH]],modif2[N+2],$A6,modif1[[essnc]:[essnc]],"PM")</f>
        <v>0.83499999999999996</v>
      </c>
      <c r="F6" s="5">
        <f>SUMIFS(modif1[[srfcH]:[srfcH]],modif2[N+3],$A6,modif1[[essnc]:[essnc]],"PM")</f>
        <v>35.313699999999997</v>
      </c>
      <c r="G6" s="5">
        <f>SUMIFS(modif1[[srfcH]:[srfcH]],modif2[N+4],$A6,modif1[[essnc]:[essnc]],"PM")</f>
        <v>106.70179999999999</v>
      </c>
      <c r="H6" s="5">
        <f>SUMIFS(modif1[[srfcH]:[srfcH]],modif2[N+5],$A6,modif1[[essnc]:[essnc]],"PM")</f>
        <v>24.829699999999999</v>
      </c>
      <c r="I6" s="5">
        <f>SUMIFS(modif1[[srfcH]:[srfcH]],modif2[N+6],$A6,modif1[[essnc]:[essnc]],"PM")</f>
        <v>0</v>
      </c>
      <c r="J6" s="5">
        <f>SUMIFS(modif1[[srfcH]:[srfcH]],modif2[N+7],$A6,modif1[[essnc]:[essnc]],"PM")</f>
        <v>8.5400000000000004E-2</v>
      </c>
      <c r="K6" s="5">
        <f>SUMIFS(modif1[[srfcH]:[srfcH]],modif2[N+8],$A6,modif1[[essnc]:[essnc]],"PM")</f>
        <v>17.860299999999999</v>
      </c>
      <c r="L6" s="5">
        <f>SUMIFS(modif1[[srfcH]:[srfcH]],modif2[N+9],$A6,modif1[[essnc]:[essnc]],"PM")</f>
        <v>6.7035</v>
      </c>
      <c r="M6" s="5">
        <f>SUMIFS(modif1[[srfcH]:[srfcH]],modif2[N+10],$A6,modif1[[essnc]:[essnc]],"PM")</f>
        <v>27.429600000000001</v>
      </c>
      <c r="O6" s="4" t="s">
        <v>67</v>
      </c>
      <c r="P6" s="5">
        <f t="shared" ref="P6:AA6" si="15">SUM(B19:B23)</f>
        <v>136.9734814814814</v>
      </c>
      <c r="Q6" s="5">
        <f t="shared" si="15"/>
        <v>88.05438095238091</v>
      </c>
      <c r="R6" s="5">
        <f t="shared" si="15"/>
        <v>147.96629999999996</v>
      </c>
      <c r="S6" s="5">
        <f t="shared" si="15"/>
        <v>80.989199999999983</v>
      </c>
      <c r="T6" s="5">
        <f t="shared" si="15"/>
        <v>48.632099999999994</v>
      </c>
      <c r="U6" s="5">
        <f t="shared" si="15"/>
        <v>130.83249999999998</v>
      </c>
      <c r="V6" s="5">
        <f t="shared" si="15"/>
        <v>129.28249999999997</v>
      </c>
      <c r="W6" s="5">
        <f t="shared" si="15"/>
        <v>170.77819999999997</v>
      </c>
      <c r="X6" s="5">
        <f t="shared" si="15"/>
        <v>246.80259999999998</v>
      </c>
      <c r="Y6" s="5">
        <f t="shared" si="15"/>
        <v>246.80259999999998</v>
      </c>
      <c r="Z6" s="5">
        <f t="shared" si="15"/>
        <v>210.31209999999999</v>
      </c>
      <c r="AA6" s="5">
        <f t="shared" si="15"/>
        <v>230.13549999999998</v>
      </c>
      <c r="AC6">
        <f t="shared" si="4"/>
        <v>1</v>
      </c>
      <c r="AD6" s="67">
        <f>D5/regle!$B$30</f>
        <v>4.741388168134196E-2</v>
      </c>
      <c r="AE6" s="67">
        <f>E5/regle!$B$30</f>
        <v>2.0052210700962938</v>
      </c>
      <c r="AF6" s="67">
        <f>F5/regle!$B$30</f>
        <v>6.0588581082469615</v>
      </c>
      <c r="AG6" s="67">
        <f>G5/regle!$B$30</f>
        <v>1.4099071353092412</v>
      </c>
      <c r="AH6" s="67">
        <f>H5/regle!$B$30</f>
        <v>0</v>
      </c>
      <c r="AI6" s="67">
        <f>I5/regle!$B$30</f>
        <v>4.8492760426186868E-3</v>
      </c>
      <c r="AJ6" s="67">
        <f>J5/regle!$B$30</f>
        <v>1.0141630550817626</v>
      </c>
      <c r="AK6" s="67">
        <f>K5/regle!$B$30</f>
        <v>0.38064545610883332</v>
      </c>
      <c r="AL6" s="67">
        <f>L5/regle!$B$30</f>
        <v>1.5575374957683084</v>
      </c>
      <c r="AM6" s="67">
        <f>M5/regle!$B$30</f>
        <v>0.7798533049381825</v>
      </c>
      <c r="AX6" s="3">
        <f t="shared" ref="AX6:AX37" si="16">J2</f>
        <v>17.424599999999998</v>
      </c>
      <c r="AY6" s="3">
        <f t="shared" si="12"/>
        <v>0.75980000000000003</v>
      </c>
      <c r="AZ6" s="3">
        <f t="shared" si="9"/>
        <v>13.7339</v>
      </c>
      <c r="BA6" s="3">
        <f t="shared" si="7"/>
        <v>13.7339</v>
      </c>
      <c r="BC6" s="6" t="str">
        <f t="shared" si="10"/>
        <v>10 - 14 ans</v>
      </c>
      <c r="BD6" s="5">
        <f>SUM(AP24:AP28)</f>
        <v>136.9734814814814</v>
      </c>
      <c r="BE6" s="5">
        <f>SUM(AQ24:AQ28)</f>
        <v>88.05438095238091</v>
      </c>
      <c r="BF6" s="5">
        <f>SUM(AR24:AR28)</f>
        <v>170.77819999999997</v>
      </c>
      <c r="BG6" s="5">
        <f>SUM(AW24:AW28)</f>
        <v>170.77819999999997</v>
      </c>
      <c r="BH6" s="5">
        <f>SUM(BA24:BA28)</f>
        <v>170.77819999999997</v>
      </c>
    </row>
    <row r="7" spans="1:60" x14ac:dyDescent="0.25">
      <c r="A7">
        <v>3</v>
      </c>
      <c r="B7" s="5">
        <f t="shared" si="13"/>
        <v>27.394696296296281</v>
      </c>
      <c r="C7" s="5">
        <f t="shared" si="14"/>
        <v>17.610876190476183</v>
      </c>
      <c r="D7" s="5">
        <f>SUMIFS(modif1[[srfcH]:[srfcH]],modif2[N+1],$A7,modif1[[essnc]:[essnc]],"PM")</f>
        <v>0</v>
      </c>
      <c r="E7" s="5">
        <f>SUMIFS(modif1[[srfcH]:[srfcH]],modif2[N+2],$A7,modif1[[essnc]:[essnc]],"PM")</f>
        <v>0</v>
      </c>
      <c r="F7" s="5">
        <f>SUMIFS(modif1[[srfcH]:[srfcH]],modif2[N+3],$A7,modif1[[essnc]:[essnc]],"PM")</f>
        <v>0.83499999999999996</v>
      </c>
      <c r="G7" s="5">
        <f>SUMIFS(modif1[[srfcH]:[srfcH]],modif2[N+4],$A7,modif1[[essnc]:[essnc]],"PM")</f>
        <v>35.313699999999997</v>
      </c>
      <c r="H7" s="5">
        <f>SUMIFS(modif1[[srfcH]:[srfcH]],modif2[N+5],$A7,modif1[[essnc]:[essnc]],"PM")</f>
        <v>106.70179999999999</v>
      </c>
      <c r="I7" s="5">
        <f>SUMIFS(modif1[[srfcH]:[srfcH]],modif2[N+6],$A7,modif1[[essnc]:[essnc]],"PM")</f>
        <v>24.829699999999999</v>
      </c>
      <c r="J7" s="5">
        <f>SUMIFS(modif1[[srfcH]:[srfcH]],modif2[N+7],$A7,modif1[[essnc]:[essnc]],"PM")</f>
        <v>0</v>
      </c>
      <c r="K7" s="5">
        <f>SUMIFS(modif1[[srfcH]:[srfcH]],modif2[N+8],$A7,modif1[[essnc]:[essnc]],"PM")</f>
        <v>8.5400000000000004E-2</v>
      </c>
      <c r="L7" s="5">
        <f>SUMIFS(modif1[[srfcH]:[srfcH]],modif2[N+9],$A7,modif1[[essnc]:[essnc]],"PM")</f>
        <v>17.860299999999999</v>
      </c>
      <c r="M7" s="5">
        <f>SUMIFS(modif1[[srfcH]:[srfcH]],modif2[N+10],$A7,modif1[[essnc]:[essnc]],"PM")</f>
        <v>6.7035</v>
      </c>
      <c r="O7" s="4" t="s">
        <v>68</v>
      </c>
      <c r="P7" s="5">
        <f t="shared" ref="P7:AA7" si="17">SUM(B24:B28)</f>
        <v>136.9734814814814</v>
      </c>
      <c r="Q7" s="5">
        <f t="shared" si="17"/>
        <v>88.05438095238091</v>
      </c>
      <c r="R7" s="5">
        <f t="shared" si="17"/>
        <v>46.795200000000008</v>
      </c>
      <c r="S7" s="5">
        <f t="shared" si="17"/>
        <v>126.78779999999998</v>
      </c>
      <c r="T7" s="5">
        <f t="shared" si="17"/>
        <v>159.14489999999998</v>
      </c>
      <c r="U7" s="5">
        <f t="shared" si="17"/>
        <v>159.14489999999998</v>
      </c>
      <c r="V7" s="5">
        <f t="shared" si="17"/>
        <v>139.11749999999998</v>
      </c>
      <c r="W7" s="5">
        <f t="shared" si="17"/>
        <v>147.96629999999996</v>
      </c>
      <c r="X7" s="5">
        <f t="shared" si="17"/>
        <v>80.989199999999983</v>
      </c>
      <c r="Y7" s="5">
        <f t="shared" si="17"/>
        <v>48.632099999999994</v>
      </c>
      <c r="Z7" s="5">
        <f t="shared" si="17"/>
        <v>130.83249999999998</v>
      </c>
      <c r="AA7" s="5">
        <f t="shared" si="17"/>
        <v>129.28249999999997</v>
      </c>
      <c r="AC7">
        <f t="shared" si="4"/>
        <v>2</v>
      </c>
      <c r="AD7" s="67">
        <f>D6/regle!$B$30</f>
        <v>0</v>
      </c>
      <c r="AE7" s="67">
        <f>E6/regle!$B$30</f>
        <v>4.741388168134196E-2</v>
      </c>
      <c r="AF7" s="67">
        <f>F6/regle!$B$30</f>
        <v>2.0052210700962938</v>
      </c>
      <c r="AG7" s="67">
        <f>G6/regle!$B$30</f>
        <v>6.0588581082469615</v>
      </c>
      <c r="AH7" s="67">
        <f>H6/regle!$B$30</f>
        <v>1.4099071353092412</v>
      </c>
      <c r="AI7" s="67">
        <f>I6/regle!$B$30</f>
        <v>0</v>
      </c>
      <c r="AJ7" s="67">
        <f>J6/regle!$B$30</f>
        <v>4.8492760426186868E-3</v>
      </c>
      <c r="AK7" s="67">
        <f>K6/regle!$B$30</f>
        <v>1.0141630550817626</v>
      </c>
      <c r="AL7" s="67">
        <f>L6/regle!$B$30</f>
        <v>0.38064545610883332</v>
      </c>
      <c r="AM7" s="67">
        <f>M6/regle!$B$30</f>
        <v>1.5575374957683084</v>
      </c>
      <c r="AW7" s="3">
        <f t="shared" ref="AW7:AW40" si="18">I2</f>
        <v>17.468300000000003</v>
      </c>
      <c r="AX7" s="3">
        <f t="shared" si="16"/>
        <v>10.764799999999999</v>
      </c>
      <c r="AY7" s="3">
        <f t="shared" si="12"/>
        <v>27.429600000000001</v>
      </c>
      <c r="AZ7" s="3">
        <f t="shared" si="9"/>
        <v>27.429600000000001</v>
      </c>
      <c r="BA7" s="3">
        <f t="shared" si="7"/>
        <v>27.429600000000001</v>
      </c>
      <c r="BC7" s="6" t="str">
        <f t="shared" si="10"/>
        <v>15 - 19 ans</v>
      </c>
      <c r="BD7" s="5">
        <f>SUM(AP29:AP33)</f>
        <v>136.9734814814814</v>
      </c>
      <c r="BE7" s="5">
        <f>SUM(AQ29:AQ33)</f>
        <v>88.05438095238091</v>
      </c>
      <c r="BF7" s="5">
        <f>SUM(AR29:AR33)</f>
        <v>147.96629999999996</v>
      </c>
      <c r="BG7" s="5">
        <f>SUM(AW29:AW33)</f>
        <v>147.96629999999996</v>
      </c>
      <c r="BH7" s="5">
        <f>SUM(BA29:BA33)</f>
        <v>94.670799999999986</v>
      </c>
    </row>
    <row r="8" spans="1:60" x14ac:dyDescent="0.25">
      <c r="A8">
        <v>4</v>
      </c>
      <c r="B8" s="5">
        <f t="shared" si="13"/>
        <v>27.394696296296281</v>
      </c>
      <c r="C8" s="5">
        <f t="shared" si="14"/>
        <v>17.610876190476183</v>
      </c>
      <c r="D8" s="5">
        <f>SUMIFS(modif1[[srfcH]:[srfcH]],modif2[N+1],$A8,modif1[[essnc]:[essnc]],"PM")</f>
        <v>3.0108999999999999</v>
      </c>
      <c r="E8" s="5">
        <f>SUMIFS(modif1[[srfcH]:[srfcH]],modif2[N+2],$A8,modif1[[essnc]:[essnc]],"PM")</f>
        <v>0</v>
      </c>
      <c r="F8" s="5">
        <f>SUMIFS(modif1[[srfcH]:[srfcH]],modif2[N+3],$A8,modif1[[essnc]:[essnc]],"PM")</f>
        <v>0</v>
      </c>
      <c r="G8" s="5">
        <f>SUMIFS(modif1[[srfcH]:[srfcH]],modif2[N+4],$A8,modif1[[essnc]:[essnc]],"PM")</f>
        <v>0.83499999999999996</v>
      </c>
      <c r="H8" s="5">
        <f>SUMIFS(modif1[[srfcH]:[srfcH]],modif2[N+5],$A8,modif1[[essnc]:[essnc]],"PM")</f>
        <v>35.313699999999997</v>
      </c>
      <c r="I8" s="5">
        <f>SUMIFS(modif1[[srfcH]:[srfcH]],modif2[N+6],$A8,modif1[[essnc]:[essnc]],"PM")</f>
        <v>106.70179999999999</v>
      </c>
      <c r="J8" s="5">
        <f>SUMIFS(modif1[[srfcH]:[srfcH]],modif2[N+7],$A8,modif1[[essnc]:[essnc]],"PM")</f>
        <v>24.829699999999999</v>
      </c>
      <c r="K8" s="5">
        <f>SUMIFS(modif1[[srfcH]:[srfcH]],modif2[N+8],$A8,modif1[[essnc]:[essnc]],"PM")</f>
        <v>0</v>
      </c>
      <c r="L8" s="5">
        <f>SUMIFS(modif1[[srfcH]:[srfcH]],modif2[N+9],$A8,modif1[[essnc]:[essnc]],"PM")</f>
        <v>8.5400000000000004E-2</v>
      </c>
      <c r="M8" s="5">
        <f>SUMIFS(modif1[[srfcH]:[srfcH]],modif2[N+10],$A8,modif1[[essnc]:[essnc]],"PM")</f>
        <v>17.860299999999999</v>
      </c>
      <c r="O8" s="4" t="s">
        <v>69</v>
      </c>
      <c r="P8" s="5">
        <f t="shared" ref="P8:AA8" si="19">SUM(B29:B33)</f>
        <v>0</v>
      </c>
      <c r="Q8" s="5">
        <f t="shared" si="19"/>
        <v>88.05438095238091</v>
      </c>
      <c r="R8" s="5">
        <f t="shared" si="19"/>
        <v>13.8187</v>
      </c>
      <c r="S8" s="5">
        <f t="shared" si="19"/>
        <v>3.1713000000000005</v>
      </c>
      <c r="T8" s="5">
        <f t="shared" si="19"/>
        <v>3.1713000000000005</v>
      </c>
      <c r="U8" s="5">
        <f t="shared" si="19"/>
        <v>0</v>
      </c>
      <c r="V8" s="5">
        <f t="shared" si="19"/>
        <v>10.0358</v>
      </c>
      <c r="W8" s="5">
        <f t="shared" si="19"/>
        <v>11.4666</v>
      </c>
      <c r="X8" s="5">
        <f t="shared" si="19"/>
        <v>84.682000000000002</v>
      </c>
      <c r="Y8" s="5">
        <f t="shared" si="19"/>
        <v>100.3942</v>
      </c>
      <c r="Z8" s="5">
        <f t="shared" si="19"/>
        <v>88.842199999999991</v>
      </c>
      <c r="AA8" s="5">
        <f t="shared" si="19"/>
        <v>68.353700000000003</v>
      </c>
      <c r="AC8">
        <f t="shared" si="4"/>
        <v>3</v>
      </c>
      <c r="AD8" s="67">
        <f>D7/regle!$B$30</f>
        <v>0</v>
      </c>
      <c r="AE8" s="67">
        <f>E7/regle!$B$30</f>
        <v>0</v>
      </c>
      <c r="AF8" s="67">
        <f>F7/regle!$B$30</f>
        <v>4.741388168134196E-2</v>
      </c>
      <c r="AG8" s="67">
        <f>G7/regle!$B$30</f>
        <v>2.0052210700962938</v>
      </c>
      <c r="AH8" s="67">
        <f>H7/regle!$B$30</f>
        <v>6.0588581082469615</v>
      </c>
      <c r="AI8" s="67">
        <f>I7/regle!$B$30</f>
        <v>1.4099071353092412</v>
      </c>
      <c r="AJ8" s="67">
        <f>J7/regle!$B$30</f>
        <v>0</v>
      </c>
      <c r="AK8" s="67">
        <f>K7/regle!$B$30</f>
        <v>4.8492760426186868E-3</v>
      </c>
      <c r="AL8" s="67">
        <f>L7/regle!$B$30</f>
        <v>1.0141630550817626</v>
      </c>
      <c r="AM8" s="67">
        <f>M7/regle!$B$30</f>
        <v>0.38064545610883332</v>
      </c>
      <c r="AV8" s="3">
        <f t="shared" ref="AV8:AV39" si="20">H2</f>
        <v>17.860299999999999</v>
      </c>
      <c r="AW8" s="3">
        <f t="shared" si="18"/>
        <v>0</v>
      </c>
      <c r="AX8" s="3">
        <f t="shared" si="16"/>
        <v>6.7035</v>
      </c>
      <c r="AY8" s="3">
        <f t="shared" si="12"/>
        <v>6.7035</v>
      </c>
      <c r="AZ8" s="3">
        <f t="shared" si="9"/>
        <v>6.7035</v>
      </c>
      <c r="BA8" s="3">
        <f t="shared" si="7"/>
        <v>6.7035</v>
      </c>
      <c r="BC8" s="6" t="str">
        <f t="shared" si="10"/>
        <v>20 - 24 ans</v>
      </c>
      <c r="BD8" s="5">
        <f>SUM(AP34:AP38)</f>
        <v>136.9734814814814</v>
      </c>
      <c r="BE8" s="5">
        <f>SUM(AQ34:AQ38)</f>
        <v>88.05438095238091</v>
      </c>
      <c r="BF8" s="5">
        <f>SUM(AR34:AR38)</f>
        <v>46.795200000000008</v>
      </c>
      <c r="BG8" s="5">
        <f>SUM(AW34:AW38)</f>
        <v>11.4666</v>
      </c>
      <c r="BH8" s="5">
        <f>SUM(BA34:BA38)</f>
        <v>11.4666</v>
      </c>
    </row>
    <row r="9" spans="1:60" x14ac:dyDescent="0.25">
      <c r="A9">
        <v>5</v>
      </c>
      <c r="B9" s="5">
        <f t="shared" si="13"/>
        <v>27.394696296296281</v>
      </c>
      <c r="C9" s="5">
        <f t="shared" si="14"/>
        <v>17.610876190476183</v>
      </c>
      <c r="D9" s="5">
        <f>SUMIFS(modif1[[srfcH]:[srfcH]],modif2[N+1],$A9,modif1[[essnc]:[essnc]],"PM")</f>
        <v>28.630000000000003</v>
      </c>
      <c r="E9" s="5">
        <f>SUMIFS(modif1[[srfcH]:[srfcH]],modif2[N+2],$A9,modif1[[essnc]:[essnc]],"PM")</f>
        <v>3.0108999999999999</v>
      </c>
      <c r="F9" s="5">
        <f>SUMIFS(modif1[[srfcH]:[srfcH]],modif2[N+3],$A9,modif1[[essnc]:[essnc]],"PM")</f>
        <v>0</v>
      </c>
      <c r="G9" s="5">
        <f>SUMIFS(modif1[[srfcH]:[srfcH]],modif2[N+4],$A9,modif1[[essnc]:[essnc]],"PM")</f>
        <v>0</v>
      </c>
      <c r="H9" s="5">
        <f>SUMIFS(modif1[[srfcH]:[srfcH]],modif2[N+5],$A9,modif1[[essnc]:[essnc]],"PM")</f>
        <v>0.83499999999999996</v>
      </c>
      <c r="I9" s="5">
        <f>SUMIFS(modif1[[srfcH]:[srfcH]],modif2[N+6],$A9,modif1[[essnc]:[essnc]],"PM")</f>
        <v>35.313699999999997</v>
      </c>
      <c r="J9" s="5">
        <f>SUMIFS(modif1[[srfcH]:[srfcH]],modif2[N+7],$A9,modif1[[essnc]:[essnc]],"PM")</f>
        <v>106.70179999999999</v>
      </c>
      <c r="K9" s="5">
        <f>SUMIFS(modif1[[srfcH]:[srfcH]],modif2[N+8],$A9,modif1[[essnc]:[essnc]],"PM")</f>
        <v>24.829699999999999</v>
      </c>
      <c r="L9" s="5">
        <f>SUMIFS(modif1[[srfcH]:[srfcH]],modif2[N+9],$A9,modif1[[essnc]:[essnc]],"PM")</f>
        <v>0</v>
      </c>
      <c r="M9" s="5">
        <f>SUMIFS(modif1[[srfcH]:[srfcH]],modif2[N+10],$A9,modif1[[essnc]:[essnc]],"PM")</f>
        <v>8.5400000000000004E-2</v>
      </c>
      <c r="O9" s="4" t="s">
        <v>70</v>
      </c>
      <c r="P9" s="5">
        <f t="shared" ref="P9:AA9" si="21">SUM(B34:B38)</f>
        <v>0</v>
      </c>
      <c r="Q9" s="5">
        <f t="shared" si="21"/>
        <v>88.05438095238091</v>
      </c>
      <c r="R9" s="5">
        <f t="shared" si="21"/>
        <v>8.5400000000000004E-2</v>
      </c>
      <c r="S9" s="5">
        <f t="shared" si="21"/>
        <v>10.647399999999999</v>
      </c>
      <c r="T9" s="5">
        <f t="shared" si="21"/>
        <v>10.647399999999999</v>
      </c>
      <c r="U9" s="5">
        <f t="shared" si="21"/>
        <v>13.8187</v>
      </c>
      <c r="V9" s="5">
        <f t="shared" si="21"/>
        <v>13.8187</v>
      </c>
      <c r="W9" s="5">
        <f t="shared" si="21"/>
        <v>13.8187</v>
      </c>
      <c r="X9" s="5">
        <f t="shared" si="21"/>
        <v>3.1713000000000005</v>
      </c>
      <c r="Y9" s="5">
        <f t="shared" si="21"/>
        <v>3.1713000000000005</v>
      </c>
      <c r="Z9" s="5">
        <f t="shared" si="21"/>
        <v>0</v>
      </c>
      <c r="AA9" s="5">
        <f t="shared" si="21"/>
        <v>10.0358</v>
      </c>
      <c r="AC9">
        <f t="shared" si="4"/>
        <v>4</v>
      </c>
      <c r="AD9" s="67">
        <f>D8/regle!$B$30</f>
        <v>0.17096821120281738</v>
      </c>
      <c r="AE9" s="67">
        <f>E8/regle!$B$30</f>
        <v>0</v>
      </c>
      <c r="AF9" s="67">
        <f>F8/regle!$B$30</f>
        <v>0</v>
      </c>
      <c r="AG9" s="67">
        <f>G8/regle!$B$30</f>
        <v>4.741388168134196E-2</v>
      </c>
      <c r="AH9" s="67">
        <f>H8/regle!$B$30</f>
        <v>2.0052210700962938</v>
      </c>
      <c r="AI9" s="67">
        <f>I8/regle!$B$30</f>
        <v>6.0588581082469615</v>
      </c>
      <c r="AJ9" s="67">
        <f>J8/regle!$B$30</f>
        <v>1.4099071353092412</v>
      </c>
      <c r="AK9" s="67">
        <f>K8/regle!$B$30</f>
        <v>0</v>
      </c>
      <c r="AL9" s="67">
        <f>L8/regle!$B$30</f>
        <v>4.8492760426186868E-3</v>
      </c>
      <c r="AM9" s="67">
        <f>M8/regle!$B$30</f>
        <v>1.0141630550817626</v>
      </c>
      <c r="AU9" s="3">
        <f t="shared" ref="AU9:AU40" si="22">G2</f>
        <v>0</v>
      </c>
      <c r="AV9" s="3">
        <f t="shared" si="20"/>
        <v>0</v>
      </c>
      <c r="AW9" s="3">
        <f t="shared" si="18"/>
        <v>17.860299999999999</v>
      </c>
      <c r="AX9" s="3">
        <f t="shared" si="16"/>
        <v>17.860299999999999</v>
      </c>
      <c r="AY9" s="3">
        <f t="shared" si="12"/>
        <v>17.860299999999999</v>
      </c>
      <c r="AZ9" s="3">
        <f t="shared" si="9"/>
        <v>17.860299999999999</v>
      </c>
      <c r="BA9" s="3">
        <f t="shared" si="7"/>
        <v>17.860299999999999</v>
      </c>
      <c r="BC9" s="6" t="str">
        <f t="shared" si="10"/>
        <v>25 - 29 ans</v>
      </c>
      <c r="BD9" s="5">
        <f>SUM(AP39:AP43)</f>
        <v>0</v>
      </c>
      <c r="BE9" s="5">
        <f>SUM(AQ39:AQ43)</f>
        <v>88.05438095238091</v>
      </c>
      <c r="BF9" s="5">
        <f>SUM(AR39:AR43)</f>
        <v>13.8187</v>
      </c>
      <c r="BG9" s="5">
        <f>SUM(AW39:AW43)</f>
        <v>13.8187</v>
      </c>
      <c r="BH9" s="5">
        <f>SUM(BA39:BA43)</f>
        <v>0</v>
      </c>
    </row>
    <row r="10" spans="1:60" x14ac:dyDescent="0.25">
      <c r="A10">
        <v>6</v>
      </c>
      <c r="B10" s="5">
        <f t="shared" si="13"/>
        <v>27.394696296296281</v>
      </c>
      <c r="C10" s="5">
        <f t="shared" si="14"/>
        <v>17.610876190476183</v>
      </c>
      <c r="D10" s="5">
        <f>SUMIFS(modif1[[srfcH]:[srfcH]],modif2[N+1],$A10,modif1[[essnc]:[essnc]],"PM")</f>
        <v>26.142099999999989</v>
      </c>
      <c r="E10" s="5">
        <f>SUMIFS(modif1[[srfcH]:[srfcH]],modif2[N+2],$A10,modif1[[essnc]:[essnc]],"PM")</f>
        <v>28.630000000000003</v>
      </c>
      <c r="F10" s="5">
        <f>SUMIFS(modif1[[srfcH]:[srfcH]],modif2[N+3],$A10,modif1[[essnc]:[essnc]],"PM")</f>
        <v>3.0108999999999999</v>
      </c>
      <c r="G10" s="5">
        <f>SUMIFS(modif1[[srfcH]:[srfcH]],modif2[N+4],$A10,modif1[[essnc]:[essnc]],"PM")</f>
        <v>0</v>
      </c>
      <c r="H10" s="5">
        <f>SUMIFS(modif1[[srfcH]:[srfcH]],modif2[N+5],$A10,modif1[[essnc]:[essnc]],"PM")</f>
        <v>0</v>
      </c>
      <c r="I10" s="5">
        <f>SUMIFS(modif1[[srfcH]:[srfcH]],modif2[N+6],$A10,modif1[[essnc]:[essnc]],"PM")</f>
        <v>0.83499999999999996</v>
      </c>
      <c r="J10" s="5">
        <f>SUMIFS(modif1[[srfcH]:[srfcH]],modif2[N+7],$A10,modif1[[essnc]:[essnc]],"PM")</f>
        <v>35.313699999999997</v>
      </c>
      <c r="K10" s="5">
        <f>SUMIFS(modif1[[srfcH]:[srfcH]],modif2[N+8],$A10,modif1[[essnc]:[essnc]],"PM")</f>
        <v>106.70179999999999</v>
      </c>
      <c r="L10" s="5">
        <f>SUMIFS(modif1[[srfcH]:[srfcH]],modif2[N+9],$A10,modif1[[essnc]:[essnc]],"PM")</f>
        <v>24.829699999999999</v>
      </c>
      <c r="M10" s="5">
        <f>SUMIFS(modif1[[srfcH]:[srfcH]],modif2[N+10],$A10,modif1[[essnc]:[essnc]],"PM")</f>
        <v>0</v>
      </c>
      <c r="O10" s="4" t="s">
        <v>71</v>
      </c>
      <c r="P10" s="5">
        <f t="shared" ref="P10:AA10" si="23">SUM(B39:B43)</f>
        <v>0</v>
      </c>
      <c r="Q10" s="5">
        <f t="shared" si="23"/>
        <v>88.05438095238091</v>
      </c>
      <c r="R10" s="5">
        <f t="shared" si="23"/>
        <v>14.866900000000001</v>
      </c>
      <c r="S10" s="5">
        <f t="shared" si="23"/>
        <v>0</v>
      </c>
      <c r="T10" s="5">
        <f t="shared" si="23"/>
        <v>0</v>
      </c>
      <c r="U10" s="5">
        <f t="shared" si="23"/>
        <v>0</v>
      </c>
      <c r="V10" s="5">
        <f t="shared" si="23"/>
        <v>0</v>
      </c>
      <c r="W10" s="5">
        <f t="shared" si="23"/>
        <v>0</v>
      </c>
      <c r="X10" s="5">
        <f t="shared" si="23"/>
        <v>0</v>
      </c>
      <c r="Y10" s="5">
        <f t="shared" si="23"/>
        <v>0</v>
      </c>
      <c r="Z10" s="5">
        <f t="shared" si="23"/>
        <v>0</v>
      </c>
      <c r="AA10" s="5">
        <f t="shared" si="23"/>
        <v>0</v>
      </c>
      <c r="AC10">
        <f t="shared" si="4"/>
        <v>5</v>
      </c>
      <c r="AD10" s="67">
        <f>D9/regle!$B$30</f>
        <v>1.6256999192057731</v>
      </c>
      <c r="AE10" s="67">
        <f>E9/regle!$B$30</f>
        <v>0.17096821120281738</v>
      </c>
      <c r="AF10" s="67">
        <f>F9/regle!$B$30</f>
        <v>0</v>
      </c>
      <c r="AG10" s="67">
        <f>G9/regle!$B$30</f>
        <v>0</v>
      </c>
      <c r="AH10" s="67">
        <f>H9/regle!$B$30</f>
        <v>4.741388168134196E-2</v>
      </c>
      <c r="AI10" s="67">
        <f>I9/regle!$B$30</f>
        <v>2.0052210700962938</v>
      </c>
      <c r="AJ10" s="67">
        <f>J9/regle!$B$30</f>
        <v>6.0588581082469615</v>
      </c>
      <c r="AK10" s="67">
        <f>K9/regle!$B$30</f>
        <v>1.4099071353092412</v>
      </c>
      <c r="AL10" s="67">
        <f>L9/regle!$B$30</f>
        <v>0</v>
      </c>
      <c r="AM10" s="67">
        <f>M9/regle!$B$30</f>
        <v>4.8492760426186868E-3</v>
      </c>
      <c r="AT10" s="3">
        <f t="shared" ref="AT10:AT41" si="24">F2</f>
        <v>0</v>
      </c>
      <c r="AU10" s="3">
        <f t="shared" si="22"/>
        <v>8.5400000000000004E-2</v>
      </c>
      <c r="AV10" s="3">
        <f t="shared" si="20"/>
        <v>8.5400000000000004E-2</v>
      </c>
      <c r="AW10" s="3">
        <f t="shared" si="18"/>
        <v>8.5400000000000004E-2</v>
      </c>
      <c r="AX10" s="3">
        <f t="shared" si="16"/>
        <v>8.5400000000000004E-2</v>
      </c>
      <c r="AY10" s="3">
        <f t="shared" si="12"/>
        <v>8.5400000000000004E-2</v>
      </c>
      <c r="AZ10" s="3">
        <f t="shared" si="9"/>
        <v>8.5400000000000004E-2</v>
      </c>
      <c r="BA10" s="3">
        <f t="shared" si="7"/>
        <v>8.5400000000000004E-2</v>
      </c>
      <c r="BC10" s="6" t="str">
        <f t="shared" si="10"/>
        <v>30 - 34 ans</v>
      </c>
      <c r="BD10" s="5">
        <f>SUM(AP44:AP48)</f>
        <v>0</v>
      </c>
      <c r="BE10" s="5">
        <f>SUM(AQ44:AQ48)</f>
        <v>88.05438095238091</v>
      </c>
      <c r="BF10" s="5">
        <f>SUM(AR44:AR48)</f>
        <v>8.5400000000000004E-2</v>
      </c>
      <c r="BG10" s="5">
        <f>SUM(AW44:AW48)</f>
        <v>0</v>
      </c>
      <c r="BH10" s="5">
        <f>SUM(BA44:BA48)</f>
        <v>0</v>
      </c>
    </row>
    <row r="11" spans="1:60" x14ac:dyDescent="0.25">
      <c r="A11">
        <v>7</v>
      </c>
      <c r="B11" s="5">
        <f t="shared" si="13"/>
        <v>27.394696296296281</v>
      </c>
      <c r="C11" s="5">
        <f t="shared" si="14"/>
        <v>17.610876190476183</v>
      </c>
      <c r="D11" s="5">
        <f>SUMIFS(modif1[[srfcH]:[srfcH]],modif2[N+1],$A11,modif1[[essnc]:[essnc]],"PM")</f>
        <v>45.709899999999998</v>
      </c>
      <c r="E11" s="5">
        <f>SUMIFS(modif1[[srfcH]:[srfcH]],modif2[N+2],$A11,modif1[[essnc]:[essnc]],"PM")</f>
        <v>26.142099999999989</v>
      </c>
      <c r="F11" s="5">
        <f>SUMIFS(modif1[[srfcH]:[srfcH]],modif2[N+3],$A11,modif1[[essnc]:[essnc]],"PM")</f>
        <v>28.630000000000003</v>
      </c>
      <c r="G11" s="5">
        <f>SUMIFS(modif1[[srfcH]:[srfcH]],modif2[N+4],$A11,modif1[[essnc]:[essnc]],"PM")</f>
        <v>3.0108999999999999</v>
      </c>
      <c r="H11" s="5">
        <f>SUMIFS(modif1[[srfcH]:[srfcH]],modif2[N+5],$A11,modif1[[essnc]:[essnc]],"PM")</f>
        <v>0</v>
      </c>
      <c r="I11" s="5">
        <f>SUMIFS(modif1[[srfcH]:[srfcH]],modif2[N+6],$A11,modif1[[essnc]:[essnc]],"PM")</f>
        <v>0</v>
      </c>
      <c r="J11" s="5">
        <f>SUMIFS(modif1[[srfcH]:[srfcH]],modif2[N+7],$A11,modif1[[essnc]:[essnc]],"PM")</f>
        <v>0.83499999999999996</v>
      </c>
      <c r="K11" s="5">
        <f>SUMIFS(modif1[[srfcH]:[srfcH]],modif2[N+8],$A11,modif1[[essnc]:[essnc]],"PM")</f>
        <v>35.313699999999997</v>
      </c>
      <c r="L11" s="5">
        <f>SUMIFS(modif1[[srfcH]:[srfcH]],modif2[N+9],$A11,modif1[[essnc]:[essnc]],"PM")</f>
        <v>106.70179999999999</v>
      </c>
      <c r="M11" s="5">
        <f>SUMIFS(modif1[[srfcH]:[srfcH]],modif2[N+10],$A11,modif1[[essnc]:[essnc]],"PM")</f>
        <v>24.829699999999999</v>
      </c>
      <c r="O11" s="4" t="s">
        <v>72</v>
      </c>
      <c r="P11" s="5">
        <f t="shared" ref="P11:AA11" si="25">SUM(B44:B48)</f>
        <v>0</v>
      </c>
      <c r="Q11" s="5">
        <f t="shared" si="25"/>
        <v>0</v>
      </c>
      <c r="R11" s="5">
        <f t="shared" si="25"/>
        <v>0</v>
      </c>
      <c r="S11" s="5">
        <f t="shared" si="25"/>
        <v>0</v>
      </c>
      <c r="T11" s="5">
        <f t="shared" si="25"/>
        <v>0</v>
      </c>
      <c r="U11" s="5">
        <f t="shared" si="25"/>
        <v>0</v>
      </c>
      <c r="V11" s="5">
        <f t="shared" si="25"/>
        <v>0</v>
      </c>
      <c r="W11" s="5">
        <f t="shared" si="25"/>
        <v>0</v>
      </c>
      <c r="X11" s="5">
        <f t="shared" si="25"/>
        <v>0</v>
      </c>
      <c r="Y11" s="5">
        <f t="shared" si="25"/>
        <v>0</v>
      </c>
      <c r="Z11" s="5">
        <f t="shared" si="25"/>
        <v>0</v>
      </c>
      <c r="AA11" s="5">
        <f t="shared" si="25"/>
        <v>0</v>
      </c>
      <c r="AC11">
        <f t="shared" si="4"/>
        <v>6</v>
      </c>
      <c r="AD11" s="67">
        <f>D10/regle!$B$30</f>
        <v>1.4844292650321067</v>
      </c>
      <c r="AE11" s="67">
        <f>E10/regle!$B$30</f>
        <v>1.6256999192057731</v>
      </c>
      <c r="AF11" s="67">
        <f>F10/regle!$B$30</f>
        <v>0.17096821120281738</v>
      </c>
      <c r="AG11" s="67">
        <f>G10/regle!$B$30</f>
        <v>0</v>
      </c>
      <c r="AH11" s="67">
        <f>H10/regle!$B$30</f>
        <v>0</v>
      </c>
      <c r="AI11" s="67">
        <f>I10/regle!$B$30</f>
        <v>4.741388168134196E-2</v>
      </c>
      <c r="AJ11" s="67">
        <f>J10/regle!$B$30</f>
        <v>2.0052210700962938</v>
      </c>
      <c r="AK11" s="67">
        <f>K10/regle!$B$30</f>
        <v>6.0588581082469615</v>
      </c>
      <c r="AL11" s="67">
        <f>L10/regle!$B$30</f>
        <v>1.4099071353092412</v>
      </c>
      <c r="AM11" s="67">
        <f>M10/regle!$B$30</f>
        <v>0</v>
      </c>
      <c r="AS11" s="3">
        <f t="shared" ref="AS11:AS42" si="26">E2</f>
        <v>14.952300000000001</v>
      </c>
      <c r="AT11" s="3">
        <f t="shared" si="24"/>
        <v>8.5400000000000004E-2</v>
      </c>
      <c r="AU11" s="3">
        <f t="shared" si="22"/>
        <v>0</v>
      </c>
      <c r="AV11" s="3">
        <f t="shared" si="20"/>
        <v>0</v>
      </c>
      <c r="AW11" s="3">
        <f t="shared" si="18"/>
        <v>0</v>
      </c>
      <c r="AX11" s="3">
        <f t="shared" si="16"/>
        <v>0</v>
      </c>
      <c r="AY11" s="3">
        <f t="shared" si="12"/>
        <v>0</v>
      </c>
      <c r="AZ11" s="3">
        <f t="shared" si="9"/>
        <v>0</v>
      </c>
      <c r="BA11" s="3">
        <f t="shared" si="7"/>
        <v>0</v>
      </c>
      <c r="BC11" s="6" t="str">
        <f t="shared" si="10"/>
        <v>35 - 39 ans</v>
      </c>
      <c r="BD11" s="5">
        <f>SUM(AP49:AP53)</f>
        <v>0</v>
      </c>
      <c r="BE11" s="5">
        <f>SUM(AQ49:AQ53)</f>
        <v>88.05438095238091</v>
      </c>
      <c r="BF11" s="5">
        <f>SUM(AR49:AR53)</f>
        <v>14.866900000000001</v>
      </c>
      <c r="BG11" s="5">
        <f>SUM(AW49:AW53)</f>
        <v>0</v>
      </c>
      <c r="BH11" s="5">
        <f>SUM(BA49:BA53)</f>
        <v>0</v>
      </c>
    </row>
    <row r="12" spans="1:60" x14ac:dyDescent="0.25">
      <c r="A12">
        <v>8</v>
      </c>
      <c r="B12" s="5">
        <f t="shared" si="13"/>
        <v>27.394696296296281</v>
      </c>
      <c r="C12" s="5">
        <f t="shared" si="14"/>
        <v>17.610876190476183</v>
      </c>
      <c r="D12" s="5">
        <f>SUMIFS(modif1[[srfcH]:[srfcH]],modif2[N+1],$A12,modif1[[essnc]:[essnc]],"PM")</f>
        <v>0</v>
      </c>
      <c r="E12" s="5">
        <f>SUMIFS(modif1[[srfcH]:[srfcH]],modif2[N+2],$A12,modif1[[essnc]:[essnc]],"PM")</f>
        <v>45.709899999999998</v>
      </c>
      <c r="F12" s="5">
        <f>SUMIFS(modif1[[srfcH]:[srfcH]],modif2[N+3],$A12,modif1[[essnc]:[essnc]],"PM")</f>
        <v>26.142099999999989</v>
      </c>
      <c r="G12" s="5">
        <f>SUMIFS(modif1[[srfcH]:[srfcH]],modif2[N+4],$A12,modif1[[essnc]:[essnc]],"PM")</f>
        <v>28.630000000000003</v>
      </c>
      <c r="H12" s="5">
        <f>SUMIFS(modif1[[srfcH]:[srfcH]],modif2[N+5],$A12,modif1[[essnc]:[essnc]],"PM")</f>
        <v>3.0108999999999999</v>
      </c>
      <c r="I12" s="5">
        <f>SUMIFS(modif1[[srfcH]:[srfcH]],modif2[N+6],$A12,modif1[[essnc]:[essnc]],"PM")</f>
        <v>0</v>
      </c>
      <c r="J12" s="5">
        <f>SUMIFS(modif1[[srfcH]:[srfcH]],modif2[N+7],$A12,modif1[[essnc]:[essnc]],"PM")</f>
        <v>0</v>
      </c>
      <c r="K12" s="5">
        <f>SUMIFS(modif1[[srfcH]:[srfcH]],modif2[N+8],$A12,modif1[[essnc]:[essnc]],"PM")</f>
        <v>0.83499999999999996</v>
      </c>
      <c r="L12" s="5">
        <f>SUMIFS(modif1[[srfcH]:[srfcH]],modif2[N+9],$A12,modif1[[essnc]:[essnc]],"PM")</f>
        <v>35.313699999999997</v>
      </c>
      <c r="M12" s="5">
        <f>SUMIFS(modif1[[srfcH]:[srfcH]],modif2[N+10],$A12,modif1[[essnc]:[essnc]],"PM")</f>
        <v>106.70179999999999</v>
      </c>
      <c r="O12" s="4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C12">
        <f t="shared" si="4"/>
        <v>7</v>
      </c>
      <c r="AD12" s="67">
        <f>D11/regle!$B$30</f>
        <v>2.5955494494203268</v>
      </c>
      <c r="AE12" s="67">
        <f>E11/regle!$B$30</f>
        <v>1.4844292650321067</v>
      </c>
      <c r="AF12" s="67">
        <f>F11/regle!$B$30</f>
        <v>1.6256999192057731</v>
      </c>
      <c r="AG12" s="67">
        <f>G11/regle!$B$30</f>
        <v>0.17096821120281738</v>
      </c>
      <c r="AH12" s="67">
        <f>H11/regle!$B$30</f>
        <v>0</v>
      </c>
      <c r="AI12" s="67">
        <f>I11/regle!$B$30</f>
        <v>0</v>
      </c>
      <c r="AJ12" s="67">
        <f>J11/regle!$B$30</f>
        <v>4.741388168134196E-2</v>
      </c>
      <c r="AK12" s="67">
        <f>K11/regle!$B$30</f>
        <v>2.0052210700962938</v>
      </c>
      <c r="AL12" s="67">
        <f>L11/regle!$B$30</f>
        <v>6.0588581082469615</v>
      </c>
      <c r="AM12" s="67">
        <f>M11/regle!$B$30</f>
        <v>1.4099071353092412</v>
      </c>
      <c r="AO12">
        <f t="shared" ref="AO12:AO43" si="27">A2</f>
        <v>-2</v>
      </c>
      <c r="AP12" s="3">
        <f t="shared" ref="AP12:AP43" si="28">B2</f>
        <v>27.394696296296281</v>
      </c>
      <c r="AQ12" s="3">
        <f t="shared" ref="AQ12:AQ43" si="29">C2</f>
        <v>17.610876190476183</v>
      </c>
      <c r="AR12" s="3">
        <f t="shared" ref="AR12:AR43" si="30">D2</f>
        <v>9.9627999999999997</v>
      </c>
      <c r="AS12" s="3">
        <f t="shared" si="26"/>
        <v>9.9627999999999997</v>
      </c>
      <c r="AT12" s="3">
        <f t="shared" si="24"/>
        <v>24.829699999999999</v>
      </c>
      <c r="AU12" s="3">
        <f t="shared" si="22"/>
        <v>24.829699999999999</v>
      </c>
      <c r="AV12" s="3">
        <f t="shared" si="20"/>
        <v>24.829699999999999</v>
      </c>
      <c r="AW12" s="3">
        <f t="shared" si="18"/>
        <v>24.829699999999999</v>
      </c>
      <c r="AX12" s="3">
        <f t="shared" si="16"/>
        <v>24.829699999999999</v>
      </c>
      <c r="AY12" s="3">
        <f t="shared" si="12"/>
        <v>24.829699999999999</v>
      </c>
      <c r="AZ12" s="3">
        <f t="shared" si="9"/>
        <v>24.829699999999999</v>
      </c>
      <c r="BA12" s="3">
        <f t="shared" si="7"/>
        <v>24.829699999999999</v>
      </c>
      <c r="BC12" s="6" t="str">
        <f t="shared" si="10"/>
        <v>40 ans &amp; +</v>
      </c>
      <c r="BD12" s="5">
        <f>SUM(AP54:AP58)</f>
        <v>0</v>
      </c>
      <c r="BE12" s="5">
        <f>SUM(AQ54:AQ58)</f>
        <v>0</v>
      </c>
      <c r="BF12" s="5">
        <f>SUM(AR54:AR58)</f>
        <v>0</v>
      </c>
      <c r="BG12" s="5">
        <f>SUM(AW54:AW58)</f>
        <v>0</v>
      </c>
      <c r="BH12" s="5">
        <f>SUM(BA54:BA58)</f>
        <v>0</v>
      </c>
    </row>
    <row r="13" spans="1:60" x14ac:dyDescent="0.25">
      <c r="A13">
        <v>9</v>
      </c>
      <c r="B13" s="5">
        <f t="shared" si="13"/>
        <v>27.394696296296281</v>
      </c>
      <c r="C13" s="5">
        <f t="shared" si="14"/>
        <v>17.610876190476183</v>
      </c>
      <c r="D13" s="5">
        <f>SUMIFS(modif1[[srfcH]:[srfcH]],modif2[N+1],$A13,modif1[[essnc]:[essnc]],"PM")</f>
        <v>89.039900000000003</v>
      </c>
      <c r="E13" s="5">
        <f>SUMIFS(modif1[[srfcH]:[srfcH]],modif2[N+2],$A13,modif1[[essnc]:[essnc]],"PM")</f>
        <v>0</v>
      </c>
      <c r="F13" s="5">
        <f>SUMIFS(modif1[[srfcH]:[srfcH]],modif2[N+3],$A13,modif1[[essnc]:[essnc]],"PM")</f>
        <v>45.709899999999998</v>
      </c>
      <c r="G13" s="5">
        <f>SUMIFS(modif1[[srfcH]:[srfcH]],modif2[N+4],$A13,modif1[[essnc]:[essnc]],"PM")</f>
        <v>26.142099999999989</v>
      </c>
      <c r="H13" s="5">
        <f>SUMIFS(modif1[[srfcH]:[srfcH]],modif2[N+5],$A13,modif1[[essnc]:[essnc]],"PM")</f>
        <v>28.630000000000003</v>
      </c>
      <c r="I13" s="5">
        <f>SUMIFS(modif1[[srfcH]:[srfcH]],modif2[N+6],$A13,modif1[[essnc]:[essnc]],"PM")</f>
        <v>3.0108999999999999</v>
      </c>
      <c r="J13" s="5">
        <f>SUMIFS(modif1[[srfcH]:[srfcH]],modif2[N+7],$A13,modif1[[essnc]:[essnc]],"PM")</f>
        <v>0</v>
      </c>
      <c r="K13" s="5">
        <f>SUMIFS(modif1[[srfcH]:[srfcH]],modif2[N+8],$A13,modif1[[essnc]:[essnc]],"PM")</f>
        <v>0</v>
      </c>
      <c r="L13" s="5">
        <f>SUMIFS(modif1[[srfcH]:[srfcH]],modif2[N+9],$A13,modif1[[essnc]:[essnc]],"PM")</f>
        <v>0.83499999999999996</v>
      </c>
      <c r="M13" s="5">
        <f>SUMIFS(modif1[[srfcH]:[srfcH]],modif2[N+10],$A13,modif1[[essnc]:[essnc]],"PM")</f>
        <v>35.313699999999997</v>
      </c>
      <c r="O13" s="4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C13">
        <f t="shared" si="4"/>
        <v>8</v>
      </c>
      <c r="AD13" s="67">
        <f>D12/regle!$B$30</f>
        <v>0</v>
      </c>
      <c r="AE13" s="67">
        <f>E12/regle!$B$30</f>
        <v>2.5955494494203268</v>
      </c>
      <c r="AF13" s="67">
        <f>F12/regle!$B$30</f>
        <v>1.4844292650321067</v>
      </c>
      <c r="AG13" s="67">
        <f>G12/regle!$B$30</f>
        <v>1.6256999192057731</v>
      </c>
      <c r="AH13" s="67">
        <f>H12/regle!$B$30</f>
        <v>0.17096821120281738</v>
      </c>
      <c r="AI13" s="67">
        <f>I12/regle!$B$30</f>
        <v>0</v>
      </c>
      <c r="AJ13" s="67">
        <f>J12/regle!$B$30</f>
        <v>0</v>
      </c>
      <c r="AK13" s="67">
        <f>K12/regle!$B$30</f>
        <v>4.741388168134196E-2</v>
      </c>
      <c r="AL13" s="67">
        <f>L12/regle!$B$30</f>
        <v>2.0052210700962938</v>
      </c>
      <c r="AM13" s="67">
        <f>M12/regle!$B$30</f>
        <v>6.0588581082469615</v>
      </c>
      <c r="AO13">
        <f t="shared" si="27"/>
        <v>-1</v>
      </c>
      <c r="AP13" s="3">
        <f t="shared" si="28"/>
        <v>27.394696296296281</v>
      </c>
      <c r="AQ13" s="3">
        <f t="shared" si="29"/>
        <v>17.610876190476183</v>
      </c>
      <c r="AR13" s="3">
        <f t="shared" si="30"/>
        <v>106.70179999999999</v>
      </c>
      <c r="AS13" s="3">
        <f t="shared" si="26"/>
        <v>106.70179999999999</v>
      </c>
      <c r="AT13" s="3">
        <f t="shared" si="24"/>
        <v>106.70179999999999</v>
      </c>
      <c r="AU13" s="3">
        <f t="shared" si="22"/>
        <v>106.70179999999999</v>
      </c>
      <c r="AV13" s="3">
        <f t="shared" si="20"/>
        <v>106.70179999999999</v>
      </c>
      <c r="AW13" s="3">
        <f t="shared" si="18"/>
        <v>106.70179999999999</v>
      </c>
      <c r="AX13" s="3">
        <f t="shared" si="16"/>
        <v>106.70179999999999</v>
      </c>
      <c r="AY13" s="3">
        <f t="shared" si="12"/>
        <v>106.70179999999999</v>
      </c>
      <c r="AZ13" s="3">
        <f t="shared" si="9"/>
        <v>106.70179999999999</v>
      </c>
      <c r="BA13" s="3">
        <f t="shared" si="7"/>
        <v>106.70179999999999</v>
      </c>
      <c r="BC13" s="6"/>
      <c r="BD13" s="5"/>
      <c r="BE13" s="5"/>
      <c r="BF13" s="5"/>
      <c r="BG13" s="5"/>
    </row>
    <row r="14" spans="1:60" x14ac:dyDescent="0.25">
      <c r="A14">
        <v>10</v>
      </c>
      <c r="B14" s="5">
        <f t="shared" si="13"/>
        <v>27.394696296296281</v>
      </c>
      <c r="C14" s="5">
        <f t="shared" si="14"/>
        <v>17.610876190476183</v>
      </c>
      <c r="D14" s="5">
        <f>SUMIFS(modif1[[srfcH]:[srfcH]],modif2[N+1],$A14,modif1[[essnc]:[essnc]],"PM")</f>
        <v>69.243599999999986</v>
      </c>
      <c r="E14" s="5">
        <f>SUMIFS(modif1[[srfcH]:[srfcH]],modif2[N+2],$A14,modif1[[essnc]:[essnc]],"PM")</f>
        <v>89.039900000000003</v>
      </c>
      <c r="F14" s="5">
        <f>SUMIFS(modif1[[srfcH]:[srfcH]],modif2[N+3],$A14,modif1[[essnc]:[essnc]],"PM")</f>
        <v>0</v>
      </c>
      <c r="G14" s="5">
        <f>SUMIFS(modif1[[srfcH]:[srfcH]],modif2[N+4],$A14,modif1[[essnc]:[essnc]],"PM")</f>
        <v>45.709899999999998</v>
      </c>
      <c r="H14" s="5">
        <f>SUMIFS(modif1[[srfcH]:[srfcH]],modif2[N+5],$A14,modif1[[essnc]:[essnc]],"PM")</f>
        <v>26.142099999999989</v>
      </c>
      <c r="I14" s="5">
        <f>SUMIFS(modif1[[srfcH]:[srfcH]],modif2[N+6],$A14,modif1[[essnc]:[essnc]],"PM")</f>
        <v>28.630000000000003</v>
      </c>
      <c r="J14" s="5">
        <f>SUMIFS(modif1[[srfcH]:[srfcH]],modif2[N+7],$A14,modif1[[essnc]:[essnc]],"PM")</f>
        <v>3.0108999999999999</v>
      </c>
      <c r="K14" s="5">
        <f>SUMIFS(modif1[[srfcH]:[srfcH]],modif2[N+8],$A14,modif1[[essnc]:[essnc]],"PM")</f>
        <v>0</v>
      </c>
      <c r="L14" s="5">
        <f>SUMIFS(modif1[[srfcH]:[srfcH]],modif2[N+9],$A14,modif1[[essnc]:[essnc]],"PM")</f>
        <v>0</v>
      </c>
      <c r="M14" s="5">
        <f>SUMIFS(modif1[[srfcH]:[srfcH]],modif2[N+10],$A14,modif1[[essnc]:[essnc]],"PM")</f>
        <v>0.83499999999999996</v>
      </c>
      <c r="O14" s="4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C14">
        <f t="shared" si="4"/>
        <v>9</v>
      </c>
      <c r="AD14" s="67">
        <f>D13/regle!$B$30</f>
        <v>5.0559608185850538</v>
      </c>
      <c r="AE14" s="67">
        <f>E13/regle!$B$30</f>
        <v>0</v>
      </c>
      <c r="AF14" s="67">
        <f>F13/regle!$B$30</f>
        <v>2.5955494494203268</v>
      </c>
      <c r="AG14" s="67">
        <f>G13/regle!$B$30</f>
        <v>1.4844292650321067</v>
      </c>
      <c r="AH14" s="67">
        <f>H13/regle!$B$30</f>
        <v>1.6256999192057731</v>
      </c>
      <c r="AI14" s="67">
        <f>I13/regle!$B$30</f>
        <v>0.17096821120281738</v>
      </c>
      <c r="AJ14" s="67">
        <f>J13/regle!$B$30</f>
        <v>0</v>
      </c>
      <c r="AK14" s="67">
        <f>K13/regle!$B$30</f>
        <v>0</v>
      </c>
      <c r="AL14" s="67">
        <f>L13/regle!$B$30</f>
        <v>4.741388168134196E-2</v>
      </c>
      <c r="AM14" s="67">
        <f>M13/regle!$B$30</f>
        <v>2.0052210700962938</v>
      </c>
      <c r="AO14">
        <f t="shared" si="27"/>
        <v>0</v>
      </c>
      <c r="AP14" s="3">
        <f t="shared" si="28"/>
        <v>27.394696296296281</v>
      </c>
      <c r="AQ14" s="3">
        <f t="shared" si="29"/>
        <v>17.610876190476183</v>
      </c>
      <c r="AR14" s="3">
        <f t="shared" si="30"/>
        <v>35.313699999999997</v>
      </c>
      <c r="AS14" s="3">
        <f t="shared" si="26"/>
        <v>35.313699999999997</v>
      </c>
      <c r="AT14" s="3">
        <f t="shared" si="24"/>
        <v>35.313699999999997</v>
      </c>
      <c r="AU14" s="3">
        <f t="shared" si="22"/>
        <v>35.313699999999997</v>
      </c>
      <c r="AV14" s="3">
        <f t="shared" si="20"/>
        <v>35.313699999999997</v>
      </c>
      <c r="AW14" s="3">
        <f t="shared" si="18"/>
        <v>35.313699999999997</v>
      </c>
      <c r="AX14" s="3">
        <f t="shared" si="16"/>
        <v>35.313699999999997</v>
      </c>
      <c r="AY14" s="3">
        <f t="shared" si="12"/>
        <v>35.313699999999997</v>
      </c>
      <c r="AZ14" s="3">
        <f t="shared" si="9"/>
        <v>35.313699999999997</v>
      </c>
      <c r="BA14" s="3">
        <f t="shared" si="7"/>
        <v>35.313699999999997</v>
      </c>
      <c r="BC14" s="6"/>
      <c r="BD14" s="5"/>
      <c r="BE14" s="5"/>
      <c r="BF14" s="5"/>
      <c r="BG14" s="5"/>
    </row>
    <row r="15" spans="1:60" x14ac:dyDescent="0.25">
      <c r="A15">
        <v>11</v>
      </c>
      <c r="B15" s="5">
        <f t="shared" si="13"/>
        <v>27.394696296296281</v>
      </c>
      <c r="C15" s="5">
        <f t="shared" si="14"/>
        <v>17.610876190476183</v>
      </c>
      <c r="D15" s="5">
        <f>SUMIFS(modif1[[srfcH]:[srfcH]],modif2[N+1],$A15,modif1[[essnc]:[essnc]],"PM")</f>
        <v>6.3186999999999989</v>
      </c>
      <c r="E15" s="5">
        <f>SUMIFS(modif1[[srfcH]:[srfcH]],modif2[N+2],$A15,modif1[[essnc]:[essnc]],"PM")</f>
        <v>69.243599999999986</v>
      </c>
      <c r="F15" s="5">
        <f>SUMIFS(modif1[[srfcH]:[srfcH]],modif2[N+3],$A15,modif1[[essnc]:[essnc]],"PM")</f>
        <v>89.039900000000003</v>
      </c>
      <c r="G15" s="5">
        <f>SUMIFS(modif1[[srfcH]:[srfcH]],modif2[N+4],$A15,modif1[[essnc]:[essnc]],"PM")</f>
        <v>0</v>
      </c>
      <c r="H15" s="5">
        <f>SUMIFS(modif1[[srfcH]:[srfcH]],modif2[N+5],$A15,modif1[[essnc]:[essnc]],"PM")</f>
        <v>45.709899999999998</v>
      </c>
      <c r="I15" s="5">
        <f>SUMIFS(modif1[[srfcH]:[srfcH]],modif2[N+6],$A15,modif1[[essnc]:[essnc]],"PM")</f>
        <v>26.142099999999989</v>
      </c>
      <c r="J15" s="5">
        <f>SUMIFS(modif1[[srfcH]:[srfcH]],modif2[N+7],$A15,modif1[[essnc]:[essnc]],"PM")</f>
        <v>28.630000000000003</v>
      </c>
      <c r="K15" s="5">
        <f>SUMIFS(modif1[[srfcH]:[srfcH]],modif2[N+8],$A15,modif1[[essnc]:[essnc]],"PM")</f>
        <v>3.0108999999999999</v>
      </c>
      <c r="L15" s="5">
        <f>SUMIFS(modif1[[srfcH]:[srfcH]],modif2[N+9],$A15,modif1[[essnc]:[essnc]],"PM")</f>
        <v>0</v>
      </c>
      <c r="M15" s="5">
        <f>SUMIFS(modif1[[srfcH]:[srfcH]],modif2[N+10],$A15,modif1[[essnc]:[essnc]],"PM")</f>
        <v>0</v>
      </c>
      <c r="O15" s="4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C15">
        <f t="shared" si="4"/>
        <v>10</v>
      </c>
      <c r="AD15" s="67">
        <f>D14/regle!$B$30</f>
        <v>3.9318656977127779</v>
      </c>
      <c r="AE15" s="67">
        <f>E14/regle!$B$30</f>
        <v>5.0559608185850538</v>
      </c>
      <c r="AF15" s="67">
        <f>F14/regle!$B$30</f>
        <v>0</v>
      </c>
      <c r="AG15" s="67">
        <f>G14/regle!$B$30</f>
        <v>2.5955494494203268</v>
      </c>
      <c r="AH15" s="67">
        <f>H14/regle!$B$30</f>
        <v>1.4844292650321067</v>
      </c>
      <c r="AI15" s="67">
        <f>I14/regle!$B$30</f>
        <v>1.6256999192057731</v>
      </c>
      <c r="AJ15" s="67">
        <f>J14/regle!$B$30</f>
        <v>0.17096821120281738</v>
      </c>
      <c r="AK15" s="67">
        <f>K14/regle!$B$30</f>
        <v>0</v>
      </c>
      <c r="AL15" s="67">
        <f>L14/regle!$B$30</f>
        <v>0</v>
      </c>
      <c r="AM15" s="67">
        <f>M14/regle!$B$30</f>
        <v>4.741388168134196E-2</v>
      </c>
      <c r="AO15">
        <f t="shared" si="27"/>
        <v>1</v>
      </c>
      <c r="AP15" s="3">
        <f t="shared" si="28"/>
        <v>27.394696296296281</v>
      </c>
      <c r="AQ15" s="3">
        <f t="shared" si="29"/>
        <v>17.610876190476183</v>
      </c>
      <c r="AR15" s="3">
        <f t="shared" si="30"/>
        <v>0.83499999999999996</v>
      </c>
      <c r="AS15" s="3">
        <f t="shared" si="26"/>
        <v>0.83499999999999996</v>
      </c>
      <c r="AT15" s="3">
        <f t="shared" si="24"/>
        <v>0.83499999999999996</v>
      </c>
      <c r="AU15" s="3">
        <f t="shared" si="22"/>
        <v>0.83499999999999996</v>
      </c>
      <c r="AV15" s="3">
        <f t="shared" si="20"/>
        <v>0.83499999999999996</v>
      </c>
      <c r="AW15" s="3">
        <f t="shared" si="18"/>
        <v>0.83499999999999996</v>
      </c>
      <c r="AX15" s="3">
        <f t="shared" si="16"/>
        <v>0.83499999999999996</v>
      </c>
      <c r="AY15" s="3">
        <f t="shared" si="12"/>
        <v>0.83499999999999996</v>
      </c>
      <c r="AZ15" s="3">
        <f t="shared" si="9"/>
        <v>0.83499999999999996</v>
      </c>
      <c r="BA15" s="3">
        <f t="shared" si="7"/>
        <v>0.83499999999999996</v>
      </c>
      <c r="BC15" s="6"/>
      <c r="BD15" s="5"/>
      <c r="BE15" s="5"/>
      <c r="BF15" s="5"/>
      <c r="BG15" s="5"/>
    </row>
    <row r="16" spans="1:60" x14ac:dyDescent="0.25">
      <c r="A16">
        <v>12</v>
      </c>
      <c r="B16" s="5">
        <f t="shared" si="13"/>
        <v>27.394696296296281</v>
      </c>
      <c r="C16" s="5">
        <f t="shared" si="14"/>
        <v>17.610876190476183</v>
      </c>
      <c r="D16" s="5">
        <f>SUMIFS(modif1[[srfcH]:[srfcH]],modif2[N+1],$A16,modif1[[essnc]:[essnc]],"PM")</f>
        <v>82.200399999999988</v>
      </c>
      <c r="E16" s="5">
        <f>SUMIFS(modif1[[srfcH]:[srfcH]],modif2[N+2],$A16,modif1[[essnc]:[essnc]],"PM")</f>
        <v>6.3186999999999989</v>
      </c>
      <c r="F16" s="5">
        <f>SUMIFS(modif1[[srfcH]:[srfcH]],modif2[N+3],$A16,modif1[[essnc]:[essnc]],"PM")</f>
        <v>69.243599999999986</v>
      </c>
      <c r="G16" s="5">
        <f>SUMIFS(modif1[[srfcH]:[srfcH]],modif2[N+4],$A16,modif1[[essnc]:[essnc]],"PM")</f>
        <v>89.039900000000003</v>
      </c>
      <c r="H16" s="5">
        <f>SUMIFS(modif1[[srfcH]:[srfcH]],modif2[N+5],$A16,modif1[[essnc]:[essnc]],"PM")</f>
        <v>0</v>
      </c>
      <c r="I16" s="5">
        <f>SUMIFS(modif1[[srfcH]:[srfcH]],modif2[N+6],$A16,modif1[[essnc]:[essnc]],"PM")</f>
        <v>45.709899999999998</v>
      </c>
      <c r="J16" s="5">
        <f>SUMIFS(modif1[[srfcH]:[srfcH]],modif2[N+7],$A16,modif1[[essnc]:[essnc]],"PM")</f>
        <v>26.142099999999989</v>
      </c>
      <c r="K16" s="5">
        <f>SUMIFS(modif1[[srfcH]:[srfcH]],modif2[N+8],$A16,modif1[[essnc]:[essnc]],"PM")</f>
        <v>28.630000000000003</v>
      </c>
      <c r="L16" s="5">
        <f>SUMIFS(modif1[[srfcH]:[srfcH]],modif2[N+9],$A16,modif1[[essnc]:[essnc]],"PM")</f>
        <v>3.0108999999999999</v>
      </c>
      <c r="M16" s="5">
        <f>SUMIFS(modif1[[srfcH]:[srfcH]],modif2[N+10],$A16,modif1[[essnc]:[essnc]],"PM")</f>
        <v>0</v>
      </c>
      <c r="O16" s="4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C16">
        <f t="shared" si="4"/>
        <v>11</v>
      </c>
      <c r="AD16" s="67">
        <f>D15/regle!$B$30</f>
        <v>0.35879532237113221</v>
      </c>
      <c r="AE16" s="67">
        <f>E15/regle!$B$30</f>
        <v>3.9318656977127779</v>
      </c>
      <c r="AF16" s="67">
        <f>F15/regle!$B$30</f>
        <v>5.0559608185850538</v>
      </c>
      <c r="AG16" s="67">
        <f>G15/regle!$B$30</f>
        <v>0</v>
      </c>
      <c r="AH16" s="67">
        <f>H15/regle!$B$30</f>
        <v>2.5955494494203268</v>
      </c>
      <c r="AI16" s="67">
        <f>I15/regle!$B$30</f>
        <v>1.4844292650321067</v>
      </c>
      <c r="AJ16" s="67">
        <f>J15/regle!$B$30</f>
        <v>1.6256999192057731</v>
      </c>
      <c r="AK16" s="67">
        <f>K15/regle!$B$30</f>
        <v>0.17096821120281738</v>
      </c>
      <c r="AL16" s="67">
        <f>L15/regle!$B$30</f>
        <v>0</v>
      </c>
      <c r="AM16" s="67">
        <f>M15/regle!$B$30</f>
        <v>0</v>
      </c>
      <c r="AO16">
        <f t="shared" si="27"/>
        <v>2</v>
      </c>
      <c r="AP16" s="3">
        <f t="shared" si="28"/>
        <v>27.394696296296281</v>
      </c>
      <c r="AQ16" s="3">
        <f t="shared" si="29"/>
        <v>17.610876190476183</v>
      </c>
      <c r="AR16" s="3">
        <f t="shared" si="30"/>
        <v>0</v>
      </c>
      <c r="AS16" s="3">
        <f t="shared" si="26"/>
        <v>0</v>
      </c>
      <c r="AT16" s="3">
        <f t="shared" si="24"/>
        <v>0</v>
      </c>
      <c r="AU16" s="3">
        <f t="shared" si="22"/>
        <v>0</v>
      </c>
      <c r="AV16" s="3">
        <f t="shared" si="20"/>
        <v>0</v>
      </c>
      <c r="AW16" s="3">
        <f t="shared" si="18"/>
        <v>0</v>
      </c>
      <c r="AX16" s="3">
        <f t="shared" si="16"/>
        <v>0</v>
      </c>
      <c r="AY16" s="3">
        <f t="shared" si="12"/>
        <v>0</v>
      </c>
      <c r="AZ16" s="3">
        <f t="shared" si="9"/>
        <v>0</v>
      </c>
      <c r="BA16" s="3">
        <f t="shared" si="7"/>
        <v>0</v>
      </c>
      <c r="BC16" s="6"/>
      <c r="BD16" s="5"/>
      <c r="BE16" s="5"/>
      <c r="BF16" s="5"/>
      <c r="BG16" s="5"/>
    </row>
    <row r="17" spans="1:58" x14ac:dyDescent="0.25">
      <c r="A17">
        <v>13</v>
      </c>
      <c r="B17" s="5">
        <f t="shared" si="13"/>
        <v>27.394696296296281</v>
      </c>
      <c r="C17" s="5">
        <f t="shared" si="14"/>
        <v>17.610876190476183</v>
      </c>
      <c r="D17" s="5">
        <f>SUMIFS(modif1[[srfcH]:[srfcH]],modif2[N+1],$A17,modif1[[essnc]:[essnc]],"PM")</f>
        <v>0</v>
      </c>
      <c r="E17" s="5">
        <f>SUMIFS(modif1[[srfcH]:[srfcH]],modif2[N+2],$A17,modif1[[essnc]:[essnc]],"PM")</f>
        <v>82.200399999999988</v>
      </c>
      <c r="F17" s="5">
        <f>SUMIFS(modif1[[srfcH]:[srfcH]],modif2[N+3],$A17,modif1[[essnc]:[essnc]],"PM")</f>
        <v>6.3186999999999989</v>
      </c>
      <c r="G17" s="5">
        <f>SUMIFS(modif1[[srfcH]:[srfcH]],modif2[N+4],$A17,modif1[[essnc]:[essnc]],"PM")</f>
        <v>69.243599999999986</v>
      </c>
      <c r="H17" s="5">
        <f>SUMIFS(modif1[[srfcH]:[srfcH]],modif2[N+5],$A17,modif1[[essnc]:[essnc]],"PM")</f>
        <v>89.039900000000003</v>
      </c>
      <c r="I17" s="5">
        <f>SUMIFS(modif1[[srfcH]:[srfcH]],modif2[N+6],$A17,modif1[[essnc]:[essnc]],"PM")</f>
        <v>0</v>
      </c>
      <c r="J17" s="5">
        <f>SUMIFS(modif1[[srfcH]:[srfcH]],modif2[N+7],$A17,modif1[[essnc]:[essnc]],"PM")</f>
        <v>45.709899999999998</v>
      </c>
      <c r="K17" s="5">
        <f>SUMIFS(modif1[[srfcH]:[srfcH]],modif2[N+8],$A17,modif1[[essnc]:[essnc]],"PM")</f>
        <v>26.142099999999989</v>
      </c>
      <c r="L17" s="5">
        <f>SUMIFS(modif1[[srfcH]:[srfcH]],modif2[N+9],$A17,modif1[[essnc]:[essnc]],"PM")</f>
        <v>28.630000000000003</v>
      </c>
      <c r="M17" s="5">
        <f>SUMIFS(modif1[[srfcH]:[srfcH]],modif2[N+10],$A17,modif1[[essnc]:[essnc]],"PM")</f>
        <v>3.0108999999999999</v>
      </c>
      <c r="O17" s="4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C17">
        <f t="shared" si="4"/>
        <v>12</v>
      </c>
      <c r="AD17" s="67">
        <f>D16/regle!$B$30</f>
        <v>4.6675928619868037</v>
      </c>
      <c r="AE17" s="67">
        <f>E16/regle!$B$30</f>
        <v>0.35879532237113221</v>
      </c>
      <c r="AF17" s="67">
        <f>F16/regle!$B$30</f>
        <v>3.9318656977127779</v>
      </c>
      <c r="AG17" s="67">
        <f>G16/regle!$B$30</f>
        <v>5.0559608185850538</v>
      </c>
      <c r="AH17" s="67">
        <f>H16/regle!$B$30</f>
        <v>0</v>
      </c>
      <c r="AI17" s="67">
        <f>I16/regle!$B$30</f>
        <v>2.5955494494203268</v>
      </c>
      <c r="AJ17" s="67">
        <f>J16/regle!$B$30</f>
        <v>1.4844292650321067</v>
      </c>
      <c r="AK17" s="67">
        <f>K16/regle!$B$30</f>
        <v>1.6256999192057731</v>
      </c>
      <c r="AL17" s="67">
        <f>L16/regle!$B$30</f>
        <v>0.17096821120281738</v>
      </c>
      <c r="AM17" s="67">
        <f>M16/regle!$B$30</f>
        <v>0</v>
      </c>
      <c r="AO17">
        <f t="shared" si="27"/>
        <v>3</v>
      </c>
      <c r="AP17" s="3">
        <f t="shared" si="28"/>
        <v>27.394696296296281</v>
      </c>
      <c r="AQ17" s="3">
        <f t="shared" si="29"/>
        <v>17.610876190476183</v>
      </c>
      <c r="AR17" s="3">
        <f t="shared" si="30"/>
        <v>0</v>
      </c>
      <c r="AS17" s="3">
        <f t="shared" si="26"/>
        <v>0</v>
      </c>
      <c r="AT17" s="3">
        <f t="shared" si="24"/>
        <v>0</v>
      </c>
      <c r="AU17" s="3">
        <f t="shared" si="22"/>
        <v>0</v>
      </c>
      <c r="AV17" s="3">
        <f t="shared" si="20"/>
        <v>0</v>
      </c>
      <c r="AW17" s="3">
        <f t="shared" si="18"/>
        <v>0</v>
      </c>
      <c r="AX17" s="3">
        <f t="shared" si="16"/>
        <v>0</v>
      </c>
      <c r="AY17" s="3">
        <f t="shared" si="12"/>
        <v>0</v>
      </c>
      <c r="AZ17" s="3">
        <f t="shared" si="9"/>
        <v>0</v>
      </c>
      <c r="BA17" s="3">
        <f t="shared" si="7"/>
        <v>0</v>
      </c>
      <c r="BC17" s="6"/>
      <c r="BD17" s="5"/>
      <c r="BE17" s="5"/>
      <c r="BF17" s="5"/>
    </row>
    <row r="18" spans="1:58" x14ac:dyDescent="0.25">
      <c r="A18">
        <v>14</v>
      </c>
      <c r="B18" s="5">
        <f t="shared" si="13"/>
        <v>27.394696296296281</v>
      </c>
      <c r="C18" s="5">
        <f t="shared" si="14"/>
        <v>17.610876190476183</v>
      </c>
      <c r="D18" s="5">
        <f>SUMIFS(modif1[[srfcH]:[srfcH]],modif2[N+1],$A18,modif1[[essnc]:[essnc]],"PM")</f>
        <v>13.015499999999999</v>
      </c>
      <c r="E18" s="5">
        <f>SUMIFS(modif1[[srfcH]:[srfcH]],modif2[N+2],$A18,modif1[[essnc]:[essnc]],"PM")</f>
        <v>0</v>
      </c>
      <c r="F18" s="5">
        <f>SUMIFS(modif1[[srfcH]:[srfcH]],modif2[N+3],$A18,modif1[[essnc]:[essnc]],"PM")</f>
        <v>82.200399999999988</v>
      </c>
      <c r="G18" s="5">
        <f>SUMIFS(modif1[[srfcH]:[srfcH]],modif2[N+4],$A18,modif1[[essnc]:[essnc]],"PM")</f>
        <v>6.3186999999999989</v>
      </c>
      <c r="H18" s="5">
        <f>SUMIFS(modif1[[srfcH]:[srfcH]],modif2[N+5],$A18,modif1[[essnc]:[essnc]],"PM")</f>
        <v>69.243599999999986</v>
      </c>
      <c r="I18" s="5">
        <f>SUMIFS(modif1[[srfcH]:[srfcH]],modif2[N+6],$A18,modif1[[essnc]:[essnc]],"PM")</f>
        <v>89.039900000000003</v>
      </c>
      <c r="J18" s="5">
        <f>SUMIFS(modif1[[srfcH]:[srfcH]],modif2[N+7],$A18,modif1[[essnc]:[essnc]],"PM")</f>
        <v>0</v>
      </c>
      <c r="K18" s="5">
        <f>SUMIFS(modif1[[srfcH]:[srfcH]],modif2[N+8],$A18,modif1[[essnc]:[essnc]],"PM")</f>
        <v>45.709899999999998</v>
      </c>
      <c r="L18" s="5">
        <f>SUMIFS(modif1[[srfcH]:[srfcH]],modif2[N+9],$A18,modif1[[essnc]:[essnc]],"PM")</f>
        <v>26.142099999999989</v>
      </c>
      <c r="M18" s="5">
        <f>SUMIFS(modif1[[srfcH]:[srfcH]],modif2[N+10],$A18,modif1[[essnc]:[essnc]],"PM")</f>
        <v>28.630000000000003</v>
      </c>
      <c r="O18" s="4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C18">
        <f t="shared" si="4"/>
        <v>13</v>
      </c>
      <c r="AD18" s="67">
        <f>D17/regle!$B$30</f>
        <v>0</v>
      </c>
      <c r="AE18" s="67">
        <f>E17/regle!$B$30</f>
        <v>4.6675928619868037</v>
      </c>
      <c r="AF18" s="67">
        <f>F17/regle!$B$30</f>
        <v>0.35879532237113221</v>
      </c>
      <c r="AG18" s="67">
        <f>G17/regle!$B$30</f>
        <v>3.9318656977127779</v>
      </c>
      <c r="AH18" s="67">
        <f>H17/regle!$B$30</f>
        <v>5.0559608185850538</v>
      </c>
      <c r="AI18" s="67">
        <f>I17/regle!$B$30</f>
        <v>0</v>
      </c>
      <c r="AJ18" s="67">
        <f>J17/regle!$B$30</f>
        <v>2.5955494494203268</v>
      </c>
      <c r="AK18" s="67">
        <f>K17/regle!$B$30</f>
        <v>1.4844292650321067</v>
      </c>
      <c r="AL18" s="67">
        <f>L17/regle!$B$30</f>
        <v>1.6256999192057731</v>
      </c>
      <c r="AM18" s="67">
        <f>M17/regle!$B$30</f>
        <v>0.17096821120281738</v>
      </c>
      <c r="AO18">
        <f t="shared" si="27"/>
        <v>4</v>
      </c>
      <c r="AP18" s="3">
        <f t="shared" si="28"/>
        <v>27.394696296296281</v>
      </c>
      <c r="AQ18" s="3">
        <f t="shared" si="29"/>
        <v>17.610876190476183</v>
      </c>
      <c r="AR18" s="3">
        <f t="shared" si="30"/>
        <v>3.0108999999999999</v>
      </c>
      <c r="AS18" s="3">
        <f t="shared" si="26"/>
        <v>3.0108999999999999</v>
      </c>
      <c r="AT18" s="3">
        <f t="shared" si="24"/>
        <v>3.0108999999999999</v>
      </c>
      <c r="AU18" s="3">
        <f t="shared" si="22"/>
        <v>3.0108999999999999</v>
      </c>
      <c r="AV18" s="3">
        <f t="shared" si="20"/>
        <v>3.0108999999999999</v>
      </c>
      <c r="AW18" s="3">
        <f t="shared" si="18"/>
        <v>3.0108999999999999</v>
      </c>
      <c r="AX18" s="3">
        <f t="shared" si="16"/>
        <v>3.0108999999999999</v>
      </c>
      <c r="AY18" s="3">
        <f t="shared" si="12"/>
        <v>3.0108999999999999</v>
      </c>
      <c r="AZ18" s="3">
        <f t="shared" si="9"/>
        <v>3.0108999999999999</v>
      </c>
      <c r="BA18" s="3">
        <f t="shared" si="7"/>
        <v>3.0108999999999999</v>
      </c>
      <c r="BC18" s="6"/>
      <c r="BD18" s="5"/>
      <c r="BE18" s="5"/>
      <c r="BF18" s="5"/>
    </row>
    <row r="19" spans="1:58" x14ac:dyDescent="0.25">
      <c r="A19">
        <v>15</v>
      </c>
      <c r="B19" s="5">
        <f t="shared" si="13"/>
        <v>27.394696296296281</v>
      </c>
      <c r="C19" s="5">
        <f t="shared" si="14"/>
        <v>17.610876190476183</v>
      </c>
      <c r="D19" s="5">
        <f>SUMIFS(modif1[[srfcH]:[srfcH]],modif2[N+1],$A19,modif1[[essnc]:[essnc]],"PM")</f>
        <v>27.747899999999998</v>
      </c>
      <c r="E19" s="5">
        <f>SUMIFS(modif1[[srfcH]:[srfcH]],modif2[N+2],$A19,modif1[[essnc]:[essnc]],"PM")</f>
        <v>13.015499999999999</v>
      </c>
      <c r="F19" s="5">
        <f>SUMIFS(modif1[[srfcH]:[srfcH]],modif2[N+3],$A19,modif1[[essnc]:[essnc]],"PM")</f>
        <v>0</v>
      </c>
      <c r="G19" s="5">
        <f>SUMIFS(modif1[[srfcH]:[srfcH]],modif2[N+4],$A19,modif1[[essnc]:[essnc]],"PM")</f>
        <v>82.200399999999988</v>
      </c>
      <c r="H19" s="5">
        <f>SUMIFS(modif1[[srfcH]:[srfcH]],modif2[N+5],$A19,modif1[[essnc]:[essnc]],"PM")</f>
        <v>6.3186999999999989</v>
      </c>
      <c r="I19" s="5">
        <f>SUMIFS(modif1[[srfcH]:[srfcH]],modif2[N+6],$A19,modif1[[essnc]:[essnc]],"PM")</f>
        <v>69.243599999999986</v>
      </c>
      <c r="J19" s="5">
        <f>SUMIFS(modif1[[srfcH]:[srfcH]],modif2[N+7],$A19,modif1[[essnc]:[essnc]],"PM")</f>
        <v>89.039900000000003</v>
      </c>
      <c r="K19" s="5">
        <f>SUMIFS(modif1[[srfcH]:[srfcH]],modif2[N+8],$A19,modif1[[essnc]:[essnc]],"PM")</f>
        <v>0</v>
      </c>
      <c r="L19" s="5">
        <f>SUMIFS(modif1[[srfcH]:[srfcH]],modif2[N+9],$A19,modif1[[essnc]:[essnc]],"PM")</f>
        <v>45.709899999999998</v>
      </c>
      <c r="M19" s="5">
        <f>SUMIFS(modif1[[srfcH]:[srfcH]],modif2[N+10],$A19,modif1[[essnc]:[essnc]],"PM")</f>
        <v>26.142099999999989</v>
      </c>
      <c r="AC19">
        <f t="shared" si="4"/>
        <v>14</v>
      </c>
      <c r="AD19" s="67">
        <f>D18/regle!$B$30</f>
        <v>0.73906033176467811</v>
      </c>
      <c r="AE19" s="67">
        <f>E18/regle!$B$30</f>
        <v>0</v>
      </c>
      <c r="AF19" s="67">
        <f>F18/regle!$B$30</f>
        <v>4.6675928619868037</v>
      </c>
      <c r="AG19" s="67">
        <f>G18/regle!$B$30</f>
        <v>0.35879532237113221</v>
      </c>
      <c r="AH19" s="67">
        <f>H18/regle!$B$30</f>
        <v>3.9318656977127779</v>
      </c>
      <c r="AI19" s="67">
        <f>I18/regle!$B$30</f>
        <v>5.0559608185850538</v>
      </c>
      <c r="AJ19" s="67">
        <f>J18/regle!$B$30</f>
        <v>0</v>
      </c>
      <c r="AK19" s="67">
        <f>K18/regle!$B$30</f>
        <v>2.5955494494203268</v>
      </c>
      <c r="AL19" s="67">
        <f>L18/regle!$B$30</f>
        <v>1.4844292650321067</v>
      </c>
      <c r="AM19" s="67">
        <f>M18/regle!$B$30</f>
        <v>1.6256999192057731</v>
      </c>
      <c r="AO19">
        <f t="shared" si="27"/>
        <v>5</v>
      </c>
      <c r="AP19" s="3">
        <f t="shared" si="28"/>
        <v>27.394696296296281</v>
      </c>
      <c r="AQ19" s="3">
        <f t="shared" si="29"/>
        <v>17.610876190476183</v>
      </c>
      <c r="AR19" s="3">
        <f t="shared" si="30"/>
        <v>28.630000000000003</v>
      </c>
      <c r="AS19" s="3">
        <f t="shared" si="26"/>
        <v>28.630000000000003</v>
      </c>
      <c r="AT19" s="3">
        <f t="shared" si="24"/>
        <v>28.630000000000003</v>
      </c>
      <c r="AU19" s="3">
        <f t="shared" si="22"/>
        <v>28.630000000000003</v>
      </c>
      <c r="AV19" s="3">
        <f t="shared" si="20"/>
        <v>28.630000000000003</v>
      </c>
      <c r="AW19" s="3">
        <f t="shared" si="18"/>
        <v>28.630000000000003</v>
      </c>
      <c r="AX19" s="3">
        <f t="shared" si="16"/>
        <v>28.630000000000003</v>
      </c>
      <c r="AY19" s="3">
        <f t="shared" si="12"/>
        <v>28.630000000000003</v>
      </c>
      <c r="AZ19" s="3">
        <f t="shared" si="9"/>
        <v>28.630000000000003</v>
      </c>
      <c r="BA19" s="3">
        <f t="shared" si="7"/>
        <v>28.630000000000003</v>
      </c>
      <c r="BC19" s="6"/>
      <c r="BD19" s="5"/>
      <c r="BE19" s="5"/>
      <c r="BF19" s="5"/>
    </row>
    <row r="20" spans="1:58" x14ac:dyDescent="0.25">
      <c r="A20">
        <v>16</v>
      </c>
      <c r="B20" s="5">
        <f t="shared" si="13"/>
        <v>27.394696296296281</v>
      </c>
      <c r="C20" s="5">
        <f t="shared" si="14"/>
        <v>17.610876190476183</v>
      </c>
      <c r="D20" s="5">
        <f>SUMIFS(modif1[[srfcH]:[srfcH]],modif2[N+1],$A20,modif1[[essnc]:[essnc]],"PM")</f>
        <v>7.8686999999999987</v>
      </c>
      <c r="E20" s="5">
        <f>SUMIFS(modif1[[srfcH]:[srfcH]],modif2[N+2],$A20,modif1[[essnc]:[essnc]],"PM")</f>
        <v>27.747899999999998</v>
      </c>
      <c r="F20" s="5">
        <f>SUMIFS(modif1[[srfcH]:[srfcH]],modif2[N+3],$A20,modif1[[essnc]:[essnc]],"PM")</f>
        <v>13.015499999999999</v>
      </c>
      <c r="G20" s="5">
        <f>SUMIFS(modif1[[srfcH]:[srfcH]],modif2[N+4],$A20,modif1[[essnc]:[essnc]],"PM")</f>
        <v>0</v>
      </c>
      <c r="H20" s="5">
        <f>SUMIFS(modif1[[srfcH]:[srfcH]],modif2[N+5],$A20,modif1[[essnc]:[essnc]],"PM")</f>
        <v>82.200399999999988</v>
      </c>
      <c r="I20" s="5">
        <f>SUMIFS(modif1[[srfcH]:[srfcH]],modif2[N+6],$A20,modif1[[essnc]:[essnc]],"PM")</f>
        <v>6.3186999999999989</v>
      </c>
      <c r="J20" s="5">
        <f>SUMIFS(modif1[[srfcH]:[srfcH]],modif2[N+7],$A20,modif1[[essnc]:[essnc]],"PM")</f>
        <v>69.243599999999986</v>
      </c>
      <c r="K20" s="5">
        <f>SUMIFS(modif1[[srfcH]:[srfcH]],modif2[N+8],$A20,modif1[[essnc]:[essnc]],"PM")</f>
        <v>89.039900000000003</v>
      </c>
      <c r="L20" s="5">
        <f>SUMIFS(modif1[[srfcH]:[srfcH]],modif2[N+9],$A20,modif1[[essnc]:[essnc]],"PM")</f>
        <v>0</v>
      </c>
      <c r="M20" s="5">
        <f>SUMIFS(modif1[[srfcH]:[srfcH]],modif2[N+10],$A20,modif1[[essnc]:[essnc]],"PM")</f>
        <v>45.709899999999998</v>
      </c>
      <c r="AC20">
        <f t="shared" si="4"/>
        <v>15</v>
      </c>
      <c r="AD20" s="67">
        <f>D19/regle!$B$30</f>
        <v>1.5756115538990521</v>
      </c>
      <c r="AE20" s="67">
        <f>E19/regle!$B$30</f>
        <v>0.73906033176467811</v>
      </c>
      <c r="AF20" s="67">
        <f>F19/regle!$B$30</f>
        <v>0</v>
      </c>
      <c r="AG20" s="67">
        <f>G19/regle!$B$30</f>
        <v>4.6675928619868037</v>
      </c>
      <c r="AH20" s="67">
        <f>H19/regle!$B$30</f>
        <v>0.35879532237113221</v>
      </c>
      <c r="AI20" s="67">
        <f>I19/regle!$B$30</f>
        <v>3.9318656977127779</v>
      </c>
      <c r="AJ20" s="67">
        <f>J19/regle!$B$30</f>
        <v>5.0559608185850538</v>
      </c>
      <c r="AK20" s="67">
        <f>K19/regle!$B$30</f>
        <v>0</v>
      </c>
      <c r="AL20" s="67">
        <f>L19/regle!$B$30</f>
        <v>2.5955494494203268</v>
      </c>
      <c r="AM20" s="67">
        <f>M19/regle!$B$30</f>
        <v>1.4844292650321067</v>
      </c>
      <c r="AO20">
        <f t="shared" si="27"/>
        <v>6</v>
      </c>
      <c r="AP20" s="3">
        <f t="shared" si="28"/>
        <v>27.394696296296281</v>
      </c>
      <c r="AQ20" s="3">
        <f t="shared" si="29"/>
        <v>17.610876190476183</v>
      </c>
      <c r="AR20" s="3">
        <f t="shared" si="30"/>
        <v>26.142099999999989</v>
      </c>
      <c r="AS20" s="3">
        <f t="shared" si="26"/>
        <v>26.142099999999989</v>
      </c>
      <c r="AT20" s="3">
        <f t="shared" si="24"/>
        <v>26.142099999999989</v>
      </c>
      <c r="AU20" s="3">
        <f t="shared" si="22"/>
        <v>26.142099999999989</v>
      </c>
      <c r="AV20" s="3">
        <f t="shared" si="20"/>
        <v>26.142099999999989</v>
      </c>
      <c r="AW20" s="3">
        <f t="shared" si="18"/>
        <v>26.142099999999989</v>
      </c>
      <c r="AX20" s="3">
        <f t="shared" si="16"/>
        <v>26.142099999999989</v>
      </c>
      <c r="AY20" s="3">
        <f t="shared" si="12"/>
        <v>26.142099999999989</v>
      </c>
      <c r="AZ20" s="3">
        <f t="shared" si="9"/>
        <v>26.142099999999989</v>
      </c>
      <c r="BA20" s="3">
        <f t="shared" si="7"/>
        <v>26.142099999999989</v>
      </c>
    </row>
    <row r="21" spans="1:58" x14ac:dyDescent="0.25">
      <c r="A21">
        <v>17</v>
      </c>
      <c r="B21" s="5">
        <f t="shared" si="13"/>
        <v>27.394696296296281</v>
      </c>
      <c r="C21" s="5">
        <f t="shared" si="14"/>
        <v>17.610876190476183</v>
      </c>
      <c r="D21" s="5">
        <f>SUMIFS(modif1[[srfcH]:[srfcH]],modif2[N+1],$A21,modif1[[essnc]:[essnc]],"PM")</f>
        <v>0</v>
      </c>
      <c r="E21" s="5">
        <f>SUMIFS(modif1[[srfcH]:[srfcH]],modif2[N+2],$A21,modif1[[essnc]:[essnc]],"PM")</f>
        <v>7.8686999999999987</v>
      </c>
      <c r="F21" s="5">
        <f>SUMIFS(modif1[[srfcH]:[srfcH]],modif2[N+3],$A21,modif1[[essnc]:[essnc]],"PM")</f>
        <v>27.747899999999998</v>
      </c>
      <c r="G21" s="5">
        <f>SUMIFS(modif1[[srfcH]:[srfcH]],modif2[N+4],$A21,modif1[[essnc]:[essnc]],"PM")</f>
        <v>13.015499999999999</v>
      </c>
      <c r="H21" s="5">
        <f>SUMIFS(modif1[[srfcH]:[srfcH]],modif2[N+5],$A21,modif1[[essnc]:[essnc]],"PM")</f>
        <v>0</v>
      </c>
      <c r="I21" s="5">
        <f>SUMIFS(modif1[[srfcH]:[srfcH]],modif2[N+6],$A21,modif1[[essnc]:[essnc]],"PM")</f>
        <v>82.200399999999988</v>
      </c>
      <c r="J21" s="5">
        <f>SUMIFS(modif1[[srfcH]:[srfcH]],modif2[N+7],$A21,modif1[[essnc]:[essnc]],"PM")</f>
        <v>6.3186999999999989</v>
      </c>
      <c r="K21" s="5">
        <f>SUMIFS(modif1[[srfcH]:[srfcH]],modif2[N+8],$A21,modif1[[essnc]:[essnc]],"PM")</f>
        <v>69.243599999999986</v>
      </c>
      <c r="L21" s="5">
        <f>SUMIFS(modif1[[srfcH]:[srfcH]],modif2[N+9],$A21,modif1[[essnc]:[essnc]],"PM")</f>
        <v>89.039900000000003</v>
      </c>
      <c r="M21" s="5">
        <f>SUMIFS(modif1[[srfcH]:[srfcH]],modif2[N+10],$A21,modif1[[essnc]:[essnc]],"PM")</f>
        <v>0</v>
      </c>
      <c r="AC21">
        <f t="shared" si="4"/>
        <v>16</v>
      </c>
      <c r="AD21" s="67">
        <f>D20/regle!$B$30</f>
        <v>0.44680911471374302</v>
      </c>
      <c r="AE21" s="67">
        <f>E20/regle!$B$30</f>
        <v>1.5756115538990521</v>
      </c>
      <c r="AF21" s="67">
        <f>F20/regle!$B$30</f>
        <v>0.73906033176467811</v>
      </c>
      <c r="AG21" s="67">
        <f>G20/regle!$B$30</f>
        <v>0</v>
      </c>
      <c r="AH21" s="67">
        <f>H20/regle!$B$30</f>
        <v>4.6675928619868037</v>
      </c>
      <c r="AI21" s="67">
        <f>I20/regle!$B$30</f>
        <v>0.35879532237113221</v>
      </c>
      <c r="AJ21" s="67">
        <f>J20/regle!$B$30</f>
        <v>3.9318656977127779</v>
      </c>
      <c r="AK21" s="67">
        <f>K20/regle!$B$30</f>
        <v>5.0559608185850538</v>
      </c>
      <c r="AL21" s="67">
        <f>L20/regle!$B$30</f>
        <v>0</v>
      </c>
      <c r="AM21" s="67">
        <f>M20/regle!$B$30</f>
        <v>2.5955494494203268</v>
      </c>
      <c r="AO21">
        <f t="shared" si="27"/>
        <v>7</v>
      </c>
      <c r="AP21" s="3">
        <f t="shared" si="28"/>
        <v>27.394696296296281</v>
      </c>
      <c r="AQ21" s="3">
        <f t="shared" si="29"/>
        <v>17.610876190476183</v>
      </c>
      <c r="AR21" s="3">
        <f t="shared" si="30"/>
        <v>45.709899999999998</v>
      </c>
      <c r="AS21" s="3">
        <f t="shared" si="26"/>
        <v>45.709899999999998</v>
      </c>
      <c r="AT21" s="3">
        <f t="shared" si="24"/>
        <v>45.709899999999998</v>
      </c>
      <c r="AU21" s="3">
        <f t="shared" si="22"/>
        <v>45.709899999999998</v>
      </c>
      <c r="AV21" s="3">
        <f t="shared" si="20"/>
        <v>45.709899999999998</v>
      </c>
      <c r="AW21" s="3">
        <f t="shared" si="18"/>
        <v>45.709899999999998</v>
      </c>
      <c r="AX21" s="3">
        <f t="shared" si="16"/>
        <v>45.709899999999998</v>
      </c>
      <c r="AY21" s="3">
        <f t="shared" si="12"/>
        <v>45.709899999999998</v>
      </c>
      <c r="AZ21" s="3">
        <f t="shared" si="9"/>
        <v>45.709899999999998</v>
      </c>
      <c r="BA21" s="3">
        <f t="shared" si="7"/>
        <v>45.709899999999998</v>
      </c>
    </row>
    <row r="22" spans="1:58" x14ac:dyDescent="0.25">
      <c r="A22">
        <v>18</v>
      </c>
      <c r="B22" s="5">
        <f t="shared" si="13"/>
        <v>27.394696296296281</v>
      </c>
      <c r="C22" s="5">
        <f t="shared" si="14"/>
        <v>17.610876190476183</v>
      </c>
      <c r="D22" s="5">
        <f>SUMIFS(modif1[[srfcH]:[srfcH]],modif2[N+1],$A22,modif1[[essnc]:[essnc]],"PM")</f>
        <v>32.357099999999988</v>
      </c>
      <c r="E22" s="5">
        <f>SUMIFS(modif1[[srfcH]:[srfcH]],modif2[N+2],$A22,modif1[[essnc]:[essnc]],"PM")</f>
        <v>0</v>
      </c>
      <c r="F22" s="5">
        <f>SUMIFS(modif1[[srfcH]:[srfcH]],modif2[N+3],$A22,modif1[[essnc]:[essnc]],"PM")</f>
        <v>7.8686999999999987</v>
      </c>
      <c r="G22" s="5">
        <f>SUMIFS(modif1[[srfcH]:[srfcH]],modif2[N+4],$A22,modif1[[essnc]:[essnc]],"PM")</f>
        <v>27.747899999999998</v>
      </c>
      <c r="H22" s="5">
        <f>SUMIFS(modif1[[srfcH]:[srfcH]],modif2[N+5],$A22,modif1[[essnc]:[essnc]],"PM")</f>
        <v>13.015499999999999</v>
      </c>
      <c r="I22" s="5">
        <f>SUMIFS(modif1[[srfcH]:[srfcH]],modif2[N+6],$A22,modif1[[essnc]:[essnc]],"PM")</f>
        <v>0</v>
      </c>
      <c r="J22" s="5">
        <f>SUMIFS(modif1[[srfcH]:[srfcH]],modif2[N+7],$A22,modif1[[essnc]:[essnc]],"PM")</f>
        <v>82.200399999999988</v>
      </c>
      <c r="K22" s="5">
        <f>SUMIFS(modif1[[srfcH]:[srfcH]],modif2[N+8],$A22,modif1[[essnc]:[essnc]],"PM")</f>
        <v>6.3186999999999989</v>
      </c>
      <c r="L22" s="5">
        <f>SUMIFS(modif1[[srfcH]:[srfcH]],modif2[N+9],$A22,modif1[[essnc]:[essnc]],"PM")</f>
        <v>69.243599999999986</v>
      </c>
      <c r="M22" s="5">
        <f>SUMIFS(modif1[[srfcH]:[srfcH]],modif2[N+10],$A22,modif1[[essnc]:[essnc]],"PM")</f>
        <v>89.039900000000003</v>
      </c>
      <c r="AC22">
        <f t="shared" si="4"/>
        <v>17</v>
      </c>
      <c r="AD22" s="67">
        <f>D21/regle!$B$30</f>
        <v>0</v>
      </c>
      <c r="AE22" s="67">
        <f>E21/regle!$B$30</f>
        <v>0.44680911471374302</v>
      </c>
      <c r="AF22" s="67">
        <f>F21/regle!$B$30</f>
        <v>1.5756115538990521</v>
      </c>
      <c r="AG22" s="67">
        <f>G21/regle!$B$30</f>
        <v>0.73906033176467811</v>
      </c>
      <c r="AH22" s="67">
        <f>H21/regle!$B$30</f>
        <v>0</v>
      </c>
      <c r="AI22" s="67">
        <f>I21/regle!$B$30</f>
        <v>4.6675928619868037</v>
      </c>
      <c r="AJ22" s="67">
        <f>J21/regle!$B$30</f>
        <v>0.35879532237113221</v>
      </c>
      <c r="AK22" s="67">
        <f>K21/regle!$B$30</f>
        <v>3.9318656977127779</v>
      </c>
      <c r="AL22" s="67">
        <f>L21/regle!$B$30</f>
        <v>5.0559608185850538</v>
      </c>
      <c r="AM22" s="67">
        <f>M21/regle!$B$30</f>
        <v>0</v>
      </c>
      <c r="AO22">
        <f t="shared" si="27"/>
        <v>8</v>
      </c>
      <c r="AP22" s="3">
        <f t="shared" si="28"/>
        <v>27.394696296296281</v>
      </c>
      <c r="AQ22" s="3">
        <f t="shared" si="29"/>
        <v>17.610876190476183</v>
      </c>
      <c r="AR22" s="3">
        <f t="shared" si="30"/>
        <v>0</v>
      </c>
      <c r="AS22" s="3">
        <f t="shared" si="26"/>
        <v>0</v>
      </c>
      <c r="AT22" s="3">
        <f t="shared" si="24"/>
        <v>0</v>
      </c>
      <c r="AU22" s="3">
        <f t="shared" si="22"/>
        <v>0</v>
      </c>
      <c r="AV22" s="3">
        <f t="shared" si="20"/>
        <v>0</v>
      </c>
      <c r="AW22" s="3">
        <f t="shared" si="18"/>
        <v>0</v>
      </c>
      <c r="AX22" s="3">
        <f t="shared" si="16"/>
        <v>0</v>
      </c>
      <c r="AY22" s="3">
        <f t="shared" si="12"/>
        <v>0</v>
      </c>
      <c r="AZ22" s="3">
        <f t="shared" si="9"/>
        <v>0</v>
      </c>
      <c r="BA22" s="3">
        <f t="shared" si="7"/>
        <v>0</v>
      </c>
    </row>
    <row r="23" spans="1:58" x14ac:dyDescent="0.25">
      <c r="A23">
        <v>19</v>
      </c>
      <c r="B23" s="5">
        <f t="shared" si="13"/>
        <v>27.394696296296281</v>
      </c>
      <c r="C23" s="5">
        <f t="shared" si="14"/>
        <v>17.610876190476183</v>
      </c>
      <c r="D23" s="5">
        <f>SUMIFS(modif1[[srfcH]:[srfcH]],modif2[N+1],$A23,modif1[[essnc]:[essnc]],"PM")</f>
        <v>79.992599999999982</v>
      </c>
      <c r="E23" s="5">
        <f>SUMIFS(modif1[[srfcH]:[srfcH]],modif2[N+2],$A23,modif1[[essnc]:[essnc]],"PM")</f>
        <v>32.357099999999988</v>
      </c>
      <c r="F23" s="5">
        <f>SUMIFS(modif1[[srfcH]:[srfcH]],modif2[N+3],$A23,modif1[[essnc]:[essnc]],"PM")</f>
        <v>0</v>
      </c>
      <c r="G23" s="5">
        <f>SUMIFS(modif1[[srfcH]:[srfcH]],modif2[N+4],$A23,modif1[[essnc]:[essnc]],"PM")</f>
        <v>7.8686999999999987</v>
      </c>
      <c r="H23" s="5">
        <f>SUMIFS(modif1[[srfcH]:[srfcH]],modif2[N+5],$A23,modif1[[essnc]:[essnc]],"PM")</f>
        <v>27.747899999999998</v>
      </c>
      <c r="I23" s="5">
        <f>SUMIFS(modif1[[srfcH]:[srfcH]],modif2[N+6],$A23,modif1[[essnc]:[essnc]],"PM")</f>
        <v>13.015499999999999</v>
      </c>
      <c r="J23" s="5">
        <f>SUMIFS(modif1[[srfcH]:[srfcH]],modif2[N+7],$A23,modif1[[essnc]:[essnc]],"PM")</f>
        <v>0</v>
      </c>
      <c r="K23" s="5">
        <f>SUMIFS(modif1[[srfcH]:[srfcH]],modif2[N+8],$A23,modif1[[essnc]:[essnc]],"PM")</f>
        <v>82.200399999999988</v>
      </c>
      <c r="L23" s="5">
        <f>SUMIFS(modif1[[srfcH]:[srfcH]],modif2[N+9],$A23,modif1[[essnc]:[essnc]],"PM")</f>
        <v>6.3186999999999989</v>
      </c>
      <c r="M23" s="5">
        <f>SUMIFS(modif1[[srfcH]:[srfcH]],modif2[N+10],$A23,modif1[[essnc]:[essnc]],"PM")</f>
        <v>69.243599999999986</v>
      </c>
      <c r="AC23">
        <f t="shared" si="4"/>
        <v>18</v>
      </c>
      <c r="AD23" s="67">
        <f>D22/regle!$B$30</f>
        <v>1.8373361807800592</v>
      </c>
      <c r="AE23" s="67">
        <f>E22/regle!$B$30</f>
        <v>0</v>
      </c>
      <c r="AF23" s="67">
        <f>F22/regle!$B$30</f>
        <v>0.44680911471374302</v>
      </c>
      <c r="AG23" s="67">
        <f>G22/regle!$B$30</f>
        <v>1.5756115538990521</v>
      </c>
      <c r="AH23" s="67">
        <f>H22/regle!$B$30</f>
        <v>0.73906033176467811</v>
      </c>
      <c r="AI23" s="67">
        <f>I22/regle!$B$30</f>
        <v>0</v>
      </c>
      <c r="AJ23" s="67">
        <f>J22/regle!$B$30</f>
        <v>4.6675928619868037</v>
      </c>
      <c r="AK23" s="67">
        <f>K22/regle!$B$30</f>
        <v>0.35879532237113221</v>
      </c>
      <c r="AL23" s="67">
        <f>L22/regle!$B$30</f>
        <v>3.9318656977127779</v>
      </c>
      <c r="AM23" s="67">
        <f>M22/regle!$B$30</f>
        <v>5.0559608185850538</v>
      </c>
      <c r="AO23">
        <f t="shared" si="27"/>
        <v>9</v>
      </c>
      <c r="AP23" s="3">
        <f t="shared" si="28"/>
        <v>27.394696296296281</v>
      </c>
      <c r="AQ23" s="3">
        <f t="shared" si="29"/>
        <v>17.610876190476183</v>
      </c>
      <c r="AR23" s="3">
        <f t="shared" si="30"/>
        <v>89.039900000000003</v>
      </c>
      <c r="AS23" s="3">
        <f t="shared" si="26"/>
        <v>89.039900000000003</v>
      </c>
      <c r="AT23" s="3">
        <f t="shared" si="24"/>
        <v>89.039900000000003</v>
      </c>
      <c r="AU23" s="3">
        <f t="shared" si="22"/>
        <v>89.039900000000003</v>
      </c>
      <c r="AV23" s="3">
        <f t="shared" si="20"/>
        <v>89.039900000000003</v>
      </c>
      <c r="AW23" s="3">
        <f t="shared" si="18"/>
        <v>89.039900000000003</v>
      </c>
      <c r="AX23" s="3">
        <f t="shared" si="16"/>
        <v>89.039900000000003</v>
      </c>
      <c r="AY23" s="3">
        <f t="shared" si="12"/>
        <v>89.039900000000003</v>
      </c>
      <c r="AZ23" s="3">
        <f t="shared" si="9"/>
        <v>89.039900000000003</v>
      </c>
      <c r="BA23" s="3">
        <f t="shared" si="7"/>
        <v>89.039900000000003</v>
      </c>
    </row>
    <row r="24" spans="1:58" x14ac:dyDescent="0.25">
      <c r="A24">
        <v>20</v>
      </c>
      <c r="B24" s="5">
        <f t="shared" si="13"/>
        <v>27.394696296296281</v>
      </c>
      <c r="C24" s="5">
        <f t="shared" si="14"/>
        <v>17.610876190476183</v>
      </c>
      <c r="D24" s="5">
        <f>SUMIFS(modif1[[srfcH]:[srfcH]],modif2[N+1],$A24,modif1[[essnc]:[essnc]],"PM")</f>
        <v>18.899100000000008</v>
      </c>
      <c r="E24" s="5">
        <f>SUMIFS(modif1[[srfcH]:[srfcH]],modif2[N+2],$A24,modif1[[essnc]:[essnc]],"PM")</f>
        <v>79.992599999999982</v>
      </c>
      <c r="F24" s="5">
        <f>SUMIFS(modif1[[srfcH]:[srfcH]],modif2[N+3],$A24,modif1[[essnc]:[essnc]],"PM")</f>
        <v>32.357099999999988</v>
      </c>
      <c r="G24" s="5">
        <f>SUMIFS(modif1[[srfcH]:[srfcH]],modif2[N+4],$A24,modif1[[essnc]:[essnc]],"PM")</f>
        <v>0</v>
      </c>
      <c r="H24" s="5">
        <f>SUMIFS(modif1[[srfcH]:[srfcH]],modif2[N+5],$A24,modif1[[essnc]:[essnc]],"PM")</f>
        <v>7.8686999999999987</v>
      </c>
      <c r="I24" s="5">
        <f>SUMIFS(modif1[[srfcH]:[srfcH]],modif2[N+6],$A24,modif1[[essnc]:[essnc]],"PM")</f>
        <v>27.747899999999998</v>
      </c>
      <c r="J24" s="5">
        <f>SUMIFS(modif1[[srfcH]:[srfcH]],modif2[N+7],$A24,modif1[[essnc]:[essnc]],"PM")</f>
        <v>13.015499999999999</v>
      </c>
      <c r="K24" s="5">
        <f>SUMIFS(modif1[[srfcH]:[srfcH]],modif2[N+8],$A24,modif1[[essnc]:[essnc]],"PM")</f>
        <v>0</v>
      </c>
      <c r="L24" s="5">
        <f>SUMIFS(modif1[[srfcH]:[srfcH]],modif2[N+9],$A24,modif1[[essnc]:[essnc]],"PM")</f>
        <v>82.200399999999988</v>
      </c>
      <c r="M24" s="5">
        <f>SUMIFS(modif1[[srfcH]:[srfcH]],modif2[N+10],$A24,modif1[[essnc]:[essnc]],"PM")</f>
        <v>6.3186999999999989</v>
      </c>
      <c r="AC24">
        <f t="shared" si="4"/>
        <v>19</v>
      </c>
      <c r="AD24" s="67">
        <f>D23/regle!$B$30</f>
        <v>4.5422271518358253</v>
      </c>
      <c r="AE24" s="67">
        <f>E23/regle!$B$30</f>
        <v>1.8373361807800592</v>
      </c>
      <c r="AF24" s="67">
        <f>F23/regle!$B$30</f>
        <v>0</v>
      </c>
      <c r="AG24" s="67">
        <f>G23/regle!$B$30</f>
        <v>0.44680911471374302</v>
      </c>
      <c r="AH24" s="67">
        <f>H23/regle!$B$30</f>
        <v>1.5756115538990521</v>
      </c>
      <c r="AI24" s="67">
        <f>I23/regle!$B$30</f>
        <v>0.73906033176467811</v>
      </c>
      <c r="AJ24" s="67">
        <f>J23/regle!$B$30</f>
        <v>0</v>
      </c>
      <c r="AK24" s="67">
        <f>K23/regle!$B$30</f>
        <v>4.6675928619868037</v>
      </c>
      <c r="AL24" s="67">
        <f>L23/regle!$B$30</f>
        <v>0.35879532237113221</v>
      </c>
      <c r="AM24" s="67">
        <f>M23/regle!$B$30</f>
        <v>3.9318656977127779</v>
      </c>
      <c r="AO24">
        <f t="shared" si="27"/>
        <v>10</v>
      </c>
      <c r="AP24" s="3">
        <f t="shared" si="28"/>
        <v>27.394696296296281</v>
      </c>
      <c r="AQ24" s="3">
        <f t="shared" si="29"/>
        <v>17.610876190476183</v>
      </c>
      <c r="AR24" s="3">
        <f t="shared" si="30"/>
        <v>69.243599999999986</v>
      </c>
      <c r="AS24" s="3">
        <f t="shared" si="26"/>
        <v>69.243599999999986</v>
      </c>
      <c r="AT24" s="3">
        <f t="shared" si="24"/>
        <v>69.243599999999986</v>
      </c>
      <c r="AU24" s="3">
        <f t="shared" si="22"/>
        <v>69.243599999999986</v>
      </c>
      <c r="AV24" s="3">
        <f t="shared" si="20"/>
        <v>69.243599999999986</v>
      </c>
      <c r="AW24" s="3">
        <f t="shared" si="18"/>
        <v>69.243599999999986</v>
      </c>
      <c r="AX24" s="3">
        <f t="shared" si="16"/>
        <v>69.243599999999986</v>
      </c>
      <c r="AY24" s="3">
        <f t="shared" si="12"/>
        <v>69.243599999999986</v>
      </c>
      <c r="AZ24" s="3">
        <f t="shared" si="9"/>
        <v>69.243599999999986</v>
      </c>
      <c r="BA24" s="3">
        <f t="shared" si="7"/>
        <v>69.243599999999986</v>
      </c>
    </row>
    <row r="25" spans="1:58" x14ac:dyDescent="0.25">
      <c r="A25">
        <v>21</v>
      </c>
      <c r="B25" s="5">
        <f t="shared" si="13"/>
        <v>27.394696296296281</v>
      </c>
      <c r="C25" s="5">
        <f t="shared" si="14"/>
        <v>17.610876190476183</v>
      </c>
      <c r="D25" s="5">
        <f>SUMIFS(modif1[[srfcH]:[srfcH]],modif2[N+1],$A25,modif1[[essnc]:[essnc]],"PM")</f>
        <v>27.896099999999997</v>
      </c>
      <c r="E25" s="5">
        <f>SUMIFS(modif1[[srfcH]:[srfcH]],modif2[N+2],$A25,modif1[[essnc]:[essnc]],"PM")</f>
        <v>18.899100000000008</v>
      </c>
      <c r="F25" s="5">
        <f>SUMIFS(modif1[[srfcH]:[srfcH]],modif2[N+3],$A25,modif1[[essnc]:[essnc]],"PM")</f>
        <v>79.992599999999982</v>
      </c>
      <c r="G25" s="5">
        <f>SUMIFS(modif1[[srfcH]:[srfcH]],modif2[N+4],$A25,modif1[[essnc]:[essnc]],"PM")</f>
        <v>32.357099999999988</v>
      </c>
      <c r="H25" s="5">
        <f>SUMIFS(modif1[[srfcH]:[srfcH]],modif2[N+5],$A25,modif1[[essnc]:[essnc]],"PM")</f>
        <v>0</v>
      </c>
      <c r="I25" s="5">
        <f>SUMIFS(modif1[[srfcH]:[srfcH]],modif2[N+6],$A25,modif1[[essnc]:[essnc]],"PM")</f>
        <v>7.8686999999999987</v>
      </c>
      <c r="J25" s="5">
        <f>SUMIFS(modif1[[srfcH]:[srfcH]],modif2[N+7],$A25,modif1[[essnc]:[essnc]],"PM")</f>
        <v>27.747899999999998</v>
      </c>
      <c r="K25" s="5">
        <f>SUMIFS(modif1[[srfcH]:[srfcH]],modif2[N+8],$A25,modif1[[essnc]:[essnc]],"PM")</f>
        <v>13.015499999999999</v>
      </c>
      <c r="L25" s="5">
        <f>SUMIFS(modif1[[srfcH]:[srfcH]],modif2[N+9],$A25,modif1[[essnc]:[essnc]],"PM")</f>
        <v>0</v>
      </c>
      <c r="M25" s="5">
        <f>SUMIFS(modif1[[srfcH]:[srfcH]],modif2[N+10],$A25,modif1[[essnc]:[essnc]],"PM")</f>
        <v>82.200399999999988</v>
      </c>
      <c r="AC25">
        <f t="shared" si="4"/>
        <v>20</v>
      </c>
      <c r="AD25" s="67">
        <f>D24/regle!$B$30</f>
        <v>1.0731493308788624</v>
      </c>
      <c r="AE25" s="67">
        <f>E24/regle!$B$30</f>
        <v>4.5422271518358253</v>
      </c>
      <c r="AF25" s="67">
        <f>F24/regle!$B$30</f>
        <v>1.8373361807800592</v>
      </c>
      <c r="AG25" s="67">
        <f>G24/regle!$B$30</f>
        <v>0</v>
      </c>
      <c r="AH25" s="67">
        <f>H24/regle!$B$30</f>
        <v>0.44680911471374302</v>
      </c>
      <c r="AI25" s="67">
        <f>I24/regle!$B$30</f>
        <v>1.5756115538990521</v>
      </c>
      <c r="AJ25" s="67">
        <f>J24/regle!$B$30</f>
        <v>0.73906033176467811</v>
      </c>
      <c r="AK25" s="67">
        <f>K24/regle!$B$30</f>
        <v>0</v>
      </c>
      <c r="AL25" s="67">
        <f>L24/regle!$B$30</f>
        <v>4.6675928619868037</v>
      </c>
      <c r="AM25" s="67">
        <f>M24/regle!$B$30</f>
        <v>0.35879532237113221</v>
      </c>
      <c r="AO25">
        <f t="shared" si="27"/>
        <v>11</v>
      </c>
      <c r="AP25" s="3">
        <f t="shared" si="28"/>
        <v>27.394696296296281</v>
      </c>
      <c r="AQ25" s="3">
        <f t="shared" si="29"/>
        <v>17.610876190476183</v>
      </c>
      <c r="AR25" s="3">
        <f t="shared" si="30"/>
        <v>6.3186999999999989</v>
      </c>
      <c r="AS25" s="3">
        <f t="shared" si="26"/>
        <v>6.3186999999999989</v>
      </c>
      <c r="AT25" s="3">
        <f t="shared" si="24"/>
        <v>6.3186999999999989</v>
      </c>
      <c r="AU25" s="3">
        <f t="shared" si="22"/>
        <v>6.3186999999999989</v>
      </c>
      <c r="AV25" s="3">
        <f t="shared" si="20"/>
        <v>6.3186999999999989</v>
      </c>
      <c r="AW25" s="3">
        <f t="shared" si="18"/>
        <v>6.3186999999999989</v>
      </c>
      <c r="AX25" s="3">
        <f t="shared" si="16"/>
        <v>6.3186999999999989</v>
      </c>
      <c r="AY25" s="3">
        <f t="shared" si="12"/>
        <v>6.3186999999999989</v>
      </c>
      <c r="AZ25" s="3">
        <f t="shared" si="9"/>
        <v>6.3186999999999989</v>
      </c>
      <c r="BA25" s="3">
        <f t="shared" si="7"/>
        <v>6.3186999999999989</v>
      </c>
    </row>
    <row r="26" spans="1:58" x14ac:dyDescent="0.25">
      <c r="A26">
        <v>22</v>
      </c>
      <c r="B26" s="5">
        <f t="shared" si="13"/>
        <v>27.394696296296281</v>
      </c>
      <c r="C26" s="5">
        <f t="shared" si="14"/>
        <v>17.610876190476183</v>
      </c>
      <c r="D26" s="5">
        <f>SUMIFS(modif1[[srfcH]:[srfcH]],modif2[N+1],$A26,modif1[[essnc]:[essnc]],"PM")</f>
        <v>0</v>
      </c>
      <c r="E26" s="5">
        <f>SUMIFS(modif1[[srfcH]:[srfcH]],modif2[N+2],$A26,modif1[[essnc]:[essnc]],"PM")</f>
        <v>27.896099999999997</v>
      </c>
      <c r="F26" s="5">
        <f>SUMIFS(modif1[[srfcH]:[srfcH]],modif2[N+3],$A26,modif1[[essnc]:[essnc]],"PM")</f>
        <v>18.899100000000008</v>
      </c>
      <c r="G26" s="5">
        <f>SUMIFS(modif1[[srfcH]:[srfcH]],modif2[N+4],$A26,modif1[[essnc]:[essnc]],"PM")</f>
        <v>79.992599999999982</v>
      </c>
      <c r="H26" s="5">
        <f>SUMIFS(modif1[[srfcH]:[srfcH]],modif2[N+5],$A26,modif1[[essnc]:[essnc]],"PM")</f>
        <v>32.357099999999988</v>
      </c>
      <c r="I26" s="5">
        <f>SUMIFS(modif1[[srfcH]:[srfcH]],modif2[N+6],$A26,modif1[[essnc]:[essnc]],"PM")</f>
        <v>0</v>
      </c>
      <c r="J26" s="5">
        <f>SUMIFS(modif1[[srfcH]:[srfcH]],modif2[N+7],$A26,modif1[[essnc]:[essnc]],"PM")</f>
        <v>7.8686999999999987</v>
      </c>
      <c r="K26" s="5">
        <f>SUMIFS(modif1[[srfcH]:[srfcH]],modif2[N+8],$A26,modif1[[essnc]:[essnc]],"PM")</f>
        <v>27.747899999999998</v>
      </c>
      <c r="L26" s="5">
        <f>SUMIFS(modif1[[srfcH]:[srfcH]],modif2[N+9],$A26,modif1[[essnc]:[essnc]],"PM")</f>
        <v>13.015499999999999</v>
      </c>
      <c r="M26" s="5">
        <f>SUMIFS(modif1[[srfcH]:[srfcH]],modif2[N+10],$A26,modif1[[essnc]:[essnc]],"PM")</f>
        <v>0</v>
      </c>
      <c r="O26" t="s">
        <v>63</v>
      </c>
      <c r="P26" s="9">
        <f>P2/regle!$B$28</f>
        <v>7.407407407407407E-2</v>
      </c>
      <c r="Q26" s="9">
        <f>Q2/regle!$B$28</f>
        <v>4.7619047619047623E-2</v>
      </c>
      <c r="R26" s="9">
        <f>R2/regle!$B$28</f>
        <v>0.1577280165611944</v>
      </c>
      <c r="S26" s="9">
        <f>S2/regle!$B$28</f>
        <v>3.3684676460758574E-2</v>
      </c>
      <c r="T26" s="9">
        <f>T2/regle!$B$28</f>
        <v>1.1545895339568303E-4</v>
      </c>
      <c r="U26" s="9">
        <f>U2/regle!$B$28</f>
        <v>1.1545895339568303E-4</v>
      </c>
      <c r="V26" s="9">
        <f>V2/regle!$B$28</f>
        <v>2.4146739406708636E-2</v>
      </c>
      <c r="W26" s="9">
        <f>W2/regle!$B$28</f>
        <v>2.3616763882925176E-2</v>
      </c>
      <c r="X26" s="9">
        <f>X2/regle!$B$28</f>
        <v>3.8111459260565188E-2</v>
      </c>
      <c r="Y26" s="9">
        <f>Y2/regle!$B$28</f>
        <v>2.3530778058148058E-2</v>
      </c>
      <c r="Z26" s="9">
        <f>Z2/regle!$B$28</f>
        <v>2.4868425464350509E-2</v>
      </c>
      <c r="AA26" s="9">
        <f>AA2/regle!$B$28</f>
        <v>2.4770136636342706E-2</v>
      </c>
      <c r="AC26">
        <f t="shared" si="4"/>
        <v>21</v>
      </c>
      <c r="AD26" s="67">
        <f>D25/regle!$B$30</f>
        <v>1.5840268081088422</v>
      </c>
      <c r="AE26" s="67">
        <f>E25/regle!$B$30</f>
        <v>1.0731493308788624</v>
      </c>
      <c r="AF26" s="67">
        <f>F25/regle!$B$30</f>
        <v>4.5422271518358253</v>
      </c>
      <c r="AG26" s="67">
        <f>G25/regle!$B$30</f>
        <v>1.8373361807800592</v>
      </c>
      <c r="AH26" s="67">
        <f>H25/regle!$B$30</f>
        <v>0</v>
      </c>
      <c r="AI26" s="67">
        <f>I25/regle!$B$30</f>
        <v>0.44680911471374302</v>
      </c>
      <c r="AJ26" s="67">
        <f>J25/regle!$B$30</f>
        <v>1.5756115538990521</v>
      </c>
      <c r="AK26" s="67">
        <f>K25/regle!$B$30</f>
        <v>0.73906033176467811</v>
      </c>
      <c r="AL26" s="67">
        <f>L25/regle!$B$30</f>
        <v>0</v>
      </c>
      <c r="AM26" s="67">
        <f>M25/regle!$B$30</f>
        <v>4.6675928619868037</v>
      </c>
      <c r="AO26">
        <f t="shared" si="27"/>
        <v>12</v>
      </c>
      <c r="AP26" s="3">
        <f t="shared" si="28"/>
        <v>27.394696296296281</v>
      </c>
      <c r="AQ26" s="3">
        <f t="shared" si="29"/>
        <v>17.610876190476183</v>
      </c>
      <c r="AR26" s="3">
        <f t="shared" si="30"/>
        <v>82.200399999999988</v>
      </c>
      <c r="AS26" s="3">
        <f t="shared" si="26"/>
        <v>82.200399999999988</v>
      </c>
      <c r="AT26" s="3">
        <f t="shared" si="24"/>
        <v>82.200399999999988</v>
      </c>
      <c r="AU26" s="3">
        <f t="shared" si="22"/>
        <v>82.200399999999988</v>
      </c>
      <c r="AV26" s="3">
        <f t="shared" si="20"/>
        <v>82.200399999999988</v>
      </c>
      <c r="AW26" s="3">
        <f t="shared" si="18"/>
        <v>82.200399999999988</v>
      </c>
      <c r="AX26" s="3">
        <f t="shared" si="16"/>
        <v>82.200399999999988</v>
      </c>
      <c r="AY26" s="3">
        <f t="shared" si="12"/>
        <v>82.200399999999988</v>
      </c>
      <c r="AZ26" s="3">
        <f t="shared" si="9"/>
        <v>82.200399999999988</v>
      </c>
      <c r="BA26" s="3">
        <f t="shared" si="7"/>
        <v>82.200399999999988</v>
      </c>
    </row>
    <row r="27" spans="1:58" x14ac:dyDescent="0.25">
      <c r="A27">
        <v>23</v>
      </c>
      <c r="B27" s="5">
        <f t="shared" si="13"/>
        <v>27.394696296296281</v>
      </c>
      <c r="C27" s="5">
        <f t="shared" si="14"/>
        <v>17.610876190476183</v>
      </c>
      <c r="D27" s="5">
        <f>SUMIFS(modif1[[srfcH]:[srfcH]],modif2[N+1],$A27,modif1[[essnc]:[essnc]],"PM")</f>
        <v>0</v>
      </c>
      <c r="E27" s="5">
        <f>SUMIFS(modif1[[srfcH]:[srfcH]],modif2[N+2],$A27,modif1[[essnc]:[essnc]],"PM")</f>
        <v>0</v>
      </c>
      <c r="F27" s="5">
        <f>SUMIFS(modif1[[srfcH]:[srfcH]],modif2[N+3],$A27,modif1[[essnc]:[essnc]],"PM")</f>
        <v>27.896099999999997</v>
      </c>
      <c r="G27" s="5">
        <f>SUMIFS(modif1[[srfcH]:[srfcH]],modif2[N+4],$A27,modif1[[essnc]:[essnc]],"PM")</f>
        <v>18.899100000000008</v>
      </c>
      <c r="H27" s="5">
        <f>SUMIFS(modif1[[srfcH]:[srfcH]],modif2[N+5],$A27,modif1[[essnc]:[essnc]],"PM")</f>
        <v>79.992599999999982</v>
      </c>
      <c r="I27" s="5">
        <f>SUMIFS(modif1[[srfcH]:[srfcH]],modif2[N+6],$A27,modif1[[essnc]:[essnc]],"PM")</f>
        <v>32.357099999999988</v>
      </c>
      <c r="J27" s="5">
        <f>SUMIFS(modif1[[srfcH]:[srfcH]],modif2[N+7],$A27,modif1[[essnc]:[essnc]],"PM")</f>
        <v>0</v>
      </c>
      <c r="K27" s="5">
        <f>SUMIFS(modif1[[srfcH]:[srfcH]],modif2[N+8],$A27,modif1[[essnc]:[essnc]],"PM")</f>
        <v>7.8686999999999987</v>
      </c>
      <c r="L27" s="5">
        <f>SUMIFS(modif1[[srfcH]:[srfcH]],modif2[N+9],$A27,modif1[[essnc]:[essnc]],"PM")</f>
        <v>27.747899999999998</v>
      </c>
      <c r="M27" s="5">
        <f>SUMIFS(modif1[[srfcH]:[srfcH]],modif2[N+10],$A27,modif1[[essnc]:[essnc]],"PM")</f>
        <v>13.015499999999999</v>
      </c>
      <c r="O27" t="s">
        <v>73</v>
      </c>
      <c r="P27" s="9">
        <f>SUM(P3:P6)/regle!$B$28</f>
        <v>0.7407407407407407</v>
      </c>
      <c r="Q27" s="9">
        <f>SUM(Q3:Q6)/regle!$B$28</f>
        <v>0.47619047619047622</v>
      </c>
      <c r="R27" s="9">
        <f>SUM(R3:R6)/regle!$B$28</f>
        <v>0.74010811500685214</v>
      </c>
      <c r="S27" s="9">
        <f>SUM(S3:S6)/regle!$B$28</f>
        <v>0.77621837587378395</v>
      </c>
      <c r="T27" s="9">
        <f>SUM(T3:T6)/regle!$B$28</f>
        <v>0.76604149383876452</v>
      </c>
      <c r="U27" s="9">
        <f>SUM(U3:U6)/regle!$B$28</f>
        <v>0.76604149383876452</v>
      </c>
      <c r="V27" s="9">
        <f>SUM(V3:V6)/regle!$B$28</f>
        <v>0.75551864053707096</v>
      </c>
      <c r="W27" s="9">
        <f>SUM(W3:W6)/regle!$B$28</f>
        <v>0.74215081913665937</v>
      </c>
      <c r="X27" s="9">
        <f>SUM(X3:X6)/regle!$B$28</f>
        <v>0.73361713162104392</v>
      </c>
      <c r="Y27" s="9">
        <f>SUM(Y3:Y6)/regle!$B$28</f>
        <v>0.77070135771076564</v>
      </c>
      <c r="Z27" s="9">
        <f>SUM(Z3:Z6)/regle!$B$28</f>
        <v>0.67813613016198893</v>
      </c>
      <c r="AA27" s="9">
        <f>SUM(AA3:AA6)/regle!$B$28</f>
        <v>0.69446180985559813</v>
      </c>
      <c r="AC27">
        <f t="shared" si="4"/>
        <v>22</v>
      </c>
      <c r="AD27" s="67">
        <f>D26/regle!$B$30</f>
        <v>0</v>
      </c>
      <c r="AE27" s="67">
        <f>E26/regle!$B$30</f>
        <v>1.5840268081088422</v>
      </c>
      <c r="AF27" s="67">
        <f>F26/regle!$B$30</f>
        <v>1.0731493308788624</v>
      </c>
      <c r="AG27" s="67">
        <f>G26/regle!$B$30</f>
        <v>4.5422271518358253</v>
      </c>
      <c r="AH27" s="67">
        <f>H26/regle!$B$30</f>
        <v>1.8373361807800592</v>
      </c>
      <c r="AI27" s="67">
        <f>I26/regle!$B$30</f>
        <v>0</v>
      </c>
      <c r="AJ27" s="67">
        <f>J26/regle!$B$30</f>
        <v>0.44680911471374302</v>
      </c>
      <c r="AK27" s="67">
        <f>K26/regle!$B$30</f>
        <v>1.5756115538990521</v>
      </c>
      <c r="AL27" s="67">
        <f>L26/regle!$B$30</f>
        <v>0.73906033176467811</v>
      </c>
      <c r="AM27" s="67">
        <f>M26/regle!$B$30</f>
        <v>0</v>
      </c>
      <c r="AO27">
        <f t="shared" si="27"/>
        <v>13</v>
      </c>
      <c r="AP27" s="3">
        <f t="shared" si="28"/>
        <v>27.394696296296281</v>
      </c>
      <c r="AQ27" s="3">
        <f t="shared" si="29"/>
        <v>17.610876190476183</v>
      </c>
      <c r="AR27" s="3">
        <f t="shared" si="30"/>
        <v>0</v>
      </c>
      <c r="AS27" s="3">
        <f t="shared" si="26"/>
        <v>0</v>
      </c>
      <c r="AT27" s="3">
        <f t="shared" si="24"/>
        <v>0</v>
      </c>
      <c r="AU27" s="3">
        <f t="shared" si="22"/>
        <v>0</v>
      </c>
      <c r="AV27" s="3">
        <f t="shared" si="20"/>
        <v>0</v>
      </c>
      <c r="AW27" s="3">
        <f t="shared" si="18"/>
        <v>0</v>
      </c>
      <c r="AX27" s="3">
        <f t="shared" si="16"/>
        <v>0</v>
      </c>
      <c r="AY27" s="3">
        <f t="shared" si="12"/>
        <v>0</v>
      </c>
      <c r="AZ27" s="3">
        <f t="shared" si="9"/>
        <v>0</v>
      </c>
      <c r="BA27" s="3">
        <f t="shared" si="7"/>
        <v>0</v>
      </c>
    </row>
    <row r="28" spans="1:58" x14ac:dyDescent="0.25">
      <c r="A28">
        <v>24</v>
      </c>
      <c r="B28" s="5">
        <f t="shared" si="13"/>
        <v>27.394696296296281</v>
      </c>
      <c r="C28" s="5">
        <f t="shared" si="14"/>
        <v>17.610876190476183</v>
      </c>
      <c r="D28" s="5">
        <f>SUMIFS(modif1[[srfcH]:[srfcH]],modif2[N+1],$A28,modif1[[essnc]:[essnc]],"PM")</f>
        <v>0</v>
      </c>
      <c r="E28" s="5">
        <f>SUMIFS(modif1[[srfcH]:[srfcH]],modif2[N+2],$A28,modif1[[essnc]:[essnc]],"PM")</f>
        <v>0</v>
      </c>
      <c r="F28" s="5">
        <f>SUMIFS(modif1[[srfcH]:[srfcH]],modif2[N+3],$A28,modif1[[essnc]:[essnc]],"PM")</f>
        <v>0</v>
      </c>
      <c r="G28" s="5">
        <f>SUMIFS(modif1[[srfcH]:[srfcH]],modif2[N+4],$A28,modif1[[essnc]:[essnc]],"PM")</f>
        <v>27.896099999999997</v>
      </c>
      <c r="H28" s="5">
        <f>SUMIFS(modif1[[srfcH]:[srfcH]],modif2[N+5],$A28,modif1[[essnc]:[essnc]],"PM")</f>
        <v>18.899100000000008</v>
      </c>
      <c r="I28" s="5">
        <f>SUMIFS(modif1[[srfcH]:[srfcH]],modif2[N+6],$A28,modif1[[essnc]:[essnc]],"PM")</f>
        <v>79.992599999999982</v>
      </c>
      <c r="J28" s="5">
        <f>SUMIFS(modif1[[srfcH]:[srfcH]],modif2[N+7],$A28,modif1[[essnc]:[essnc]],"PM")</f>
        <v>32.357099999999988</v>
      </c>
      <c r="K28" s="5">
        <f>SUMIFS(modif1[[srfcH]:[srfcH]],modif2[N+8],$A28,modif1[[essnc]:[essnc]],"PM")</f>
        <v>0</v>
      </c>
      <c r="L28" s="5">
        <f>SUMIFS(modif1[[srfcH]:[srfcH]],modif2[N+9],$A28,modif1[[essnc]:[essnc]],"PM")</f>
        <v>7.8686999999999987</v>
      </c>
      <c r="M28" s="5">
        <f>SUMIFS(modif1[[srfcH]:[srfcH]],modif2[N+10],$A28,modif1[[essnc]:[essnc]],"PM")</f>
        <v>27.747899999999998</v>
      </c>
      <c r="O28" t="s">
        <v>74</v>
      </c>
      <c r="P28" s="9">
        <f>SUM(P7:P10)/regle!$B$28</f>
        <v>0.18518518518518517</v>
      </c>
      <c r="Q28" s="9">
        <f>SUM(Q7:Q10)/regle!$B$28</f>
        <v>0.47619047619047622</v>
      </c>
      <c r="R28" s="9">
        <f>SUM(R7:R10)/regle!$B$28</f>
        <v>0.10216386843195391</v>
      </c>
      <c r="S28" s="9">
        <f>SUM(S7:S10)/regle!$B$28</f>
        <v>0.1900969476654579</v>
      </c>
      <c r="T28" s="9">
        <f>SUM(T7:T10)/regle!$B$28</f>
        <v>0.23384304720784027</v>
      </c>
      <c r="U28" s="9">
        <f>SUM(U7:U10)/regle!$B$28</f>
        <v>0.23384304720784027</v>
      </c>
      <c r="V28" s="9">
        <f>SUM(V7:V10)/regle!$B$28</f>
        <v>0.22033462005622076</v>
      </c>
      <c r="W28" s="9">
        <f>SUM(W7:W10)/regle!$B$28</f>
        <v>0.23423241698041586</v>
      </c>
      <c r="X28" s="9">
        <f>SUM(X7:X10)/regle!$B$28</f>
        <v>0.22827140911839125</v>
      </c>
      <c r="Y28" s="9">
        <f>SUM(Y7:Y10)/regle!$B$28</f>
        <v>0.20576786423108673</v>
      </c>
      <c r="Z28" s="9">
        <f>SUM(Z7:Z10)/regle!$B$28</f>
        <v>0.29699544437366099</v>
      </c>
      <c r="AA28" s="9">
        <f>SUM(AA7:AA10)/regle!$B$28</f>
        <v>0.2807680535080595</v>
      </c>
      <c r="AC28">
        <f t="shared" si="4"/>
        <v>23</v>
      </c>
      <c r="AD28" s="67">
        <f>D27/regle!$B$30</f>
        <v>0</v>
      </c>
      <c r="AE28" s="67">
        <f>E27/regle!$B$30</f>
        <v>0</v>
      </c>
      <c r="AF28" s="67">
        <f>F27/regle!$B$30</f>
        <v>1.5840268081088422</v>
      </c>
      <c r="AG28" s="67">
        <f>G27/regle!$B$30</f>
        <v>1.0731493308788624</v>
      </c>
      <c r="AH28" s="67">
        <f>H27/regle!$B$30</f>
        <v>4.5422271518358253</v>
      </c>
      <c r="AI28" s="67">
        <f>I27/regle!$B$30</f>
        <v>1.8373361807800592</v>
      </c>
      <c r="AJ28" s="67">
        <f>J27/regle!$B$30</f>
        <v>0</v>
      </c>
      <c r="AK28" s="67">
        <f>K27/regle!$B$30</f>
        <v>0.44680911471374302</v>
      </c>
      <c r="AL28" s="67">
        <f>L27/regle!$B$30</f>
        <v>1.5756115538990521</v>
      </c>
      <c r="AM28" s="67">
        <f>M27/regle!$B$30</f>
        <v>0.73906033176467811</v>
      </c>
      <c r="AO28">
        <f t="shared" si="27"/>
        <v>14</v>
      </c>
      <c r="AP28" s="3">
        <f t="shared" si="28"/>
        <v>27.394696296296281</v>
      </c>
      <c r="AQ28" s="3">
        <f t="shared" si="29"/>
        <v>17.610876190476183</v>
      </c>
      <c r="AR28" s="3">
        <f t="shared" si="30"/>
        <v>13.015499999999999</v>
      </c>
      <c r="AS28" s="3">
        <f t="shared" si="26"/>
        <v>13.015499999999999</v>
      </c>
      <c r="AT28" s="3">
        <f t="shared" si="24"/>
        <v>13.015499999999999</v>
      </c>
      <c r="AU28" s="3">
        <f t="shared" si="22"/>
        <v>13.015499999999999</v>
      </c>
      <c r="AV28" s="3">
        <f t="shared" si="20"/>
        <v>13.015499999999999</v>
      </c>
      <c r="AW28" s="3">
        <f t="shared" si="18"/>
        <v>13.015499999999999</v>
      </c>
      <c r="AX28" s="3">
        <f t="shared" si="16"/>
        <v>13.015499999999999</v>
      </c>
      <c r="AY28" s="3">
        <f t="shared" si="12"/>
        <v>13.015499999999999</v>
      </c>
      <c r="AZ28" s="3">
        <f t="shared" si="9"/>
        <v>13.015499999999999</v>
      </c>
      <c r="BA28" s="3">
        <f t="shared" si="7"/>
        <v>13.015499999999999</v>
      </c>
    </row>
    <row r="29" spans="1:58" x14ac:dyDescent="0.25">
      <c r="A29">
        <v>25</v>
      </c>
      <c r="B29" s="5">
        <v>0</v>
      </c>
      <c r="C29" s="5">
        <f t="shared" si="14"/>
        <v>17.610876190476183</v>
      </c>
      <c r="D29" s="5">
        <f>SUMIFS(modif1[[srfcH]:[srfcH]],modif2[N+1],$A29,modif1[[essnc]:[essnc]],"PM")</f>
        <v>0</v>
      </c>
      <c r="E29" s="5">
        <f>SUMIFS(modif1[[srfcH]:[srfcH]],modif2[N+2],$A29,modif1[[essnc]:[essnc]],"PM")</f>
        <v>0</v>
      </c>
      <c r="F29" s="5">
        <f>SUMIFS(modif1[[srfcH]:[srfcH]],modif2[N+3],$A29,modif1[[essnc]:[essnc]],"PM")</f>
        <v>0</v>
      </c>
      <c r="G29" s="5">
        <f>SUMIFS(modif1[[srfcH]:[srfcH]],modif2[N+4],$A29,modif1[[essnc]:[essnc]],"PM")</f>
        <v>0</v>
      </c>
      <c r="H29" s="5">
        <f>SUMIFS(modif1[[srfcH]:[srfcH]],modif2[N+5],$A29,modif1[[essnc]:[essnc]],"PM")</f>
        <v>10.0358</v>
      </c>
      <c r="I29" s="5">
        <f>SUMIFS(modif1[[srfcH]:[srfcH]],modif2[N+6],$A29,modif1[[essnc]:[essnc]],"PM")</f>
        <v>1.4307999999999998</v>
      </c>
      <c r="J29" s="5">
        <f>SUMIFS(modif1[[srfcH]:[srfcH]],modif2[N+7],$A29,modif1[[essnc]:[essnc]],"PM")</f>
        <v>73.215400000000002</v>
      </c>
      <c r="K29" s="5">
        <f>SUMIFS(modif1[[srfcH]:[srfcH]],modif2[N+8],$A29,modif1[[essnc]:[essnc]],"PM")</f>
        <v>15.712199999999999</v>
      </c>
      <c r="L29" s="5">
        <f>SUMIFS(modif1[[srfcH]:[srfcH]],modif2[N+9],$A29,modif1[[essnc]:[essnc]],"PM")</f>
        <v>0</v>
      </c>
      <c r="M29" s="5">
        <f>SUMIFS(modif1[[srfcH]:[srfcH]],modif2[N+10],$A29,modif1[[essnc]:[essnc]],"PM")</f>
        <v>0.70179999999999998</v>
      </c>
      <c r="O29" t="s">
        <v>75</v>
      </c>
      <c r="P29" s="9">
        <f>SUM(P11:P15)/regle!$B$28</f>
        <v>0</v>
      </c>
      <c r="Q29" s="9">
        <f>SUM(Q11:Q15)/regle!$B$28</f>
        <v>0</v>
      </c>
      <c r="R29" s="9">
        <f>SUM(R11:R15)/regle!$B$28</f>
        <v>0</v>
      </c>
      <c r="S29" s="9">
        <f>SUM(S11:S15)/regle!$B$28</f>
        <v>0</v>
      </c>
      <c r="T29" s="9">
        <f>SUM(T11:T15)/regle!$B$28</f>
        <v>0</v>
      </c>
      <c r="U29" s="9">
        <f>SUM(U11:U15)/regle!$B$28</f>
        <v>0</v>
      </c>
      <c r="V29" s="9">
        <f>SUM(V11:V15)/regle!$B$28</f>
        <v>0</v>
      </c>
      <c r="W29" s="9">
        <f>SUM(W11:W15)/regle!$B$28</f>
        <v>0</v>
      </c>
      <c r="X29" s="9">
        <f>SUM(X11:X15)/regle!$B$28</f>
        <v>0</v>
      </c>
      <c r="Y29" s="9">
        <f>SUM(Y11:Y15)/regle!$B$28</f>
        <v>0</v>
      </c>
      <c r="Z29" s="9">
        <f>SUM(Z11:Z15)/regle!$B$28</f>
        <v>0</v>
      </c>
      <c r="AA29" s="9">
        <f>SUM(AA11:AA15)/regle!$B$28</f>
        <v>0</v>
      </c>
      <c r="AC29">
        <f t="shared" si="4"/>
        <v>24</v>
      </c>
      <c r="AD29" s="67">
        <f>D28/regle!$B$30</f>
        <v>0</v>
      </c>
      <c r="AE29" s="67">
        <f>E28/regle!$B$30</f>
        <v>0</v>
      </c>
      <c r="AF29" s="67">
        <f>F28/regle!$B$30</f>
        <v>0</v>
      </c>
      <c r="AG29" s="67">
        <f>G28/regle!$B$30</f>
        <v>1.5840268081088422</v>
      </c>
      <c r="AH29" s="67">
        <f>H28/regle!$B$30</f>
        <v>1.0731493308788624</v>
      </c>
      <c r="AI29" s="67">
        <f>I28/regle!$B$30</f>
        <v>4.5422271518358253</v>
      </c>
      <c r="AJ29" s="67">
        <f>J28/regle!$B$30</f>
        <v>1.8373361807800592</v>
      </c>
      <c r="AK29" s="67">
        <f>K28/regle!$B$30</f>
        <v>0</v>
      </c>
      <c r="AL29" s="67">
        <f>L28/regle!$B$30</f>
        <v>0.44680911471374302</v>
      </c>
      <c r="AM29" s="67">
        <f>M28/regle!$B$30</f>
        <v>1.5756115538990521</v>
      </c>
      <c r="AO29">
        <f t="shared" si="27"/>
        <v>15</v>
      </c>
      <c r="AP29" s="3">
        <f t="shared" si="28"/>
        <v>27.394696296296281</v>
      </c>
      <c r="AQ29" s="3">
        <f t="shared" si="29"/>
        <v>17.610876190476183</v>
      </c>
      <c r="AR29" s="3">
        <f t="shared" si="30"/>
        <v>27.747899999999998</v>
      </c>
      <c r="AS29" s="3">
        <f t="shared" si="26"/>
        <v>27.747899999999998</v>
      </c>
      <c r="AT29" s="3">
        <f t="shared" si="24"/>
        <v>27.747899999999998</v>
      </c>
      <c r="AU29" s="3">
        <f t="shared" si="22"/>
        <v>27.747899999999998</v>
      </c>
      <c r="AV29" s="3">
        <f t="shared" si="20"/>
        <v>27.747899999999998</v>
      </c>
      <c r="AW29" s="3">
        <f t="shared" si="18"/>
        <v>27.747899999999998</v>
      </c>
      <c r="AX29" s="3">
        <f t="shared" si="16"/>
        <v>27.747899999999998</v>
      </c>
      <c r="AY29" s="3">
        <f t="shared" si="12"/>
        <v>27.747899999999998</v>
      </c>
      <c r="AZ29" s="3">
        <f t="shared" si="9"/>
        <v>27.747899999999998</v>
      </c>
      <c r="BA29" s="3">
        <f t="shared" si="7"/>
        <v>27.747899999999998</v>
      </c>
    </row>
    <row r="30" spans="1:58" x14ac:dyDescent="0.25">
      <c r="A30">
        <v>26</v>
      </c>
      <c r="B30" s="5">
        <v>0</v>
      </c>
      <c r="C30" s="5">
        <f t="shared" si="14"/>
        <v>17.610876190476183</v>
      </c>
      <c r="D30" s="5">
        <f>SUMIFS(modif1[[srfcH]:[srfcH]],modif2[N+1],$A30,modif1[[essnc]:[essnc]],"PM")</f>
        <v>0</v>
      </c>
      <c r="E30" s="5">
        <f>SUMIFS(modif1[[srfcH]:[srfcH]],modif2[N+2],$A30,modif1[[essnc]:[essnc]],"PM")</f>
        <v>0</v>
      </c>
      <c r="F30" s="5">
        <f>SUMIFS(modif1[[srfcH]:[srfcH]],modif2[N+3],$A30,modif1[[essnc]:[essnc]],"PM")</f>
        <v>0</v>
      </c>
      <c r="G30" s="5">
        <f>SUMIFS(modif1[[srfcH]:[srfcH]],modif2[N+4],$A30,modif1[[essnc]:[essnc]],"PM")</f>
        <v>0</v>
      </c>
      <c r="H30" s="5">
        <f>SUMIFS(modif1[[srfcH]:[srfcH]],modif2[N+5],$A30,modif1[[essnc]:[essnc]],"PM")</f>
        <v>0</v>
      </c>
      <c r="I30" s="5">
        <f>SUMIFS(modif1[[srfcH]:[srfcH]],modif2[N+6],$A30,modif1[[essnc]:[essnc]],"PM")</f>
        <v>10.0358</v>
      </c>
      <c r="J30" s="5">
        <f>SUMIFS(modif1[[srfcH]:[srfcH]],modif2[N+7],$A30,modif1[[essnc]:[essnc]],"PM")</f>
        <v>1.4307999999999998</v>
      </c>
      <c r="K30" s="5">
        <f>SUMIFS(modif1[[srfcH]:[srfcH]],modif2[N+8],$A30,modif1[[essnc]:[essnc]],"PM")</f>
        <v>73.215400000000002</v>
      </c>
      <c r="L30" s="5">
        <f>SUMIFS(modif1[[srfcH]:[srfcH]],modif2[N+9],$A30,modif1[[essnc]:[essnc]],"PM")</f>
        <v>5.3432000000000004</v>
      </c>
      <c r="M30" s="5">
        <f>SUMIFS(modif1[[srfcH]:[srfcH]],modif2[N+10],$A30,modif1[[essnc]:[essnc]],"PM")</f>
        <v>0</v>
      </c>
      <c r="AC30">
        <f t="shared" si="4"/>
        <v>25</v>
      </c>
      <c r="AD30" s="67">
        <f>D29/regle!$B$30</f>
        <v>0</v>
      </c>
      <c r="AE30" s="67">
        <f>E29/regle!$B$30</f>
        <v>0</v>
      </c>
      <c r="AF30" s="67">
        <f>F29/regle!$B$30</f>
        <v>0</v>
      </c>
      <c r="AG30" s="67">
        <f>G29/regle!$B$30</f>
        <v>0</v>
      </c>
      <c r="AH30" s="67">
        <f>H29/regle!$B$30</f>
        <v>0.56986375302707981</v>
      </c>
      <c r="AI30" s="67">
        <f>I29/regle!$B$30</f>
        <v>8.124524779600488E-2</v>
      </c>
      <c r="AJ30" s="67">
        <f>J29/regle!$B$30</f>
        <v>4.1573967818588313</v>
      </c>
      <c r="AK30" s="67">
        <f>K29/regle!$B$30</f>
        <v>0.89218729551327081</v>
      </c>
      <c r="AL30" s="67">
        <f>L29/regle!$B$30</f>
        <v>0</v>
      </c>
      <c r="AM30" s="67">
        <f>M29/regle!$B$30</f>
        <v>3.9850373849060823E-2</v>
      </c>
      <c r="AO30">
        <f t="shared" si="27"/>
        <v>16</v>
      </c>
      <c r="AP30" s="3">
        <f t="shared" si="28"/>
        <v>27.394696296296281</v>
      </c>
      <c r="AQ30" s="3">
        <f t="shared" si="29"/>
        <v>17.610876190476183</v>
      </c>
      <c r="AR30" s="3">
        <f t="shared" si="30"/>
        <v>7.8686999999999987</v>
      </c>
      <c r="AS30" s="3">
        <f t="shared" si="26"/>
        <v>7.8686999999999987</v>
      </c>
      <c r="AT30" s="3">
        <f t="shared" si="24"/>
        <v>7.8686999999999987</v>
      </c>
      <c r="AU30" s="3">
        <f t="shared" si="22"/>
        <v>7.8686999999999987</v>
      </c>
      <c r="AV30" s="3">
        <f t="shared" si="20"/>
        <v>7.8686999999999987</v>
      </c>
      <c r="AW30" s="3">
        <f t="shared" si="18"/>
        <v>7.8686999999999987</v>
      </c>
      <c r="AX30" s="3">
        <f t="shared" si="16"/>
        <v>7.8686999999999987</v>
      </c>
      <c r="AY30" s="3">
        <f t="shared" si="12"/>
        <v>7.8686999999999987</v>
      </c>
      <c r="AZ30" s="3">
        <f t="shared" si="9"/>
        <v>7.8686999999999987</v>
      </c>
      <c r="BA30" s="3">
        <f t="shared" si="7"/>
        <v>0.70179999999999998</v>
      </c>
    </row>
    <row r="31" spans="1:58" x14ac:dyDescent="0.25">
      <c r="A31">
        <v>27</v>
      </c>
      <c r="B31" s="5">
        <v>0</v>
      </c>
      <c r="C31" s="5">
        <f t="shared" si="14"/>
        <v>17.610876190476183</v>
      </c>
      <c r="D31" s="5">
        <f>SUMIFS(modif1[[srfcH]:[srfcH]],modif2[N+1],$A31,modif1[[essnc]:[essnc]],"PM")</f>
        <v>3.1713000000000005</v>
      </c>
      <c r="E31" s="5">
        <f>SUMIFS(modif1[[srfcH]:[srfcH]],modif2[N+2],$A31,modif1[[essnc]:[essnc]],"PM")</f>
        <v>0</v>
      </c>
      <c r="F31" s="5">
        <f>SUMIFS(modif1[[srfcH]:[srfcH]],modif2[N+3],$A31,modif1[[essnc]:[essnc]],"PM")</f>
        <v>0</v>
      </c>
      <c r="G31" s="5">
        <f>SUMIFS(modif1[[srfcH]:[srfcH]],modif2[N+4],$A31,modif1[[essnc]:[essnc]],"PM")</f>
        <v>0</v>
      </c>
      <c r="H31" s="5">
        <f>SUMIFS(modif1[[srfcH]:[srfcH]],modif2[N+5],$A31,modif1[[essnc]:[essnc]],"PM")</f>
        <v>0</v>
      </c>
      <c r="I31" s="5">
        <f>SUMIFS(modif1[[srfcH]:[srfcH]],modif2[N+6],$A31,modif1[[essnc]:[essnc]],"PM")</f>
        <v>0</v>
      </c>
      <c r="J31" s="5">
        <f>SUMIFS(modif1[[srfcH]:[srfcH]],modif2[N+7],$A31,modif1[[essnc]:[essnc]],"PM")</f>
        <v>10.0358</v>
      </c>
      <c r="K31" s="5">
        <f>SUMIFS(modif1[[srfcH]:[srfcH]],modif2[N+8],$A31,modif1[[essnc]:[essnc]],"PM")</f>
        <v>1.4307999999999998</v>
      </c>
      <c r="L31" s="5">
        <f>SUMIFS(modif1[[srfcH]:[srfcH]],modif2[N+9],$A31,modif1[[essnc]:[essnc]],"PM")</f>
        <v>72.032399999999996</v>
      </c>
      <c r="M31" s="5">
        <f>SUMIFS(modif1[[srfcH]:[srfcH]],modif2[N+10],$A31,modif1[[essnc]:[essnc]],"PM")</f>
        <v>4.6753000000000018</v>
      </c>
      <c r="AC31">
        <f t="shared" si="4"/>
        <v>26</v>
      </c>
      <c r="AD31" s="67">
        <f>D30/regle!$B$30</f>
        <v>0</v>
      </c>
      <c r="AE31" s="67">
        <f>E30/regle!$B$30</f>
        <v>0</v>
      </c>
      <c r="AF31" s="67">
        <f>F30/regle!$B$30</f>
        <v>0</v>
      </c>
      <c r="AG31" s="67">
        <f>G30/regle!$B$30</f>
        <v>0</v>
      </c>
      <c r="AH31" s="67">
        <f>H30/regle!$B$30</f>
        <v>0</v>
      </c>
      <c r="AI31" s="67">
        <f>I30/regle!$B$30</f>
        <v>0.56986375302707981</v>
      </c>
      <c r="AJ31" s="67">
        <f>J30/regle!$B$30</f>
        <v>8.124524779600488E-2</v>
      </c>
      <c r="AK31" s="67">
        <f>K30/regle!$B$30</f>
        <v>4.1573967818588313</v>
      </c>
      <c r="AL31" s="67">
        <f>L30/regle!$B$30</f>
        <v>0.30340341628712142</v>
      </c>
      <c r="AM31" s="67">
        <f>M30/regle!$B$30</f>
        <v>0</v>
      </c>
      <c r="AO31">
        <f t="shared" si="27"/>
        <v>17</v>
      </c>
      <c r="AP31" s="3">
        <f t="shared" si="28"/>
        <v>27.394696296296281</v>
      </c>
      <c r="AQ31" s="3">
        <f t="shared" si="29"/>
        <v>17.610876190476183</v>
      </c>
      <c r="AR31" s="3">
        <f t="shared" si="30"/>
        <v>0</v>
      </c>
      <c r="AS31" s="3">
        <f t="shared" si="26"/>
        <v>0</v>
      </c>
      <c r="AT31" s="3">
        <f t="shared" si="24"/>
        <v>0</v>
      </c>
      <c r="AU31" s="3">
        <f t="shared" si="22"/>
        <v>0</v>
      </c>
      <c r="AV31" s="3">
        <f t="shared" si="20"/>
        <v>0</v>
      </c>
      <c r="AW31" s="3">
        <f t="shared" si="18"/>
        <v>0</v>
      </c>
      <c r="AX31" s="3">
        <f t="shared" si="16"/>
        <v>0</v>
      </c>
      <c r="AY31" s="3">
        <f t="shared" si="12"/>
        <v>0</v>
      </c>
      <c r="AZ31" s="3">
        <f t="shared" si="9"/>
        <v>0</v>
      </c>
      <c r="BA31" s="3">
        <f t="shared" si="7"/>
        <v>0</v>
      </c>
    </row>
    <row r="32" spans="1:58" x14ac:dyDescent="0.25">
      <c r="A32">
        <v>28</v>
      </c>
      <c r="B32" s="5">
        <v>0</v>
      </c>
      <c r="C32" s="5">
        <f t="shared" si="14"/>
        <v>17.610876190476183</v>
      </c>
      <c r="D32" s="5">
        <f>SUMIFS(modif1[[srfcH]:[srfcH]],modif2[N+1],$A32,modif1[[essnc]:[essnc]],"PM")</f>
        <v>0</v>
      </c>
      <c r="E32" s="5">
        <f>SUMIFS(modif1[[srfcH]:[srfcH]],modif2[N+2],$A32,modif1[[essnc]:[essnc]],"PM")</f>
        <v>3.1713000000000005</v>
      </c>
      <c r="F32" s="5">
        <f>SUMIFS(modif1[[srfcH]:[srfcH]],modif2[N+3],$A32,modif1[[essnc]:[essnc]],"PM")</f>
        <v>0</v>
      </c>
      <c r="G32" s="5">
        <f>SUMIFS(modif1[[srfcH]:[srfcH]],modif2[N+4],$A32,modif1[[essnc]:[essnc]],"PM")</f>
        <v>0</v>
      </c>
      <c r="H32" s="5">
        <f>SUMIFS(modif1[[srfcH]:[srfcH]],modif2[N+5],$A32,modif1[[essnc]:[essnc]],"PM")</f>
        <v>0</v>
      </c>
      <c r="I32" s="5">
        <f>SUMIFS(modif1[[srfcH]:[srfcH]],modif2[N+6],$A32,modif1[[essnc]:[essnc]],"PM")</f>
        <v>0</v>
      </c>
      <c r="J32" s="5">
        <f>SUMIFS(modif1[[srfcH]:[srfcH]],modif2[N+7],$A32,modif1[[essnc]:[essnc]],"PM")</f>
        <v>0</v>
      </c>
      <c r="K32" s="5">
        <f>SUMIFS(modif1[[srfcH]:[srfcH]],modif2[N+8],$A32,modif1[[essnc]:[essnc]],"PM")</f>
        <v>10.0358</v>
      </c>
      <c r="L32" s="5">
        <f>SUMIFS(modif1[[srfcH]:[srfcH]],modif2[N+9],$A32,modif1[[essnc]:[essnc]],"PM")</f>
        <v>1.4307999999999998</v>
      </c>
      <c r="M32" s="5">
        <f>SUMIFS(modif1[[srfcH]:[srfcH]],modif2[N+10],$A32,modif1[[essnc]:[essnc]],"PM")</f>
        <v>61.545799999999993</v>
      </c>
      <c r="AC32">
        <f t="shared" si="4"/>
        <v>27</v>
      </c>
      <c r="AD32" s="67">
        <f>D31/regle!$B$30</f>
        <v>0.18007621913298177</v>
      </c>
      <c r="AE32" s="67">
        <f>E31/regle!$B$30</f>
        <v>0</v>
      </c>
      <c r="AF32" s="67">
        <f>F31/regle!$B$30</f>
        <v>0</v>
      </c>
      <c r="AG32" s="67">
        <f>G31/regle!$B$30</f>
        <v>0</v>
      </c>
      <c r="AH32" s="67">
        <f>H31/regle!$B$30</f>
        <v>0</v>
      </c>
      <c r="AI32" s="67">
        <f>I31/regle!$B$30</f>
        <v>0</v>
      </c>
      <c r="AJ32" s="67">
        <f>J31/regle!$B$30</f>
        <v>0.56986375302707981</v>
      </c>
      <c r="AK32" s="67">
        <f>K31/regle!$B$30</f>
        <v>8.124524779600488E-2</v>
      </c>
      <c r="AL32" s="67">
        <f>L31/regle!$B$30</f>
        <v>4.0902223842192775</v>
      </c>
      <c r="AM32" s="67">
        <f>M31/regle!$B$30</f>
        <v>0.26547798925123134</v>
      </c>
      <c r="AO32">
        <f t="shared" si="27"/>
        <v>18</v>
      </c>
      <c r="AP32" s="3">
        <f t="shared" si="28"/>
        <v>27.394696296296281</v>
      </c>
      <c r="AQ32" s="3">
        <f t="shared" si="29"/>
        <v>17.610876190476183</v>
      </c>
      <c r="AR32" s="3">
        <f t="shared" si="30"/>
        <v>32.357099999999988</v>
      </c>
      <c r="AS32" s="3">
        <f t="shared" si="26"/>
        <v>32.357099999999988</v>
      </c>
      <c r="AT32" s="3">
        <f t="shared" si="24"/>
        <v>32.357099999999988</v>
      </c>
      <c r="AU32" s="3">
        <f t="shared" si="22"/>
        <v>32.357099999999988</v>
      </c>
      <c r="AV32" s="3">
        <f t="shared" si="20"/>
        <v>32.357099999999988</v>
      </c>
      <c r="AW32" s="3">
        <f t="shared" si="18"/>
        <v>32.357099999999988</v>
      </c>
      <c r="AX32" s="3">
        <f t="shared" si="16"/>
        <v>32.357099999999988</v>
      </c>
      <c r="AY32" s="3">
        <f t="shared" si="12"/>
        <v>15.712199999999999</v>
      </c>
      <c r="AZ32" s="3">
        <f t="shared" si="9"/>
        <v>5.3432000000000004</v>
      </c>
      <c r="BA32" s="3">
        <f t="shared" si="7"/>
        <v>4.6753000000000018</v>
      </c>
    </row>
    <row r="33" spans="1:53" x14ac:dyDescent="0.25">
      <c r="A33">
        <v>29</v>
      </c>
      <c r="B33" s="5">
        <v>0</v>
      </c>
      <c r="C33" s="5">
        <f t="shared" si="14"/>
        <v>17.610876190476183</v>
      </c>
      <c r="D33" s="5">
        <f>SUMIFS(modif1[[srfcH]:[srfcH]],modif2[N+1],$A33,modif1[[essnc]:[essnc]],"PM")</f>
        <v>10.647399999999999</v>
      </c>
      <c r="E33" s="5">
        <f>SUMIFS(modif1[[srfcH]:[srfcH]],modif2[N+2],$A33,modif1[[essnc]:[essnc]],"PM")</f>
        <v>0</v>
      </c>
      <c r="F33" s="5">
        <f>SUMIFS(modif1[[srfcH]:[srfcH]],modif2[N+3],$A33,modif1[[essnc]:[essnc]],"PM")</f>
        <v>3.1713000000000005</v>
      </c>
      <c r="G33" s="5">
        <f>SUMIFS(modif1[[srfcH]:[srfcH]],modif2[N+4],$A33,modif1[[essnc]:[essnc]],"PM")</f>
        <v>0</v>
      </c>
      <c r="H33" s="5">
        <f>SUMIFS(modif1[[srfcH]:[srfcH]],modif2[N+5],$A33,modif1[[essnc]:[essnc]],"PM")</f>
        <v>0</v>
      </c>
      <c r="I33" s="5">
        <f>SUMIFS(modif1[[srfcH]:[srfcH]],modif2[N+6],$A33,modif1[[essnc]:[essnc]],"PM")</f>
        <v>0</v>
      </c>
      <c r="J33" s="5">
        <f>SUMIFS(modif1[[srfcH]:[srfcH]],modif2[N+7],$A33,modif1[[essnc]:[essnc]],"PM")</f>
        <v>0</v>
      </c>
      <c r="K33" s="5">
        <f>SUMIFS(modif1[[srfcH]:[srfcH]],modif2[N+8],$A33,modif1[[essnc]:[essnc]],"PM")</f>
        <v>0</v>
      </c>
      <c r="L33" s="5">
        <f>SUMIFS(modif1[[srfcH]:[srfcH]],modif2[N+9],$A33,modif1[[essnc]:[essnc]],"PM")</f>
        <v>10.0358</v>
      </c>
      <c r="M33" s="5">
        <f>SUMIFS(modif1[[srfcH]:[srfcH]],modif2[N+10],$A33,modif1[[essnc]:[essnc]],"PM")</f>
        <v>1.4307999999999998</v>
      </c>
      <c r="AC33">
        <f t="shared" si="4"/>
        <v>28</v>
      </c>
      <c r="AD33" s="67">
        <f>D32/regle!$B$30</f>
        <v>0</v>
      </c>
      <c r="AE33" s="67">
        <f>E32/regle!$B$30</f>
        <v>0.18007621913298177</v>
      </c>
      <c r="AF33" s="67">
        <f>F32/regle!$B$30</f>
        <v>0</v>
      </c>
      <c r="AG33" s="67">
        <f>G32/regle!$B$30</f>
        <v>0</v>
      </c>
      <c r="AH33" s="67">
        <f>H32/regle!$B$30</f>
        <v>0</v>
      </c>
      <c r="AI33" s="67">
        <f>I32/regle!$B$30</f>
        <v>0</v>
      </c>
      <c r="AJ33" s="67">
        <f>J32/regle!$B$30</f>
        <v>0</v>
      </c>
      <c r="AK33" s="67">
        <f>K32/regle!$B$30</f>
        <v>0.56986375302707981</v>
      </c>
      <c r="AL33" s="67">
        <f>L32/regle!$B$30</f>
        <v>8.124524779600488E-2</v>
      </c>
      <c r="AM33" s="67">
        <f>M32/regle!$B$30</f>
        <v>3.494760813393456</v>
      </c>
      <c r="AO33">
        <f t="shared" si="27"/>
        <v>19</v>
      </c>
      <c r="AP33" s="3">
        <f t="shared" si="28"/>
        <v>27.394696296296281</v>
      </c>
      <c r="AQ33" s="3">
        <f t="shared" si="29"/>
        <v>17.610876190476183</v>
      </c>
      <c r="AR33" s="3">
        <f t="shared" si="30"/>
        <v>79.992599999999982</v>
      </c>
      <c r="AS33" s="3">
        <f t="shared" si="26"/>
        <v>79.992599999999982</v>
      </c>
      <c r="AT33" s="3">
        <f t="shared" si="24"/>
        <v>79.992599999999982</v>
      </c>
      <c r="AU33" s="3">
        <f t="shared" si="22"/>
        <v>79.992599999999982</v>
      </c>
      <c r="AV33" s="3">
        <f t="shared" si="20"/>
        <v>79.992599999999982</v>
      </c>
      <c r="AW33" s="3">
        <f t="shared" si="18"/>
        <v>79.992599999999982</v>
      </c>
      <c r="AX33" s="3">
        <f t="shared" si="16"/>
        <v>73.215400000000002</v>
      </c>
      <c r="AY33" s="3">
        <f t="shared" si="12"/>
        <v>73.215400000000002</v>
      </c>
      <c r="AZ33" s="3">
        <f t="shared" si="9"/>
        <v>72.032399999999996</v>
      </c>
      <c r="BA33" s="3">
        <f t="shared" si="7"/>
        <v>61.545799999999993</v>
      </c>
    </row>
    <row r="34" spans="1:53" x14ac:dyDescent="0.25">
      <c r="A34">
        <v>30</v>
      </c>
      <c r="B34" s="5">
        <v>0</v>
      </c>
      <c r="C34" s="5">
        <f t="shared" si="14"/>
        <v>17.610876190476183</v>
      </c>
      <c r="D34" s="5">
        <f>SUMIFS(modif1[[srfcH]:[srfcH]],modif2[N+1],$A34,modif1[[essnc]:[essnc]],"PM")</f>
        <v>0</v>
      </c>
      <c r="E34" s="5">
        <f>SUMIFS(modif1[[srfcH]:[srfcH]],modif2[N+2],$A34,modif1[[essnc]:[essnc]],"PM")</f>
        <v>10.647399999999999</v>
      </c>
      <c r="F34" s="5">
        <f>SUMIFS(modif1[[srfcH]:[srfcH]],modif2[N+3],$A34,modif1[[essnc]:[essnc]],"PM")</f>
        <v>0</v>
      </c>
      <c r="G34" s="5">
        <f>SUMIFS(modif1[[srfcH]:[srfcH]],modif2[N+4],$A34,modif1[[essnc]:[essnc]],"PM")</f>
        <v>3.1713000000000005</v>
      </c>
      <c r="H34" s="5">
        <f>SUMIFS(modif1[[srfcH]:[srfcH]],modif2[N+5],$A34,modif1[[essnc]:[essnc]],"PM")</f>
        <v>0</v>
      </c>
      <c r="I34" s="5">
        <f>SUMIFS(modif1[[srfcH]:[srfcH]],modif2[N+6],$A34,modif1[[essnc]:[essnc]],"PM")</f>
        <v>0</v>
      </c>
      <c r="J34" s="5">
        <f>SUMIFS(modif1[[srfcH]:[srfcH]],modif2[N+7],$A34,modif1[[essnc]:[essnc]],"PM")</f>
        <v>0</v>
      </c>
      <c r="K34" s="5">
        <f>SUMIFS(modif1[[srfcH]:[srfcH]],modif2[N+8],$A34,modif1[[essnc]:[essnc]],"PM")</f>
        <v>0</v>
      </c>
      <c r="L34" s="5">
        <f>SUMIFS(modif1[[srfcH]:[srfcH]],modif2[N+9],$A34,modif1[[essnc]:[essnc]],"PM")</f>
        <v>0</v>
      </c>
      <c r="M34" s="5">
        <f>SUMIFS(modif1[[srfcH]:[srfcH]],modif2[N+10],$A34,modif1[[essnc]:[essnc]],"PM")</f>
        <v>10.0358</v>
      </c>
      <c r="AC34">
        <f t="shared" si="4"/>
        <v>29</v>
      </c>
      <c r="AD34" s="67">
        <f>D33/regle!$B$30</f>
        <v>0.60459229199271902</v>
      </c>
      <c r="AE34" s="67">
        <f>E33/regle!$B$30</f>
        <v>0</v>
      </c>
      <c r="AF34" s="67">
        <f>F33/regle!$B$30</f>
        <v>0.18007621913298177</v>
      </c>
      <c r="AG34" s="67">
        <f>G33/regle!$B$30</f>
        <v>0</v>
      </c>
      <c r="AH34" s="67">
        <f>H33/regle!$B$30</f>
        <v>0</v>
      </c>
      <c r="AI34" s="67">
        <f>I33/regle!$B$30</f>
        <v>0</v>
      </c>
      <c r="AJ34" s="67">
        <f>J33/regle!$B$30</f>
        <v>0</v>
      </c>
      <c r="AK34" s="67">
        <f>K33/regle!$B$30</f>
        <v>0</v>
      </c>
      <c r="AL34" s="67">
        <f>L33/regle!$B$30</f>
        <v>0.56986375302707981</v>
      </c>
      <c r="AM34" s="67">
        <f>M33/regle!$B$30</f>
        <v>8.124524779600488E-2</v>
      </c>
      <c r="AO34">
        <f t="shared" si="27"/>
        <v>20</v>
      </c>
      <c r="AP34" s="3">
        <f t="shared" si="28"/>
        <v>27.394696296296281</v>
      </c>
      <c r="AQ34" s="3">
        <f t="shared" si="29"/>
        <v>17.610876190476183</v>
      </c>
      <c r="AR34" s="3">
        <f t="shared" si="30"/>
        <v>18.899100000000008</v>
      </c>
      <c r="AS34" s="3">
        <f t="shared" si="26"/>
        <v>18.899100000000008</v>
      </c>
      <c r="AT34" s="3">
        <f t="shared" si="24"/>
        <v>18.899100000000008</v>
      </c>
      <c r="AU34" s="3">
        <f t="shared" si="22"/>
        <v>18.899100000000008</v>
      </c>
      <c r="AV34" s="3">
        <f t="shared" si="20"/>
        <v>18.899100000000008</v>
      </c>
      <c r="AW34" s="3">
        <f t="shared" si="18"/>
        <v>1.4307999999999998</v>
      </c>
      <c r="AX34" s="3">
        <f t="shared" si="16"/>
        <v>1.4307999999999998</v>
      </c>
      <c r="AY34" s="3">
        <f t="shared" si="12"/>
        <v>1.4307999999999998</v>
      </c>
      <c r="AZ34" s="3">
        <f t="shared" si="9"/>
        <v>1.4307999999999998</v>
      </c>
      <c r="BA34" s="3">
        <f t="shared" si="7"/>
        <v>1.4307999999999998</v>
      </c>
    </row>
    <row r="35" spans="1:53" x14ac:dyDescent="0.25">
      <c r="A35">
        <v>31</v>
      </c>
      <c r="B35" s="5">
        <v>0</v>
      </c>
      <c r="C35" s="5">
        <f t="shared" si="14"/>
        <v>17.610876190476183</v>
      </c>
      <c r="D35" s="5">
        <f>SUMIFS(modif1[[srfcH]:[srfcH]],modif2[N+1],$A35,modif1[[essnc]:[essnc]],"PM")</f>
        <v>0</v>
      </c>
      <c r="E35" s="5">
        <f>SUMIFS(modif1[[srfcH]:[srfcH]],modif2[N+2],$A35,modif1[[essnc]:[essnc]],"PM")</f>
        <v>0</v>
      </c>
      <c r="F35" s="5">
        <f>SUMIFS(modif1[[srfcH]:[srfcH]],modif2[N+3],$A35,modif1[[essnc]:[essnc]],"PM")</f>
        <v>10.647399999999999</v>
      </c>
      <c r="G35" s="5">
        <f>SUMIFS(modif1[[srfcH]:[srfcH]],modif2[N+4],$A35,modif1[[essnc]:[essnc]],"PM")</f>
        <v>0</v>
      </c>
      <c r="H35" s="5">
        <f>SUMIFS(modif1[[srfcH]:[srfcH]],modif2[N+5],$A35,modif1[[essnc]:[essnc]],"PM")</f>
        <v>3.1713000000000005</v>
      </c>
      <c r="I35" s="5">
        <f>SUMIFS(modif1[[srfcH]:[srfcH]],modif2[N+6],$A35,modif1[[essnc]:[essnc]],"PM")</f>
        <v>0</v>
      </c>
      <c r="J35" s="5">
        <f>SUMIFS(modif1[[srfcH]:[srfcH]],modif2[N+7],$A35,modif1[[essnc]:[essnc]],"PM")</f>
        <v>0</v>
      </c>
      <c r="K35" s="5">
        <f>SUMIFS(modif1[[srfcH]:[srfcH]],modif2[N+8],$A35,modif1[[essnc]:[essnc]],"PM")</f>
        <v>0</v>
      </c>
      <c r="L35" s="5">
        <f>SUMIFS(modif1[[srfcH]:[srfcH]],modif2[N+9],$A35,modif1[[essnc]:[essnc]],"PM")</f>
        <v>0</v>
      </c>
      <c r="M35" s="5">
        <f>SUMIFS(modif1[[srfcH]:[srfcH]],modif2[N+10],$A35,modif1[[essnc]:[essnc]],"PM")</f>
        <v>0</v>
      </c>
      <c r="AC35">
        <f t="shared" si="4"/>
        <v>30</v>
      </c>
      <c r="AD35" s="67">
        <f>D34/regle!$B$30</f>
        <v>0</v>
      </c>
      <c r="AE35" s="67">
        <f>E34/regle!$B$30</f>
        <v>0.60459229199271902</v>
      </c>
      <c r="AF35" s="67">
        <f>F34/regle!$B$30</f>
        <v>0</v>
      </c>
      <c r="AG35" s="67">
        <f>G34/regle!$B$30</f>
        <v>0.18007621913298177</v>
      </c>
      <c r="AH35" s="67">
        <f>H34/regle!$B$30</f>
        <v>0</v>
      </c>
      <c r="AI35" s="67">
        <f>I34/regle!$B$30</f>
        <v>0</v>
      </c>
      <c r="AJ35" s="67">
        <f>J34/regle!$B$30</f>
        <v>0</v>
      </c>
      <c r="AK35" s="67">
        <f>K34/regle!$B$30</f>
        <v>0</v>
      </c>
      <c r="AL35" s="67">
        <f>L34/regle!$B$30</f>
        <v>0</v>
      </c>
      <c r="AM35" s="67">
        <f>M34/regle!$B$30</f>
        <v>0.56986375302707981</v>
      </c>
      <c r="AO35">
        <f t="shared" si="27"/>
        <v>21</v>
      </c>
      <c r="AP35" s="3">
        <f t="shared" si="28"/>
        <v>27.394696296296281</v>
      </c>
      <c r="AQ35" s="3">
        <f t="shared" si="29"/>
        <v>17.610876190476183</v>
      </c>
      <c r="AR35" s="3">
        <f t="shared" si="30"/>
        <v>27.896099999999997</v>
      </c>
      <c r="AS35" s="3">
        <f t="shared" si="26"/>
        <v>27.896099999999997</v>
      </c>
      <c r="AT35" s="3">
        <f t="shared" si="24"/>
        <v>27.896099999999997</v>
      </c>
      <c r="AU35" s="3">
        <f t="shared" si="22"/>
        <v>27.896099999999997</v>
      </c>
      <c r="AV35" s="3">
        <f t="shared" si="20"/>
        <v>10.0358</v>
      </c>
      <c r="AW35" s="3">
        <f t="shared" si="18"/>
        <v>10.0358</v>
      </c>
      <c r="AX35" s="3">
        <f t="shared" si="16"/>
        <v>10.0358</v>
      </c>
      <c r="AY35" s="3">
        <f t="shared" si="12"/>
        <v>10.0358</v>
      </c>
      <c r="AZ35" s="3">
        <f t="shared" si="9"/>
        <v>10.0358</v>
      </c>
      <c r="BA35" s="3">
        <f t="shared" ref="BA35:BA54" si="31">M34</f>
        <v>10.0358</v>
      </c>
    </row>
    <row r="36" spans="1:53" x14ac:dyDescent="0.25">
      <c r="A36">
        <v>32</v>
      </c>
      <c r="B36" s="5">
        <v>0</v>
      </c>
      <c r="C36" s="5">
        <f t="shared" si="14"/>
        <v>17.610876190476183</v>
      </c>
      <c r="D36" s="5">
        <f>SUMIFS(modif1[[srfcH]:[srfcH]],modif2[N+1],$A36,modif1[[essnc]:[essnc]],"PM")</f>
        <v>0</v>
      </c>
      <c r="E36" s="5">
        <f>SUMIFS(modif1[[srfcH]:[srfcH]],modif2[N+2],$A36,modif1[[essnc]:[essnc]],"PM")</f>
        <v>0</v>
      </c>
      <c r="F36" s="5">
        <f>SUMIFS(modif1[[srfcH]:[srfcH]],modif2[N+3],$A36,modif1[[essnc]:[essnc]],"PM")</f>
        <v>0</v>
      </c>
      <c r="G36" s="5">
        <f>SUMIFS(modif1[[srfcH]:[srfcH]],modif2[N+4],$A36,modif1[[essnc]:[essnc]],"PM")</f>
        <v>10.647399999999999</v>
      </c>
      <c r="H36" s="5">
        <f>SUMIFS(modif1[[srfcH]:[srfcH]],modif2[N+5],$A36,modif1[[essnc]:[essnc]],"PM")</f>
        <v>0</v>
      </c>
      <c r="I36" s="5">
        <f>SUMIFS(modif1[[srfcH]:[srfcH]],modif2[N+6],$A36,modif1[[essnc]:[essnc]],"PM")</f>
        <v>3.1713000000000005</v>
      </c>
      <c r="J36" s="5">
        <f>SUMIFS(modif1[[srfcH]:[srfcH]],modif2[N+7],$A36,modif1[[essnc]:[essnc]],"PM")</f>
        <v>0</v>
      </c>
      <c r="K36" s="5">
        <f>SUMIFS(modif1[[srfcH]:[srfcH]],modif2[N+8],$A36,modif1[[essnc]:[essnc]],"PM")</f>
        <v>0</v>
      </c>
      <c r="L36" s="5">
        <f>SUMIFS(modif1[[srfcH]:[srfcH]],modif2[N+9],$A36,modif1[[essnc]:[essnc]],"PM")</f>
        <v>0</v>
      </c>
      <c r="M36" s="5">
        <f>SUMIFS(modif1[[srfcH]:[srfcH]],modif2[N+10],$A36,modif1[[essnc]:[essnc]],"PM")</f>
        <v>0</v>
      </c>
      <c r="AC36">
        <f t="shared" si="4"/>
        <v>31</v>
      </c>
      <c r="AD36" s="67">
        <f>D35/regle!$B$30</f>
        <v>0</v>
      </c>
      <c r="AE36" s="67">
        <f>E35/regle!$B$30</f>
        <v>0</v>
      </c>
      <c r="AF36" s="67">
        <f>F35/regle!$B$30</f>
        <v>0.60459229199271902</v>
      </c>
      <c r="AG36" s="67">
        <f>G35/regle!$B$30</f>
        <v>0</v>
      </c>
      <c r="AH36" s="67">
        <f>H35/regle!$B$30</f>
        <v>0.18007621913298177</v>
      </c>
      <c r="AI36" s="67">
        <f>I35/regle!$B$30</f>
        <v>0</v>
      </c>
      <c r="AJ36" s="67">
        <f>J35/regle!$B$30</f>
        <v>0</v>
      </c>
      <c r="AK36" s="67">
        <f>K35/regle!$B$30</f>
        <v>0</v>
      </c>
      <c r="AL36" s="67">
        <f>L35/regle!$B$30</f>
        <v>0</v>
      </c>
      <c r="AM36" s="67">
        <f>M35/regle!$B$30</f>
        <v>0</v>
      </c>
      <c r="AO36">
        <f t="shared" si="27"/>
        <v>22</v>
      </c>
      <c r="AP36" s="3">
        <f t="shared" si="28"/>
        <v>27.394696296296281</v>
      </c>
      <c r="AQ36" s="3">
        <f t="shared" si="29"/>
        <v>17.610876190476183</v>
      </c>
      <c r="AR36" s="3">
        <f t="shared" si="30"/>
        <v>0</v>
      </c>
      <c r="AS36" s="3">
        <f t="shared" si="26"/>
        <v>0</v>
      </c>
      <c r="AT36" s="3">
        <f t="shared" si="24"/>
        <v>0</v>
      </c>
      <c r="AU36" s="3">
        <f t="shared" si="22"/>
        <v>0</v>
      </c>
      <c r="AV36" s="3">
        <f t="shared" si="20"/>
        <v>0</v>
      </c>
      <c r="AW36" s="3">
        <f t="shared" si="18"/>
        <v>0</v>
      </c>
      <c r="AX36" s="3">
        <f t="shared" si="16"/>
        <v>0</v>
      </c>
      <c r="AY36" s="3">
        <f t="shared" si="12"/>
        <v>0</v>
      </c>
      <c r="AZ36" s="3">
        <f t="shared" ref="AZ36:AZ54" si="32">L34</f>
        <v>0</v>
      </c>
      <c r="BA36" s="3">
        <f t="shared" si="31"/>
        <v>0</v>
      </c>
    </row>
    <row r="37" spans="1:53" x14ac:dyDescent="0.25">
      <c r="A37">
        <v>33</v>
      </c>
      <c r="B37" s="5">
        <v>0</v>
      </c>
      <c r="C37" s="5">
        <f t="shared" si="14"/>
        <v>17.610876190476183</v>
      </c>
      <c r="D37" s="5">
        <f>SUMIFS(modif1[[srfcH]:[srfcH]],modif2[N+1],$A37,modif1[[essnc]:[essnc]],"PM")</f>
        <v>0</v>
      </c>
      <c r="E37" s="5">
        <f>SUMIFS(modif1[[srfcH]:[srfcH]],modif2[N+2],$A37,modif1[[essnc]:[essnc]],"PM")</f>
        <v>0</v>
      </c>
      <c r="F37" s="5">
        <f>SUMIFS(modif1[[srfcH]:[srfcH]],modif2[N+3],$A37,modif1[[essnc]:[essnc]],"PM")</f>
        <v>0</v>
      </c>
      <c r="G37" s="5">
        <f>SUMIFS(modif1[[srfcH]:[srfcH]],modif2[N+4],$A37,modif1[[essnc]:[essnc]],"PM")</f>
        <v>0</v>
      </c>
      <c r="H37" s="5">
        <f>SUMIFS(modif1[[srfcH]:[srfcH]],modif2[N+5],$A37,modif1[[essnc]:[essnc]],"PM")</f>
        <v>10.647399999999999</v>
      </c>
      <c r="I37" s="5">
        <f>SUMIFS(modif1[[srfcH]:[srfcH]],modif2[N+6],$A37,modif1[[essnc]:[essnc]],"PM")</f>
        <v>0</v>
      </c>
      <c r="J37" s="5">
        <f>SUMIFS(modif1[[srfcH]:[srfcH]],modif2[N+7],$A37,modif1[[essnc]:[essnc]],"PM")</f>
        <v>3.1713000000000005</v>
      </c>
      <c r="K37" s="5">
        <f>SUMIFS(modif1[[srfcH]:[srfcH]],modif2[N+8],$A37,modif1[[essnc]:[essnc]],"PM")</f>
        <v>0</v>
      </c>
      <c r="L37" s="5">
        <f>SUMIFS(modif1[[srfcH]:[srfcH]],modif2[N+9],$A37,modif1[[essnc]:[essnc]],"PM")</f>
        <v>0</v>
      </c>
      <c r="M37" s="5">
        <f>SUMIFS(modif1[[srfcH]:[srfcH]],modif2[N+10],$A37,modif1[[essnc]:[essnc]],"PM")</f>
        <v>0</v>
      </c>
      <c r="AC37">
        <f t="shared" si="4"/>
        <v>32</v>
      </c>
      <c r="AD37" s="67">
        <f>D36/regle!$B$30</f>
        <v>0</v>
      </c>
      <c r="AE37" s="67">
        <f>E36/regle!$B$30</f>
        <v>0</v>
      </c>
      <c r="AF37" s="67">
        <f>F36/regle!$B$30</f>
        <v>0</v>
      </c>
      <c r="AG37" s="67">
        <f>G36/regle!$B$30</f>
        <v>0.60459229199271902</v>
      </c>
      <c r="AH37" s="67">
        <f>H36/regle!$B$30</f>
        <v>0</v>
      </c>
      <c r="AI37" s="67">
        <f>I36/regle!$B$30</f>
        <v>0.18007621913298177</v>
      </c>
      <c r="AJ37" s="67">
        <f>J36/regle!$B$30</f>
        <v>0</v>
      </c>
      <c r="AK37" s="67">
        <f>K36/regle!$B$30</f>
        <v>0</v>
      </c>
      <c r="AL37" s="67">
        <f>L36/regle!$B$30</f>
        <v>0</v>
      </c>
      <c r="AM37" s="67">
        <f>M36/regle!$B$30</f>
        <v>0</v>
      </c>
      <c r="AO37">
        <f t="shared" si="27"/>
        <v>23</v>
      </c>
      <c r="AP37" s="3">
        <f t="shared" si="28"/>
        <v>27.394696296296281</v>
      </c>
      <c r="AQ37" s="3">
        <f t="shared" si="29"/>
        <v>17.610876190476183</v>
      </c>
      <c r="AR37" s="3">
        <f t="shared" si="30"/>
        <v>0</v>
      </c>
      <c r="AS37" s="3">
        <f t="shared" si="26"/>
        <v>0</v>
      </c>
      <c r="AT37" s="3">
        <f t="shared" si="24"/>
        <v>0</v>
      </c>
      <c r="AU37" s="3">
        <f t="shared" si="22"/>
        <v>0</v>
      </c>
      <c r="AV37" s="3">
        <f t="shared" si="20"/>
        <v>0</v>
      </c>
      <c r="AW37" s="3">
        <f t="shared" si="18"/>
        <v>0</v>
      </c>
      <c r="AX37" s="3">
        <f t="shared" si="16"/>
        <v>0</v>
      </c>
      <c r="AY37" s="3">
        <f t="shared" ref="AY37:AY54" si="33">K34</f>
        <v>0</v>
      </c>
      <c r="AZ37" s="3">
        <f t="shared" si="32"/>
        <v>0</v>
      </c>
      <c r="BA37" s="3">
        <f t="shared" si="31"/>
        <v>0</v>
      </c>
    </row>
    <row r="38" spans="1:53" x14ac:dyDescent="0.25">
      <c r="A38">
        <v>34</v>
      </c>
      <c r="B38" s="5">
        <v>0</v>
      </c>
      <c r="C38" s="5">
        <f t="shared" si="14"/>
        <v>17.610876190476183</v>
      </c>
      <c r="D38" s="5">
        <f>SUMIFS(modif1[[srfcH]:[srfcH]],modif2[N+1],$A38,modif1[[essnc]:[essnc]],"PM")</f>
        <v>8.5400000000000004E-2</v>
      </c>
      <c r="E38" s="5">
        <f>SUMIFS(modif1[[srfcH]:[srfcH]],modif2[N+2],$A38,modif1[[essnc]:[essnc]],"PM")</f>
        <v>0</v>
      </c>
      <c r="F38" s="5">
        <f>SUMIFS(modif1[[srfcH]:[srfcH]],modif2[N+3],$A38,modif1[[essnc]:[essnc]],"PM")</f>
        <v>0</v>
      </c>
      <c r="G38" s="5">
        <f>SUMIFS(modif1[[srfcH]:[srfcH]],modif2[N+4],$A38,modif1[[essnc]:[essnc]],"PM")</f>
        <v>0</v>
      </c>
      <c r="H38" s="5">
        <f>SUMIFS(modif1[[srfcH]:[srfcH]],modif2[N+5],$A38,modif1[[essnc]:[essnc]],"PM")</f>
        <v>0</v>
      </c>
      <c r="I38" s="5">
        <f>SUMIFS(modif1[[srfcH]:[srfcH]],modif2[N+6],$A38,modif1[[essnc]:[essnc]],"PM")</f>
        <v>10.647399999999999</v>
      </c>
      <c r="J38" s="5">
        <f>SUMIFS(modif1[[srfcH]:[srfcH]],modif2[N+7],$A38,modif1[[essnc]:[essnc]],"PM")</f>
        <v>0</v>
      </c>
      <c r="K38" s="5">
        <f>SUMIFS(modif1[[srfcH]:[srfcH]],modif2[N+8],$A38,modif1[[essnc]:[essnc]],"PM")</f>
        <v>3.1713000000000005</v>
      </c>
      <c r="L38" s="5">
        <f>SUMIFS(modif1[[srfcH]:[srfcH]],modif2[N+9],$A38,modif1[[essnc]:[essnc]],"PM")</f>
        <v>0</v>
      </c>
      <c r="M38" s="5">
        <f>SUMIFS(modif1[[srfcH]:[srfcH]],modif2[N+10],$A38,modif1[[essnc]:[essnc]],"PM")</f>
        <v>0</v>
      </c>
      <c r="AC38">
        <f t="shared" si="4"/>
        <v>33</v>
      </c>
      <c r="AD38" s="67">
        <f>D37/regle!$B$30</f>
        <v>0</v>
      </c>
      <c r="AE38" s="67">
        <f>E37/regle!$B$30</f>
        <v>0</v>
      </c>
      <c r="AF38" s="67">
        <f>F37/regle!$B$30</f>
        <v>0</v>
      </c>
      <c r="AG38" s="67">
        <f>G37/regle!$B$30</f>
        <v>0</v>
      </c>
      <c r="AH38" s="67">
        <f>H37/regle!$B$30</f>
        <v>0.60459229199271902</v>
      </c>
      <c r="AI38" s="67">
        <f>I37/regle!$B$30</f>
        <v>0</v>
      </c>
      <c r="AJ38" s="67">
        <f>J37/regle!$B$30</f>
        <v>0.18007621913298177</v>
      </c>
      <c r="AK38" s="67">
        <f>K37/regle!$B$30</f>
        <v>0</v>
      </c>
      <c r="AL38" s="67">
        <f>L37/regle!$B$30</f>
        <v>0</v>
      </c>
      <c r="AM38" s="67">
        <f>M37/regle!$B$30</f>
        <v>0</v>
      </c>
      <c r="AO38">
        <f t="shared" si="27"/>
        <v>24</v>
      </c>
      <c r="AP38" s="3">
        <f t="shared" si="28"/>
        <v>27.394696296296281</v>
      </c>
      <c r="AQ38" s="3">
        <f t="shared" si="29"/>
        <v>17.610876190476183</v>
      </c>
      <c r="AR38" s="3">
        <f t="shared" si="30"/>
        <v>0</v>
      </c>
      <c r="AS38" s="3">
        <f t="shared" si="26"/>
        <v>0</v>
      </c>
      <c r="AT38" s="3">
        <f t="shared" si="24"/>
        <v>0</v>
      </c>
      <c r="AU38" s="3">
        <f t="shared" si="22"/>
        <v>0</v>
      </c>
      <c r="AV38" s="3">
        <f t="shared" si="20"/>
        <v>0</v>
      </c>
      <c r="AW38" s="3">
        <f t="shared" si="18"/>
        <v>0</v>
      </c>
      <c r="AX38" s="3">
        <f t="shared" ref="AX38:AX54" si="34">J34</f>
        <v>0</v>
      </c>
      <c r="AY38" s="3">
        <f t="shared" si="33"/>
        <v>0</v>
      </c>
      <c r="AZ38" s="3">
        <f t="shared" si="32"/>
        <v>0</v>
      </c>
      <c r="BA38" s="3">
        <f t="shared" si="31"/>
        <v>0</v>
      </c>
    </row>
    <row r="39" spans="1:53" x14ac:dyDescent="0.25">
      <c r="A39">
        <v>35</v>
      </c>
      <c r="B39" s="5">
        <v>0</v>
      </c>
      <c r="C39" s="5">
        <f t="shared" si="14"/>
        <v>17.610876190476183</v>
      </c>
      <c r="D39" s="5">
        <f>SUMIFS(modif1[[srfcH]:[srfcH]],modif2[N+1],$A39,modif1[[essnc]:[essnc]],"PM")</f>
        <v>0</v>
      </c>
      <c r="E39" s="5">
        <f>SUMIFS(modif1[[srfcH]:[srfcH]],modif2[N+2],$A39,modif1[[essnc]:[essnc]],"PM")</f>
        <v>0</v>
      </c>
      <c r="F39" s="5">
        <f>SUMIFS(modif1[[srfcH]:[srfcH]],modif2[N+3],$A39,modif1[[essnc]:[essnc]],"PM")</f>
        <v>0</v>
      </c>
      <c r="G39" s="5">
        <f>SUMIFS(modif1[[srfcH]:[srfcH]],modif2[N+4],$A39,modif1[[essnc]:[essnc]],"PM")</f>
        <v>0</v>
      </c>
      <c r="H39" s="5">
        <f>SUMIFS(modif1[[srfcH]:[srfcH]],modif2[N+5],$A39,modif1[[essnc]:[essnc]],"PM")</f>
        <v>0</v>
      </c>
      <c r="I39" s="5">
        <f>SUMIFS(modif1[[srfcH]:[srfcH]],modif2[N+6],$A39,modif1[[essnc]:[essnc]],"PM")</f>
        <v>0</v>
      </c>
      <c r="J39" s="5">
        <f>SUMIFS(modif1[[srfcH]:[srfcH]],modif2[N+7],$A39,modif1[[essnc]:[essnc]],"PM")</f>
        <v>0</v>
      </c>
      <c r="K39" s="5">
        <f>SUMIFS(modif1[[srfcH]:[srfcH]],modif2[N+8],$A39,modif1[[essnc]:[essnc]],"PM")</f>
        <v>0</v>
      </c>
      <c r="L39" s="5">
        <f>SUMIFS(modif1[[srfcH]:[srfcH]],modif2[N+9],$A39,modif1[[essnc]:[essnc]],"PM")</f>
        <v>0</v>
      </c>
      <c r="M39" s="5">
        <f>SUMIFS(modif1[[srfcH]:[srfcH]],modif2[N+10],$A39,modif1[[essnc]:[essnc]],"PM")</f>
        <v>0</v>
      </c>
      <c r="AC39">
        <f t="shared" si="4"/>
        <v>34</v>
      </c>
      <c r="AD39" s="67">
        <f>D38/regle!$B$30</f>
        <v>4.8492760426186868E-3</v>
      </c>
      <c r="AE39" s="67">
        <f>E38/regle!$B$30</f>
        <v>0</v>
      </c>
      <c r="AF39" s="67">
        <f>F38/regle!$B$30</f>
        <v>0</v>
      </c>
      <c r="AG39" s="67">
        <f>G38/regle!$B$30</f>
        <v>0</v>
      </c>
      <c r="AH39" s="67">
        <f>H38/regle!$B$30</f>
        <v>0</v>
      </c>
      <c r="AI39" s="67">
        <f>I38/regle!$B$30</f>
        <v>0.60459229199271902</v>
      </c>
      <c r="AJ39" s="67">
        <f>J38/regle!$B$30</f>
        <v>0</v>
      </c>
      <c r="AK39" s="67">
        <f>K38/regle!$B$30</f>
        <v>0.18007621913298177</v>
      </c>
      <c r="AL39" s="67">
        <f>L38/regle!$B$30</f>
        <v>0</v>
      </c>
      <c r="AM39" s="67">
        <f>M38/regle!$B$30</f>
        <v>0</v>
      </c>
      <c r="AO39">
        <f t="shared" si="27"/>
        <v>25</v>
      </c>
      <c r="AP39" s="3">
        <f t="shared" si="28"/>
        <v>0</v>
      </c>
      <c r="AQ39" s="3">
        <f t="shared" si="29"/>
        <v>17.610876190476183</v>
      </c>
      <c r="AR39" s="3">
        <f t="shared" si="30"/>
        <v>0</v>
      </c>
      <c r="AS39" s="3">
        <f t="shared" si="26"/>
        <v>0</v>
      </c>
      <c r="AT39" s="3">
        <f t="shared" si="24"/>
        <v>0</v>
      </c>
      <c r="AU39" s="3">
        <f t="shared" si="22"/>
        <v>0</v>
      </c>
      <c r="AV39" s="3">
        <f t="shared" si="20"/>
        <v>0</v>
      </c>
      <c r="AW39" s="3">
        <f t="shared" si="18"/>
        <v>0</v>
      </c>
      <c r="AX39" s="3">
        <f t="shared" si="34"/>
        <v>0</v>
      </c>
      <c r="AY39" s="3">
        <f t="shared" si="33"/>
        <v>0</v>
      </c>
      <c r="AZ39" s="3">
        <f t="shared" si="32"/>
        <v>0</v>
      </c>
      <c r="BA39" s="3">
        <f t="shared" si="31"/>
        <v>0</v>
      </c>
    </row>
    <row r="40" spans="1:53" x14ac:dyDescent="0.25">
      <c r="A40">
        <v>36</v>
      </c>
      <c r="B40" s="5">
        <v>0</v>
      </c>
      <c r="C40" s="5">
        <f t="shared" si="14"/>
        <v>17.610876190476183</v>
      </c>
      <c r="D40" s="5">
        <f>SUMIFS(modif1[[srfcH]:[srfcH]],modif2[N+1],$A40,modif1[[essnc]:[essnc]],"PM")</f>
        <v>3.2961</v>
      </c>
      <c r="E40" s="5">
        <f>SUMIFS(modif1[[srfcH]:[srfcH]],modif2[N+2],$A40,modif1[[essnc]:[essnc]],"PM")</f>
        <v>0</v>
      </c>
      <c r="F40" s="5">
        <f>SUMIFS(modif1[[srfcH]:[srfcH]],modif2[N+3],$A40,modif1[[essnc]:[essnc]],"PM")</f>
        <v>0</v>
      </c>
      <c r="G40" s="5">
        <f>SUMIFS(modif1[[srfcH]:[srfcH]],modif2[N+4],$A40,modif1[[essnc]:[essnc]],"PM")</f>
        <v>0</v>
      </c>
      <c r="H40" s="5">
        <f>SUMIFS(modif1[[srfcH]:[srfcH]],modif2[N+5],$A40,modif1[[essnc]:[essnc]],"PM")</f>
        <v>0</v>
      </c>
      <c r="I40" s="5">
        <f>SUMIFS(modif1[[srfcH]:[srfcH]],modif2[N+6],$A40,modif1[[essnc]:[essnc]],"PM")</f>
        <v>0</v>
      </c>
      <c r="J40" s="5">
        <f>SUMIFS(modif1[[srfcH]:[srfcH]],modif2[N+7],$A40,modif1[[essnc]:[essnc]],"PM")</f>
        <v>0</v>
      </c>
      <c r="K40" s="5">
        <f>SUMIFS(modif1[[srfcH]:[srfcH]],modif2[N+8],$A40,modif1[[essnc]:[essnc]],"PM")</f>
        <v>0</v>
      </c>
      <c r="L40" s="5">
        <f>SUMIFS(modif1[[srfcH]:[srfcH]],modif2[N+9],$A40,modif1[[essnc]:[essnc]],"PM")</f>
        <v>0</v>
      </c>
      <c r="M40" s="5">
        <f>SUMIFS(modif1[[srfcH]:[srfcH]],modif2[N+10],$A40,modif1[[essnc]:[essnc]],"PM")</f>
        <v>0</v>
      </c>
      <c r="AC40">
        <f t="shared" si="4"/>
        <v>35</v>
      </c>
      <c r="AD40" s="67">
        <f>D39/regle!$B$30</f>
        <v>0</v>
      </c>
      <c r="AE40" s="67">
        <f>E39/regle!$B$30</f>
        <v>0</v>
      </c>
      <c r="AF40" s="67">
        <f>F39/regle!$B$30</f>
        <v>0</v>
      </c>
      <c r="AG40" s="67">
        <f>G39/regle!$B$30</f>
        <v>0</v>
      </c>
      <c r="AH40" s="67">
        <f>H39/regle!$B$30</f>
        <v>0</v>
      </c>
      <c r="AI40" s="67">
        <f>I39/regle!$B$30</f>
        <v>0</v>
      </c>
      <c r="AJ40" s="67">
        <f>J39/regle!$B$30</f>
        <v>0</v>
      </c>
      <c r="AK40" s="67">
        <f>K39/regle!$B$30</f>
        <v>0</v>
      </c>
      <c r="AL40" s="67">
        <f>L39/regle!$B$30</f>
        <v>0</v>
      </c>
      <c r="AM40" s="67">
        <f>M39/regle!$B$30</f>
        <v>0</v>
      </c>
      <c r="AO40">
        <f t="shared" si="27"/>
        <v>26</v>
      </c>
      <c r="AP40" s="3">
        <f t="shared" si="28"/>
        <v>0</v>
      </c>
      <c r="AQ40" s="3">
        <f t="shared" si="29"/>
        <v>17.610876190476183</v>
      </c>
      <c r="AR40" s="3">
        <f t="shared" si="30"/>
        <v>0</v>
      </c>
      <c r="AS40" s="3">
        <f t="shared" si="26"/>
        <v>0</v>
      </c>
      <c r="AT40" s="3">
        <f t="shared" si="24"/>
        <v>0</v>
      </c>
      <c r="AU40" s="3">
        <f t="shared" si="22"/>
        <v>0</v>
      </c>
      <c r="AV40" s="3">
        <f t="shared" ref="AV40:AV54" si="35">H34</f>
        <v>0</v>
      </c>
      <c r="AW40" s="3">
        <f t="shared" si="18"/>
        <v>0</v>
      </c>
      <c r="AX40" s="3">
        <f t="shared" si="34"/>
        <v>0</v>
      </c>
      <c r="AY40" s="3">
        <f t="shared" si="33"/>
        <v>0</v>
      </c>
      <c r="AZ40" s="3">
        <f t="shared" si="32"/>
        <v>0</v>
      </c>
      <c r="BA40" s="3">
        <f t="shared" si="31"/>
        <v>0</v>
      </c>
    </row>
    <row r="41" spans="1:53" x14ac:dyDescent="0.25">
      <c r="A41">
        <v>37</v>
      </c>
      <c r="B41" s="5">
        <v>0</v>
      </c>
      <c r="C41" s="5">
        <f t="shared" si="14"/>
        <v>17.610876190476183</v>
      </c>
      <c r="D41" s="5">
        <f>SUMIFS(modif1[[srfcH]:[srfcH]],modif2[N+1],$A41,modif1[[essnc]:[essnc]],"PM")</f>
        <v>11.5708</v>
      </c>
      <c r="E41" s="5">
        <f>SUMIFS(modif1[[srfcH]:[srfcH]],modif2[N+2],$A41,modif1[[essnc]:[essnc]],"PM")</f>
        <v>0</v>
      </c>
      <c r="F41" s="5">
        <f>SUMIFS(modif1[[srfcH]:[srfcH]],modif2[N+3],$A41,modif1[[essnc]:[essnc]],"PM")</f>
        <v>0</v>
      </c>
      <c r="G41" s="5">
        <f>SUMIFS(modif1[[srfcH]:[srfcH]],modif2[N+4],$A41,modif1[[essnc]:[essnc]],"PM")</f>
        <v>0</v>
      </c>
      <c r="H41" s="5">
        <f>SUMIFS(modif1[[srfcH]:[srfcH]],modif2[N+5],$A41,modif1[[essnc]:[essnc]],"PM")</f>
        <v>0</v>
      </c>
      <c r="I41" s="5">
        <f>SUMIFS(modif1[[srfcH]:[srfcH]],modif2[N+6],$A41,modif1[[essnc]:[essnc]],"PM")</f>
        <v>0</v>
      </c>
      <c r="J41" s="5">
        <f>SUMIFS(modif1[[srfcH]:[srfcH]],modif2[N+7],$A41,modif1[[essnc]:[essnc]],"PM")</f>
        <v>0</v>
      </c>
      <c r="K41" s="5">
        <f>SUMIFS(modif1[[srfcH]:[srfcH]],modif2[N+8],$A41,modif1[[essnc]:[essnc]],"PM")</f>
        <v>0</v>
      </c>
      <c r="L41" s="5">
        <f>SUMIFS(modif1[[srfcH]:[srfcH]],modif2[N+9],$A41,modif1[[essnc]:[essnc]],"PM")</f>
        <v>0</v>
      </c>
      <c r="M41" s="5">
        <f>SUMIFS(modif1[[srfcH]:[srfcH]],modif2[N+10],$A41,modif1[[essnc]:[essnc]],"PM")</f>
        <v>0</v>
      </c>
      <c r="AC41">
        <f t="shared" si="4"/>
        <v>36</v>
      </c>
      <c r="AD41" s="67">
        <f>D40/regle!$B$30</f>
        <v>0.18716274899385776</v>
      </c>
      <c r="AE41" s="67">
        <f>E40/regle!$B$30</f>
        <v>0</v>
      </c>
      <c r="AF41" s="67">
        <f>F40/regle!$B$30</f>
        <v>0</v>
      </c>
      <c r="AG41" s="67">
        <f>G40/regle!$B$30</f>
        <v>0</v>
      </c>
      <c r="AH41" s="67">
        <f>H40/regle!$B$30</f>
        <v>0</v>
      </c>
      <c r="AI41" s="67">
        <f>I40/regle!$B$30</f>
        <v>0</v>
      </c>
      <c r="AJ41" s="67">
        <f>J40/regle!$B$30</f>
        <v>0</v>
      </c>
      <c r="AK41" s="67">
        <f>K40/regle!$B$30</f>
        <v>0</v>
      </c>
      <c r="AL41" s="67">
        <f>L40/regle!$B$30</f>
        <v>0</v>
      </c>
      <c r="AM41" s="67">
        <f>M40/regle!$B$30</f>
        <v>0</v>
      </c>
      <c r="AO41">
        <f t="shared" si="27"/>
        <v>27</v>
      </c>
      <c r="AP41" s="3">
        <f t="shared" si="28"/>
        <v>0</v>
      </c>
      <c r="AQ41" s="3">
        <f t="shared" si="29"/>
        <v>17.610876190476183</v>
      </c>
      <c r="AR41" s="3">
        <f t="shared" si="30"/>
        <v>3.1713000000000005</v>
      </c>
      <c r="AS41" s="3">
        <f t="shared" si="26"/>
        <v>3.1713000000000005</v>
      </c>
      <c r="AT41" s="3">
        <f t="shared" si="24"/>
        <v>3.1713000000000005</v>
      </c>
      <c r="AU41" s="3">
        <f t="shared" ref="AU41:AU54" si="36">G34</f>
        <v>3.1713000000000005</v>
      </c>
      <c r="AV41" s="3">
        <f t="shared" si="35"/>
        <v>3.1713000000000005</v>
      </c>
      <c r="AW41" s="3">
        <f t="shared" ref="AW41:AW54" si="37">I36</f>
        <v>3.1713000000000005</v>
      </c>
      <c r="AX41" s="3">
        <f t="shared" si="34"/>
        <v>3.1713000000000005</v>
      </c>
      <c r="AY41" s="3">
        <f t="shared" si="33"/>
        <v>3.1713000000000005</v>
      </c>
      <c r="AZ41" s="3">
        <f t="shared" si="32"/>
        <v>0</v>
      </c>
      <c r="BA41" s="3">
        <f t="shared" si="31"/>
        <v>0</v>
      </c>
    </row>
    <row r="42" spans="1:53" x14ac:dyDescent="0.25">
      <c r="A42">
        <v>38</v>
      </c>
      <c r="B42" s="5">
        <v>0</v>
      </c>
      <c r="C42" s="5">
        <f t="shared" si="14"/>
        <v>17.610876190476183</v>
      </c>
      <c r="D42" s="5">
        <f>SUMIFS(modif1[[srfcH]:[srfcH]],modif2[N+1],$A42,modif1[[essnc]:[essnc]],"PM")</f>
        <v>0</v>
      </c>
      <c r="E42" s="5">
        <f>SUMIFS(modif1[[srfcH]:[srfcH]],modif2[N+2],$A42,modif1[[essnc]:[essnc]],"PM")</f>
        <v>0</v>
      </c>
      <c r="F42" s="5">
        <f>SUMIFS(modif1[[srfcH]:[srfcH]],modif2[N+3],$A42,modif1[[essnc]:[essnc]],"PM")</f>
        <v>0</v>
      </c>
      <c r="G42" s="5">
        <f>SUMIFS(modif1[[srfcH]:[srfcH]],modif2[N+4],$A42,modif1[[essnc]:[essnc]],"PM")</f>
        <v>0</v>
      </c>
      <c r="H42" s="5">
        <f>SUMIFS(modif1[[srfcH]:[srfcH]],modif2[N+5],$A42,modif1[[essnc]:[essnc]],"PM")</f>
        <v>0</v>
      </c>
      <c r="I42" s="5">
        <f>SUMIFS(modif1[[srfcH]:[srfcH]],modif2[N+6],$A42,modif1[[essnc]:[essnc]],"PM")</f>
        <v>0</v>
      </c>
      <c r="J42" s="5">
        <f>SUMIFS(modif1[[srfcH]:[srfcH]],modif2[N+7],$A42,modif1[[essnc]:[essnc]],"PM")</f>
        <v>0</v>
      </c>
      <c r="K42" s="5">
        <f>SUMIFS(modif1[[srfcH]:[srfcH]],modif2[N+8],$A42,modif1[[essnc]:[essnc]],"PM")</f>
        <v>0</v>
      </c>
      <c r="L42" s="5">
        <f>SUMIFS(modif1[[srfcH]:[srfcH]],modif2[N+9],$A42,modif1[[essnc]:[essnc]],"PM")</f>
        <v>0</v>
      </c>
      <c r="M42" s="5">
        <f>SUMIFS(modif1[[srfcH]:[srfcH]],modif2[N+10],$A42,modif1[[essnc]:[essnc]],"PM")</f>
        <v>0</v>
      </c>
      <c r="AC42">
        <f t="shared" si="4"/>
        <v>37</v>
      </c>
      <c r="AD42" s="67">
        <f>D41/regle!$B$30</f>
        <v>0.6570257989921815</v>
      </c>
      <c r="AE42" s="67">
        <f>E41/regle!$B$30</f>
        <v>0</v>
      </c>
      <c r="AF42" s="67">
        <f>F41/regle!$B$30</f>
        <v>0</v>
      </c>
      <c r="AG42" s="67">
        <f>G41/regle!$B$30</f>
        <v>0</v>
      </c>
      <c r="AH42" s="67">
        <f>H41/regle!$B$30</f>
        <v>0</v>
      </c>
      <c r="AI42" s="67">
        <f>I41/regle!$B$30</f>
        <v>0</v>
      </c>
      <c r="AJ42" s="67">
        <f>J41/regle!$B$30</f>
        <v>0</v>
      </c>
      <c r="AK42" s="67">
        <f>K41/regle!$B$30</f>
        <v>0</v>
      </c>
      <c r="AL42" s="67">
        <f>L41/regle!$B$30</f>
        <v>0</v>
      </c>
      <c r="AM42" s="67">
        <f>M41/regle!$B$30</f>
        <v>0</v>
      </c>
      <c r="AO42">
        <f t="shared" si="27"/>
        <v>28</v>
      </c>
      <c r="AP42" s="3">
        <f t="shared" si="28"/>
        <v>0</v>
      </c>
      <c r="AQ42" s="3">
        <f t="shared" si="29"/>
        <v>17.610876190476183</v>
      </c>
      <c r="AR42" s="3">
        <f t="shared" si="30"/>
        <v>0</v>
      </c>
      <c r="AS42" s="3">
        <f t="shared" si="26"/>
        <v>0</v>
      </c>
      <c r="AT42" s="3">
        <f t="shared" ref="AT42:AT54" si="38">F34</f>
        <v>0</v>
      </c>
      <c r="AU42" s="3">
        <f t="shared" si="36"/>
        <v>0</v>
      </c>
      <c r="AV42" s="3">
        <f t="shared" si="35"/>
        <v>0</v>
      </c>
      <c r="AW42" s="3">
        <f t="shared" si="37"/>
        <v>0</v>
      </c>
      <c r="AX42" s="3">
        <f t="shared" si="34"/>
        <v>0</v>
      </c>
      <c r="AY42" s="3">
        <f t="shared" si="33"/>
        <v>0</v>
      </c>
      <c r="AZ42" s="3">
        <f t="shared" si="32"/>
        <v>0</v>
      </c>
      <c r="BA42" s="3">
        <f t="shared" si="31"/>
        <v>0</v>
      </c>
    </row>
    <row r="43" spans="1:53" x14ac:dyDescent="0.25">
      <c r="A43">
        <v>39</v>
      </c>
      <c r="B43" s="5">
        <v>0</v>
      </c>
      <c r="C43" s="5">
        <f t="shared" si="14"/>
        <v>17.610876190476183</v>
      </c>
      <c r="D43" s="5">
        <f>SUMIFS(modif1[[srfcH]:[srfcH]],modif2[N+1],$A43,modif1[[essnc]:[essnc]],"PM")</f>
        <v>0</v>
      </c>
      <c r="E43" s="5">
        <f>SUMIFS(modif1[[srfcH]:[srfcH]],modif2[N+2],$A43,modif1[[essnc]:[essnc]],"PM")</f>
        <v>0</v>
      </c>
      <c r="F43" s="5">
        <f>SUMIFS(modif1[[srfcH]:[srfcH]],modif2[N+3],$A43,modif1[[essnc]:[essnc]],"PM")</f>
        <v>0</v>
      </c>
      <c r="G43" s="5">
        <f>SUMIFS(modif1[[srfcH]:[srfcH]],modif2[N+4],$A43,modif1[[essnc]:[essnc]],"PM")</f>
        <v>0</v>
      </c>
      <c r="H43" s="5">
        <f>SUMIFS(modif1[[srfcH]:[srfcH]],modif2[N+5],$A43,modif1[[essnc]:[essnc]],"PM")</f>
        <v>0</v>
      </c>
      <c r="I43" s="5">
        <f>SUMIFS(modif1[[srfcH]:[srfcH]],modif2[N+6],$A43,modif1[[essnc]:[essnc]],"PM")</f>
        <v>0</v>
      </c>
      <c r="J43" s="5">
        <f>SUMIFS(modif1[[srfcH]:[srfcH]],modif2[N+7],$A43,modif1[[essnc]:[essnc]],"PM")</f>
        <v>0</v>
      </c>
      <c r="K43" s="5">
        <f>SUMIFS(modif1[[srfcH]:[srfcH]],modif2[N+8],$A43,modif1[[essnc]:[essnc]],"PM")</f>
        <v>0</v>
      </c>
      <c r="L43" s="5">
        <f>SUMIFS(modif1[[srfcH]:[srfcH]],modif2[N+9],$A43,modif1[[essnc]:[essnc]],"PM")</f>
        <v>0</v>
      </c>
      <c r="M43" s="5">
        <f>SUMIFS(modif1[[srfcH]:[srfcH]],modif2[N+10],$A43,modif1[[essnc]:[essnc]],"PM")</f>
        <v>0</v>
      </c>
      <c r="AC43">
        <f t="shared" si="4"/>
        <v>38</v>
      </c>
      <c r="AD43" s="67">
        <f>D42/regle!$B$30</f>
        <v>0</v>
      </c>
      <c r="AE43" s="67">
        <f>E42/regle!$B$30</f>
        <v>0</v>
      </c>
      <c r="AF43" s="67">
        <f>F42/regle!$B$30</f>
        <v>0</v>
      </c>
      <c r="AG43" s="67">
        <f>G42/regle!$B$30</f>
        <v>0</v>
      </c>
      <c r="AH43" s="67">
        <f>H42/regle!$B$30</f>
        <v>0</v>
      </c>
      <c r="AI43" s="67">
        <f>I42/regle!$B$30</f>
        <v>0</v>
      </c>
      <c r="AJ43" s="67">
        <f>J42/regle!$B$30</f>
        <v>0</v>
      </c>
      <c r="AK43" s="67">
        <f>K42/regle!$B$30</f>
        <v>0</v>
      </c>
      <c r="AL43" s="67">
        <f>L42/regle!$B$30</f>
        <v>0</v>
      </c>
      <c r="AM43" s="67">
        <f>M42/regle!$B$30</f>
        <v>0</v>
      </c>
      <c r="AO43">
        <f t="shared" si="27"/>
        <v>29</v>
      </c>
      <c r="AP43" s="3">
        <f t="shared" si="28"/>
        <v>0</v>
      </c>
      <c r="AQ43" s="3">
        <f t="shared" si="29"/>
        <v>17.610876190476183</v>
      </c>
      <c r="AR43" s="3">
        <f t="shared" si="30"/>
        <v>10.647399999999999</v>
      </c>
      <c r="AS43" s="3">
        <f t="shared" ref="AS43:AS54" si="39">E34</f>
        <v>10.647399999999999</v>
      </c>
      <c r="AT43" s="3">
        <f t="shared" si="38"/>
        <v>10.647399999999999</v>
      </c>
      <c r="AU43" s="3">
        <f t="shared" si="36"/>
        <v>10.647399999999999</v>
      </c>
      <c r="AV43" s="3">
        <f t="shared" si="35"/>
        <v>10.647399999999999</v>
      </c>
      <c r="AW43" s="3">
        <f t="shared" si="37"/>
        <v>10.647399999999999</v>
      </c>
      <c r="AX43" s="3">
        <f t="shared" si="34"/>
        <v>0</v>
      </c>
      <c r="AY43" s="3">
        <f t="shared" si="33"/>
        <v>0</v>
      </c>
      <c r="AZ43" s="3">
        <f t="shared" si="32"/>
        <v>0</v>
      </c>
      <c r="BA43" s="3">
        <f t="shared" si="31"/>
        <v>0</v>
      </c>
    </row>
    <row r="44" spans="1:53" x14ac:dyDescent="0.25">
      <c r="A44" t="s">
        <v>1833</v>
      </c>
      <c r="B44" s="5">
        <v>0</v>
      </c>
      <c r="C44" s="5">
        <v>0</v>
      </c>
      <c r="D44" s="5">
        <f>SUMIFS(modif1[[srfcH]:[srfcH]],modif2[N+1],$A44,modif1[[essnc]:[essnc]],"PM")</f>
        <v>0</v>
      </c>
      <c r="E44" s="5">
        <f>SUMIFS(modif1[[srfcH]:[srfcH]],modif2[N+2],$A44,modif1[[essnc]:[essnc]],"PM")</f>
        <v>0</v>
      </c>
      <c r="F44" s="5">
        <f>SUMIFS(modif1[[srfcH]:[srfcH]],modif2[N+3],$A44,modif1[[essnc]:[essnc]],"PM")</f>
        <v>0</v>
      </c>
      <c r="G44" s="5">
        <f>SUMIFS(modif1[[srfcH]:[srfcH]],modif2[N+4],$A44,modif1[[essnc]:[essnc]],"PM")</f>
        <v>0</v>
      </c>
      <c r="H44" s="5">
        <f>SUMIFS(modif1[[srfcH]:[srfcH]],modif2[N+5],$A44,modif1[[essnc]:[essnc]],"PM")</f>
        <v>0</v>
      </c>
      <c r="I44" s="5">
        <f>SUMIFS(modif1[[srfcH]:[srfcH]],modif2[N+6],$A44,modif1[[essnc]:[essnc]],"PM")</f>
        <v>0</v>
      </c>
      <c r="J44" s="5">
        <f>SUMIFS(modif1[[srfcH]:[srfcH]],modif2[N+7],$A44,modif1[[essnc]:[essnc]],"PM")</f>
        <v>0</v>
      </c>
      <c r="K44" s="5">
        <f>SUMIFS(modif1[[srfcH]:[srfcH]],modif2[N+8],$A44,modif1[[essnc]:[essnc]],"PM")</f>
        <v>0</v>
      </c>
      <c r="L44" s="5">
        <f>SUMIFS(modif1[[srfcH]:[srfcH]],modif2[N+9],$A44,modif1[[essnc]:[essnc]],"PM")</f>
        <v>0</v>
      </c>
      <c r="M44" s="5">
        <f>SUMIFS(modif1[[srfcH]:[srfcH]],modif2[N+10],$A44,modif1[[essnc]:[essnc]],"PM")</f>
        <v>0</v>
      </c>
      <c r="AC44">
        <f t="shared" si="4"/>
        <v>39</v>
      </c>
      <c r="AD44" s="67">
        <f>D43/regle!$B$30</f>
        <v>0</v>
      </c>
      <c r="AE44" s="67">
        <f>E43/regle!$B$30</f>
        <v>0</v>
      </c>
      <c r="AF44" s="67">
        <f>F43/regle!$B$30</f>
        <v>0</v>
      </c>
      <c r="AG44" s="67">
        <f>G43/regle!$B$30</f>
        <v>0</v>
      </c>
      <c r="AH44" s="67">
        <f>H43/regle!$B$30</f>
        <v>0</v>
      </c>
      <c r="AI44" s="67">
        <f>I43/regle!$B$30</f>
        <v>0</v>
      </c>
      <c r="AJ44" s="67">
        <f>J43/regle!$B$30</f>
        <v>0</v>
      </c>
      <c r="AK44" s="67">
        <f>K43/regle!$B$30</f>
        <v>0</v>
      </c>
      <c r="AL44" s="67">
        <f>L43/regle!$B$30</f>
        <v>0</v>
      </c>
      <c r="AM44" s="67">
        <f>M43/regle!$B$30</f>
        <v>0</v>
      </c>
      <c r="AO44">
        <f t="shared" ref="AO44:AO54" si="40">A34</f>
        <v>30</v>
      </c>
      <c r="AP44" s="3">
        <f t="shared" ref="AP44:AP54" si="41">B34</f>
        <v>0</v>
      </c>
      <c r="AQ44" s="3">
        <f t="shared" ref="AQ44:AQ54" si="42">C34</f>
        <v>17.610876190476183</v>
      </c>
      <c r="AR44" s="3">
        <f t="shared" ref="AR44:AR54" si="43">D34</f>
        <v>0</v>
      </c>
      <c r="AS44" s="3">
        <f t="shared" si="39"/>
        <v>0</v>
      </c>
      <c r="AT44" s="3">
        <f t="shared" si="38"/>
        <v>0</v>
      </c>
      <c r="AU44" s="3">
        <f t="shared" si="36"/>
        <v>0</v>
      </c>
      <c r="AV44" s="3">
        <f t="shared" si="35"/>
        <v>0</v>
      </c>
      <c r="AW44" s="3">
        <f t="shared" si="37"/>
        <v>0</v>
      </c>
      <c r="AX44" s="3">
        <f t="shared" si="34"/>
        <v>0</v>
      </c>
      <c r="AY44" s="3">
        <f t="shared" si="33"/>
        <v>0</v>
      </c>
      <c r="AZ44" s="3">
        <f t="shared" si="32"/>
        <v>0</v>
      </c>
      <c r="BA44" s="3">
        <f t="shared" si="31"/>
        <v>0</v>
      </c>
    </row>
    <row r="45" spans="1:53" x14ac:dyDescent="0.25">
      <c r="AC45" t="str">
        <f t="shared" si="4"/>
        <v>&gt;=40</v>
      </c>
      <c r="AD45" s="67">
        <f>D44/regle!$B$30</f>
        <v>0</v>
      </c>
      <c r="AE45" s="67">
        <f>E44/regle!$B$30</f>
        <v>0</v>
      </c>
      <c r="AF45" s="67">
        <f>F44/regle!$B$30</f>
        <v>0</v>
      </c>
      <c r="AG45" s="67">
        <f>G44/regle!$B$30</f>
        <v>0</v>
      </c>
      <c r="AH45" s="67">
        <f>H44/regle!$B$30</f>
        <v>0</v>
      </c>
      <c r="AI45" s="67">
        <f>I44/regle!$B$30</f>
        <v>0</v>
      </c>
      <c r="AJ45" s="67">
        <f>J44/regle!$B$30</f>
        <v>0</v>
      </c>
      <c r="AK45" s="67">
        <f>K44/regle!$B$30</f>
        <v>0</v>
      </c>
      <c r="AL45" s="67">
        <f>L44/regle!$B$30</f>
        <v>0</v>
      </c>
      <c r="AM45" s="67">
        <f>M44/regle!$B$30</f>
        <v>0</v>
      </c>
      <c r="AO45">
        <f t="shared" si="40"/>
        <v>31</v>
      </c>
      <c r="AP45" s="3">
        <f t="shared" si="41"/>
        <v>0</v>
      </c>
      <c r="AQ45" s="3">
        <f t="shared" si="42"/>
        <v>17.610876190476183</v>
      </c>
      <c r="AR45" s="3">
        <f t="shared" si="43"/>
        <v>0</v>
      </c>
      <c r="AS45" s="3">
        <f t="shared" si="39"/>
        <v>0</v>
      </c>
      <c r="AT45" s="3">
        <f t="shared" si="38"/>
        <v>0</v>
      </c>
      <c r="AU45" s="3">
        <f t="shared" si="36"/>
        <v>0</v>
      </c>
      <c r="AV45" s="3">
        <f t="shared" si="35"/>
        <v>0</v>
      </c>
      <c r="AW45" s="3">
        <f t="shared" si="37"/>
        <v>0</v>
      </c>
      <c r="AX45" s="3">
        <f t="shared" si="34"/>
        <v>0</v>
      </c>
      <c r="AY45" s="3">
        <f t="shared" si="33"/>
        <v>0</v>
      </c>
      <c r="AZ45" s="3">
        <f t="shared" si="32"/>
        <v>0</v>
      </c>
      <c r="BA45" s="3">
        <f t="shared" si="31"/>
        <v>0</v>
      </c>
    </row>
    <row r="46" spans="1:53" x14ac:dyDescent="0.25">
      <c r="AD46" s="5"/>
      <c r="AE46" s="5"/>
      <c r="AF46" s="5"/>
      <c r="AG46" s="5"/>
      <c r="AH46" s="5"/>
      <c r="AI46" s="5"/>
      <c r="AJ46" s="5"/>
      <c r="AK46" s="5"/>
      <c r="AL46" s="5"/>
      <c r="AM46" s="5"/>
      <c r="AO46">
        <f t="shared" si="40"/>
        <v>32</v>
      </c>
      <c r="AP46" s="3">
        <f t="shared" si="41"/>
        <v>0</v>
      </c>
      <c r="AQ46" s="3">
        <f t="shared" si="42"/>
        <v>17.610876190476183</v>
      </c>
      <c r="AR46" s="3">
        <f t="shared" si="43"/>
        <v>0</v>
      </c>
      <c r="AS46" s="3">
        <f t="shared" si="39"/>
        <v>0</v>
      </c>
      <c r="AT46" s="3">
        <f t="shared" si="38"/>
        <v>0</v>
      </c>
      <c r="AU46" s="3">
        <f t="shared" si="36"/>
        <v>0</v>
      </c>
      <c r="AV46" s="3">
        <f t="shared" si="35"/>
        <v>0</v>
      </c>
      <c r="AW46" s="3">
        <f t="shared" si="37"/>
        <v>0</v>
      </c>
      <c r="AX46" s="3">
        <f t="shared" si="34"/>
        <v>0</v>
      </c>
      <c r="AY46" s="3">
        <f t="shared" si="33"/>
        <v>0</v>
      </c>
      <c r="AZ46" s="3">
        <f t="shared" si="32"/>
        <v>0</v>
      </c>
      <c r="BA46" s="3">
        <f t="shared" si="31"/>
        <v>0</v>
      </c>
    </row>
    <row r="47" spans="1:53" x14ac:dyDescent="0.25">
      <c r="AD47" s="5"/>
      <c r="AE47" s="5"/>
      <c r="AF47" s="5"/>
      <c r="AG47" s="5"/>
      <c r="AH47" s="5"/>
      <c r="AI47" s="5"/>
      <c r="AJ47" s="5"/>
      <c r="AK47" s="5"/>
      <c r="AL47" s="5"/>
      <c r="AM47" s="5"/>
      <c r="AO47">
        <f t="shared" si="40"/>
        <v>33</v>
      </c>
      <c r="AP47" s="3">
        <f t="shared" si="41"/>
        <v>0</v>
      </c>
      <c r="AQ47" s="3">
        <f t="shared" si="42"/>
        <v>17.610876190476183</v>
      </c>
      <c r="AR47" s="3">
        <f t="shared" si="43"/>
        <v>0</v>
      </c>
      <c r="AS47" s="3">
        <f t="shared" si="39"/>
        <v>0</v>
      </c>
      <c r="AT47" s="3">
        <f t="shared" si="38"/>
        <v>0</v>
      </c>
      <c r="AU47" s="3">
        <f t="shared" si="36"/>
        <v>0</v>
      </c>
      <c r="AV47" s="3">
        <f t="shared" si="35"/>
        <v>0</v>
      </c>
      <c r="AW47" s="3">
        <f t="shared" si="37"/>
        <v>0</v>
      </c>
      <c r="AX47" s="3">
        <f t="shared" si="34"/>
        <v>0</v>
      </c>
      <c r="AY47" s="3">
        <f t="shared" si="33"/>
        <v>0</v>
      </c>
      <c r="AZ47" s="3">
        <f t="shared" si="32"/>
        <v>0</v>
      </c>
      <c r="BA47" s="3">
        <f t="shared" si="31"/>
        <v>0</v>
      </c>
    </row>
    <row r="48" spans="1:53" x14ac:dyDescent="0.25">
      <c r="AD48" s="5"/>
      <c r="AE48" s="5"/>
      <c r="AF48" s="5"/>
      <c r="AG48" s="5"/>
      <c r="AH48" s="5"/>
      <c r="AI48" s="5"/>
      <c r="AJ48" s="5"/>
      <c r="AK48" s="5"/>
      <c r="AL48" s="5"/>
      <c r="AM48" s="5"/>
      <c r="AO48">
        <f t="shared" si="40"/>
        <v>34</v>
      </c>
      <c r="AP48" s="3">
        <f t="shared" si="41"/>
        <v>0</v>
      </c>
      <c r="AQ48" s="3">
        <f t="shared" si="42"/>
        <v>17.610876190476183</v>
      </c>
      <c r="AR48" s="3">
        <f t="shared" si="43"/>
        <v>8.5400000000000004E-2</v>
      </c>
      <c r="AS48" s="3">
        <f t="shared" si="39"/>
        <v>0</v>
      </c>
      <c r="AT48" s="3">
        <f t="shared" si="38"/>
        <v>0</v>
      </c>
      <c r="AU48" s="3">
        <f t="shared" si="36"/>
        <v>0</v>
      </c>
      <c r="AV48" s="3">
        <f t="shared" si="35"/>
        <v>0</v>
      </c>
      <c r="AW48" s="3">
        <f t="shared" si="37"/>
        <v>0</v>
      </c>
      <c r="AX48" s="3">
        <f t="shared" si="34"/>
        <v>0</v>
      </c>
      <c r="AY48" s="3">
        <f t="shared" si="33"/>
        <v>0</v>
      </c>
      <c r="AZ48" s="3">
        <f t="shared" si="32"/>
        <v>0</v>
      </c>
      <c r="BA48" s="3">
        <f t="shared" si="31"/>
        <v>0</v>
      </c>
    </row>
    <row r="49" spans="30:53" x14ac:dyDescent="0.25">
      <c r="AD49" s="5"/>
      <c r="AE49" s="5"/>
      <c r="AF49" s="5"/>
      <c r="AG49" s="5"/>
      <c r="AH49" s="5"/>
      <c r="AI49" s="5"/>
      <c r="AJ49" s="5"/>
      <c r="AK49" s="5"/>
      <c r="AL49" s="5"/>
      <c r="AM49" s="5"/>
      <c r="AO49">
        <f t="shared" si="40"/>
        <v>35</v>
      </c>
      <c r="AP49" s="3">
        <f t="shared" si="41"/>
        <v>0</v>
      </c>
      <c r="AQ49" s="3">
        <f t="shared" si="42"/>
        <v>17.610876190476183</v>
      </c>
      <c r="AR49" s="3">
        <f t="shared" si="43"/>
        <v>0</v>
      </c>
      <c r="AS49" s="3">
        <f t="shared" si="39"/>
        <v>0</v>
      </c>
      <c r="AT49" s="3">
        <f t="shared" si="38"/>
        <v>0</v>
      </c>
      <c r="AU49" s="3">
        <f t="shared" si="36"/>
        <v>0</v>
      </c>
      <c r="AV49" s="3">
        <f t="shared" si="35"/>
        <v>0</v>
      </c>
      <c r="AW49" s="3">
        <f t="shared" si="37"/>
        <v>0</v>
      </c>
      <c r="AX49" s="3">
        <f t="shared" si="34"/>
        <v>0</v>
      </c>
      <c r="AY49" s="3">
        <f t="shared" si="33"/>
        <v>0</v>
      </c>
      <c r="AZ49" s="3">
        <f t="shared" si="32"/>
        <v>0</v>
      </c>
      <c r="BA49" s="3">
        <f t="shared" si="31"/>
        <v>0</v>
      </c>
    </row>
    <row r="50" spans="30:53" x14ac:dyDescent="0.25">
      <c r="AD50" s="5"/>
      <c r="AE50" s="5"/>
      <c r="AF50" s="5"/>
      <c r="AG50" s="5"/>
      <c r="AH50" s="5"/>
      <c r="AI50" s="5"/>
      <c r="AJ50" s="5"/>
      <c r="AK50" s="5"/>
      <c r="AL50" s="5"/>
      <c r="AM50" s="5"/>
      <c r="AO50">
        <f t="shared" si="40"/>
        <v>36</v>
      </c>
      <c r="AP50" s="3">
        <f t="shared" si="41"/>
        <v>0</v>
      </c>
      <c r="AQ50" s="3">
        <f t="shared" si="42"/>
        <v>17.610876190476183</v>
      </c>
      <c r="AR50" s="3">
        <f t="shared" si="43"/>
        <v>3.2961</v>
      </c>
      <c r="AS50" s="3">
        <f t="shared" si="39"/>
        <v>0</v>
      </c>
      <c r="AT50" s="3">
        <f t="shared" si="38"/>
        <v>0</v>
      </c>
      <c r="AU50" s="3">
        <f t="shared" si="36"/>
        <v>0</v>
      </c>
      <c r="AV50" s="3">
        <f t="shared" si="35"/>
        <v>0</v>
      </c>
      <c r="AW50" s="3">
        <f t="shared" si="37"/>
        <v>0</v>
      </c>
      <c r="AX50" s="3">
        <f t="shared" si="34"/>
        <v>0</v>
      </c>
      <c r="AY50" s="3">
        <f t="shared" si="33"/>
        <v>0</v>
      </c>
      <c r="AZ50" s="3">
        <f t="shared" si="32"/>
        <v>0</v>
      </c>
      <c r="BA50" s="3">
        <f t="shared" si="31"/>
        <v>0</v>
      </c>
    </row>
    <row r="51" spans="30:53" x14ac:dyDescent="0.25">
      <c r="AD51" s="5"/>
      <c r="AE51" s="5"/>
      <c r="AF51" s="5"/>
      <c r="AG51" s="5"/>
      <c r="AH51" s="5"/>
      <c r="AI51" s="5"/>
      <c r="AJ51" s="5"/>
      <c r="AK51" s="5"/>
      <c r="AL51" s="5"/>
      <c r="AM51" s="5"/>
      <c r="AO51">
        <f t="shared" si="40"/>
        <v>37</v>
      </c>
      <c r="AP51" s="3">
        <f t="shared" si="41"/>
        <v>0</v>
      </c>
      <c r="AQ51" s="3">
        <f t="shared" si="42"/>
        <v>17.610876190476183</v>
      </c>
      <c r="AR51" s="3">
        <f t="shared" si="43"/>
        <v>11.5708</v>
      </c>
      <c r="AS51" s="3">
        <f t="shared" si="39"/>
        <v>0</v>
      </c>
      <c r="AT51" s="3">
        <f t="shared" si="38"/>
        <v>0</v>
      </c>
      <c r="AU51" s="3">
        <f t="shared" si="36"/>
        <v>0</v>
      </c>
      <c r="AV51" s="3">
        <f t="shared" si="35"/>
        <v>0</v>
      </c>
      <c r="AW51" s="3">
        <f t="shared" si="37"/>
        <v>0</v>
      </c>
      <c r="AX51" s="3">
        <f t="shared" si="34"/>
        <v>0</v>
      </c>
      <c r="AY51" s="3">
        <f t="shared" si="33"/>
        <v>0</v>
      </c>
      <c r="AZ51" s="3">
        <f t="shared" si="32"/>
        <v>0</v>
      </c>
      <c r="BA51" s="3">
        <f t="shared" si="31"/>
        <v>0</v>
      </c>
    </row>
    <row r="52" spans="30:53" x14ac:dyDescent="0.25">
      <c r="AD52" s="5"/>
      <c r="AE52" s="5"/>
      <c r="AF52" s="5"/>
      <c r="AG52" s="5"/>
      <c r="AH52" s="5"/>
      <c r="AI52" s="5"/>
      <c r="AJ52" s="5"/>
      <c r="AK52" s="5"/>
      <c r="AL52" s="5"/>
      <c r="AM52" s="5"/>
      <c r="AO52">
        <f t="shared" si="40"/>
        <v>38</v>
      </c>
      <c r="AP52" s="3">
        <f t="shared" si="41"/>
        <v>0</v>
      </c>
      <c r="AQ52" s="3">
        <f t="shared" si="42"/>
        <v>17.610876190476183</v>
      </c>
      <c r="AR52" s="3">
        <f t="shared" si="43"/>
        <v>0</v>
      </c>
      <c r="AS52" s="3">
        <f t="shared" si="39"/>
        <v>0</v>
      </c>
      <c r="AT52" s="3">
        <f t="shared" si="38"/>
        <v>0</v>
      </c>
      <c r="AU52" s="3">
        <f t="shared" si="36"/>
        <v>0</v>
      </c>
      <c r="AV52" s="3">
        <f t="shared" si="35"/>
        <v>0</v>
      </c>
      <c r="AW52" s="3">
        <f t="shared" si="37"/>
        <v>0</v>
      </c>
      <c r="AX52" s="3">
        <f t="shared" si="34"/>
        <v>0</v>
      </c>
      <c r="AY52" s="3">
        <f t="shared" si="33"/>
        <v>0</v>
      </c>
      <c r="AZ52" s="3">
        <f t="shared" si="32"/>
        <v>0</v>
      </c>
      <c r="BA52" s="3">
        <f t="shared" si="31"/>
        <v>0</v>
      </c>
    </row>
    <row r="53" spans="30:53" x14ac:dyDescent="0.25">
      <c r="AD53" s="5"/>
      <c r="AE53" s="5"/>
      <c r="AF53" s="5"/>
      <c r="AG53" s="5"/>
      <c r="AH53" s="5"/>
      <c r="AI53" s="5"/>
      <c r="AJ53" s="5"/>
      <c r="AK53" s="5"/>
      <c r="AL53" s="5"/>
      <c r="AM53" s="5"/>
      <c r="AO53">
        <f t="shared" si="40"/>
        <v>39</v>
      </c>
      <c r="AP53" s="3">
        <f t="shared" si="41"/>
        <v>0</v>
      </c>
      <c r="AQ53" s="3">
        <f t="shared" si="42"/>
        <v>17.610876190476183</v>
      </c>
      <c r="AR53" s="3">
        <f t="shared" si="43"/>
        <v>0</v>
      </c>
      <c r="AS53" s="3">
        <f t="shared" si="39"/>
        <v>0</v>
      </c>
      <c r="AT53" s="3">
        <f t="shared" si="38"/>
        <v>0</v>
      </c>
      <c r="AU53" s="3">
        <f t="shared" si="36"/>
        <v>0</v>
      </c>
      <c r="AV53" s="3">
        <f t="shared" si="35"/>
        <v>0</v>
      </c>
      <c r="AW53" s="3">
        <f t="shared" si="37"/>
        <v>0</v>
      </c>
      <c r="AX53" s="3">
        <f t="shared" si="34"/>
        <v>0</v>
      </c>
      <c r="AY53" s="3">
        <f t="shared" si="33"/>
        <v>0</v>
      </c>
      <c r="AZ53" s="3">
        <f t="shared" si="32"/>
        <v>0</v>
      </c>
      <c r="BA53" s="3">
        <f t="shared" si="31"/>
        <v>0</v>
      </c>
    </row>
    <row r="54" spans="30:53" x14ac:dyDescent="0.25">
      <c r="AD54" s="5"/>
      <c r="AE54" s="5"/>
      <c r="AF54" s="5"/>
      <c r="AG54" s="5"/>
      <c r="AH54" s="5"/>
      <c r="AI54" s="5"/>
      <c r="AJ54" s="5"/>
      <c r="AK54" s="5"/>
      <c r="AL54" s="5"/>
      <c r="AM54" s="5"/>
      <c r="AO54" t="str">
        <f t="shared" si="40"/>
        <v>&gt;=40</v>
      </c>
      <c r="AP54" s="3">
        <f t="shared" si="41"/>
        <v>0</v>
      </c>
      <c r="AQ54" s="3">
        <f t="shared" si="42"/>
        <v>0</v>
      </c>
      <c r="AR54" s="3">
        <f t="shared" si="43"/>
        <v>0</v>
      </c>
      <c r="AS54" s="3">
        <f t="shared" si="39"/>
        <v>0</v>
      </c>
      <c r="AT54" s="3">
        <f t="shared" si="38"/>
        <v>0</v>
      </c>
      <c r="AU54" s="3">
        <f t="shared" si="36"/>
        <v>0</v>
      </c>
      <c r="AV54" s="3">
        <f t="shared" si="35"/>
        <v>0</v>
      </c>
      <c r="AW54" s="3">
        <f t="shared" si="37"/>
        <v>0</v>
      </c>
      <c r="AX54" s="3">
        <f t="shared" si="34"/>
        <v>0</v>
      </c>
      <c r="AY54" s="3">
        <f t="shared" si="33"/>
        <v>0</v>
      </c>
      <c r="AZ54" s="3">
        <f t="shared" si="32"/>
        <v>0</v>
      </c>
      <c r="BA54" s="3">
        <f t="shared" si="31"/>
        <v>0</v>
      </c>
    </row>
    <row r="55" spans="30:53" x14ac:dyDescent="0.25">
      <c r="AD55" s="5"/>
      <c r="AE55" s="5"/>
      <c r="AF55" s="5"/>
      <c r="AG55" s="5"/>
      <c r="AH55" s="5"/>
      <c r="AI55" s="5"/>
      <c r="AJ55" s="5"/>
      <c r="AK55" s="5"/>
      <c r="AL55" s="5"/>
      <c r="AM55" s="5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</row>
    <row r="56" spans="30:53" x14ac:dyDescent="0.25">
      <c r="AD56" s="5"/>
      <c r="AE56" s="5"/>
      <c r="AF56" s="5"/>
      <c r="AG56" s="5"/>
      <c r="AH56" s="5"/>
      <c r="AI56" s="5"/>
      <c r="AJ56" s="5"/>
      <c r="AK56" s="5"/>
      <c r="AL56" s="5"/>
      <c r="AM56" s="5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</row>
    <row r="57" spans="30:53" x14ac:dyDescent="0.25">
      <c r="AD57" s="5"/>
      <c r="AE57" s="5"/>
      <c r="AF57" s="5"/>
      <c r="AG57" s="5"/>
      <c r="AH57" s="5"/>
      <c r="AI57" s="5"/>
      <c r="AJ57" s="5"/>
      <c r="AK57" s="5"/>
      <c r="AL57" s="5"/>
      <c r="AM57" s="5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</row>
    <row r="58" spans="30:53" x14ac:dyDescent="0.25">
      <c r="AD58" s="5"/>
      <c r="AE58" s="5"/>
      <c r="AF58" s="5"/>
      <c r="AG58" s="5"/>
      <c r="AH58" s="5"/>
      <c r="AI58" s="5"/>
      <c r="AJ58" s="5"/>
      <c r="AK58" s="5"/>
      <c r="AL58" s="5"/>
      <c r="AM58" s="5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</row>
    <row r="59" spans="30:53" x14ac:dyDescent="0.25">
      <c r="AD59" s="5"/>
      <c r="AE59" s="5"/>
      <c r="AF59" s="5"/>
      <c r="AG59" s="5"/>
      <c r="AH59" s="5"/>
      <c r="AI59" s="5"/>
      <c r="AJ59" s="5"/>
      <c r="AK59" s="5"/>
      <c r="AL59" s="5"/>
      <c r="AM59" s="5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</row>
    <row r="60" spans="30:53" x14ac:dyDescent="0.25">
      <c r="AD60" s="5"/>
      <c r="AE60" s="5"/>
      <c r="AF60" s="5"/>
      <c r="AG60" s="5"/>
      <c r="AH60" s="5"/>
      <c r="AI60" s="5"/>
      <c r="AJ60" s="5"/>
      <c r="AK60" s="5"/>
      <c r="AL60" s="5"/>
      <c r="AM60" s="5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</row>
    <row r="61" spans="30:53" x14ac:dyDescent="0.25">
      <c r="AD61" s="5"/>
      <c r="AE61" s="5"/>
      <c r="AF61" s="5"/>
      <c r="AG61" s="5"/>
      <c r="AH61" s="5"/>
      <c r="AI61" s="5"/>
      <c r="AJ61" s="5"/>
      <c r="AK61" s="5"/>
      <c r="AL61" s="5"/>
      <c r="AM61" s="5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</row>
    <row r="62" spans="30:53" x14ac:dyDescent="0.25">
      <c r="AD62" s="5"/>
      <c r="AE62" s="5"/>
      <c r="AF62" s="5"/>
      <c r="AG62" s="5"/>
      <c r="AH62" s="5"/>
      <c r="AI62" s="5"/>
      <c r="AJ62" s="5"/>
      <c r="AK62" s="5"/>
      <c r="AL62" s="5"/>
      <c r="AM62" s="5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</row>
    <row r="63" spans="30:53" x14ac:dyDescent="0.25">
      <c r="AD63" s="5"/>
      <c r="AE63" s="5"/>
      <c r="AF63" s="5"/>
      <c r="AG63" s="5"/>
      <c r="AH63" s="5"/>
      <c r="AI63" s="5"/>
      <c r="AJ63" s="5"/>
      <c r="AK63" s="5"/>
      <c r="AL63" s="5"/>
      <c r="AM63" s="5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</row>
    <row r="64" spans="30:53" x14ac:dyDescent="0.25">
      <c r="AD64" s="5"/>
      <c r="AE64" s="5"/>
      <c r="AF64" s="5"/>
      <c r="AG64" s="5"/>
      <c r="AH64" s="5"/>
      <c r="AI64" s="5"/>
      <c r="AJ64" s="5"/>
      <c r="AK64" s="5"/>
      <c r="AL64" s="5"/>
      <c r="AM64" s="5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</row>
    <row r="65" spans="30:53" x14ac:dyDescent="0.25">
      <c r="AD65" s="5"/>
      <c r="AE65" s="5"/>
      <c r="AF65" s="5"/>
      <c r="AG65" s="5"/>
      <c r="AH65" s="5"/>
      <c r="AI65" s="5"/>
      <c r="AJ65" s="5"/>
      <c r="AK65" s="5"/>
      <c r="AL65" s="5"/>
      <c r="AM65" s="5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</row>
    <row r="66" spans="30:53" x14ac:dyDescent="0.25"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30:53" x14ac:dyDescent="0.25">
      <c r="AP67" s="3"/>
      <c r="AQ67" s="3"/>
      <c r="AR67" s="3"/>
      <c r="AS67" s="3"/>
      <c r="AT67" s="3"/>
      <c r="AU67" s="3"/>
      <c r="AV67" s="3"/>
      <c r="AW67" s="3"/>
      <c r="AX67" s="3"/>
      <c r="AY67" s="3"/>
    </row>
    <row r="68" spans="30:53" x14ac:dyDescent="0.25">
      <c r="AP68" s="3"/>
      <c r="AQ68" s="3"/>
      <c r="AR68" s="3"/>
      <c r="AS68" s="3"/>
      <c r="AT68" s="3"/>
      <c r="AU68" s="3"/>
      <c r="AV68" s="3"/>
      <c r="AW68" s="3"/>
      <c r="AX68" s="3"/>
    </row>
    <row r="69" spans="30:53" x14ac:dyDescent="0.25">
      <c r="AP69" s="3"/>
      <c r="AQ69" s="3"/>
      <c r="AR69" s="3"/>
      <c r="AS69" s="3"/>
      <c r="AT69" s="3"/>
      <c r="AU69" s="3"/>
      <c r="AV69" s="3"/>
      <c r="AW69" s="3"/>
    </row>
    <row r="70" spans="30:53" x14ac:dyDescent="0.25">
      <c r="AP70" s="3"/>
      <c r="AQ70" s="3"/>
      <c r="AR70" s="3"/>
      <c r="AS70" s="3"/>
      <c r="AT70" s="3"/>
      <c r="AU70" s="3"/>
      <c r="AV70" s="3"/>
    </row>
    <row r="71" spans="30:53" x14ac:dyDescent="0.25">
      <c r="AP71" s="3"/>
      <c r="AQ71" s="3"/>
      <c r="AR71" s="3"/>
      <c r="AS71" s="3"/>
      <c r="AT71" s="3"/>
      <c r="AU71" s="3"/>
    </row>
    <row r="72" spans="30:53" x14ac:dyDescent="0.25">
      <c r="AP72" s="3"/>
      <c r="AQ72" s="3"/>
      <c r="AR72" s="3"/>
      <c r="AS72" s="3"/>
      <c r="AT72" s="3"/>
    </row>
    <row r="73" spans="30:53" x14ac:dyDescent="0.25">
      <c r="AP73" s="3"/>
      <c r="AQ73" s="3"/>
      <c r="AR73" s="3"/>
      <c r="AS73" s="3"/>
    </row>
    <row r="74" spans="30:53" x14ac:dyDescent="0.25">
      <c r="AP74" s="3"/>
      <c r="AQ74" s="3"/>
      <c r="AR74" s="3"/>
    </row>
  </sheetData>
  <phoneticPr fontId="18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16"/>
  <dimension ref="A1:AD443"/>
  <sheetViews>
    <sheetView workbookViewId="0">
      <selection activeCell="E1" sqref="E1"/>
    </sheetView>
  </sheetViews>
  <sheetFormatPr baseColWidth="10" defaultColWidth="11.42578125" defaultRowHeight="15" customHeight="1" x14ac:dyDescent="0.25"/>
  <sheetData>
    <row r="1" spans="1:30" ht="15" customHeight="1" x14ac:dyDescent="0.25">
      <c r="A1" t="s">
        <v>82</v>
      </c>
      <c r="B1" t="s">
        <v>83</v>
      </c>
      <c r="C1" t="s">
        <v>84</v>
      </c>
      <c r="D1" t="s">
        <v>85</v>
      </c>
      <c r="E1" t="s">
        <v>86</v>
      </c>
      <c r="F1" t="s">
        <v>87</v>
      </c>
      <c r="G1" t="s">
        <v>88</v>
      </c>
      <c r="H1" t="s">
        <v>89</v>
      </c>
      <c r="I1" t="s">
        <v>90</v>
      </c>
      <c r="J1" t="s">
        <v>91</v>
      </c>
      <c r="K1" t="s">
        <v>92</v>
      </c>
      <c r="L1" t="s">
        <v>93</v>
      </c>
      <c r="M1" t="s">
        <v>94</v>
      </c>
      <c r="N1" t="s">
        <v>95</v>
      </c>
      <c r="O1" t="s">
        <v>96</v>
      </c>
      <c r="P1" t="s">
        <v>97</v>
      </c>
      <c r="Q1" t="s">
        <v>98</v>
      </c>
      <c r="R1" t="s">
        <v>99</v>
      </c>
      <c r="S1" t="s">
        <v>100</v>
      </c>
      <c r="T1" t="s">
        <v>101</v>
      </c>
      <c r="U1" t="s">
        <v>102</v>
      </c>
      <c r="V1" t="s">
        <v>103</v>
      </c>
      <c r="W1" t="s">
        <v>104</v>
      </c>
      <c r="X1" t="s">
        <v>105</v>
      </c>
      <c r="Y1" t="s">
        <v>106</v>
      </c>
      <c r="Z1" t="s">
        <v>107</v>
      </c>
      <c r="AA1" t="s">
        <v>108</v>
      </c>
      <c r="AB1" t="s">
        <v>109</v>
      </c>
      <c r="AC1" t="s">
        <v>110</v>
      </c>
      <c r="AD1" t="s">
        <v>111</v>
      </c>
    </row>
    <row r="2" spans="1:30" ht="15" customHeight="1" x14ac:dyDescent="0.25">
      <c r="A2">
        <v>343</v>
      </c>
      <c r="B2" t="s">
        <v>112</v>
      </c>
      <c r="C2" t="s">
        <v>113</v>
      </c>
      <c r="D2" t="s">
        <v>114</v>
      </c>
      <c r="E2" t="s">
        <v>115</v>
      </c>
      <c r="G2" t="s">
        <v>7</v>
      </c>
      <c r="H2" t="s">
        <v>22</v>
      </c>
      <c r="I2">
        <v>18850</v>
      </c>
      <c r="R2" t="s">
        <v>116</v>
      </c>
      <c r="S2">
        <v>18850</v>
      </c>
      <c r="Z2" t="s">
        <v>117</v>
      </c>
      <c r="AA2" t="s">
        <v>118</v>
      </c>
      <c r="AB2" t="s">
        <v>119</v>
      </c>
      <c r="AC2">
        <v>343</v>
      </c>
      <c r="AD2" t="s">
        <v>112</v>
      </c>
    </row>
    <row r="3" spans="1:30" ht="15" customHeight="1" x14ac:dyDescent="0.25">
      <c r="A3">
        <v>349</v>
      </c>
      <c r="B3" t="s">
        <v>120</v>
      </c>
      <c r="C3" t="s">
        <v>121</v>
      </c>
      <c r="D3" t="s">
        <v>122</v>
      </c>
      <c r="E3" t="s">
        <v>115</v>
      </c>
      <c r="G3" t="s">
        <v>7</v>
      </c>
      <c r="H3" t="s">
        <v>26</v>
      </c>
      <c r="I3">
        <v>14250</v>
      </c>
      <c r="R3" t="s">
        <v>116</v>
      </c>
      <c r="S3">
        <v>14250</v>
      </c>
      <c r="Z3" t="s">
        <v>117</v>
      </c>
      <c r="AA3" t="s">
        <v>118</v>
      </c>
      <c r="AB3" t="s">
        <v>123</v>
      </c>
      <c r="AC3">
        <v>349</v>
      </c>
      <c r="AD3" t="s">
        <v>120</v>
      </c>
    </row>
    <row r="4" spans="1:30" ht="15" customHeight="1" x14ac:dyDescent="0.25">
      <c r="A4">
        <v>345</v>
      </c>
      <c r="B4" t="s">
        <v>124</v>
      </c>
      <c r="C4" t="s">
        <v>125</v>
      </c>
      <c r="D4" t="s">
        <v>126</v>
      </c>
      <c r="E4" t="s">
        <v>115</v>
      </c>
      <c r="G4" t="s">
        <v>7</v>
      </c>
      <c r="H4" t="s">
        <v>19</v>
      </c>
      <c r="I4">
        <v>21432</v>
      </c>
      <c r="R4" t="s">
        <v>116</v>
      </c>
      <c r="S4">
        <v>33980</v>
      </c>
      <c r="Z4" t="s">
        <v>117</v>
      </c>
      <c r="AA4" t="s">
        <v>118</v>
      </c>
      <c r="AB4" t="s">
        <v>127</v>
      </c>
      <c r="AC4">
        <v>345</v>
      </c>
      <c r="AD4" t="s">
        <v>124</v>
      </c>
    </row>
    <row r="5" spans="1:30" ht="15" customHeight="1" x14ac:dyDescent="0.25">
      <c r="A5">
        <v>358</v>
      </c>
      <c r="B5" t="s">
        <v>128</v>
      </c>
      <c r="C5" t="s">
        <v>129</v>
      </c>
      <c r="D5" t="s">
        <v>126</v>
      </c>
      <c r="E5" t="s">
        <v>115</v>
      </c>
      <c r="G5" t="s">
        <v>7</v>
      </c>
      <c r="H5" t="s">
        <v>19</v>
      </c>
      <c r="I5">
        <v>11172</v>
      </c>
      <c r="R5" t="s">
        <v>116</v>
      </c>
      <c r="S5">
        <v>33980</v>
      </c>
      <c r="Z5" t="s">
        <v>117</v>
      </c>
      <c r="AA5" t="s">
        <v>118</v>
      </c>
      <c r="AB5" t="s">
        <v>130</v>
      </c>
      <c r="AC5">
        <v>358</v>
      </c>
      <c r="AD5" t="s">
        <v>128</v>
      </c>
    </row>
    <row r="6" spans="1:30" ht="15" customHeight="1" x14ac:dyDescent="0.25">
      <c r="A6">
        <v>351</v>
      </c>
      <c r="B6" t="s">
        <v>131</v>
      </c>
      <c r="C6" t="s">
        <v>132</v>
      </c>
      <c r="D6" t="s">
        <v>133</v>
      </c>
      <c r="E6" t="s">
        <v>115</v>
      </c>
      <c r="G6" t="s">
        <v>7</v>
      </c>
      <c r="H6" t="s">
        <v>19</v>
      </c>
      <c r="I6">
        <v>3341</v>
      </c>
      <c r="R6" t="s">
        <v>116</v>
      </c>
      <c r="S6">
        <v>3500</v>
      </c>
      <c r="Z6" t="s">
        <v>117</v>
      </c>
      <c r="AA6" t="s">
        <v>118</v>
      </c>
      <c r="AB6" t="s">
        <v>134</v>
      </c>
      <c r="AC6">
        <v>351</v>
      </c>
      <c r="AD6" t="s">
        <v>131</v>
      </c>
    </row>
    <row r="7" spans="1:30" ht="15" customHeight="1" x14ac:dyDescent="0.25">
      <c r="A7">
        <v>350</v>
      </c>
      <c r="B7" t="s">
        <v>135</v>
      </c>
      <c r="C7" t="s">
        <v>136</v>
      </c>
      <c r="D7" t="s">
        <v>137</v>
      </c>
      <c r="E7" t="s">
        <v>115</v>
      </c>
      <c r="G7" t="s">
        <v>7</v>
      </c>
      <c r="H7" t="s">
        <v>19</v>
      </c>
      <c r="I7">
        <v>3250</v>
      </c>
      <c r="R7" t="s">
        <v>116</v>
      </c>
      <c r="S7">
        <v>3250</v>
      </c>
      <c r="Z7" t="s">
        <v>117</v>
      </c>
      <c r="AA7" t="s">
        <v>118</v>
      </c>
      <c r="AB7" t="s">
        <v>138</v>
      </c>
      <c r="AC7">
        <v>350</v>
      </c>
      <c r="AD7" t="s">
        <v>135</v>
      </c>
    </row>
    <row r="8" spans="1:30" ht="15" customHeight="1" x14ac:dyDescent="0.25">
      <c r="A8">
        <v>344</v>
      </c>
      <c r="B8" t="s">
        <v>139</v>
      </c>
      <c r="C8" t="s">
        <v>140</v>
      </c>
      <c r="D8" t="s">
        <v>141</v>
      </c>
      <c r="E8" t="s">
        <v>115</v>
      </c>
      <c r="G8" t="s">
        <v>7</v>
      </c>
      <c r="H8" t="s">
        <v>19</v>
      </c>
      <c r="I8">
        <v>40000</v>
      </c>
      <c r="R8" t="s">
        <v>116</v>
      </c>
      <c r="S8">
        <v>40000</v>
      </c>
      <c r="Z8" t="s">
        <v>117</v>
      </c>
      <c r="AA8" t="s">
        <v>118</v>
      </c>
      <c r="AB8" t="s">
        <v>142</v>
      </c>
      <c r="AC8">
        <v>344</v>
      </c>
      <c r="AD8" t="s">
        <v>139</v>
      </c>
    </row>
    <row r="9" spans="1:30" ht="15" customHeight="1" x14ac:dyDescent="0.25">
      <c r="A9">
        <v>347</v>
      </c>
      <c r="B9" t="s">
        <v>143</v>
      </c>
      <c r="C9" t="s">
        <v>144</v>
      </c>
      <c r="D9" t="s">
        <v>145</v>
      </c>
      <c r="E9" t="s">
        <v>115</v>
      </c>
      <c r="G9" t="s">
        <v>7</v>
      </c>
      <c r="H9" t="s">
        <v>19</v>
      </c>
      <c r="I9">
        <v>10280</v>
      </c>
      <c r="R9" t="s">
        <v>116</v>
      </c>
      <c r="S9">
        <v>10280</v>
      </c>
      <c r="Z9" t="s">
        <v>117</v>
      </c>
      <c r="AA9" t="s">
        <v>118</v>
      </c>
      <c r="AB9" t="s">
        <v>146</v>
      </c>
      <c r="AC9">
        <v>347</v>
      </c>
      <c r="AD9" t="s">
        <v>143</v>
      </c>
    </row>
    <row r="10" spans="1:30" ht="15" customHeight="1" x14ac:dyDescent="0.25">
      <c r="A10">
        <v>346</v>
      </c>
      <c r="B10" t="s">
        <v>147</v>
      </c>
      <c r="C10" t="s">
        <v>148</v>
      </c>
      <c r="D10" t="s">
        <v>149</v>
      </c>
      <c r="E10" t="s">
        <v>115</v>
      </c>
      <c r="G10" t="s">
        <v>7</v>
      </c>
      <c r="H10" t="s">
        <v>19</v>
      </c>
      <c r="I10">
        <v>29060</v>
      </c>
      <c r="R10" t="s">
        <v>116</v>
      </c>
      <c r="S10">
        <v>29060</v>
      </c>
      <c r="Z10" t="s">
        <v>117</v>
      </c>
      <c r="AA10" t="s">
        <v>118</v>
      </c>
      <c r="AB10" t="s">
        <v>150</v>
      </c>
      <c r="AC10">
        <v>346</v>
      </c>
      <c r="AD10" t="s">
        <v>147</v>
      </c>
    </row>
    <row r="11" spans="1:30" ht="15" customHeight="1" x14ac:dyDescent="0.25">
      <c r="A11">
        <v>348</v>
      </c>
      <c r="B11" t="s">
        <v>151</v>
      </c>
      <c r="C11" t="s">
        <v>152</v>
      </c>
      <c r="D11" t="s">
        <v>153</v>
      </c>
      <c r="E11" t="s">
        <v>115</v>
      </c>
      <c r="G11" t="s">
        <v>7</v>
      </c>
      <c r="H11" t="s">
        <v>19</v>
      </c>
      <c r="I11">
        <v>15450</v>
      </c>
      <c r="R11" t="s">
        <v>116</v>
      </c>
      <c r="S11">
        <v>24070</v>
      </c>
      <c r="Z11" t="s">
        <v>117</v>
      </c>
      <c r="AA11" t="s">
        <v>118</v>
      </c>
      <c r="AB11" t="s">
        <v>154</v>
      </c>
      <c r="AC11">
        <v>348</v>
      </c>
      <c r="AD11" t="s">
        <v>151</v>
      </c>
    </row>
    <row r="12" spans="1:30" ht="15" customHeight="1" x14ac:dyDescent="0.25">
      <c r="A12">
        <v>352</v>
      </c>
      <c r="B12" t="s">
        <v>155</v>
      </c>
      <c r="C12" t="s">
        <v>156</v>
      </c>
      <c r="D12" t="s">
        <v>153</v>
      </c>
      <c r="E12" t="s">
        <v>115</v>
      </c>
      <c r="G12" t="s">
        <v>7</v>
      </c>
      <c r="H12" t="s">
        <v>19</v>
      </c>
      <c r="I12">
        <v>8620</v>
      </c>
      <c r="R12" t="s">
        <v>116</v>
      </c>
      <c r="S12">
        <v>24070</v>
      </c>
      <c r="Z12" t="s">
        <v>117</v>
      </c>
      <c r="AA12" t="s">
        <v>118</v>
      </c>
      <c r="AB12" t="s">
        <v>157</v>
      </c>
      <c r="AC12">
        <v>352</v>
      </c>
      <c r="AD12" t="s">
        <v>155</v>
      </c>
    </row>
    <row r="13" spans="1:30" ht="15" customHeight="1" x14ac:dyDescent="0.25">
      <c r="A13">
        <v>69</v>
      </c>
      <c r="B13" t="s">
        <v>158</v>
      </c>
      <c r="C13" t="s">
        <v>159</v>
      </c>
      <c r="D13" t="s">
        <v>160</v>
      </c>
      <c r="E13" t="s">
        <v>115</v>
      </c>
      <c r="G13" t="s">
        <v>16</v>
      </c>
      <c r="H13" t="s">
        <v>39</v>
      </c>
      <c r="I13">
        <v>3125</v>
      </c>
      <c r="J13" t="s">
        <v>161</v>
      </c>
      <c r="K13">
        <v>0</v>
      </c>
      <c r="R13" t="s">
        <v>162</v>
      </c>
      <c r="S13">
        <v>3125</v>
      </c>
      <c r="W13">
        <v>33536</v>
      </c>
      <c r="X13">
        <v>1006</v>
      </c>
      <c r="Z13" t="s">
        <v>117</v>
      </c>
      <c r="AA13" t="s">
        <v>163</v>
      </c>
      <c r="AB13" t="s">
        <v>164</v>
      </c>
      <c r="AC13">
        <v>69</v>
      </c>
      <c r="AD13" t="s">
        <v>158</v>
      </c>
    </row>
    <row r="14" spans="1:30" ht="15" customHeight="1" x14ac:dyDescent="0.25">
      <c r="A14">
        <v>73</v>
      </c>
      <c r="B14" t="s">
        <v>165</v>
      </c>
      <c r="C14" t="s">
        <v>166</v>
      </c>
      <c r="D14" t="s">
        <v>167</v>
      </c>
      <c r="E14" t="s">
        <v>115</v>
      </c>
      <c r="G14" t="s">
        <v>16</v>
      </c>
      <c r="H14" t="s">
        <v>39</v>
      </c>
      <c r="I14">
        <v>35975</v>
      </c>
      <c r="J14" t="s">
        <v>161</v>
      </c>
      <c r="K14">
        <v>0</v>
      </c>
      <c r="R14" t="s">
        <v>162</v>
      </c>
      <c r="S14">
        <v>35975</v>
      </c>
      <c r="W14">
        <v>33536</v>
      </c>
      <c r="X14">
        <v>1006</v>
      </c>
      <c r="Z14" t="s">
        <v>117</v>
      </c>
      <c r="AA14" t="s">
        <v>163</v>
      </c>
      <c r="AB14" t="s">
        <v>168</v>
      </c>
      <c r="AC14">
        <v>73</v>
      </c>
      <c r="AD14" t="s">
        <v>165</v>
      </c>
    </row>
    <row r="15" spans="1:30" ht="15" customHeight="1" x14ac:dyDescent="0.25">
      <c r="A15">
        <v>62</v>
      </c>
      <c r="B15" t="s">
        <v>169</v>
      </c>
      <c r="C15" t="s">
        <v>170</v>
      </c>
      <c r="D15" t="s">
        <v>171</v>
      </c>
      <c r="E15" t="s">
        <v>115</v>
      </c>
      <c r="G15" t="s">
        <v>16</v>
      </c>
      <c r="H15" t="s">
        <v>39</v>
      </c>
      <c r="I15">
        <v>5034</v>
      </c>
      <c r="J15" t="s">
        <v>172</v>
      </c>
      <c r="K15">
        <v>0</v>
      </c>
      <c r="S15">
        <v>35815</v>
      </c>
      <c r="W15">
        <v>33536</v>
      </c>
      <c r="X15">
        <v>1006</v>
      </c>
      <c r="Z15" t="s">
        <v>173</v>
      </c>
      <c r="AA15" t="s">
        <v>174</v>
      </c>
      <c r="AB15" t="s">
        <v>175</v>
      </c>
      <c r="AC15">
        <v>62</v>
      </c>
      <c r="AD15" t="s">
        <v>169</v>
      </c>
    </row>
    <row r="16" spans="1:30" ht="15" customHeight="1" x14ac:dyDescent="0.25">
      <c r="A16">
        <v>68</v>
      </c>
      <c r="B16" t="s">
        <v>176</v>
      </c>
      <c r="C16" t="s">
        <v>177</v>
      </c>
      <c r="D16" t="s">
        <v>171</v>
      </c>
      <c r="E16" t="s">
        <v>115</v>
      </c>
      <c r="G16" t="s">
        <v>16</v>
      </c>
      <c r="H16" t="s">
        <v>39</v>
      </c>
      <c r="I16">
        <v>20193</v>
      </c>
      <c r="J16" t="s">
        <v>161</v>
      </c>
      <c r="K16">
        <v>0</v>
      </c>
      <c r="R16" t="s">
        <v>162</v>
      </c>
      <c r="S16">
        <v>35815</v>
      </c>
      <c r="W16">
        <v>33536</v>
      </c>
      <c r="X16">
        <v>1006</v>
      </c>
      <c r="Z16" t="s">
        <v>117</v>
      </c>
      <c r="AA16" t="s">
        <v>163</v>
      </c>
      <c r="AB16" t="s">
        <v>178</v>
      </c>
      <c r="AC16">
        <v>68</v>
      </c>
      <c r="AD16" t="s">
        <v>176</v>
      </c>
    </row>
    <row r="17" spans="1:30" ht="15" customHeight="1" x14ac:dyDescent="0.25">
      <c r="A17">
        <v>325</v>
      </c>
      <c r="B17" t="s">
        <v>179</v>
      </c>
      <c r="C17" t="s">
        <v>180</v>
      </c>
      <c r="D17" t="s">
        <v>171</v>
      </c>
      <c r="E17" t="s">
        <v>115</v>
      </c>
      <c r="G17" t="s">
        <v>16</v>
      </c>
      <c r="H17" t="s">
        <v>39</v>
      </c>
      <c r="I17">
        <v>4231</v>
      </c>
      <c r="J17" t="s">
        <v>172</v>
      </c>
      <c r="K17">
        <v>0</v>
      </c>
      <c r="S17">
        <v>35815</v>
      </c>
      <c r="W17">
        <v>33536</v>
      </c>
      <c r="X17">
        <v>1006</v>
      </c>
      <c r="Z17" t="s">
        <v>173</v>
      </c>
      <c r="AA17" t="s">
        <v>181</v>
      </c>
      <c r="AB17" t="s">
        <v>182</v>
      </c>
      <c r="AC17">
        <v>325</v>
      </c>
      <c r="AD17" t="s">
        <v>179</v>
      </c>
    </row>
    <row r="18" spans="1:30" ht="15" customHeight="1" x14ac:dyDescent="0.25">
      <c r="A18">
        <v>81</v>
      </c>
      <c r="B18" t="s">
        <v>183</v>
      </c>
      <c r="C18" t="s">
        <v>184</v>
      </c>
      <c r="D18" t="s">
        <v>171</v>
      </c>
      <c r="E18" t="s">
        <v>115</v>
      </c>
      <c r="G18" t="s">
        <v>16</v>
      </c>
      <c r="H18" t="s">
        <v>39</v>
      </c>
      <c r="I18">
        <v>6357</v>
      </c>
      <c r="K18">
        <v>0</v>
      </c>
      <c r="S18">
        <v>35815</v>
      </c>
      <c r="W18">
        <v>33536</v>
      </c>
      <c r="X18">
        <v>1006</v>
      </c>
      <c r="Z18" t="s">
        <v>117</v>
      </c>
      <c r="AA18" t="s">
        <v>185</v>
      </c>
      <c r="AB18" t="s">
        <v>186</v>
      </c>
      <c r="AC18">
        <v>81</v>
      </c>
      <c r="AD18" t="s">
        <v>183</v>
      </c>
    </row>
    <row r="19" spans="1:30" ht="15" customHeight="1" x14ac:dyDescent="0.25">
      <c r="A19">
        <v>308</v>
      </c>
      <c r="B19" t="s">
        <v>187</v>
      </c>
      <c r="C19" t="s">
        <v>188</v>
      </c>
      <c r="D19" t="s">
        <v>189</v>
      </c>
      <c r="E19" t="s">
        <v>115</v>
      </c>
      <c r="G19" t="s">
        <v>16</v>
      </c>
      <c r="H19" t="s">
        <v>39</v>
      </c>
      <c r="I19">
        <v>6680</v>
      </c>
      <c r="J19" t="s">
        <v>172</v>
      </c>
      <c r="K19">
        <v>0</v>
      </c>
      <c r="R19">
        <v>255</v>
      </c>
      <c r="S19">
        <v>6680</v>
      </c>
      <c r="W19">
        <v>33536</v>
      </c>
      <c r="X19">
        <v>1006</v>
      </c>
      <c r="Z19" t="s">
        <v>173</v>
      </c>
      <c r="AA19" t="s">
        <v>190</v>
      </c>
      <c r="AB19" t="s">
        <v>191</v>
      </c>
      <c r="AC19">
        <v>308</v>
      </c>
      <c r="AD19" t="s">
        <v>187</v>
      </c>
    </row>
    <row r="20" spans="1:30" ht="15" customHeight="1" x14ac:dyDescent="0.25">
      <c r="A20">
        <v>323</v>
      </c>
      <c r="B20" t="s">
        <v>192</v>
      </c>
      <c r="C20" t="s">
        <v>193</v>
      </c>
      <c r="D20" t="s">
        <v>194</v>
      </c>
      <c r="E20" t="s">
        <v>115</v>
      </c>
      <c r="G20" t="s">
        <v>16</v>
      </c>
      <c r="H20" t="s">
        <v>39</v>
      </c>
      <c r="I20">
        <v>4451</v>
      </c>
      <c r="J20" t="s">
        <v>172</v>
      </c>
      <c r="K20">
        <v>0</v>
      </c>
      <c r="R20">
        <v>256</v>
      </c>
      <c r="S20">
        <v>47550</v>
      </c>
      <c r="W20">
        <v>33536</v>
      </c>
      <c r="X20">
        <v>1006</v>
      </c>
      <c r="Z20" t="s">
        <v>173</v>
      </c>
      <c r="AA20" t="s">
        <v>181</v>
      </c>
      <c r="AB20" t="s">
        <v>195</v>
      </c>
      <c r="AC20">
        <v>323</v>
      </c>
      <c r="AD20" t="s">
        <v>192</v>
      </c>
    </row>
    <row r="21" spans="1:30" ht="15" customHeight="1" x14ac:dyDescent="0.25">
      <c r="A21">
        <v>306</v>
      </c>
      <c r="B21" t="s">
        <v>196</v>
      </c>
      <c r="C21" t="s">
        <v>197</v>
      </c>
      <c r="D21" t="s">
        <v>194</v>
      </c>
      <c r="E21" t="s">
        <v>115</v>
      </c>
      <c r="G21" t="s">
        <v>16</v>
      </c>
      <c r="H21" t="s">
        <v>39</v>
      </c>
      <c r="I21">
        <v>40731</v>
      </c>
      <c r="K21">
        <v>0</v>
      </c>
      <c r="R21">
        <v>256</v>
      </c>
      <c r="S21">
        <v>47550</v>
      </c>
      <c r="W21">
        <v>33536</v>
      </c>
      <c r="X21">
        <v>1006</v>
      </c>
      <c r="Z21" t="s">
        <v>117</v>
      </c>
      <c r="AA21" t="s">
        <v>185</v>
      </c>
      <c r="AB21" t="s">
        <v>198</v>
      </c>
      <c r="AC21">
        <v>306</v>
      </c>
      <c r="AD21" t="s">
        <v>196</v>
      </c>
    </row>
    <row r="22" spans="1:30" ht="15" customHeight="1" x14ac:dyDescent="0.25">
      <c r="A22">
        <v>307</v>
      </c>
      <c r="B22" t="s">
        <v>199</v>
      </c>
      <c r="C22" t="s">
        <v>200</v>
      </c>
      <c r="D22" t="s">
        <v>201</v>
      </c>
      <c r="E22" t="s">
        <v>115</v>
      </c>
      <c r="G22" t="s">
        <v>16</v>
      </c>
      <c r="H22" t="s">
        <v>39</v>
      </c>
      <c r="I22">
        <v>18910</v>
      </c>
      <c r="J22" t="s">
        <v>172</v>
      </c>
      <c r="K22">
        <v>0</v>
      </c>
      <c r="R22" t="s">
        <v>202</v>
      </c>
      <c r="S22">
        <v>18910</v>
      </c>
      <c r="W22">
        <v>33536</v>
      </c>
      <c r="X22">
        <v>1006</v>
      </c>
      <c r="Z22" t="s">
        <v>117</v>
      </c>
      <c r="AA22" t="s">
        <v>203</v>
      </c>
      <c r="AB22" t="s">
        <v>204</v>
      </c>
      <c r="AC22">
        <v>307</v>
      </c>
      <c r="AD22" t="s">
        <v>199</v>
      </c>
    </row>
    <row r="23" spans="1:30" ht="15" customHeight="1" x14ac:dyDescent="0.25">
      <c r="A23">
        <v>147</v>
      </c>
      <c r="B23" t="s">
        <v>205</v>
      </c>
      <c r="C23" t="s">
        <v>206</v>
      </c>
      <c r="D23" t="s">
        <v>207</v>
      </c>
      <c r="E23" t="s">
        <v>115</v>
      </c>
      <c r="G23" t="s">
        <v>16</v>
      </c>
      <c r="H23" t="s">
        <v>57</v>
      </c>
      <c r="I23">
        <v>600</v>
      </c>
      <c r="J23" t="s">
        <v>172</v>
      </c>
      <c r="K23">
        <v>0</v>
      </c>
      <c r="S23">
        <v>600</v>
      </c>
      <c r="W23">
        <v>33536</v>
      </c>
      <c r="X23">
        <v>1006</v>
      </c>
      <c r="Z23" t="s">
        <v>173</v>
      </c>
      <c r="AA23" t="s">
        <v>190</v>
      </c>
      <c r="AB23" t="s">
        <v>208</v>
      </c>
      <c r="AC23">
        <v>147</v>
      </c>
      <c r="AD23" t="s">
        <v>205</v>
      </c>
    </row>
    <row r="24" spans="1:30" ht="15" customHeight="1" x14ac:dyDescent="0.25">
      <c r="A24">
        <v>143</v>
      </c>
      <c r="B24" t="s">
        <v>209</v>
      </c>
      <c r="C24" t="s">
        <v>210</v>
      </c>
      <c r="D24" t="s">
        <v>211</v>
      </c>
      <c r="E24" t="s">
        <v>115</v>
      </c>
      <c r="G24" t="s">
        <v>16</v>
      </c>
      <c r="H24" t="s">
        <v>31</v>
      </c>
      <c r="I24">
        <v>40070</v>
      </c>
      <c r="J24" t="s">
        <v>161</v>
      </c>
      <c r="K24">
        <v>0</v>
      </c>
      <c r="R24" t="s">
        <v>162</v>
      </c>
      <c r="S24">
        <v>40070</v>
      </c>
      <c r="W24">
        <v>33536</v>
      </c>
      <c r="X24">
        <v>1006</v>
      </c>
      <c r="Z24" t="s">
        <v>117</v>
      </c>
      <c r="AA24" t="s">
        <v>163</v>
      </c>
      <c r="AB24" t="s">
        <v>212</v>
      </c>
      <c r="AC24">
        <v>143</v>
      </c>
      <c r="AD24" t="s">
        <v>209</v>
      </c>
    </row>
    <row r="25" spans="1:30" ht="15" customHeight="1" x14ac:dyDescent="0.25">
      <c r="A25">
        <v>107</v>
      </c>
      <c r="B25" t="s">
        <v>213</v>
      </c>
      <c r="C25" t="s">
        <v>214</v>
      </c>
      <c r="D25" t="s">
        <v>215</v>
      </c>
      <c r="E25" t="s">
        <v>115</v>
      </c>
      <c r="G25" t="s">
        <v>16</v>
      </c>
      <c r="H25" t="s">
        <v>17</v>
      </c>
      <c r="I25">
        <v>1946</v>
      </c>
      <c r="J25" t="s">
        <v>161</v>
      </c>
      <c r="K25">
        <v>0</v>
      </c>
      <c r="R25" t="s">
        <v>162</v>
      </c>
      <c r="S25">
        <v>3250</v>
      </c>
      <c r="W25">
        <v>33536</v>
      </c>
      <c r="X25">
        <v>1006</v>
      </c>
      <c r="Z25" t="s">
        <v>117</v>
      </c>
      <c r="AA25" t="s">
        <v>163</v>
      </c>
      <c r="AB25" t="s">
        <v>216</v>
      </c>
      <c r="AC25">
        <v>107</v>
      </c>
      <c r="AD25" t="s">
        <v>213</v>
      </c>
    </row>
    <row r="26" spans="1:30" ht="15" customHeight="1" x14ac:dyDescent="0.25">
      <c r="A26">
        <v>116</v>
      </c>
      <c r="B26" t="s">
        <v>217</v>
      </c>
      <c r="C26" t="s">
        <v>218</v>
      </c>
      <c r="D26" t="s">
        <v>219</v>
      </c>
      <c r="E26" t="s">
        <v>115</v>
      </c>
      <c r="G26" t="s">
        <v>16</v>
      </c>
      <c r="H26" t="s">
        <v>17</v>
      </c>
      <c r="I26">
        <v>180</v>
      </c>
      <c r="J26" t="s">
        <v>161</v>
      </c>
      <c r="K26">
        <v>0</v>
      </c>
      <c r="R26" t="s">
        <v>162</v>
      </c>
      <c r="S26">
        <v>180</v>
      </c>
      <c r="W26">
        <v>33536</v>
      </c>
      <c r="X26">
        <v>1006</v>
      </c>
      <c r="Z26" t="s">
        <v>117</v>
      </c>
      <c r="AA26" t="s">
        <v>163</v>
      </c>
      <c r="AB26" t="s">
        <v>220</v>
      </c>
      <c r="AC26">
        <v>116</v>
      </c>
      <c r="AD26" t="s">
        <v>217</v>
      </c>
    </row>
    <row r="27" spans="1:30" ht="15" customHeight="1" x14ac:dyDescent="0.25">
      <c r="A27">
        <v>340</v>
      </c>
      <c r="B27" t="s">
        <v>221</v>
      </c>
      <c r="C27" t="s">
        <v>222</v>
      </c>
      <c r="D27" t="s">
        <v>223</v>
      </c>
      <c r="E27" t="s">
        <v>115</v>
      </c>
      <c r="G27" t="s">
        <v>7</v>
      </c>
      <c r="H27" t="s">
        <v>25</v>
      </c>
      <c r="I27">
        <v>7495</v>
      </c>
      <c r="R27" t="s">
        <v>116</v>
      </c>
      <c r="S27">
        <v>7495</v>
      </c>
      <c r="Z27" t="s">
        <v>117</v>
      </c>
      <c r="AA27" t="s">
        <v>118</v>
      </c>
      <c r="AB27" t="s">
        <v>224</v>
      </c>
      <c r="AC27">
        <v>340</v>
      </c>
      <c r="AD27" t="s">
        <v>221</v>
      </c>
    </row>
    <row r="28" spans="1:30" ht="15" customHeight="1" x14ac:dyDescent="0.25">
      <c r="A28">
        <v>124</v>
      </c>
      <c r="B28" t="s">
        <v>225</v>
      </c>
      <c r="C28" t="s">
        <v>226</v>
      </c>
      <c r="D28" t="s">
        <v>227</v>
      </c>
      <c r="E28" t="s">
        <v>115</v>
      </c>
      <c r="G28" t="s">
        <v>16</v>
      </c>
      <c r="H28" t="s">
        <v>17</v>
      </c>
      <c r="I28">
        <v>13096</v>
      </c>
      <c r="J28" t="s">
        <v>172</v>
      </c>
      <c r="K28">
        <v>0</v>
      </c>
      <c r="S28">
        <v>58800</v>
      </c>
      <c r="V28">
        <v>3</v>
      </c>
      <c r="W28">
        <v>33536</v>
      </c>
      <c r="X28">
        <v>1006</v>
      </c>
      <c r="Z28" t="s">
        <v>173</v>
      </c>
      <c r="AA28" t="s">
        <v>228</v>
      </c>
      <c r="AB28" t="s">
        <v>229</v>
      </c>
      <c r="AC28">
        <v>124</v>
      </c>
      <c r="AD28" t="s">
        <v>225</v>
      </c>
    </row>
    <row r="29" spans="1:30" ht="15" customHeight="1" x14ac:dyDescent="0.25">
      <c r="A29">
        <v>122</v>
      </c>
      <c r="B29" t="s">
        <v>230</v>
      </c>
      <c r="C29" t="s">
        <v>231</v>
      </c>
      <c r="D29" t="s">
        <v>227</v>
      </c>
      <c r="E29" t="s">
        <v>115</v>
      </c>
      <c r="G29" t="s">
        <v>16</v>
      </c>
      <c r="H29" t="s">
        <v>17</v>
      </c>
      <c r="I29">
        <v>1159</v>
      </c>
      <c r="J29" t="s">
        <v>161</v>
      </c>
      <c r="K29">
        <v>0</v>
      </c>
      <c r="R29" t="s">
        <v>162</v>
      </c>
      <c r="S29">
        <v>58800</v>
      </c>
      <c r="W29">
        <v>33536</v>
      </c>
      <c r="X29">
        <v>1006</v>
      </c>
      <c r="Z29" t="s">
        <v>117</v>
      </c>
      <c r="AA29" t="s">
        <v>163</v>
      </c>
      <c r="AB29" t="s">
        <v>232</v>
      </c>
      <c r="AC29">
        <v>122</v>
      </c>
      <c r="AD29" t="s">
        <v>230</v>
      </c>
    </row>
    <row r="30" spans="1:30" ht="15" customHeight="1" x14ac:dyDescent="0.25">
      <c r="A30">
        <v>131</v>
      </c>
      <c r="B30" t="s">
        <v>233</v>
      </c>
      <c r="C30" t="s">
        <v>234</v>
      </c>
      <c r="D30" t="s">
        <v>227</v>
      </c>
      <c r="E30" t="s">
        <v>115</v>
      </c>
      <c r="G30" t="s">
        <v>16</v>
      </c>
      <c r="H30" t="s">
        <v>17</v>
      </c>
      <c r="I30">
        <v>1248</v>
      </c>
      <c r="J30" t="s">
        <v>172</v>
      </c>
      <c r="K30">
        <v>0</v>
      </c>
      <c r="S30">
        <v>58800</v>
      </c>
      <c r="W30">
        <v>33536</v>
      </c>
      <c r="X30">
        <v>1006</v>
      </c>
      <c r="Z30" t="s">
        <v>173</v>
      </c>
      <c r="AA30" t="s">
        <v>228</v>
      </c>
      <c r="AB30" t="s">
        <v>235</v>
      </c>
      <c r="AC30">
        <v>131</v>
      </c>
      <c r="AD30" t="s">
        <v>233</v>
      </c>
    </row>
    <row r="31" spans="1:30" ht="15" customHeight="1" x14ac:dyDescent="0.25">
      <c r="A31">
        <v>121</v>
      </c>
      <c r="B31" t="s">
        <v>236</v>
      </c>
      <c r="C31" t="s">
        <v>237</v>
      </c>
      <c r="D31" t="s">
        <v>227</v>
      </c>
      <c r="E31" t="s">
        <v>115</v>
      </c>
      <c r="G31" t="s">
        <v>16</v>
      </c>
      <c r="H31" t="s">
        <v>17</v>
      </c>
      <c r="I31">
        <v>6603</v>
      </c>
      <c r="J31" t="s">
        <v>161</v>
      </c>
      <c r="K31">
        <v>0</v>
      </c>
      <c r="R31" t="s">
        <v>162</v>
      </c>
      <c r="S31">
        <v>58800</v>
      </c>
      <c r="W31">
        <v>33536</v>
      </c>
      <c r="X31">
        <v>1006</v>
      </c>
      <c r="Z31" t="s">
        <v>117</v>
      </c>
      <c r="AA31" t="s">
        <v>163</v>
      </c>
      <c r="AB31" t="s">
        <v>238</v>
      </c>
      <c r="AC31">
        <v>121</v>
      </c>
      <c r="AD31" t="s">
        <v>236</v>
      </c>
    </row>
    <row r="32" spans="1:30" ht="15" customHeight="1" x14ac:dyDescent="0.25">
      <c r="A32">
        <v>123</v>
      </c>
      <c r="B32" t="s">
        <v>239</v>
      </c>
      <c r="C32" t="s">
        <v>240</v>
      </c>
      <c r="D32" t="s">
        <v>227</v>
      </c>
      <c r="E32" t="s">
        <v>115</v>
      </c>
      <c r="G32" t="s">
        <v>16</v>
      </c>
      <c r="H32" t="s">
        <v>17</v>
      </c>
      <c r="I32">
        <v>36694</v>
      </c>
      <c r="K32">
        <v>0</v>
      </c>
      <c r="S32">
        <v>58800</v>
      </c>
      <c r="V32">
        <v>6</v>
      </c>
      <c r="W32">
        <v>33536</v>
      </c>
      <c r="X32">
        <v>1006</v>
      </c>
      <c r="Z32" t="s">
        <v>117</v>
      </c>
      <c r="AA32" t="s">
        <v>185</v>
      </c>
      <c r="AB32" t="s">
        <v>241</v>
      </c>
      <c r="AC32">
        <v>123</v>
      </c>
      <c r="AD32" t="s">
        <v>239</v>
      </c>
    </row>
    <row r="33" spans="1:30" ht="15" customHeight="1" x14ac:dyDescent="0.25">
      <c r="A33">
        <v>341</v>
      </c>
      <c r="B33" t="s">
        <v>242</v>
      </c>
      <c r="C33" t="s">
        <v>243</v>
      </c>
      <c r="D33" t="s">
        <v>244</v>
      </c>
      <c r="E33" t="s">
        <v>115</v>
      </c>
      <c r="G33" t="s">
        <v>7</v>
      </c>
      <c r="H33" t="s">
        <v>25</v>
      </c>
      <c r="I33">
        <v>16405</v>
      </c>
      <c r="R33" t="s">
        <v>116</v>
      </c>
      <c r="S33">
        <v>16405</v>
      </c>
      <c r="Z33" t="s">
        <v>117</v>
      </c>
      <c r="AA33" t="s">
        <v>118</v>
      </c>
      <c r="AB33" t="s">
        <v>245</v>
      </c>
      <c r="AC33">
        <v>341</v>
      </c>
      <c r="AD33" t="s">
        <v>242</v>
      </c>
    </row>
    <row r="34" spans="1:30" ht="15" customHeight="1" x14ac:dyDescent="0.25">
      <c r="A34">
        <v>114</v>
      </c>
      <c r="B34" t="s">
        <v>246</v>
      </c>
      <c r="C34" t="s">
        <v>247</v>
      </c>
      <c r="D34" t="s">
        <v>248</v>
      </c>
      <c r="E34" t="s">
        <v>115</v>
      </c>
      <c r="G34" t="s">
        <v>16</v>
      </c>
      <c r="H34" t="s">
        <v>17</v>
      </c>
      <c r="I34">
        <v>15445</v>
      </c>
      <c r="J34" t="s">
        <v>161</v>
      </c>
      <c r="K34">
        <v>0</v>
      </c>
      <c r="R34" t="s">
        <v>162</v>
      </c>
      <c r="S34">
        <v>18545</v>
      </c>
      <c r="W34">
        <v>33536</v>
      </c>
      <c r="X34">
        <v>1006</v>
      </c>
      <c r="Z34" t="s">
        <v>117</v>
      </c>
      <c r="AA34" t="s">
        <v>163</v>
      </c>
      <c r="AB34" t="s">
        <v>249</v>
      </c>
      <c r="AC34">
        <v>114</v>
      </c>
      <c r="AD34" t="s">
        <v>246</v>
      </c>
    </row>
    <row r="35" spans="1:30" ht="15" customHeight="1" x14ac:dyDescent="0.25">
      <c r="A35">
        <v>126</v>
      </c>
      <c r="B35" t="s">
        <v>250</v>
      </c>
      <c r="C35" t="s">
        <v>251</v>
      </c>
      <c r="D35" t="s">
        <v>248</v>
      </c>
      <c r="E35" t="s">
        <v>115</v>
      </c>
      <c r="G35" t="s">
        <v>16</v>
      </c>
      <c r="H35" t="s">
        <v>17</v>
      </c>
      <c r="I35">
        <v>3100</v>
      </c>
      <c r="K35">
        <v>0</v>
      </c>
      <c r="S35">
        <v>18545</v>
      </c>
      <c r="W35">
        <v>33536</v>
      </c>
      <c r="X35">
        <v>1006</v>
      </c>
      <c r="Z35" t="s">
        <v>117</v>
      </c>
      <c r="AA35" t="s">
        <v>185</v>
      </c>
      <c r="AB35" t="s">
        <v>252</v>
      </c>
      <c r="AC35">
        <v>126</v>
      </c>
      <c r="AD35" t="s">
        <v>250</v>
      </c>
    </row>
    <row r="36" spans="1:30" ht="15" customHeight="1" x14ac:dyDescent="0.25">
      <c r="A36">
        <v>109</v>
      </c>
      <c r="B36" t="s">
        <v>253</v>
      </c>
      <c r="C36" t="s">
        <v>254</v>
      </c>
      <c r="D36" t="s">
        <v>255</v>
      </c>
      <c r="E36" t="s">
        <v>115</v>
      </c>
      <c r="G36" t="s">
        <v>16</v>
      </c>
      <c r="H36" t="s">
        <v>17</v>
      </c>
      <c r="I36">
        <v>2111</v>
      </c>
      <c r="J36" t="s">
        <v>172</v>
      </c>
      <c r="K36">
        <v>0</v>
      </c>
      <c r="S36">
        <v>2915</v>
      </c>
      <c r="W36">
        <v>33536</v>
      </c>
      <c r="X36">
        <v>1006</v>
      </c>
      <c r="Z36" t="s">
        <v>173</v>
      </c>
      <c r="AA36" t="s">
        <v>256</v>
      </c>
      <c r="AB36" t="s">
        <v>257</v>
      </c>
      <c r="AC36">
        <v>109</v>
      </c>
      <c r="AD36" t="s">
        <v>253</v>
      </c>
    </row>
    <row r="37" spans="1:30" ht="15" customHeight="1" x14ac:dyDescent="0.25">
      <c r="A37">
        <v>115</v>
      </c>
      <c r="B37" t="s">
        <v>258</v>
      </c>
      <c r="C37" t="s">
        <v>259</v>
      </c>
      <c r="D37" t="s">
        <v>255</v>
      </c>
      <c r="E37" t="s">
        <v>115</v>
      </c>
      <c r="G37" t="s">
        <v>16</v>
      </c>
      <c r="H37" t="s">
        <v>17</v>
      </c>
      <c r="I37">
        <v>804</v>
      </c>
      <c r="J37" t="s">
        <v>161</v>
      </c>
      <c r="K37">
        <v>0</v>
      </c>
      <c r="R37" t="s">
        <v>162</v>
      </c>
      <c r="S37">
        <v>2915</v>
      </c>
      <c r="W37">
        <v>33536</v>
      </c>
      <c r="X37">
        <v>1006</v>
      </c>
      <c r="Z37" t="s">
        <v>117</v>
      </c>
      <c r="AA37" t="s">
        <v>163</v>
      </c>
      <c r="AB37" t="s">
        <v>260</v>
      </c>
      <c r="AC37">
        <v>115</v>
      </c>
      <c r="AD37" t="s">
        <v>258</v>
      </c>
    </row>
    <row r="38" spans="1:30" ht="15" customHeight="1" x14ac:dyDescent="0.25">
      <c r="A38">
        <v>97</v>
      </c>
      <c r="B38" t="s">
        <v>261</v>
      </c>
      <c r="C38" t="s">
        <v>262</v>
      </c>
      <c r="D38" t="s">
        <v>263</v>
      </c>
      <c r="E38" t="s">
        <v>115</v>
      </c>
      <c r="G38" t="s">
        <v>16</v>
      </c>
      <c r="H38" t="s">
        <v>17</v>
      </c>
      <c r="I38">
        <v>3310</v>
      </c>
      <c r="J38" t="s">
        <v>172</v>
      </c>
      <c r="K38">
        <v>0</v>
      </c>
      <c r="S38">
        <v>3310</v>
      </c>
      <c r="W38">
        <v>33536</v>
      </c>
      <c r="X38">
        <v>1006</v>
      </c>
      <c r="Z38" t="s">
        <v>173</v>
      </c>
      <c r="AA38" t="s">
        <v>264</v>
      </c>
      <c r="AB38" t="s">
        <v>265</v>
      </c>
      <c r="AC38">
        <v>97</v>
      </c>
      <c r="AD38" t="s">
        <v>261</v>
      </c>
    </row>
    <row r="39" spans="1:30" ht="15" customHeight="1" x14ac:dyDescent="0.25">
      <c r="A39">
        <v>79</v>
      </c>
      <c r="B39" t="s">
        <v>266</v>
      </c>
      <c r="C39" t="s">
        <v>267</v>
      </c>
      <c r="D39" t="s">
        <v>268</v>
      </c>
      <c r="E39" t="s">
        <v>115</v>
      </c>
      <c r="G39" t="s">
        <v>16</v>
      </c>
      <c r="H39" t="s">
        <v>17</v>
      </c>
      <c r="I39">
        <v>7071</v>
      </c>
      <c r="J39" t="s">
        <v>161</v>
      </c>
      <c r="K39">
        <v>0</v>
      </c>
      <c r="S39">
        <v>7430</v>
      </c>
      <c r="W39">
        <v>33536</v>
      </c>
      <c r="X39">
        <v>1006</v>
      </c>
      <c r="Z39" t="s">
        <v>117</v>
      </c>
      <c r="AA39" t="s">
        <v>269</v>
      </c>
      <c r="AB39" t="s">
        <v>270</v>
      </c>
      <c r="AC39">
        <v>79</v>
      </c>
      <c r="AD39" t="s">
        <v>266</v>
      </c>
    </row>
    <row r="40" spans="1:30" ht="15" customHeight="1" x14ac:dyDescent="0.25">
      <c r="A40">
        <v>65</v>
      </c>
      <c r="B40" t="s">
        <v>271</v>
      </c>
      <c r="C40" t="s">
        <v>272</v>
      </c>
      <c r="D40" t="s">
        <v>273</v>
      </c>
      <c r="E40" t="s">
        <v>115</v>
      </c>
      <c r="G40" t="s">
        <v>16</v>
      </c>
      <c r="H40" t="s">
        <v>17</v>
      </c>
      <c r="I40">
        <v>1233</v>
      </c>
      <c r="J40" t="s">
        <v>161</v>
      </c>
      <c r="K40">
        <v>0</v>
      </c>
      <c r="S40">
        <v>3270</v>
      </c>
      <c r="W40">
        <v>33536</v>
      </c>
      <c r="X40">
        <v>1006</v>
      </c>
      <c r="Z40" t="s">
        <v>117</v>
      </c>
      <c r="AA40" t="s">
        <v>163</v>
      </c>
      <c r="AB40" t="s">
        <v>274</v>
      </c>
      <c r="AC40">
        <v>65</v>
      </c>
      <c r="AD40" t="s">
        <v>271</v>
      </c>
    </row>
    <row r="41" spans="1:30" ht="15" customHeight="1" x14ac:dyDescent="0.25">
      <c r="A41">
        <v>72</v>
      </c>
      <c r="B41" t="s">
        <v>275</v>
      </c>
      <c r="C41" t="s">
        <v>276</v>
      </c>
      <c r="D41" t="s">
        <v>273</v>
      </c>
      <c r="E41" t="s">
        <v>115</v>
      </c>
      <c r="G41" t="s">
        <v>16</v>
      </c>
      <c r="H41" t="s">
        <v>17</v>
      </c>
      <c r="I41">
        <v>2037</v>
      </c>
      <c r="J41" t="s">
        <v>172</v>
      </c>
      <c r="K41">
        <v>0</v>
      </c>
      <c r="S41">
        <v>3270</v>
      </c>
      <c r="W41">
        <v>33536</v>
      </c>
      <c r="X41">
        <v>1006</v>
      </c>
      <c r="Z41" t="s">
        <v>173</v>
      </c>
      <c r="AA41" t="s">
        <v>264</v>
      </c>
      <c r="AB41" t="s">
        <v>277</v>
      </c>
      <c r="AC41">
        <v>72</v>
      </c>
      <c r="AD41" t="s">
        <v>275</v>
      </c>
    </row>
    <row r="42" spans="1:30" ht="15" customHeight="1" x14ac:dyDescent="0.25">
      <c r="A42">
        <v>63</v>
      </c>
      <c r="B42" t="s">
        <v>278</v>
      </c>
      <c r="C42" t="s">
        <v>279</v>
      </c>
      <c r="D42" t="s">
        <v>280</v>
      </c>
      <c r="E42" t="s">
        <v>115</v>
      </c>
      <c r="G42" t="s">
        <v>16</v>
      </c>
      <c r="H42" t="s">
        <v>17</v>
      </c>
      <c r="I42">
        <v>5324</v>
      </c>
      <c r="J42" t="s">
        <v>172</v>
      </c>
      <c r="K42">
        <v>0</v>
      </c>
      <c r="S42">
        <v>7950</v>
      </c>
      <c r="W42">
        <v>33536</v>
      </c>
      <c r="X42">
        <v>1006</v>
      </c>
      <c r="Z42" t="s">
        <v>173</v>
      </c>
      <c r="AA42" t="s">
        <v>264</v>
      </c>
      <c r="AB42" t="s">
        <v>281</v>
      </c>
      <c r="AC42">
        <v>63</v>
      </c>
      <c r="AD42" t="s">
        <v>278</v>
      </c>
    </row>
    <row r="43" spans="1:30" ht="15" customHeight="1" x14ac:dyDescent="0.25">
      <c r="A43">
        <v>76</v>
      </c>
      <c r="B43" t="s">
        <v>282</v>
      </c>
      <c r="C43" t="s">
        <v>283</v>
      </c>
      <c r="D43" t="s">
        <v>280</v>
      </c>
      <c r="E43" t="s">
        <v>115</v>
      </c>
      <c r="G43" t="s">
        <v>16</v>
      </c>
      <c r="H43" t="s">
        <v>17</v>
      </c>
      <c r="I43">
        <v>2626</v>
      </c>
      <c r="J43" t="s">
        <v>161</v>
      </c>
      <c r="K43">
        <v>0</v>
      </c>
      <c r="S43">
        <v>7950</v>
      </c>
      <c r="W43">
        <v>33536</v>
      </c>
      <c r="X43">
        <v>1006</v>
      </c>
      <c r="Z43" t="s">
        <v>117</v>
      </c>
      <c r="AA43" t="s">
        <v>269</v>
      </c>
      <c r="AB43" t="s">
        <v>284</v>
      </c>
      <c r="AC43">
        <v>76</v>
      </c>
      <c r="AD43" t="s">
        <v>282</v>
      </c>
    </row>
    <row r="44" spans="1:30" ht="15" customHeight="1" x14ac:dyDescent="0.25">
      <c r="A44">
        <v>89</v>
      </c>
      <c r="B44" t="s">
        <v>285</v>
      </c>
      <c r="C44" t="s">
        <v>286</v>
      </c>
      <c r="D44" t="s">
        <v>287</v>
      </c>
      <c r="E44" t="s">
        <v>115</v>
      </c>
      <c r="G44" t="s">
        <v>16</v>
      </c>
      <c r="H44" t="s">
        <v>17</v>
      </c>
      <c r="I44">
        <v>55125</v>
      </c>
      <c r="K44">
        <v>0</v>
      </c>
      <c r="S44">
        <v>144085</v>
      </c>
      <c r="V44">
        <v>7</v>
      </c>
      <c r="W44">
        <v>33536</v>
      </c>
      <c r="X44">
        <v>1006</v>
      </c>
      <c r="Z44" t="s">
        <v>117</v>
      </c>
      <c r="AA44" t="s">
        <v>185</v>
      </c>
      <c r="AB44" t="s">
        <v>288</v>
      </c>
      <c r="AC44">
        <v>89</v>
      </c>
      <c r="AD44" t="s">
        <v>285</v>
      </c>
    </row>
    <row r="45" spans="1:30" ht="15" customHeight="1" x14ac:dyDescent="0.25">
      <c r="A45">
        <v>86</v>
      </c>
      <c r="B45" t="s">
        <v>289</v>
      </c>
      <c r="C45" t="s">
        <v>290</v>
      </c>
      <c r="D45" t="s">
        <v>287</v>
      </c>
      <c r="E45" t="s">
        <v>115</v>
      </c>
      <c r="G45" t="s">
        <v>16</v>
      </c>
      <c r="H45" t="s">
        <v>17</v>
      </c>
      <c r="I45">
        <v>837</v>
      </c>
      <c r="J45" t="s">
        <v>161</v>
      </c>
      <c r="K45">
        <v>0</v>
      </c>
      <c r="S45">
        <v>144085</v>
      </c>
      <c r="W45">
        <v>33536</v>
      </c>
      <c r="X45">
        <v>1006</v>
      </c>
      <c r="Z45" t="s">
        <v>117</v>
      </c>
      <c r="AA45" t="s">
        <v>163</v>
      </c>
      <c r="AB45" t="s">
        <v>291</v>
      </c>
      <c r="AC45">
        <v>86</v>
      </c>
      <c r="AD45" t="s">
        <v>289</v>
      </c>
    </row>
    <row r="46" spans="1:30" ht="15" customHeight="1" x14ac:dyDescent="0.25">
      <c r="A46">
        <v>88</v>
      </c>
      <c r="B46" t="s">
        <v>292</v>
      </c>
      <c r="C46" t="s">
        <v>293</v>
      </c>
      <c r="D46" t="s">
        <v>287</v>
      </c>
      <c r="E46" t="s">
        <v>115</v>
      </c>
      <c r="G46" t="s">
        <v>16</v>
      </c>
      <c r="H46" t="s">
        <v>17</v>
      </c>
      <c r="I46">
        <v>6200</v>
      </c>
      <c r="K46">
        <v>0</v>
      </c>
      <c r="S46">
        <v>144085</v>
      </c>
      <c r="W46">
        <v>33536</v>
      </c>
      <c r="X46">
        <v>1006</v>
      </c>
      <c r="Z46" t="s">
        <v>117</v>
      </c>
      <c r="AA46" t="s">
        <v>185</v>
      </c>
      <c r="AB46" t="s">
        <v>294</v>
      </c>
      <c r="AC46">
        <v>88</v>
      </c>
      <c r="AD46" t="s">
        <v>292</v>
      </c>
    </row>
    <row r="47" spans="1:30" ht="15" customHeight="1" x14ac:dyDescent="0.25">
      <c r="A47">
        <v>108</v>
      </c>
      <c r="B47" t="s">
        <v>295</v>
      </c>
      <c r="C47" t="s">
        <v>296</v>
      </c>
      <c r="D47" t="s">
        <v>287</v>
      </c>
      <c r="E47" t="s">
        <v>115</v>
      </c>
      <c r="G47" t="s">
        <v>16</v>
      </c>
      <c r="H47" t="s">
        <v>17</v>
      </c>
      <c r="I47">
        <v>2574</v>
      </c>
      <c r="J47" t="s">
        <v>161</v>
      </c>
      <c r="K47">
        <v>0</v>
      </c>
      <c r="R47" t="s">
        <v>162</v>
      </c>
      <c r="S47">
        <v>144085</v>
      </c>
      <c r="W47">
        <v>33536</v>
      </c>
      <c r="X47">
        <v>1006</v>
      </c>
      <c r="Z47" t="s">
        <v>117</v>
      </c>
      <c r="AA47" t="s">
        <v>163</v>
      </c>
      <c r="AB47" t="s">
        <v>297</v>
      </c>
      <c r="AC47">
        <v>108</v>
      </c>
      <c r="AD47" t="s">
        <v>295</v>
      </c>
    </row>
    <row r="48" spans="1:30" ht="15" customHeight="1" x14ac:dyDescent="0.25">
      <c r="A48">
        <v>90</v>
      </c>
      <c r="B48" t="s">
        <v>298</v>
      </c>
      <c r="C48" t="s">
        <v>299</v>
      </c>
      <c r="D48" t="s">
        <v>287</v>
      </c>
      <c r="E48" t="s">
        <v>115</v>
      </c>
      <c r="G48" t="s">
        <v>16</v>
      </c>
      <c r="H48" t="s">
        <v>17</v>
      </c>
      <c r="I48">
        <v>75683</v>
      </c>
      <c r="J48" t="s">
        <v>161</v>
      </c>
      <c r="K48">
        <v>0</v>
      </c>
      <c r="R48" t="s">
        <v>300</v>
      </c>
      <c r="S48">
        <v>144085</v>
      </c>
      <c r="W48">
        <v>33536</v>
      </c>
      <c r="X48">
        <v>1006</v>
      </c>
      <c r="Z48" t="s">
        <v>117</v>
      </c>
      <c r="AA48" t="s">
        <v>301</v>
      </c>
      <c r="AB48" t="s">
        <v>302</v>
      </c>
      <c r="AC48">
        <v>90</v>
      </c>
      <c r="AD48" t="s">
        <v>298</v>
      </c>
    </row>
    <row r="49" spans="1:30" ht="15" customHeight="1" x14ac:dyDescent="0.25">
      <c r="A49">
        <v>95</v>
      </c>
      <c r="B49" t="s">
        <v>303</v>
      </c>
      <c r="C49" t="s">
        <v>304</v>
      </c>
      <c r="D49" t="s">
        <v>287</v>
      </c>
      <c r="E49" t="s">
        <v>115</v>
      </c>
      <c r="G49" t="s">
        <v>16</v>
      </c>
      <c r="H49" t="s">
        <v>17</v>
      </c>
      <c r="I49">
        <v>2279</v>
      </c>
      <c r="J49" t="s">
        <v>172</v>
      </c>
      <c r="K49">
        <v>0</v>
      </c>
      <c r="S49">
        <v>144085</v>
      </c>
      <c r="W49">
        <v>33536</v>
      </c>
      <c r="X49">
        <v>1006</v>
      </c>
      <c r="Z49" t="s">
        <v>173</v>
      </c>
      <c r="AA49" t="s">
        <v>256</v>
      </c>
      <c r="AB49" t="s">
        <v>305</v>
      </c>
      <c r="AC49">
        <v>95</v>
      </c>
      <c r="AD49" t="s">
        <v>303</v>
      </c>
    </row>
    <row r="50" spans="1:30" ht="15" customHeight="1" x14ac:dyDescent="0.25">
      <c r="A50">
        <v>120</v>
      </c>
      <c r="B50" t="s">
        <v>306</v>
      </c>
      <c r="C50" t="s">
        <v>307</v>
      </c>
      <c r="D50" t="s">
        <v>308</v>
      </c>
      <c r="E50" t="s">
        <v>115</v>
      </c>
      <c r="G50" t="s">
        <v>16</v>
      </c>
      <c r="H50" t="s">
        <v>17</v>
      </c>
      <c r="I50">
        <v>24418</v>
      </c>
      <c r="J50" t="s">
        <v>172</v>
      </c>
      <c r="K50">
        <v>0</v>
      </c>
      <c r="S50">
        <v>26960</v>
      </c>
      <c r="V50">
        <v>3</v>
      </c>
      <c r="W50">
        <v>33536</v>
      </c>
      <c r="X50">
        <v>1006</v>
      </c>
      <c r="Z50" t="s">
        <v>173</v>
      </c>
      <c r="AA50" t="s">
        <v>228</v>
      </c>
      <c r="AB50" t="s">
        <v>309</v>
      </c>
      <c r="AC50">
        <v>120</v>
      </c>
      <c r="AD50" t="s">
        <v>306</v>
      </c>
    </row>
    <row r="51" spans="1:30" ht="15" customHeight="1" x14ac:dyDescent="0.25">
      <c r="A51">
        <v>127</v>
      </c>
      <c r="B51" t="s">
        <v>310</v>
      </c>
      <c r="C51" t="s">
        <v>311</v>
      </c>
      <c r="D51" t="s">
        <v>308</v>
      </c>
      <c r="E51" t="s">
        <v>115</v>
      </c>
      <c r="G51" t="s">
        <v>16</v>
      </c>
      <c r="H51" t="s">
        <v>17</v>
      </c>
      <c r="I51">
        <v>2542</v>
      </c>
      <c r="J51" t="s">
        <v>172</v>
      </c>
      <c r="K51">
        <v>0</v>
      </c>
      <c r="S51">
        <v>26960</v>
      </c>
      <c r="W51">
        <v>33536</v>
      </c>
      <c r="X51">
        <v>1006</v>
      </c>
      <c r="Z51" t="s">
        <v>173</v>
      </c>
      <c r="AA51" t="s">
        <v>228</v>
      </c>
      <c r="AB51" t="s">
        <v>312</v>
      </c>
      <c r="AC51">
        <v>127</v>
      </c>
      <c r="AD51" t="s">
        <v>310</v>
      </c>
    </row>
    <row r="52" spans="1:30" ht="15" customHeight="1" x14ac:dyDescent="0.25">
      <c r="A52">
        <v>84</v>
      </c>
      <c r="B52" t="s">
        <v>313</v>
      </c>
      <c r="C52" t="s">
        <v>314</v>
      </c>
      <c r="D52" t="s">
        <v>315</v>
      </c>
      <c r="E52" t="s">
        <v>115</v>
      </c>
      <c r="G52" t="s">
        <v>16</v>
      </c>
      <c r="H52" t="s">
        <v>17</v>
      </c>
      <c r="I52">
        <v>10900</v>
      </c>
      <c r="J52" t="s">
        <v>161</v>
      </c>
      <c r="K52">
        <v>0</v>
      </c>
      <c r="R52" t="s">
        <v>300</v>
      </c>
      <c r="S52">
        <v>10900</v>
      </c>
      <c r="W52">
        <v>33536</v>
      </c>
      <c r="X52">
        <v>1006</v>
      </c>
      <c r="Z52" t="s">
        <v>117</v>
      </c>
      <c r="AA52" t="s">
        <v>301</v>
      </c>
      <c r="AB52" t="s">
        <v>316</v>
      </c>
      <c r="AC52">
        <v>84</v>
      </c>
      <c r="AD52" t="s">
        <v>313</v>
      </c>
    </row>
    <row r="53" spans="1:30" ht="15" customHeight="1" x14ac:dyDescent="0.25">
      <c r="A53">
        <v>71</v>
      </c>
      <c r="B53" t="s">
        <v>317</v>
      </c>
      <c r="C53" t="s">
        <v>318</v>
      </c>
      <c r="D53" t="s">
        <v>319</v>
      </c>
      <c r="E53" t="s">
        <v>115</v>
      </c>
      <c r="G53" t="s">
        <v>16</v>
      </c>
      <c r="H53" t="s">
        <v>17</v>
      </c>
      <c r="I53">
        <v>10562</v>
      </c>
      <c r="J53" t="s">
        <v>172</v>
      </c>
      <c r="K53">
        <v>0</v>
      </c>
      <c r="S53">
        <v>20140</v>
      </c>
      <c r="W53">
        <v>33536</v>
      </c>
      <c r="X53">
        <v>1006</v>
      </c>
      <c r="Z53" t="s">
        <v>173</v>
      </c>
      <c r="AA53" t="s">
        <v>256</v>
      </c>
      <c r="AB53" t="s">
        <v>320</v>
      </c>
      <c r="AC53">
        <v>71</v>
      </c>
      <c r="AD53" t="s">
        <v>317</v>
      </c>
    </row>
    <row r="54" spans="1:30" ht="15" customHeight="1" x14ac:dyDescent="0.25">
      <c r="A54">
        <v>57</v>
      </c>
      <c r="B54" t="s">
        <v>321</v>
      </c>
      <c r="C54" t="s">
        <v>322</v>
      </c>
      <c r="D54" t="s">
        <v>319</v>
      </c>
      <c r="E54" t="s">
        <v>115</v>
      </c>
      <c r="G54" t="s">
        <v>16</v>
      </c>
      <c r="H54" t="s">
        <v>17</v>
      </c>
      <c r="I54">
        <v>4083</v>
      </c>
      <c r="J54" t="s">
        <v>161</v>
      </c>
      <c r="K54">
        <v>0</v>
      </c>
      <c r="S54">
        <v>20140</v>
      </c>
      <c r="W54">
        <v>33536</v>
      </c>
      <c r="X54">
        <v>1006</v>
      </c>
      <c r="Z54" t="s">
        <v>117</v>
      </c>
      <c r="AA54" t="s">
        <v>269</v>
      </c>
      <c r="AB54" t="s">
        <v>323</v>
      </c>
      <c r="AC54">
        <v>57</v>
      </c>
      <c r="AD54" t="s">
        <v>321</v>
      </c>
    </row>
    <row r="55" spans="1:30" ht="15" customHeight="1" x14ac:dyDescent="0.25">
      <c r="A55">
        <v>60</v>
      </c>
      <c r="B55" t="s">
        <v>324</v>
      </c>
      <c r="C55" t="s">
        <v>325</v>
      </c>
      <c r="D55" t="s">
        <v>319</v>
      </c>
      <c r="E55" t="s">
        <v>115</v>
      </c>
      <c r="G55" t="s">
        <v>16</v>
      </c>
      <c r="H55" t="s">
        <v>17</v>
      </c>
      <c r="I55">
        <v>4962</v>
      </c>
      <c r="J55" t="s">
        <v>161</v>
      </c>
      <c r="K55">
        <v>0</v>
      </c>
      <c r="R55" t="s">
        <v>326</v>
      </c>
      <c r="S55">
        <v>20140</v>
      </c>
      <c r="V55">
        <v>1</v>
      </c>
      <c r="W55">
        <v>33536</v>
      </c>
      <c r="X55">
        <v>1006</v>
      </c>
      <c r="Z55" t="s">
        <v>117</v>
      </c>
      <c r="AA55" t="s">
        <v>327</v>
      </c>
      <c r="AB55" t="s">
        <v>328</v>
      </c>
      <c r="AC55">
        <v>60</v>
      </c>
      <c r="AD55" t="s">
        <v>324</v>
      </c>
    </row>
    <row r="56" spans="1:30" ht="15" customHeight="1" x14ac:dyDescent="0.25">
      <c r="A56">
        <v>77</v>
      </c>
      <c r="B56" t="s">
        <v>329</v>
      </c>
      <c r="C56" t="s">
        <v>330</v>
      </c>
      <c r="D56" t="s">
        <v>331</v>
      </c>
      <c r="E56" t="s">
        <v>115</v>
      </c>
      <c r="G56" t="s">
        <v>16</v>
      </c>
      <c r="H56" t="s">
        <v>17</v>
      </c>
      <c r="I56">
        <v>3626</v>
      </c>
      <c r="J56" t="s">
        <v>172</v>
      </c>
      <c r="K56">
        <v>0</v>
      </c>
      <c r="S56">
        <v>8680</v>
      </c>
      <c r="W56">
        <v>33536</v>
      </c>
      <c r="X56">
        <v>1006</v>
      </c>
      <c r="Z56" t="s">
        <v>173</v>
      </c>
      <c r="AA56" t="s">
        <v>256</v>
      </c>
      <c r="AB56" t="s">
        <v>332</v>
      </c>
      <c r="AC56">
        <v>77</v>
      </c>
      <c r="AD56" t="s">
        <v>329</v>
      </c>
    </row>
    <row r="57" spans="1:30" ht="15" customHeight="1" x14ac:dyDescent="0.25">
      <c r="A57">
        <v>70</v>
      </c>
      <c r="B57" t="s">
        <v>333</v>
      </c>
      <c r="C57" t="s">
        <v>334</v>
      </c>
      <c r="D57" t="s">
        <v>331</v>
      </c>
      <c r="E57" t="s">
        <v>115</v>
      </c>
      <c r="G57" t="s">
        <v>16</v>
      </c>
      <c r="H57" t="s">
        <v>17</v>
      </c>
      <c r="I57">
        <v>1912</v>
      </c>
      <c r="J57" t="s">
        <v>161</v>
      </c>
      <c r="K57">
        <v>0</v>
      </c>
      <c r="R57" t="s">
        <v>326</v>
      </c>
      <c r="S57">
        <v>8680</v>
      </c>
      <c r="V57">
        <v>1</v>
      </c>
      <c r="W57">
        <v>33536</v>
      </c>
      <c r="X57">
        <v>1006</v>
      </c>
      <c r="Z57" t="s">
        <v>117</v>
      </c>
      <c r="AA57" t="s">
        <v>327</v>
      </c>
      <c r="AB57" t="s">
        <v>335</v>
      </c>
      <c r="AC57">
        <v>70</v>
      </c>
      <c r="AD57" t="s">
        <v>333</v>
      </c>
    </row>
    <row r="58" spans="1:30" ht="15" customHeight="1" x14ac:dyDescent="0.25">
      <c r="A58">
        <v>74</v>
      </c>
      <c r="B58" t="s">
        <v>336</v>
      </c>
      <c r="C58" t="s">
        <v>337</v>
      </c>
      <c r="D58" t="s">
        <v>331</v>
      </c>
      <c r="E58" t="s">
        <v>115</v>
      </c>
      <c r="G58" t="s">
        <v>16</v>
      </c>
      <c r="H58" t="s">
        <v>17</v>
      </c>
      <c r="I58">
        <v>2265</v>
      </c>
      <c r="J58" t="s">
        <v>172</v>
      </c>
      <c r="K58">
        <v>0</v>
      </c>
      <c r="S58">
        <v>8680</v>
      </c>
      <c r="W58">
        <v>33536</v>
      </c>
      <c r="X58">
        <v>1006</v>
      </c>
      <c r="Z58" t="s">
        <v>173</v>
      </c>
      <c r="AA58" t="s">
        <v>256</v>
      </c>
      <c r="AB58" t="s">
        <v>338</v>
      </c>
      <c r="AC58">
        <v>74</v>
      </c>
      <c r="AD58" t="s">
        <v>336</v>
      </c>
    </row>
    <row r="59" spans="1:30" ht="15" customHeight="1" x14ac:dyDescent="0.25">
      <c r="A59">
        <v>78</v>
      </c>
      <c r="B59" t="s">
        <v>339</v>
      </c>
      <c r="C59" t="s">
        <v>340</v>
      </c>
      <c r="D59" t="s">
        <v>341</v>
      </c>
      <c r="E59" t="s">
        <v>115</v>
      </c>
      <c r="G59" t="s">
        <v>16</v>
      </c>
      <c r="H59" t="s">
        <v>17</v>
      </c>
      <c r="I59">
        <v>3811</v>
      </c>
      <c r="K59">
        <v>0</v>
      </c>
      <c r="S59">
        <v>6720</v>
      </c>
      <c r="V59">
        <v>7</v>
      </c>
      <c r="W59">
        <v>33536</v>
      </c>
      <c r="X59">
        <v>1006</v>
      </c>
      <c r="Z59" t="s">
        <v>117</v>
      </c>
      <c r="AA59" t="s">
        <v>185</v>
      </c>
      <c r="AB59" t="s">
        <v>342</v>
      </c>
      <c r="AC59">
        <v>78</v>
      </c>
      <c r="AD59" t="s">
        <v>339</v>
      </c>
    </row>
    <row r="60" spans="1:30" ht="15" customHeight="1" x14ac:dyDescent="0.25">
      <c r="A60">
        <v>67</v>
      </c>
      <c r="B60" t="s">
        <v>343</v>
      </c>
      <c r="C60" t="s">
        <v>344</v>
      </c>
      <c r="D60" t="s">
        <v>341</v>
      </c>
      <c r="E60" t="s">
        <v>115</v>
      </c>
      <c r="G60" t="s">
        <v>16</v>
      </c>
      <c r="H60" t="s">
        <v>17</v>
      </c>
      <c r="I60">
        <v>2412</v>
      </c>
      <c r="J60" t="s">
        <v>161</v>
      </c>
      <c r="K60">
        <v>0</v>
      </c>
      <c r="R60" t="s">
        <v>326</v>
      </c>
      <c r="S60">
        <v>6720</v>
      </c>
      <c r="V60">
        <v>1</v>
      </c>
      <c r="W60">
        <v>33536</v>
      </c>
      <c r="X60">
        <v>1006</v>
      </c>
      <c r="Z60" t="s">
        <v>117</v>
      </c>
      <c r="AA60" t="s">
        <v>327</v>
      </c>
      <c r="AB60" t="s">
        <v>345</v>
      </c>
      <c r="AC60">
        <v>67</v>
      </c>
      <c r="AD60" t="s">
        <v>343</v>
      </c>
    </row>
    <row r="61" spans="1:30" ht="15" customHeight="1" x14ac:dyDescent="0.25">
      <c r="A61">
        <v>58</v>
      </c>
      <c r="B61" t="s">
        <v>346</v>
      </c>
      <c r="C61" t="s">
        <v>347</v>
      </c>
      <c r="D61" t="s">
        <v>348</v>
      </c>
      <c r="E61" t="s">
        <v>115</v>
      </c>
      <c r="G61" t="s">
        <v>16</v>
      </c>
      <c r="H61" t="s">
        <v>17</v>
      </c>
      <c r="I61">
        <v>12996</v>
      </c>
      <c r="J61" t="s">
        <v>161</v>
      </c>
      <c r="K61">
        <v>0</v>
      </c>
      <c r="R61" t="s">
        <v>326</v>
      </c>
      <c r="S61">
        <v>20550</v>
      </c>
      <c r="V61">
        <v>1</v>
      </c>
      <c r="W61">
        <v>33536</v>
      </c>
      <c r="X61">
        <v>1006</v>
      </c>
      <c r="Z61" t="s">
        <v>117</v>
      </c>
      <c r="AA61" t="s">
        <v>327</v>
      </c>
      <c r="AB61" t="s">
        <v>349</v>
      </c>
      <c r="AC61">
        <v>58</v>
      </c>
      <c r="AD61" t="s">
        <v>346</v>
      </c>
    </row>
    <row r="62" spans="1:30" ht="15" customHeight="1" x14ac:dyDescent="0.25">
      <c r="A62">
        <v>80</v>
      </c>
      <c r="B62" t="s">
        <v>350</v>
      </c>
      <c r="C62" t="s">
        <v>351</v>
      </c>
      <c r="D62" t="s">
        <v>348</v>
      </c>
      <c r="E62" t="s">
        <v>115</v>
      </c>
      <c r="G62" t="s">
        <v>16</v>
      </c>
      <c r="H62" t="s">
        <v>17</v>
      </c>
      <c r="I62">
        <v>6510</v>
      </c>
      <c r="K62">
        <v>0</v>
      </c>
      <c r="S62">
        <v>20550</v>
      </c>
      <c r="V62">
        <v>7</v>
      </c>
      <c r="W62">
        <v>33536</v>
      </c>
      <c r="X62">
        <v>1006</v>
      </c>
      <c r="Z62" t="s">
        <v>117</v>
      </c>
      <c r="AA62" t="s">
        <v>185</v>
      </c>
      <c r="AB62" t="s">
        <v>352</v>
      </c>
      <c r="AC62">
        <v>80</v>
      </c>
      <c r="AD62" t="s">
        <v>350</v>
      </c>
    </row>
    <row r="63" spans="1:30" ht="15" customHeight="1" x14ac:dyDescent="0.25">
      <c r="A63">
        <v>47</v>
      </c>
      <c r="B63" t="s">
        <v>353</v>
      </c>
      <c r="C63" t="s">
        <v>354</v>
      </c>
      <c r="D63" t="s">
        <v>355</v>
      </c>
      <c r="E63" t="s">
        <v>115</v>
      </c>
      <c r="G63" t="s">
        <v>16</v>
      </c>
      <c r="H63" t="s">
        <v>17</v>
      </c>
      <c r="I63">
        <v>6904</v>
      </c>
      <c r="J63" t="s">
        <v>161</v>
      </c>
      <c r="K63">
        <v>0</v>
      </c>
      <c r="S63">
        <v>38220</v>
      </c>
      <c r="W63">
        <v>33536</v>
      </c>
      <c r="X63">
        <v>1006</v>
      </c>
      <c r="Z63" t="s">
        <v>117</v>
      </c>
      <c r="AA63" t="s">
        <v>269</v>
      </c>
      <c r="AB63" t="s">
        <v>356</v>
      </c>
      <c r="AC63">
        <v>47</v>
      </c>
      <c r="AD63" t="s">
        <v>353</v>
      </c>
    </row>
    <row r="64" spans="1:30" ht="15" customHeight="1" x14ac:dyDescent="0.25">
      <c r="A64">
        <v>43</v>
      </c>
      <c r="B64" t="s">
        <v>357</v>
      </c>
      <c r="C64" t="s">
        <v>358</v>
      </c>
      <c r="D64" t="s">
        <v>355</v>
      </c>
      <c r="E64" t="s">
        <v>115</v>
      </c>
      <c r="G64" t="s">
        <v>16</v>
      </c>
      <c r="H64" t="s">
        <v>17</v>
      </c>
      <c r="I64">
        <v>16608</v>
      </c>
      <c r="J64" t="s">
        <v>161</v>
      </c>
      <c r="K64">
        <v>0</v>
      </c>
      <c r="R64" t="s">
        <v>326</v>
      </c>
      <c r="S64">
        <v>38220</v>
      </c>
      <c r="V64">
        <v>1</v>
      </c>
      <c r="W64">
        <v>33536</v>
      </c>
      <c r="X64">
        <v>1006</v>
      </c>
      <c r="Z64" t="s">
        <v>117</v>
      </c>
      <c r="AA64" t="s">
        <v>327</v>
      </c>
      <c r="AB64" t="s">
        <v>359</v>
      </c>
      <c r="AC64">
        <v>43</v>
      </c>
      <c r="AD64" t="s">
        <v>357</v>
      </c>
    </row>
    <row r="65" spans="1:30" ht="15" customHeight="1" x14ac:dyDescent="0.25">
      <c r="A65">
        <v>41</v>
      </c>
      <c r="B65" t="s">
        <v>360</v>
      </c>
      <c r="C65" t="s">
        <v>361</v>
      </c>
      <c r="D65" t="s">
        <v>355</v>
      </c>
      <c r="E65" t="s">
        <v>115</v>
      </c>
      <c r="G65" t="s">
        <v>16</v>
      </c>
      <c r="H65" t="s">
        <v>17</v>
      </c>
      <c r="I65">
        <v>14708</v>
      </c>
      <c r="J65" t="s">
        <v>161</v>
      </c>
      <c r="K65">
        <v>0</v>
      </c>
      <c r="S65">
        <v>38220</v>
      </c>
      <c r="W65">
        <v>33536</v>
      </c>
      <c r="X65">
        <v>1006</v>
      </c>
      <c r="Z65" t="s">
        <v>117</v>
      </c>
      <c r="AA65" t="s">
        <v>269</v>
      </c>
      <c r="AB65" t="s">
        <v>362</v>
      </c>
      <c r="AC65">
        <v>41</v>
      </c>
      <c r="AD65" t="s">
        <v>360</v>
      </c>
    </row>
    <row r="66" spans="1:30" ht="15" customHeight="1" x14ac:dyDescent="0.25">
      <c r="A66">
        <v>59</v>
      </c>
      <c r="B66" t="s">
        <v>363</v>
      </c>
      <c r="C66" t="s">
        <v>364</v>
      </c>
      <c r="D66" t="s">
        <v>365</v>
      </c>
      <c r="E66" t="s">
        <v>115</v>
      </c>
      <c r="G66" t="s">
        <v>16</v>
      </c>
      <c r="H66" t="s">
        <v>17</v>
      </c>
      <c r="I66">
        <v>20224</v>
      </c>
      <c r="J66" t="s">
        <v>161</v>
      </c>
      <c r="K66">
        <v>0</v>
      </c>
      <c r="R66" t="s">
        <v>162</v>
      </c>
      <c r="S66">
        <v>22030</v>
      </c>
      <c r="W66">
        <v>33536</v>
      </c>
      <c r="X66">
        <v>1006</v>
      </c>
      <c r="Z66" t="s">
        <v>117</v>
      </c>
      <c r="AA66" t="s">
        <v>163</v>
      </c>
      <c r="AB66" t="s">
        <v>366</v>
      </c>
      <c r="AC66">
        <v>59</v>
      </c>
      <c r="AD66" t="s">
        <v>363</v>
      </c>
    </row>
    <row r="67" spans="1:30" ht="15" customHeight="1" x14ac:dyDescent="0.25">
      <c r="A67">
        <v>55</v>
      </c>
      <c r="B67" t="s">
        <v>367</v>
      </c>
      <c r="C67" t="s">
        <v>368</v>
      </c>
      <c r="D67" t="s">
        <v>365</v>
      </c>
      <c r="E67" t="s">
        <v>115</v>
      </c>
      <c r="G67" t="s">
        <v>16</v>
      </c>
      <c r="H67" t="s">
        <v>17</v>
      </c>
      <c r="I67">
        <v>1806</v>
      </c>
      <c r="J67" t="s">
        <v>172</v>
      </c>
      <c r="K67">
        <v>0</v>
      </c>
      <c r="R67" t="s">
        <v>162</v>
      </c>
      <c r="S67">
        <v>22030</v>
      </c>
      <c r="W67">
        <v>33536</v>
      </c>
      <c r="X67">
        <v>1006</v>
      </c>
      <c r="Z67" t="s">
        <v>117</v>
      </c>
      <c r="AA67" t="s">
        <v>369</v>
      </c>
      <c r="AB67" t="s">
        <v>370</v>
      </c>
      <c r="AC67">
        <v>55</v>
      </c>
      <c r="AD67" t="s">
        <v>367</v>
      </c>
    </row>
    <row r="68" spans="1:30" ht="15" customHeight="1" x14ac:dyDescent="0.25">
      <c r="A68">
        <v>75</v>
      </c>
      <c r="B68" t="s">
        <v>371</v>
      </c>
      <c r="C68" t="s">
        <v>372</v>
      </c>
      <c r="D68" t="s">
        <v>373</v>
      </c>
      <c r="E68" t="s">
        <v>115</v>
      </c>
      <c r="G68" t="s">
        <v>16</v>
      </c>
      <c r="H68" t="s">
        <v>17</v>
      </c>
      <c r="I68">
        <v>2040</v>
      </c>
      <c r="J68" t="s">
        <v>161</v>
      </c>
      <c r="K68">
        <v>0</v>
      </c>
      <c r="R68" t="s">
        <v>162</v>
      </c>
      <c r="S68">
        <v>2040</v>
      </c>
      <c r="W68">
        <v>33536</v>
      </c>
      <c r="X68">
        <v>1006</v>
      </c>
      <c r="Z68" t="s">
        <v>117</v>
      </c>
      <c r="AA68" t="s">
        <v>163</v>
      </c>
      <c r="AB68" t="s">
        <v>374</v>
      </c>
      <c r="AC68">
        <v>75</v>
      </c>
      <c r="AD68" t="s">
        <v>371</v>
      </c>
    </row>
    <row r="69" spans="1:30" ht="15" customHeight="1" x14ac:dyDescent="0.25">
      <c r="A69">
        <v>134</v>
      </c>
      <c r="B69" t="s">
        <v>375</v>
      </c>
      <c r="C69" t="s">
        <v>376</v>
      </c>
      <c r="D69" t="s">
        <v>377</v>
      </c>
      <c r="E69" t="s">
        <v>115</v>
      </c>
      <c r="G69" t="s">
        <v>16</v>
      </c>
      <c r="H69" t="s">
        <v>17</v>
      </c>
      <c r="I69">
        <v>1409</v>
      </c>
      <c r="K69">
        <v>0</v>
      </c>
      <c r="S69">
        <v>4650</v>
      </c>
      <c r="W69">
        <v>33536</v>
      </c>
      <c r="X69">
        <v>1006</v>
      </c>
      <c r="Z69" t="s">
        <v>117</v>
      </c>
      <c r="AA69" t="s">
        <v>185</v>
      </c>
      <c r="AB69" t="s">
        <v>378</v>
      </c>
      <c r="AC69">
        <v>134</v>
      </c>
      <c r="AD69" t="s">
        <v>375</v>
      </c>
    </row>
    <row r="70" spans="1:30" ht="15" customHeight="1" x14ac:dyDescent="0.25">
      <c r="A70">
        <v>136</v>
      </c>
      <c r="B70" t="s">
        <v>379</v>
      </c>
      <c r="C70" t="s">
        <v>380</v>
      </c>
      <c r="D70" t="s">
        <v>377</v>
      </c>
      <c r="E70" t="s">
        <v>115</v>
      </c>
      <c r="G70" t="s">
        <v>16</v>
      </c>
      <c r="H70" t="s">
        <v>17</v>
      </c>
      <c r="I70">
        <v>1542</v>
      </c>
      <c r="J70" t="s">
        <v>161</v>
      </c>
      <c r="K70">
        <v>0</v>
      </c>
      <c r="R70" t="s">
        <v>381</v>
      </c>
      <c r="S70">
        <v>4650</v>
      </c>
      <c r="V70" t="s">
        <v>382</v>
      </c>
      <c r="W70">
        <v>33536</v>
      </c>
      <c r="X70">
        <v>1006</v>
      </c>
      <c r="Y70" t="s">
        <v>382</v>
      </c>
      <c r="Z70" t="s">
        <v>117</v>
      </c>
      <c r="AA70" t="s">
        <v>118</v>
      </c>
      <c r="AB70" t="s">
        <v>383</v>
      </c>
      <c r="AC70">
        <v>136</v>
      </c>
      <c r="AD70" t="s">
        <v>379</v>
      </c>
    </row>
    <row r="71" spans="1:30" ht="15" customHeight="1" x14ac:dyDescent="0.25">
      <c r="A71">
        <v>133</v>
      </c>
      <c r="B71" t="s">
        <v>384</v>
      </c>
      <c r="C71" t="s">
        <v>385</v>
      </c>
      <c r="D71" t="s">
        <v>377</v>
      </c>
      <c r="E71" t="s">
        <v>115</v>
      </c>
      <c r="G71" t="s">
        <v>16</v>
      </c>
      <c r="H71" t="s">
        <v>17</v>
      </c>
      <c r="I71">
        <v>1699</v>
      </c>
      <c r="J71" t="s">
        <v>172</v>
      </c>
      <c r="K71">
        <v>0</v>
      </c>
      <c r="S71">
        <v>4650</v>
      </c>
      <c r="V71">
        <v>3</v>
      </c>
      <c r="W71">
        <v>33536</v>
      </c>
      <c r="X71">
        <v>1006</v>
      </c>
      <c r="Z71" t="s">
        <v>173</v>
      </c>
      <c r="AA71" t="s">
        <v>228</v>
      </c>
      <c r="AB71" t="s">
        <v>386</v>
      </c>
      <c r="AC71">
        <v>133</v>
      </c>
      <c r="AD71" t="s">
        <v>384</v>
      </c>
    </row>
    <row r="72" spans="1:30" ht="15" customHeight="1" x14ac:dyDescent="0.25">
      <c r="A72">
        <v>119</v>
      </c>
      <c r="B72" t="s">
        <v>387</v>
      </c>
      <c r="C72" t="s">
        <v>388</v>
      </c>
      <c r="D72" t="s">
        <v>389</v>
      </c>
      <c r="E72" t="s">
        <v>115</v>
      </c>
      <c r="G72" t="s">
        <v>16</v>
      </c>
      <c r="H72" t="s">
        <v>17</v>
      </c>
      <c r="I72">
        <v>1520</v>
      </c>
      <c r="J72" t="s">
        <v>161</v>
      </c>
      <c r="K72">
        <v>0</v>
      </c>
      <c r="R72" t="s">
        <v>162</v>
      </c>
      <c r="S72">
        <v>1520</v>
      </c>
      <c r="W72">
        <v>33536</v>
      </c>
      <c r="X72">
        <v>1006</v>
      </c>
      <c r="Z72" t="s">
        <v>117</v>
      </c>
      <c r="AA72" t="s">
        <v>163</v>
      </c>
      <c r="AB72" t="s">
        <v>390</v>
      </c>
      <c r="AC72">
        <v>119</v>
      </c>
      <c r="AD72" t="s">
        <v>387</v>
      </c>
    </row>
    <row r="73" spans="1:30" ht="15" customHeight="1" x14ac:dyDescent="0.25">
      <c r="A73">
        <v>44</v>
      </c>
      <c r="B73" t="s">
        <v>391</v>
      </c>
      <c r="C73" t="s">
        <v>392</v>
      </c>
      <c r="D73" t="s">
        <v>393</v>
      </c>
      <c r="E73" t="s">
        <v>115</v>
      </c>
      <c r="G73" t="s">
        <v>16</v>
      </c>
      <c r="H73" t="s">
        <v>17</v>
      </c>
      <c r="I73">
        <v>73195</v>
      </c>
      <c r="J73" t="s">
        <v>161</v>
      </c>
      <c r="K73">
        <v>0</v>
      </c>
      <c r="S73">
        <v>1263375</v>
      </c>
      <c r="W73">
        <v>33536</v>
      </c>
      <c r="X73">
        <v>1006</v>
      </c>
      <c r="Z73" t="s">
        <v>117</v>
      </c>
      <c r="AA73" t="s">
        <v>269</v>
      </c>
      <c r="AB73" t="s">
        <v>394</v>
      </c>
      <c r="AC73">
        <v>44</v>
      </c>
      <c r="AD73" t="s">
        <v>391</v>
      </c>
    </row>
    <row r="74" spans="1:30" ht="15" customHeight="1" x14ac:dyDescent="0.25">
      <c r="A74">
        <v>39</v>
      </c>
      <c r="B74" t="s">
        <v>395</v>
      </c>
      <c r="C74" t="s">
        <v>396</v>
      </c>
      <c r="D74" t="s">
        <v>393</v>
      </c>
      <c r="E74" t="s">
        <v>115</v>
      </c>
      <c r="G74" t="s">
        <v>16</v>
      </c>
      <c r="H74" t="s">
        <v>17</v>
      </c>
      <c r="I74">
        <v>41345</v>
      </c>
      <c r="J74" t="s">
        <v>161</v>
      </c>
      <c r="K74">
        <v>0</v>
      </c>
      <c r="S74">
        <v>1263375</v>
      </c>
      <c r="W74">
        <v>33536</v>
      </c>
      <c r="X74">
        <v>1006</v>
      </c>
      <c r="Z74" t="s">
        <v>117</v>
      </c>
      <c r="AA74" t="s">
        <v>269</v>
      </c>
      <c r="AB74" t="s">
        <v>397</v>
      </c>
      <c r="AC74">
        <v>39</v>
      </c>
      <c r="AD74" t="s">
        <v>395</v>
      </c>
    </row>
    <row r="75" spans="1:30" ht="15" customHeight="1" x14ac:dyDescent="0.25">
      <c r="A75">
        <v>52</v>
      </c>
      <c r="B75" t="s">
        <v>398</v>
      </c>
      <c r="C75" t="s">
        <v>399</v>
      </c>
      <c r="D75" t="s">
        <v>393</v>
      </c>
      <c r="E75" t="s">
        <v>115</v>
      </c>
      <c r="G75" t="s">
        <v>16</v>
      </c>
      <c r="H75" t="s">
        <v>17</v>
      </c>
      <c r="I75">
        <v>9951</v>
      </c>
      <c r="J75" t="s">
        <v>161</v>
      </c>
      <c r="K75">
        <v>0</v>
      </c>
      <c r="S75">
        <v>1263375</v>
      </c>
      <c r="W75">
        <v>33536</v>
      </c>
      <c r="X75">
        <v>1006</v>
      </c>
      <c r="Z75" t="s">
        <v>117</v>
      </c>
      <c r="AA75" t="s">
        <v>269</v>
      </c>
      <c r="AB75" t="s">
        <v>400</v>
      </c>
      <c r="AC75">
        <v>52</v>
      </c>
      <c r="AD75" t="s">
        <v>398</v>
      </c>
    </row>
    <row r="76" spans="1:30" ht="15" customHeight="1" x14ac:dyDescent="0.25">
      <c r="A76">
        <v>50</v>
      </c>
      <c r="B76" t="s">
        <v>401</v>
      </c>
      <c r="C76" t="s">
        <v>402</v>
      </c>
      <c r="D76" t="s">
        <v>393</v>
      </c>
      <c r="E76" t="s">
        <v>115</v>
      </c>
      <c r="G76" t="s">
        <v>16</v>
      </c>
      <c r="H76" t="s">
        <v>17</v>
      </c>
      <c r="I76">
        <v>16521</v>
      </c>
      <c r="J76" t="s">
        <v>161</v>
      </c>
      <c r="K76">
        <v>0</v>
      </c>
      <c r="R76" t="s">
        <v>300</v>
      </c>
      <c r="S76">
        <v>1263375</v>
      </c>
      <c r="V76">
        <v>5</v>
      </c>
      <c r="W76">
        <v>33536</v>
      </c>
      <c r="X76">
        <v>1006</v>
      </c>
      <c r="Z76" t="s">
        <v>117</v>
      </c>
      <c r="AA76" t="s">
        <v>403</v>
      </c>
      <c r="AB76" t="s">
        <v>404</v>
      </c>
      <c r="AC76">
        <v>50</v>
      </c>
      <c r="AD76" t="s">
        <v>401</v>
      </c>
    </row>
    <row r="77" spans="1:30" ht="15" customHeight="1" x14ac:dyDescent="0.25">
      <c r="A77">
        <v>38</v>
      </c>
      <c r="B77" t="s">
        <v>405</v>
      </c>
      <c r="C77" t="s">
        <v>406</v>
      </c>
      <c r="D77" t="s">
        <v>393</v>
      </c>
      <c r="E77" t="s">
        <v>115</v>
      </c>
      <c r="G77" t="s">
        <v>16</v>
      </c>
      <c r="H77" t="s">
        <v>17</v>
      </c>
      <c r="I77">
        <v>32961</v>
      </c>
      <c r="J77" t="s">
        <v>161</v>
      </c>
      <c r="K77">
        <v>0</v>
      </c>
      <c r="S77">
        <v>1263375</v>
      </c>
      <c r="W77">
        <v>33536</v>
      </c>
      <c r="X77">
        <v>1006</v>
      </c>
      <c r="Z77" t="s">
        <v>117</v>
      </c>
      <c r="AA77" t="s">
        <v>407</v>
      </c>
      <c r="AB77" t="s">
        <v>408</v>
      </c>
      <c r="AC77">
        <v>38</v>
      </c>
      <c r="AD77" t="s">
        <v>405</v>
      </c>
    </row>
    <row r="78" spans="1:30" ht="15" customHeight="1" x14ac:dyDescent="0.25">
      <c r="A78">
        <v>56</v>
      </c>
      <c r="B78" t="s">
        <v>409</v>
      </c>
      <c r="C78" t="s">
        <v>410</v>
      </c>
      <c r="D78" t="s">
        <v>393</v>
      </c>
      <c r="E78" t="s">
        <v>115</v>
      </c>
      <c r="G78" t="s">
        <v>16</v>
      </c>
      <c r="H78" t="s">
        <v>17</v>
      </c>
      <c r="I78">
        <v>106030</v>
      </c>
      <c r="J78" t="s">
        <v>161</v>
      </c>
      <c r="K78">
        <v>0</v>
      </c>
      <c r="R78" t="s">
        <v>300</v>
      </c>
      <c r="S78">
        <v>1263375</v>
      </c>
      <c r="V78">
        <v>4</v>
      </c>
      <c r="W78">
        <v>33536</v>
      </c>
      <c r="X78">
        <v>1006</v>
      </c>
      <c r="Z78" t="s">
        <v>117</v>
      </c>
      <c r="AA78" t="s">
        <v>403</v>
      </c>
      <c r="AB78" t="s">
        <v>411</v>
      </c>
      <c r="AC78">
        <v>56</v>
      </c>
      <c r="AD78" t="s">
        <v>409</v>
      </c>
    </row>
    <row r="79" spans="1:30" ht="15" customHeight="1" x14ac:dyDescent="0.25">
      <c r="A79">
        <v>61</v>
      </c>
      <c r="B79" t="s">
        <v>412</v>
      </c>
      <c r="C79" t="s">
        <v>413</v>
      </c>
      <c r="D79" t="s">
        <v>393</v>
      </c>
      <c r="E79" t="s">
        <v>115</v>
      </c>
      <c r="G79" t="s">
        <v>16</v>
      </c>
      <c r="H79" t="s">
        <v>17</v>
      </c>
      <c r="I79">
        <v>186390</v>
      </c>
      <c r="J79" t="s">
        <v>161</v>
      </c>
      <c r="K79">
        <v>0</v>
      </c>
      <c r="R79" t="s">
        <v>300</v>
      </c>
      <c r="S79">
        <v>1263375</v>
      </c>
      <c r="V79">
        <v>3</v>
      </c>
      <c r="W79">
        <v>33536</v>
      </c>
      <c r="X79">
        <v>1006</v>
      </c>
      <c r="Z79" t="s">
        <v>117</v>
      </c>
      <c r="AA79" t="s">
        <v>403</v>
      </c>
      <c r="AB79" t="s">
        <v>414</v>
      </c>
      <c r="AC79">
        <v>61</v>
      </c>
      <c r="AD79" t="s">
        <v>412</v>
      </c>
    </row>
    <row r="80" spans="1:30" ht="15" customHeight="1" x14ac:dyDescent="0.25">
      <c r="A80">
        <v>92</v>
      </c>
      <c r="B80" t="s">
        <v>415</v>
      </c>
      <c r="C80" t="s">
        <v>416</v>
      </c>
      <c r="D80" t="s">
        <v>393</v>
      </c>
      <c r="E80" t="s">
        <v>115</v>
      </c>
      <c r="G80" t="s">
        <v>16</v>
      </c>
      <c r="H80" t="s">
        <v>17</v>
      </c>
      <c r="I80">
        <v>4609</v>
      </c>
      <c r="J80" t="s">
        <v>161</v>
      </c>
      <c r="K80">
        <v>0</v>
      </c>
      <c r="R80" t="s">
        <v>162</v>
      </c>
      <c r="S80">
        <v>1263375</v>
      </c>
      <c r="W80">
        <v>33536</v>
      </c>
      <c r="X80">
        <v>1006</v>
      </c>
      <c r="Z80" t="s">
        <v>117</v>
      </c>
      <c r="AA80" t="s">
        <v>163</v>
      </c>
      <c r="AB80" t="s">
        <v>417</v>
      </c>
      <c r="AC80">
        <v>92</v>
      </c>
      <c r="AD80" t="s">
        <v>415</v>
      </c>
    </row>
    <row r="81" spans="1:30" ht="15" customHeight="1" x14ac:dyDescent="0.25">
      <c r="A81">
        <v>329</v>
      </c>
      <c r="B81" t="s">
        <v>418</v>
      </c>
      <c r="C81" t="s">
        <v>419</v>
      </c>
      <c r="D81" t="s">
        <v>393</v>
      </c>
      <c r="E81" t="s">
        <v>115</v>
      </c>
      <c r="G81" t="s">
        <v>16</v>
      </c>
      <c r="H81" t="s">
        <v>17</v>
      </c>
      <c r="I81">
        <v>1149</v>
      </c>
      <c r="J81" t="s">
        <v>161</v>
      </c>
      <c r="K81">
        <v>0</v>
      </c>
      <c r="R81" t="s">
        <v>300</v>
      </c>
      <c r="S81">
        <v>1263375</v>
      </c>
      <c r="V81">
        <v>3</v>
      </c>
      <c r="W81">
        <v>33536</v>
      </c>
      <c r="X81">
        <v>1006</v>
      </c>
      <c r="Z81" t="s">
        <v>117</v>
      </c>
      <c r="AA81" t="s">
        <v>163</v>
      </c>
      <c r="AB81" t="s">
        <v>420</v>
      </c>
      <c r="AC81">
        <v>329</v>
      </c>
      <c r="AD81" t="s">
        <v>418</v>
      </c>
    </row>
    <row r="82" spans="1:30" ht="15" customHeight="1" x14ac:dyDescent="0.25">
      <c r="A82">
        <v>129</v>
      </c>
      <c r="B82" t="s">
        <v>421</v>
      </c>
      <c r="C82" t="s">
        <v>422</v>
      </c>
      <c r="D82" t="s">
        <v>393</v>
      </c>
      <c r="E82" t="s">
        <v>115</v>
      </c>
      <c r="G82" t="s">
        <v>16</v>
      </c>
      <c r="H82" t="s">
        <v>17</v>
      </c>
      <c r="I82">
        <v>144706</v>
      </c>
      <c r="J82" t="s">
        <v>161</v>
      </c>
      <c r="K82">
        <v>0</v>
      </c>
      <c r="R82" t="s">
        <v>326</v>
      </c>
      <c r="S82">
        <v>1263375</v>
      </c>
      <c r="V82">
        <v>2</v>
      </c>
      <c r="W82">
        <v>33536</v>
      </c>
      <c r="X82">
        <v>1006</v>
      </c>
      <c r="Z82" t="s">
        <v>117</v>
      </c>
      <c r="AA82" t="s">
        <v>327</v>
      </c>
      <c r="AB82" t="s">
        <v>423</v>
      </c>
      <c r="AC82">
        <v>129</v>
      </c>
      <c r="AD82" t="s">
        <v>421</v>
      </c>
    </row>
    <row r="83" spans="1:30" ht="15" customHeight="1" x14ac:dyDescent="0.25">
      <c r="A83">
        <v>138</v>
      </c>
      <c r="B83" t="s">
        <v>424</v>
      </c>
      <c r="C83" t="s">
        <v>425</v>
      </c>
      <c r="D83" t="s">
        <v>393</v>
      </c>
      <c r="E83" t="s">
        <v>115</v>
      </c>
      <c r="G83" t="s">
        <v>16</v>
      </c>
      <c r="H83" t="s">
        <v>17</v>
      </c>
      <c r="I83">
        <v>62582</v>
      </c>
      <c r="J83" t="s">
        <v>161</v>
      </c>
      <c r="K83">
        <v>0</v>
      </c>
      <c r="R83" t="s">
        <v>381</v>
      </c>
      <c r="S83">
        <v>1263375</v>
      </c>
      <c r="V83" t="s">
        <v>382</v>
      </c>
      <c r="W83">
        <v>33536</v>
      </c>
      <c r="X83">
        <v>1006</v>
      </c>
      <c r="Y83" t="s">
        <v>382</v>
      </c>
      <c r="Z83" t="s">
        <v>117</v>
      </c>
      <c r="AA83" t="s">
        <v>118</v>
      </c>
      <c r="AB83" t="s">
        <v>426</v>
      </c>
      <c r="AC83">
        <v>138</v>
      </c>
      <c r="AD83" t="s">
        <v>424</v>
      </c>
    </row>
    <row r="84" spans="1:30" ht="15" customHeight="1" x14ac:dyDescent="0.25">
      <c r="A84">
        <v>111</v>
      </c>
      <c r="B84" t="s">
        <v>427</v>
      </c>
      <c r="C84" t="s">
        <v>428</v>
      </c>
      <c r="D84" t="s">
        <v>393</v>
      </c>
      <c r="E84" t="s">
        <v>115</v>
      </c>
      <c r="G84" t="s">
        <v>16</v>
      </c>
      <c r="H84" t="s">
        <v>17</v>
      </c>
      <c r="I84">
        <v>193100</v>
      </c>
      <c r="J84" t="s">
        <v>161</v>
      </c>
      <c r="K84">
        <v>0</v>
      </c>
      <c r="R84" t="s">
        <v>326</v>
      </c>
      <c r="S84">
        <v>1263375</v>
      </c>
      <c r="V84">
        <v>3</v>
      </c>
      <c r="W84">
        <v>33536</v>
      </c>
      <c r="X84">
        <v>1006</v>
      </c>
      <c r="Z84" t="s">
        <v>117</v>
      </c>
      <c r="AA84" t="s">
        <v>327</v>
      </c>
      <c r="AB84" t="s">
        <v>429</v>
      </c>
      <c r="AC84">
        <v>111</v>
      </c>
      <c r="AD84" t="s">
        <v>427</v>
      </c>
    </row>
    <row r="85" spans="1:30" ht="15" customHeight="1" x14ac:dyDescent="0.25">
      <c r="A85">
        <v>106</v>
      </c>
      <c r="B85" t="s">
        <v>430</v>
      </c>
      <c r="C85" t="s">
        <v>431</v>
      </c>
      <c r="D85" t="s">
        <v>393</v>
      </c>
      <c r="E85" t="s">
        <v>115</v>
      </c>
      <c r="G85" t="s">
        <v>16</v>
      </c>
      <c r="H85" t="s">
        <v>17</v>
      </c>
      <c r="I85">
        <v>171986</v>
      </c>
      <c r="J85" t="s">
        <v>161</v>
      </c>
      <c r="K85">
        <v>0</v>
      </c>
      <c r="R85" t="s">
        <v>300</v>
      </c>
      <c r="S85">
        <v>1263375</v>
      </c>
      <c r="W85">
        <v>33536</v>
      </c>
      <c r="X85">
        <v>1006</v>
      </c>
      <c r="Z85" t="s">
        <v>117</v>
      </c>
      <c r="AA85" t="s">
        <v>301</v>
      </c>
      <c r="AB85" t="s">
        <v>432</v>
      </c>
      <c r="AC85">
        <v>106</v>
      </c>
      <c r="AD85" t="s">
        <v>430</v>
      </c>
    </row>
    <row r="86" spans="1:30" ht="15" customHeight="1" x14ac:dyDescent="0.25">
      <c r="A86">
        <v>48</v>
      </c>
      <c r="B86" t="s">
        <v>433</v>
      </c>
      <c r="C86" t="s">
        <v>434</v>
      </c>
      <c r="D86" t="s">
        <v>393</v>
      </c>
      <c r="E86" t="s">
        <v>115</v>
      </c>
      <c r="G86" t="s">
        <v>16</v>
      </c>
      <c r="H86" t="s">
        <v>17</v>
      </c>
      <c r="I86">
        <v>68735</v>
      </c>
      <c r="J86" t="s">
        <v>161</v>
      </c>
      <c r="K86">
        <v>0</v>
      </c>
      <c r="S86">
        <v>1263375</v>
      </c>
      <c r="W86">
        <v>33536</v>
      </c>
      <c r="X86">
        <v>1006</v>
      </c>
      <c r="Z86" t="s">
        <v>117</v>
      </c>
      <c r="AA86" t="s">
        <v>163</v>
      </c>
      <c r="AB86" t="s">
        <v>435</v>
      </c>
      <c r="AC86">
        <v>48</v>
      </c>
      <c r="AD86" t="s">
        <v>433</v>
      </c>
    </row>
    <row r="87" spans="1:30" ht="15" customHeight="1" x14ac:dyDescent="0.25">
      <c r="A87">
        <v>118</v>
      </c>
      <c r="B87" t="s">
        <v>436</v>
      </c>
      <c r="C87" t="s">
        <v>437</v>
      </c>
      <c r="D87" t="s">
        <v>393</v>
      </c>
      <c r="E87" t="s">
        <v>115</v>
      </c>
      <c r="G87" t="s">
        <v>16</v>
      </c>
      <c r="H87" t="s">
        <v>17</v>
      </c>
      <c r="I87">
        <v>70641</v>
      </c>
      <c r="J87" t="s">
        <v>161</v>
      </c>
      <c r="K87">
        <v>0</v>
      </c>
      <c r="R87" t="s">
        <v>162</v>
      </c>
      <c r="S87">
        <v>1263375</v>
      </c>
      <c r="W87">
        <v>33536</v>
      </c>
      <c r="X87">
        <v>1006</v>
      </c>
      <c r="Z87" t="s">
        <v>117</v>
      </c>
      <c r="AA87" t="s">
        <v>163</v>
      </c>
      <c r="AB87" t="s">
        <v>438</v>
      </c>
      <c r="AC87">
        <v>118</v>
      </c>
      <c r="AD87" t="s">
        <v>436</v>
      </c>
    </row>
    <row r="88" spans="1:30" ht="15" customHeight="1" x14ac:dyDescent="0.25">
      <c r="A88">
        <v>117</v>
      </c>
      <c r="B88" t="s">
        <v>439</v>
      </c>
      <c r="C88" t="s">
        <v>440</v>
      </c>
      <c r="D88" t="s">
        <v>393</v>
      </c>
      <c r="E88" t="s">
        <v>115</v>
      </c>
      <c r="G88" t="s">
        <v>16</v>
      </c>
      <c r="H88" t="s">
        <v>17</v>
      </c>
      <c r="I88">
        <v>9256</v>
      </c>
      <c r="J88" t="s">
        <v>172</v>
      </c>
      <c r="K88">
        <v>0</v>
      </c>
      <c r="S88">
        <v>1263375</v>
      </c>
      <c r="W88">
        <v>33536</v>
      </c>
      <c r="X88">
        <v>1006</v>
      </c>
      <c r="Z88" t="s">
        <v>173</v>
      </c>
      <c r="AA88" t="s">
        <v>264</v>
      </c>
      <c r="AB88" t="s">
        <v>441</v>
      </c>
      <c r="AC88">
        <v>117</v>
      </c>
      <c r="AD88" t="s">
        <v>439</v>
      </c>
    </row>
    <row r="89" spans="1:30" ht="15" customHeight="1" x14ac:dyDescent="0.25">
      <c r="A89">
        <v>130</v>
      </c>
      <c r="B89" t="s">
        <v>442</v>
      </c>
      <c r="C89" t="s">
        <v>443</v>
      </c>
      <c r="D89" t="s">
        <v>393</v>
      </c>
      <c r="E89" t="s">
        <v>115</v>
      </c>
      <c r="G89" t="s">
        <v>16</v>
      </c>
      <c r="H89" t="s">
        <v>17</v>
      </c>
      <c r="I89">
        <v>2964</v>
      </c>
      <c r="J89" t="s">
        <v>172</v>
      </c>
      <c r="K89">
        <v>0</v>
      </c>
      <c r="S89">
        <v>1263375</v>
      </c>
      <c r="W89">
        <v>33536</v>
      </c>
      <c r="X89">
        <v>1006</v>
      </c>
      <c r="Z89" t="s">
        <v>173</v>
      </c>
      <c r="AA89" t="s">
        <v>228</v>
      </c>
      <c r="AB89" t="s">
        <v>444</v>
      </c>
      <c r="AC89">
        <v>130</v>
      </c>
      <c r="AD89" t="s">
        <v>442</v>
      </c>
    </row>
    <row r="90" spans="1:30" ht="15" customHeight="1" x14ac:dyDescent="0.25">
      <c r="A90">
        <v>112</v>
      </c>
      <c r="B90" t="s">
        <v>445</v>
      </c>
      <c r="C90" t="s">
        <v>446</v>
      </c>
      <c r="D90" t="s">
        <v>393</v>
      </c>
      <c r="E90" t="s">
        <v>115</v>
      </c>
      <c r="G90" t="s">
        <v>16</v>
      </c>
      <c r="H90" t="s">
        <v>17</v>
      </c>
      <c r="I90">
        <v>45260</v>
      </c>
      <c r="J90" t="s">
        <v>172</v>
      </c>
      <c r="K90">
        <v>0</v>
      </c>
      <c r="S90">
        <v>1263375</v>
      </c>
      <c r="V90">
        <v>3</v>
      </c>
      <c r="W90">
        <v>33536</v>
      </c>
      <c r="X90">
        <v>1006</v>
      </c>
      <c r="Z90" t="s">
        <v>173</v>
      </c>
      <c r="AA90" t="s">
        <v>228</v>
      </c>
      <c r="AB90" t="s">
        <v>447</v>
      </c>
      <c r="AC90">
        <v>112</v>
      </c>
      <c r="AD90" t="s">
        <v>445</v>
      </c>
    </row>
    <row r="91" spans="1:30" ht="15" customHeight="1" x14ac:dyDescent="0.25">
      <c r="A91">
        <v>132</v>
      </c>
      <c r="B91" t="s">
        <v>448</v>
      </c>
      <c r="C91" t="s">
        <v>449</v>
      </c>
      <c r="D91" t="s">
        <v>393</v>
      </c>
      <c r="E91" t="s">
        <v>115</v>
      </c>
      <c r="G91" t="s">
        <v>16</v>
      </c>
      <c r="H91" t="s">
        <v>17</v>
      </c>
      <c r="I91">
        <v>17748</v>
      </c>
      <c r="J91" t="s">
        <v>161</v>
      </c>
      <c r="K91">
        <v>0</v>
      </c>
      <c r="R91" t="s">
        <v>162</v>
      </c>
      <c r="S91">
        <v>1263375</v>
      </c>
      <c r="W91">
        <v>33536</v>
      </c>
      <c r="X91">
        <v>1006</v>
      </c>
      <c r="Z91" t="s">
        <v>117</v>
      </c>
      <c r="AA91" t="s">
        <v>163</v>
      </c>
      <c r="AB91" t="s">
        <v>450</v>
      </c>
      <c r="AC91">
        <v>132</v>
      </c>
      <c r="AD91" t="s">
        <v>448</v>
      </c>
    </row>
    <row r="92" spans="1:30" ht="15" customHeight="1" x14ac:dyDescent="0.25">
      <c r="A92">
        <v>100</v>
      </c>
      <c r="B92" t="s">
        <v>451</v>
      </c>
      <c r="C92" t="s">
        <v>452</v>
      </c>
      <c r="D92" t="s">
        <v>453</v>
      </c>
      <c r="E92" t="s">
        <v>115</v>
      </c>
      <c r="G92" t="s">
        <v>16</v>
      </c>
      <c r="H92" t="s">
        <v>17</v>
      </c>
      <c r="I92">
        <v>77</v>
      </c>
      <c r="J92" t="s">
        <v>161</v>
      </c>
      <c r="K92">
        <v>0</v>
      </c>
      <c r="R92" t="s">
        <v>300</v>
      </c>
      <c r="S92">
        <v>77</v>
      </c>
      <c r="W92">
        <v>33536</v>
      </c>
      <c r="X92">
        <v>1006</v>
      </c>
      <c r="Z92" t="s">
        <v>117</v>
      </c>
      <c r="AA92" t="s">
        <v>403</v>
      </c>
      <c r="AB92" t="s">
        <v>454</v>
      </c>
      <c r="AC92">
        <v>100</v>
      </c>
      <c r="AD92" t="s">
        <v>451</v>
      </c>
    </row>
    <row r="93" spans="1:30" ht="15" customHeight="1" x14ac:dyDescent="0.25">
      <c r="A93">
        <v>110</v>
      </c>
      <c r="B93" t="s">
        <v>455</v>
      </c>
      <c r="C93" t="s">
        <v>456</v>
      </c>
      <c r="D93" t="s">
        <v>457</v>
      </c>
      <c r="E93" t="s">
        <v>115</v>
      </c>
      <c r="G93" t="s">
        <v>16</v>
      </c>
      <c r="H93" t="s">
        <v>17</v>
      </c>
      <c r="I93">
        <v>938</v>
      </c>
      <c r="J93" t="s">
        <v>161</v>
      </c>
      <c r="K93">
        <v>0</v>
      </c>
      <c r="S93">
        <v>7040</v>
      </c>
      <c r="W93">
        <v>33536</v>
      </c>
      <c r="X93">
        <v>1006</v>
      </c>
      <c r="Z93" t="s">
        <v>117</v>
      </c>
      <c r="AA93" t="s">
        <v>163</v>
      </c>
      <c r="AB93" t="s">
        <v>458</v>
      </c>
      <c r="AC93">
        <v>110</v>
      </c>
      <c r="AD93" t="s">
        <v>455</v>
      </c>
    </row>
    <row r="94" spans="1:30" ht="15" customHeight="1" x14ac:dyDescent="0.25">
      <c r="A94">
        <v>113</v>
      </c>
      <c r="B94" t="s">
        <v>459</v>
      </c>
      <c r="C94" t="s">
        <v>460</v>
      </c>
      <c r="D94" t="s">
        <v>457</v>
      </c>
      <c r="E94" t="s">
        <v>115</v>
      </c>
      <c r="G94" t="s">
        <v>16</v>
      </c>
      <c r="H94" t="s">
        <v>17</v>
      </c>
      <c r="I94">
        <v>4537</v>
      </c>
      <c r="J94" t="s">
        <v>161</v>
      </c>
      <c r="K94">
        <v>0</v>
      </c>
      <c r="R94" t="s">
        <v>162</v>
      </c>
      <c r="S94">
        <v>7040</v>
      </c>
      <c r="W94">
        <v>33536</v>
      </c>
      <c r="X94">
        <v>1006</v>
      </c>
      <c r="Z94" t="s">
        <v>117</v>
      </c>
      <c r="AA94" t="s">
        <v>163</v>
      </c>
      <c r="AB94" t="s">
        <v>461</v>
      </c>
      <c r="AC94">
        <v>113</v>
      </c>
      <c r="AD94" t="s">
        <v>459</v>
      </c>
    </row>
    <row r="95" spans="1:30" ht="15" customHeight="1" x14ac:dyDescent="0.25">
      <c r="A95">
        <v>104</v>
      </c>
      <c r="B95" t="s">
        <v>462</v>
      </c>
      <c r="C95" t="s">
        <v>463</v>
      </c>
      <c r="D95" t="s">
        <v>464</v>
      </c>
      <c r="E95" t="s">
        <v>115</v>
      </c>
      <c r="G95" t="s">
        <v>16</v>
      </c>
      <c r="H95" t="s">
        <v>17</v>
      </c>
      <c r="I95">
        <v>1540</v>
      </c>
      <c r="J95" t="s">
        <v>161</v>
      </c>
      <c r="K95">
        <v>0</v>
      </c>
      <c r="S95">
        <v>1540</v>
      </c>
      <c r="W95">
        <v>33536</v>
      </c>
      <c r="X95">
        <v>1006</v>
      </c>
      <c r="Z95" t="s">
        <v>117</v>
      </c>
      <c r="AA95" t="s">
        <v>163</v>
      </c>
      <c r="AB95" t="s">
        <v>465</v>
      </c>
      <c r="AC95">
        <v>104</v>
      </c>
      <c r="AD95" t="s">
        <v>462</v>
      </c>
    </row>
    <row r="96" spans="1:30" ht="15" customHeight="1" x14ac:dyDescent="0.25">
      <c r="A96">
        <v>142</v>
      </c>
      <c r="B96" t="s">
        <v>466</v>
      </c>
      <c r="C96" t="s">
        <v>467</v>
      </c>
      <c r="D96" t="s">
        <v>468</v>
      </c>
      <c r="E96" t="s">
        <v>115</v>
      </c>
      <c r="G96" t="s">
        <v>16</v>
      </c>
      <c r="H96" t="s">
        <v>36</v>
      </c>
      <c r="I96">
        <v>5901</v>
      </c>
      <c r="J96" t="s">
        <v>161</v>
      </c>
      <c r="K96">
        <v>0</v>
      </c>
      <c r="R96" t="s">
        <v>469</v>
      </c>
      <c r="S96">
        <v>5901</v>
      </c>
      <c r="W96">
        <v>33536</v>
      </c>
      <c r="X96">
        <v>1006</v>
      </c>
      <c r="Z96" t="s">
        <v>117</v>
      </c>
      <c r="AA96" t="s">
        <v>470</v>
      </c>
      <c r="AB96" t="s">
        <v>471</v>
      </c>
      <c r="AC96">
        <v>142</v>
      </c>
      <c r="AD96" t="s">
        <v>466</v>
      </c>
    </row>
    <row r="97" spans="1:30" ht="15" customHeight="1" x14ac:dyDescent="0.25">
      <c r="A97">
        <v>135</v>
      </c>
      <c r="B97" t="s">
        <v>472</v>
      </c>
      <c r="C97" t="s">
        <v>473</v>
      </c>
      <c r="D97" t="s">
        <v>474</v>
      </c>
      <c r="E97" t="s">
        <v>115</v>
      </c>
      <c r="G97" t="s">
        <v>16</v>
      </c>
      <c r="H97" t="s">
        <v>36</v>
      </c>
      <c r="I97">
        <v>81115</v>
      </c>
      <c r="J97" t="s">
        <v>161</v>
      </c>
      <c r="K97">
        <v>0</v>
      </c>
      <c r="R97" t="s">
        <v>469</v>
      </c>
      <c r="S97">
        <v>82445</v>
      </c>
      <c r="W97">
        <v>33536</v>
      </c>
      <c r="X97">
        <v>1006</v>
      </c>
      <c r="Z97" t="s">
        <v>117</v>
      </c>
      <c r="AA97" t="s">
        <v>470</v>
      </c>
      <c r="AB97" t="s">
        <v>475</v>
      </c>
      <c r="AC97">
        <v>135</v>
      </c>
      <c r="AD97" t="s">
        <v>472</v>
      </c>
    </row>
    <row r="98" spans="1:30" ht="15" customHeight="1" x14ac:dyDescent="0.25">
      <c r="A98">
        <v>144</v>
      </c>
      <c r="B98" t="s">
        <v>476</v>
      </c>
      <c r="C98" t="s">
        <v>477</v>
      </c>
      <c r="D98" t="s">
        <v>478</v>
      </c>
      <c r="E98" t="s">
        <v>115</v>
      </c>
      <c r="G98" t="s">
        <v>16</v>
      </c>
      <c r="H98" t="s">
        <v>36</v>
      </c>
      <c r="I98">
        <v>6857</v>
      </c>
      <c r="J98" t="s">
        <v>161</v>
      </c>
      <c r="K98">
        <v>0</v>
      </c>
      <c r="S98">
        <v>6857</v>
      </c>
      <c r="W98">
        <v>33536</v>
      </c>
      <c r="X98">
        <v>1006</v>
      </c>
      <c r="Z98" t="s">
        <v>117</v>
      </c>
      <c r="AA98" t="s">
        <v>479</v>
      </c>
      <c r="AB98" t="s">
        <v>480</v>
      </c>
      <c r="AC98">
        <v>144</v>
      </c>
      <c r="AD98" t="s">
        <v>476</v>
      </c>
    </row>
    <row r="99" spans="1:30" ht="15" customHeight="1" x14ac:dyDescent="0.25">
      <c r="A99">
        <v>146</v>
      </c>
      <c r="B99" t="s">
        <v>481</v>
      </c>
      <c r="C99" t="s">
        <v>482</v>
      </c>
      <c r="D99" t="s">
        <v>483</v>
      </c>
      <c r="E99" t="s">
        <v>115</v>
      </c>
      <c r="G99" t="s">
        <v>16</v>
      </c>
      <c r="H99" t="s">
        <v>36</v>
      </c>
      <c r="I99">
        <v>440</v>
      </c>
      <c r="J99" t="s">
        <v>161</v>
      </c>
      <c r="K99">
        <v>0</v>
      </c>
      <c r="S99">
        <v>1294</v>
      </c>
      <c r="W99">
        <v>33536</v>
      </c>
      <c r="X99">
        <v>1006</v>
      </c>
      <c r="Z99" t="s">
        <v>117</v>
      </c>
      <c r="AA99" t="s">
        <v>479</v>
      </c>
      <c r="AB99" t="s">
        <v>484</v>
      </c>
      <c r="AC99">
        <v>146</v>
      </c>
      <c r="AD99" t="s">
        <v>481</v>
      </c>
    </row>
    <row r="100" spans="1:30" ht="15" customHeight="1" x14ac:dyDescent="0.25">
      <c r="A100">
        <v>145</v>
      </c>
      <c r="B100" t="s">
        <v>485</v>
      </c>
      <c r="C100" t="s">
        <v>486</v>
      </c>
      <c r="D100" t="s">
        <v>483</v>
      </c>
      <c r="E100" t="s">
        <v>115</v>
      </c>
      <c r="G100" t="s">
        <v>16</v>
      </c>
      <c r="H100" t="s">
        <v>36</v>
      </c>
      <c r="I100">
        <v>854</v>
      </c>
      <c r="J100" t="s">
        <v>172</v>
      </c>
      <c r="K100">
        <v>0</v>
      </c>
      <c r="R100" t="s">
        <v>487</v>
      </c>
      <c r="S100">
        <v>1294</v>
      </c>
      <c r="W100">
        <v>33536</v>
      </c>
      <c r="X100">
        <v>1006</v>
      </c>
      <c r="Z100" t="s">
        <v>117</v>
      </c>
      <c r="AA100" t="s">
        <v>488</v>
      </c>
      <c r="AB100" t="s">
        <v>489</v>
      </c>
      <c r="AC100">
        <v>145</v>
      </c>
      <c r="AD100" t="s">
        <v>485</v>
      </c>
    </row>
    <row r="101" spans="1:30" ht="15" customHeight="1" x14ac:dyDescent="0.25">
      <c r="A101">
        <v>141</v>
      </c>
      <c r="B101" t="s">
        <v>490</v>
      </c>
      <c r="C101" t="s">
        <v>491</v>
      </c>
      <c r="D101" t="s">
        <v>492</v>
      </c>
      <c r="E101" t="s">
        <v>115</v>
      </c>
      <c r="G101" t="s">
        <v>16</v>
      </c>
      <c r="H101" t="s">
        <v>36</v>
      </c>
      <c r="I101">
        <v>5286</v>
      </c>
      <c r="J101" t="s">
        <v>161</v>
      </c>
      <c r="K101">
        <v>0</v>
      </c>
      <c r="S101">
        <v>5286</v>
      </c>
      <c r="W101">
        <v>33536</v>
      </c>
      <c r="X101">
        <v>1006</v>
      </c>
      <c r="Z101" t="s">
        <v>117</v>
      </c>
      <c r="AA101" t="s">
        <v>479</v>
      </c>
      <c r="AB101" t="s">
        <v>493</v>
      </c>
      <c r="AC101">
        <v>141</v>
      </c>
      <c r="AD101" t="s">
        <v>490</v>
      </c>
    </row>
    <row r="102" spans="1:30" ht="15" customHeight="1" x14ac:dyDescent="0.25">
      <c r="A102">
        <v>140</v>
      </c>
      <c r="B102" t="s">
        <v>494</v>
      </c>
      <c r="C102" t="s">
        <v>495</v>
      </c>
      <c r="D102" t="s">
        <v>496</v>
      </c>
      <c r="E102" t="s">
        <v>115</v>
      </c>
      <c r="G102" t="s">
        <v>16</v>
      </c>
      <c r="H102" t="s">
        <v>36</v>
      </c>
      <c r="I102">
        <v>7598</v>
      </c>
      <c r="J102" t="s">
        <v>161</v>
      </c>
      <c r="K102">
        <v>0</v>
      </c>
      <c r="R102" t="s">
        <v>469</v>
      </c>
      <c r="S102">
        <v>7598</v>
      </c>
      <c r="W102">
        <v>33536</v>
      </c>
      <c r="X102">
        <v>1006</v>
      </c>
      <c r="Z102" t="s">
        <v>117</v>
      </c>
      <c r="AA102" t="s">
        <v>470</v>
      </c>
      <c r="AB102" t="s">
        <v>497</v>
      </c>
      <c r="AC102">
        <v>140</v>
      </c>
      <c r="AD102" t="s">
        <v>494</v>
      </c>
    </row>
    <row r="103" spans="1:30" ht="15" customHeight="1" x14ac:dyDescent="0.25">
      <c r="A103">
        <v>139</v>
      </c>
      <c r="B103" t="s">
        <v>498</v>
      </c>
      <c r="C103" t="s">
        <v>499</v>
      </c>
      <c r="D103" t="s">
        <v>500</v>
      </c>
      <c r="E103" t="s">
        <v>115</v>
      </c>
      <c r="G103" t="s">
        <v>16</v>
      </c>
      <c r="H103" t="s">
        <v>36</v>
      </c>
      <c r="I103">
        <v>11860</v>
      </c>
      <c r="J103" t="s">
        <v>161</v>
      </c>
      <c r="K103">
        <v>0</v>
      </c>
      <c r="R103" t="s">
        <v>469</v>
      </c>
      <c r="S103">
        <v>11860</v>
      </c>
      <c r="W103">
        <v>33536</v>
      </c>
      <c r="X103">
        <v>1006</v>
      </c>
      <c r="Z103" t="s">
        <v>117</v>
      </c>
      <c r="AA103" t="s">
        <v>501</v>
      </c>
      <c r="AB103" t="s">
        <v>502</v>
      </c>
      <c r="AC103">
        <v>139</v>
      </c>
      <c r="AD103" t="s">
        <v>498</v>
      </c>
    </row>
    <row r="104" spans="1:30" ht="15" customHeight="1" x14ac:dyDescent="0.25">
      <c r="A104">
        <v>137</v>
      </c>
      <c r="B104" t="s">
        <v>503</v>
      </c>
      <c r="C104" t="s">
        <v>504</v>
      </c>
      <c r="D104" t="s">
        <v>505</v>
      </c>
      <c r="E104" t="s">
        <v>115</v>
      </c>
      <c r="G104" t="s">
        <v>16</v>
      </c>
      <c r="H104" t="s">
        <v>36</v>
      </c>
      <c r="I104">
        <v>9893</v>
      </c>
      <c r="J104" t="s">
        <v>172</v>
      </c>
      <c r="K104">
        <v>0</v>
      </c>
      <c r="R104" t="s">
        <v>162</v>
      </c>
      <c r="S104">
        <v>9893</v>
      </c>
      <c r="W104">
        <v>33536</v>
      </c>
      <c r="X104">
        <v>1006</v>
      </c>
      <c r="Z104" t="s">
        <v>117</v>
      </c>
      <c r="AA104" t="s">
        <v>163</v>
      </c>
      <c r="AB104" t="s">
        <v>506</v>
      </c>
      <c r="AC104">
        <v>137</v>
      </c>
      <c r="AD104" t="s">
        <v>503</v>
      </c>
    </row>
    <row r="105" spans="1:30" ht="15" customHeight="1" x14ac:dyDescent="0.25">
      <c r="A105">
        <v>99</v>
      </c>
      <c r="B105" t="s">
        <v>507</v>
      </c>
      <c r="C105" t="s">
        <v>508</v>
      </c>
      <c r="D105" t="s">
        <v>509</v>
      </c>
      <c r="E105" t="s">
        <v>115</v>
      </c>
      <c r="G105" t="s">
        <v>16</v>
      </c>
      <c r="H105" t="s">
        <v>17</v>
      </c>
      <c r="I105">
        <v>689</v>
      </c>
      <c r="J105" t="s">
        <v>172</v>
      </c>
      <c r="K105">
        <v>0</v>
      </c>
      <c r="S105">
        <v>1388</v>
      </c>
      <c r="W105">
        <v>33536</v>
      </c>
      <c r="X105">
        <v>1006</v>
      </c>
      <c r="Z105" t="s">
        <v>173</v>
      </c>
      <c r="AA105" t="s">
        <v>256</v>
      </c>
      <c r="AB105" t="s">
        <v>510</v>
      </c>
      <c r="AC105">
        <v>99</v>
      </c>
      <c r="AD105" t="s">
        <v>507</v>
      </c>
    </row>
    <row r="106" spans="1:30" ht="15" customHeight="1" x14ac:dyDescent="0.25">
      <c r="A106">
        <v>40</v>
      </c>
      <c r="B106" t="s">
        <v>511</v>
      </c>
      <c r="C106" t="s">
        <v>512</v>
      </c>
      <c r="D106" t="s">
        <v>513</v>
      </c>
      <c r="E106" t="s">
        <v>115</v>
      </c>
      <c r="G106" t="s">
        <v>16</v>
      </c>
      <c r="H106" t="s">
        <v>17</v>
      </c>
      <c r="I106">
        <v>12671</v>
      </c>
      <c r="J106" t="s">
        <v>161</v>
      </c>
      <c r="K106">
        <v>0</v>
      </c>
      <c r="S106">
        <v>174028</v>
      </c>
      <c r="W106">
        <v>33536</v>
      </c>
      <c r="X106">
        <v>1006</v>
      </c>
      <c r="Z106" t="s">
        <v>117</v>
      </c>
      <c r="AA106" t="s">
        <v>269</v>
      </c>
      <c r="AB106" t="s">
        <v>514</v>
      </c>
      <c r="AC106">
        <v>40</v>
      </c>
      <c r="AD106" t="s">
        <v>511</v>
      </c>
    </row>
    <row r="107" spans="1:30" ht="15" customHeight="1" x14ac:dyDescent="0.25">
      <c r="A107">
        <v>42</v>
      </c>
      <c r="B107" t="s">
        <v>515</v>
      </c>
      <c r="C107" t="s">
        <v>516</v>
      </c>
      <c r="D107" t="s">
        <v>513</v>
      </c>
      <c r="E107" t="s">
        <v>115</v>
      </c>
      <c r="G107" t="s">
        <v>16</v>
      </c>
      <c r="H107" t="s">
        <v>17</v>
      </c>
      <c r="I107">
        <v>34255</v>
      </c>
      <c r="J107" t="s">
        <v>161</v>
      </c>
      <c r="K107">
        <v>0</v>
      </c>
      <c r="S107">
        <v>174028</v>
      </c>
      <c r="W107">
        <v>33536</v>
      </c>
      <c r="X107">
        <v>1006</v>
      </c>
      <c r="Z107" t="s">
        <v>117</v>
      </c>
      <c r="AA107" t="s">
        <v>269</v>
      </c>
      <c r="AB107" t="s">
        <v>517</v>
      </c>
      <c r="AC107">
        <v>42</v>
      </c>
      <c r="AD107" t="s">
        <v>515</v>
      </c>
    </row>
    <row r="108" spans="1:30" ht="15" customHeight="1" x14ac:dyDescent="0.25">
      <c r="A108">
        <v>64</v>
      </c>
      <c r="B108" t="s">
        <v>518</v>
      </c>
      <c r="C108" t="s">
        <v>519</v>
      </c>
      <c r="D108" t="s">
        <v>513</v>
      </c>
      <c r="E108" t="s">
        <v>115</v>
      </c>
      <c r="G108" t="s">
        <v>16</v>
      </c>
      <c r="H108" t="s">
        <v>17</v>
      </c>
      <c r="I108">
        <v>7868</v>
      </c>
      <c r="J108" t="s">
        <v>161</v>
      </c>
      <c r="K108">
        <v>0</v>
      </c>
      <c r="R108" t="s">
        <v>326</v>
      </c>
      <c r="S108">
        <v>174028</v>
      </c>
      <c r="V108">
        <v>1</v>
      </c>
      <c r="W108">
        <v>33536</v>
      </c>
      <c r="X108">
        <v>1006</v>
      </c>
      <c r="Z108" t="s">
        <v>117</v>
      </c>
      <c r="AA108" t="s">
        <v>327</v>
      </c>
      <c r="AB108" t="s">
        <v>520</v>
      </c>
      <c r="AC108">
        <v>64</v>
      </c>
      <c r="AD108" t="s">
        <v>518</v>
      </c>
    </row>
    <row r="109" spans="1:30" ht="15" customHeight="1" x14ac:dyDescent="0.25">
      <c r="A109">
        <v>49</v>
      </c>
      <c r="B109" t="s">
        <v>521</v>
      </c>
      <c r="C109" t="s">
        <v>522</v>
      </c>
      <c r="D109" t="s">
        <v>513</v>
      </c>
      <c r="E109" t="s">
        <v>115</v>
      </c>
      <c r="G109" t="s">
        <v>16</v>
      </c>
      <c r="H109" t="s">
        <v>17</v>
      </c>
      <c r="I109">
        <v>11826</v>
      </c>
      <c r="J109" t="s">
        <v>161</v>
      </c>
      <c r="K109">
        <v>0</v>
      </c>
      <c r="R109" t="s">
        <v>326</v>
      </c>
      <c r="S109">
        <v>174028</v>
      </c>
      <c r="V109">
        <v>1</v>
      </c>
      <c r="W109">
        <v>33536</v>
      </c>
      <c r="X109">
        <v>1006</v>
      </c>
      <c r="Z109" t="s">
        <v>117</v>
      </c>
      <c r="AA109" t="s">
        <v>327</v>
      </c>
      <c r="AB109" t="s">
        <v>523</v>
      </c>
      <c r="AC109">
        <v>49</v>
      </c>
      <c r="AD109" t="s">
        <v>521</v>
      </c>
    </row>
    <row r="110" spans="1:30" ht="15" customHeight="1" x14ac:dyDescent="0.25">
      <c r="A110">
        <v>85</v>
      </c>
      <c r="B110" t="s">
        <v>524</v>
      </c>
      <c r="C110" t="s">
        <v>525</v>
      </c>
      <c r="D110" t="s">
        <v>513</v>
      </c>
      <c r="E110" t="s">
        <v>115</v>
      </c>
      <c r="G110" t="s">
        <v>16</v>
      </c>
      <c r="H110" t="s">
        <v>17</v>
      </c>
      <c r="I110">
        <v>2133</v>
      </c>
      <c r="K110">
        <v>0</v>
      </c>
      <c r="S110">
        <v>174028</v>
      </c>
      <c r="V110">
        <v>7</v>
      </c>
      <c r="W110">
        <v>33536</v>
      </c>
      <c r="X110">
        <v>1006</v>
      </c>
      <c r="Z110" t="s">
        <v>117</v>
      </c>
      <c r="AA110" t="s">
        <v>185</v>
      </c>
      <c r="AB110" t="s">
        <v>526</v>
      </c>
      <c r="AC110">
        <v>85</v>
      </c>
      <c r="AD110" t="s">
        <v>524</v>
      </c>
    </row>
    <row r="111" spans="1:30" ht="15" customHeight="1" x14ac:dyDescent="0.25">
      <c r="A111">
        <v>51</v>
      </c>
      <c r="B111" t="s">
        <v>527</v>
      </c>
      <c r="C111" t="s">
        <v>528</v>
      </c>
      <c r="D111" t="s">
        <v>513</v>
      </c>
      <c r="E111" t="s">
        <v>115</v>
      </c>
      <c r="G111" t="s">
        <v>16</v>
      </c>
      <c r="H111" t="s">
        <v>17</v>
      </c>
      <c r="I111">
        <v>64063</v>
      </c>
      <c r="J111" t="s">
        <v>161</v>
      </c>
      <c r="K111">
        <v>0</v>
      </c>
      <c r="S111">
        <v>174028</v>
      </c>
      <c r="W111">
        <v>33536</v>
      </c>
      <c r="X111">
        <v>1006</v>
      </c>
      <c r="Z111" t="s">
        <v>117</v>
      </c>
      <c r="AA111" t="s">
        <v>269</v>
      </c>
      <c r="AB111" t="s">
        <v>529</v>
      </c>
      <c r="AC111">
        <v>51</v>
      </c>
      <c r="AD111" t="s">
        <v>527</v>
      </c>
    </row>
    <row r="112" spans="1:30" ht="15" customHeight="1" x14ac:dyDescent="0.25">
      <c r="A112">
        <v>66</v>
      </c>
      <c r="B112" t="s">
        <v>530</v>
      </c>
      <c r="C112" t="s">
        <v>531</v>
      </c>
      <c r="D112" t="s">
        <v>513</v>
      </c>
      <c r="E112" t="s">
        <v>115</v>
      </c>
      <c r="G112" t="s">
        <v>16</v>
      </c>
      <c r="H112" t="s">
        <v>17</v>
      </c>
      <c r="I112">
        <v>1313</v>
      </c>
      <c r="J112" t="s">
        <v>172</v>
      </c>
      <c r="K112">
        <v>0</v>
      </c>
      <c r="S112">
        <v>174028</v>
      </c>
      <c r="W112">
        <v>33536</v>
      </c>
      <c r="X112">
        <v>1006</v>
      </c>
      <c r="Z112" t="s">
        <v>173</v>
      </c>
      <c r="AA112" t="s">
        <v>256</v>
      </c>
      <c r="AB112" t="s">
        <v>532</v>
      </c>
      <c r="AC112">
        <v>66</v>
      </c>
      <c r="AD112" t="s">
        <v>530</v>
      </c>
    </row>
    <row r="113" spans="1:30" ht="15" customHeight="1" x14ac:dyDescent="0.25">
      <c r="A113">
        <v>96</v>
      </c>
      <c r="B113" t="s">
        <v>533</v>
      </c>
      <c r="C113" t="s">
        <v>534</v>
      </c>
      <c r="D113" t="s">
        <v>513</v>
      </c>
      <c r="E113" t="s">
        <v>115</v>
      </c>
      <c r="G113" t="s">
        <v>16</v>
      </c>
      <c r="H113" t="s">
        <v>17</v>
      </c>
      <c r="I113">
        <v>6813</v>
      </c>
      <c r="J113" t="s">
        <v>172</v>
      </c>
      <c r="K113">
        <v>0</v>
      </c>
      <c r="S113">
        <v>174028</v>
      </c>
      <c r="W113">
        <v>33536</v>
      </c>
      <c r="X113">
        <v>1006</v>
      </c>
      <c r="Z113" t="s">
        <v>173</v>
      </c>
      <c r="AA113" t="s">
        <v>256</v>
      </c>
      <c r="AB113" t="s">
        <v>535</v>
      </c>
      <c r="AC113">
        <v>96</v>
      </c>
      <c r="AD113" t="s">
        <v>533</v>
      </c>
    </row>
    <row r="114" spans="1:30" ht="15" customHeight="1" x14ac:dyDescent="0.25">
      <c r="A114">
        <v>103</v>
      </c>
      <c r="B114" t="s">
        <v>536</v>
      </c>
      <c r="C114" t="s">
        <v>537</v>
      </c>
      <c r="D114" t="s">
        <v>513</v>
      </c>
      <c r="E114" t="s">
        <v>115</v>
      </c>
      <c r="G114" t="s">
        <v>16</v>
      </c>
      <c r="H114" t="s">
        <v>17</v>
      </c>
      <c r="I114">
        <v>20122</v>
      </c>
      <c r="J114" t="s">
        <v>161</v>
      </c>
      <c r="K114">
        <v>0</v>
      </c>
      <c r="R114" t="s">
        <v>162</v>
      </c>
      <c r="S114">
        <v>174028</v>
      </c>
      <c r="W114">
        <v>33536</v>
      </c>
      <c r="X114">
        <v>1006</v>
      </c>
      <c r="Z114" t="s">
        <v>117</v>
      </c>
      <c r="AA114" t="s">
        <v>163</v>
      </c>
      <c r="AB114" t="s">
        <v>538</v>
      </c>
      <c r="AC114">
        <v>103</v>
      </c>
      <c r="AD114" t="s">
        <v>536</v>
      </c>
    </row>
    <row r="115" spans="1:30" ht="15" customHeight="1" x14ac:dyDescent="0.25">
      <c r="A115">
        <v>102</v>
      </c>
      <c r="B115" t="s">
        <v>539</v>
      </c>
      <c r="C115" t="s">
        <v>540</v>
      </c>
      <c r="D115" t="s">
        <v>513</v>
      </c>
      <c r="E115" t="s">
        <v>115</v>
      </c>
      <c r="G115" t="s">
        <v>16</v>
      </c>
      <c r="H115" t="s">
        <v>17</v>
      </c>
      <c r="I115">
        <v>2114</v>
      </c>
      <c r="J115" t="s">
        <v>172</v>
      </c>
      <c r="K115">
        <v>0</v>
      </c>
      <c r="S115">
        <v>174028</v>
      </c>
      <c r="W115">
        <v>33536</v>
      </c>
      <c r="X115">
        <v>1006</v>
      </c>
      <c r="Z115" t="s">
        <v>173</v>
      </c>
      <c r="AA115" t="s">
        <v>541</v>
      </c>
      <c r="AB115" t="s">
        <v>542</v>
      </c>
      <c r="AC115">
        <v>102</v>
      </c>
      <c r="AD115" t="s">
        <v>539</v>
      </c>
    </row>
    <row r="116" spans="1:30" ht="15" customHeight="1" x14ac:dyDescent="0.25">
      <c r="A116">
        <v>94</v>
      </c>
      <c r="B116" t="s">
        <v>543</v>
      </c>
      <c r="C116" t="s">
        <v>544</v>
      </c>
      <c r="D116" t="s">
        <v>513</v>
      </c>
      <c r="E116" t="s">
        <v>115</v>
      </c>
      <c r="G116" t="s">
        <v>16</v>
      </c>
      <c r="H116" t="s">
        <v>17</v>
      </c>
      <c r="I116">
        <v>3906</v>
      </c>
      <c r="J116" t="s">
        <v>161</v>
      </c>
      <c r="K116">
        <v>0</v>
      </c>
      <c r="R116" t="s">
        <v>300</v>
      </c>
      <c r="S116">
        <v>174028</v>
      </c>
      <c r="W116">
        <v>33536</v>
      </c>
      <c r="X116">
        <v>1006</v>
      </c>
      <c r="Z116" t="s">
        <v>117</v>
      </c>
      <c r="AA116" t="s">
        <v>403</v>
      </c>
      <c r="AB116" t="s">
        <v>545</v>
      </c>
      <c r="AC116">
        <v>94</v>
      </c>
      <c r="AD116" t="s">
        <v>543</v>
      </c>
    </row>
    <row r="117" spans="1:30" ht="15" customHeight="1" x14ac:dyDescent="0.25">
      <c r="A117">
        <v>91</v>
      </c>
      <c r="B117" t="s">
        <v>546</v>
      </c>
      <c r="C117" t="s">
        <v>547</v>
      </c>
      <c r="D117" t="s">
        <v>548</v>
      </c>
      <c r="E117" t="s">
        <v>115</v>
      </c>
      <c r="G117" t="s">
        <v>16</v>
      </c>
      <c r="H117" t="s">
        <v>17</v>
      </c>
      <c r="I117">
        <v>2114</v>
      </c>
      <c r="J117" t="s">
        <v>161</v>
      </c>
      <c r="K117">
        <v>0</v>
      </c>
      <c r="R117" t="s">
        <v>300</v>
      </c>
      <c r="S117">
        <v>5383</v>
      </c>
      <c r="W117">
        <v>33536</v>
      </c>
      <c r="X117">
        <v>1006</v>
      </c>
      <c r="Z117" t="s">
        <v>117</v>
      </c>
      <c r="AA117" t="s">
        <v>403</v>
      </c>
      <c r="AB117" t="s">
        <v>549</v>
      </c>
      <c r="AC117">
        <v>91</v>
      </c>
      <c r="AD117" t="s">
        <v>546</v>
      </c>
    </row>
    <row r="118" spans="1:30" ht="15" customHeight="1" x14ac:dyDescent="0.25">
      <c r="A118">
        <v>87</v>
      </c>
      <c r="B118" t="s">
        <v>550</v>
      </c>
      <c r="C118" t="s">
        <v>551</v>
      </c>
      <c r="D118" t="s">
        <v>548</v>
      </c>
      <c r="E118" t="s">
        <v>115</v>
      </c>
      <c r="G118" t="s">
        <v>16</v>
      </c>
      <c r="H118" t="s">
        <v>17</v>
      </c>
      <c r="I118">
        <v>2762</v>
      </c>
      <c r="J118" t="s">
        <v>161</v>
      </c>
      <c r="K118">
        <v>0</v>
      </c>
      <c r="S118">
        <v>5383</v>
      </c>
      <c r="W118">
        <v>33536</v>
      </c>
      <c r="X118">
        <v>1006</v>
      </c>
      <c r="Z118" t="s">
        <v>117</v>
      </c>
      <c r="AA118" t="s">
        <v>269</v>
      </c>
      <c r="AB118" t="s">
        <v>552</v>
      </c>
      <c r="AC118">
        <v>87</v>
      </c>
      <c r="AD118" t="s">
        <v>550</v>
      </c>
    </row>
    <row r="119" spans="1:30" ht="15" customHeight="1" x14ac:dyDescent="0.25">
      <c r="A119">
        <v>26</v>
      </c>
      <c r="B119" t="s">
        <v>553</v>
      </c>
      <c r="C119" t="s">
        <v>554</v>
      </c>
      <c r="D119" t="s">
        <v>555</v>
      </c>
      <c r="E119" t="s">
        <v>115</v>
      </c>
      <c r="G119" t="s">
        <v>37</v>
      </c>
      <c r="H119" t="s">
        <v>38</v>
      </c>
      <c r="I119">
        <v>13727</v>
      </c>
      <c r="J119" t="s">
        <v>161</v>
      </c>
      <c r="K119">
        <v>0</v>
      </c>
      <c r="R119" t="s">
        <v>487</v>
      </c>
      <c r="S119">
        <v>55340</v>
      </c>
      <c r="W119">
        <v>33197</v>
      </c>
      <c r="X119">
        <v>1006</v>
      </c>
      <c r="Y119" t="s">
        <v>556</v>
      </c>
      <c r="Z119" t="s">
        <v>117</v>
      </c>
      <c r="AA119" t="s">
        <v>163</v>
      </c>
      <c r="AB119" t="s">
        <v>557</v>
      </c>
      <c r="AC119">
        <v>26</v>
      </c>
      <c r="AD119" t="s">
        <v>553</v>
      </c>
    </row>
    <row r="120" spans="1:30" ht="15" customHeight="1" x14ac:dyDescent="0.25">
      <c r="A120">
        <v>25</v>
      </c>
      <c r="B120" t="s">
        <v>558</v>
      </c>
      <c r="C120" t="s">
        <v>559</v>
      </c>
      <c r="D120" t="s">
        <v>555</v>
      </c>
      <c r="E120" t="s">
        <v>115</v>
      </c>
      <c r="G120" t="s">
        <v>37</v>
      </c>
      <c r="H120" t="s">
        <v>38</v>
      </c>
      <c r="I120">
        <v>24526</v>
      </c>
      <c r="J120" t="s">
        <v>161</v>
      </c>
      <c r="K120">
        <v>0</v>
      </c>
      <c r="R120" t="s">
        <v>326</v>
      </c>
      <c r="S120">
        <v>55340</v>
      </c>
      <c r="W120">
        <v>33197</v>
      </c>
      <c r="X120">
        <v>1006</v>
      </c>
      <c r="Y120" t="s">
        <v>556</v>
      </c>
      <c r="Z120" t="s">
        <v>117</v>
      </c>
      <c r="AA120" t="s">
        <v>369</v>
      </c>
      <c r="AB120" t="s">
        <v>560</v>
      </c>
      <c r="AC120">
        <v>25</v>
      </c>
      <c r="AD120" t="s">
        <v>558</v>
      </c>
    </row>
    <row r="121" spans="1:30" ht="15" customHeight="1" x14ac:dyDescent="0.25">
      <c r="A121">
        <v>24</v>
      </c>
      <c r="B121" t="s">
        <v>561</v>
      </c>
      <c r="C121" t="s">
        <v>562</v>
      </c>
      <c r="D121" t="s">
        <v>555</v>
      </c>
      <c r="E121" t="s">
        <v>115</v>
      </c>
      <c r="G121" t="s">
        <v>37</v>
      </c>
      <c r="H121" t="s">
        <v>38</v>
      </c>
      <c r="I121">
        <v>17087</v>
      </c>
      <c r="J121" t="s">
        <v>161</v>
      </c>
      <c r="K121">
        <v>0</v>
      </c>
      <c r="R121" t="s">
        <v>487</v>
      </c>
      <c r="S121">
        <v>55340</v>
      </c>
      <c r="W121">
        <v>33197</v>
      </c>
      <c r="X121">
        <v>1006</v>
      </c>
      <c r="Y121" t="s">
        <v>556</v>
      </c>
      <c r="Z121" t="s">
        <v>117</v>
      </c>
      <c r="AA121" t="s">
        <v>163</v>
      </c>
      <c r="AB121" t="s">
        <v>563</v>
      </c>
      <c r="AC121">
        <v>24</v>
      </c>
      <c r="AD121" t="s">
        <v>561</v>
      </c>
    </row>
    <row r="122" spans="1:30" ht="15" customHeight="1" x14ac:dyDescent="0.25">
      <c r="A122">
        <v>23</v>
      </c>
      <c r="B122" t="s">
        <v>564</v>
      </c>
      <c r="C122" t="s">
        <v>565</v>
      </c>
      <c r="D122" t="s">
        <v>566</v>
      </c>
      <c r="E122" t="s">
        <v>115</v>
      </c>
      <c r="G122" t="s">
        <v>37</v>
      </c>
      <c r="H122" t="s">
        <v>38</v>
      </c>
      <c r="I122">
        <v>1043</v>
      </c>
      <c r="J122" t="s">
        <v>161</v>
      </c>
      <c r="K122">
        <v>0</v>
      </c>
      <c r="R122" t="s">
        <v>487</v>
      </c>
      <c r="S122">
        <v>1043</v>
      </c>
      <c r="W122">
        <v>33197</v>
      </c>
      <c r="X122">
        <v>1006</v>
      </c>
      <c r="Y122" t="s">
        <v>556</v>
      </c>
      <c r="Z122" t="s">
        <v>117</v>
      </c>
      <c r="AA122" t="s">
        <v>163</v>
      </c>
      <c r="AB122" t="s">
        <v>567</v>
      </c>
      <c r="AC122">
        <v>23</v>
      </c>
      <c r="AD122" t="s">
        <v>564</v>
      </c>
    </row>
    <row r="123" spans="1:30" ht="15" customHeight="1" x14ac:dyDescent="0.25">
      <c r="A123">
        <v>465</v>
      </c>
      <c r="B123" t="s">
        <v>568</v>
      </c>
      <c r="C123" t="s">
        <v>569</v>
      </c>
      <c r="D123" t="s">
        <v>570</v>
      </c>
      <c r="E123" t="s">
        <v>115</v>
      </c>
      <c r="G123" t="s">
        <v>7</v>
      </c>
      <c r="H123" t="s">
        <v>30</v>
      </c>
      <c r="I123">
        <v>14290</v>
      </c>
      <c r="J123" t="s">
        <v>161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 t="s">
        <v>571</v>
      </c>
      <c r="S123">
        <v>14290</v>
      </c>
      <c r="W123">
        <v>33202</v>
      </c>
      <c r="X123">
        <v>1007</v>
      </c>
      <c r="Z123" t="s">
        <v>117</v>
      </c>
      <c r="AA123" t="s">
        <v>572</v>
      </c>
      <c r="AB123" t="s">
        <v>573</v>
      </c>
      <c r="AC123">
        <v>465</v>
      </c>
      <c r="AD123" t="s">
        <v>568</v>
      </c>
    </row>
    <row r="124" spans="1:30" ht="15" customHeight="1" x14ac:dyDescent="0.25">
      <c r="A124">
        <v>464</v>
      </c>
      <c r="B124" t="s">
        <v>574</v>
      </c>
      <c r="C124" t="s">
        <v>575</v>
      </c>
      <c r="D124" t="s">
        <v>576</v>
      </c>
      <c r="E124" t="s">
        <v>115</v>
      </c>
      <c r="G124" t="s">
        <v>7</v>
      </c>
      <c r="H124" t="s">
        <v>30</v>
      </c>
      <c r="I124">
        <v>12035</v>
      </c>
      <c r="J124" t="s">
        <v>161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 t="s">
        <v>571</v>
      </c>
      <c r="S124">
        <v>12035</v>
      </c>
      <c r="W124">
        <v>33202</v>
      </c>
      <c r="X124">
        <v>1007</v>
      </c>
      <c r="Z124" t="s">
        <v>117</v>
      </c>
      <c r="AA124" t="s">
        <v>572</v>
      </c>
      <c r="AB124" t="s">
        <v>577</v>
      </c>
      <c r="AC124">
        <v>464</v>
      </c>
      <c r="AD124" t="s">
        <v>574</v>
      </c>
    </row>
    <row r="125" spans="1:30" ht="15" customHeight="1" x14ac:dyDescent="0.25">
      <c r="A125">
        <v>382</v>
      </c>
      <c r="B125" t="s">
        <v>578</v>
      </c>
      <c r="C125" t="s">
        <v>579</v>
      </c>
      <c r="D125" t="s">
        <v>580</v>
      </c>
      <c r="E125" t="s">
        <v>115</v>
      </c>
      <c r="G125" t="s">
        <v>7</v>
      </c>
      <c r="H125" t="s">
        <v>30</v>
      </c>
      <c r="I125">
        <v>19500</v>
      </c>
      <c r="J125" t="s">
        <v>581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 t="s">
        <v>582</v>
      </c>
      <c r="S125">
        <v>19500</v>
      </c>
      <c r="W125">
        <v>33202</v>
      </c>
      <c r="X125">
        <v>1007</v>
      </c>
      <c r="Z125" t="s">
        <v>117</v>
      </c>
      <c r="AA125" t="s">
        <v>583</v>
      </c>
      <c r="AB125" t="s">
        <v>584</v>
      </c>
      <c r="AC125">
        <v>382</v>
      </c>
      <c r="AD125" t="s">
        <v>578</v>
      </c>
    </row>
    <row r="126" spans="1:30" ht="15" customHeight="1" x14ac:dyDescent="0.25">
      <c r="A126">
        <v>444</v>
      </c>
      <c r="B126" t="s">
        <v>585</v>
      </c>
      <c r="C126" t="s">
        <v>586</v>
      </c>
      <c r="D126" t="s">
        <v>587</v>
      </c>
      <c r="E126" t="s">
        <v>115</v>
      </c>
      <c r="G126" t="s">
        <v>7</v>
      </c>
      <c r="H126" t="s">
        <v>30</v>
      </c>
      <c r="I126">
        <v>1311</v>
      </c>
      <c r="J126" t="s">
        <v>161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 t="s">
        <v>571</v>
      </c>
      <c r="S126">
        <v>49125</v>
      </c>
      <c r="W126">
        <v>33202</v>
      </c>
      <c r="X126">
        <v>1007</v>
      </c>
      <c r="Z126" t="s">
        <v>117</v>
      </c>
      <c r="AA126" t="s">
        <v>572</v>
      </c>
      <c r="AB126" t="s">
        <v>588</v>
      </c>
      <c r="AC126">
        <v>444</v>
      </c>
      <c r="AD126" t="s">
        <v>585</v>
      </c>
    </row>
    <row r="127" spans="1:30" ht="15" customHeight="1" x14ac:dyDescent="0.25">
      <c r="A127">
        <v>477</v>
      </c>
      <c r="B127" t="s">
        <v>589</v>
      </c>
      <c r="C127" t="s">
        <v>590</v>
      </c>
      <c r="D127" t="s">
        <v>587</v>
      </c>
      <c r="E127" t="s">
        <v>115</v>
      </c>
      <c r="G127" t="s">
        <v>7</v>
      </c>
      <c r="H127" t="s">
        <v>30</v>
      </c>
      <c r="I127">
        <v>47200</v>
      </c>
      <c r="J127" t="s">
        <v>581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 t="s">
        <v>582</v>
      </c>
      <c r="S127">
        <v>49125</v>
      </c>
      <c r="W127">
        <v>33202</v>
      </c>
      <c r="X127">
        <v>1007</v>
      </c>
      <c r="Z127" t="s">
        <v>117</v>
      </c>
      <c r="AA127" t="s">
        <v>583</v>
      </c>
      <c r="AB127" t="s">
        <v>591</v>
      </c>
      <c r="AC127">
        <v>477</v>
      </c>
      <c r="AD127" t="s">
        <v>589</v>
      </c>
    </row>
    <row r="128" spans="1:30" ht="15" customHeight="1" x14ac:dyDescent="0.25">
      <c r="A128">
        <v>478</v>
      </c>
      <c r="B128" t="s">
        <v>592</v>
      </c>
      <c r="C128" t="s">
        <v>593</v>
      </c>
      <c r="D128" t="s">
        <v>587</v>
      </c>
      <c r="E128" t="s">
        <v>115</v>
      </c>
      <c r="G128" t="s">
        <v>7</v>
      </c>
      <c r="H128" t="s">
        <v>30</v>
      </c>
      <c r="I128">
        <v>615</v>
      </c>
      <c r="J128" t="s">
        <v>161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 t="s">
        <v>571</v>
      </c>
      <c r="S128">
        <v>49125</v>
      </c>
      <c r="W128">
        <v>33202</v>
      </c>
      <c r="X128">
        <v>1007</v>
      </c>
      <c r="Z128" t="s">
        <v>117</v>
      </c>
      <c r="AA128" t="s">
        <v>572</v>
      </c>
      <c r="AB128" t="s">
        <v>594</v>
      </c>
      <c r="AC128">
        <v>478</v>
      </c>
      <c r="AD128" t="s">
        <v>592</v>
      </c>
    </row>
    <row r="129" spans="1:30" ht="15" customHeight="1" x14ac:dyDescent="0.25">
      <c r="A129">
        <v>396</v>
      </c>
      <c r="B129" t="s">
        <v>595</v>
      </c>
      <c r="C129" t="s">
        <v>596</v>
      </c>
      <c r="D129" t="s">
        <v>597</v>
      </c>
      <c r="E129" t="s">
        <v>115</v>
      </c>
      <c r="G129" t="s">
        <v>7</v>
      </c>
      <c r="H129" t="s">
        <v>30</v>
      </c>
      <c r="I129">
        <v>76909</v>
      </c>
      <c r="J129" t="s">
        <v>161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 t="s">
        <v>571</v>
      </c>
      <c r="S129">
        <v>76909</v>
      </c>
      <c r="W129">
        <v>33202</v>
      </c>
      <c r="X129">
        <v>1007</v>
      </c>
      <c r="Z129" t="s">
        <v>117</v>
      </c>
      <c r="AA129" t="s">
        <v>572</v>
      </c>
      <c r="AB129" t="s">
        <v>598</v>
      </c>
      <c r="AC129">
        <v>396</v>
      </c>
      <c r="AD129" t="s">
        <v>595</v>
      </c>
    </row>
    <row r="130" spans="1:30" ht="15" customHeight="1" x14ac:dyDescent="0.25">
      <c r="A130">
        <v>369</v>
      </c>
      <c r="B130" t="s">
        <v>599</v>
      </c>
      <c r="C130" t="s">
        <v>600</v>
      </c>
      <c r="D130" t="s">
        <v>601</v>
      </c>
      <c r="E130" t="s">
        <v>115</v>
      </c>
      <c r="G130" t="s">
        <v>7</v>
      </c>
      <c r="H130" t="s">
        <v>30</v>
      </c>
      <c r="I130">
        <v>6310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1140</v>
      </c>
      <c r="S130">
        <v>6310</v>
      </c>
      <c r="W130">
        <v>33202</v>
      </c>
      <c r="X130">
        <v>1007</v>
      </c>
      <c r="Z130" t="s">
        <v>173</v>
      </c>
      <c r="AA130" t="s">
        <v>602</v>
      </c>
      <c r="AB130" t="s">
        <v>603</v>
      </c>
      <c r="AC130">
        <v>369</v>
      </c>
      <c r="AD130" t="s">
        <v>599</v>
      </c>
    </row>
    <row r="131" spans="1:30" ht="15" customHeight="1" x14ac:dyDescent="0.25">
      <c r="A131">
        <v>441</v>
      </c>
      <c r="B131" t="s">
        <v>604</v>
      </c>
      <c r="C131" t="s">
        <v>605</v>
      </c>
      <c r="D131" t="s">
        <v>606</v>
      </c>
      <c r="E131" t="s">
        <v>115</v>
      </c>
      <c r="G131" t="s">
        <v>7</v>
      </c>
      <c r="H131" t="s">
        <v>30</v>
      </c>
      <c r="I131">
        <v>11156</v>
      </c>
      <c r="J131" t="s">
        <v>161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 t="s">
        <v>607</v>
      </c>
      <c r="S131">
        <v>34725</v>
      </c>
      <c r="W131">
        <v>33202</v>
      </c>
      <c r="X131">
        <v>1007</v>
      </c>
      <c r="Z131" t="s">
        <v>117</v>
      </c>
      <c r="AA131" t="s">
        <v>608</v>
      </c>
      <c r="AB131" t="s">
        <v>609</v>
      </c>
      <c r="AC131">
        <v>441</v>
      </c>
      <c r="AD131" t="s">
        <v>604</v>
      </c>
    </row>
    <row r="132" spans="1:30" ht="15" customHeight="1" x14ac:dyDescent="0.25">
      <c r="A132">
        <v>442</v>
      </c>
      <c r="B132" t="s">
        <v>610</v>
      </c>
      <c r="C132" t="s">
        <v>611</v>
      </c>
      <c r="D132" t="s">
        <v>606</v>
      </c>
      <c r="E132" t="s">
        <v>115</v>
      </c>
      <c r="G132" t="s">
        <v>7</v>
      </c>
      <c r="H132" t="s">
        <v>30</v>
      </c>
      <c r="I132">
        <v>15398</v>
      </c>
      <c r="J132" t="s">
        <v>161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 t="s">
        <v>571</v>
      </c>
      <c r="S132">
        <v>34725</v>
      </c>
      <c r="W132">
        <v>33202</v>
      </c>
      <c r="X132">
        <v>1007</v>
      </c>
      <c r="Z132" t="s">
        <v>117</v>
      </c>
      <c r="AA132" t="s">
        <v>572</v>
      </c>
      <c r="AB132" t="s">
        <v>612</v>
      </c>
      <c r="AC132">
        <v>442</v>
      </c>
      <c r="AD132" t="s">
        <v>610</v>
      </c>
    </row>
    <row r="133" spans="1:30" ht="15" customHeight="1" x14ac:dyDescent="0.25">
      <c r="A133">
        <v>443</v>
      </c>
      <c r="B133" t="s">
        <v>613</v>
      </c>
      <c r="C133" t="s">
        <v>614</v>
      </c>
      <c r="D133" t="s">
        <v>606</v>
      </c>
      <c r="E133" t="s">
        <v>115</v>
      </c>
      <c r="G133" t="s">
        <v>7</v>
      </c>
      <c r="H133" t="s">
        <v>30</v>
      </c>
      <c r="I133">
        <v>8171</v>
      </c>
      <c r="J133" t="s">
        <v>581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 t="s">
        <v>582</v>
      </c>
      <c r="S133">
        <v>34725</v>
      </c>
      <c r="W133">
        <v>33202</v>
      </c>
      <c r="X133">
        <v>1007</v>
      </c>
      <c r="Z133" t="s">
        <v>117</v>
      </c>
      <c r="AA133" t="s">
        <v>583</v>
      </c>
      <c r="AB133" t="s">
        <v>615</v>
      </c>
      <c r="AC133">
        <v>443</v>
      </c>
      <c r="AD133" t="s">
        <v>613</v>
      </c>
    </row>
    <row r="134" spans="1:30" ht="15" customHeight="1" x14ac:dyDescent="0.25">
      <c r="A134">
        <v>476</v>
      </c>
      <c r="B134" t="s">
        <v>616</v>
      </c>
      <c r="C134" t="s">
        <v>617</v>
      </c>
      <c r="D134" t="s">
        <v>618</v>
      </c>
      <c r="E134" t="s">
        <v>115</v>
      </c>
      <c r="G134" t="s">
        <v>7</v>
      </c>
      <c r="H134" t="s">
        <v>30</v>
      </c>
      <c r="I134">
        <v>2386</v>
      </c>
      <c r="J134" t="s">
        <v>161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 t="s">
        <v>607</v>
      </c>
      <c r="S134">
        <v>7485</v>
      </c>
      <c r="W134">
        <v>33202</v>
      </c>
      <c r="X134">
        <v>1007</v>
      </c>
      <c r="Z134" t="s">
        <v>117</v>
      </c>
      <c r="AA134" t="s">
        <v>608</v>
      </c>
      <c r="AB134" t="s">
        <v>619</v>
      </c>
      <c r="AC134">
        <v>476</v>
      </c>
      <c r="AD134" t="s">
        <v>616</v>
      </c>
    </row>
    <row r="135" spans="1:30" ht="15" customHeight="1" x14ac:dyDescent="0.25">
      <c r="A135">
        <v>475</v>
      </c>
      <c r="B135" t="s">
        <v>620</v>
      </c>
      <c r="C135" t="s">
        <v>621</v>
      </c>
      <c r="D135" t="s">
        <v>618</v>
      </c>
      <c r="E135" t="s">
        <v>115</v>
      </c>
      <c r="G135" t="s">
        <v>7</v>
      </c>
      <c r="H135" t="s">
        <v>30</v>
      </c>
      <c r="I135">
        <v>5099</v>
      </c>
      <c r="J135" t="s">
        <v>161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 t="s">
        <v>571</v>
      </c>
      <c r="S135">
        <v>7485</v>
      </c>
      <c r="W135">
        <v>33202</v>
      </c>
      <c r="X135">
        <v>1007</v>
      </c>
      <c r="Z135" t="s">
        <v>117</v>
      </c>
      <c r="AA135" t="s">
        <v>572</v>
      </c>
      <c r="AB135" t="s">
        <v>622</v>
      </c>
      <c r="AC135">
        <v>475</v>
      </c>
      <c r="AD135" t="s">
        <v>620</v>
      </c>
    </row>
    <row r="136" spans="1:30" ht="15" customHeight="1" x14ac:dyDescent="0.25">
      <c r="A136">
        <v>458</v>
      </c>
      <c r="B136" t="s">
        <v>623</v>
      </c>
      <c r="C136" t="s">
        <v>624</v>
      </c>
      <c r="D136" t="s">
        <v>625</v>
      </c>
      <c r="E136" t="s">
        <v>115</v>
      </c>
      <c r="G136" t="s">
        <v>7</v>
      </c>
      <c r="H136" t="s">
        <v>30</v>
      </c>
      <c r="I136">
        <v>7335</v>
      </c>
      <c r="J136" t="s">
        <v>161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 t="s">
        <v>607</v>
      </c>
      <c r="S136">
        <v>7335</v>
      </c>
      <c r="W136">
        <v>33202</v>
      </c>
      <c r="X136">
        <v>1007</v>
      </c>
      <c r="Z136" t="s">
        <v>117</v>
      </c>
      <c r="AA136" t="s">
        <v>608</v>
      </c>
      <c r="AB136" t="s">
        <v>626</v>
      </c>
      <c r="AC136">
        <v>458</v>
      </c>
      <c r="AD136" t="s">
        <v>623</v>
      </c>
    </row>
    <row r="137" spans="1:30" ht="15" customHeight="1" x14ac:dyDescent="0.25">
      <c r="A137">
        <v>393</v>
      </c>
      <c r="B137" t="s">
        <v>627</v>
      </c>
      <c r="C137" t="s">
        <v>628</v>
      </c>
      <c r="D137" t="s">
        <v>629</v>
      </c>
      <c r="E137" t="s">
        <v>115</v>
      </c>
      <c r="G137" t="s">
        <v>7</v>
      </c>
      <c r="H137" t="s">
        <v>30</v>
      </c>
      <c r="I137">
        <v>14510</v>
      </c>
      <c r="J137" t="s">
        <v>161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 t="s">
        <v>607</v>
      </c>
      <c r="S137">
        <v>14510</v>
      </c>
      <c r="W137">
        <v>33202</v>
      </c>
      <c r="X137">
        <v>1007</v>
      </c>
      <c r="Z137" t="s">
        <v>117</v>
      </c>
      <c r="AA137" t="s">
        <v>608</v>
      </c>
      <c r="AB137" t="s">
        <v>630</v>
      </c>
      <c r="AC137">
        <v>393</v>
      </c>
      <c r="AD137" t="s">
        <v>627</v>
      </c>
    </row>
    <row r="138" spans="1:30" ht="15" customHeight="1" x14ac:dyDescent="0.25">
      <c r="A138">
        <v>474</v>
      </c>
      <c r="B138" t="s">
        <v>631</v>
      </c>
      <c r="C138" t="s">
        <v>632</v>
      </c>
      <c r="D138" t="s">
        <v>633</v>
      </c>
      <c r="E138" t="s">
        <v>115</v>
      </c>
      <c r="G138" t="s">
        <v>7</v>
      </c>
      <c r="H138" t="s">
        <v>30</v>
      </c>
      <c r="I138">
        <v>11646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 t="s">
        <v>571</v>
      </c>
      <c r="S138">
        <v>18625</v>
      </c>
      <c r="W138">
        <v>33202</v>
      </c>
      <c r="X138">
        <v>1007</v>
      </c>
      <c r="Z138" t="s">
        <v>117</v>
      </c>
      <c r="AA138" t="s">
        <v>634</v>
      </c>
      <c r="AB138" t="s">
        <v>635</v>
      </c>
      <c r="AC138">
        <v>474</v>
      </c>
      <c r="AD138" t="s">
        <v>631</v>
      </c>
    </row>
    <row r="139" spans="1:30" ht="15" customHeight="1" x14ac:dyDescent="0.25">
      <c r="A139">
        <v>473</v>
      </c>
      <c r="B139" t="s">
        <v>636</v>
      </c>
      <c r="C139" t="s">
        <v>637</v>
      </c>
      <c r="D139" t="s">
        <v>633</v>
      </c>
      <c r="E139" t="s">
        <v>115</v>
      </c>
      <c r="G139" t="s">
        <v>7</v>
      </c>
      <c r="H139" t="s">
        <v>30</v>
      </c>
      <c r="I139">
        <v>6979</v>
      </c>
      <c r="J139" t="s">
        <v>161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 t="s">
        <v>607</v>
      </c>
      <c r="S139">
        <v>18625</v>
      </c>
      <c r="W139">
        <v>33202</v>
      </c>
      <c r="X139">
        <v>1007</v>
      </c>
      <c r="Z139" t="s">
        <v>117</v>
      </c>
      <c r="AA139" t="s">
        <v>608</v>
      </c>
      <c r="AB139" t="s">
        <v>638</v>
      </c>
      <c r="AC139">
        <v>473</v>
      </c>
      <c r="AD139" t="s">
        <v>636</v>
      </c>
    </row>
    <row r="140" spans="1:30" ht="15" customHeight="1" x14ac:dyDescent="0.25">
      <c r="A140">
        <v>410</v>
      </c>
      <c r="B140" t="s">
        <v>639</v>
      </c>
      <c r="C140" t="s">
        <v>640</v>
      </c>
      <c r="D140" t="s">
        <v>641</v>
      </c>
      <c r="E140" t="s">
        <v>115</v>
      </c>
      <c r="G140" t="s">
        <v>7</v>
      </c>
      <c r="H140" t="s">
        <v>30</v>
      </c>
      <c r="I140">
        <v>24320</v>
      </c>
      <c r="J140" t="s">
        <v>161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1146</v>
      </c>
      <c r="S140">
        <v>24320</v>
      </c>
      <c r="W140">
        <v>33202</v>
      </c>
      <c r="X140">
        <v>1007</v>
      </c>
      <c r="Z140" t="s">
        <v>117</v>
      </c>
      <c r="AA140" t="s">
        <v>642</v>
      </c>
      <c r="AB140" t="s">
        <v>643</v>
      </c>
      <c r="AC140">
        <v>410</v>
      </c>
      <c r="AD140" t="s">
        <v>639</v>
      </c>
    </row>
    <row r="141" spans="1:30" ht="15" customHeight="1" x14ac:dyDescent="0.25">
      <c r="A141">
        <v>420</v>
      </c>
      <c r="B141" t="s">
        <v>644</v>
      </c>
      <c r="C141" t="s">
        <v>645</v>
      </c>
      <c r="D141" t="s">
        <v>646</v>
      </c>
      <c r="E141" t="s">
        <v>115</v>
      </c>
      <c r="G141" t="s">
        <v>7</v>
      </c>
      <c r="H141" t="s">
        <v>30</v>
      </c>
      <c r="I141">
        <v>21000</v>
      </c>
      <c r="J141" t="s">
        <v>161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1147</v>
      </c>
      <c r="S141">
        <v>21000</v>
      </c>
      <c r="W141">
        <v>33202</v>
      </c>
      <c r="X141">
        <v>1007</v>
      </c>
      <c r="Z141" t="s">
        <v>117</v>
      </c>
      <c r="AA141" t="s">
        <v>642</v>
      </c>
      <c r="AB141" t="s">
        <v>647</v>
      </c>
      <c r="AC141">
        <v>420</v>
      </c>
      <c r="AD141" t="s">
        <v>644</v>
      </c>
    </row>
    <row r="142" spans="1:30" ht="15" customHeight="1" x14ac:dyDescent="0.25">
      <c r="A142">
        <v>457</v>
      </c>
      <c r="B142" t="s">
        <v>648</v>
      </c>
      <c r="C142" t="s">
        <v>649</v>
      </c>
      <c r="D142" t="s">
        <v>650</v>
      </c>
      <c r="E142" t="s">
        <v>115</v>
      </c>
      <c r="G142" t="s">
        <v>7</v>
      </c>
      <c r="H142" t="s">
        <v>30</v>
      </c>
      <c r="I142">
        <v>3715</v>
      </c>
      <c r="J142" t="s">
        <v>161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 t="s">
        <v>607</v>
      </c>
      <c r="S142">
        <v>3715</v>
      </c>
      <c r="W142">
        <v>33202</v>
      </c>
      <c r="X142">
        <v>1007</v>
      </c>
      <c r="Z142" t="s">
        <v>117</v>
      </c>
      <c r="AA142" t="s">
        <v>608</v>
      </c>
      <c r="AB142" t="s">
        <v>651</v>
      </c>
      <c r="AC142">
        <v>457</v>
      </c>
      <c r="AD142" t="s">
        <v>648</v>
      </c>
    </row>
    <row r="143" spans="1:30" ht="15" customHeight="1" x14ac:dyDescent="0.25">
      <c r="A143">
        <v>470</v>
      </c>
      <c r="B143" t="s">
        <v>652</v>
      </c>
      <c r="C143" t="s">
        <v>653</v>
      </c>
      <c r="D143" t="s">
        <v>654</v>
      </c>
      <c r="E143" t="s">
        <v>115</v>
      </c>
      <c r="G143" t="s">
        <v>7</v>
      </c>
      <c r="H143" t="s">
        <v>30</v>
      </c>
      <c r="I143">
        <v>1508</v>
      </c>
      <c r="J143" t="s">
        <v>161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1149</v>
      </c>
      <c r="S143">
        <v>4745</v>
      </c>
      <c r="W143">
        <v>33202</v>
      </c>
      <c r="X143">
        <v>1007</v>
      </c>
      <c r="Z143" t="s">
        <v>117</v>
      </c>
      <c r="AA143" t="s">
        <v>642</v>
      </c>
      <c r="AB143" t="s">
        <v>655</v>
      </c>
      <c r="AC143">
        <v>470</v>
      </c>
      <c r="AD143" t="s">
        <v>652</v>
      </c>
    </row>
    <row r="144" spans="1:30" ht="15" customHeight="1" x14ac:dyDescent="0.25">
      <c r="A144">
        <v>469</v>
      </c>
      <c r="B144" t="s">
        <v>656</v>
      </c>
      <c r="C144" t="s">
        <v>657</v>
      </c>
      <c r="D144" t="s">
        <v>654</v>
      </c>
      <c r="E144" t="s">
        <v>115</v>
      </c>
      <c r="G144" t="s">
        <v>7</v>
      </c>
      <c r="H144" t="s">
        <v>30</v>
      </c>
      <c r="I144">
        <v>3237</v>
      </c>
      <c r="J144" t="s">
        <v>161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 t="s">
        <v>607</v>
      </c>
      <c r="S144">
        <v>4745</v>
      </c>
      <c r="W144">
        <v>33202</v>
      </c>
      <c r="X144">
        <v>1007</v>
      </c>
      <c r="Z144" t="s">
        <v>117</v>
      </c>
      <c r="AA144" t="s">
        <v>608</v>
      </c>
      <c r="AB144" t="s">
        <v>658</v>
      </c>
      <c r="AC144">
        <v>469</v>
      </c>
      <c r="AD144" t="s">
        <v>656</v>
      </c>
    </row>
    <row r="145" spans="1:30" ht="15" customHeight="1" x14ac:dyDescent="0.25">
      <c r="A145">
        <v>472</v>
      </c>
      <c r="B145" t="s">
        <v>659</v>
      </c>
      <c r="C145" t="s">
        <v>660</v>
      </c>
      <c r="D145" t="s">
        <v>661</v>
      </c>
      <c r="E145" t="s">
        <v>115</v>
      </c>
      <c r="G145" t="s">
        <v>7</v>
      </c>
      <c r="H145" t="s">
        <v>30</v>
      </c>
      <c r="I145">
        <v>7217</v>
      </c>
      <c r="J145" t="s">
        <v>161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1150</v>
      </c>
      <c r="S145">
        <v>24100</v>
      </c>
      <c r="W145">
        <v>33202</v>
      </c>
      <c r="X145">
        <v>1007</v>
      </c>
      <c r="Z145" t="s">
        <v>117</v>
      </c>
      <c r="AA145" t="s">
        <v>642</v>
      </c>
      <c r="AB145" t="s">
        <v>662</v>
      </c>
      <c r="AC145">
        <v>472</v>
      </c>
      <c r="AD145" t="s">
        <v>659</v>
      </c>
    </row>
    <row r="146" spans="1:30" ht="15" customHeight="1" x14ac:dyDescent="0.25">
      <c r="A146">
        <v>440</v>
      </c>
      <c r="B146" t="s">
        <v>663</v>
      </c>
      <c r="C146" t="s">
        <v>664</v>
      </c>
      <c r="D146" t="s">
        <v>661</v>
      </c>
      <c r="E146" t="s">
        <v>115</v>
      </c>
      <c r="G146" t="s">
        <v>7</v>
      </c>
      <c r="H146" t="s">
        <v>30</v>
      </c>
      <c r="I146">
        <v>2041</v>
      </c>
      <c r="J146" t="s">
        <v>581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 t="s">
        <v>582</v>
      </c>
      <c r="S146">
        <v>24100</v>
      </c>
      <c r="W146">
        <v>33202</v>
      </c>
      <c r="X146">
        <v>1007</v>
      </c>
      <c r="Z146" t="s">
        <v>117</v>
      </c>
      <c r="AA146" t="s">
        <v>583</v>
      </c>
      <c r="AB146" t="s">
        <v>665</v>
      </c>
      <c r="AC146">
        <v>440</v>
      </c>
      <c r="AD146" t="s">
        <v>663</v>
      </c>
    </row>
    <row r="147" spans="1:30" ht="15" customHeight="1" x14ac:dyDescent="0.25">
      <c r="A147">
        <v>471</v>
      </c>
      <c r="B147" t="s">
        <v>666</v>
      </c>
      <c r="C147" t="s">
        <v>667</v>
      </c>
      <c r="D147" t="s">
        <v>661</v>
      </c>
      <c r="E147" t="s">
        <v>115</v>
      </c>
      <c r="G147" t="s">
        <v>7</v>
      </c>
      <c r="H147" t="s">
        <v>30</v>
      </c>
      <c r="I147">
        <v>14842</v>
      </c>
      <c r="J147" t="s">
        <v>161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 t="s">
        <v>607</v>
      </c>
      <c r="S147">
        <v>24100</v>
      </c>
      <c r="W147">
        <v>33202</v>
      </c>
      <c r="X147">
        <v>1007</v>
      </c>
      <c r="Z147" t="s">
        <v>117</v>
      </c>
      <c r="AA147" t="s">
        <v>608</v>
      </c>
      <c r="AB147" t="s">
        <v>668</v>
      </c>
      <c r="AC147">
        <v>471</v>
      </c>
      <c r="AD147" t="s">
        <v>666</v>
      </c>
    </row>
    <row r="148" spans="1:30" ht="15" customHeight="1" x14ac:dyDescent="0.25">
      <c r="A148">
        <v>416</v>
      </c>
      <c r="B148" t="s">
        <v>669</v>
      </c>
      <c r="C148" t="s">
        <v>670</v>
      </c>
      <c r="D148" t="s">
        <v>671</v>
      </c>
      <c r="E148" t="s">
        <v>115</v>
      </c>
      <c r="G148" t="s">
        <v>7</v>
      </c>
      <c r="H148" t="s">
        <v>30</v>
      </c>
      <c r="I148">
        <v>32465</v>
      </c>
      <c r="J148" t="s">
        <v>581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 t="s">
        <v>582</v>
      </c>
      <c r="S148">
        <v>32465</v>
      </c>
      <c r="W148">
        <v>33202</v>
      </c>
      <c r="X148">
        <v>1007</v>
      </c>
      <c r="Z148" t="s">
        <v>117</v>
      </c>
      <c r="AA148" t="s">
        <v>583</v>
      </c>
      <c r="AB148" t="s">
        <v>672</v>
      </c>
      <c r="AC148">
        <v>416</v>
      </c>
      <c r="AD148" t="s">
        <v>669</v>
      </c>
    </row>
    <row r="149" spans="1:30" ht="15" customHeight="1" x14ac:dyDescent="0.25">
      <c r="A149">
        <v>438</v>
      </c>
      <c r="B149" t="s">
        <v>673</v>
      </c>
      <c r="C149" t="s">
        <v>674</v>
      </c>
      <c r="D149" t="s">
        <v>675</v>
      </c>
      <c r="E149" t="s">
        <v>115</v>
      </c>
      <c r="G149" t="s">
        <v>7</v>
      </c>
      <c r="H149" t="s">
        <v>30</v>
      </c>
      <c r="I149">
        <v>42348</v>
      </c>
      <c r="J149" t="s">
        <v>161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 t="s">
        <v>607</v>
      </c>
      <c r="S149">
        <v>55874</v>
      </c>
      <c r="W149">
        <v>33202</v>
      </c>
      <c r="X149">
        <v>1007</v>
      </c>
      <c r="Z149" t="s">
        <v>117</v>
      </c>
      <c r="AA149" t="s">
        <v>608</v>
      </c>
      <c r="AB149" t="s">
        <v>676</v>
      </c>
      <c r="AC149">
        <v>438</v>
      </c>
      <c r="AD149" t="s">
        <v>673</v>
      </c>
    </row>
    <row r="150" spans="1:30" ht="15" customHeight="1" x14ac:dyDescent="0.25">
      <c r="A150">
        <v>105</v>
      </c>
      <c r="B150" t="s">
        <v>677</v>
      </c>
      <c r="C150" t="s">
        <v>678</v>
      </c>
      <c r="D150" t="s">
        <v>675</v>
      </c>
      <c r="E150" t="s">
        <v>115</v>
      </c>
      <c r="G150" t="s">
        <v>7</v>
      </c>
      <c r="H150" t="s">
        <v>30</v>
      </c>
      <c r="I150">
        <v>12943</v>
      </c>
      <c r="J150" t="s">
        <v>581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 t="s">
        <v>582</v>
      </c>
      <c r="S150">
        <v>55874</v>
      </c>
      <c r="W150">
        <v>33202</v>
      </c>
      <c r="X150">
        <v>1007</v>
      </c>
      <c r="Z150" t="s">
        <v>117</v>
      </c>
      <c r="AA150" t="s">
        <v>583</v>
      </c>
      <c r="AB150" t="s">
        <v>679</v>
      </c>
      <c r="AC150">
        <v>105</v>
      </c>
      <c r="AD150" t="s">
        <v>677</v>
      </c>
    </row>
    <row r="151" spans="1:30" ht="15" customHeight="1" x14ac:dyDescent="0.25">
      <c r="A151">
        <v>439</v>
      </c>
      <c r="B151" t="s">
        <v>680</v>
      </c>
      <c r="C151" t="s">
        <v>681</v>
      </c>
      <c r="D151" t="s">
        <v>675</v>
      </c>
      <c r="E151" t="s">
        <v>115</v>
      </c>
      <c r="G151" t="s">
        <v>7</v>
      </c>
      <c r="H151" t="s">
        <v>30</v>
      </c>
      <c r="I151">
        <v>583</v>
      </c>
      <c r="J151" t="s">
        <v>581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 t="s">
        <v>582</v>
      </c>
      <c r="S151">
        <v>55874</v>
      </c>
      <c r="W151">
        <v>33202</v>
      </c>
      <c r="X151">
        <v>1007</v>
      </c>
      <c r="Z151" t="s">
        <v>117</v>
      </c>
      <c r="AA151" t="s">
        <v>583</v>
      </c>
      <c r="AB151" t="s">
        <v>682</v>
      </c>
      <c r="AC151">
        <v>439</v>
      </c>
      <c r="AD151" t="s">
        <v>680</v>
      </c>
    </row>
    <row r="152" spans="1:30" ht="15" customHeight="1" x14ac:dyDescent="0.25">
      <c r="A152">
        <v>8</v>
      </c>
      <c r="B152" t="s">
        <v>683</v>
      </c>
      <c r="C152" t="s">
        <v>684</v>
      </c>
      <c r="D152" t="s">
        <v>685</v>
      </c>
      <c r="E152" t="s">
        <v>115</v>
      </c>
      <c r="G152" t="s">
        <v>7</v>
      </c>
      <c r="H152" t="s">
        <v>30</v>
      </c>
      <c r="I152">
        <v>2120</v>
      </c>
      <c r="J152" t="s">
        <v>581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 t="s">
        <v>582</v>
      </c>
      <c r="S152">
        <v>2120</v>
      </c>
      <c r="W152">
        <v>33202</v>
      </c>
      <c r="X152">
        <v>1007</v>
      </c>
      <c r="Z152" t="s">
        <v>117</v>
      </c>
      <c r="AA152" t="s">
        <v>583</v>
      </c>
      <c r="AB152" t="s">
        <v>686</v>
      </c>
      <c r="AC152">
        <v>8</v>
      </c>
      <c r="AD152" t="s">
        <v>683</v>
      </c>
    </row>
    <row r="153" spans="1:30" ht="15" customHeight="1" x14ac:dyDescent="0.25">
      <c r="A153">
        <v>53</v>
      </c>
      <c r="B153" t="s">
        <v>687</v>
      </c>
      <c r="C153" t="s">
        <v>688</v>
      </c>
      <c r="D153" t="s">
        <v>689</v>
      </c>
      <c r="E153" t="s">
        <v>115</v>
      </c>
      <c r="G153" t="s">
        <v>7</v>
      </c>
      <c r="H153" t="s">
        <v>30</v>
      </c>
      <c r="I153">
        <v>1542</v>
      </c>
      <c r="J153" t="s">
        <v>581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 t="s">
        <v>582</v>
      </c>
      <c r="S153">
        <v>1542</v>
      </c>
      <c r="W153">
        <v>33202</v>
      </c>
      <c r="X153">
        <v>1007</v>
      </c>
      <c r="Z153" t="s">
        <v>117</v>
      </c>
      <c r="AA153" t="s">
        <v>583</v>
      </c>
      <c r="AB153" t="s">
        <v>690</v>
      </c>
      <c r="AC153">
        <v>53</v>
      </c>
      <c r="AD153" t="s">
        <v>687</v>
      </c>
    </row>
    <row r="154" spans="1:30" ht="15" customHeight="1" x14ac:dyDescent="0.25">
      <c r="A154">
        <v>128</v>
      </c>
      <c r="B154" t="s">
        <v>691</v>
      </c>
      <c r="C154" t="s">
        <v>692</v>
      </c>
      <c r="D154" t="s">
        <v>693</v>
      </c>
      <c r="E154" t="s">
        <v>115</v>
      </c>
      <c r="G154" t="s">
        <v>7</v>
      </c>
      <c r="H154" t="s">
        <v>30</v>
      </c>
      <c r="I154">
        <v>2118</v>
      </c>
      <c r="J154" t="s">
        <v>161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1155</v>
      </c>
      <c r="S154">
        <v>24685</v>
      </c>
      <c r="W154">
        <v>33202</v>
      </c>
      <c r="X154">
        <v>1007</v>
      </c>
      <c r="Z154" t="s">
        <v>117</v>
      </c>
      <c r="AA154" t="s">
        <v>642</v>
      </c>
      <c r="AB154" t="s">
        <v>694</v>
      </c>
      <c r="AC154">
        <v>128</v>
      </c>
      <c r="AD154" t="s">
        <v>691</v>
      </c>
    </row>
    <row r="155" spans="1:30" ht="15" customHeight="1" x14ac:dyDescent="0.25">
      <c r="A155">
        <v>462</v>
      </c>
      <c r="B155" t="s">
        <v>695</v>
      </c>
      <c r="C155" t="s">
        <v>696</v>
      </c>
      <c r="D155" t="s">
        <v>693</v>
      </c>
      <c r="E155" t="s">
        <v>115</v>
      </c>
      <c r="G155" t="s">
        <v>7</v>
      </c>
      <c r="H155" t="s">
        <v>30</v>
      </c>
      <c r="I155">
        <v>22567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1155</v>
      </c>
      <c r="S155">
        <v>24685</v>
      </c>
      <c r="V155">
        <v>1</v>
      </c>
      <c r="W155">
        <v>33202</v>
      </c>
      <c r="X155">
        <v>1007</v>
      </c>
      <c r="Z155" t="s">
        <v>117</v>
      </c>
      <c r="AA155" t="s">
        <v>403</v>
      </c>
      <c r="AB155" t="s">
        <v>697</v>
      </c>
      <c r="AC155">
        <v>462</v>
      </c>
      <c r="AD155" t="s">
        <v>695</v>
      </c>
    </row>
    <row r="156" spans="1:30" ht="15" customHeight="1" x14ac:dyDescent="0.25">
      <c r="A156">
        <v>463</v>
      </c>
      <c r="B156" t="s">
        <v>698</v>
      </c>
      <c r="C156" t="s">
        <v>699</v>
      </c>
      <c r="D156" t="s">
        <v>700</v>
      </c>
      <c r="E156" t="s">
        <v>115</v>
      </c>
      <c r="G156" t="s">
        <v>7</v>
      </c>
      <c r="H156" t="s">
        <v>30</v>
      </c>
      <c r="I156">
        <v>6555</v>
      </c>
      <c r="J156" t="s">
        <v>161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1156</v>
      </c>
      <c r="S156">
        <v>7650</v>
      </c>
      <c r="W156">
        <v>33202</v>
      </c>
      <c r="X156">
        <v>1007</v>
      </c>
      <c r="Z156" t="s">
        <v>117</v>
      </c>
      <c r="AA156" t="s">
        <v>642</v>
      </c>
      <c r="AB156" t="s">
        <v>701</v>
      </c>
      <c r="AC156">
        <v>463</v>
      </c>
      <c r="AD156" t="s">
        <v>698</v>
      </c>
    </row>
    <row r="157" spans="1:30" ht="15" customHeight="1" x14ac:dyDescent="0.25">
      <c r="A157">
        <v>466</v>
      </c>
      <c r="B157" t="s">
        <v>702</v>
      </c>
      <c r="C157" t="s">
        <v>703</v>
      </c>
      <c r="D157" t="s">
        <v>700</v>
      </c>
      <c r="E157" t="s">
        <v>115</v>
      </c>
      <c r="G157" t="s">
        <v>7</v>
      </c>
      <c r="H157" t="s">
        <v>30</v>
      </c>
      <c r="I157">
        <v>1095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1156</v>
      </c>
      <c r="S157">
        <v>7650</v>
      </c>
      <c r="V157">
        <v>1</v>
      </c>
      <c r="W157">
        <v>33202</v>
      </c>
      <c r="X157">
        <v>1007</v>
      </c>
      <c r="Z157" t="s">
        <v>117</v>
      </c>
      <c r="AA157" t="s">
        <v>403</v>
      </c>
      <c r="AB157" t="s">
        <v>704</v>
      </c>
      <c r="AC157">
        <v>466</v>
      </c>
      <c r="AD157" t="s">
        <v>702</v>
      </c>
    </row>
    <row r="158" spans="1:30" ht="15" customHeight="1" x14ac:dyDescent="0.25">
      <c r="A158">
        <v>414</v>
      </c>
      <c r="B158" t="s">
        <v>705</v>
      </c>
      <c r="C158" t="s">
        <v>706</v>
      </c>
      <c r="D158" t="s">
        <v>707</v>
      </c>
      <c r="E158" t="s">
        <v>115</v>
      </c>
      <c r="G158" t="s">
        <v>7</v>
      </c>
      <c r="H158" t="s">
        <v>30</v>
      </c>
      <c r="I158">
        <v>1800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1157</v>
      </c>
      <c r="S158">
        <v>1800</v>
      </c>
      <c r="V158">
        <v>1</v>
      </c>
      <c r="W158">
        <v>33202</v>
      </c>
      <c r="X158">
        <v>1007</v>
      </c>
      <c r="Z158" t="s">
        <v>117</v>
      </c>
      <c r="AA158" t="s">
        <v>403</v>
      </c>
      <c r="AB158" t="s">
        <v>708</v>
      </c>
      <c r="AC158">
        <v>414</v>
      </c>
      <c r="AD158" t="s">
        <v>705</v>
      </c>
    </row>
    <row r="159" spans="1:30" ht="15" customHeight="1" x14ac:dyDescent="0.25">
      <c r="A159">
        <v>453</v>
      </c>
      <c r="B159" t="s">
        <v>709</v>
      </c>
      <c r="C159" t="s">
        <v>710</v>
      </c>
      <c r="D159" t="s">
        <v>711</v>
      </c>
      <c r="E159" t="s">
        <v>115</v>
      </c>
      <c r="G159" t="s">
        <v>7</v>
      </c>
      <c r="H159" t="s">
        <v>30</v>
      </c>
      <c r="I159">
        <v>1246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1158</v>
      </c>
      <c r="S159">
        <v>11660</v>
      </c>
      <c r="W159">
        <v>33202</v>
      </c>
      <c r="X159">
        <v>1007</v>
      </c>
      <c r="Z159" t="s">
        <v>117</v>
      </c>
      <c r="AA159" t="s">
        <v>403</v>
      </c>
      <c r="AB159" t="s">
        <v>712</v>
      </c>
      <c r="AC159">
        <v>453</v>
      </c>
      <c r="AD159" t="s">
        <v>709</v>
      </c>
    </row>
    <row r="160" spans="1:30" ht="15" customHeight="1" x14ac:dyDescent="0.25">
      <c r="A160">
        <v>452</v>
      </c>
      <c r="B160" t="s">
        <v>713</v>
      </c>
      <c r="C160" t="s">
        <v>714</v>
      </c>
      <c r="D160" t="s">
        <v>711</v>
      </c>
      <c r="E160" t="s">
        <v>115</v>
      </c>
      <c r="G160" t="s">
        <v>7</v>
      </c>
      <c r="H160" t="s">
        <v>30</v>
      </c>
      <c r="I160">
        <v>10414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1158</v>
      </c>
      <c r="S160">
        <v>11660</v>
      </c>
      <c r="V160">
        <v>1</v>
      </c>
      <c r="W160">
        <v>33202</v>
      </c>
      <c r="X160">
        <v>1007</v>
      </c>
      <c r="Z160" t="s">
        <v>117</v>
      </c>
      <c r="AA160" t="s">
        <v>403</v>
      </c>
      <c r="AB160" t="s">
        <v>715</v>
      </c>
      <c r="AC160">
        <v>452</v>
      </c>
      <c r="AD160" t="s">
        <v>713</v>
      </c>
    </row>
    <row r="161" spans="1:30" ht="15" customHeight="1" x14ac:dyDescent="0.25">
      <c r="A161">
        <v>361</v>
      </c>
      <c r="B161" t="s">
        <v>716</v>
      </c>
      <c r="C161" t="s">
        <v>717</v>
      </c>
      <c r="D161" t="s">
        <v>718</v>
      </c>
      <c r="E161" t="s">
        <v>115</v>
      </c>
      <c r="G161" t="s">
        <v>7</v>
      </c>
      <c r="H161" t="s">
        <v>30</v>
      </c>
      <c r="I161">
        <v>3500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1159</v>
      </c>
      <c r="S161">
        <v>3500</v>
      </c>
      <c r="V161">
        <v>1</v>
      </c>
      <c r="W161">
        <v>33202</v>
      </c>
      <c r="X161">
        <v>1007</v>
      </c>
      <c r="Z161" t="s">
        <v>117</v>
      </c>
      <c r="AA161" t="s">
        <v>403</v>
      </c>
      <c r="AB161" t="s">
        <v>719</v>
      </c>
      <c r="AC161">
        <v>361</v>
      </c>
      <c r="AD161" t="s">
        <v>716</v>
      </c>
    </row>
    <row r="162" spans="1:30" ht="15" customHeight="1" x14ac:dyDescent="0.25">
      <c r="A162">
        <v>445</v>
      </c>
      <c r="B162" t="s">
        <v>720</v>
      </c>
      <c r="C162" t="s">
        <v>721</v>
      </c>
      <c r="D162" t="s">
        <v>722</v>
      </c>
      <c r="E162" t="s">
        <v>115</v>
      </c>
      <c r="G162" t="s">
        <v>7</v>
      </c>
      <c r="H162" t="s">
        <v>30</v>
      </c>
      <c r="I162">
        <v>3079</v>
      </c>
      <c r="J162" t="s">
        <v>161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1160</v>
      </c>
      <c r="S162">
        <v>5180</v>
      </c>
      <c r="W162">
        <v>33202</v>
      </c>
      <c r="X162">
        <v>1007</v>
      </c>
      <c r="Z162" t="s">
        <v>117</v>
      </c>
      <c r="AA162" t="s">
        <v>642</v>
      </c>
      <c r="AB162" t="s">
        <v>723</v>
      </c>
      <c r="AC162">
        <v>445</v>
      </c>
      <c r="AD162" t="s">
        <v>720</v>
      </c>
    </row>
    <row r="163" spans="1:30" ht="15" customHeight="1" x14ac:dyDescent="0.25">
      <c r="A163">
        <v>446</v>
      </c>
      <c r="B163" t="s">
        <v>724</v>
      </c>
      <c r="C163" t="s">
        <v>725</v>
      </c>
      <c r="D163" t="s">
        <v>722</v>
      </c>
      <c r="E163" t="s">
        <v>115</v>
      </c>
      <c r="G163" t="s">
        <v>7</v>
      </c>
      <c r="H163" t="s">
        <v>30</v>
      </c>
      <c r="I163">
        <v>2101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1160</v>
      </c>
      <c r="S163">
        <v>5180</v>
      </c>
      <c r="W163">
        <v>33202</v>
      </c>
      <c r="X163">
        <v>1007</v>
      </c>
      <c r="Z163" t="s">
        <v>117</v>
      </c>
      <c r="AA163" t="s">
        <v>403</v>
      </c>
      <c r="AB163" t="s">
        <v>726</v>
      </c>
      <c r="AC163">
        <v>446</v>
      </c>
      <c r="AD163" t="s">
        <v>724</v>
      </c>
    </row>
    <row r="164" spans="1:30" ht="15" customHeight="1" x14ac:dyDescent="0.25">
      <c r="A164">
        <v>383</v>
      </c>
      <c r="B164" t="s">
        <v>727</v>
      </c>
      <c r="C164" t="s">
        <v>728</v>
      </c>
      <c r="D164" t="s">
        <v>729</v>
      </c>
      <c r="E164" t="s">
        <v>115</v>
      </c>
      <c r="G164" t="s">
        <v>7</v>
      </c>
      <c r="H164" t="s">
        <v>30</v>
      </c>
      <c r="I164">
        <v>29110</v>
      </c>
      <c r="J164" t="s">
        <v>161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1161</v>
      </c>
      <c r="S164">
        <v>29110</v>
      </c>
      <c r="W164">
        <v>33202</v>
      </c>
      <c r="X164">
        <v>1007</v>
      </c>
      <c r="Z164" t="s">
        <v>117</v>
      </c>
      <c r="AA164" t="s">
        <v>642</v>
      </c>
      <c r="AB164" t="s">
        <v>730</v>
      </c>
      <c r="AC164">
        <v>383</v>
      </c>
      <c r="AD164" t="s">
        <v>727</v>
      </c>
    </row>
    <row r="165" spans="1:30" ht="15" customHeight="1" x14ac:dyDescent="0.25">
      <c r="A165">
        <v>385</v>
      </c>
      <c r="B165" t="s">
        <v>731</v>
      </c>
      <c r="C165" t="s">
        <v>732</v>
      </c>
      <c r="D165" t="s">
        <v>733</v>
      </c>
      <c r="E165" t="s">
        <v>115</v>
      </c>
      <c r="G165" t="s">
        <v>7</v>
      </c>
      <c r="H165" t="s">
        <v>30</v>
      </c>
      <c r="I165">
        <v>1680</v>
      </c>
      <c r="J165" t="s">
        <v>161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1162</v>
      </c>
      <c r="S165">
        <v>1680</v>
      </c>
      <c r="W165">
        <v>33202</v>
      </c>
      <c r="X165">
        <v>1007</v>
      </c>
      <c r="Z165" t="s">
        <v>117</v>
      </c>
      <c r="AA165" t="s">
        <v>642</v>
      </c>
      <c r="AB165" t="s">
        <v>734</v>
      </c>
      <c r="AC165">
        <v>385</v>
      </c>
      <c r="AD165" t="s">
        <v>731</v>
      </c>
    </row>
    <row r="166" spans="1:30" ht="15" customHeight="1" x14ac:dyDescent="0.25">
      <c r="A166">
        <v>386</v>
      </c>
      <c r="B166" t="s">
        <v>735</v>
      </c>
      <c r="C166" t="s">
        <v>736</v>
      </c>
      <c r="D166" t="s">
        <v>737</v>
      </c>
      <c r="E166" t="s">
        <v>115</v>
      </c>
      <c r="G166" t="s">
        <v>7</v>
      </c>
      <c r="H166" t="s">
        <v>30</v>
      </c>
      <c r="I166">
        <v>1400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1163</v>
      </c>
      <c r="S166">
        <v>1400</v>
      </c>
      <c r="V166">
        <v>1</v>
      </c>
      <c r="W166">
        <v>33202</v>
      </c>
      <c r="X166">
        <v>1007</v>
      </c>
      <c r="Z166" t="s">
        <v>117</v>
      </c>
      <c r="AA166" t="s">
        <v>403</v>
      </c>
      <c r="AB166" t="s">
        <v>738</v>
      </c>
      <c r="AC166">
        <v>386</v>
      </c>
      <c r="AD166" t="s">
        <v>735</v>
      </c>
    </row>
    <row r="167" spans="1:30" ht="15" customHeight="1" x14ac:dyDescent="0.25">
      <c r="A167">
        <v>394</v>
      </c>
      <c r="B167" t="s">
        <v>739</v>
      </c>
      <c r="C167" t="s">
        <v>740</v>
      </c>
      <c r="D167" t="s">
        <v>741</v>
      </c>
      <c r="E167" t="s">
        <v>115</v>
      </c>
      <c r="G167" t="s">
        <v>7</v>
      </c>
      <c r="H167" t="s">
        <v>30</v>
      </c>
      <c r="I167">
        <v>7690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1164</v>
      </c>
      <c r="S167">
        <v>7690</v>
      </c>
      <c r="V167">
        <v>1</v>
      </c>
      <c r="W167">
        <v>33202</v>
      </c>
      <c r="X167">
        <v>1007</v>
      </c>
      <c r="Z167" t="s">
        <v>117</v>
      </c>
      <c r="AA167" t="s">
        <v>403</v>
      </c>
      <c r="AB167" t="s">
        <v>742</v>
      </c>
      <c r="AC167">
        <v>394</v>
      </c>
      <c r="AD167" t="s">
        <v>739</v>
      </c>
    </row>
    <row r="168" spans="1:30" ht="15" customHeight="1" x14ac:dyDescent="0.25">
      <c r="A168">
        <v>370</v>
      </c>
      <c r="B168" t="s">
        <v>743</v>
      </c>
      <c r="C168" t="s">
        <v>744</v>
      </c>
      <c r="D168" t="s">
        <v>745</v>
      </c>
      <c r="E168" t="s">
        <v>115</v>
      </c>
      <c r="G168" t="s">
        <v>7</v>
      </c>
      <c r="H168" t="s">
        <v>30</v>
      </c>
      <c r="I168">
        <v>2400</v>
      </c>
      <c r="J168" t="s">
        <v>161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1166</v>
      </c>
      <c r="S168">
        <v>2400</v>
      </c>
      <c r="W168">
        <v>33202</v>
      </c>
      <c r="X168">
        <v>1007</v>
      </c>
      <c r="Z168" t="s">
        <v>117</v>
      </c>
      <c r="AA168" t="s">
        <v>642</v>
      </c>
      <c r="AB168" t="s">
        <v>746</v>
      </c>
      <c r="AC168">
        <v>370</v>
      </c>
      <c r="AD168" t="s">
        <v>743</v>
      </c>
    </row>
    <row r="169" spans="1:30" ht="15" customHeight="1" x14ac:dyDescent="0.25">
      <c r="A169">
        <v>404</v>
      </c>
      <c r="B169" t="s">
        <v>747</v>
      </c>
      <c r="C169" t="s">
        <v>748</v>
      </c>
      <c r="D169" t="s">
        <v>749</v>
      </c>
      <c r="E169" t="s">
        <v>115</v>
      </c>
      <c r="G169" t="s">
        <v>7</v>
      </c>
      <c r="H169" t="s">
        <v>30</v>
      </c>
      <c r="I169">
        <v>1560</v>
      </c>
      <c r="J169" t="s">
        <v>161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1167</v>
      </c>
      <c r="S169">
        <v>1560</v>
      </c>
      <c r="W169">
        <v>33202</v>
      </c>
      <c r="X169">
        <v>1007</v>
      </c>
      <c r="Z169" t="s">
        <v>117</v>
      </c>
      <c r="AA169" t="s">
        <v>642</v>
      </c>
      <c r="AB169" t="s">
        <v>750</v>
      </c>
      <c r="AC169">
        <v>404</v>
      </c>
      <c r="AD169" t="s">
        <v>747</v>
      </c>
    </row>
    <row r="170" spans="1:30" ht="15" customHeight="1" x14ac:dyDescent="0.25">
      <c r="A170">
        <v>387</v>
      </c>
      <c r="B170" t="s">
        <v>751</v>
      </c>
      <c r="C170" t="s">
        <v>752</v>
      </c>
      <c r="D170" t="s">
        <v>753</v>
      </c>
      <c r="E170" t="s">
        <v>115</v>
      </c>
      <c r="G170" t="s">
        <v>7</v>
      </c>
      <c r="H170" t="s">
        <v>30</v>
      </c>
      <c r="I170">
        <v>4080</v>
      </c>
      <c r="J170" t="s">
        <v>161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1168</v>
      </c>
      <c r="S170">
        <v>4080</v>
      </c>
      <c r="W170">
        <v>33202</v>
      </c>
      <c r="X170">
        <v>1007</v>
      </c>
      <c r="Z170" t="s">
        <v>117</v>
      </c>
      <c r="AA170" t="s">
        <v>642</v>
      </c>
      <c r="AB170" t="s">
        <v>754</v>
      </c>
      <c r="AC170">
        <v>387</v>
      </c>
      <c r="AD170" t="s">
        <v>751</v>
      </c>
    </row>
    <row r="171" spans="1:30" ht="15" customHeight="1" x14ac:dyDescent="0.25">
      <c r="A171">
        <v>411</v>
      </c>
      <c r="B171" t="s">
        <v>755</v>
      </c>
      <c r="C171" t="s">
        <v>756</v>
      </c>
      <c r="D171" t="s">
        <v>757</v>
      </c>
      <c r="E171" t="s">
        <v>115</v>
      </c>
      <c r="G171" t="s">
        <v>7</v>
      </c>
      <c r="H171" t="s">
        <v>30</v>
      </c>
      <c r="I171">
        <v>3360</v>
      </c>
      <c r="J171" t="s">
        <v>161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1169</v>
      </c>
      <c r="S171">
        <v>3360</v>
      </c>
      <c r="W171">
        <v>33202</v>
      </c>
      <c r="X171">
        <v>1007</v>
      </c>
      <c r="Z171" t="s">
        <v>117</v>
      </c>
      <c r="AA171" t="s">
        <v>642</v>
      </c>
      <c r="AB171" t="s">
        <v>758</v>
      </c>
      <c r="AC171">
        <v>411</v>
      </c>
      <c r="AD171" t="s">
        <v>755</v>
      </c>
    </row>
    <row r="172" spans="1:30" ht="15" customHeight="1" x14ac:dyDescent="0.25">
      <c r="A172">
        <v>389</v>
      </c>
      <c r="B172" t="s">
        <v>759</v>
      </c>
      <c r="C172" t="s">
        <v>760</v>
      </c>
      <c r="D172" t="s">
        <v>761</v>
      </c>
      <c r="E172" t="s">
        <v>115</v>
      </c>
      <c r="G172" t="s">
        <v>7</v>
      </c>
      <c r="H172" t="s">
        <v>30</v>
      </c>
      <c r="I172">
        <v>2040</v>
      </c>
      <c r="J172" t="s">
        <v>161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1170</v>
      </c>
      <c r="S172">
        <v>2040</v>
      </c>
      <c r="W172">
        <v>33202</v>
      </c>
      <c r="X172">
        <v>1007</v>
      </c>
      <c r="Z172" t="s">
        <v>117</v>
      </c>
      <c r="AA172" t="s">
        <v>642</v>
      </c>
      <c r="AB172" t="s">
        <v>762</v>
      </c>
      <c r="AC172">
        <v>389</v>
      </c>
      <c r="AD172" t="s">
        <v>759</v>
      </c>
    </row>
    <row r="173" spans="1:30" ht="15" customHeight="1" x14ac:dyDescent="0.25">
      <c r="A173">
        <v>419</v>
      </c>
      <c r="B173" t="s">
        <v>763</v>
      </c>
      <c r="C173" t="s">
        <v>764</v>
      </c>
      <c r="D173" t="s">
        <v>765</v>
      </c>
      <c r="E173" t="s">
        <v>115</v>
      </c>
      <c r="G173" t="s">
        <v>7</v>
      </c>
      <c r="H173" t="s">
        <v>30</v>
      </c>
      <c r="I173">
        <v>975</v>
      </c>
      <c r="J173" t="s">
        <v>161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1171</v>
      </c>
      <c r="S173">
        <v>975</v>
      </c>
      <c r="W173">
        <v>33202</v>
      </c>
      <c r="X173">
        <v>1007</v>
      </c>
      <c r="Z173" t="s">
        <v>117</v>
      </c>
      <c r="AA173" t="s">
        <v>642</v>
      </c>
      <c r="AB173" t="s">
        <v>766</v>
      </c>
      <c r="AC173">
        <v>419</v>
      </c>
      <c r="AD173" t="s">
        <v>763</v>
      </c>
    </row>
    <row r="174" spans="1:30" ht="15" customHeight="1" x14ac:dyDescent="0.25">
      <c r="A174">
        <v>500</v>
      </c>
      <c r="B174" t="s">
        <v>767</v>
      </c>
      <c r="C174" t="s">
        <v>768</v>
      </c>
      <c r="D174" t="s">
        <v>769</v>
      </c>
      <c r="E174" t="s">
        <v>115</v>
      </c>
      <c r="G174" t="s">
        <v>7</v>
      </c>
      <c r="H174" t="s">
        <v>30</v>
      </c>
      <c r="I174">
        <v>2400</v>
      </c>
      <c r="S174">
        <v>2400</v>
      </c>
      <c r="W174">
        <v>33202</v>
      </c>
      <c r="X174">
        <v>1007</v>
      </c>
      <c r="Z174" t="s">
        <v>117</v>
      </c>
      <c r="AA174" t="s">
        <v>642</v>
      </c>
      <c r="AB174" t="s">
        <v>770</v>
      </c>
      <c r="AC174">
        <v>500</v>
      </c>
      <c r="AD174" t="s">
        <v>767</v>
      </c>
    </row>
    <row r="175" spans="1:30" ht="15" customHeight="1" x14ac:dyDescent="0.25">
      <c r="A175">
        <v>409</v>
      </c>
      <c r="B175" t="s">
        <v>771</v>
      </c>
      <c r="C175" t="s">
        <v>772</v>
      </c>
      <c r="D175" t="s">
        <v>773</v>
      </c>
      <c r="E175" t="s">
        <v>115</v>
      </c>
      <c r="G175" t="s">
        <v>7</v>
      </c>
      <c r="H175" t="s">
        <v>30</v>
      </c>
      <c r="I175">
        <v>1560</v>
      </c>
      <c r="J175" t="s">
        <v>161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1173</v>
      </c>
      <c r="S175">
        <v>1560</v>
      </c>
      <c r="W175">
        <v>33202</v>
      </c>
      <c r="X175">
        <v>1007</v>
      </c>
      <c r="Z175" t="s">
        <v>117</v>
      </c>
      <c r="AA175" t="s">
        <v>642</v>
      </c>
      <c r="AB175" t="s">
        <v>774</v>
      </c>
      <c r="AC175">
        <v>409</v>
      </c>
      <c r="AD175" t="s">
        <v>771</v>
      </c>
    </row>
    <row r="176" spans="1:30" ht="15" customHeight="1" x14ac:dyDescent="0.25">
      <c r="A176">
        <v>397</v>
      </c>
      <c r="B176" t="s">
        <v>775</v>
      </c>
      <c r="C176" t="s">
        <v>776</v>
      </c>
      <c r="D176" t="s">
        <v>777</v>
      </c>
      <c r="E176" t="s">
        <v>115</v>
      </c>
      <c r="G176" t="s">
        <v>7</v>
      </c>
      <c r="H176" t="s">
        <v>30</v>
      </c>
      <c r="I176">
        <v>4895</v>
      </c>
      <c r="J176" t="s">
        <v>161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1174</v>
      </c>
      <c r="S176">
        <v>4895</v>
      </c>
      <c r="W176">
        <v>33202</v>
      </c>
      <c r="X176">
        <v>1007</v>
      </c>
      <c r="Z176" t="s">
        <v>117</v>
      </c>
      <c r="AA176" t="s">
        <v>642</v>
      </c>
      <c r="AB176" t="s">
        <v>778</v>
      </c>
      <c r="AC176">
        <v>397</v>
      </c>
      <c r="AD176" t="s">
        <v>775</v>
      </c>
    </row>
    <row r="177" spans="1:30" ht="15" customHeight="1" x14ac:dyDescent="0.25">
      <c r="A177">
        <v>388</v>
      </c>
      <c r="B177" t="s">
        <v>779</v>
      </c>
      <c r="C177" t="s">
        <v>780</v>
      </c>
      <c r="D177" t="s">
        <v>781</v>
      </c>
      <c r="E177" t="s">
        <v>115</v>
      </c>
      <c r="G177" t="s">
        <v>7</v>
      </c>
      <c r="H177" t="s">
        <v>30</v>
      </c>
      <c r="I177">
        <v>3520</v>
      </c>
      <c r="J177" t="s">
        <v>161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1175</v>
      </c>
      <c r="S177">
        <v>3520</v>
      </c>
      <c r="W177">
        <v>33202</v>
      </c>
      <c r="X177">
        <v>1007</v>
      </c>
      <c r="Z177" t="s">
        <v>117</v>
      </c>
      <c r="AA177" t="s">
        <v>642</v>
      </c>
      <c r="AB177" t="s">
        <v>782</v>
      </c>
      <c r="AC177">
        <v>388</v>
      </c>
      <c r="AD177" t="s">
        <v>779</v>
      </c>
    </row>
    <row r="178" spans="1:30" ht="15" customHeight="1" x14ac:dyDescent="0.25">
      <c r="A178">
        <v>405</v>
      </c>
      <c r="B178" t="s">
        <v>783</v>
      </c>
      <c r="C178" t="s">
        <v>784</v>
      </c>
      <c r="D178" t="s">
        <v>785</v>
      </c>
      <c r="E178" t="s">
        <v>115</v>
      </c>
      <c r="G178" t="s">
        <v>7</v>
      </c>
      <c r="H178" t="s">
        <v>30</v>
      </c>
      <c r="I178">
        <v>505</v>
      </c>
      <c r="J178" t="s">
        <v>161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1176</v>
      </c>
      <c r="S178">
        <v>505</v>
      </c>
      <c r="W178">
        <v>33202</v>
      </c>
      <c r="X178">
        <v>1007</v>
      </c>
      <c r="Z178" t="s">
        <v>117</v>
      </c>
      <c r="AA178" t="s">
        <v>642</v>
      </c>
      <c r="AB178" t="s">
        <v>786</v>
      </c>
      <c r="AC178">
        <v>405</v>
      </c>
      <c r="AD178" t="s">
        <v>783</v>
      </c>
    </row>
    <row r="179" spans="1:30" ht="15" customHeight="1" x14ac:dyDescent="0.25">
      <c r="A179">
        <v>392</v>
      </c>
      <c r="B179" t="s">
        <v>787</v>
      </c>
      <c r="C179" t="s">
        <v>788</v>
      </c>
      <c r="D179" t="s">
        <v>789</v>
      </c>
      <c r="E179" t="s">
        <v>115</v>
      </c>
      <c r="G179" t="s">
        <v>7</v>
      </c>
      <c r="H179" t="s">
        <v>30</v>
      </c>
      <c r="I179">
        <v>2240</v>
      </c>
      <c r="J179" t="s">
        <v>161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1177</v>
      </c>
      <c r="S179">
        <v>2240</v>
      </c>
      <c r="W179">
        <v>33202</v>
      </c>
      <c r="X179">
        <v>1007</v>
      </c>
      <c r="Z179" t="s">
        <v>117</v>
      </c>
      <c r="AA179" t="s">
        <v>642</v>
      </c>
      <c r="AB179" t="s">
        <v>790</v>
      </c>
      <c r="AC179">
        <v>392</v>
      </c>
      <c r="AD179" t="s">
        <v>787</v>
      </c>
    </row>
    <row r="180" spans="1:30" ht="15" customHeight="1" x14ac:dyDescent="0.25">
      <c r="A180">
        <v>378</v>
      </c>
      <c r="B180" t="s">
        <v>791</v>
      </c>
      <c r="C180" t="s">
        <v>792</v>
      </c>
      <c r="D180" t="s">
        <v>793</v>
      </c>
      <c r="E180" t="s">
        <v>115</v>
      </c>
      <c r="G180" t="s">
        <v>7</v>
      </c>
      <c r="H180" t="s">
        <v>30</v>
      </c>
      <c r="I180">
        <v>6565</v>
      </c>
      <c r="J180" t="s">
        <v>161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1178</v>
      </c>
      <c r="S180">
        <v>6565</v>
      </c>
      <c r="W180">
        <v>33202</v>
      </c>
      <c r="X180">
        <v>1007</v>
      </c>
      <c r="Z180" t="s">
        <v>117</v>
      </c>
      <c r="AA180" t="s">
        <v>642</v>
      </c>
      <c r="AB180" t="s">
        <v>794</v>
      </c>
      <c r="AC180">
        <v>378</v>
      </c>
      <c r="AD180" t="s">
        <v>791</v>
      </c>
    </row>
    <row r="181" spans="1:30" ht="15" customHeight="1" x14ac:dyDescent="0.25">
      <c r="A181">
        <v>480</v>
      </c>
      <c r="B181" t="s">
        <v>795</v>
      </c>
      <c r="C181" t="s">
        <v>796</v>
      </c>
      <c r="D181" t="s">
        <v>797</v>
      </c>
      <c r="E181" t="s">
        <v>115</v>
      </c>
      <c r="G181" t="s">
        <v>7</v>
      </c>
      <c r="H181" t="s">
        <v>30</v>
      </c>
      <c r="I181">
        <v>2452</v>
      </c>
      <c r="J181" t="s">
        <v>161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 t="s">
        <v>582</v>
      </c>
      <c r="S181">
        <v>3885</v>
      </c>
      <c r="W181">
        <v>33202</v>
      </c>
      <c r="X181">
        <v>1007</v>
      </c>
      <c r="Z181" t="s">
        <v>117</v>
      </c>
      <c r="AA181" t="s">
        <v>583</v>
      </c>
      <c r="AB181" t="s">
        <v>798</v>
      </c>
      <c r="AC181">
        <v>480</v>
      </c>
      <c r="AD181" t="s">
        <v>795</v>
      </c>
    </row>
    <row r="182" spans="1:30" ht="15" customHeight="1" x14ac:dyDescent="0.25">
      <c r="A182">
        <v>479</v>
      </c>
      <c r="B182" t="s">
        <v>799</v>
      </c>
      <c r="C182" t="s">
        <v>800</v>
      </c>
      <c r="D182" t="s">
        <v>797</v>
      </c>
      <c r="E182" t="s">
        <v>115</v>
      </c>
      <c r="G182" t="s">
        <v>7</v>
      </c>
      <c r="H182" t="s">
        <v>30</v>
      </c>
      <c r="I182">
        <v>1433</v>
      </c>
      <c r="J182" t="s">
        <v>581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 t="s">
        <v>582</v>
      </c>
      <c r="S182">
        <v>3885</v>
      </c>
      <c r="W182">
        <v>33202</v>
      </c>
      <c r="X182">
        <v>1007</v>
      </c>
      <c r="Z182" t="s">
        <v>117</v>
      </c>
      <c r="AA182" t="s">
        <v>583</v>
      </c>
      <c r="AB182" t="s">
        <v>801</v>
      </c>
      <c r="AC182">
        <v>479</v>
      </c>
      <c r="AD182" t="s">
        <v>799</v>
      </c>
    </row>
    <row r="183" spans="1:30" ht="15" customHeight="1" x14ac:dyDescent="0.25">
      <c r="A183">
        <v>362</v>
      </c>
      <c r="B183" t="s">
        <v>802</v>
      </c>
      <c r="C183" t="s">
        <v>803</v>
      </c>
      <c r="D183" t="s">
        <v>804</v>
      </c>
      <c r="E183" t="s">
        <v>115</v>
      </c>
      <c r="G183" t="s">
        <v>7</v>
      </c>
      <c r="H183" t="s">
        <v>30</v>
      </c>
      <c r="I183">
        <v>7500</v>
      </c>
      <c r="J183" t="s">
        <v>161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1181</v>
      </c>
      <c r="S183">
        <v>7500</v>
      </c>
      <c r="W183">
        <v>33202</v>
      </c>
      <c r="X183">
        <v>1007</v>
      </c>
      <c r="Z183" t="s">
        <v>117</v>
      </c>
      <c r="AA183" t="s">
        <v>642</v>
      </c>
      <c r="AB183" t="s">
        <v>805</v>
      </c>
      <c r="AC183">
        <v>362</v>
      </c>
      <c r="AD183" t="s">
        <v>802</v>
      </c>
    </row>
    <row r="184" spans="1:30" ht="15" customHeight="1" x14ac:dyDescent="0.25">
      <c r="A184">
        <v>364</v>
      </c>
      <c r="B184" t="s">
        <v>806</v>
      </c>
      <c r="C184" t="s">
        <v>807</v>
      </c>
      <c r="D184" t="s">
        <v>808</v>
      </c>
      <c r="E184" t="s">
        <v>115</v>
      </c>
      <c r="G184" t="s">
        <v>7</v>
      </c>
      <c r="H184" t="s">
        <v>30</v>
      </c>
      <c r="I184">
        <v>2890</v>
      </c>
      <c r="J184" t="s">
        <v>161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1182</v>
      </c>
      <c r="S184">
        <v>2890</v>
      </c>
      <c r="W184">
        <v>33202</v>
      </c>
      <c r="X184">
        <v>1007</v>
      </c>
      <c r="Z184" t="s">
        <v>117</v>
      </c>
      <c r="AA184" t="s">
        <v>642</v>
      </c>
      <c r="AB184" t="s">
        <v>809</v>
      </c>
      <c r="AC184">
        <v>364</v>
      </c>
      <c r="AD184" t="s">
        <v>806</v>
      </c>
    </row>
    <row r="185" spans="1:30" ht="15" customHeight="1" x14ac:dyDescent="0.25">
      <c r="A185">
        <v>380</v>
      </c>
      <c r="B185" t="s">
        <v>810</v>
      </c>
      <c r="C185" t="s">
        <v>811</v>
      </c>
      <c r="D185" t="s">
        <v>812</v>
      </c>
      <c r="E185" t="s">
        <v>115</v>
      </c>
      <c r="G185" t="s">
        <v>7</v>
      </c>
      <c r="H185" t="s">
        <v>30</v>
      </c>
      <c r="I185">
        <v>1810</v>
      </c>
      <c r="J185" t="s">
        <v>161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1183</v>
      </c>
      <c r="S185">
        <v>1810</v>
      </c>
      <c r="W185">
        <v>33202</v>
      </c>
      <c r="X185">
        <v>1007</v>
      </c>
      <c r="Z185" t="s">
        <v>117</v>
      </c>
      <c r="AA185" t="s">
        <v>642</v>
      </c>
      <c r="AB185" t="s">
        <v>813</v>
      </c>
      <c r="AC185">
        <v>380</v>
      </c>
      <c r="AD185" t="s">
        <v>810</v>
      </c>
    </row>
    <row r="186" spans="1:30" ht="15" customHeight="1" x14ac:dyDescent="0.25">
      <c r="A186">
        <v>432</v>
      </c>
      <c r="B186" t="s">
        <v>814</v>
      </c>
      <c r="C186" t="s">
        <v>815</v>
      </c>
      <c r="D186" t="s">
        <v>816</v>
      </c>
      <c r="E186" t="s">
        <v>115</v>
      </c>
      <c r="G186" t="s">
        <v>7</v>
      </c>
      <c r="H186" t="s">
        <v>30</v>
      </c>
      <c r="I186">
        <v>137339</v>
      </c>
      <c r="J186" t="s">
        <v>161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1184</v>
      </c>
      <c r="S186">
        <v>284987</v>
      </c>
      <c r="V186">
        <v>1</v>
      </c>
      <c r="W186">
        <v>33202</v>
      </c>
      <c r="X186">
        <v>1007</v>
      </c>
      <c r="Z186" t="s">
        <v>117</v>
      </c>
      <c r="AA186" t="s">
        <v>642</v>
      </c>
      <c r="AB186" t="s">
        <v>817</v>
      </c>
      <c r="AC186">
        <v>432</v>
      </c>
      <c r="AD186" t="s">
        <v>814</v>
      </c>
    </row>
    <row r="187" spans="1:30" ht="15" customHeight="1" x14ac:dyDescent="0.25">
      <c r="A187">
        <v>433</v>
      </c>
      <c r="B187" t="s">
        <v>818</v>
      </c>
      <c r="C187" t="s">
        <v>819</v>
      </c>
      <c r="D187" t="s">
        <v>816</v>
      </c>
      <c r="E187" t="s">
        <v>115</v>
      </c>
      <c r="G187" t="s">
        <v>7</v>
      </c>
      <c r="H187" t="s">
        <v>30</v>
      </c>
      <c r="I187">
        <v>115527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1184</v>
      </c>
      <c r="S187">
        <v>284987</v>
      </c>
      <c r="V187">
        <v>1</v>
      </c>
      <c r="W187">
        <v>33202</v>
      </c>
      <c r="X187">
        <v>1007</v>
      </c>
      <c r="Z187" t="s">
        <v>117</v>
      </c>
      <c r="AA187" t="s">
        <v>403</v>
      </c>
      <c r="AB187" t="s">
        <v>820</v>
      </c>
      <c r="AC187">
        <v>433</v>
      </c>
      <c r="AD187" t="s">
        <v>818</v>
      </c>
    </row>
    <row r="188" spans="1:30" ht="15" customHeight="1" x14ac:dyDescent="0.25">
      <c r="A188">
        <v>434</v>
      </c>
      <c r="B188" t="s">
        <v>821</v>
      </c>
      <c r="C188" t="s">
        <v>822</v>
      </c>
      <c r="D188" t="s">
        <v>816</v>
      </c>
      <c r="E188" t="s">
        <v>115</v>
      </c>
      <c r="G188" t="s">
        <v>7</v>
      </c>
      <c r="H188" t="s">
        <v>30</v>
      </c>
      <c r="I188">
        <v>32121</v>
      </c>
      <c r="J188" t="s">
        <v>161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1184</v>
      </c>
      <c r="S188">
        <v>284987</v>
      </c>
      <c r="W188">
        <v>33202</v>
      </c>
      <c r="X188">
        <v>1007</v>
      </c>
      <c r="Z188" t="s">
        <v>117</v>
      </c>
      <c r="AA188" t="s">
        <v>823</v>
      </c>
      <c r="AB188" t="s">
        <v>824</v>
      </c>
      <c r="AC188">
        <v>434</v>
      </c>
      <c r="AD188" t="s">
        <v>821</v>
      </c>
    </row>
    <row r="189" spans="1:30" ht="15" customHeight="1" x14ac:dyDescent="0.25">
      <c r="A189">
        <v>390</v>
      </c>
      <c r="B189" t="s">
        <v>825</v>
      </c>
      <c r="C189" t="s">
        <v>826</v>
      </c>
      <c r="D189" t="s">
        <v>827</v>
      </c>
      <c r="E189" t="s">
        <v>115</v>
      </c>
      <c r="G189" t="s">
        <v>7</v>
      </c>
      <c r="H189" t="s">
        <v>30</v>
      </c>
      <c r="I189">
        <v>60</v>
      </c>
      <c r="J189" t="s">
        <v>161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1185</v>
      </c>
      <c r="S189">
        <v>60</v>
      </c>
      <c r="W189">
        <v>33202</v>
      </c>
      <c r="X189">
        <v>1007</v>
      </c>
      <c r="Z189" t="s">
        <v>117</v>
      </c>
      <c r="AA189" t="s">
        <v>823</v>
      </c>
      <c r="AB189" t="s">
        <v>828</v>
      </c>
      <c r="AC189">
        <v>390</v>
      </c>
      <c r="AD189" t="s">
        <v>825</v>
      </c>
    </row>
    <row r="190" spans="1:30" ht="15" customHeight="1" x14ac:dyDescent="0.25">
      <c r="A190">
        <v>379</v>
      </c>
      <c r="B190" t="s">
        <v>829</v>
      </c>
      <c r="C190" t="s">
        <v>830</v>
      </c>
      <c r="D190" t="s">
        <v>831</v>
      </c>
      <c r="E190" t="s">
        <v>115</v>
      </c>
      <c r="G190" t="s">
        <v>7</v>
      </c>
      <c r="H190" t="s">
        <v>30</v>
      </c>
      <c r="I190">
        <v>4500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1186</v>
      </c>
      <c r="S190">
        <v>4500</v>
      </c>
      <c r="W190">
        <v>33202</v>
      </c>
      <c r="X190">
        <v>1007</v>
      </c>
      <c r="Z190" t="s">
        <v>173</v>
      </c>
      <c r="AA190" t="s">
        <v>832</v>
      </c>
      <c r="AB190" t="s">
        <v>833</v>
      </c>
      <c r="AC190">
        <v>379</v>
      </c>
      <c r="AD190" t="s">
        <v>829</v>
      </c>
    </row>
    <row r="191" spans="1:30" ht="15" customHeight="1" x14ac:dyDescent="0.25">
      <c r="A191">
        <v>451</v>
      </c>
      <c r="B191" t="s">
        <v>834</v>
      </c>
      <c r="C191" t="s">
        <v>835</v>
      </c>
      <c r="D191" t="s">
        <v>836</v>
      </c>
      <c r="E191" t="s">
        <v>115</v>
      </c>
      <c r="G191" t="s">
        <v>7</v>
      </c>
      <c r="H191" t="s">
        <v>30</v>
      </c>
      <c r="I191">
        <v>14271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1187</v>
      </c>
      <c r="S191">
        <v>23305</v>
      </c>
      <c r="V191">
        <v>1</v>
      </c>
      <c r="W191">
        <v>33202</v>
      </c>
      <c r="X191">
        <v>1007</v>
      </c>
      <c r="Z191" t="s">
        <v>117</v>
      </c>
      <c r="AA191" t="s">
        <v>403</v>
      </c>
      <c r="AB191" t="s">
        <v>837</v>
      </c>
      <c r="AC191">
        <v>451</v>
      </c>
      <c r="AD191" t="s">
        <v>834</v>
      </c>
    </row>
    <row r="192" spans="1:30" ht="15" customHeight="1" x14ac:dyDescent="0.25">
      <c r="A192">
        <v>450</v>
      </c>
      <c r="B192" t="s">
        <v>838</v>
      </c>
      <c r="C192" t="s">
        <v>839</v>
      </c>
      <c r="D192" t="s">
        <v>836</v>
      </c>
      <c r="E192" t="s">
        <v>115</v>
      </c>
      <c r="G192" t="s">
        <v>7</v>
      </c>
      <c r="H192" t="s">
        <v>30</v>
      </c>
      <c r="I192">
        <v>9034</v>
      </c>
      <c r="J192" t="s">
        <v>161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1187</v>
      </c>
      <c r="S192">
        <v>23305</v>
      </c>
      <c r="W192">
        <v>33202</v>
      </c>
      <c r="X192">
        <v>1007</v>
      </c>
      <c r="Z192" t="s">
        <v>117</v>
      </c>
      <c r="AA192" t="s">
        <v>840</v>
      </c>
      <c r="AB192" t="s">
        <v>841</v>
      </c>
      <c r="AC192">
        <v>450</v>
      </c>
      <c r="AD192" t="s">
        <v>838</v>
      </c>
    </row>
    <row r="193" spans="1:30" ht="15" customHeight="1" x14ac:dyDescent="0.25">
      <c r="A193">
        <v>421</v>
      </c>
      <c r="B193" t="s">
        <v>842</v>
      </c>
      <c r="C193" t="s">
        <v>843</v>
      </c>
      <c r="D193" t="s">
        <v>844</v>
      </c>
      <c r="E193" t="s">
        <v>115</v>
      </c>
      <c r="G193" t="s">
        <v>7</v>
      </c>
      <c r="H193" t="s">
        <v>30</v>
      </c>
      <c r="I193">
        <v>147780</v>
      </c>
      <c r="J193" t="s">
        <v>845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1195</v>
      </c>
      <c r="S193">
        <v>165490</v>
      </c>
      <c r="V193">
        <v>1</v>
      </c>
      <c r="W193">
        <v>33202</v>
      </c>
      <c r="X193">
        <v>1007</v>
      </c>
      <c r="Z193" t="s">
        <v>117</v>
      </c>
      <c r="AA193" t="s">
        <v>403</v>
      </c>
      <c r="AB193" t="s">
        <v>846</v>
      </c>
      <c r="AC193">
        <v>421</v>
      </c>
      <c r="AD193" t="s">
        <v>842</v>
      </c>
    </row>
    <row r="194" spans="1:30" ht="15" customHeight="1" x14ac:dyDescent="0.25">
      <c r="A194">
        <v>447</v>
      </c>
      <c r="B194" t="s">
        <v>847</v>
      </c>
      <c r="C194" t="s">
        <v>848</v>
      </c>
      <c r="D194" t="s">
        <v>844</v>
      </c>
      <c r="E194" t="s">
        <v>115</v>
      </c>
      <c r="G194" t="s">
        <v>7</v>
      </c>
      <c r="H194" t="s">
        <v>30</v>
      </c>
      <c r="I194">
        <v>16984</v>
      </c>
      <c r="J194" t="s">
        <v>161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S194">
        <v>165490</v>
      </c>
      <c r="W194">
        <v>33202</v>
      </c>
      <c r="X194">
        <v>1007</v>
      </c>
      <c r="Z194" t="s">
        <v>117</v>
      </c>
      <c r="AA194" t="s">
        <v>642</v>
      </c>
      <c r="AB194" t="s">
        <v>849</v>
      </c>
      <c r="AC194">
        <v>447</v>
      </c>
      <c r="AD194" t="s">
        <v>847</v>
      </c>
    </row>
    <row r="195" spans="1:30" ht="15" customHeight="1" x14ac:dyDescent="0.25">
      <c r="A195">
        <v>491</v>
      </c>
      <c r="B195" t="s">
        <v>850</v>
      </c>
      <c r="C195" t="s">
        <v>851</v>
      </c>
      <c r="D195" t="s">
        <v>844</v>
      </c>
      <c r="E195" t="s">
        <v>115</v>
      </c>
      <c r="G195" t="s">
        <v>7</v>
      </c>
      <c r="H195" t="s">
        <v>30</v>
      </c>
      <c r="I195">
        <v>726</v>
      </c>
      <c r="J195" t="s">
        <v>845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1195</v>
      </c>
      <c r="S195">
        <v>165490</v>
      </c>
      <c r="V195">
        <v>1</v>
      </c>
      <c r="W195">
        <v>33202</v>
      </c>
      <c r="X195">
        <v>1007</v>
      </c>
      <c r="Z195" t="s">
        <v>117</v>
      </c>
      <c r="AA195" t="s">
        <v>403</v>
      </c>
      <c r="AB195" t="s">
        <v>852</v>
      </c>
      <c r="AC195">
        <v>491</v>
      </c>
      <c r="AD195" t="s">
        <v>850</v>
      </c>
    </row>
    <row r="196" spans="1:30" ht="15" customHeight="1" x14ac:dyDescent="0.25">
      <c r="A196">
        <v>365</v>
      </c>
      <c r="B196" t="s">
        <v>853</v>
      </c>
      <c r="C196" t="s">
        <v>854</v>
      </c>
      <c r="D196" t="s">
        <v>855</v>
      </c>
      <c r="E196" t="s">
        <v>115</v>
      </c>
      <c r="G196" t="s">
        <v>7</v>
      </c>
      <c r="H196" t="s">
        <v>30</v>
      </c>
      <c r="I196">
        <v>1430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1196</v>
      </c>
      <c r="S196">
        <v>1430</v>
      </c>
      <c r="V196">
        <v>1</v>
      </c>
      <c r="W196">
        <v>33202</v>
      </c>
      <c r="X196">
        <v>1007</v>
      </c>
      <c r="Z196" t="s">
        <v>117</v>
      </c>
      <c r="AA196" t="s">
        <v>403</v>
      </c>
      <c r="AB196" t="s">
        <v>856</v>
      </c>
      <c r="AC196">
        <v>365</v>
      </c>
      <c r="AD196" t="s">
        <v>853</v>
      </c>
    </row>
    <row r="197" spans="1:30" ht="15" customHeight="1" x14ac:dyDescent="0.25">
      <c r="A197">
        <v>402</v>
      </c>
      <c r="B197" t="s">
        <v>857</v>
      </c>
      <c r="C197" t="s">
        <v>858</v>
      </c>
      <c r="D197" t="s">
        <v>859</v>
      </c>
      <c r="E197" t="s">
        <v>115</v>
      </c>
      <c r="G197" t="s">
        <v>7</v>
      </c>
      <c r="H197" t="s">
        <v>30</v>
      </c>
      <c r="I197">
        <v>1325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1197</v>
      </c>
      <c r="S197">
        <v>1325</v>
      </c>
      <c r="V197">
        <v>1</v>
      </c>
      <c r="W197">
        <v>33202</v>
      </c>
      <c r="X197">
        <v>1007</v>
      </c>
      <c r="Z197" t="s">
        <v>117</v>
      </c>
      <c r="AA197" t="s">
        <v>403</v>
      </c>
      <c r="AB197" t="s">
        <v>860</v>
      </c>
      <c r="AC197">
        <v>402</v>
      </c>
      <c r="AD197" t="s">
        <v>857</v>
      </c>
    </row>
    <row r="198" spans="1:30" ht="15" customHeight="1" x14ac:dyDescent="0.25">
      <c r="A198">
        <v>373</v>
      </c>
      <c r="B198" t="s">
        <v>861</v>
      </c>
      <c r="C198" t="s">
        <v>862</v>
      </c>
      <c r="D198" t="s">
        <v>863</v>
      </c>
      <c r="E198" t="s">
        <v>115</v>
      </c>
      <c r="G198" t="s">
        <v>7</v>
      </c>
      <c r="H198" t="s">
        <v>30</v>
      </c>
      <c r="I198">
        <v>6880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1198</v>
      </c>
      <c r="S198">
        <v>6880</v>
      </c>
      <c r="V198">
        <v>1</v>
      </c>
      <c r="W198">
        <v>33202</v>
      </c>
      <c r="X198">
        <v>1007</v>
      </c>
      <c r="Z198" t="s">
        <v>117</v>
      </c>
      <c r="AA198" t="s">
        <v>403</v>
      </c>
      <c r="AB198" t="s">
        <v>864</v>
      </c>
      <c r="AC198">
        <v>373</v>
      </c>
      <c r="AD198" t="s">
        <v>861</v>
      </c>
    </row>
    <row r="199" spans="1:30" ht="15" customHeight="1" x14ac:dyDescent="0.25">
      <c r="A199">
        <v>504</v>
      </c>
      <c r="B199" t="s">
        <v>865</v>
      </c>
      <c r="C199" t="s">
        <v>866</v>
      </c>
      <c r="D199" t="s">
        <v>867</v>
      </c>
      <c r="E199" t="s">
        <v>115</v>
      </c>
      <c r="G199" t="s">
        <v>7</v>
      </c>
      <c r="H199" t="s">
        <v>30</v>
      </c>
      <c r="I199">
        <v>974</v>
      </c>
      <c r="J199" t="s">
        <v>845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1199</v>
      </c>
      <c r="S199">
        <v>1200</v>
      </c>
      <c r="V199">
        <v>1</v>
      </c>
      <c r="W199">
        <v>33202</v>
      </c>
      <c r="X199">
        <v>1007</v>
      </c>
      <c r="Z199" t="s">
        <v>117</v>
      </c>
      <c r="AA199" t="s">
        <v>403</v>
      </c>
      <c r="AB199" t="s">
        <v>868</v>
      </c>
      <c r="AC199">
        <v>504</v>
      </c>
      <c r="AD199" t="s">
        <v>865</v>
      </c>
    </row>
    <row r="200" spans="1:30" ht="15" customHeight="1" x14ac:dyDescent="0.25">
      <c r="A200">
        <v>46</v>
      </c>
      <c r="B200" t="s">
        <v>869</v>
      </c>
      <c r="C200" t="s">
        <v>870</v>
      </c>
      <c r="D200" t="s">
        <v>867</v>
      </c>
      <c r="E200" t="s">
        <v>115</v>
      </c>
      <c r="G200" t="s">
        <v>7</v>
      </c>
      <c r="H200" t="s">
        <v>30</v>
      </c>
      <c r="I200">
        <v>226</v>
      </c>
      <c r="J200" t="s">
        <v>845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1199</v>
      </c>
      <c r="S200">
        <v>1200</v>
      </c>
      <c r="V200">
        <v>1</v>
      </c>
      <c r="W200">
        <v>33202</v>
      </c>
      <c r="X200">
        <v>1007</v>
      </c>
      <c r="Z200" t="s">
        <v>117</v>
      </c>
      <c r="AA200" t="s">
        <v>403</v>
      </c>
      <c r="AB200" t="s">
        <v>871</v>
      </c>
      <c r="AC200">
        <v>46</v>
      </c>
      <c r="AD200" t="s">
        <v>869</v>
      </c>
    </row>
    <row r="201" spans="1:30" ht="15" customHeight="1" x14ac:dyDescent="0.25">
      <c r="A201">
        <v>482</v>
      </c>
      <c r="B201" t="s">
        <v>872</v>
      </c>
      <c r="C201" t="s">
        <v>873</v>
      </c>
      <c r="D201" t="s">
        <v>874</v>
      </c>
      <c r="E201" t="s">
        <v>115</v>
      </c>
      <c r="G201" t="s">
        <v>7</v>
      </c>
      <c r="H201" t="s">
        <v>30</v>
      </c>
      <c r="I201">
        <v>6072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1200</v>
      </c>
      <c r="S201">
        <v>9000</v>
      </c>
      <c r="V201">
        <v>1</v>
      </c>
      <c r="W201">
        <v>33202</v>
      </c>
      <c r="X201">
        <v>1007</v>
      </c>
      <c r="Z201" t="s">
        <v>117</v>
      </c>
      <c r="AA201" t="s">
        <v>403</v>
      </c>
      <c r="AB201" t="s">
        <v>875</v>
      </c>
      <c r="AC201">
        <v>482</v>
      </c>
      <c r="AD201" t="s">
        <v>872</v>
      </c>
    </row>
    <row r="202" spans="1:30" ht="15" customHeight="1" x14ac:dyDescent="0.25">
      <c r="A202">
        <v>481</v>
      </c>
      <c r="B202" t="s">
        <v>876</v>
      </c>
      <c r="C202" t="s">
        <v>877</v>
      </c>
      <c r="D202" t="s">
        <v>874</v>
      </c>
      <c r="E202" t="s">
        <v>115</v>
      </c>
      <c r="G202" t="s">
        <v>7</v>
      </c>
      <c r="H202" t="s">
        <v>30</v>
      </c>
      <c r="I202">
        <v>2928</v>
      </c>
      <c r="J202" t="s">
        <v>161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1200</v>
      </c>
      <c r="S202">
        <v>9000</v>
      </c>
      <c r="W202">
        <v>33202</v>
      </c>
      <c r="X202">
        <v>1007</v>
      </c>
      <c r="Z202" t="s">
        <v>117</v>
      </c>
      <c r="AA202" t="s">
        <v>642</v>
      </c>
      <c r="AB202" t="s">
        <v>878</v>
      </c>
      <c r="AC202">
        <v>481</v>
      </c>
      <c r="AD202" t="s">
        <v>876</v>
      </c>
    </row>
    <row r="203" spans="1:30" ht="15" customHeight="1" x14ac:dyDescent="0.25">
      <c r="A203">
        <v>437</v>
      </c>
      <c r="B203" t="s">
        <v>879</v>
      </c>
      <c r="C203" t="s">
        <v>880</v>
      </c>
      <c r="D203" t="s">
        <v>881</v>
      </c>
      <c r="E203" t="s">
        <v>115</v>
      </c>
      <c r="G203" t="s">
        <v>7</v>
      </c>
      <c r="H203" t="s">
        <v>30</v>
      </c>
      <c r="I203">
        <v>1205</v>
      </c>
      <c r="J203" t="s">
        <v>161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1201</v>
      </c>
      <c r="S203">
        <v>2767</v>
      </c>
      <c r="W203">
        <v>33202</v>
      </c>
      <c r="X203">
        <v>1007</v>
      </c>
      <c r="Z203" t="s">
        <v>117</v>
      </c>
      <c r="AA203" t="s">
        <v>642</v>
      </c>
      <c r="AB203" t="s">
        <v>882</v>
      </c>
      <c r="AC203">
        <v>437</v>
      </c>
      <c r="AD203" t="s">
        <v>879</v>
      </c>
    </row>
    <row r="204" spans="1:30" ht="15" customHeight="1" x14ac:dyDescent="0.25">
      <c r="A204">
        <v>436</v>
      </c>
      <c r="B204" t="s">
        <v>883</v>
      </c>
      <c r="C204" t="s">
        <v>884</v>
      </c>
      <c r="D204" t="s">
        <v>881</v>
      </c>
      <c r="E204" t="s">
        <v>115</v>
      </c>
      <c r="G204" t="s">
        <v>7</v>
      </c>
      <c r="H204" t="s">
        <v>30</v>
      </c>
      <c r="I204">
        <v>1562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1201</v>
      </c>
      <c r="S204">
        <v>2767</v>
      </c>
      <c r="W204">
        <v>33202</v>
      </c>
      <c r="X204">
        <v>1007</v>
      </c>
      <c r="Z204" t="s">
        <v>173</v>
      </c>
      <c r="AA204" t="s">
        <v>832</v>
      </c>
      <c r="AB204" t="s">
        <v>885</v>
      </c>
      <c r="AC204">
        <v>436</v>
      </c>
      <c r="AD204" t="s">
        <v>883</v>
      </c>
    </row>
    <row r="205" spans="1:30" ht="15" customHeight="1" x14ac:dyDescent="0.25">
      <c r="A205">
        <v>377</v>
      </c>
      <c r="B205" t="s">
        <v>886</v>
      </c>
      <c r="C205" t="s">
        <v>887</v>
      </c>
      <c r="D205" t="s">
        <v>888</v>
      </c>
      <c r="E205" t="s">
        <v>115</v>
      </c>
      <c r="G205" t="s">
        <v>7</v>
      </c>
      <c r="H205" t="s">
        <v>8</v>
      </c>
      <c r="I205">
        <v>3874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 t="s">
        <v>889</v>
      </c>
      <c r="S205">
        <v>5705</v>
      </c>
      <c r="W205">
        <v>33202</v>
      </c>
      <c r="X205">
        <v>1007</v>
      </c>
      <c r="Z205" t="s">
        <v>117</v>
      </c>
      <c r="AA205" t="s">
        <v>890</v>
      </c>
      <c r="AB205" t="s">
        <v>891</v>
      </c>
      <c r="AC205">
        <v>377</v>
      </c>
      <c r="AD205" t="s">
        <v>886</v>
      </c>
    </row>
    <row r="206" spans="1:30" ht="15" customHeight="1" x14ac:dyDescent="0.25">
      <c r="A206">
        <v>505</v>
      </c>
      <c r="B206" t="s">
        <v>892</v>
      </c>
      <c r="C206" t="s">
        <v>893</v>
      </c>
      <c r="D206" t="s">
        <v>888</v>
      </c>
      <c r="E206" t="s">
        <v>115</v>
      </c>
      <c r="G206" t="s">
        <v>7</v>
      </c>
      <c r="H206" t="s">
        <v>8</v>
      </c>
      <c r="I206">
        <v>1831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S206">
        <v>5705</v>
      </c>
      <c r="W206">
        <v>33202</v>
      </c>
      <c r="X206">
        <v>1007</v>
      </c>
      <c r="Z206" t="s">
        <v>173</v>
      </c>
      <c r="AA206" t="s">
        <v>256</v>
      </c>
      <c r="AB206" t="s">
        <v>894</v>
      </c>
      <c r="AC206">
        <v>505</v>
      </c>
      <c r="AD206" t="s">
        <v>892</v>
      </c>
    </row>
    <row r="207" spans="1:30" ht="15" customHeight="1" x14ac:dyDescent="0.25">
      <c r="A207">
        <v>448</v>
      </c>
      <c r="B207" t="s">
        <v>895</v>
      </c>
      <c r="C207" t="s">
        <v>896</v>
      </c>
      <c r="D207" t="s">
        <v>897</v>
      </c>
      <c r="E207" t="s">
        <v>115</v>
      </c>
      <c r="G207" t="s">
        <v>7</v>
      </c>
      <c r="H207" t="s">
        <v>8</v>
      </c>
      <c r="I207">
        <v>1055</v>
      </c>
      <c r="J207" t="s">
        <v>581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 t="s">
        <v>889</v>
      </c>
      <c r="S207">
        <v>1055</v>
      </c>
      <c r="W207">
        <v>33202</v>
      </c>
      <c r="X207">
        <v>1007</v>
      </c>
      <c r="Z207" t="s">
        <v>117</v>
      </c>
      <c r="AA207" t="s">
        <v>890</v>
      </c>
      <c r="AB207" t="s">
        <v>898</v>
      </c>
      <c r="AC207">
        <v>448</v>
      </c>
      <c r="AD207" t="s">
        <v>895</v>
      </c>
    </row>
    <row r="208" spans="1:30" ht="15" customHeight="1" x14ac:dyDescent="0.25">
      <c r="A208">
        <v>375</v>
      </c>
      <c r="B208" t="s">
        <v>899</v>
      </c>
      <c r="C208" t="s">
        <v>900</v>
      </c>
      <c r="D208" t="s">
        <v>901</v>
      </c>
      <c r="E208" t="s">
        <v>115</v>
      </c>
      <c r="G208" t="s">
        <v>7</v>
      </c>
      <c r="H208" t="s">
        <v>8</v>
      </c>
      <c r="I208">
        <v>12835</v>
      </c>
      <c r="J208" t="s">
        <v>581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 t="s">
        <v>889</v>
      </c>
      <c r="S208">
        <v>12835</v>
      </c>
      <c r="W208">
        <v>33202</v>
      </c>
      <c r="X208">
        <v>1007</v>
      </c>
      <c r="Z208" t="s">
        <v>117</v>
      </c>
      <c r="AA208" t="s">
        <v>890</v>
      </c>
      <c r="AB208" t="s">
        <v>902</v>
      </c>
      <c r="AC208">
        <v>375</v>
      </c>
      <c r="AD208" t="s">
        <v>899</v>
      </c>
    </row>
    <row r="209" spans="1:30" ht="15" customHeight="1" x14ac:dyDescent="0.25">
      <c r="A209">
        <v>422</v>
      </c>
      <c r="B209" t="s">
        <v>903</v>
      </c>
      <c r="C209" t="s">
        <v>904</v>
      </c>
      <c r="D209" t="s">
        <v>905</v>
      </c>
      <c r="E209" t="s">
        <v>115</v>
      </c>
      <c r="G209" t="s">
        <v>7</v>
      </c>
      <c r="H209" t="s">
        <v>8</v>
      </c>
      <c r="I209">
        <v>965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1205</v>
      </c>
      <c r="S209">
        <v>965</v>
      </c>
      <c r="W209">
        <v>33202</v>
      </c>
      <c r="X209">
        <v>1007</v>
      </c>
      <c r="Z209" t="s">
        <v>173</v>
      </c>
      <c r="AA209" t="s">
        <v>832</v>
      </c>
      <c r="AB209" t="s">
        <v>906</v>
      </c>
      <c r="AC209">
        <v>422</v>
      </c>
      <c r="AD209" t="s">
        <v>903</v>
      </c>
    </row>
    <row r="210" spans="1:30" ht="15" customHeight="1" x14ac:dyDescent="0.25">
      <c r="A210">
        <v>376</v>
      </c>
      <c r="B210" t="s">
        <v>907</v>
      </c>
      <c r="C210" t="s">
        <v>908</v>
      </c>
      <c r="D210" t="s">
        <v>909</v>
      </c>
      <c r="E210" t="s">
        <v>115</v>
      </c>
      <c r="G210" t="s">
        <v>7</v>
      </c>
      <c r="H210" t="s">
        <v>8</v>
      </c>
      <c r="I210">
        <v>1480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1207</v>
      </c>
      <c r="S210">
        <v>1480</v>
      </c>
      <c r="W210">
        <v>33202</v>
      </c>
      <c r="X210">
        <v>1007</v>
      </c>
      <c r="Z210" t="s">
        <v>173</v>
      </c>
      <c r="AA210" t="s">
        <v>832</v>
      </c>
      <c r="AB210" t="s">
        <v>910</v>
      </c>
      <c r="AC210">
        <v>376</v>
      </c>
      <c r="AD210" t="s">
        <v>907</v>
      </c>
    </row>
    <row r="211" spans="1:30" ht="15" customHeight="1" x14ac:dyDescent="0.25">
      <c r="A211">
        <v>399</v>
      </c>
      <c r="B211" t="s">
        <v>911</v>
      </c>
      <c r="C211" t="s">
        <v>912</v>
      </c>
      <c r="D211" t="s">
        <v>913</v>
      </c>
      <c r="E211" t="s">
        <v>115</v>
      </c>
      <c r="G211" t="s">
        <v>7</v>
      </c>
      <c r="H211" t="s">
        <v>8</v>
      </c>
      <c r="I211">
        <v>3640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1210</v>
      </c>
      <c r="S211">
        <v>3640</v>
      </c>
      <c r="V211">
        <v>1</v>
      </c>
      <c r="W211">
        <v>33202</v>
      </c>
      <c r="X211">
        <v>1007</v>
      </c>
      <c r="Z211" t="s">
        <v>117</v>
      </c>
      <c r="AA211" t="s">
        <v>403</v>
      </c>
      <c r="AB211" t="s">
        <v>914</v>
      </c>
      <c r="AC211">
        <v>399</v>
      </c>
      <c r="AD211" t="s">
        <v>911</v>
      </c>
    </row>
    <row r="212" spans="1:30" ht="15" customHeight="1" x14ac:dyDescent="0.25">
      <c r="A212">
        <v>408</v>
      </c>
      <c r="B212" t="s">
        <v>915</v>
      </c>
      <c r="C212" t="s">
        <v>916</v>
      </c>
      <c r="D212" t="s">
        <v>917</v>
      </c>
      <c r="E212" t="s">
        <v>115</v>
      </c>
      <c r="G212" t="s">
        <v>7</v>
      </c>
      <c r="H212" t="s">
        <v>8</v>
      </c>
      <c r="I212">
        <v>2145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1211</v>
      </c>
      <c r="S212">
        <v>2145</v>
      </c>
      <c r="V212">
        <v>1</v>
      </c>
      <c r="W212">
        <v>33202</v>
      </c>
      <c r="X212">
        <v>1007</v>
      </c>
      <c r="Z212" t="s">
        <v>117</v>
      </c>
      <c r="AA212" t="s">
        <v>403</v>
      </c>
      <c r="AB212" t="s">
        <v>918</v>
      </c>
      <c r="AC212">
        <v>408</v>
      </c>
      <c r="AD212" t="s">
        <v>915</v>
      </c>
    </row>
    <row r="213" spans="1:30" ht="15" customHeight="1" x14ac:dyDescent="0.25">
      <c r="A213">
        <v>486</v>
      </c>
      <c r="B213" t="s">
        <v>919</v>
      </c>
      <c r="C213" t="s">
        <v>920</v>
      </c>
      <c r="D213" t="s">
        <v>921</v>
      </c>
      <c r="E213" t="s">
        <v>115</v>
      </c>
      <c r="G213" t="s">
        <v>7</v>
      </c>
      <c r="H213" t="s">
        <v>8</v>
      </c>
      <c r="I213">
        <v>4020</v>
      </c>
      <c r="J213" t="s">
        <v>581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1213</v>
      </c>
      <c r="S213">
        <v>8450</v>
      </c>
      <c r="V213">
        <v>1</v>
      </c>
      <c r="W213">
        <v>33202</v>
      </c>
      <c r="X213">
        <v>1007</v>
      </c>
      <c r="Z213" t="s">
        <v>117</v>
      </c>
      <c r="AA213" t="s">
        <v>403</v>
      </c>
      <c r="AB213" t="s">
        <v>922</v>
      </c>
      <c r="AC213">
        <v>486</v>
      </c>
      <c r="AD213" t="s">
        <v>919</v>
      </c>
    </row>
    <row r="214" spans="1:30" ht="15" customHeight="1" x14ac:dyDescent="0.25">
      <c r="A214">
        <v>487</v>
      </c>
      <c r="B214" t="s">
        <v>923</v>
      </c>
      <c r="C214" t="s">
        <v>924</v>
      </c>
      <c r="D214" t="s">
        <v>921</v>
      </c>
      <c r="E214" t="s">
        <v>115</v>
      </c>
      <c r="G214" t="s">
        <v>7</v>
      </c>
      <c r="H214" t="s">
        <v>8</v>
      </c>
      <c r="I214">
        <v>1444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 t="s">
        <v>925</v>
      </c>
      <c r="S214">
        <v>8450</v>
      </c>
      <c r="V214">
        <v>1</v>
      </c>
      <c r="W214">
        <v>33202</v>
      </c>
      <c r="X214">
        <v>1007</v>
      </c>
      <c r="Z214" t="s">
        <v>117</v>
      </c>
      <c r="AA214" t="s">
        <v>403</v>
      </c>
      <c r="AB214" t="s">
        <v>926</v>
      </c>
      <c r="AC214">
        <v>487</v>
      </c>
      <c r="AD214" t="s">
        <v>923</v>
      </c>
    </row>
    <row r="215" spans="1:30" ht="15" customHeight="1" x14ac:dyDescent="0.25">
      <c r="A215">
        <v>496</v>
      </c>
      <c r="B215" t="s">
        <v>927</v>
      </c>
      <c r="C215" t="s">
        <v>928</v>
      </c>
      <c r="D215" t="s">
        <v>921</v>
      </c>
      <c r="E215" t="s">
        <v>115</v>
      </c>
      <c r="G215" t="s">
        <v>7</v>
      </c>
      <c r="H215" t="s">
        <v>8</v>
      </c>
      <c r="I215">
        <v>2596</v>
      </c>
      <c r="J215" t="s">
        <v>845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 t="s">
        <v>925</v>
      </c>
      <c r="S215">
        <v>8450</v>
      </c>
      <c r="V215">
        <v>1</v>
      </c>
      <c r="W215">
        <v>33202</v>
      </c>
      <c r="X215">
        <v>1007</v>
      </c>
      <c r="Z215" t="s">
        <v>117</v>
      </c>
      <c r="AA215" t="s">
        <v>403</v>
      </c>
      <c r="AB215" t="s">
        <v>929</v>
      </c>
      <c r="AC215">
        <v>496</v>
      </c>
      <c r="AD215" t="s">
        <v>927</v>
      </c>
    </row>
    <row r="216" spans="1:30" ht="15" customHeight="1" x14ac:dyDescent="0.25">
      <c r="A216">
        <v>495</v>
      </c>
      <c r="B216" t="s">
        <v>930</v>
      </c>
      <c r="C216" t="s">
        <v>931</v>
      </c>
      <c r="D216" t="s">
        <v>921</v>
      </c>
      <c r="E216" t="s">
        <v>115</v>
      </c>
      <c r="G216" t="s">
        <v>7</v>
      </c>
      <c r="H216" t="s">
        <v>8</v>
      </c>
      <c r="I216">
        <v>390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 t="s">
        <v>925</v>
      </c>
      <c r="S216">
        <v>8450</v>
      </c>
      <c r="V216">
        <v>1</v>
      </c>
      <c r="W216">
        <v>33202</v>
      </c>
      <c r="X216">
        <v>1007</v>
      </c>
      <c r="Z216" t="s">
        <v>117</v>
      </c>
      <c r="AA216" t="s">
        <v>403</v>
      </c>
      <c r="AB216" t="s">
        <v>932</v>
      </c>
      <c r="AC216">
        <v>495</v>
      </c>
      <c r="AD216" t="s">
        <v>930</v>
      </c>
    </row>
    <row r="217" spans="1:30" ht="15" customHeight="1" x14ac:dyDescent="0.25">
      <c r="A217">
        <v>503</v>
      </c>
      <c r="B217" t="s">
        <v>933</v>
      </c>
      <c r="C217" t="s">
        <v>934</v>
      </c>
      <c r="D217" t="s">
        <v>935</v>
      </c>
      <c r="E217" t="s">
        <v>115</v>
      </c>
      <c r="G217" t="s">
        <v>7</v>
      </c>
      <c r="H217" t="s">
        <v>8</v>
      </c>
      <c r="I217">
        <v>6439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1214</v>
      </c>
      <c r="S217">
        <v>11020</v>
      </c>
      <c r="W217">
        <v>33202</v>
      </c>
      <c r="X217">
        <v>1007</v>
      </c>
      <c r="Z217" t="s">
        <v>117</v>
      </c>
      <c r="AA217" t="s">
        <v>403</v>
      </c>
      <c r="AB217" t="s">
        <v>936</v>
      </c>
      <c r="AC217">
        <v>503</v>
      </c>
      <c r="AD217" t="s">
        <v>933</v>
      </c>
    </row>
    <row r="218" spans="1:30" ht="15" customHeight="1" x14ac:dyDescent="0.25">
      <c r="A218">
        <v>488</v>
      </c>
      <c r="B218" t="s">
        <v>937</v>
      </c>
      <c r="C218" t="s">
        <v>938</v>
      </c>
      <c r="D218" t="s">
        <v>935</v>
      </c>
      <c r="E218" t="s">
        <v>115</v>
      </c>
      <c r="G218" t="s">
        <v>7</v>
      </c>
      <c r="H218" t="s">
        <v>8</v>
      </c>
      <c r="I218">
        <v>3629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1214</v>
      </c>
      <c r="S218">
        <v>11020</v>
      </c>
      <c r="W218">
        <v>33202</v>
      </c>
      <c r="X218">
        <v>1007</v>
      </c>
      <c r="Z218" t="s">
        <v>173</v>
      </c>
      <c r="AA218" t="s">
        <v>832</v>
      </c>
      <c r="AB218" t="s">
        <v>939</v>
      </c>
      <c r="AC218">
        <v>488</v>
      </c>
      <c r="AD218" t="s">
        <v>937</v>
      </c>
    </row>
    <row r="219" spans="1:30" ht="15" customHeight="1" x14ac:dyDescent="0.25">
      <c r="A219">
        <v>497</v>
      </c>
      <c r="B219" t="s">
        <v>940</v>
      </c>
      <c r="C219" t="s">
        <v>941</v>
      </c>
      <c r="D219" t="s">
        <v>935</v>
      </c>
      <c r="E219" t="s">
        <v>115</v>
      </c>
      <c r="G219" t="s">
        <v>7</v>
      </c>
      <c r="H219" t="s">
        <v>8</v>
      </c>
      <c r="I219">
        <v>952</v>
      </c>
      <c r="J219" t="s">
        <v>845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1214</v>
      </c>
      <c r="S219">
        <v>11020</v>
      </c>
      <c r="W219">
        <v>33202</v>
      </c>
      <c r="X219">
        <v>1007</v>
      </c>
      <c r="Z219" t="s">
        <v>117</v>
      </c>
      <c r="AA219" t="s">
        <v>403</v>
      </c>
      <c r="AB219" t="s">
        <v>942</v>
      </c>
      <c r="AC219">
        <v>497</v>
      </c>
      <c r="AD219" t="s">
        <v>940</v>
      </c>
    </row>
    <row r="220" spans="1:30" ht="15" customHeight="1" x14ac:dyDescent="0.25">
      <c r="A220">
        <v>368</v>
      </c>
      <c r="B220" t="s">
        <v>943</v>
      </c>
      <c r="C220" t="s">
        <v>944</v>
      </c>
      <c r="D220" t="s">
        <v>945</v>
      </c>
      <c r="E220" t="s">
        <v>115</v>
      </c>
      <c r="G220" t="s">
        <v>7</v>
      </c>
      <c r="H220" t="s">
        <v>8</v>
      </c>
      <c r="I220">
        <v>7895</v>
      </c>
      <c r="J220" t="s">
        <v>581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 t="s">
        <v>889</v>
      </c>
      <c r="S220">
        <v>7895</v>
      </c>
      <c r="W220">
        <v>33202</v>
      </c>
      <c r="X220">
        <v>1007</v>
      </c>
      <c r="Z220" t="s">
        <v>117</v>
      </c>
      <c r="AA220" t="s">
        <v>946</v>
      </c>
      <c r="AB220" t="s">
        <v>947</v>
      </c>
      <c r="AC220">
        <v>368</v>
      </c>
      <c r="AD220" t="s">
        <v>943</v>
      </c>
    </row>
    <row r="221" spans="1:30" ht="15" customHeight="1" x14ac:dyDescent="0.25">
      <c r="A221">
        <v>425</v>
      </c>
      <c r="B221" t="s">
        <v>948</v>
      </c>
      <c r="C221" t="s">
        <v>949</v>
      </c>
      <c r="D221" t="s">
        <v>950</v>
      </c>
      <c r="E221" t="s">
        <v>115</v>
      </c>
      <c r="G221" t="s">
        <v>7</v>
      </c>
      <c r="H221" t="s">
        <v>8</v>
      </c>
      <c r="I221">
        <v>16330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1216</v>
      </c>
      <c r="S221">
        <v>16330</v>
      </c>
      <c r="W221">
        <v>33202</v>
      </c>
      <c r="X221">
        <v>1007</v>
      </c>
      <c r="Z221" t="s">
        <v>173</v>
      </c>
      <c r="AA221" t="s">
        <v>832</v>
      </c>
      <c r="AB221" t="s">
        <v>951</v>
      </c>
      <c r="AC221">
        <v>425</v>
      </c>
      <c r="AD221" t="s">
        <v>948</v>
      </c>
    </row>
    <row r="222" spans="1:30" ht="15" customHeight="1" x14ac:dyDescent="0.25">
      <c r="A222">
        <v>415</v>
      </c>
      <c r="B222" t="s">
        <v>952</v>
      </c>
      <c r="C222" t="s">
        <v>953</v>
      </c>
      <c r="D222" t="s">
        <v>954</v>
      </c>
      <c r="E222" t="s">
        <v>115</v>
      </c>
      <c r="G222" t="s">
        <v>7</v>
      </c>
      <c r="H222" t="s">
        <v>8</v>
      </c>
      <c r="I222">
        <v>1345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1217</v>
      </c>
      <c r="S222">
        <v>1345</v>
      </c>
      <c r="W222">
        <v>33202</v>
      </c>
      <c r="X222">
        <v>1007</v>
      </c>
      <c r="Z222" t="s">
        <v>173</v>
      </c>
      <c r="AA222" t="s">
        <v>832</v>
      </c>
      <c r="AB222" t="s">
        <v>955</v>
      </c>
      <c r="AC222">
        <v>415</v>
      </c>
      <c r="AD222" t="s">
        <v>952</v>
      </c>
    </row>
    <row r="223" spans="1:30" ht="15" customHeight="1" x14ac:dyDescent="0.25">
      <c r="A223">
        <v>367</v>
      </c>
      <c r="B223" t="s">
        <v>956</v>
      </c>
      <c r="C223" t="s">
        <v>957</v>
      </c>
      <c r="D223" t="s">
        <v>958</v>
      </c>
      <c r="E223" t="s">
        <v>115</v>
      </c>
      <c r="G223" t="s">
        <v>7</v>
      </c>
      <c r="H223" t="s">
        <v>8</v>
      </c>
      <c r="I223">
        <v>5345</v>
      </c>
      <c r="J223" t="s">
        <v>581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 t="s">
        <v>889</v>
      </c>
      <c r="S223">
        <v>5345</v>
      </c>
      <c r="W223">
        <v>33202</v>
      </c>
      <c r="X223">
        <v>1007</v>
      </c>
      <c r="Z223" t="s">
        <v>117</v>
      </c>
      <c r="AA223" t="s">
        <v>890</v>
      </c>
      <c r="AB223" t="s">
        <v>959</v>
      </c>
      <c r="AC223">
        <v>367</v>
      </c>
      <c r="AD223" t="s">
        <v>956</v>
      </c>
    </row>
    <row r="224" spans="1:30" ht="15" customHeight="1" x14ac:dyDescent="0.25">
      <c r="A224">
        <v>423</v>
      </c>
      <c r="B224" t="s">
        <v>960</v>
      </c>
      <c r="C224" t="s">
        <v>961</v>
      </c>
      <c r="D224" t="s">
        <v>962</v>
      </c>
      <c r="E224" t="s">
        <v>115</v>
      </c>
      <c r="G224" t="s">
        <v>7</v>
      </c>
      <c r="H224" t="s">
        <v>8</v>
      </c>
      <c r="I224">
        <v>7000</v>
      </c>
      <c r="J224" t="s">
        <v>581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 t="s">
        <v>889</v>
      </c>
      <c r="S224">
        <v>7000</v>
      </c>
      <c r="W224">
        <v>33202</v>
      </c>
      <c r="X224">
        <v>1007</v>
      </c>
      <c r="Z224" t="s">
        <v>117</v>
      </c>
      <c r="AA224" t="s">
        <v>890</v>
      </c>
      <c r="AB224" t="s">
        <v>963</v>
      </c>
      <c r="AC224">
        <v>423</v>
      </c>
      <c r="AD224" t="s">
        <v>960</v>
      </c>
    </row>
    <row r="225" spans="1:30" ht="15" customHeight="1" x14ac:dyDescent="0.25">
      <c r="A225">
        <v>431</v>
      </c>
      <c r="B225" t="s">
        <v>964</v>
      </c>
      <c r="C225" t="s">
        <v>965</v>
      </c>
      <c r="D225" t="s">
        <v>966</v>
      </c>
      <c r="E225" t="s">
        <v>115</v>
      </c>
      <c r="G225" t="s">
        <v>7</v>
      </c>
      <c r="H225" t="s">
        <v>8</v>
      </c>
      <c r="I225">
        <v>6412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1220</v>
      </c>
      <c r="S225">
        <v>32800</v>
      </c>
      <c r="V225">
        <v>1</v>
      </c>
      <c r="W225">
        <v>33202</v>
      </c>
      <c r="X225">
        <v>1007</v>
      </c>
      <c r="Z225" t="s">
        <v>117</v>
      </c>
      <c r="AA225" t="s">
        <v>403</v>
      </c>
      <c r="AB225" t="s">
        <v>967</v>
      </c>
      <c r="AC225">
        <v>431</v>
      </c>
      <c r="AD225" t="s">
        <v>964</v>
      </c>
    </row>
    <row r="226" spans="1:30" ht="15" customHeight="1" x14ac:dyDescent="0.25">
      <c r="A226">
        <v>489</v>
      </c>
      <c r="B226" t="s">
        <v>968</v>
      </c>
      <c r="C226" t="s">
        <v>969</v>
      </c>
      <c r="D226" t="s">
        <v>966</v>
      </c>
      <c r="E226" t="s">
        <v>115</v>
      </c>
      <c r="G226" t="s">
        <v>7</v>
      </c>
      <c r="H226" t="s">
        <v>8</v>
      </c>
      <c r="I226">
        <v>10684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1220</v>
      </c>
      <c r="S226">
        <v>32800</v>
      </c>
      <c r="V226">
        <v>1</v>
      </c>
      <c r="W226">
        <v>33202</v>
      </c>
      <c r="X226">
        <v>1007</v>
      </c>
      <c r="Z226" t="s">
        <v>117</v>
      </c>
      <c r="AA226" t="s">
        <v>403</v>
      </c>
      <c r="AB226" t="s">
        <v>970</v>
      </c>
      <c r="AC226">
        <v>489</v>
      </c>
      <c r="AD226" t="s">
        <v>968</v>
      </c>
    </row>
    <row r="227" spans="1:30" ht="15" customHeight="1" x14ac:dyDescent="0.25">
      <c r="A227">
        <v>101</v>
      </c>
      <c r="B227" t="s">
        <v>971</v>
      </c>
      <c r="C227" t="s">
        <v>972</v>
      </c>
      <c r="D227" t="s">
        <v>966</v>
      </c>
      <c r="E227" t="s">
        <v>115</v>
      </c>
      <c r="G227" t="s">
        <v>7</v>
      </c>
      <c r="H227" t="s">
        <v>8</v>
      </c>
      <c r="I227">
        <v>6815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1220</v>
      </c>
      <c r="S227">
        <v>32800</v>
      </c>
      <c r="V227">
        <v>1</v>
      </c>
      <c r="W227">
        <v>33202</v>
      </c>
      <c r="X227">
        <v>1007</v>
      </c>
      <c r="Z227" t="s">
        <v>117</v>
      </c>
      <c r="AA227" t="s">
        <v>403</v>
      </c>
      <c r="AB227" t="s">
        <v>973</v>
      </c>
      <c r="AC227">
        <v>101</v>
      </c>
      <c r="AD227" t="s">
        <v>971</v>
      </c>
    </row>
    <row r="228" spans="1:30" ht="15" customHeight="1" x14ac:dyDescent="0.25">
      <c r="A228">
        <v>490</v>
      </c>
      <c r="B228" t="s">
        <v>974</v>
      </c>
      <c r="C228" t="s">
        <v>975</v>
      </c>
      <c r="D228" t="s">
        <v>966</v>
      </c>
      <c r="E228" t="s">
        <v>115</v>
      </c>
      <c r="G228" t="s">
        <v>7</v>
      </c>
      <c r="H228" t="s">
        <v>8</v>
      </c>
      <c r="I228">
        <v>8888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1220</v>
      </c>
      <c r="S228">
        <v>32800</v>
      </c>
      <c r="V228">
        <v>1</v>
      </c>
      <c r="W228">
        <v>33202</v>
      </c>
      <c r="X228">
        <v>1007</v>
      </c>
      <c r="Z228" t="s">
        <v>117</v>
      </c>
      <c r="AA228" t="s">
        <v>403</v>
      </c>
      <c r="AB228" t="s">
        <v>976</v>
      </c>
      <c r="AC228">
        <v>490</v>
      </c>
      <c r="AD228" t="s">
        <v>974</v>
      </c>
    </row>
    <row r="229" spans="1:30" ht="15" customHeight="1" x14ac:dyDescent="0.25">
      <c r="A229">
        <v>400</v>
      </c>
      <c r="B229" t="s">
        <v>977</v>
      </c>
      <c r="C229" t="s">
        <v>978</v>
      </c>
      <c r="D229" t="s">
        <v>979</v>
      </c>
      <c r="E229" t="s">
        <v>115</v>
      </c>
      <c r="G229" t="s">
        <v>7</v>
      </c>
      <c r="H229" t="s">
        <v>8</v>
      </c>
      <c r="I229">
        <v>19770</v>
      </c>
      <c r="J229" t="s">
        <v>581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1221</v>
      </c>
      <c r="S229">
        <v>19770</v>
      </c>
      <c r="W229">
        <v>33202</v>
      </c>
      <c r="X229">
        <v>1007</v>
      </c>
      <c r="Z229" t="s">
        <v>117</v>
      </c>
      <c r="AA229" t="s">
        <v>403</v>
      </c>
      <c r="AB229" t="s">
        <v>980</v>
      </c>
      <c r="AC229">
        <v>400</v>
      </c>
      <c r="AD229" t="s">
        <v>977</v>
      </c>
    </row>
    <row r="230" spans="1:30" ht="15" customHeight="1" x14ac:dyDescent="0.25">
      <c r="A230">
        <v>83</v>
      </c>
      <c r="B230" t="s">
        <v>981</v>
      </c>
      <c r="C230" t="s">
        <v>982</v>
      </c>
      <c r="D230" t="s">
        <v>983</v>
      </c>
      <c r="E230" t="s">
        <v>115</v>
      </c>
      <c r="G230" t="s">
        <v>7</v>
      </c>
      <c r="H230" t="s">
        <v>29</v>
      </c>
      <c r="I230">
        <v>6010</v>
      </c>
      <c r="J230" t="s">
        <v>581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1222</v>
      </c>
      <c r="S230">
        <v>6010</v>
      </c>
      <c r="W230">
        <v>33202</v>
      </c>
      <c r="X230">
        <v>1007</v>
      </c>
      <c r="Z230" t="s">
        <v>117</v>
      </c>
      <c r="AA230" t="s">
        <v>984</v>
      </c>
      <c r="AB230" t="s">
        <v>985</v>
      </c>
      <c r="AC230">
        <v>83</v>
      </c>
      <c r="AD230" t="s">
        <v>981</v>
      </c>
    </row>
    <row r="231" spans="1:30" ht="15" customHeight="1" x14ac:dyDescent="0.25">
      <c r="A231">
        <v>407</v>
      </c>
      <c r="B231" t="s">
        <v>986</v>
      </c>
      <c r="C231" t="s">
        <v>987</v>
      </c>
      <c r="D231" t="s">
        <v>988</v>
      </c>
      <c r="E231" t="s">
        <v>115</v>
      </c>
      <c r="G231" t="s">
        <v>7</v>
      </c>
      <c r="H231" t="s">
        <v>29</v>
      </c>
      <c r="I231">
        <v>3360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1223</v>
      </c>
      <c r="S231">
        <v>3360</v>
      </c>
      <c r="W231">
        <v>33202</v>
      </c>
      <c r="X231">
        <v>1007</v>
      </c>
      <c r="Z231" t="s">
        <v>173</v>
      </c>
      <c r="AA231" t="s">
        <v>832</v>
      </c>
      <c r="AB231" t="s">
        <v>989</v>
      </c>
      <c r="AC231">
        <v>407</v>
      </c>
      <c r="AD231" t="s">
        <v>986</v>
      </c>
    </row>
    <row r="232" spans="1:30" ht="15" customHeight="1" x14ac:dyDescent="0.25">
      <c r="A232">
        <v>366</v>
      </c>
      <c r="B232" t="s">
        <v>990</v>
      </c>
      <c r="C232" t="s">
        <v>991</v>
      </c>
      <c r="D232" t="s">
        <v>992</v>
      </c>
      <c r="E232" t="s">
        <v>115</v>
      </c>
      <c r="G232" t="s">
        <v>7</v>
      </c>
      <c r="H232" t="s">
        <v>29</v>
      </c>
      <c r="I232">
        <v>36940</v>
      </c>
      <c r="J232" t="s">
        <v>581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1224</v>
      </c>
      <c r="S232">
        <v>36940</v>
      </c>
      <c r="W232">
        <v>33202</v>
      </c>
      <c r="X232">
        <v>1007</v>
      </c>
      <c r="Z232" t="s">
        <v>117</v>
      </c>
      <c r="AA232" t="s">
        <v>984</v>
      </c>
      <c r="AB232" t="s">
        <v>993</v>
      </c>
      <c r="AC232">
        <v>366</v>
      </c>
      <c r="AD232" t="s">
        <v>990</v>
      </c>
    </row>
    <row r="233" spans="1:30" ht="15" customHeight="1" x14ac:dyDescent="0.25">
      <c r="A233">
        <v>459</v>
      </c>
      <c r="B233" t="s">
        <v>994</v>
      </c>
      <c r="C233" t="s">
        <v>995</v>
      </c>
      <c r="D233" t="s">
        <v>996</v>
      </c>
      <c r="E233" t="s">
        <v>115</v>
      </c>
      <c r="G233" t="s">
        <v>7</v>
      </c>
      <c r="H233" t="s">
        <v>29</v>
      </c>
      <c r="I233">
        <v>3700</v>
      </c>
      <c r="J233" t="s">
        <v>581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 t="s">
        <v>571</v>
      </c>
      <c r="S233">
        <v>3700</v>
      </c>
      <c r="W233">
        <v>33202</v>
      </c>
      <c r="X233">
        <v>1007</v>
      </c>
      <c r="Z233" t="s">
        <v>117</v>
      </c>
      <c r="AA233" t="s">
        <v>572</v>
      </c>
      <c r="AB233" t="s">
        <v>997</v>
      </c>
      <c r="AC233">
        <v>459</v>
      </c>
      <c r="AD233" t="s">
        <v>994</v>
      </c>
    </row>
    <row r="234" spans="1:30" ht="15" customHeight="1" x14ac:dyDescent="0.25">
      <c r="A234">
        <v>391</v>
      </c>
      <c r="B234" t="s">
        <v>998</v>
      </c>
      <c r="C234" t="s">
        <v>999</v>
      </c>
      <c r="D234" t="s">
        <v>1000</v>
      </c>
      <c r="E234" t="s">
        <v>115</v>
      </c>
      <c r="G234" t="s">
        <v>7</v>
      </c>
      <c r="H234" t="s">
        <v>29</v>
      </c>
      <c r="I234">
        <v>8920</v>
      </c>
      <c r="J234" t="s">
        <v>581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1226</v>
      </c>
      <c r="S234">
        <v>8920</v>
      </c>
      <c r="W234">
        <v>33202</v>
      </c>
      <c r="X234">
        <v>1007</v>
      </c>
      <c r="Z234" t="s">
        <v>117</v>
      </c>
      <c r="AA234" t="s">
        <v>984</v>
      </c>
      <c r="AB234" t="s">
        <v>1001</v>
      </c>
      <c r="AC234">
        <v>391</v>
      </c>
      <c r="AD234" t="s">
        <v>998</v>
      </c>
    </row>
    <row r="235" spans="1:30" ht="15" customHeight="1" x14ac:dyDescent="0.25">
      <c r="A235">
        <v>499</v>
      </c>
      <c r="B235" t="s">
        <v>1002</v>
      </c>
      <c r="C235" t="s">
        <v>1003</v>
      </c>
      <c r="D235" t="s">
        <v>1004</v>
      </c>
      <c r="E235" t="s">
        <v>115</v>
      </c>
      <c r="G235" t="s">
        <v>7</v>
      </c>
      <c r="H235" t="s">
        <v>29</v>
      </c>
      <c r="I235">
        <v>28620</v>
      </c>
      <c r="J235" t="s">
        <v>581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 t="s">
        <v>571</v>
      </c>
      <c r="S235">
        <v>28620</v>
      </c>
      <c r="W235">
        <v>33202</v>
      </c>
      <c r="X235">
        <v>1007</v>
      </c>
      <c r="Z235" t="s">
        <v>117</v>
      </c>
      <c r="AA235" t="s">
        <v>572</v>
      </c>
      <c r="AB235" t="s">
        <v>1005</v>
      </c>
      <c r="AC235">
        <v>499</v>
      </c>
      <c r="AD235" t="s">
        <v>1002</v>
      </c>
    </row>
    <row r="236" spans="1:30" ht="15" customHeight="1" x14ac:dyDescent="0.25">
      <c r="A236">
        <v>460</v>
      </c>
      <c r="B236" t="s">
        <v>1006</v>
      </c>
      <c r="C236" t="s">
        <v>1007</v>
      </c>
      <c r="D236" t="s">
        <v>1008</v>
      </c>
      <c r="E236" t="s">
        <v>115</v>
      </c>
      <c r="G236" t="s">
        <v>7</v>
      </c>
      <c r="H236" t="s">
        <v>29</v>
      </c>
      <c r="I236">
        <v>5320</v>
      </c>
      <c r="J236" t="s">
        <v>581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 t="s">
        <v>571</v>
      </c>
      <c r="S236">
        <v>5320</v>
      </c>
      <c r="W236">
        <v>33202</v>
      </c>
      <c r="X236">
        <v>1007</v>
      </c>
      <c r="Z236" t="s">
        <v>117</v>
      </c>
      <c r="AA236" t="s">
        <v>572</v>
      </c>
      <c r="AB236" t="s">
        <v>1009</v>
      </c>
      <c r="AC236">
        <v>460</v>
      </c>
      <c r="AD236" t="s">
        <v>1006</v>
      </c>
    </row>
    <row r="237" spans="1:30" ht="15" customHeight="1" x14ac:dyDescent="0.25">
      <c r="A237">
        <v>371</v>
      </c>
      <c r="B237" t="s">
        <v>1010</v>
      </c>
      <c r="C237" t="s">
        <v>1011</v>
      </c>
      <c r="D237" t="s">
        <v>1012</v>
      </c>
      <c r="E237" t="s">
        <v>115</v>
      </c>
      <c r="G237" t="s">
        <v>7</v>
      </c>
      <c r="H237" t="s">
        <v>29</v>
      </c>
      <c r="I237">
        <v>9700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1229</v>
      </c>
      <c r="S237">
        <v>9700</v>
      </c>
      <c r="W237">
        <v>33202</v>
      </c>
      <c r="X237">
        <v>1007</v>
      </c>
      <c r="Z237" t="s">
        <v>173</v>
      </c>
      <c r="AA237" t="s">
        <v>832</v>
      </c>
      <c r="AB237" t="s">
        <v>1013</v>
      </c>
      <c r="AC237">
        <v>371</v>
      </c>
      <c r="AD237" t="s">
        <v>1010</v>
      </c>
    </row>
    <row r="238" spans="1:30" ht="15" customHeight="1" x14ac:dyDescent="0.25">
      <c r="A238">
        <v>413</v>
      </c>
      <c r="B238" t="s">
        <v>1014</v>
      </c>
      <c r="C238" t="s">
        <v>1015</v>
      </c>
      <c r="D238" t="s">
        <v>1016</v>
      </c>
      <c r="E238" t="s">
        <v>115</v>
      </c>
      <c r="G238" t="s">
        <v>7</v>
      </c>
      <c r="H238" t="s">
        <v>29</v>
      </c>
      <c r="I238">
        <v>3720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1230</v>
      </c>
      <c r="S238">
        <v>3720</v>
      </c>
      <c r="W238">
        <v>33202</v>
      </c>
      <c r="X238">
        <v>1007</v>
      </c>
      <c r="Z238" t="s">
        <v>173</v>
      </c>
      <c r="AA238" t="s">
        <v>832</v>
      </c>
      <c r="AB238" t="s">
        <v>1017</v>
      </c>
      <c r="AC238">
        <v>413</v>
      </c>
      <c r="AD238" t="s">
        <v>1014</v>
      </c>
    </row>
    <row r="239" spans="1:30" ht="15" customHeight="1" x14ac:dyDescent="0.25">
      <c r="A239">
        <v>435</v>
      </c>
      <c r="B239" t="s">
        <v>1018</v>
      </c>
      <c r="C239" t="s">
        <v>1019</v>
      </c>
      <c r="D239" t="s">
        <v>1020</v>
      </c>
      <c r="E239" t="s">
        <v>115</v>
      </c>
      <c r="G239" t="s">
        <v>7</v>
      </c>
      <c r="H239" t="s">
        <v>29</v>
      </c>
      <c r="I239">
        <v>2940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1231</v>
      </c>
      <c r="S239">
        <v>2940</v>
      </c>
      <c r="W239">
        <v>33202</v>
      </c>
      <c r="X239">
        <v>1007</v>
      </c>
      <c r="Z239" t="s">
        <v>173</v>
      </c>
      <c r="AA239" t="s">
        <v>832</v>
      </c>
      <c r="AB239" t="s">
        <v>1021</v>
      </c>
      <c r="AC239">
        <v>435</v>
      </c>
      <c r="AD239" t="s">
        <v>1018</v>
      </c>
    </row>
    <row r="240" spans="1:30" ht="15" customHeight="1" x14ac:dyDescent="0.25">
      <c r="A240">
        <v>502</v>
      </c>
      <c r="B240" t="s">
        <v>1022</v>
      </c>
      <c r="C240" t="s">
        <v>1023</v>
      </c>
      <c r="D240" t="s">
        <v>1024</v>
      </c>
      <c r="E240" t="s">
        <v>115</v>
      </c>
      <c r="G240" t="s">
        <v>7</v>
      </c>
      <c r="H240" t="s">
        <v>29</v>
      </c>
      <c r="I240">
        <v>2090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1232</v>
      </c>
      <c r="S240">
        <v>2090</v>
      </c>
      <c r="W240">
        <v>33202</v>
      </c>
      <c r="X240">
        <v>1007</v>
      </c>
      <c r="Z240" t="s">
        <v>173</v>
      </c>
      <c r="AA240" t="s">
        <v>832</v>
      </c>
      <c r="AB240" t="s">
        <v>1025</v>
      </c>
      <c r="AC240">
        <v>502</v>
      </c>
      <c r="AD240" t="s">
        <v>1022</v>
      </c>
    </row>
    <row r="241" spans="1:30" ht="15" customHeight="1" x14ac:dyDescent="0.25">
      <c r="A241">
        <v>395</v>
      </c>
      <c r="B241" t="s">
        <v>1026</v>
      </c>
      <c r="C241" t="s">
        <v>1027</v>
      </c>
      <c r="D241" t="s">
        <v>1028</v>
      </c>
      <c r="E241" t="s">
        <v>115</v>
      </c>
      <c r="G241" t="s">
        <v>7</v>
      </c>
      <c r="H241" t="s">
        <v>29</v>
      </c>
      <c r="I241">
        <v>2930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1233</v>
      </c>
      <c r="S241">
        <v>2930</v>
      </c>
      <c r="W241">
        <v>33202</v>
      </c>
      <c r="X241">
        <v>1007</v>
      </c>
      <c r="Z241" t="s">
        <v>173</v>
      </c>
      <c r="AA241" t="s">
        <v>1029</v>
      </c>
      <c r="AB241" t="s">
        <v>1030</v>
      </c>
      <c r="AC241">
        <v>395</v>
      </c>
      <c r="AD241" t="s">
        <v>1026</v>
      </c>
    </row>
    <row r="242" spans="1:30" ht="15" customHeight="1" x14ac:dyDescent="0.25">
      <c r="A242">
        <v>418</v>
      </c>
      <c r="B242" t="s">
        <v>1031</v>
      </c>
      <c r="C242" t="s">
        <v>1032</v>
      </c>
      <c r="D242" t="s">
        <v>1033</v>
      </c>
      <c r="E242" t="s">
        <v>115</v>
      </c>
      <c r="G242" t="s">
        <v>7</v>
      </c>
      <c r="H242" t="s">
        <v>29</v>
      </c>
      <c r="I242">
        <v>4270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1234</v>
      </c>
      <c r="S242">
        <v>4270</v>
      </c>
      <c r="W242">
        <v>33202</v>
      </c>
      <c r="X242">
        <v>1007</v>
      </c>
      <c r="Z242" t="s">
        <v>173</v>
      </c>
      <c r="AA242" t="s">
        <v>832</v>
      </c>
      <c r="AB242" t="s">
        <v>1034</v>
      </c>
      <c r="AC242">
        <v>418</v>
      </c>
      <c r="AD242" t="s">
        <v>1031</v>
      </c>
    </row>
    <row r="243" spans="1:30" ht="15" customHeight="1" x14ac:dyDescent="0.25">
      <c r="A243">
        <v>54</v>
      </c>
      <c r="B243" t="s">
        <v>1035</v>
      </c>
      <c r="C243" t="s">
        <v>1036</v>
      </c>
      <c r="D243" t="s">
        <v>1037</v>
      </c>
      <c r="E243" t="s">
        <v>115</v>
      </c>
      <c r="G243" t="s">
        <v>7</v>
      </c>
      <c r="H243" t="s">
        <v>29</v>
      </c>
      <c r="I243">
        <v>13250</v>
      </c>
      <c r="J243" t="s">
        <v>581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 t="s">
        <v>571</v>
      </c>
      <c r="S243">
        <v>13250</v>
      </c>
      <c r="W243">
        <v>33202</v>
      </c>
      <c r="X243">
        <v>1007</v>
      </c>
      <c r="Z243" t="s">
        <v>117</v>
      </c>
      <c r="AA243" t="s">
        <v>572</v>
      </c>
      <c r="AB243" t="s">
        <v>1038</v>
      </c>
      <c r="AC243">
        <v>54</v>
      </c>
      <c r="AD243" t="s">
        <v>1035</v>
      </c>
    </row>
    <row r="244" spans="1:30" ht="15" customHeight="1" x14ac:dyDescent="0.25">
      <c r="A244">
        <v>384</v>
      </c>
      <c r="B244" t="s">
        <v>1039</v>
      </c>
      <c r="C244" t="s">
        <v>1040</v>
      </c>
      <c r="D244" t="s">
        <v>1041</v>
      </c>
      <c r="E244" t="s">
        <v>115</v>
      </c>
      <c r="G244" t="s">
        <v>7</v>
      </c>
      <c r="H244" t="s">
        <v>29</v>
      </c>
      <c r="I244">
        <v>2930</v>
      </c>
      <c r="J244" t="s">
        <v>581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 t="s">
        <v>571</v>
      </c>
      <c r="S244">
        <v>2930</v>
      </c>
      <c r="W244">
        <v>33202</v>
      </c>
      <c r="X244">
        <v>1007</v>
      </c>
      <c r="Z244" t="s">
        <v>117</v>
      </c>
      <c r="AA244" t="s">
        <v>572</v>
      </c>
      <c r="AB244" t="s">
        <v>1042</v>
      </c>
      <c r="AC244">
        <v>384</v>
      </c>
      <c r="AD244" t="s">
        <v>1039</v>
      </c>
    </row>
    <row r="245" spans="1:30" ht="15" customHeight="1" x14ac:dyDescent="0.25">
      <c r="A245">
        <v>501</v>
      </c>
      <c r="B245" t="s">
        <v>1043</v>
      </c>
      <c r="C245" t="s">
        <v>1044</v>
      </c>
      <c r="D245" t="s">
        <v>1045</v>
      </c>
      <c r="E245" t="s">
        <v>115</v>
      </c>
      <c r="G245" t="s">
        <v>7</v>
      </c>
      <c r="H245" t="s">
        <v>29</v>
      </c>
      <c r="I245">
        <v>9375</v>
      </c>
      <c r="J245" t="s">
        <v>581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1237</v>
      </c>
      <c r="S245">
        <v>9375</v>
      </c>
      <c r="W245">
        <v>33202</v>
      </c>
      <c r="X245">
        <v>1007</v>
      </c>
      <c r="Z245" t="s">
        <v>117</v>
      </c>
      <c r="AA245" t="s">
        <v>984</v>
      </c>
      <c r="AB245" t="s">
        <v>1046</v>
      </c>
      <c r="AC245">
        <v>501</v>
      </c>
      <c r="AD245" t="s">
        <v>1043</v>
      </c>
    </row>
    <row r="246" spans="1:30" ht="15" customHeight="1" x14ac:dyDescent="0.25">
      <c r="A246">
        <v>484</v>
      </c>
      <c r="B246" t="s">
        <v>1047</v>
      </c>
      <c r="C246" t="s">
        <v>1048</v>
      </c>
      <c r="D246" t="s">
        <v>1049</v>
      </c>
      <c r="E246" t="s">
        <v>115</v>
      </c>
      <c r="G246" t="s">
        <v>7</v>
      </c>
      <c r="H246" t="s">
        <v>29</v>
      </c>
      <c r="I246">
        <v>13512</v>
      </c>
      <c r="J246" t="s">
        <v>161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1244</v>
      </c>
      <c r="S246">
        <v>18415</v>
      </c>
      <c r="W246">
        <v>33202</v>
      </c>
      <c r="X246">
        <v>1007</v>
      </c>
      <c r="Z246" t="s">
        <v>117</v>
      </c>
      <c r="AA246" t="s">
        <v>1050</v>
      </c>
      <c r="AB246" t="s">
        <v>1051</v>
      </c>
      <c r="AC246">
        <v>484</v>
      </c>
      <c r="AD246" t="s">
        <v>1047</v>
      </c>
    </row>
    <row r="247" spans="1:30" ht="15" customHeight="1" x14ac:dyDescent="0.25">
      <c r="A247">
        <v>483</v>
      </c>
      <c r="B247" t="s">
        <v>1052</v>
      </c>
      <c r="C247" t="s">
        <v>1053</v>
      </c>
      <c r="D247" t="s">
        <v>1049</v>
      </c>
      <c r="E247" t="s">
        <v>115</v>
      </c>
      <c r="G247" t="s">
        <v>7</v>
      </c>
      <c r="H247" t="s">
        <v>29</v>
      </c>
      <c r="I247">
        <v>4427</v>
      </c>
      <c r="J247" t="s">
        <v>581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 t="s">
        <v>571</v>
      </c>
      <c r="S247">
        <v>18415</v>
      </c>
      <c r="W247">
        <v>33202</v>
      </c>
      <c r="X247">
        <v>1007</v>
      </c>
      <c r="Z247" t="s">
        <v>117</v>
      </c>
      <c r="AA247" t="s">
        <v>572</v>
      </c>
      <c r="AB247" t="s">
        <v>1054</v>
      </c>
      <c r="AC247">
        <v>483</v>
      </c>
      <c r="AD247" t="s">
        <v>1052</v>
      </c>
    </row>
    <row r="248" spans="1:30" ht="15" customHeight="1" x14ac:dyDescent="0.25">
      <c r="A248">
        <v>485</v>
      </c>
      <c r="B248" t="s">
        <v>1055</v>
      </c>
      <c r="C248" t="s">
        <v>1056</v>
      </c>
      <c r="D248" t="s">
        <v>1049</v>
      </c>
      <c r="E248" t="s">
        <v>115</v>
      </c>
      <c r="G248" t="s">
        <v>7</v>
      </c>
      <c r="H248" t="s">
        <v>29</v>
      </c>
      <c r="I248">
        <v>476</v>
      </c>
      <c r="J248" t="s">
        <v>161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1244</v>
      </c>
      <c r="S248">
        <v>18415</v>
      </c>
      <c r="W248">
        <v>33202</v>
      </c>
      <c r="X248">
        <v>1007</v>
      </c>
      <c r="Z248" t="s">
        <v>117</v>
      </c>
      <c r="AA248" t="s">
        <v>1050</v>
      </c>
      <c r="AB248" t="s">
        <v>1057</v>
      </c>
      <c r="AC248">
        <v>485</v>
      </c>
      <c r="AD248" t="s">
        <v>1055</v>
      </c>
    </row>
    <row r="249" spans="1:30" ht="15" customHeight="1" x14ac:dyDescent="0.25">
      <c r="A249">
        <v>417</v>
      </c>
      <c r="B249" t="s">
        <v>1058</v>
      </c>
      <c r="C249" t="s">
        <v>1059</v>
      </c>
      <c r="D249" t="s">
        <v>1060</v>
      </c>
      <c r="E249" t="s">
        <v>115</v>
      </c>
      <c r="G249" t="s">
        <v>7</v>
      </c>
      <c r="H249" t="s">
        <v>29</v>
      </c>
      <c r="I249">
        <v>2555</v>
      </c>
      <c r="J249" t="s">
        <v>161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1245</v>
      </c>
      <c r="S249">
        <v>2555</v>
      </c>
      <c r="W249">
        <v>33202</v>
      </c>
      <c r="X249">
        <v>1007</v>
      </c>
      <c r="Z249" t="s">
        <v>117</v>
      </c>
      <c r="AA249" t="s">
        <v>1050</v>
      </c>
      <c r="AB249" t="s">
        <v>1061</v>
      </c>
      <c r="AC249">
        <v>417</v>
      </c>
      <c r="AD249" t="s">
        <v>1058</v>
      </c>
    </row>
    <row r="250" spans="1:30" ht="15" customHeight="1" x14ac:dyDescent="0.25">
      <c r="A250">
        <v>429</v>
      </c>
      <c r="B250" t="s">
        <v>1062</v>
      </c>
      <c r="C250" t="s">
        <v>1063</v>
      </c>
      <c r="D250" t="s">
        <v>1064</v>
      </c>
      <c r="E250" t="s">
        <v>115</v>
      </c>
      <c r="G250" t="s">
        <v>7</v>
      </c>
      <c r="H250" t="s">
        <v>29</v>
      </c>
      <c r="I250">
        <v>3987</v>
      </c>
      <c r="J250" t="s">
        <v>161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1246</v>
      </c>
      <c r="S250">
        <v>10190</v>
      </c>
      <c r="W250">
        <v>33202</v>
      </c>
      <c r="X250">
        <v>1007</v>
      </c>
      <c r="Z250" t="s">
        <v>117</v>
      </c>
      <c r="AA250" t="s">
        <v>1050</v>
      </c>
      <c r="AB250" t="s">
        <v>1065</v>
      </c>
      <c r="AC250">
        <v>429</v>
      </c>
      <c r="AD250" t="s">
        <v>1062</v>
      </c>
    </row>
    <row r="251" spans="1:30" ht="15" customHeight="1" x14ac:dyDescent="0.25">
      <c r="A251">
        <v>98</v>
      </c>
      <c r="B251" t="s">
        <v>1066</v>
      </c>
      <c r="C251" t="s">
        <v>1067</v>
      </c>
      <c r="D251" t="s">
        <v>1064</v>
      </c>
      <c r="E251" t="s">
        <v>115</v>
      </c>
      <c r="G251" t="s">
        <v>7</v>
      </c>
      <c r="H251" t="s">
        <v>29</v>
      </c>
      <c r="I251">
        <v>2233</v>
      </c>
      <c r="J251" t="s">
        <v>581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 t="s">
        <v>571</v>
      </c>
      <c r="S251">
        <v>10190</v>
      </c>
      <c r="W251">
        <v>33202</v>
      </c>
      <c r="X251">
        <v>1007</v>
      </c>
      <c r="Z251" t="s">
        <v>117</v>
      </c>
      <c r="AA251" t="s">
        <v>572</v>
      </c>
      <c r="AB251" t="s">
        <v>1068</v>
      </c>
      <c r="AC251">
        <v>98</v>
      </c>
      <c r="AD251" t="s">
        <v>1066</v>
      </c>
    </row>
    <row r="252" spans="1:30" ht="15" customHeight="1" x14ac:dyDescent="0.25">
      <c r="A252">
        <v>430</v>
      </c>
      <c r="B252" t="s">
        <v>1069</v>
      </c>
      <c r="C252" t="s">
        <v>1070</v>
      </c>
      <c r="D252" t="s">
        <v>1064</v>
      </c>
      <c r="E252" t="s">
        <v>115</v>
      </c>
      <c r="G252" t="s">
        <v>7</v>
      </c>
      <c r="H252" t="s">
        <v>29</v>
      </c>
      <c r="I252">
        <v>3970</v>
      </c>
      <c r="J252" t="s">
        <v>161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1246</v>
      </c>
      <c r="S252">
        <v>10190</v>
      </c>
      <c r="W252">
        <v>33202</v>
      </c>
      <c r="X252">
        <v>1007</v>
      </c>
      <c r="Z252" t="s">
        <v>117</v>
      </c>
      <c r="AA252" t="s">
        <v>984</v>
      </c>
      <c r="AB252" t="s">
        <v>1071</v>
      </c>
      <c r="AC252">
        <v>430</v>
      </c>
      <c r="AD252" t="s">
        <v>1069</v>
      </c>
    </row>
    <row r="253" spans="1:30" ht="15" customHeight="1" x14ac:dyDescent="0.25">
      <c r="A253">
        <v>406</v>
      </c>
      <c r="B253" t="s">
        <v>1072</v>
      </c>
      <c r="C253" t="s">
        <v>1073</v>
      </c>
      <c r="D253" t="s">
        <v>1074</v>
      </c>
      <c r="E253" t="s">
        <v>115</v>
      </c>
      <c r="G253" t="s">
        <v>7</v>
      </c>
      <c r="H253" t="s">
        <v>29</v>
      </c>
      <c r="I253">
        <v>20000</v>
      </c>
      <c r="J253" t="s">
        <v>161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1247</v>
      </c>
      <c r="S253">
        <v>20000</v>
      </c>
      <c r="W253">
        <v>33202</v>
      </c>
      <c r="X253">
        <v>1007</v>
      </c>
      <c r="Z253" t="s">
        <v>117</v>
      </c>
      <c r="AA253" t="s">
        <v>984</v>
      </c>
      <c r="AB253" t="s">
        <v>1075</v>
      </c>
      <c r="AC253">
        <v>406</v>
      </c>
      <c r="AD253" t="s">
        <v>1072</v>
      </c>
    </row>
    <row r="254" spans="1:30" ht="15" customHeight="1" x14ac:dyDescent="0.25">
      <c r="A254">
        <v>363</v>
      </c>
      <c r="B254" t="s">
        <v>1076</v>
      </c>
      <c r="C254" t="s">
        <v>1077</v>
      </c>
      <c r="D254" t="s">
        <v>1078</v>
      </c>
      <c r="E254" t="s">
        <v>115</v>
      </c>
      <c r="G254" t="s">
        <v>7</v>
      </c>
      <c r="H254" t="s">
        <v>29</v>
      </c>
      <c r="I254">
        <v>2285</v>
      </c>
      <c r="J254" t="s">
        <v>581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1248</v>
      </c>
      <c r="S254">
        <v>2285</v>
      </c>
      <c r="W254">
        <v>33202</v>
      </c>
      <c r="X254">
        <v>1007</v>
      </c>
      <c r="Z254" t="s">
        <v>117</v>
      </c>
      <c r="AA254" t="s">
        <v>984</v>
      </c>
      <c r="AB254" t="s">
        <v>1079</v>
      </c>
      <c r="AC254">
        <v>363</v>
      </c>
      <c r="AD254" t="s">
        <v>1076</v>
      </c>
    </row>
    <row r="255" spans="1:30" ht="15" customHeight="1" x14ac:dyDescent="0.25">
      <c r="A255">
        <v>424</v>
      </c>
      <c r="B255" t="s">
        <v>1080</v>
      </c>
      <c r="C255" t="s">
        <v>1081</v>
      </c>
      <c r="D255" t="s">
        <v>1082</v>
      </c>
      <c r="E255" t="s">
        <v>115</v>
      </c>
      <c r="G255" t="s">
        <v>7</v>
      </c>
      <c r="H255" t="s">
        <v>29</v>
      </c>
      <c r="I255">
        <v>52429</v>
      </c>
      <c r="J255" t="s">
        <v>161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1249</v>
      </c>
      <c r="S255">
        <v>280695</v>
      </c>
      <c r="W255">
        <v>33202</v>
      </c>
      <c r="X255">
        <v>1007</v>
      </c>
      <c r="Z255" t="s">
        <v>117</v>
      </c>
      <c r="AA255" t="s">
        <v>1050</v>
      </c>
      <c r="AB255" t="s">
        <v>1083</v>
      </c>
      <c r="AC255">
        <v>424</v>
      </c>
      <c r="AD255" t="s">
        <v>1080</v>
      </c>
    </row>
    <row r="256" spans="1:30" ht="15" customHeight="1" x14ac:dyDescent="0.25">
      <c r="A256">
        <v>93</v>
      </c>
      <c r="B256" t="s">
        <v>1084</v>
      </c>
      <c r="C256" t="s">
        <v>1085</v>
      </c>
      <c r="D256" t="s">
        <v>1082</v>
      </c>
      <c r="E256" t="s">
        <v>115</v>
      </c>
      <c r="G256" t="s">
        <v>7</v>
      </c>
      <c r="H256" t="s">
        <v>29</v>
      </c>
      <c r="I256">
        <v>56863</v>
      </c>
      <c r="J256" t="s">
        <v>581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571</v>
      </c>
      <c r="S256">
        <v>280695</v>
      </c>
      <c r="W256">
        <v>33202</v>
      </c>
      <c r="X256">
        <v>1007</v>
      </c>
      <c r="Z256" t="s">
        <v>117</v>
      </c>
      <c r="AA256" t="s">
        <v>572</v>
      </c>
      <c r="AB256" t="s">
        <v>1086</v>
      </c>
      <c r="AC256">
        <v>93</v>
      </c>
      <c r="AD256" t="s">
        <v>1084</v>
      </c>
    </row>
    <row r="257" spans="1:30" ht="15" customHeight="1" x14ac:dyDescent="0.25">
      <c r="A257">
        <v>455</v>
      </c>
      <c r="B257" t="s">
        <v>1087</v>
      </c>
      <c r="C257" t="s">
        <v>1088</v>
      </c>
      <c r="D257" t="s">
        <v>1082</v>
      </c>
      <c r="E257" t="s">
        <v>115</v>
      </c>
      <c r="G257" t="s">
        <v>7</v>
      </c>
      <c r="H257" t="s">
        <v>29</v>
      </c>
      <c r="I257">
        <v>78768</v>
      </c>
      <c r="J257" t="s">
        <v>161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1249</v>
      </c>
      <c r="S257">
        <v>280695</v>
      </c>
      <c r="W257">
        <v>33202</v>
      </c>
      <c r="X257">
        <v>1007</v>
      </c>
      <c r="Z257" t="s">
        <v>117</v>
      </c>
      <c r="AA257" t="s">
        <v>984</v>
      </c>
      <c r="AB257" t="s">
        <v>1089</v>
      </c>
      <c r="AC257">
        <v>455</v>
      </c>
      <c r="AD257" t="s">
        <v>1087</v>
      </c>
    </row>
    <row r="258" spans="1:30" ht="15" customHeight="1" x14ac:dyDescent="0.25">
      <c r="A258">
        <v>426</v>
      </c>
      <c r="B258" t="s">
        <v>1090</v>
      </c>
      <c r="C258" t="s">
        <v>1091</v>
      </c>
      <c r="D258" t="s">
        <v>1082</v>
      </c>
      <c r="E258" t="s">
        <v>115</v>
      </c>
      <c r="G258" t="s">
        <v>7</v>
      </c>
      <c r="H258" t="s">
        <v>29</v>
      </c>
      <c r="I258">
        <v>50458</v>
      </c>
      <c r="J258" t="s">
        <v>161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607</v>
      </c>
      <c r="S258">
        <v>280695</v>
      </c>
      <c r="W258">
        <v>33202</v>
      </c>
      <c r="X258">
        <v>1007</v>
      </c>
      <c r="Z258" t="s">
        <v>117</v>
      </c>
      <c r="AA258" t="s">
        <v>608</v>
      </c>
      <c r="AB258" t="s">
        <v>1092</v>
      </c>
      <c r="AC258">
        <v>426</v>
      </c>
      <c r="AD258" t="s">
        <v>1090</v>
      </c>
    </row>
    <row r="259" spans="1:30" ht="15" customHeight="1" x14ac:dyDescent="0.25">
      <c r="A259">
        <v>427</v>
      </c>
      <c r="B259" t="s">
        <v>1093</v>
      </c>
      <c r="C259" t="s">
        <v>1094</v>
      </c>
      <c r="D259" t="s">
        <v>1082</v>
      </c>
      <c r="E259" t="s">
        <v>115</v>
      </c>
      <c r="G259" t="s">
        <v>7</v>
      </c>
      <c r="H259" t="s">
        <v>29</v>
      </c>
      <c r="I259">
        <v>15903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1249</v>
      </c>
      <c r="S259">
        <v>280695</v>
      </c>
      <c r="W259">
        <v>33202</v>
      </c>
      <c r="X259">
        <v>1007</v>
      </c>
      <c r="Z259" t="s">
        <v>173</v>
      </c>
      <c r="AA259" t="s">
        <v>181</v>
      </c>
      <c r="AB259" t="s">
        <v>1095</v>
      </c>
      <c r="AC259">
        <v>427</v>
      </c>
      <c r="AD259" t="s">
        <v>1093</v>
      </c>
    </row>
    <row r="260" spans="1:30" ht="15" customHeight="1" x14ac:dyDescent="0.25">
      <c r="A260">
        <v>428</v>
      </c>
      <c r="B260" t="s">
        <v>1096</v>
      </c>
      <c r="C260" t="s">
        <v>1097</v>
      </c>
      <c r="D260" t="s">
        <v>1082</v>
      </c>
      <c r="E260" t="s">
        <v>115</v>
      </c>
      <c r="G260" t="s">
        <v>7</v>
      </c>
      <c r="H260" t="s">
        <v>29</v>
      </c>
      <c r="I260">
        <v>7853</v>
      </c>
      <c r="J260" t="s">
        <v>581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1249</v>
      </c>
      <c r="S260">
        <v>280695</v>
      </c>
      <c r="W260">
        <v>33202</v>
      </c>
      <c r="X260">
        <v>1007</v>
      </c>
      <c r="Z260" t="s">
        <v>117</v>
      </c>
      <c r="AA260" t="s">
        <v>984</v>
      </c>
      <c r="AB260" t="s">
        <v>1098</v>
      </c>
      <c r="AC260">
        <v>428</v>
      </c>
      <c r="AD260" t="s">
        <v>1096</v>
      </c>
    </row>
    <row r="261" spans="1:30" ht="15" customHeight="1" x14ac:dyDescent="0.25">
      <c r="A261">
        <v>454</v>
      </c>
      <c r="B261" t="s">
        <v>1099</v>
      </c>
      <c r="C261" t="s">
        <v>1100</v>
      </c>
      <c r="D261" t="s">
        <v>1082</v>
      </c>
      <c r="E261" t="s">
        <v>115</v>
      </c>
      <c r="G261" t="s">
        <v>7</v>
      </c>
      <c r="H261" t="s">
        <v>29</v>
      </c>
      <c r="I261">
        <v>18421</v>
      </c>
      <c r="J261" t="s">
        <v>581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571</v>
      </c>
      <c r="S261">
        <v>280695</v>
      </c>
      <c r="W261">
        <v>33202</v>
      </c>
      <c r="X261">
        <v>1007</v>
      </c>
      <c r="Z261" t="s">
        <v>117</v>
      </c>
      <c r="AA261" t="s">
        <v>572</v>
      </c>
      <c r="AB261" t="s">
        <v>1101</v>
      </c>
      <c r="AC261">
        <v>454</v>
      </c>
      <c r="AD261" t="s">
        <v>1099</v>
      </c>
    </row>
    <row r="262" spans="1:30" ht="15" customHeight="1" x14ac:dyDescent="0.25">
      <c r="A262">
        <v>374</v>
      </c>
      <c r="B262" t="s">
        <v>1102</v>
      </c>
      <c r="C262" t="s">
        <v>1103</v>
      </c>
      <c r="D262" t="s">
        <v>1104</v>
      </c>
      <c r="E262" t="s">
        <v>115</v>
      </c>
      <c r="G262" t="s">
        <v>7</v>
      </c>
      <c r="H262" t="s">
        <v>29</v>
      </c>
      <c r="I262">
        <v>7220</v>
      </c>
      <c r="J262" t="s">
        <v>161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162</v>
      </c>
      <c r="S262">
        <v>7220</v>
      </c>
      <c r="W262">
        <v>33202</v>
      </c>
      <c r="X262">
        <v>1007</v>
      </c>
      <c r="Z262" t="s">
        <v>117</v>
      </c>
      <c r="AA262" t="s">
        <v>608</v>
      </c>
      <c r="AB262" t="s">
        <v>1105</v>
      </c>
      <c r="AC262">
        <v>374</v>
      </c>
      <c r="AD262" t="s">
        <v>1102</v>
      </c>
    </row>
    <row r="263" spans="1:30" ht="15" customHeight="1" x14ac:dyDescent="0.25">
      <c r="A263">
        <v>498</v>
      </c>
      <c r="B263" t="s">
        <v>1106</v>
      </c>
      <c r="C263" t="s">
        <v>1107</v>
      </c>
      <c r="D263" t="s">
        <v>1108</v>
      </c>
      <c r="E263" t="s">
        <v>115</v>
      </c>
      <c r="G263" t="s">
        <v>7</v>
      </c>
      <c r="H263" t="s">
        <v>29</v>
      </c>
      <c r="I263">
        <v>710</v>
      </c>
      <c r="J263" t="s">
        <v>161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162</v>
      </c>
      <c r="S263">
        <v>710</v>
      </c>
      <c r="W263">
        <v>33202</v>
      </c>
      <c r="X263">
        <v>1007</v>
      </c>
      <c r="Z263" t="s">
        <v>117</v>
      </c>
      <c r="AA263" t="s">
        <v>608</v>
      </c>
      <c r="AB263" t="s">
        <v>1109</v>
      </c>
      <c r="AC263">
        <v>498</v>
      </c>
      <c r="AD263" t="s">
        <v>1106</v>
      </c>
    </row>
    <row r="264" spans="1:30" ht="15" customHeight="1" x14ac:dyDescent="0.25">
      <c r="A264">
        <v>449</v>
      </c>
      <c r="B264" t="s">
        <v>1110</v>
      </c>
      <c r="C264" t="s">
        <v>1111</v>
      </c>
      <c r="D264" t="s">
        <v>1112</v>
      </c>
      <c r="E264" t="s">
        <v>115</v>
      </c>
      <c r="G264" t="s">
        <v>7</v>
      </c>
      <c r="H264" t="s">
        <v>29</v>
      </c>
      <c r="I264">
        <v>14185</v>
      </c>
      <c r="J264" t="s">
        <v>161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162</v>
      </c>
      <c r="S264">
        <v>14185</v>
      </c>
      <c r="W264">
        <v>33202</v>
      </c>
      <c r="X264">
        <v>1007</v>
      </c>
      <c r="Z264" t="s">
        <v>117</v>
      </c>
      <c r="AA264" t="s">
        <v>608</v>
      </c>
      <c r="AB264" t="s">
        <v>1113</v>
      </c>
      <c r="AC264">
        <v>449</v>
      </c>
      <c r="AD264" t="s">
        <v>1110</v>
      </c>
    </row>
    <row r="265" spans="1:30" ht="15" customHeight="1" x14ac:dyDescent="0.25">
      <c r="A265">
        <v>9</v>
      </c>
      <c r="B265" t="s">
        <v>1114</v>
      </c>
      <c r="C265" t="s">
        <v>1115</v>
      </c>
      <c r="D265" t="s">
        <v>1116</v>
      </c>
      <c r="E265" t="s">
        <v>115</v>
      </c>
      <c r="G265" t="s">
        <v>7</v>
      </c>
      <c r="H265" t="s">
        <v>29</v>
      </c>
      <c r="I265">
        <v>5650</v>
      </c>
      <c r="J265" t="s">
        <v>161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162</v>
      </c>
      <c r="S265">
        <v>5650</v>
      </c>
      <c r="W265">
        <v>33202</v>
      </c>
      <c r="X265">
        <v>1007</v>
      </c>
      <c r="Z265" t="s">
        <v>117</v>
      </c>
      <c r="AA265" t="s">
        <v>608</v>
      </c>
      <c r="AB265" t="s">
        <v>1117</v>
      </c>
      <c r="AC265">
        <v>9</v>
      </c>
      <c r="AD265" t="s">
        <v>1114</v>
      </c>
    </row>
    <row r="266" spans="1:30" ht="15" customHeight="1" x14ac:dyDescent="0.25">
      <c r="A266">
        <v>401</v>
      </c>
      <c r="B266" t="s">
        <v>1118</v>
      </c>
      <c r="C266" t="s">
        <v>1119</v>
      </c>
      <c r="D266" t="s">
        <v>1120</v>
      </c>
      <c r="E266" t="s">
        <v>115</v>
      </c>
      <c r="G266" t="s">
        <v>7</v>
      </c>
      <c r="H266" t="s">
        <v>29</v>
      </c>
      <c r="I266">
        <v>4020</v>
      </c>
      <c r="J266" t="s">
        <v>161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162</v>
      </c>
      <c r="S266">
        <v>4020</v>
      </c>
      <c r="W266">
        <v>33202</v>
      </c>
      <c r="X266">
        <v>1007</v>
      </c>
      <c r="Z266" t="s">
        <v>117</v>
      </c>
      <c r="AA266" t="s">
        <v>608</v>
      </c>
      <c r="AB266" t="s">
        <v>1121</v>
      </c>
      <c r="AC266">
        <v>401</v>
      </c>
      <c r="AD266" t="s">
        <v>1118</v>
      </c>
    </row>
    <row r="267" spans="1:30" ht="15" customHeight="1" x14ac:dyDescent="0.25">
      <c r="A267">
        <v>45</v>
      </c>
      <c r="B267" t="s">
        <v>1122</v>
      </c>
      <c r="C267" t="s">
        <v>1123</v>
      </c>
      <c r="D267" t="s">
        <v>1124</v>
      </c>
      <c r="E267" t="s">
        <v>115</v>
      </c>
      <c r="G267" t="s">
        <v>7</v>
      </c>
      <c r="H267" t="s">
        <v>29</v>
      </c>
      <c r="I267">
        <v>60</v>
      </c>
      <c r="J267" t="s">
        <v>161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162</v>
      </c>
      <c r="S267">
        <v>60</v>
      </c>
      <c r="W267">
        <v>33202</v>
      </c>
      <c r="X267">
        <v>1007</v>
      </c>
      <c r="Z267" t="s">
        <v>117</v>
      </c>
      <c r="AA267" t="s">
        <v>608</v>
      </c>
      <c r="AB267" t="s">
        <v>1125</v>
      </c>
      <c r="AC267">
        <v>45</v>
      </c>
      <c r="AD267" t="s">
        <v>1122</v>
      </c>
    </row>
    <row r="268" spans="1:30" ht="15" customHeight="1" x14ac:dyDescent="0.25">
      <c r="A268">
        <v>403</v>
      </c>
      <c r="B268" t="s">
        <v>1126</v>
      </c>
      <c r="C268" t="s">
        <v>1127</v>
      </c>
      <c r="D268" t="s">
        <v>1128</v>
      </c>
      <c r="E268" t="s">
        <v>115</v>
      </c>
      <c r="G268" t="s">
        <v>7</v>
      </c>
      <c r="H268" t="s">
        <v>29</v>
      </c>
      <c r="I268">
        <v>180</v>
      </c>
      <c r="J268" t="s">
        <v>161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 t="s">
        <v>162</v>
      </c>
      <c r="S268">
        <v>180</v>
      </c>
      <c r="W268">
        <v>33202</v>
      </c>
      <c r="X268">
        <v>1007</v>
      </c>
      <c r="Z268" t="s">
        <v>117</v>
      </c>
      <c r="AA268" t="s">
        <v>608</v>
      </c>
      <c r="AB268" t="s">
        <v>1129</v>
      </c>
      <c r="AC268">
        <v>403</v>
      </c>
      <c r="AD268" t="s">
        <v>1126</v>
      </c>
    </row>
    <row r="269" spans="1:30" ht="15" customHeight="1" x14ac:dyDescent="0.25">
      <c r="A269">
        <v>372</v>
      </c>
      <c r="B269" t="s">
        <v>1130</v>
      </c>
      <c r="C269" t="s">
        <v>1131</v>
      </c>
      <c r="D269" t="s">
        <v>1132</v>
      </c>
      <c r="E269" t="s">
        <v>115</v>
      </c>
      <c r="G269" t="s">
        <v>7</v>
      </c>
      <c r="H269" t="s">
        <v>30</v>
      </c>
      <c r="I269">
        <v>6075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1573</v>
      </c>
      <c r="S269">
        <v>6075</v>
      </c>
      <c r="V269">
        <v>1</v>
      </c>
      <c r="W269">
        <v>33202</v>
      </c>
      <c r="X269">
        <v>1007</v>
      </c>
      <c r="Z269" t="s">
        <v>117</v>
      </c>
      <c r="AA269" t="s">
        <v>403</v>
      </c>
      <c r="AB269" t="s">
        <v>1133</v>
      </c>
      <c r="AC269">
        <v>372</v>
      </c>
      <c r="AD269" t="s">
        <v>1130</v>
      </c>
    </row>
    <row r="270" spans="1:30" ht="15" customHeight="1" x14ac:dyDescent="0.25">
      <c r="A270">
        <v>412</v>
      </c>
      <c r="B270" t="s">
        <v>1134</v>
      </c>
      <c r="C270" t="s">
        <v>1135</v>
      </c>
      <c r="D270" t="s">
        <v>1136</v>
      </c>
      <c r="E270" t="s">
        <v>115</v>
      </c>
      <c r="G270" t="s">
        <v>7</v>
      </c>
      <c r="H270" t="s">
        <v>30</v>
      </c>
      <c r="I270">
        <v>659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1574</v>
      </c>
      <c r="S270">
        <v>659</v>
      </c>
      <c r="V270">
        <v>1</v>
      </c>
      <c r="W270">
        <v>33202</v>
      </c>
      <c r="X270">
        <v>1007</v>
      </c>
      <c r="Z270" t="s">
        <v>117</v>
      </c>
      <c r="AA270" t="s">
        <v>403</v>
      </c>
      <c r="AB270" t="s">
        <v>1137</v>
      </c>
      <c r="AC270">
        <v>412</v>
      </c>
      <c r="AD270" t="s">
        <v>1134</v>
      </c>
    </row>
    <row r="271" spans="1:30" ht="15" customHeight="1" x14ac:dyDescent="0.25">
      <c r="A271">
        <v>381</v>
      </c>
      <c r="B271" t="s">
        <v>1138</v>
      </c>
      <c r="C271" t="s">
        <v>1139</v>
      </c>
      <c r="D271" t="s">
        <v>1140</v>
      </c>
      <c r="E271" t="s">
        <v>115</v>
      </c>
      <c r="G271" t="s">
        <v>7</v>
      </c>
      <c r="H271" t="s">
        <v>30</v>
      </c>
      <c r="I271">
        <v>961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1575</v>
      </c>
      <c r="S271">
        <v>961</v>
      </c>
      <c r="V271">
        <v>1</v>
      </c>
      <c r="W271">
        <v>33202</v>
      </c>
      <c r="X271">
        <v>1007</v>
      </c>
      <c r="Z271" t="s">
        <v>117</v>
      </c>
      <c r="AA271" t="s">
        <v>403</v>
      </c>
      <c r="AB271" t="s">
        <v>1141</v>
      </c>
      <c r="AC271">
        <v>381</v>
      </c>
      <c r="AD271" t="s">
        <v>1138</v>
      </c>
    </row>
    <row r="272" spans="1:30" ht="15" customHeight="1" x14ac:dyDescent="0.25">
      <c r="A272">
        <v>82</v>
      </c>
      <c r="B272" t="s">
        <v>1142</v>
      </c>
      <c r="C272" t="s">
        <v>1143</v>
      </c>
      <c r="D272" t="s">
        <v>1144</v>
      </c>
      <c r="E272" t="s">
        <v>115</v>
      </c>
      <c r="G272" t="s">
        <v>7</v>
      </c>
      <c r="H272" t="s">
        <v>30</v>
      </c>
      <c r="I272">
        <v>3188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1576</v>
      </c>
      <c r="S272">
        <v>3188</v>
      </c>
      <c r="V272">
        <v>1</v>
      </c>
      <c r="W272">
        <v>33202</v>
      </c>
      <c r="X272">
        <v>1007</v>
      </c>
      <c r="Z272" t="s">
        <v>117</v>
      </c>
      <c r="AA272" t="s">
        <v>403</v>
      </c>
      <c r="AB272" t="s">
        <v>1145</v>
      </c>
      <c r="AC272">
        <v>82</v>
      </c>
      <c r="AD272" t="s">
        <v>1142</v>
      </c>
    </row>
    <row r="273" spans="1:30" ht="15" customHeight="1" x14ac:dyDescent="0.25">
      <c r="A273">
        <v>468</v>
      </c>
      <c r="B273" t="s">
        <v>1146</v>
      </c>
      <c r="C273" t="s">
        <v>1147</v>
      </c>
      <c r="D273" t="s">
        <v>1148</v>
      </c>
      <c r="E273" t="s">
        <v>115</v>
      </c>
      <c r="G273" t="s">
        <v>7</v>
      </c>
      <c r="H273" t="s">
        <v>30</v>
      </c>
      <c r="I273">
        <v>1762</v>
      </c>
      <c r="J273" t="s">
        <v>581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 t="s">
        <v>582</v>
      </c>
      <c r="S273">
        <v>15311</v>
      </c>
      <c r="W273">
        <v>33202</v>
      </c>
      <c r="X273">
        <v>1007</v>
      </c>
      <c r="Z273" t="s">
        <v>117</v>
      </c>
      <c r="AA273" t="s">
        <v>583</v>
      </c>
      <c r="AB273" t="s">
        <v>1149</v>
      </c>
      <c r="AC273">
        <v>468</v>
      </c>
      <c r="AD273" t="s">
        <v>1146</v>
      </c>
    </row>
    <row r="274" spans="1:30" ht="15" customHeight="1" x14ac:dyDescent="0.25">
      <c r="A274">
        <v>467</v>
      </c>
      <c r="B274" t="s">
        <v>1150</v>
      </c>
      <c r="C274" t="s">
        <v>1151</v>
      </c>
      <c r="D274" t="s">
        <v>1148</v>
      </c>
      <c r="E274" t="s">
        <v>115</v>
      </c>
      <c r="G274" t="s">
        <v>7</v>
      </c>
      <c r="H274" t="s">
        <v>30</v>
      </c>
      <c r="I274">
        <v>13549</v>
      </c>
      <c r="J274" t="s">
        <v>161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1578</v>
      </c>
      <c r="S274">
        <v>15311</v>
      </c>
      <c r="W274">
        <v>33202</v>
      </c>
      <c r="X274">
        <v>1007</v>
      </c>
      <c r="Z274" t="s">
        <v>117</v>
      </c>
      <c r="AA274" t="s">
        <v>642</v>
      </c>
      <c r="AB274" t="s">
        <v>1152</v>
      </c>
      <c r="AC274">
        <v>467</v>
      </c>
      <c r="AD274" t="s">
        <v>1150</v>
      </c>
    </row>
    <row r="275" spans="1:30" ht="15" customHeight="1" x14ac:dyDescent="0.25">
      <c r="A275">
        <v>398</v>
      </c>
      <c r="B275" t="s">
        <v>1153</v>
      </c>
      <c r="C275" t="s">
        <v>1154</v>
      </c>
      <c r="D275" t="s">
        <v>1155</v>
      </c>
      <c r="E275" t="s">
        <v>115</v>
      </c>
      <c r="G275" t="s">
        <v>7</v>
      </c>
      <c r="H275" t="s">
        <v>30</v>
      </c>
      <c r="I275">
        <v>6679</v>
      </c>
      <c r="J275" t="s">
        <v>161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1579</v>
      </c>
      <c r="S275">
        <v>6679</v>
      </c>
      <c r="W275">
        <v>33202</v>
      </c>
      <c r="X275">
        <v>1007</v>
      </c>
      <c r="Z275" t="s">
        <v>117</v>
      </c>
      <c r="AA275" t="s">
        <v>642</v>
      </c>
      <c r="AB275" t="s">
        <v>1156</v>
      </c>
      <c r="AC275">
        <v>398</v>
      </c>
      <c r="AD275" t="s">
        <v>1153</v>
      </c>
    </row>
    <row r="276" spans="1:30" ht="15" customHeight="1" x14ac:dyDescent="0.25">
      <c r="A276">
        <v>190</v>
      </c>
      <c r="B276" t="s">
        <v>1157</v>
      </c>
      <c r="C276" t="s">
        <v>1158</v>
      </c>
      <c r="D276" t="s">
        <v>1159</v>
      </c>
      <c r="E276" t="s">
        <v>115</v>
      </c>
      <c r="G276" t="s">
        <v>9</v>
      </c>
      <c r="H276" t="s">
        <v>27</v>
      </c>
      <c r="I276">
        <v>3850</v>
      </c>
      <c r="K276">
        <v>0</v>
      </c>
      <c r="R276" t="s">
        <v>381</v>
      </c>
      <c r="S276">
        <v>3850</v>
      </c>
      <c r="V276" t="s">
        <v>1160</v>
      </c>
      <c r="W276">
        <v>40171</v>
      </c>
      <c r="X276">
        <v>1006</v>
      </c>
      <c r="Y276" t="s">
        <v>1160</v>
      </c>
      <c r="Z276" t="s">
        <v>117</v>
      </c>
      <c r="AA276" t="s">
        <v>118</v>
      </c>
      <c r="AB276" t="s">
        <v>1161</v>
      </c>
      <c r="AC276">
        <v>190</v>
      </c>
      <c r="AD276" t="s">
        <v>1157</v>
      </c>
    </row>
    <row r="277" spans="1:30" ht="15" customHeight="1" x14ac:dyDescent="0.25">
      <c r="A277">
        <v>191</v>
      </c>
      <c r="B277" t="s">
        <v>1162</v>
      </c>
      <c r="C277" t="s">
        <v>1163</v>
      </c>
      <c r="D277" t="s">
        <v>1164</v>
      </c>
      <c r="E277" t="s">
        <v>115</v>
      </c>
      <c r="G277" t="s">
        <v>9</v>
      </c>
      <c r="H277" t="s">
        <v>27</v>
      </c>
      <c r="I277">
        <v>1070</v>
      </c>
      <c r="K277">
        <v>0</v>
      </c>
      <c r="R277" t="s">
        <v>381</v>
      </c>
      <c r="S277">
        <v>1070</v>
      </c>
      <c r="V277" t="s">
        <v>1160</v>
      </c>
      <c r="W277">
        <v>40171</v>
      </c>
      <c r="X277">
        <v>1006</v>
      </c>
      <c r="Y277" t="s">
        <v>1160</v>
      </c>
      <c r="Z277" t="s">
        <v>117</v>
      </c>
      <c r="AA277" t="s">
        <v>118</v>
      </c>
      <c r="AB277" t="s">
        <v>1165</v>
      </c>
      <c r="AC277">
        <v>191</v>
      </c>
      <c r="AD277" t="s">
        <v>1162</v>
      </c>
    </row>
    <row r="278" spans="1:30" ht="15" customHeight="1" x14ac:dyDescent="0.25">
      <c r="A278">
        <v>192</v>
      </c>
      <c r="B278" t="s">
        <v>1166</v>
      </c>
      <c r="C278" t="s">
        <v>1167</v>
      </c>
      <c r="D278" t="s">
        <v>1168</v>
      </c>
      <c r="E278" t="s">
        <v>115</v>
      </c>
      <c r="G278" t="s">
        <v>9</v>
      </c>
      <c r="H278" t="s">
        <v>27</v>
      </c>
      <c r="I278">
        <v>10592</v>
      </c>
      <c r="K278">
        <v>0</v>
      </c>
      <c r="R278" t="s">
        <v>381</v>
      </c>
      <c r="S278">
        <v>10592</v>
      </c>
      <c r="V278" t="s">
        <v>1160</v>
      </c>
      <c r="W278">
        <v>40171</v>
      </c>
      <c r="X278">
        <v>1006</v>
      </c>
      <c r="Y278" t="s">
        <v>1160</v>
      </c>
      <c r="Z278" t="s">
        <v>117</v>
      </c>
      <c r="AA278" t="s">
        <v>118</v>
      </c>
      <c r="AB278" t="s">
        <v>1169</v>
      </c>
      <c r="AC278">
        <v>192</v>
      </c>
      <c r="AD278" t="s">
        <v>1166</v>
      </c>
    </row>
    <row r="279" spans="1:30" ht="15" customHeight="1" x14ac:dyDescent="0.25">
      <c r="A279">
        <v>195</v>
      </c>
      <c r="B279" t="s">
        <v>1170</v>
      </c>
      <c r="C279" t="s">
        <v>1171</v>
      </c>
      <c r="D279" t="s">
        <v>1172</v>
      </c>
      <c r="E279" t="s">
        <v>115</v>
      </c>
      <c r="G279" t="s">
        <v>9</v>
      </c>
      <c r="H279" t="s">
        <v>27</v>
      </c>
      <c r="I279">
        <v>11120</v>
      </c>
      <c r="K279">
        <v>0</v>
      </c>
      <c r="R279" t="s">
        <v>381</v>
      </c>
      <c r="S279">
        <v>11120</v>
      </c>
      <c r="V279" t="s">
        <v>1160</v>
      </c>
      <c r="W279">
        <v>40171</v>
      </c>
      <c r="X279">
        <v>1006</v>
      </c>
      <c r="Y279" t="s">
        <v>1160</v>
      </c>
      <c r="Z279" t="s">
        <v>117</v>
      </c>
      <c r="AA279" t="s">
        <v>118</v>
      </c>
      <c r="AB279" t="s">
        <v>1173</v>
      </c>
      <c r="AC279">
        <v>195</v>
      </c>
      <c r="AD279" t="s">
        <v>1170</v>
      </c>
    </row>
    <row r="280" spans="1:30" ht="15" customHeight="1" x14ac:dyDescent="0.25">
      <c r="A280">
        <v>194</v>
      </c>
      <c r="B280" t="s">
        <v>1174</v>
      </c>
      <c r="C280" t="s">
        <v>1175</v>
      </c>
      <c r="D280" t="s">
        <v>1176</v>
      </c>
      <c r="E280" t="s">
        <v>115</v>
      </c>
      <c r="G280" t="s">
        <v>9</v>
      </c>
      <c r="H280" t="s">
        <v>27</v>
      </c>
      <c r="I280">
        <v>10582</v>
      </c>
      <c r="K280">
        <v>0</v>
      </c>
      <c r="R280" t="s">
        <v>381</v>
      </c>
      <c r="S280">
        <v>10582</v>
      </c>
      <c r="V280" t="s">
        <v>1160</v>
      </c>
      <c r="W280">
        <v>40171</v>
      </c>
      <c r="X280">
        <v>1006</v>
      </c>
      <c r="Y280" t="s">
        <v>1160</v>
      </c>
      <c r="Z280" t="s">
        <v>117</v>
      </c>
      <c r="AA280" t="s">
        <v>118</v>
      </c>
      <c r="AB280" t="s">
        <v>1177</v>
      </c>
      <c r="AC280">
        <v>194</v>
      </c>
      <c r="AD280" t="s">
        <v>1174</v>
      </c>
    </row>
    <row r="281" spans="1:30" ht="15" customHeight="1" x14ac:dyDescent="0.25">
      <c r="A281">
        <v>197</v>
      </c>
      <c r="B281" t="s">
        <v>1178</v>
      </c>
      <c r="C281" t="s">
        <v>1179</v>
      </c>
      <c r="D281" t="s">
        <v>1180</v>
      </c>
      <c r="E281" t="s">
        <v>115</v>
      </c>
      <c r="G281" t="s">
        <v>9</v>
      </c>
      <c r="H281" t="s">
        <v>27</v>
      </c>
      <c r="I281">
        <v>800</v>
      </c>
      <c r="K281">
        <v>0</v>
      </c>
      <c r="R281" t="s">
        <v>381</v>
      </c>
      <c r="S281">
        <v>800</v>
      </c>
      <c r="V281" t="s">
        <v>1181</v>
      </c>
      <c r="W281">
        <v>40171</v>
      </c>
      <c r="X281">
        <v>1006</v>
      </c>
      <c r="Y281" t="s">
        <v>1181</v>
      </c>
      <c r="Z281" t="s">
        <v>117</v>
      </c>
      <c r="AA281" t="s">
        <v>118</v>
      </c>
      <c r="AB281" t="s">
        <v>1182</v>
      </c>
      <c r="AC281">
        <v>197</v>
      </c>
      <c r="AD281" t="s">
        <v>1178</v>
      </c>
    </row>
    <row r="282" spans="1:30" ht="15" customHeight="1" x14ac:dyDescent="0.25">
      <c r="A282">
        <v>203</v>
      </c>
      <c r="B282" t="s">
        <v>1183</v>
      </c>
      <c r="C282" t="s">
        <v>1184</v>
      </c>
      <c r="D282" t="s">
        <v>1185</v>
      </c>
      <c r="E282" t="s">
        <v>115</v>
      </c>
      <c r="G282" t="s">
        <v>9</v>
      </c>
      <c r="H282" t="s">
        <v>10</v>
      </c>
      <c r="I282">
        <v>17800</v>
      </c>
      <c r="K282">
        <v>0</v>
      </c>
      <c r="R282" t="s">
        <v>381</v>
      </c>
      <c r="S282">
        <v>17800</v>
      </c>
      <c r="V282" t="s">
        <v>1181</v>
      </c>
      <c r="W282">
        <v>40171</v>
      </c>
      <c r="X282">
        <v>1006</v>
      </c>
      <c r="Y282" t="s">
        <v>1181</v>
      </c>
      <c r="Z282" t="s">
        <v>117</v>
      </c>
      <c r="AA282" t="s">
        <v>118</v>
      </c>
      <c r="AB282" t="s">
        <v>1186</v>
      </c>
      <c r="AC282">
        <v>203</v>
      </c>
      <c r="AD282" t="s">
        <v>1183</v>
      </c>
    </row>
    <row r="283" spans="1:30" ht="15" customHeight="1" x14ac:dyDescent="0.25">
      <c r="A283">
        <v>202</v>
      </c>
      <c r="B283" t="s">
        <v>1187</v>
      </c>
      <c r="C283" t="s">
        <v>1188</v>
      </c>
      <c r="D283" t="s">
        <v>1189</v>
      </c>
      <c r="E283" t="s">
        <v>115</v>
      </c>
      <c r="G283" t="s">
        <v>9</v>
      </c>
      <c r="H283" t="s">
        <v>10</v>
      </c>
      <c r="I283">
        <v>8160</v>
      </c>
      <c r="K283">
        <v>0</v>
      </c>
      <c r="R283" t="s">
        <v>381</v>
      </c>
      <c r="S283">
        <v>8160</v>
      </c>
      <c r="V283" t="s">
        <v>1160</v>
      </c>
      <c r="W283">
        <v>40171</v>
      </c>
      <c r="X283">
        <v>1006</v>
      </c>
      <c r="Y283" t="s">
        <v>1160</v>
      </c>
      <c r="Z283" t="s">
        <v>117</v>
      </c>
      <c r="AA283" t="s">
        <v>118</v>
      </c>
      <c r="AB283" t="s">
        <v>1190</v>
      </c>
      <c r="AC283">
        <v>202</v>
      </c>
      <c r="AD283" t="s">
        <v>1187</v>
      </c>
    </row>
    <row r="284" spans="1:30" ht="15" customHeight="1" x14ac:dyDescent="0.25">
      <c r="A284">
        <v>204</v>
      </c>
      <c r="B284" t="s">
        <v>1191</v>
      </c>
      <c r="C284" t="s">
        <v>1192</v>
      </c>
      <c r="D284" t="s">
        <v>1193</v>
      </c>
      <c r="E284" t="s">
        <v>115</v>
      </c>
      <c r="G284" t="s">
        <v>9</v>
      </c>
      <c r="H284" t="s">
        <v>10</v>
      </c>
      <c r="I284">
        <v>6000</v>
      </c>
      <c r="K284">
        <v>0</v>
      </c>
      <c r="R284" t="s">
        <v>381</v>
      </c>
      <c r="S284">
        <v>6000</v>
      </c>
      <c r="V284" t="s">
        <v>1160</v>
      </c>
      <c r="W284">
        <v>40171</v>
      </c>
      <c r="X284">
        <v>1006</v>
      </c>
      <c r="Y284" t="s">
        <v>1160</v>
      </c>
      <c r="Z284" t="s">
        <v>117</v>
      </c>
      <c r="AA284" t="s">
        <v>118</v>
      </c>
      <c r="AB284" t="s">
        <v>1194</v>
      </c>
      <c r="AC284">
        <v>204</v>
      </c>
      <c r="AD284" t="s">
        <v>1191</v>
      </c>
    </row>
    <row r="285" spans="1:30" ht="15" customHeight="1" x14ac:dyDescent="0.25">
      <c r="A285">
        <v>456</v>
      </c>
      <c r="B285" t="s">
        <v>1195</v>
      </c>
      <c r="C285" t="s">
        <v>1196</v>
      </c>
      <c r="D285" t="s">
        <v>1197</v>
      </c>
      <c r="E285" t="s">
        <v>115</v>
      </c>
      <c r="G285" t="s">
        <v>7</v>
      </c>
      <c r="H285" t="s">
        <v>8</v>
      </c>
      <c r="I285">
        <v>9088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 t="s">
        <v>925</v>
      </c>
      <c r="S285">
        <v>32590</v>
      </c>
      <c r="V285">
        <v>1</v>
      </c>
      <c r="W285">
        <v>33202</v>
      </c>
      <c r="X285">
        <v>1007</v>
      </c>
      <c r="Z285" t="s">
        <v>173</v>
      </c>
      <c r="AA285" t="s">
        <v>602</v>
      </c>
      <c r="AB285" t="s">
        <v>1198</v>
      </c>
      <c r="AC285">
        <v>456</v>
      </c>
      <c r="AD285" t="s">
        <v>1195</v>
      </c>
    </row>
    <row r="286" spans="1:30" ht="15" customHeight="1" x14ac:dyDescent="0.25">
      <c r="A286">
        <v>125</v>
      </c>
      <c r="B286" t="s">
        <v>1199</v>
      </c>
      <c r="C286" t="s">
        <v>1200</v>
      </c>
      <c r="D286" t="s">
        <v>1197</v>
      </c>
      <c r="E286" t="s">
        <v>115</v>
      </c>
      <c r="G286" t="s">
        <v>7</v>
      </c>
      <c r="H286" t="s">
        <v>8</v>
      </c>
      <c r="I286">
        <v>7322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2472</v>
      </c>
      <c r="S286">
        <v>32590</v>
      </c>
      <c r="V286">
        <v>1</v>
      </c>
      <c r="W286">
        <v>33202</v>
      </c>
      <c r="X286">
        <v>1007</v>
      </c>
      <c r="Z286" t="s">
        <v>117</v>
      </c>
      <c r="AA286" t="s">
        <v>403</v>
      </c>
      <c r="AB286" t="s">
        <v>1201</v>
      </c>
      <c r="AC286">
        <v>125</v>
      </c>
      <c r="AD286" t="s">
        <v>1199</v>
      </c>
    </row>
    <row r="287" spans="1:30" ht="15" customHeight="1" x14ac:dyDescent="0.25">
      <c r="A287">
        <v>461</v>
      </c>
      <c r="B287" t="s">
        <v>1202</v>
      </c>
      <c r="C287" t="s">
        <v>1203</v>
      </c>
      <c r="D287" t="s">
        <v>1197</v>
      </c>
      <c r="E287" t="s">
        <v>115</v>
      </c>
      <c r="G287" t="s">
        <v>7</v>
      </c>
      <c r="H287" t="s">
        <v>8</v>
      </c>
      <c r="I287">
        <v>11595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2472</v>
      </c>
      <c r="S287">
        <v>32590</v>
      </c>
      <c r="V287">
        <v>1</v>
      </c>
      <c r="W287">
        <v>33202</v>
      </c>
      <c r="X287">
        <v>1007</v>
      </c>
      <c r="Z287" t="s">
        <v>117</v>
      </c>
      <c r="AA287" t="s">
        <v>403</v>
      </c>
      <c r="AB287" t="s">
        <v>1204</v>
      </c>
      <c r="AC287">
        <v>461</v>
      </c>
      <c r="AD287" t="s">
        <v>1202</v>
      </c>
    </row>
    <row r="288" spans="1:30" ht="15" customHeight="1" x14ac:dyDescent="0.25">
      <c r="A288">
        <v>492</v>
      </c>
      <c r="B288" t="s">
        <v>1205</v>
      </c>
      <c r="C288" t="s">
        <v>1206</v>
      </c>
      <c r="D288" t="s">
        <v>1197</v>
      </c>
      <c r="E288" t="s">
        <v>115</v>
      </c>
      <c r="G288" t="s">
        <v>7</v>
      </c>
      <c r="H288" t="s">
        <v>8</v>
      </c>
      <c r="I288">
        <v>1339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 t="s">
        <v>925</v>
      </c>
      <c r="S288">
        <v>32590</v>
      </c>
      <c r="V288">
        <v>1</v>
      </c>
      <c r="W288">
        <v>33202</v>
      </c>
      <c r="X288">
        <v>1007</v>
      </c>
      <c r="Z288" t="s">
        <v>117</v>
      </c>
      <c r="AA288" t="s">
        <v>403</v>
      </c>
      <c r="AB288" t="s">
        <v>1207</v>
      </c>
      <c r="AC288">
        <v>492</v>
      </c>
      <c r="AD288" t="s">
        <v>1205</v>
      </c>
    </row>
    <row r="289" spans="1:30" ht="15" customHeight="1" x14ac:dyDescent="0.25">
      <c r="A289">
        <v>494</v>
      </c>
      <c r="B289" t="s">
        <v>1208</v>
      </c>
      <c r="C289" t="s">
        <v>1209</v>
      </c>
      <c r="D289" t="s">
        <v>1197</v>
      </c>
      <c r="E289" t="s">
        <v>115</v>
      </c>
      <c r="G289" t="s">
        <v>7</v>
      </c>
      <c r="H289" t="s">
        <v>8</v>
      </c>
      <c r="I289">
        <v>769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 t="s">
        <v>925</v>
      </c>
      <c r="S289">
        <v>32590</v>
      </c>
      <c r="V289">
        <v>1</v>
      </c>
      <c r="W289">
        <v>33202</v>
      </c>
      <c r="X289">
        <v>1007</v>
      </c>
      <c r="Z289" t="s">
        <v>117</v>
      </c>
      <c r="AA289" t="s">
        <v>403</v>
      </c>
      <c r="AB289" t="s">
        <v>1210</v>
      </c>
      <c r="AC289">
        <v>494</v>
      </c>
      <c r="AD289" t="s">
        <v>1208</v>
      </c>
    </row>
    <row r="290" spans="1:30" ht="15" customHeight="1" x14ac:dyDescent="0.25">
      <c r="A290">
        <v>493</v>
      </c>
      <c r="B290" t="s">
        <v>1211</v>
      </c>
      <c r="C290" t="s">
        <v>1212</v>
      </c>
      <c r="D290" t="s">
        <v>1197</v>
      </c>
      <c r="E290" t="s">
        <v>115</v>
      </c>
      <c r="G290" t="s">
        <v>7</v>
      </c>
      <c r="H290" t="s">
        <v>8</v>
      </c>
      <c r="I290">
        <v>2477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 t="s">
        <v>925</v>
      </c>
      <c r="S290">
        <v>32590</v>
      </c>
      <c r="V290">
        <v>1</v>
      </c>
      <c r="W290">
        <v>33202</v>
      </c>
      <c r="X290">
        <v>1007</v>
      </c>
      <c r="Z290" t="s">
        <v>117</v>
      </c>
      <c r="AA290" t="s">
        <v>403</v>
      </c>
      <c r="AB290" t="s">
        <v>1213</v>
      </c>
      <c r="AC290">
        <v>493</v>
      </c>
      <c r="AD290" t="s">
        <v>1211</v>
      </c>
    </row>
    <row r="291" spans="1:30" ht="15" customHeight="1" x14ac:dyDescent="0.25">
      <c r="A291">
        <v>198</v>
      </c>
      <c r="B291" t="s">
        <v>1214</v>
      </c>
      <c r="C291" t="s">
        <v>1215</v>
      </c>
      <c r="D291" t="s">
        <v>1216</v>
      </c>
      <c r="E291" t="s">
        <v>115</v>
      </c>
      <c r="G291" t="s">
        <v>9</v>
      </c>
      <c r="H291" t="s">
        <v>10</v>
      </c>
      <c r="I291">
        <v>14160</v>
      </c>
      <c r="K291">
        <v>0</v>
      </c>
      <c r="R291" t="s">
        <v>381</v>
      </c>
      <c r="S291">
        <v>14160</v>
      </c>
      <c r="V291" t="s">
        <v>1160</v>
      </c>
      <c r="W291">
        <v>40171</v>
      </c>
      <c r="X291">
        <v>1006</v>
      </c>
      <c r="Y291" t="s">
        <v>1160</v>
      </c>
      <c r="Z291" t="s">
        <v>117</v>
      </c>
      <c r="AA291" t="s">
        <v>118</v>
      </c>
      <c r="AB291" t="s">
        <v>1217</v>
      </c>
      <c r="AC291">
        <v>198</v>
      </c>
      <c r="AD291" t="s">
        <v>1214</v>
      </c>
    </row>
    <row r="292" spans="1:30" ht="15" customHeight="1" x14ac:dyDescent="0.25">
      <c r="A292">
        <v>211</v>
      </c>
      <c r="B292" t="s">
        <v>1218</v>
      </c>
      <c r="C292" t="s">
        <v>1219</v>
      </c>
      <c r="D292" t="s">
        <v>1220</v>
      </c>
      <c r="E292" t="s">
        <v>115</v>
      </c>
      <c r="G292" t="s">
        <v>9</v>
      </c>
      <c r="H292" t="s">
        <v>10</v>
      </c>
      <c r="I292">
        <v>150</v>
      </c>
      <c r="K292">
        <v>0</v>
      </c>
      <c r="R292" t="s">
        <v>381</v>
      </c>
      <c r="S292">
        <v>150</v>
      </c>
      <c r="V292" t="s">
        <v>1160</v>
      </c>
      <c r="W292">
        <v>40171</v>
      </c>
      <c r="X292">
        <v>1006</v>
      </c>
      <c r="Y292" t="s">
        <v>1160</v>
      </c>
      <c r="Z292" t="s">
        <v>117</v>
      </c>
      <c r="AA292" t="s">
        <v>118</v>
      </c>
      <c r="AB292" t="s">
        <v>1221</v>
      </c>
      <c r="AC292">
        <v>211</v>
      </c>
      <c r="AD292" t="s">
        <v>1218</v>
      </c>
    </row>
    <row r="293" spans="1:30" ht="15" customHeight="1" x14ac:dyDescent="0.25">
      <c r="A293">
        <v>201</v>
      </c>
      <c r="B293" t="s">
        <v>1222</v>
      </c>
      <c r="C293" t="s">
        <v>1223</v>
      </c>
      <c r="D293" t="s">
        <v>1224</v>
      </c>
      <c r="E293" t="s">
        <v>115</v>
      </c>
      <c r="G293" t="s">
        <v>9</v>
      </c>
      <c r="H293" t="s">
        <v>10</v>
      </c>
      <c r="I293">
        <v>14000</v>
      </c>
      <c r="K293">
        <v>0</v>
      </c>
      <c r="R293" t="s">
        <v>381</v>
      </c>
      <c r="S293">
        <v>14000</v>
      </c>
      <c r="V293" t="s">
        <v>1160</v>
      </c>
      <c r="W293">
        <v>40171</v>
      </c>
      <c r="X293">
        <v>1006</v>
      </c>
      <c r="Y293" t="s">
        <v>1160</v>
      </c>
      <c r="Z293" t="s">
        <v>117</v>
      </c>
      <c r="AA293" t="s">
        <v>118</v>
      </c>
      <c r="AB293" t="s">
        <v>1225</v>
      </c>
      <c r="AC293">
        <v>201</v>
      </c>
      <c r="AD293" t="s">
        <v>1222</v>
      </c>
    </row>
    <row r="294" spans="1:30" ht="15" customHeight="1" x14ac:dyDescent="0.25">
      <c r="A294">
        <v>199</v>
      </c>
      <c r="B294" t="s">
        <v>1226</v>
      </c>
      <c r="C294" t="s">
        <v>1227</v>
      </c>
      <c r="D294" t="s">
        <v>1228</v>
      </c>
      <c r="E294" t="s">
        <v>115</v>
      </c>
      <c r="G294" t="s">
        <v>9</v>
      </c>
      <c r="H294" t="s">
        <v>10</v>
      </c>
      <c r="I294">
        <v>5550</v>
      </c>
      <c r="K294">
        <v>0</v>
      </c>
      <c r="R294" t="s">
        <v>381</v>
      </c>
      <c r="S294">
        <v>5550</v>
      </c>
      <c r="V294" t="s">
        <v>1160</v>
      </c>
      <c r="W294">
        <v>40171</v>
      </c>
      <c r="X294">
        <v>1006</v>
      </c>
      <c r="Y294" t="s">
        <v>1160</v>
      </c>
      <c r="Z294" t="s">
        <v>117</v>
      </c>
      <c r="AA294" t="s">
        <v>118</v>
      </c>
      <c r="AB294" t="s">
        <v>1229</v>
      </c>
      <c r="AC294">
        <v>199</v>
      </c>
      <c r="AD294" t="s">
        <v>1226</v>
      </c>
    </row>
    <row r="295" spans="1:30" ht="15" customHeight="1" x14ac:dyDescent="0.25">
      <c r="A295">
        <v>216</v>
      </c>
      <c r="B295" t="s">
        <v>1230</v>
      </c>
      <c r="C295" t="s">
        <v>1231</v>
      </c>
      <c r="D295" t="s">
        <v>1232</v>
      </c>
      <c r="E295" t="s">
        <v>115</v>
      </c>
      <c r="G295" t="s">
        <v>9</v>
      </c>
      <c r="H295" t="s">
        <v>10</v>
      </c>
      <c r="I295">
        <v>425614</v>
      </c>
      <c r="J295" t="s">
        <v>172</v>
      </c>
      <c r="K295">
        <v>0</v>
      </c>
      <c r="R295" t="s">
        <v>326</v>
      </c>
      <c r="S295">
        <v>554832</v>
      </c>
      <c r="V295">
        <v>1</v>
      </c>
      <c r="W295">
        <v>40171</v>
      </c>
      <c r="X295">
        <v>1006</v>
      </c>
      <c r="Z295" t="s">
        <v>117</v>
      </c>
      <c r="AA295" t="s">
        <v>327</v>
      </c>
      <c r="AB295" t="s">
        <v>1233</v>
      </c>
      <c r="AC295">
        <v>216</v>
      </c>
      <c r="AD295" t="s">
        <v>1230</v>
      </c>
    </row>
    <row r="296" spans="1:30" ht="15" customHeight="1" x14ac:dyDescent="0.25">
      <c r="A296">
        <v>245</v>
      </c>
      <c r="B296" t="s">
        <v>1234</v>
      </c>
      <c r="C296" t="s">
        <v>1235</v>
      </c>
      <c r="D296" t="s">
        <v>1232</v>
      </c>
      <c r="E296" t="s">
        <v>115</v>
      </c>
      <c r="G296" t="s">
        <v>9</v>
      </c>
      <c r="H296" t="s">
        <v>10</v>
      </c>
      <c r="I296">
        <v>33702</v>
      </c>
      <c r="J296" t="s">
        <v>581</v>
      </c>
      <c r="K296">
        <v>0</v>
      </c>
      <c r="R296" t="s">
        <v>162</v>
      </c>
      <c r="S296">
        <v>554832</v>
      </c>
      <c r="W296">
        <v>40171</v>
      </c>
      <c r="X296">
        <v>1006</v>
      </c>
      <c r="Z296" t="s">
        <v>117</v>
      </c>
      <c r="AA296" t="s">
        <v>163</v>
      </c>
      <c r="AB296" t="s">
        <v>1236</v>
      </c>
      <c r="AC296">
        <v>245</v>
      </c>
      <c r="AD296" t="s">
        <v>1234</v>
      </c>
    </row>
    <row r="297" spans="1:30" ht="15" customHeight="1" x14ac:dyDescent="0.25">
      <c r="A297">
        <v>259</v>
      </c>
      <c r="B297" t="s">
        <v>1237</v>
      </c>
      <c r="C297" t="s">
        <v>1238</v>
      </c>
      <c r="D297" t="s">
        <v>1232</v>
      </c>
      <c r="E297" t="s">
        <v>115</v>
      </c>
      <c r="G297" t="s">
        <v>9</v>
      </c>
      <c r="H297" t="s">
        <v>10</v>
      </c>
      <c r="I297">
        <v>84014</v>
      </c>
      <c r="J297" t="s">
        <v>581</v>
      </c>
      <c r="K297">
        <v>0</v>
      </c>
      <c r="R297" t="s">
        <v>162</v>
      </c>
      <c r="S297">
        <v>554832</v>
      </c>
      <c r="W297">
        <v>40171</v>
      </c>
      <c r="X297">
        <v>1006</v>
      </c>
      <c r="Z297" t="s">
        <v>117</v>
      </c>
      <c r="AA297" t="s">
        <v>163</v>
      </c>
      <c r="AB297" t="s">
        <v>1239</v>
      </c>
      <c r="AC297">
        <v>259</v>
      </c>
      <c r="AD297" t="s">
        <v>1237</v>
      </c>
    </row>
    <row r="298" spans="1:30" ht="15" customHeight="1" x14ac:dyDescent="0.25">
      <c r="A298">
        <v>249</v>
      </c>
      <c r="B298" t="s">
        <v>1240</v>
      </c>
      <c r="C298" t="s">
        <v>1241</v>
      </c>
      <c r="D298" t="s">
        <v>1232</v>
      </c>
      <c r="E298" t="s">
        <v>115</v>
      </c>
      <c r="G298" t="s">
        <v>9</v>
      </c>
      <c r="H298" t="s">
        <v>10</v>
      </c>
      <c r="I298">
        <v>2898</v>
      </c>
      <c r="J298" t="s">
        <v>172</v>
      </c>
      <c r="K298">
        <v>0</v>
      </c>
      <c r="S298">
        <v>554832</v>
      </c>
      <c r="W298">
        <v>40171</v>
      </c>
      <c r="X298">
        <v>1006</v>
      </c>
      <c r="Z298" t="s">
        <v>173</v>
      </c>
      <c r="AA298" t="s">
        <v>1242</v>
      </c>
      <c r="AB298" t="s">
        <v>1243</v>
      </c>
      <c r="AC298">
        <v>249</v>
      </c>
      <c r="AD298" t="s">
        <v>1240</v>
      </c>
    </row>
    <row r="299" spans="1:30" ht="15" customHeight="1" x14ac:dyDescent="0.25">
      <c r="A299">
        <v>213</v>
      </c>
      <c r="B299" t="s">
        <v>1244</v>
      </c>
      <c r="C299" t="s">
        <v>1245</v>
      </c>
      <c r="D299" t="s">
        <v>1246</v>
      </c>
      <c r="E299" t="s">
        <v>115</v>
      </c>
      <c r="G299" t="s">
        <v>9</v>
      </c>
      <c r="H299" t="s">
        <v>10</v>
      </c>
      <c r="I299">
        <v>21600</v>
      </c>
      <c r="K299">
        <v>0</v>
      </c>
      <c r="R299" t="s">
        <v>381</v>
      </c>
      <c r="S299">
        <v>21600</v>
      </c>
      <c r="V299" t="s">
        <v>1160</v>
      </c>
      <c r="W299">
        <v>40171</v>
      </c>
      <c r="X299">
        <v>1006</v>
      </c>
      <c r="Y299" t="s">
        <v>1160</v>
      </c>
      <c r="Z299" t="s">
        <v>117</v>
      </c>
      <c r="AA299" t="s">
        <v>118</v>
      </c>
      <c r="AB299" t="s">
        <v>1247</v>
      </c>
      <c r="AC299">
        <v>213</v>
      </c>
      <c r="AD299" t="s">
        <v>1244</v>
      </c>
    </row>
    <row r="300" spans="1:30" ht="15" customHeight="1" x14ac:dyDescent="0.25">
      <c r="A300">
        <v>224</v>
      </c>
      <c r="B300" t="s">
        <v>1248</v>
      </c>
      <c r="C300" t="s">
        <v>1249</v>
      </c>
      <c r="D300" t="s">
        <v>1250</v>
      </c>
      <c r="E300" t="s">
        <v>115</v>
      </c>
      <c r="G300" t="s">
        <v>9</v>
      </c>
      <c r="H300" t="s">
        <v>10</v>
      </c>
      <c r="I300">
        <v>35100</v>
      </c>
      <c r="K300">
        <v>0</v>
      </c>
      <c r="R300" t="s">
        <v>381</v>
      </c>
      <c r="S300">
        <v>35100</v>
      </c>
      <c r="V300" t="s">
        <v>1160</v>
      </c>
      <c r="W300">
        <v>40171</v>
      </c>
      <c r="X300">
        <v>1006</v>
      </c>
      <c r="Y300" t="s">
        <v>1160</v>
      </c>
      <c r="Z300" t="s">
        <v>117</v>
      </c>
      <c r="AA300" t="s">
        <v>118</v>
      </c>
      <c r="AB300" t="s">
        <v>1251</v>
      </c>
      <c r="AC300">
        <v>224</v>
      </c>
      <c r="AD300" t="s">
        <v>1248</v>
      </c>
    </row>
    <row r="301" spans="1:30" ht="15" customHeight="1" x14ac:dyDescent="0.25">
      <c r="A301">
        <v>218</v>
      </c>
      <c r="B301" t="s">
        <v>1252</v>
      </c>
      <c r="C301" t="s">
        <v>1253</v>
      </c>
      <c r="D301" t="s">
        <v>1254</v>
      </c>
      <c r="E301" t="s">
        <v>115</v>
      </c>
      <c r="G301" t="s">
        <v>9</v>
      </c>
      <c r="H301" t="s">
        <v>10</v>
      </c>
      <c r="I301">
        <v>20000</v>
      </c>
      <c r="K301">
        <v>0</v>
      </c>
      <c r="R301" t="s">
        <v>381</v>
      </c>
      <c r="S301">
        <v>20000</v>
      </c>
      <c r="V301" t="s">
        <v>1160</v>
      </c>
      <c r="W301">
        <v>40171</v>
      </c>
      <c r="X301">
        <v>1006</v>
      </c>
      <c r="Y301" t="s">
        <v>1160</v>
      </c>
      <c r="Z301" t="s">
        <v>117</v>
      </c>
      <c r="AA301" t="s">
        <v>118</v>
      </c>
      <c r="AB301" t="s">
        <v>1255</v>
      </c>
      <c r="AC301">
        <v>218</v>
      </c>
      <c r="AD301" t="s">
        <v>1252</v>
      </c>
    </row>
    <row r="302" spans="1:30" ht="15" customHeight="1" x14ac:dyDescent="0.25">
      <c r="A302">
        <v>215</v>
      </c>
      <c r="B302" t="s">
        <v>1256</v>
      </c>
      <c r="C302" t="s">
        <v>1257</v>
      </c>
      <c r="D302" t="s">
        <v>1258</v>
      </c>
      <c r="E302" t="s">
        <v>115</v>
      </c>
      <c r="G302" t="s">
        <v>9</v>
      </c>
      <c r="H302" t="s">
        <v>10</v>
      </c>
      <c r="I302">
        <v>13550</v>
      </c>
      <c r="K302">
        <v>0</v>
      </c>
      <c r="R302" t="s">
        <v>381</v>
      </c>
      <c r="S302">
        <v>13550</v>
      </c>
      <c r="V302" t="s">
        <v>1160</v>
      </c>
      <c r="W302">
        <v>40171</v>
      </c>
      <c r="X302">
        <v>1006</v>
      </c>
      <c r="Y302" t="s">
        <v>1160</v>
      </c>
      <c r="Z302" t="s">
        <v>117</v>
      </c>
      <c r="AA302" t="s">
        <v>118</v>
      </c>
      <c r="AB302" t="s">
        <v>1259</v>
      </c>
      <c r="AC302">
        <v>215</v>
      </c>
      <c r="AD302" t="s">
        <v>1256</v>
      </c>
    </row>
    <row r="303" spans="1:30" ht="15" customHeight="1" x14ac:dyDescent="0.25">
      <c r="A303">
        <v>212</v>
      </c>
      <c r="B303" t="s">
        <v>1260</v>
      </c>
      <c r="C303" t="s">
        <v>1261</v>
      </c>
      <c r="D303" t="s">
        <v>1262</v>
      </c>
      <c r="E303" t="s">
        <v>115</v>
      </c>
      <c r="G303" t="s">
        <v>9</v>
      </c>
      <c r="H303" t="s">
        <v>10</v>
      </c>
      <c r="I303">
        <v>14500</v>
      </c>
      <c r="K303">
        <v>0</v>
      </c>
      <c r="R303" t="s">
        <v>381</v>
      </c>
      <c r="S303">
        <v>14500</v>
      </c>
      <c r="V303" t="s">
        <v>1160</v>
      </c>
      <c r="W303">
        <v>40171</v>
      </c>
      <c r="X303">
        <v>1006</v>
      </c>
      <c r="Y303" t="s">
        <v>1160</v>
      </c>
      <c r="Z303" t="s">
        <v>117</v>
      </c>
      <c r="AA303" t="s">
        <v>118</v>
      </c>
      <c r="AB303" t="s">
        <v>1263</v>
      </c>
      <c r="AC303">
        <v>212</v>
      </c>
      <c r="AD303" t="s">
        <v>1260</v>
      </c>
    </row>
    <row r="304" spans="1:30" ht="15" customHeight="1" x14ac:dyDescent="0.25">
      <c r="A304">
        <v>210</v>
      </c>
      <c r="B304" t="s">
        <v>1264</v>
      </c>
      <c r="C304" t="s">
        <v>1265</v>
      </c>
      <c r="D304" t="s">
        <v>1266</v>
      </c>
      <c r="E304" t="s">
        <v>115</v>
      </c>
      <c r="G304" t="s">
        <v>9</v>
      </c>
      <c r="H304" t="s">
        <v>10</v>
      </c>
      <c r="I304">
        <v>10450</v>
      </c>
      <c r="K304">
        <v>0</v>
      </c>
      <c r="R304" t="s">
        <v>381</v>
      </c>
      <c r="S304">
        <v>10450</v>
      </c>
      <c r="V304" t="s">
        <v>1181</v>
      </c>
      <c r="W304">
        <v>40171</v>
      </c>
      <c r="X304">
        <v>1006</v>
      </c>
      <c r="Y304" t="s">
        <v>1181</v>
      </c>
      <c r="Z304" t="s">
        <v>117</v>
      </c>
      <c r="AA304" t="s">
        <v>118</v>
      </c>
      <c r="AB304" t="s">
        <v>1267</v>
      </c>
      <c r="AC304">
        <v>210</v>
      </c>
      <c r="AD304" t="s">
        <v>1264</v>
      </c>
    </row>
    <row r="305" spans="1:30" ht="15" customHeight="1" x14ac:dyDescent="0.25">
      <c r="A305">
        <v>217</v>
      </c>
      <c r="B305" t="s">
        <v>1268</v>
      </c>
      <c r="C305" t="s">
        <v>1269</v>
      </c>
      <c r="D305" t="s">
        <v>1270</v>
      </c>
      <c r="E305" t="s">
        <v>115</v>
      </c>
      <c r="G305" t="s">
        <v>9</v>
      </c>
      <c r="H305" t="s">
        <v>10</v>
      </c>
      <c r="I305">
        <v>27740</v>
      </c>
      <c r="K305">
        <v>0</v>
      </c>
      <c r="R305" t="s">
        <v>381</v>
      </c>
      <c r="S305">
        <v>27740</v>
      </c>
      <c r="V305" t="s">
        <v>1181</v>
      </c>
      <c r="W305">
        <v>40171</v>
      </c>
      <c r="X305">
        <v>1006</v>
      </c>
      <c r="Y305" t="s">
        <v>1181</v>
      </c>
      <c r="Z305" t="s">
        <v>117</v>
      </c>
      <c r="AA305" t="s">
        <v>118</v>
      </c>
      <c r="AB305" t="s">
        <v>1271</v>
      </c>
      <c r="AC305">
        <v>217</v>
      </c>
      <c r="AD305" t="s">
        <v>1268</v>
      </c>
    </row>
    <row r="306" spans="1:30" ht="15" customHeight="1" x14ac:dyDescent="0.25">
      <c r="A306">
        <v>228</v>
      </c>
      <c r="B306" t="s">
        <v>1272</v>
      </c>
      <c r="C306" t="s">
        <v>1273</v>
      </c>
      <c r="D306" t="s">
        <v>1274</v>
      </c>
      <c r="E306" t="s">
        <v>115</v>
      </c>
      <c r="G306" t="s">
        <v>9</v>
      </c>
      <c r="H306" t="s">
        <v>10</v>
      </c>
      <c r="I306">
        <v>29100</v>
      </c>
      <c r="K306">
        <v>0</v>
      </c>
      <c r="R306" t="s">
        <v>381</v>
      </c>
      <c r="S306">
        <v>29100</v>
      </c>
      <c r="V306" t="s">
        <v>1181</v>
      </c>
      <c r="W306">
        <v>40171</v>
      </c>
      <c r="X306">
        <v>1006</v>
      </c>
      <c r="Y306" t="s">
        <v>1181</v>
      </c>
      <c r="Z306" t="s">
        <v>117</v>
      </c>
      <c r="AA306" t="s">
        <v>118</v>
      </c>
      <c r="AB306" t="s">
        <v>1275</v>
      </c>
      <c r="AC306">
        <v>228</v>
      </c>
      <c r="AD306" t="s">
        <v>1272</v>
      </c>
    </row>
    <row r="307" spans="1:30" ht="15" customHeight="1" x14ac:dyDescent="0.25">
      <c r="A307">
        <v>240</v>
      </c>
      <c r="B307" t="s">
        <v>1276</v>
      </c>
      <c r="C307" t="s">
        <v>1277</v>
      </c>
      <c r="D307" t="s">
        <v>1278</v>
      </c>
      <c r="E307" t="s">
        <v>115</v>
      </c>
      <c r="G307" t="s">
        <v>9</v>
      </c>
      <c r="H307" t="s">
        <v>10</v>
      </c>
      <c r="I307">
        <v>11200</v>
      </c>
      <c r="K307">
        <v>0</v>
      </c>
      <c r="R307" t="s">
        <v>381</v>
      </c>
      <c r="S307">
        <v>11200</v>
      </c>
      <c r="V307" t="s">
        <v>1160</v>
      </c>
      <c r="W307">
        <v>40171</v>
      </c>
      <c r="X307">
        <v>1006</v>
      </c>
      <c r="Y307" t="s">
        <v>1160</v>
      </c>
      <c r="Z307" t="s">
        <v>117</v>
      </c>
      <c r="AA307" t="s">
        <v>118</v>
      </c>
      <c r="AB307" t="s">
        <v>1279</v>
      </c>
      <c r="AC307">
        <v>240</v>
      </c>
      <c r="AD307" t="s">
        <v>1276</v>
      </c>
    </row>
    <row r="308" spans="1:30" ht="15" customHeight="1" x14ac:dyDescent="0.25">
      <c r="A308">
        <v>254</v>
      </c>
      <c r="B308" t="s">
        <v>1280</v>
      </c>
      <c r="C308" t="s">
        <v>1281</v>
      </c>
      <c r="D308" t="s">
        <v>1282</v>
      </c>
      <c r="E308" t="s">
        <v>115</v>
      </c>
      <c r="G308" t="s">
        <v>9</v>
      </c>
      <c r="H308" t="s">
        <v>10</v>
      </c>
      <c r="I308">
        <v>5630</v>
      </c>
      <c r="K308">
        <v>0</v>
      </c>
      <c r="R308" t="s">
        <v>381</v>
      </c>
      <c r="S308">
        <v>5630</v>
      </c>
      <c r="V308" t="s">
        <v>1160</v>
      </c>
      <c r="W308">
        <v>40171</v>
      </c>
      <c r="X308">
        <v>1006</v>
      </c>
      <c r="Y308" t="s">
        <v>1160</v>
      </c>
      <c r="Z308" t="s">
        <v>117</v>
      </c>
      <c r="AA308" t="s">
        <v>118</v>
      </c>
      <c r="AB308" t="s">
        <v>1283</v>
      </c>
      <c r="AC308">
        <v>254</v>
      </c>
      <c r="AD308" t="s">
        <v>1280</v>
      </c>
    </row>
    <row r="309" spans="1:30" ht="15" customHeight="1" x14ac:dyDescent="0.25">
      <c r="A309">
        <v>252</v>
      </c>
      <c r="B309" t="s">
        <v>1284</v>
      </c>
      <c r="C309" t="s">
        <v>1285</v>
      </c>
      <c r="D309" t="s">
        <v>1286</v>
      </c>
      <c r="E309" t="s">
        <v>115</v>
      </c>
      <c r="G309" t="s">
        <v>9</v>
      </c>
      <c r="H309" t="s">
        <v>10</v>
      </c>
      <c r="I309">
        <v>6640</v>
      </c>
      <c r="J309" t="s">
        <v>172</v>
      </c>
      <c r="K309">
        <v>0</v>
      </c>
      <c r="S309">
        <v>6640</v>
      </c>
      <c r="W309">
        <v>40171</v>
      </c>
      <c r="X309">
        <v>1006</v>
      </c>
      <c r="Z309" t="s">
        <v>173</v>
      </c>
      <c r="AA309" t="s">
        <v>190</v>
      </c>
      <c r="AB309" t="s">
        <v>1287</v>
      </c>
      <c r="AC309">
        <v>252</v>
      </c>
      <c r="AD309" t="s">
        <v>1284</v>
      </c>
    </row>
    <row r="310" spans="1:30" ht="15" customHeight="1" x14ac:dyDescent="0.25">
      <c r="A310">
        <v>253</v>
      </c>
      <c r="B310" t="s">
        <v>1288</v>
      </c>
      <c r="C310" t="s">
        <v>1289</v>
      </c>
      <c r="D310" t="s">
        <v>1290</v>
      </c>
      <c r="E310" t="s">
        <v>115</v>
      </c>
      <c r="G310" t="s">
        <v>9</v>
      </c>
      <c r="H310" t="s">
        <v>10</v>
      </c>
      <c r="I310">
        <v>14850</v>
      </c>
      <c r="K310">
        <v>0</v>
      </c>
      <c r="R310" t="s">
        <v>381</v>
      </c>
      <c r="S310">
        <v>14850</v>
      </c>
      <c r="V310" t="s">
        <v>1181</v>
      </c>
      <c r="W310">
        <v>40171</v>
      </c>
      <c r="X310">
        <v>1006</v>
      </c>
      <c r="Y310" t="s">
        <v>1181</v>
      </c>
      <c r="Z310" t="s">
        <v>117</v>
      </c>
      <c r="AA310" t="s">
        <v>118</v>
      </c>
      <c r="AB310" t="s">
        <v>1291</v>
      </c>
      <c r="AC310">
        <v>253</v>
      </c>
      <c r="AD310" t="s">
        <v>1288</v>
      </c>
    </row>
    <row r="311" spans="1:30" ht="15" customHeight="1" x14ac:dyDescent="0.25">
      <c r="A311">
        <v>229</v>
      </c>
      <c r="B311" t="s">
        <v>1292</v>
      </c>
      <c r="C311" t="s">
        <v>1293</v>
      </c>
      <c r="D311" t="s">
        <v>1294</v>
      </c>
      <c r="E311" t="s">
        <v>115</v>
      </c>
      <c r="G311" t="s">
        <v>9</v>
      </c>
      <c r="H311" t="s">
        <v>10</v>
      </c>
      <c r="I311">
        <v>19734</v>
      </c>
      <c r="K311">
        <v>0</v>
      </c>
      <c r="R311" t="s">
        <v>381</v>
      </c>
      <c r="S311">
        <v>19734</v>
      </c>
      <c r="V311" t="s">
        <v>1181</v>
      </c>
      <c r="W311">
        <v>40171</v>
      </c>
      <c r="X311">
        <v>1006</v>
      </c>
      <c r="Y311" t="s">
        <v>1181</v>
      </c>
      <c r="Z311" t="s">
        <v>117</v>
      </c>
      <c r="AA311" t="s">
        <v>118</v>
      </c>
      <c r="AB311" t="s">
        <v>1295</v>
      </c>
      <c r="AC311">
        <v>229</v>
      </c>
      <c r="AD311" t="s">
        <v>1292</v>
      </c>
    </row>
    <row r="312" spans="1:30" ht="15" customHeight="1" x14ac:dyDescent="0.25">
      <c r="A312">
        <v>247</v>
      </c>
      <c r="B312" t="s">
        <v>1296</v>
      </c>
      <c r="C312" t="s">
        <v>1297</v>
      </c>
      <c r="D312" t="s">
        <v>1298</v>
      </c>
      <c r="E312" t="s">
        <v>115</v>
      </c>
      <c r="G312" t="s">
        <v>9</v>
      </c>
      <c r="H312" t="s">
        <v>10</v>
      </c>
      <c r="I312">
        <v>8350</v>
      </c>
      <c r="K312">
        <v>0</v>
      </c>
      <c r="R312" t="s">
        <v>381</v>
      </c>
      <c r="S312">
        <v>8350</v>
      </c>
      <c r="V312" t="s">
        <v>1181</v>
      </c>
      <c r="W312">
        <v>40171</v>
      </c>
      <c r="X312">
        <v>1006</v>
      </c>
      <c r="Y312" t="s">
        <v>1181</v>
      </c>
      <c r="Z312" t="s">
        <v>117</v>
      </c>
      <c r="AA312" t="s">
        <v>1299</v>
      </c>
      <c r="AB312" t="s">
        <v>1300</v>
      </c>
      <c r="AC312">
        <v>247</v>
      </c>
      <c r="AD312" t="s">
        <v>1296</v>
      </c>
    </row>
    <row r="313" spans="1:30" ht="15" customHeight="1" x14ac:dyDescent="0.25">
      <c r="A313">
        <v>246</v>
      </c>
      <c r="B313" t="s">
        <v>1301</v>
      </c>
      <c r="C313" t="s">
        <v>1302</v>
      </c>
      <c r="D313" t="s">
        <v>1303</v>
      </c>
      <c r="E313" t="s">
        <v>115</v>
      </c>
      <c r="G313" t="s">
        <v>9</v>
      </c>
      <c r="H313" t="s">
        <v>10</v>
      </c>
      <c r="I313">
        <v>3200</v>
      </c>
      <c r="J313" t="s">
        <v>172</v>
      </c>
      <c r="K313">
        <v>0</v>
      </c>
      <c r="S313">
        <v>3200</v>
      </c>
      <c r="W313">
        <v>40171</v>
      </c>
      <c r="X313">
        <v>1006</v>
      </c>
      <c r="Z313" t="s">
        <v>173</v>
      </c>
      <c r="AA313" t="s">
        <v>1304</v>
      </c>
      <c r="AB313" t="s">
        <v>1305</v>
      </c>
      <c r="AC313">
        <v>246</v>
      </c>
      <c r="AD313" t="s">
        <v>1301</v>
      </c>
    </row>
    <row r="314" spans="1:30" ht="15" customHeight="1" x14ac:dyDescent="0.25">
      <c r="A314">
        <v>244</v>
      </c>
      <c r="B314" t="s">
        <v>1306</v>
      </c>
      <c r="C314" t="s">
        <v>1307</v>
      </c>
      <c r="D314" t="s">
        <v>1308</v>
      </c>
      <c r="E314" t="s">
        <v>115</v>
      </c>
      <c r="G314" t="s">
        <v>9</v>
      </c>
      <c r="H314" t="s">
        <v>10</v>
      </c>
      <c r="I314">
        <v>210</v>
      </c>
      <c r="J314" t="s">
        <v>172</v>
      </c>
      <c r="K314">
        <v>0</v>
      </c>
      <c r="S314">
        <v>210</v>
      </c>
      <c r="W314">
        <v>40171</v>
      </c>
      <c r="X314">
        <v>1006</v>
      </c>
      <c r="Z314" t="s">
        <v>173</v>
      </c>
      <c r="AA314" t="s">
        <v>1304</v>
      </c>
      <c r="AB314" t="s">
        <v>1309</v>
      </c>
      <c r="AC314">
        <v>244</v>
      </c>
      <c r="AD314" t="s">
        <v>1306</v>
      </c>
    </row>
    <row r="315" spans="1:30" ht="15" customHeight="1" x14ac:dyDescent="0.25">
      <c r="A315">
        <v>242</v>
      </c>
      <c r="B315" t="s">
        <v>1310</v>
      </c>
      <c r="C315" t="s">
        <v>1311</v>
      </c>
      <c r="D315" t="s">
        <v>1312</v>
      </c>
      <c r="E315" t="s">
        <v>115</v>
      </c>
      <c r="G315" t="s">
        <v>9</v>
      </c>
      <c r="H315" t="s">
        <v>10</v>
      </c>
      <c r="I315">
        <v>4170</v>
      </c>
      <c r="K315">
        <v>0</v>
      </c>
      <c r="R315" t="s">
        <v>381</v>
      </c>
      <c r="S315">
        <v>4170</v>
      </c>
      <c r="V315" t="s">
        <v>1181</v>
      </c>
      <c r="W315">
        <v>40171</v>
      </c>
      <c r="X315">
        <v>1006</v>
      </c>
      <c r="Y315" t="s">
        <v>1181</v>
      </c>
      <c r="Z315" t="s">
        <v>117</v>
      </c>
      <c r="AA315" t="s">
        <v>118</v>
      </c>
      <c r="AB315" t="s">
        <v>1313</v>
      </c>
      <c r="AC315">
        <v>242</v>
      </c>
      <c r="AD315" t="s">
        <v>1310</v>
      </c>
    </row>
    <row r="316" spans="1:30" ht="15" customHeight="1" x14ac:dyDescent="0.25">
      <c r="A316">
        <v>230</v>
      </c>
      <c r="B316" t="s">
        <v>1314</v>
      </c>
      <c r="C316" t="s">
        <v>1315</v>
      </c>
      <c r="D316" t="s">
        <v>1316</v>
      </c>
      <c r="E316" t="s">
        <v>115</v>
      </c>
      <c r="G316" t="s">
        <v>9</v>
      </c>
      <c r="H316" t="s">
        <v>10</v>
      </c>
      <c r="I316">
        <v>8497</v>
      </c>
      <c r="K316">
        <v>0</v>
      </c>
      <c r="R316" t="s">
        <v>381</v>
      </c>
      <c r="S316">
        <v>22676</v>
      </c>
      <c r="V316" t="s">
        <v>1181</v>
      </c>
      <c r="W316">
        <v>40171</v>
      </c>
      <c r="X316">
        <v>1006</v>
      </c>
      <c r="Y316" t="s">
        <v>1181</v>
      </c>
      <c r="Z316" t="s">
        <v>117</v>
      </c>
      <c r="AA316" t="s">
        <v>118</v>
      </c>
      <c r="AB316" t="s">
        <v>1317</v>
      </c>
      <c r="AC316">
        <v>230</v>
      </c>
      <c r="AD316" t="s">
        <v>1314</v>
      </c>
    </row>
    <row r="317" spans="1:30" ht="15" customHeight="1" x14ac:dyDescent="0.25">
      <c r="A317">
        <v>231</v>
      </c>
      <c r="B317" t="s">
        <v>1318</v>
      </c>
      <c r="C317" t="s">
        <v>1319</v>
      </c>
      <c r="D317" t="s">
        <v>1316</v>
      </c>
      <c r="E317" t="s">
        <v>115</v>
      </c>
      <c r="G317" t="s">
        <v>9</v>
      </c>
      <c r="H317" t="s">
        <v>10</v>
      </c>
      <c r="I317">
        <v>14179</v>
      </c>
      <c r="J317" t="s">
        <v>161</v>
      </c>
      <c r="K317">
        <v>0</v>
      </c>
      <c r="R317" t="s">
        <v>326</v>
      </c>
      <c r="S317">
        <v>22676</v>
      </c>
      <c r="V317">
        <v>1</v>
      </c>
      <c r="W317">
        <v>40171</v>
      </c>
      <c r="X317">
        <v>1006</v>
      </c>
      <c r="Z317" t="s">
        <v>117</v>
      </c>
      <c r="AA317" t="s">
        <v>479</v>
      </c>
      <c r="AB317" t="s">
        <v>1320</v>
      </c>
      <c r="AC317">
        <v>231</v>
      </c>
      <c r="AD317" t="s">
        <v>1318</v>
      </c>
    </row>
    <row r="318" spans="1:30" ht="15" customHeight="1" x14ac:dyDescent="0.25">
      <c r="A318">
        <v>233</v>
      </c>
      <c r="B318" t="s">
        <v>1321</v>
      </c>
      <c r="C318" t="s">
        <v>1322</v>
      </c>
      <c r="D318" t="s">
        <v>1323</v>
      </c>
      <c r="E318" t="s">
        <v>115</v>
      </c>
      <c r="G318" t="s">
        <v>9</v>
      </c>
      <c r="H318" t="s">
        <v>10</v>
      </c>
      <c r="I318">
        <v>9836</v>
      </c>
      <c r="J318" t="s">
        <v>161</v>
      </c>
      <c r="K318">
        <v>0</v>
      </c>
      <c r="R318" t="s">
        <v>326</v>
      </c>
      <c r="S318">
        <v>14400</v>
      </c>
      <c r="V318">
        <v>1</v>
      </c>
      <c r="W318">
        <v>40171</v>
      </c>
      <c r="X318">
        <v>1006</v>
      </c>
      <c r="Z318" t="s">
        <v>117</v>
      </c>
      <c r="AA318" t="s">
        <v>479</v>
      </c>
      <c r="AB318" t="s">
        <v>1324</v>
      </c>
      <c r="AC318">
        <v>233</v>
      </c>
      <c r="AD318" t="s">
        <v>1321</v>
      </c>
    </row>
    <row r="319" spans="1:30" ht="15" customHeight="1" x14ac:dyDescent="0.25">
      <c r="A319">
        <v>232</v>
      </c>
      <c r="B319" t="s">
        <v>1325</v>
      </c>
      <c r="C319" t="s">
        <v>1326</v>
      </c>
      <c r="D319" t="s">
        <v>1323</v>
      </c>
      <c r="E319" t="s">
        <v>115</v>
      </c>
      <c r="G319" t="s">
        <v>9</v>
      </c>
      <c r="H319" t="s">
        <v>10</v>
      </c>
      <c r="I319">
        <v>4564</v>
      </c>
      <c r="K319">
        <v>0</v>
      </c>
      <c r="R319" t="s">
        <v>381</v>
      </c>
      <c r="S319">
        <v>14400</v>
      </c>
      <c r="V319" t="s">
        <v>1181</v>
      </c>
      <c r="W319">
        <v>40171</v>
      </c>
      <c r="X319">
        <v>1006</v>
      </c>
      <c r="Y319" t="s">
        <v>1181</v>
      </c>
      <c r="Z319" t="s">
        <v>117</v>
      </c>
      <c r="AA319" t="s">
        <v>118</v>
      </c>
      <c r="AB319" t="s">
        <v>1327</v>
      </c>
      <c r="AC319">
        <v>232</v>
      </c>
      <c r="AD319" t="s">
        <v>1325</v>
      </c>
    </row>
    <row r="320" spans="1:30" ht="15" customHeight="1" x14ac:dyDescent="0.25">
      <c r="A320">
        <v>235</v>
      </c>
      <c r="B320" t="s">
        <v>1328</v>
      </c>
      <c r="C320" t="s">
        <v>1329</v>
      </c>
      <c r="D320" t="s">
        <v>1330</v>
      </c>
      <c r="E320" t="s">
        <v>115</v>
      </c>
      <c r="G320" t="s">
        <v>9</v>
      </c>
      <c r="H320" t="s">
        <v>10</v>
      </c>
      <c r="I320">
        <v>2428</v>
      </c>
      <c r="J320" t="s">
        <v>172</v>
      </c>
      <c r="K320">
        <v>0</v>
      </c>
      <c r="S320">
        <v>2428</v>
      </c>
      <c r="W320">
        <v>40171</v>
      </c>
      <c r="X320">
        <v>1006</v>
      </c>
      <c r="Z320" t="s">
        <v>173</v>
      </c>
      <c r="AA320" t="s">
        <v>1304</v>
      </c>
      <c r="AB320" t="s">
        <v>1331</v>
      </c>
      <c r="AC320">
        <v>235</v>
      </c>
      <c r="AD320" t="s">
        <v>1328</v>
      </c>
    </row>
    <row r="321" spans="1:30" ht="15" customHeight="1" x14ac:dyDescent="0.25">
      <c r="A321">
        <v>221</v>
      </c>
      <c r="B321" t="s">
        <v>1332</v>
      </c>
      <c r="C321" t="s">
        <v>1333</v>
      </c>
      <c r="D321" t="s">
        <v>1334</v>
      </c>
      <c r="E321" t="s">
        <v>115</v>
      </c>
      <c r="G321" t="s">
        <v>9</v>
      </c>
      <c r="H321" t="s">
        <v>10</v>
      </c>
      <c r="I321">
        <v>28000</v>
      </c>
      <c r="J321" t="s">
        <v>172</v>
      </c>
      <c r="K321">
        <v>0</v>
      </c>
      <c r="R321" t="s">
        <v>381</v>
      </c>
      <c r="S321">
        <v>28000</v>
      </c>
      <c r="V321" t="s">
        <v>1335</v>
      </c>
      <c r="W321">
        <v>40171</v>
      </c>
      <c r="X321">
        <v>1006</v>
      </c>
      <c r="Y321" t="s">
        <v>1335</v>
      </c>
      <c r="Z321" t="s">
        <v>117</v>
      </c>
      <c r="AA321" t="s">
        <v>118</v>
      </c>
      <c r="AB321" t="s">
        <v>1336</v>
      </c>
      <c r="AC321">
        <v>221</v>
      </c>
      <c r="AD321" t="s">
        <v>1332</v>
      </c>
    </row>
    <row r="322" spans="1:30" ht="15" customHeight="1" x14ac:dyDescent="0.25">
      <c r="A322">
        <v>225</v>
      </c>
      <c r="B322" t="s">
        <v>1337</v>
      </c>
      <c r="C322" t="s">
        <v>1338</v>
      </c>
      <c r="D322" t="s">
        <v>1339</v>
      </c>
      <c r="E322" t="s">
        <v>115</v>
      </c>
      <c r="G322" t="s">
        <v>9</v>
      </c>
      <c r="H322" t="s">
        <v>10</v>
      </c>
      <c r="I322">
        <v>8660</v>
      </c>
      <c r="J322" t="s">
        <v>161</v>
      </c>
      <c r="K322">
        <v>0</v>
      </c>
      <c r="R322" t="s">
        <v>326</v>
      </c>
      <c r="S322">
        <v>8660</v>
      </c>
      <c r="V322">
        <v>1</v>
      </c>
      <c r="W322">
        <v>40171</v>
      </c>
      <c r="X322">
        <v>1006</v>
      </c>
      <c r="Z322" t="s">
        <v>117</v>
      </c>
      <c r="AA322" t="s">
        <v>479</v>
      </c>
      <c r="AB322" t="s">
        <v>1340</v>
      </c>
      <c r="AC322">
        <v>225</v>
      </c>
      <c r="AD322" t="s">
        <v>1337</v>
      </c>
    </row>
    <row r="323" spans="1:30" ht="15" customHeight="1" x14ac:dyDescent="0.25">
      <c r="A323">
        <v>222</v>
      </c>
      <c r="B323" t="s">
        <v>1341</v>
      </c>
      <c r="C323" t="s">
        <v>1342</v>
      </c>
      <c r="D323" t="s">
        <v>1343</v>
      </c>
      <c r="E323" t="s">
        <v>115</v>
      </c>
      <c r="G323" t="s">
        <v>9</v>
      </c>
      <c r="H323" t="s">
        <v>10</v>
      </c>
      <c r="I323">
        <v>8475</v>
      </c>
      <c r="K323">
        <v>0</v>
      </c>
      <c r="R323" t="s">
        <v>381</v>
      </c>
      <c r="S323">
        <v>26404</v>
      </c>
      <c r="V323" t="s">
        <v>1181</v>
      </c>
      <c r="W323">
        <v>40171</v>
      </c>
      <c r="X323">
        <v>1006</v>
      </c>
      <c r="Y323" t="s">
        <v>1181</v>
      </c>
      <c r="Z323" t="s">
        <v>117</v>
      </c>
      <c r="AA323" t="s">
        <v>118</v>
      </c>
      <c r="AB323" t="s">
        <v>1344</v>
      </c>
      <c r="AC323">
        <v>222</v>
      </c>
      <c r="AD323" t="s">
        <v>1341</v>
      </c>
    </row>
    <row r="324" spans="1:30" ht="15" customHeight="1" x14ac:dyDescent="0.25">
      <c r="A324">
        <v>219</v>
      </c>
      <c r="B324" t="s">
        <v>1345</v>
      </c>
      <c r="C324" t="s">
        <v>1346</v>
      </c>
      <c r="D324" t="s">
        <v>1343</v>
      </c>
      <c r="E324" t="s">
        <v>115</v>
      </c>
      <c r="G324" t="s">
        <v>9</v>
      </c>
      <c r="H324" t="s">
        <v>10</v>
      </c>
      <c r="I324">
        <v>17929</v>
      </c>
      <c r="J324" t="s">
        <v>161</v>
      </c>
      <c r="K324">
        <v>0</v>
      </c>
      <c r="S324">
        <v>26404</v>
      </c>
      <c r="W324">
        <v>40171</v>
      </c>
      <c r="X324">
        <v>1006</v>
      </c>
      <c r="Z324" t="s">
        <v>117</v>
      </c>
      <c r="AA324" t="s">
        <v>479</v>
      </c>
      <c r="AB324" t="s">
        <v>1347</v>
      </c>
      <c r="AC324">
        <v>219</v>
      </c>
      <c r="AD324" t="s">
        <v>1345</v>
      </c>
    </row>
    <row r="325" spans="1:30" ht="15" customHeight="1" x14ac:dyDescent="0.25">
      <c r="A325">
        <v>209</v>
      </c>
      <c r="B325" t="s">
        <v>1348</v>
      </c>
      <c r="C325" t="s">
        <v>1349</v>
      </c>
      <c r="D325" t="s">
        <v>1350</v>
      </c>
      <c r="E325" t="s">
        <v>115</v>
      </c>
      <c r="G325" t="s">
        <v>9</v>
      </c>
      <c r="H325" t="s">
        <v>10</v>
      </c>
      <c r="I325">
        <v>16930</v>
      </c>
      <c r="K325">
        <v>0</v>
      </c>
      <c r="R325" t="s">
        <v>381</v>
      </c>
      <c r="S325">
        <v>16930</v>
      </c>
      <c r="V325" t="s">
        <v>1181</v>
      </c>
      <c r="W325">
        <v>40171</v>
      </c>
      <c r="X325">
        <v>1006</v>
      </c>
      <c r="Y325" t="s">
        <v>1181</v>
      </c>
      <c r="Z325" t="s">
        <v>117</v>
      </c>
      <c r="AA325" t="s">
        <v>118</v>
      </c>
      <c r="AB325" t="s">
        <v>1351</v>
      </c>
      <c r="AC325">
        <v>209</v>
      </c>
      <c r="AD325" t="s">
        <v>1348</v>
      </c>
    </row>
    <row r="326" spans="1:30" ht="15" customHeight="1" x14ac:dyDescent="0.25">
      <c r="A326">
        <v>208</v>
      </c>
      <c r="B326" t="s">
        <v>1352</v>
      </c>
      <c r="C326" t="s">
        <v>1353</v>
      </c>
      <c r="D326" t="s">
        <v>1354</v>
      </c>
      <c r="E326" t="s">
        <v>115</v>
      </c>
      <c r="G326" t="s">
        <v>9</v>
      </c>
      <c r="H326" t="s">
        <v>10</v>
      </c>
      <c r="I326">
        <v>10870</v>
      </c>
      <c r="J326" t="s">
        <v>172</v>
      </c>
      <c r="K326">
        <v>0</v>
      </c>
      <c r="R326" t="s">
        <v>381</v>
      </c>
      <c r="S326">
        <v>10870</v>
      </c>
      <c r="V326" t="s">
        <v>1181</v>
      </c>
      <c r="W326">
        <v>40171</v>
      </c>
      <c r="X326">
        <v>1006</v>
      </c>
      <c r="Y326" t="s">
        <v>1181</v>
      </c>
      <c r="Z326" t="s">
        <v>117</v>
      </c>
      <c r="AA326" t="s">
        <v>118</v>
      </c>
      <c r="AB326" t="s">
        <v>1355</v>
      </c>
      <c r="AC326">
        <v>208</v>
      </c>
      <c r="AD326" t="s">
        <v>1352</v>
      </c>
    </row>
    <row r="327" spans="1:30" ht="15" customHeight="1" x14ac:dyDescent="0.25">
      <c r="A327">
        <v>220</v>
      </c>
      <c r="B327" t="s">
        <v>1356</v>
      </c>
      <c r="C327" t="s">
        <v>1357</v>
      </c>
      <c r="D327" t="s">
        <v>1358</v>
      </c>
      <c r="E327" t="s">
        <v>115</v>
      </c>
      <c r="G327" t="s">
        <v>9</v>
      </c>
      <c r="H327" t="s">
        <v>10</v>
      </c>
      <c r="I327">
        <v>5140</v>
      </c>
      <c r="J327" t="s">
        <v>172</v>
      </c>
      <c r="K327">
        <v>0</v>
      </c>
      <c r="R327" t="s">
        <v>381</v>
      </c>
      <c r="S327">
        <v>5140</v>
      </c>
      <c r="V327" t="s">
        <v>1181</v>
      </c>
      <c r="W327">
        <v>40171</v>
      </c>
      <c r="X327">
        <v>1006</v>
      </c>
      <c r="Y327" t="s">
        <v>1181</v>
      </c>
      <c r="Z327" t="s">
        <v>117</v>
      </c>
      <c r="AA327" t="s">
        <v>118</v>
      </c>
      <c r="AB327" t="s">
        <v>1359</v>
      </c>
      <c r="AC327">
        <v>220</v>
      </c>
      <c r="AD327" t="s">
        <v>1356</v>
      </c>
    </row>
    <row r="328" spans="1:30" ht="15" customHeight="1" x14ac:dyDescent="0.25">
      <c r="A328">
        <v>214</v>
      </c>
      <c r="B328" t="s">
        <v>1360</v>
      </c>
      <c r="C328" t="s">
        <v>1361</v>
      </c>
      <c r="D328" t="s">
        <v>1362</v>
      </c>
      <c r="E328" t="s">
        <v>115</v>
      </c>
      <c r="G328" t="s">
        <v>9</v>
      </c>
      <c r="H328" t="s">
        <v>10</v>
      </c>
      <c r="I328">
        <v>22625</v>
      </c>
      <c r="J328" t="s">
        <v>172</v>
      </c>
      <c r="K328">
        <v>0</v>
      </c>
      <c r="R328" t="s">
        <v>381</v>
      </c>
      <c r="S328">
        <v>22625</v>
      </c>
      <c r="V328" t="s">
        <v>1335</v>
      </c>
      <c r="W328">
        <v>40171</v>
      </c>
      <c r="X328">
        <v>1006</v>
      </c>
      <c r="Y328" t="s">
        <v>1335</v>
      </c>
      <c r="Z328" t="s">
        <v>117</v>
      </c>
      <c r="AA328" t="s">
        <v>118</v>
      </c>
      <c r="AB328" t="s">
        <v>1363</v>
      </c>
      <c r="AC328">
        <v>214</v>
      </c>
      <c r="AD328" t="s">
        <v>1360</v>
      </c>
    </row>
    <row r="329" spans="1:30" ht="15" customHeight="1" x14ac:dyDescent="0.25">
      <c r="A329">
        <v>207</v>
      </c>
      <c r="B329" t="s">
        <v>1364</v>
      </c>
      <c r="C329" t="s">
        <v>1365</v>
      </c>
      <c r="D329" t="s">
        <v>1366</v>
      </c>
      <c r="E329" t="s">
        <v>115</v>
      </c>
      <c r="G329" t="s">
        <v>9</v>
      </c>
      <c r="H329" t="s">
        <v>10</v>
      </c>
      <c r="I329">
        <v>5922</v>
      </c>
      <c r="J329" t="s">
        <v>172</v>
      </c>
      <c r="K329">
        <v>0</v>
      </c>
      <c r="R329" t="s">
        <v>381</v>
      </c>
      <c r="S329">
        <v>5922</v>
      </c>
      <c r="V329" t="s">
        <v>1335</v>
      </c>
      <c r="W329">
        <v>40171</v>
      </c>
      <c r="X329">
        <v>1006</v>
      </c>
      <c r="Y329" t="s">
        <v>1335</v>
      </c>
      <c r="Z329" t="s">
        <v>117</v>
      </c>
      <c r="AA329" t="s">
        <v>118</v>
      </c>
      <c r="AB329" t="s">
        <v>1367</v>
      </c>
      <c r="AC329">
        <v>207</v>
      </c>
      <c r="AD329" t="s">
        <v>1364</v>
      </c>
    </row>
    <row r="330" spans="1:30" ht="15" customHeight="1" x14ac:dyDescent="0.25">
      <c r="A330">
        <v>206</v>
      </c>
      <c r="B330" t="s">
        <v>1368</v>
      </c>
      <c r="C330" t="s">
        <v>1369</v>
      </c>
      <c r="D330" t="s">
        <v>1370</v>
      </c>
      <c r="E330" t="s">
        <v>115</v>
      </c>
      <c r="G330" t="s">
        <v>9</v>
      </c>
      <c r="H330" t="s">
        <v>10</v>
      </c>
      <c r="I330">
        <v>1250</v>
      </c>
      <c r="J330" t="s">
        <v>172</v>
      </c>
      <c r="K330">
        <v>0</v>
      </c>
      <c r="R330" t="s">
        <v>381</v>
      </c>
      <c r="S330">
        <v>1250</v>
      </c>
      <c r="V330" t="s">
        <v>1335</v>
      </c>
      <c r="W330">
        <v>40171</v>
      </c>
      <c r="X330">
        <v>1006</v>
      </c>
      <c r="Y330" t="s">
        <v>1335</v>
      </c>
      <c r="Z330" t="s">
        <v>117</v>
      </c>
      <c r="AA330" t="s">
        <v>118</v>
      </c>
      <c r="AB330" t="s">
        <v>1371</v>
      </c>
      <c r="AC330">
        <v>206</v>
      </c>
      <c r="AD330" t="s">
        <v>1368</v>
      </c>
    </row>
    <row r="331" spans="1:30" ht="15" customHeight="1" x14ac:dyDescent="0.25">
      <c r="A331">
        <v>200</v>
      </c>
      <c r="B331" t="s">
        <v>1372</v>
      </c>
      <c r="C331" t="s">
        <v>1373</v>
      </c>
      <c r="D331" t="s">
        <v>1374</v>
      </c>
      <c r="E331" t="s">
        <v>115</v>
      </c>
      <c r="G331" t="s">
        <v>9</v>
      </c>
      <c r="H331" t="s">
        <v>10</v>
      </c>
      <c r="I331">
        <v>17027</v>
      </c>
      <c r="K331">
        <v>0</v>
      </c>
      <c r="R331" t="s">
        <v>381</v>
      </c>
      <c r="S331">
        <v>17027</v>
      </c>
      <c r="V331" t="s">
        <v>1181</v>
      </c>
      <c r="W331">
        <v>40171</v>
      </c>
      <c r="X331">
        <v>1006</v>
      </c>
      <c r="Y331" t="s">
        <v>1181</v>
      </c>
      <c r="Z331" t="s">
        <v>117</v>
      </c>
      <c r="AA331" t="s">
        <v>118</v>
      </c>
      <c r="AB331" t="s">
        <v>1375</v>
      </c>
      <c r="AC331">
        <v>200</v>
      </c>
      <c r="AD331" t="s">
        <v>1372</v>
      </c>
    </row>
    <row r="332" spans="1:30" ht="15" customHeight="1" x14ac:dyDescent="0.25">
      <c r="A332">
        <v>328</v>
      </c>
      <c r="B332" t="s">
        <v>1376</v>
      </c>
      <c r="C332" t="s">
        <v>1377</v>
      </c>
      <c r="D332" t="s">
        <v>1378</v>
      </c>
      <c r="E332" t="s">
        <v>115</v>
      </c>
      <c r="G332" t="s">
        <v>9</v>
      </c>
      <c r="H332" t="s">
        <v>10</v>
      </c>
      <c r="I332">
        <v>6859</v>
      </c>
      <c r="K332">
        <v>0</v>
      </c>
      <c r="R332">
        <v>409</v>
      </c>
      <c r="S332">
        <v>6859</v>
      </c>
      <c r="W332">
        <v>40171</v>
      </c>
      <c r="X332">
        <v>1006</v>
      </c>
      <c r="Z332" t="s">
        <v>117</v>
      </c>
      <c r="AA332" t="s">
        <v>946</v>
      </c>
      <c r="AB332" t="s">
        <v>1379</v>
      </c>
      <c r="AC332">
        <v>328</v>
      </c>
      <c r="AD332" t="s">
        <v>1376</v>
      </c>
    </row>
    <row r="333" spans="1:30" ht="15" customHeight="1" x14ac:dyDescent="0.25">
      <c r="A333">
        <v>205</v>
      </c>
      <c r="B333" t="s">
        <v>1380</v>
      </c>
      <c r="C333" t="s">
        <v>1381</v>
      </c>
      <c r="D333" t="s">
        <v>1382</v>
      </c>
      <c r="E333" t="s">
        <v>115</v>
      </c>
      <c r="G333" t="s">
        <v>9</v>
      </c>
      <c r="H333" t="s">
        <v>10</v>
      </c>
      <c r="I333">
        <v>1610</v>
      </c>
      <c r="K333">
        <v>0</v>
      </c>
      <c r="S333">
        <v>1610</v>
      </c>
      <c r="W333">
        <v>40171</v>
      </c>
      <c r="X333">
        <v>1006</v>
      </c>
      <c r="Z333" t="s">
        <v>117</v>
      </c>
      <c r="AA333" t="s">
        <v>946</v>
      </c>
      <c r="AB333" t="s">
        <v>1383</v>
      </c>
      <c r="AC333">
        <v>205</v>
      </c>
      <c r="AD333" t="s">
        <v>1380</v>
      </c>
    </row>
    <row r="334" spans="1:30" ht="15" customHeight="1" x14ac:dyDescent="0.25">
      <c r="A334">
        <v>196</v>
      </c>
      <c r="B334" t="s">
        <v>1384</v>
      </c>
      <c r="C334" t="s">
        <v>1385</v>
      </c>
      <c r="D334" t="s">
        <v>1386</v>
      </c>
      <c r="E334" t="s">
        <v>115</v>
      </c>
      <c r="G334" t="s">
        <v>9</v>
      </c>
      <c r="H334" t="s">
        <v>10</v>
      </c>
      <c r="I334">
        <v>3396</v>
      </c>
      <c r="K334">
        <v>0</v>
      </c>
      <c r="R334" t="s">
        <v>381</v>
      </c>
      <c r="S334">
        <v>3396</v>
      </c>
      <c r="V334" t="s">
        <v>1181</v>
      </c>
      <c r="W334">
        <v>40171</v>
      </c>
      <c r="X334">
        <v>1006</v>
      </c>
      <c r="Y334" t="s">
        <v>1181</v>
      </c>
      <c r="Z334" t="s">
        <v>117</v>
      </c>
      <c r="AA334" t="s">
        <v>118</v>
      </c>
      <c r="AB334" t="s">
        <v>1387</v>
      </c>
      <c r="AC334">
        <v>196</v>
      </c>
      <c r="AD334" t="s">
        <v>1384</v>
      </c>
    </row>
    <row r="335" spans="1:30" ht="15" customHeight="1" x14ac:dyDescent="0.25">
      <c r="A335">
        <v>193</v>
      </c>
      <c r="B335" t="s">
        <v>1388</v>
      </c>
      <c r="C335" t="s">
        <v>1389</v>
      </c>
      <c r="D335" t="s">
        <v>1390</v>
      </c>
      <c r="E335" t="s">
        <v>115</v>
      </c>
      <c r="G335" t="s">
        <v>9</v>
      </c>
      <c r="H335" t="s">
        <v>27</v>
      </c>
      <c r="I335">
        <v>3490</v>
      </c>
      <c r="K335">
        <v>0</v>
      </c>
      <c r="R335" t="s">
        <v>381</v>
      </c>
      <c r="S335">
        <v>3490</v>
      </c>
      <c r="V335" t="s">
        <v>1181</v>
      </c>
      <c r="W335">
        <v>40171</v>
      </c>
      <c r="X335">
        <v>1006</v>
      </c>
      <c r="Y335" t="s">
        <v>1181</v>
      </c>
      <c r="Z335" t="s">
        <v>117</v>
      </c>
      <c r="AA335" t="s">
        <v>118</v>
      </c>
      <c r="AB335" t="s">
        <v>1391</v>
      </c>
      <c r="AC335">
        <v>193</v>
      </c>
      <c r="AD335" t="s">
        <v>1388</v>
      </c>
    </row>
    <row r="336" spans="1:30" ht="15" customHeight="1" x14ac:dyDescent="0.25">
      <c r="A336">
        <v>256</v>
      </c>
      <c r="B336" t="s">
        <v>1392</v>
      </c>
      <c r="C336" t="s">
        <v>1393</v>
      </c>
      <c r="D336" t="s">
        <v>1394</v>
      </c>
      <c r="E336" t="s">
        <v>115</v>
      </c>
      <c r="G336" t="s">
        <v>9</v>
      </c>
      <c r="H336" t="s">
        <v>10</v>
      </c>
      <c r="I336">
        <v>3401</v>
      </c>
      <c r="J336" t="s">
        <v>172</v>
      </c>
      <c r="K336">
        <v>0</v>
      </c>
      <c r="R336" t="s">
        <v>381</v>
      </c>
      <c r="S336">
        <v>4240</v>
      </c>
      <c r="V336" t="s">
        <v>1181</v>
      </c>
      <c r="W336">
        <v>40171</v>
      </c>
      <c r="X336">
        <v>1006</v>
      </c>
      <c r="Y336" t="s">
        <v>1181</v>
      </c>
      <c r="Z336" t="s">
        <v>117</v>
      </c>
      <c r="AA336" t="s">
        <v>118</v>
      </c>
      <c r="AB336" t="s">
        <v>1395</v>
      </c>
      <c r="AC336">
        <v>256</v>
      </c>
      <c r="AD336" t="s">
        <v>1392</v>
      </c>
    </row>
    <row r="337" spans="1:30" ht="15" customHeight="1" x14ac:dyDescent="0.25">
      <c r="A337">
        <v>255</v>
      </c>
      <c r="B337" t="s">
        <v>1396</v>
      </c>
      <c r="C337" t="s">
        <v>1397</v>
      </c>
      <c r="D337" t="s">
        <v>1398</v>
      </c>
      <c r="E337" t="s">
        <v>115</v>
      </c>
      <c r="G337" t="s">
        <v>9</v>
      </c>
      <c r="H337" t="s">
        <v>10</v>
      </c>
      <c r="I337">
        <v>5405</v>
      </c>
      <c r="J337" t="s">
        <v>172</v>
      </c>
      <c r="K337">
        <v>0</v>
      </c>
      <c r="R337" t="s">
        <v>381</v>
      </c>
      <c r="S337">
        <v>5955</v>
      </c>
      <c r="V337" t="s">
        <v>1399</v>
      </c>
      <c r="W337">
        <v>40171</v>
      </c>
      <c r="X337">
        <v>1006</v>
      </c>
      <c r="Y337" t="s">
        <v>1399</v>
      </c>
      <c r="Z337" t="s">
        <v>117</v>
      </c>
      <c r="AA337" t="s">
        <v>118</v>
      </c>
      <c r="AB337" t="s">
        <v>1400</v>
      </c>
      <c r="AC337">
        <v>255</v>
      </c>
      <c r="AD337" t="s">
        <v>1396</v>
      </c>
    </row>
    <row r="338" spans="1:30" ht="15" customHeight="1" x14ac:dyDescent="0.25">
      <c r="A338">
        <v>258</v>
      </c>
      <c r="B338" t="s">
        <v>1401</v>
      </c>
      <c r="C338" t="s">
        <v>1402</v>
      </c>
      <c r="D338" t="s">
        <v>1403</v>
      </c>
      <c r="E338" t="s">
        <v>115</v>
      </c>
      <c r="G338" t="s">
        <v>9</v>
      </c>
      <c r="H338" t="s">
        <v>10</v>
      </c>
      <c r="I338">
        <v>701</v>
      </c>
      <c r="J338" t="s">
        <v>172</v>
      </c>
      <c r="K338">
        <v>0</v>
      </c>
      <c r="R338" t="s">
        <v>381</v>
      </c>
      <c r="S338">
        <v>1420</v>
      </c>
      <c r="V338" t="s">
        <v>1399</v>
      </c>
      <c r="W338">
        <v>40171</v>
      </c>
      <c r="X338">
        <v>1006</v>
      </c>
      <c r="Y338" t="s">
        <v>1399</v>
      </c>
      <c r="Z338" t="s">
        <v>117</v>
      </c>
      <c r="AA338" t="s">
        <v>118</v>
      </c>
      <c r="AB338" t="s">
        <v>1404</v>
      </c>
      <c r="AC338">
        <v>258</v>
      </c>
      <c r="AD338" t="s">
        <v>1401</v>
      </c>
    </row>
    <row r="339" spans="1:30" ht="15" customHeight="1" x14ac:dyDescent="0.25">
      <c r="A339">
        <v>260</v>
      </c>
      <c r="B339" t="s">
        <v>1405</v>
      </c>
      <c r="C339" t="s">
        <v>1406</v>
      </c>
      <c r="D339" t="s">
        <v>1407</v>
      </c>
      <c r="E339" t="s">
        <v>115</v>
      </c>
      <c r="G339" t="s">
        <v>16</v>
      </c>
      <c r="H339" t="s">
        <v>23</v>
      </c>
      <c r="I339">
        <v>48208</v>
      </c>
      <c r="K339">
        <v>0</v>
      </c>
      <c r="S339">
        <v>74524</v>
      </c>
      <c r="W339">
        <v>33536</v>
      </c>
      <c r="X339">
        <v>1006</v>
      </c>
      <c r="Z339" t="s">
        <v>173</v>
      </c>
      <c r="AA339" t="s">
        <v>832</v>
      </c>
      <c r="AB339" t="s">
        <v>1408</v>
      </c>
      <c r="AC339">
        <v>260</v>
      </c>
      <c r="AD339" t="s">
        <v>1405</v>
      </c>
    </row>
    <row r="340" spans="1:30" ht="15" customHeight="1" x14ac:dyDescent="0.25">
      <c r="A340">
        <v>305</v>
      </c>
      <c r="B340" t="s">
        <v>1409</v>
      </c>
      <c r="C340" t="s">
        <v>1410</v>
      </c>
      <c r="D340" t="s">
        <v>1407</v>
      </c>
      <c r="E340" t="s">
        <v>115</v>
      </c>
      <c r="G340" t="s">
        <v>16</v>
      </c>
      <c r="H340" t="s">
        <v>23</v>
      </c>
      <c r="I340">
        <v>26316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 t="s">
        <v>381</v>
      </c>
      <c r="S340">
        <v>74524</v>
      </c>
      <c r="U340">
        <v>0</v>
      </c>
      <c r="V340" t="s">
        <v>382</v>
      </c>
      <c r="W340">
        <v>33536</v>
      </c>
      <c r="X340">
        <v>1006</v>
      </c>
      <c r="Y340" t="s">
        <v>382</v>
      </c>
      <c r="Z340" t="s">
        <v>117</v>
      </c>
      <c r="AA340" t="s">
        <v>118</v>
      </c>
      <c r="AB340" t="s">
        <v>1411</v>
      </c>
      <c r="AC340">
        <v>305</v>
      </c>
      <c r="AD340" t="s">
        <v>1409</v>
      </c>
    </row>
    <row r="341" spans="1:30" ht="15" customHeight="1" x14ac:dyDescent="0.25">
      <c r="A341">
        <v>257</v>
      </c>
      <c r="B341" t="s">
        <v>1412</v>
      </c>
      <c r="C341" t="s">
        <v>1413</v>
      </c>
      <c r="D341" t="s">
        <v>1414</v>
      </c>
      <c r="E341" t="s">
        <v>115</v>
      </c>
      <c r="G341" t="s">
        <v>16</v>
      </c>
      <c r="H341" t="s">
        <v>23</v>
      </c>
      <c r="I341">
        <v>94685</v>
      </c>
      <c r="J341" t="s">
        <v>581</v>
      </c>
      <c r="K341">
        <v>0</v>
      </c>
      <c r="R341" t="s">
        <v>162</v>
      </c>
      <c r="S341">
        <v>375018</v>
      </c>
      <c r="W341">
        <v>33536</v>
      </c>
      <c r="X341">
        <v>1006</v>
      </c>
      <c r="Z341" t="s">
        <v>117</v>
      </c>
      <c r="AA341" t="s">
        <v>163</v>
      </c>
      <c r="AB341" t="s">
        <v>1415</v>
      </c>
      <c r="AC341">
        <v>257</v>
      </c>
      <c r="AD341" t="s">
        <v>1412</v>
      </c>
    </row>
    <row r="342" spans="1:30" ht="15" customHeight="1" x14ac:dyDescent="0.25">
      <c r="A342">
        <v>264</v>
      </c>
      <c r="B342" t="s">
        <v>1416</v>
      </c>
      <c r="C342" t="s">
        <v>1417</v>
      </c>
      <c r="D342" t="s">
        <v>1414</v>
      </c>
      <c r="E342" t="s">
        <v>115</v>
      </c>
      <c r="G342" t="s">
        <v>16</v>
      </c>
      <c r="H342" t="s">
        <v>23</v>
      </c>
      <c r="I342">
        <v>10181</v>
      </c>
      <c r="J342" t="s">
        <v>581</v>
      </c>
      <c r="K342">
        <v>0</v>
      </c>
      <c r="R342" t="s">
        <v>162</v>
      </c>
      <c r="S342">
        <v>375018</v>
      </c>
      <c r="W342">
        <v>33536</v>
      </c>
      <c r="X342">
        <v>1006</v>
      </c>
      <c r="Z342" t="s">
        <v>117</v>
      </c>
      <c r="AA342" t="s">
        <v>163</v>
      </c>
      <c r="AB342" t="s">
        <v>1418</v>
      </c>
      <c r="AC342">
        <v>264</v>
      </c>
      <c r="AD342" t="s">
        <v>1416</v>
      </c>
    </row>
    <row r="343" spans="1:30" ht="15" customHeight="1" x14ac:dyDescent="0.25">
      <c r="A343">
        <v>263</v>
      </c>
      <c r="B343" t="s">
        <v>1419</v>
      </c>
      <c r="C343" t="s">
        <v>1420</v>
      </c>
      <c r="D343" t="s">
        <v>1414</v>
      </c>
      <c r="E343" t="s">
        <v>115</v>
      </c>
      <c r="G343" t="s">
        <v>16</v>
      </c>
      <c r="H343" t="s">
        <v>23</v>
      </c>
      <c r="I343">
        <v>198888</v>
      </c>
      <c r="J343" t="s">
        <v>161</v>
      </c>
      <c r="K343">
        <v>0</v>
      </c>
      <c r="R343" t="s">
        <v>300</v>
      </c>
      <c r="S343">
        <v>375018</v>
      </c>
      <c r="V343">
        <v>1</v>
      </c>
      <c r="W343">
        <v>33536</v>
      </c>
      <c r="X343">
        <v>1006</v>
      </c>
      <c r="Z343" t="s">
        <v>117</v>
      </c>
      <c r="AA343" t="s">
        <v>1421</v>
      </c>
      <c r="AB343" t="s">
        <v>1422</v>
      </c>
      <c r="AC343">
        <v>263</v>
      </c>
      <c r="AD343" t="s">
        <v>1419</v>
      </c>
    </row>
    <row r="344" spans="1:30" ht="15" customHeight="1" x14ac:dyDescent="0.25">
      <c r="A344">
        <v>262</v>
      </c>
      <c r="B344" t="s">
        <v>1423</v>
      </c>
      <c r="C344" t="s">
        <v>1424</v>
      </c>
      <c r="D344" t="s">
        <v>1414</v>
      </c>
      <c r="E344" t="s">
        <v>115</v>
      </c>
      <c r="G344" t="s">
        <v>16</v>
      </c>
      <c r="H344" t="s">
        <v>23</v>
      </c>
      <c r="I344">
        <v>5327</v>
      </c>
      <c r="J344" t="s">
        <v>581</v>
      </c>
      <c r="K344">
        <v>0</v>
      </c>
      <c r="R344" t="s">
        <v>162</v>
      </c>
      <c r="S344">
        <v>375018</v>
      </c>
      <c r="W344">
        <v>33536</v>
      </c>
      <c r="X344">
        <v>1006</v>
      </c>
      <c r="Z344" t="s">
        <v>117</v>
      </c>
      <c r="AA344" t="s">
        <v>1425</v>
      </c>
      <c r="AB344" t="s">
        <v>1426</v>
      </c>
      <c r="AC344">
        <v>262</v>
      </c>
      <c r="AD344" t="s">
        <v>1423</v>
      </c>
    </row>
    <row r="345" spans="1:30" ht="15" customHeight="1" x14ac:dyDescent="0.25">
      <c r="A345">
        <v>261</v>
      </c>
      <c r="B345" t="s">
        <v>1427</v>
      </c>
      <c r="C345" t="s">
        <v>1428</v>
      </c>
      <c r="D345" t="s">
        <v>1414</v>
      </c>
      <c r="E345" t="s">
        <v>115</v>
      </c>
      <c r="G345" t="s">
        <v>16</v>
      </c>
      <c r="H345" t="s">
        <v>23</v>
      </c>
      <c r="I345">
        <v>4367</v>
      </c>
      <c r="J345" t="s">
        <v>172</v>
      </c>
      <c r="K345">
        <v>0</v>
      </c>
      <c r="S345">
        <v>375018</v>
      </c>
      <c r="W345">
        <v>33536</v>
      </c>
      <c r="X345">
        <v>1006</v>
      </c>
      <c r="Z345" t="s">
        <v>173</v>
      </c>
      <c r="AA345" t="s">
        <v>1429</v>
      </c>
      <c r="AB345" t="s">
        <v>1430</v>
      </c>
      <c r="AC345">
        <v>261</v>
      </c>
      <c r="AD345" t="s">
        <v>1427</v>
      </c>
    </row>
    <row r="346" spans="1:30" ht="15" customHeight="1" x14ac:dyDescent="0.25">
      <c r="A346">
        <v>239</v>
      </c>
      <c r="B346" t="s">
        <v>1431</v>
      </c>
      <c r="C346" t="s">
        <v>1432</v>
      </c>
      <c r="D346" t="s">
        <v>1433</v>
      </c>
      <c r="E346" t="s">
        <v>115</v>
      </c>
      <c r="G346" t="s">
        <v>9</v>
      </c>
      <c r="H346" t="s">
        <v>20</v>
      </c>
      <c r="I346">
        <v>7848</v>
      </c>
      <c r="J346" t="s">
        <v>172</v>
      </c>
      <c r="K346">
        <v>0</v>
      </c>
      <c r="R346" t="s">
        <v>381</v>
      </c>
      <c r="S346">
        <v>7848</v>
      </c>
      <c r="V346" t="s">
        <v>1399</v>
      </c>
      <c r="W346">
        <v>40171</v>
      </c>
      <c r="X346">
        <v>1006</v>
      </c>
      <c r="Y346" t="s">
        <v>1399</v>
      </c>
      <c r="Z346" t="s">
        <v>117</v>
      </c>
      <c r="AA346" t="s">
        <v>118</v>
      </c>
      <c r="AB346" t="s">
        <v>1434</v>
      </c>
      <c r="AC346">
        <v>239</v>
      </c>
      <c r="AD346" t="s">
        <v>1431</v>
      </c>
    </row>
    <row r="347" spans="1:30" ht="15" customHeight="1" x14ac:dyDescent="0.25">
      <c r="A347">
        <v>506</v>
      </c>
      <c r="B347" t="s">
        <v>1435</v>
      </c>
      <c r="C347" t="s">
        <v>1436</v>
      </c>
      <c r="D347" t="s">
        <v>1437</v>
      </c>
      <c r="E347" t="s">
        <v>115</v>
      </c>
      <c r="G347" t="s">
        <v>9</v>
      </c>
      <c r="H347" t="s">
        <v>20</v>
      </c>
      <c r="I347">
        <v>22059</v>
      </c>
      <c r="J347" t="s">
        <v>172</v>
      </c>
      <c r="K347">
        <v>0</v>
      </c>
      <c r="S347">
        <v>79924</v>
      </c>
      <c r="V347" t="s">
        <v>1438</v>
      </c>
      <c r="W347">
        <v>40171</v>
      </c>
      <c r="X347">
        <v>1006</v>
      </c>
      <c r="Z347" t="s">
        <v>117</v>
      </c>
      <c r="AA347" t="s">
        <v>1439</v>
      </c>
      <c r="AB347" t="s">
        <v>1440</v>
      </c>
      <c r="AC347">
        <v>506</v>
      </c>
      <c r="AD347" t="s">
        <v>1435</v>
      </c>
    </row>
    <row r="348" spans="1:30" ht="15" customHeight="1" x14ac:dyDescent="0.25">
      <c r="A348">
        <v>223</v>
      </c>
      <c r="B348" t="s">
        <v>1441</v>
      </c>
      <c r="C348" t="s">
        <v>1442</v>
      </c>
      <c r="D348" t="s">
        <v>1437</v>
      </c>
      <c r="E348" t="s">
        <v>115</v>
      </c>
      <c r="G348" t="s">
        <v>9</v>
      </c>
      <c r="H348" t="s">
        <v>20</v>
      </c>
      <c r="I348">
        <v>57865</v>
      </c>
      <c r="J348" t="s">
        <v>172</v>
      </c>
      <c r="K348">
        <v>0</v>
      </c>
      <c r="R348" t="s">
        <v>381</v>
      </c>
      <c r="S348">
        <v>79924</v>
      </c>
      <c r="V348" t="s">
        <v>1335</v>
      </c>
      <c r="W348">
        <v>40171</v>
      </c>
      <c r="X348">
        <v>1006</v>
      </c>
      <c r="Y348" t="s">
        <v>1335</v>
      </c>
      <c r="Z348" t="s">
        <v>117</v>
      </c>
      <c r="AA348" t="s">
        <v>118</v>
      </c>
      <c r="AB348" t="s">
        <v>1443</v>
      </c>
      <c r="AC348">
        <v>223</v>
      </c>
      <c r="AD348" t="s">
        <v>1441</v>
      </c>
    </row>
    <row r="349" spans="1:30" ht="15" customHeight="1" x14ac:dyDescent="0.25">
      <c r="A349">
        <v>226</v>
      </c>
      <c r="B349" t="s">
        <v>1444</v>
      </c>
      <c r="C349" t="s">
        <v>1445</v>
      </c>
      <c r="D349" t="s">
        <v>1446</v>
      </c>
      <c r="E349" t="s">
        <v>115</v>
      </c>
      <c r="G349" t="s">
        <v>9</v>
      </c>
      <c r="H349" t="s">
        <v>20</v>
      </c>
      <c r="I349">
        <v>22122</v>
      </c>
      <c r="J349" t="s">
        <v>172</v>
      </c>
      <c r="K349">
        <v>0</v>
      </c>
      <c r="R349" t="s">
        <v>381</v>
      </c>
      <c r="S349">
        <v>22122</v>
      </c>
      <c r="V349" t="s">
        <v>1335</v>
      </c>
      <c r="W349">
        <v>40171</v>
      </c>
      <c r="X349">
        <v>1006</v>
      </c>
      <c r="Y349" t="s">
        <v>1335</v>
      </c>
      <c r="Z349" t="s">
        <v>117</v>
      </c>
      <c r="AA349" t="s">
        <v>118</v>
      </c>
      <c r="AB349" t="s">
        <v>1447</v>
      </c>
      <c r="AC349">
        <v>226</v>
      </c>
      <c r="AD349" t="s">
        <v>1444</v>
      </c>
    </row>
    <row r="350" spans="1:30" ht="15" customHeight="1" x14ac:dyDescent="0.25">
      <c r="A350">
        <v>237</v>
      </c>
      <c r="B350" t="s">
        <v>1448</v>
      </c>
      <c r="C350" t="s">
        <v>1449</v>
      </c>
      <c r="D350" t="s">
        <v>1450</v>
      </c>
      <c r="E350" t="s">
        <v>115</v>
      </c>
      <c r="G350" t="s">
        <v>9</v>
      </c>
      <c r="H350" t="s">
        <v>20</v>
      </c>
      <c r="I350">
        <v>5586</v>
      </c>
      <c r="J350" t="s">
        <v>172</v>
      </c>
      <c r="K350">
        <v>0</v>
      </c>
      <c r="R350" t="s">
        <v>381</v>
      </c>
      <c r="S350">
        <v>5586</v>
      </c>
      <c r="V350" t="s">
        <v>1335</v>
      </c>
      <c r="W350">
        <v>40171</v>
      </c>
      <c r="X350">
        <v>1006</v>
      </c>
      <c r="Y350" t="s">
        <v>1335</v>
      </c>
      <c r="Z350" t="s">
        <v>117</v>
      </c>
      <c r="AA350" t="s">
        <v>118</v>
      </c>
      <c r="AB350" t="s">
        <v>1451</v>
      </c>
      <c r="AC350">
        <v>237</v>
      </c>
      <c r="AD350" t="s">
        <v>1448</v>
      </c>
    </row>
    <row r="351" spans="1:30" ht="15" customHeight="1" x14ac:dyDescent="0.25">
      <c r="A351">
        <v>508</v>
      </c>
      <c r="B351" t="s">
        <v>1452</v>
      </c>
      <c r="C351" t="s">
        <v>1453</v>
      </c>
      <c r="D351" t="s">
        <v>1454</v>
      </c>
      <c r="E351" t="s">
        <v>115</v>
      </c>
      <c r="G351" t="s">
        <v>9</v>
      </c>
      <c r="H351" t="s">
        <v>20</v>
      </c>
      <c r="I351">
        <v>9654</v>
      </c>
      <c r="J351" t="s">
        <v>172</v>
      </c>
      <c r="K351">
        <v>0</v>
      </c>
      <c r="S351">
        <v>27118</v>
      </c>
      <c r="V351" t="s">
        <v>1438</v>
      </c>
      <c r="W351">
        <v>40171</v>
      </c>
      <c r="X351">
        <v>1006</v>
      </c>
      <c r="Z351" t="s">
        <v>117</v>
      </c>
      <c r="AA351" t="s">
        <v>1439</v>
      </c>
      <c r="AB351" t="s">
        <v>1455</v>
      </c>
      <c r="AC351">
        <v>508</v>
      </c>
      <c r="AD351" t="s">
        <v>1452</v>
      </c>
    </row>
    <row r="352" spans="1:30" ht="15" customHeight="1" x14ac:dyDescent="0.25">
      <c r="A352">
        <v>236</v>
      </c>
      <c r="B352" t="s">
        <v>1456</v>
      </c>
      <c r="C352" t="s">
        <v>1457</v>
      </c>
      <c r="D352" t="s">
        <v>1454</v>
      </c>
      <c r="E352" t="s">
        <v>115</v>
      </c>
      <c r="G352" t="s">
        <v>9</v>
      </c>
      <c r="H352" t="s">
        <v>20</v>
      </c>
      <c r="I352">
        <v>17464</v>
      </c>
      <c r="J352" t="s">
        <v>172</v>
      </c>
      <c r="K352">
        <v>0</v>
      </c>
      <c r="R352" t="s">
        <v>381</v>
      </c>
      <c r="S352">
        <v>27118</v>
      </c>
      <c r="V352" t="s">
        <v>1335</v>
      </c>
      <c r="W352">
        <v>40171</v>
      </c>
      <c r="X352">
        <v>1006</v>
      </c>
      <c r="Z352" t="s">
        <v>117</v>
      </c>
      <c r="AA352" t="s">
        <v>118</v>
      </c>
      <c r="AB352" t="s">
        <v>1458</v>
      </c>
      <c r="AC352">
        <v>236</v>
      </c>
      <c r="AD352" t="s">
        <v>1456</v>
      </c>
    </row>
    <row r="353" spans="1:30" ht="15" customHeight="1" x14ac:dyDescent="0.25">
      <c r="A353">
        <v>238</v>
      </c>
      <c r="B353" t="s">
        <v>1459</v>
      </c>
      <c r="C353" t="s">
        <v>1460</v>
      </c>
      <c r="D353" t="s">
        <v>1461</v>
      </c>
      <c r="E353" t="s">
        <v>115</v>
      </c>
      <c r="G353" t="s">
        <v>9</v>
      </c>
      <c r="H353" t="s">
        <v>18</v>
      </c>
      <c r="I353">
        <v>161</v>
      </c>
      <c r="J353" t="s">
        <v>172</v>
      </c>
      <c r="K353">
        <v>0</v>
      </c>
      <c r="R353" t="s">
        <v>381</v>
      </c>
      <c r="S353">
        <v>161</v>
      </c>
      <c r="V353" t="s">
        <v>1399</v>
      </c>
      <c r="W353">
        <v>40171</v>
      </c>
      <c r="X353">
        <v>1006</v>
      </c>
      <c r="Y353" t="s">
        <v>1399</v>
      </c>
      <c r="Z353" t="s">
        <v>117</v>
      </c>
      <c r="AA353" t="s">
        <v>118</v>
      </c>
      <c r="AB353" t="s">
        <v>1462</v>
      </c>
      <c r="AC353">
        <v>238</v>
      </c>
      <c r="AD353" t="s">
        <v>1459</v>
      </c>
    </row>
    <row r="354" spans="1:30" ht="15" customHeight="1" x14ac:dyDescent="0.25">
      <c r="A354">
        <v>248</v>
      </c>
      <c r="B354" t="s">
        <v>1463</v>
      </c>
      <c r="C354" t="s">
        <v>1464</v>
      </c>
      <c r="D354" t="s">
        <v>1465</v>
      </c>
      <c r="E354" t="s">
        <v>115</v>
      </c>
      <c r="G354" t="s">
        <v>9</v>
      </c>
      <c r="H354" t="s">
        <v>20</v>
      </c>
      <c r="I354">
        <v>2979</v>
      </c>
      <c r="J354" t="s">
        <v>172</v>
      </c>
      <c r="K354">
        <v>0</v>
      </c>
      <c r="R354" t="s">
        <v>381</v>
      </c>
      <c r="S354">
        <v>2979</v>
      </c>
      <c r="V354" t="s">
        <v>1399</v>
      </c>
      <c r="W354">
        <v>40171</v>
      </c>
      <c r="X354">
        <v>1006</v>
      </c>
      <c r="Y354" t="s">
        <v>1399</v>
      </c>
      <c r="Z354" t="s">
        <v>117</v>
      </c>
      <c r="AA354" t="s">
        <v>118</v>
      </c>
      <c r="AB354" t="s">
        <v>1466</v>
      </c>
      <c r="AC354">
        <v>248</v>
      </c>
      <c r="AD354" t="s">
        <v>1463</v>
      </c>
    </row>
    <row r="355" spans="1:30" ht="15" customHeight="1" x14ac:dyDescent="0.25">
      <c r="A355">
        <v>243</v>
      </c>
      <c r="B355" t="s">
        <v>1467</v>
      </c>
      <c r="C355" t="s">
        <v>1468</v>
      </c>
      <c r="D355" t="s">
        <v>1469</v>
      </c>
      <c r="E355" t="s">
        <v>115</v>
      </c>
      <c r="G355" t="s">
        <v>9</v>
      </c>
      <c r="H355" t="s">
        <v>20</v>
      </c>
      <c r="I355">
        <v>3656</v>
      </c>
      <c r="J355" t="s">
        <v>172</v>
      </c>
      <c r="K355">
        <v>0</v>
      </c>
      <c r="R355" t="s">
        <v>381</v>
      </c>
      <c r="S355">
        <v>3656</v>
      </c>
      <c r="V355" t="s">
        <v>1399</v>
      </c>
      <c r="W355">
        <v>40171</v>
      </c>
      <c r="X355">
        <v>1006</v>
      </c>
      <c r="Y355" t="s">
        <v>1399</v>
      </c>
      <c r="Z355" t="s">
        <v>117</v>
      </c>
      <c r="AA355" t="s">
        <v>118</v>
      </c>
      <c r="AB355" t="s">
        <v>1470</v>
      </c>
      <c r="AC355">
        <v>243</v>
      </c>
      <c r="AD355" t="s">
        <v>1467</v>
      </c>
    </row>
    <row r="356" spans="1:30" ht="15" customHeight="1" x14ac:dyDescent="0.25">
      <c r="A356">
        <v>241</v>
      </c>
      <c r="B356" t="s">
        <v>1471</v>
      </c>
      <c r="C356" t="s">
        <v>1472</v>
      </c>
      <c r="D356" t="s">
        <v>1473</v>
      </c>
      <c r="E356" t="s">
        <v>115</v>
      </c>
      <c r="G356" t="s">
        <v>9</v>
      </c>
      <c r="H356" t="s">
        <v>20</v>
      </c>
      <c r="I356">
        <v>4876</v>
      </c>
      <c r="J356" t="s">
        <v>172</v>
      </c>
      <c r="K356">
        <v>0</v>
      </c>
      <c r="R356" t="s">
        <v>381</v>
      </c>
      <c r="S356">
        <v>4876</v>
      </c>
      <c r="V356" t="s">
        <v>1399</v>
      </c>
      <c r="W356">
        <v>40171</v>
      </c>
      <c r="X356">
        <v>1006</v>
      </c>
      <c r="Y356" t="s">
        <v>1399</v>
      </c>
      <c r="Z356" t="s">
        <v>117</v>
      </c>
      <c r="AA356" t="s">
        <v>118</v>
      </c>
      <c r="AB356" t="s">
        <v>1474</v>
      </c>
      <c r="AC356">
        <v>241</v>
      </c>
      <c r="AD356" t="s">
        <v>1471</v>
      </c>
    </row>
    <row r="357" spans="1:30" ht="15" customHeight="1" x14ac:dyDescent="0.25">
      <c r="A357">
        <v>227</v>
      </c>
      <c r="B357" t="s">
        <v>1475</v>
      </c>
      <c r="C357" t="s">
        <v>1476</v>
      </c>
      <c r="D357" t="s">
        <v>1477</v>
      </c>
      <c r="E357" t="s">
        <v>115</v>
      </c>
      <c r="G357" t="s">
        <v>9</v>
      </c>
      <c r="H357" t="s">
        <v>20</v>
      </c>
      <c r="I357">
        <v>3996</v>
      </c>
      <c r="J357" t="s">
        <v>172</v>
      </c>
      <c r="K357">
        <v>0</v>
      </c>
      <c r="R357" t="s">
        <v>381</v>
      </c>
      <c r="S357">
        <v>3996</v>
      </c>
      <c r="V357" t="s">
        <v>1399</v>
      </c>
      <c r="W357">
        <v>40171</v>
      </c>
      <c r="X357">
        <v>1006</v>
      </c>
      <c r="Y357" t="s">
        <v>1399</v>
      </c>
      <c r="Z357" t="s">
        <v>117</v>
      </c>
      <c r="AA357" t="s">
        <v>118</v>
      </c>
      <c r="AB357" t="s">
        <v>1478</v>
      </c>
      <c r="AC357">
        <v>227</v>
      </c>
      <c r="AD357" t="s">
        <v>1475</v>
      </c>
    </row>
    <row r="358" spans="1:30" ht="15" customHeight="1" x14ac:dyDescent="0.25">
      <c r="A358">
        <v>250</v>
      </c>
      <c r="B358" t="s">
        <v>1479</v>
      </c>
      <c r="C358" t="s">
        <v>1480</v>
      </c>
      <c r="D358" t="s">
        <v>1481</v>
      </c>
      <c r="E358" t="s">
        <v>115</v>
      </c>
      <c r="G358" t="s">
        <v>9</v>
      </c>
      <c r="H358" t="s">
        <v>18</v>
      </c>
      <c r="I358">
        <v>33070</v>
      </c>
      <c r="J358" t="s">
        <v>172</v>
      </c>
      <c r="K358">
        <v>0</v>
      </c>
      <c r="R358" t="s">
        <v>381</v>
      </c>
      <c r="S358">
        <v>33070</v>
      </c>
      <c r="V358" t="s">
        <v>1399</v>
      </c>
      <c r="W358">
        <v>40171</v>
      </c>
      <c r="X358">
        <v>1006</v>
      </c>
      <c r="Y358" t="s">
        <v>1399</v>
      </c>
      <c r="Z358" t="s">
        <v>117</v>
      </c>
      <c r="AA358" t="s">
        <v>118</v>
      </c>
      <c r="AB358" t="s">
        <v>1482</v>
      </c>
      <c r="AC358">
        <v>250</v>
      </c>
      <c r="AD358" t="s">
        <v>1479</v>
      </c>
    </row>
    <row r="359" spans="1:30" ht="15" customHeight="1" x14ac:dyDescent="0.25">
      <c r="A359">
        <v>234</v>
      </c>
      <c r="B359" t="s">
        <v>1483</v>
      </c>
      <c r="C359" t="s">
        <v>1484</v>
      </c>
      <c r="D359" t="s">
        <v>1485</v>
      </c>
      <c r="E359" t="s">
        <v>115</v>
      </c>
      <c r="G359" t="s">
        <v>9</v>
      </c>
      <c r="H359" t="s">
        <v>18</v>
      </c>
      <c r="I359">
        <v>138779</v>
      </c>
      <c r="J359" t="s">
        <v>172</v>
      </c>
      <c r="K359">
        <v>0</v>
      </c>
      <c r="R359" t="s">
        <v>381</v>
      </c>
      <c r="S359">
        <v>143442</v>
      </c>
      <c r="V359" t="s">
        <v>1399</v>
      </c>
      <c r="W359">
        <v>40171</v>
      </c>
      <c r="X359">
        <v>1006</v>
      </c>
      <c r="Y359" t="s">
        <v>1399</v>
      </c>
      <c r="Z359" t="s">
        <v>117</v>
      </c>
      <c r="AA359" t="s">
        <v>118</v>
      </c>
      <c r="AB359" t="s">
        <v>1486</v>
      </c>
      <c r="AC359">
        <v>234</v>
      </c>
      <c r="AD359" t="s">
        <v>1483</v>
      </c>
    </row>
    <row r="360" spans="1:30" ht="15" customHeight="1" x14ac:dyDescent="0.25">
      <c r="A360">
        <v>37</v>
      </c>
      <c r="B360" t="s">
        <v>1487</v>
      </c>
      <c r="C360" t="s">
        <v>1488</v>
      </c>
      <c r="D360" t="s">
        <v>1489</v>
      </c>
      <c r="E360" t="s">
        <v>115</v>
      </c>
      <c r="G360" t="s">
        <v>33</v>
      </c>
      <c r="H360" t="s">
        <v>40</v>
      </c>
      <c r="I360">
        <v>451</v>
      </c>
      <c r="J360" t="s">
        <v>161</v>
      </c>
      <c r="K360">
        <v>0</v>
      </c>
      <c r="S360">
        <v>451</v>
      </c>
      <c r="W360">
        <v>33077</v>
      </c>
      <c r="X360">
        <v>1006</v>
      </c>
      <c r="Y360" t="s">
        <v>556</v>
      </c>
      <c r="Z360" t="s">
        <v>117</v>
      </c>
      <c r="AA360" t="s">
        <v>403</v>
      </c>
      <c r="AB360" t="s">
        <v>1490</v>
      </c>
      <c r="AC360">
        <v>37</v>
      </c>
      <c r="AD360" t="s">
        <v>1487</v>
      </c>
    </row>
    <row r="361" spans="1:30" ht="15" customHeight="1" x14ac:dyDescent="0.25">
      <c r="A361">
        <v>34</v>
      </c>
      <c r="B361" t="s">
        <v>1491</v>
      </c>
      <c r="C361" t="s">
        <v>1492</v>
      </c>
      <c r="D361" t="s">
        <v>1493</v>
      </c>
      <c r="E361" t="s">
        <v>115</v>
      </c>
      <c r="G361" t="s">
        <v>33</v>
      </c>
      <c r="H361" t="s">
        <v>40</v>
      </c>
      <c r="I361">
        <v>14400</v>
      </c>
      <c r="J361" t="s">
        <v>161</v>
      </c>
      <c r="K361">
        <v>0</v>
      </c>
      <c r="S361">
        <v>14400</v>
      </c>
      <c r="W361">
        <v>33077</v>
      </c>
      <c r="X361">
        <v>1006</v>
      </c>
      <c r="Y361" t="s">
        <v>556</v>
      </c>
      <c r="Z361" t="s">
        <v>117</v>
      </c>
      <c r="AA361" t="s">
        <v>403</v>
      </c>
      <c r="AB361" t="s">
        <v>1494</v>
      </c>
      <c r="AC361">
        <v>34</v>
      </c>
      <c r="AD361" t="s">
        <v>1491</v>
      </c>
    </row>
    <row r="362" spans="1:30" ht="15" customHeight="1" x14ac:dyDescent="0.25">
      <c r="A362">
        <v>36</v>
      </c>
      <c r="B362" t="s">
        <v>1495</v>
      </c>
      <c r="C362" t="s">
        <v>1496</v>
      </c>
      <c r="D362" t="s">
        <v>1497</v>
      </c>
      <c r="E362" t="s">
        <v>115</v>
      </c>
      <c r="G362" t="s">
        <v>33</v>
      </c>
      <c r="H362" t="s">
        <v>40</v>
      </c>
      <c r="I362">
        <v>1861</v>
      </c>
      <c r="J362" t="s">
        <v>161</v>
      </c>
      <c r="K362">
        <v>0</v>
      </c>
      <c r="S362">
        <v>19920</v>
      </c>
      <c r="W362">
        <v>33077</v>
      </c>
      <c r="X362">
        <v>1006</v>
      </c>
      <c r="Y362" t="s">
        <v>556</v>
      </c>
      <c r="Z362" t="s">
        <v>117</v>
      </c>
      <c r="AA362" t="s">
        <v>403</v>
      </c>
      <c r="AB362" t="s">
        <v>1498</v>
      </c>
      <c r="AC362">
        <v>36</v>
      </c>
      <c r="AD362" t="s">
        <v>1495</v>
      </c>
    </row>
    <row r="363" spans="1:30" ht="15" customHeight="1" x14ac:dyDescent="0.25">
      <c r="A363">
        <v>35</v>
      </c>
      <c r="B363" t="s">
        <v>1499</v>
      </c>
      <c r="C363" t="s">
        <v>1500</v>
      </c>
      <c r="D363" t="s">
        <v>1497</v>
      </c>
      <c r="E363" t="s">
        <v>115</v>
      </c>
      <c r="G363" t="s">
        <v>33</v>
      </c>
      <c r="H363" t="s">
        <v>40</v>
      </c>
      <c r="I363">
        <v>18059</v>
      </c>
      <c r="J363" t="s">
        <v>161</v>
      </c>
      <c r="K363">
        <v>0</v>
      </c>
      <c r="S363">
        <v>19920</v>
      </c>
      <c r="V363">
        <v>1</v>
      </c>
      <c r="W363">
        <v>33077</v>
      </c>
      <c r="X363">
        <v>1006</v>
      </c>
      <c r="Y363" t="s">
        <v>556</v>
      </c>
      <c r="Z363" t="s">
        <v>117</v>
      </c>
      <c r="AA363" t="s">
        <v>403</v>
      </c>
      <c r="AB363" t="s">
        <v>1501</v>
      </c>
      <c r="AC363">
        <v>35</v>
      </c>
      <c r="AD363" t="s">
        <v>1499</v>
      </c>
    </row>
    <row r="364" spans="1:30" ht="15" customHeight="1" x14ac:dyDescent="0.25">
      <c r="A364">
        <v>5</v>
      </c>
      <c r="B364" t="s">
        <v>1502</v>
      </c>
      <c r="C364" t="s">
        <v>1503</v>
      </c>
      <c r="D364" t="s">
        <v>1504</v>
      </c>
      <c r="E364" t="s">
        <v>115</v>
      </c>
      <c r="G364" t="s">
        <v>33</v>
      </c>
      <c r="H364" t="s">
        <v>34</v>
      </c>
      <c r="I364">
        <v>61001</v>
      </c>
      <c r="J364" t="s">
        <v>161</v>
      </c>
      <c r="K364">
        <v>0</v>
      </c>
      <c r="S364">
        <v>100720</v>
      </c>
      <c r="W364">
        <v>33077</v>
      </c>
      <c r="X364">
        <v>1006</v>
      </c>
      <c r="Y364" t="s">
        <v>556</v>
      </c>
      <c r="Z364" t="s">
        <v>117</v>
      </c>
      <c r="AA364" t="s">
        <v>583</v>
      </c>
      <c r="AB364" t="s">
        <v>1505</v>
      </c>
      <c r="AC364">
        <v>5</v>
      </c>
      <c r="AD364" t="s">
        <v>1502</v>
      </c>
    </row>
    <row r="365" spans="1:30" ht="15" customHeight="1" x14ac:dyDescent="0.25">
      <c r="A365">
        <v>18</v>
      </c>
      <c r="B365" t="s">
        <v>1506</v>
      </c>
      <c r="C365" t="s">
        <v>1507</v>
      </c>
      <c r="D365" t="s">
        <v>1504</v>
      </c>
      <c r="E365" t="s">
        <v>115</v>
      </c>
      <c r="G365" t="s">
        <v>33</v>
      </c>
      <c r="H365" t="s">
        <v>34</v>
      </c>
      <c r="I365">
        <v>32868</v>
      </c>
      <c r="J365" t="s">
        <v>161</v>
      </c>
      <c r="K365">
        <v>0</v>
      </c>
      <c r="R365" t="s">
        <v>487</v>
      </c>
      <c r="S365">
        <v>100720</v>
      </c>
      <c r="W365">
        <v>33077</v>
      </c>
      <c r="X365">
        <v>1006</v>
      </c>
      <c r="Y365" t="s">
        <v>556</v>
      </c>
      <c r="Z365" t="s">
        <v>117</v>
      </c>
      <c r="AA365" t="s">
        <v>163</v>
      </c>
      <c r="AB365" t="s">
        <v>1508</v>
      </c>
      <c r="AC365">
        <v>18</v>
      </c>
      <c r="AD365" t="s">
        <v>1506</v>
      </c>
    </row>
    <row r="366" spans="1:30" ht="15" customHeight="1" x14ac:dyDescent="0.25">
      <c r="A366">
        <v>21</v>
      </c>
      <c r="B366" t="s">
        <v>1509</v>
      </c>
      <c r="C366" t="s">
        <v>1510</v>
      </c>
      <c r="D366" t="s">
        <v>1504</v>
      </c>
      <c r="E366" t="s">
        <v>115</v>
      </c>
      <c r="G366" t="s">
        <v>33</v>
      </c>
      <c r="H366" t="s">
        <v>34</v>
      </c>
      <c r="I366">
        <v>6851</v>
      </c>
      <c r="J366" t="s">
        <v>161</v>
      </c>
      <c r="K366">
        <v>0</v>
      </c>
      <c r="R366" t="s">
        <v>487</v>
      </c>
      <c r="S366">
        <v>100720</v>
      </c>
      <c r="W366">
        <v>33077</v>
      </c>
      <c r="X366">
        <v>1006</v>
      </c>
      <c r="Y366" t="s">
        <v>556</v>
      </c>
      <c r="Z366" t="s">
        <v>117</v>
      </c>
      <c r="AA366" t="s">
        <v>163</v>
      </c>
      <c r="AB366" t="s">
        <v>1511</v>
      </c>
      <c r="AC366">
        <v>21</v>
      </c>
      <c r="AD366" t="s">
        <v>1509</v>
      </c>
    </row>
    <row r="367" spans="1:30" ht="15" customHeight="1" x14ac:dyDescent="0.25">
      <c r="A367">
        <v>12</v>
      </c>
      <c r="B367" t="s">
        <v>1512</v>
      </c>
      <c r="C367" t="s">
        <v>1513</v>
      </c>
      <c r="D367" t="s">
        <v>1514</v>
      </c>
      <c r="E367" t="s">
        <v>115</v>
      </c>
      <c r="G367" t="s">
        <v>33</v>
      </c>
      <c r="H367" t="s">
        <v>35</v>
      </c>
      <c r="I367">
        <v>1336</v>
      </c>
      <c r="K367">
        <v>0</v>
      </c>
      <c r="S367">
        <v>1336</v>
      </c>
      <c r="W367">
        <v>33077</v>
      </c>
      <c r="X367">
        <v>1006</v>
      </c>
      <c r="Y367" t="s">
        <v>556</v>
      </c>
      <c r="Z367" t="s">
        <v>117</v>
      </c>
      <c r="AA367" t="s">
        <v>583</v>
      </c>
      <c r="AB367" t="s">
        <v>1515</v>
      </c>
      <c r="AC367">
        <v>12</v>
      </c>
      <c r="AD367" t="s">
        <v>1512</v>
      </c>
    </row>
    <row r="368" spans="1:30" ht="15" customHeight="1" x14ac:dyDescent="0.25">
      <c r="A368">
        <v>13</v>
      </c>
      <c r="B368" t="s">
        <v>1516</v>
      </c>
      <c r="C368" t="s">
        <v>1517</v>
      </c>
      <c r="D368" t="s">
        <v>1518</v>
      </c>
      <c r="E368" t="s">
        <v>115</v>
      </c>
      <c r="G368" t="s">
        <v>33</v>
      </c>
      <c r="H368" t="s">
        <v>35</v>
      </c>
      <c r="I368">
        <v>2692</v>
      </c>
      <c r="K368">
        <v>0</v>
      </c>
      <c r="S368">
        <v>3128</v>
      </c>
      <c r="W368">
        <v>33077</v>
      </c>
      <c r="X368">
        <v>1006</v>
      </c>
      <c r="Y368" t="s">
        <v>556</v>
      </c>
      <c r="Z368" t="s">
        <v>117</v>
      </c>
      <c r="AA368" t="s">
        <v>583</v>
      </c>
      <c r="AB368" t="s">
        <v>1519</v>
      </c>
      <c r="AC368">
        <v>13</v>
      </c>
      <c r="AD368" t="s">
        <v>1516</v>
      </c>
    </row>
    <row r="369" spans="1:30" ht="15" customHeight="1" x14ac:dyDescent="0.25">
      <c r="A369">
        <v>15</v>
      </c>
      <c r="B369" t="s">
        <v>1520</v>
      </c>
      <c r="C369" t="s">
        <v>1521</v>
      </c>
      <c r="D369" t="s">
        <v>1518</v>
      </c>
      <c r="E369" t="s">
        <v>115</v>
      </c>
      <c r="G369" t="s">
        <v>33</v>
      </c>
      <c r="H369" t="s">
        <v>35</v>
      </c>
      <c r="I369">
        <v>436</v>
      </c>
      <c r="J369" t="s">
        <v>161</v>
      </c>
      <c r="K369">
        <v>0</v>
      </c>
      <c r="R369" t="s">
        <v>487</v>
      </c>
      <c r="S369">
        <v>3128</v>
      </c>
      <c r="W369">
        <v>33077</v>
      </c>
      <c r="X369">
        <v>1006</v>
      </c>
      <c r="Y369" t="s">
        <v>556</v>
      </c>
      <c r="Z369" t="s">
        <v>117</v>
      </c>
      <c r="AA369" t="s">
        <v>163</v>
      </c>
      <c r="AB369" t="s">
        <v>1522</v>
      </c>
      <c r="AC369">
        <v>15</v>
      </c>
      <c r="AD369" t="s">
        <v>1520</v>
      </c>
    </row>
    <row r="370" spans="1:30" ht="15" customHeight="1" x14ac:dyDescent="0.25">
      <c r="A370">
        <v>33</v>
      </c>
      <c r="B370" t="s">
        <v>1523</v>
      </c>
      <c r="C370" t="s">
        <v>1524</v>
      </c>
      <c r="D370" t="s">
        <v>1525</v>
      </c>
      <c r="E370" t="s">
        <v>115</v>
      </c>
      <c r="G370" t="s">
        <v>33</v>
      </c>
      <c r="H370" t="s">
        <v>34</v>
      </c>
      <c r="I370">
        <v>224</v>
      </c>
      <c r="J370" t="s">
        <v>161</v>
      </c>
      <c r="K370">
        <v>0</v>
      </c>
      <c r="S370">
        <v>224</v>
      </c>
      <c r="W370">
        <v>33077</v>
      </c>
      <c r="X370">
        <v>1006</v>
      </c>
      <c r="Y370" t="s">
        <v>556</v>
      </c>
      <c r="Z370" t="s">
        <v>117</v>
      </c>
      <c r="AA370" t="s">
        <v>403</v>
      </c>
      <c r="AB370" t="s">
        <v>1526</v>
      </c>
      <c r="AC370">
        <v>33</v>
      </c>
      <c r="AD370" t="s">
        <v>1523</v>
      </c>
    </row>
    <row r="371" spans="1:30" ht="15" customHeight="1" x14ac:dyDescent="0.25">
      <c r="A371">
        <v>7</v>
      </c>
      <c r="B371" t="s">
        <v>1527</v>
      </c>
      <c r="C371" t="s">
        <v>1528</v>
      </c>
      <c r="D371" t="s">
        <v>1529</v>
      </c>
      <c r="E371" t="s">
        <v>115</v>
      </c>
      <c r="G371" t="s">
        <v>33</v>
      </c>
      <c r="H371" t="s">
        <v>34</v>
      </c>
      <c r="I371">
        <v>66934</v>
      </c>
      <c r="J371" t="s">
        <v>161</v>
      </c>
      <c r="K371">
        <v>0</v>
      </c>
      <c r="R371" t="s">
        <v>326</v>
      </c>
      <c r="S371">
        <v>91010</v>
      </c>
      <c r="W371">
        <v>33077</v>
      </c>
      <c r="X371">
        <v>1006</v>
      </c>
      <c r="Y371" t="s">
        <v>556</v>
      </c>
      <c r="Z371" t="s">
        <v>117</v>
      </c>
      <c r="AA371" t="s">
        <v>369</v>
      </c>
      <c r="AB371" t="s">
        <v>1530</v>
      </c>
      <c r="AC371">
        <v>7</v>
      </c>
      <c r="AD371" t="s">
        <v>1527</v>
      </c>
    </row>
    <row r="372" spans="1:30" ht="15" customHeight="1" x14ac:dyDescent="0.25">
      <c r="A372">
        <v>20</v>
      </c>
      <c r="B372" t="s">
        <v>1531</v>
      </c>
      <c r="C372" t="s">
        <v>1532</v>
      </c>
      <c r="D372" t="s">
        <v>1529</v>
      </c>
      <c r="E372" t="s">
        <v>115</v>
      </c>
      <c r="G372" t="s">
        <v>33</v>
      </c>
      <c r="H372" t="s">
        <v>34</v>
      </c>
      <c r="I372">
        <v>24076</v>
      </c>
      <c r="J372" t="s">
        <v>161</v>
      </c>
      <c r="K372">
        <v>0</v>
      </c>
      <c r="R372" t="s">
        <v>487</v>
      </c>
      <c r="S372">
        <v>91010</v>
      </c>
      <c r="W372">
        <v>33077</v>
      </c>
      <c r="X372">
        <v>1006</v>
      </c>
      <c r="Y372" t="s">
        <v>556</v>
      </c>
      <c r="Z372" t="s">
        <v>117</v>
      </c>
      <c r="AA372" t="s">
        <v>163</v>
      </c>
      <c r="AB372" t="s">
        <v>1533</v>
      </c>
      <c r="AC372">
        <v>20</v>
      </c>
      <c r="AD372" t="s">
        <v>1531</v>
      </c>
    </row>
    <row r="373" spans="1:30" ht="15" customHeight="1" x14ac:dyDescent="0.25">
      <c r="A373">
        <v>27</v>
      </c>
      <c r="B373" t="s">
        <v>1534</v>
      </c>
      <c r="C373" t="s">
        <v>1535</v>
      </c>
      <c r="D373" t="s">
        <v>1536</v>
      </c>
      <c r="E373" t="s">
        <v>115</v>
      </c>
      <c r="G373" t="s">
        <v>33</v>
      </c>
      <c r="H373" t="s">
        <v>34</v>
      </c>
      <c r="I373">
        <v>21860</v>
      </c>
      <c r="J373" t="s">
        <v>161</v>
      </c>
      <c r="K373">
        <v>0</v>
      </c>
      <c r="R373" t="s">
        <v>326</v>
      </c>
      <c r="S373">
        <v>160830</v>
      </c>
      <c r="W373">
        <v>33077</v>
      </c>
      <c r="X373">
        <v>1006</v>
      </c>
      <c r="Y373" t="s">
        <v>556</v>
      </c>
      <c r="Z373" t="s">
        <v>117</v>
      </c>
      <c r="AA373" t="s">
        <v>369</v>
      </c>
      <c r="AB373" t="s">
        <v>1537</v>
      </c>
      <c r="AC373">
        <v>27</v>
      </c>
      <c r="AD373" t="s">
        <v>1534</v>
      </c>
    </row>
    <row r="374" spans="1:30" ht="15" customHeight="1" x14ac:dyDescent="0.25">
      <c r="A374">
        <v>32</v>
      </c>
      <c r="B374" t="s">
        <v>1538</v>
      </c>
      <c r="C374" t="s">
        <v>1539</v>
      </c>
      <c r="D374" t="s">
        <v>1536</v>
      </c>
      <c r="E374" t="s">
        <v>115</v>
      </c>
      <c r="G374" t="s">
        <v>33</v>
      </c>
      <c r="H374" t="s">
        <v>34</v>
      </c>
      <c r="I374">
        <v>7006</v>
      </c>
      <c r="J374" t="s">
        <v>161</v>
      </c>
      <c r="K374">
        <v>0</v>
      </c>
      <c r="S374">
        <v>160830</v>
      </c>
      <c r="W374">
        <v>33077</v>
      </c>
      <c r="X374">
        <v>1006</v>
      </c>
      <c r="Y374" t="s">
        <v>556</v>
      </c>
      <c r="Z374" t="s">
        <v>117</v>
      </c>
      <c r="AA374" t="s">
        <v>403</v>
      </c>
      <c r="AB374" t="s">
        <v>1540</v>
      </c>
      <c r="AC374">
        <v>32</v>
      </c>
      <c r="AD374" t="s">
        <v>1538</v>
      </c>
    </row>
    <row r="375" spans="1:30" ht="15" customHeight="1" x14ac:dyDescent="0.25">
      <c r="A375">
        <v>29</v>
      </c>
      <c r="B375" t="s">
        <v>1541</v>
      </c>
      <c r="C375" t="s">
        <v>1542</v>
      </c>
      <c r="D375" t="s">
        <v>1536</v>
      </c>
      <c r="E375" t="s">
        <v>115</v>
      </c>
      <c r="G375" t="s">
        <v>33</v>
      </c>
      <c r="H375" t="s">
        <v>34</v>
      </c>
      <c r="I375">
        <v>46490</v>
      </c>
      <c r="J375" t="s">
        <v>161</v>
      </c>
      <c r="K375">
        <v>0</v>
      </c>
      <c r="S375">
        <v>160830</v>
      </c>
      <c r="V375">
        <v>1</v>
      </c>
      <c r="W375">
        <v>33077</v>
      </c>
      <c r="X375">
        <v>1006</v>
      </c>
      <c r="Y375" t="s">
        <v>556</v>
      </c>
      <c r="Z375" t="s">
        <v>117</v>
      </c>
      <c r="AA375" t="s">
        <v>403</v>
      </c>
      <c r="AB375" t="s">
        <v>1543</v>
      </c>
      <c r="AC375">
        <v>29</v>
      </c>
      <c r="AD375" t="s">
        <v>1541</v>
      </c>
    </row>
    <row r="376" spans="1:30" ht="15" customHeight="1" x14ac:dyDescent="0.25">
      <c r="A376">
        <v>31</v>
      </c>
      <c r="B376" t="s">
        <v>1544</v>
      </c>
      <c r="C376" t="s">
        <v>1545</v>
      </c>
      <c r="D376" t="s">
        <v>1536</v>
      </c>
      <c r="E376" t="s">
        <v>115</v>
      </c>
      <c r="G376" t="s">
        <v>33</v>
      </c>
      <c r="H376" t="s">
        <v>34</v>
      </c>
      <c r="I376">
        <v>31266</v>
      </c>
      <c r="J376" t="s">
        <v>161</v>
      </c>
      <c r="K376">
        <v>0</v>
      </c>
      <c r="S376">
        <v>160830</v>
      </c>
      <c r="W376">
        <v>33077</v>
      </c>
      <c r="X376">
        <v>1006</v>
      </c>
      <c r="Y376" t="s">
        <v>556</v>
      </c>
      <c r="Z376" t="s">
        <v>117</v>
      </c>
      <c r="AA376" t="s">
        <v>403</v>
      </c>
      <c r="AB376" t="s">
        <v>1546</v>
      </c>
      <c r="AC376">
        <v>31</v>
      </c>
      <c r="AD376" t="s">
        <v>1544</v>
      </c>
    </row>
    <row r="377" spans="1:30" ht="15" customHeight="1" x14ac:dyDescent="0.25">
      <c r="A377">
        <v>28</v>
      </c>
      <c r="B377" t="s">
        <v>1547</v>
      </c>
      <c r="C377" t="s">
        <v>1548</v>
      </c>
      <c r="D377" t="s">
        <v>1536</v>
      </c>
      <c r="E377" t="s">
        <v>115</v>
      </c>
      <c r="G377" t="s">
        <v>33</v>
      </c>
      <c r="H377" t="s">
        <v>34</v>
      </c>
      <c r="I377">
        <v>50825</v>
      </c>
      <c r="J377" t="s">
        <v>161</v>
      </c>
      <c r="K377">
        <v>0</v>
      </c>
      <c r="R377" t="s">
        <v>487</v>
      </c>
      <c r="S377">
        <v>160830</v>
      </c>
      <c r="W377">
        <v>33077</v>
      </c>
      <c r="X377">
        <v>1006</v>
      </c>
      <c r="Y377" t="s">
        <v>556</v>
      </c>
      <c r="Z377" t="s">
        <v>117</v>
      </c>
      <c r="AA377" t="s">
        <v>163</v>
      </c>
      <c r="AB377" t="s">
        <v>1549</v>
      </c>
      <c r="AC377">
        <v>28</v>
      </c>
      <c r="AD377" t="s">
        <v>1547</v>
      </c>
    </row>
    <row r="378" spans="1:30" ht="15" customHeight="1" x14ac:dyDescent="0.25">
      <c r="A378">
        <v>30</v>
      </c>
      <c r="B378" t="s">
        <v>1550</v>
      </c>
      <c r="C378" t="s">
        <v>1551</v>
      </c>
      <c r="D378" t="s">
        <v>1536</v>
      </c>
      <c r="E378" t="s">
        <v>115</v>
      </c>
      <c r="G378" t="s">
        <v>33</v>
      </c>
      <c r="H378" t="s">
        <v>34</v>
      </c>
      <c r="I378">
        <v>3383</v>
      </c>
      <c r="J378" t="s">
        <v>161</v>
      </c>
      <c r="K378">
        <v>0</v>
      </c>
      <c r="R378" t="s">
        <v>326</v>
      </c>
      <c r="S378">
        <v>160830</v>
      </c>
      <c r="W378">
        <v>33077</v>
      </c>
      <c r="X378">
        <v>1006</v>
      </c>
      <c r="Y378" t="s">
        <v>556</v>
      </c>
      <c r="Z378" t="s">
        <v>117</v>
      </c>
      <c r="AA378" t="s">
        <v>369</v>
      </c>
      <c r="AB378" t="s">
        <v>1552</v>
      </c>
      <c r="AC378">
        <v>30</v>
      </c>
      <c r="AD378" t="s">
        <v>1550</v>
      </c>
    </row>
    <row r="379" spans="1:30" ht="15" customHeight="1" x14ac:dyDescent="0.25">
      <c r="A379">
        <v>3</v>
      </c>
      <c r="B379" t="s">
        <v>1553</v>
      </c>
      <c r="C379" t="s">
        <v>1554</v>
      </c>
      <c r="D379" t="s">
        <v>1555</v>
      </c>
      <c r="E379" t="s">
        <v>115</v>
      </c>
      <c r="G379" t="s">
        <v>33</v>
      </c>
      <c r="H379" t="s">
        <v>35</v>
      </c>
      <c r="I379">
        <v>31981</v>
      </c>
      <c r="K379">
        <v>0</v>
      </c>
      <c r="S379">
        <v>123215</v>
      </c>
      <c r="V379">
        <v>2</v>
      </c>
      <c r="W379">
        <v>33077</v>
      </c>
      <c r="X379">
        <v>1006</v>
      </c>
      <c r="Y379" t="s">
        <v>556</v>
      </c>
      <c r="Z379" t="s">
        <v>117</v>
      </c>
      <c r="AA379" t="s">
        <v>583</v>
      </c>
      <c r="AB379" t="s">
        <v>1556</v>
      </c>
      <c r="AC379">
        <v>3</v>
      </c>
      <c r="AD379" t="s">
        <v>1553</v>
      </c>
    </row>
    <row r="380" spans="1:30" ht="15" customHeight="1" x14ac:dyDescent="0.25">
      <c r="A380">
        <v>4</v>
      </c>
      <c r="B380" t="s">
        <v>1557</v>
      </c>
      <c r="C380" t="s">
        <v>1558</v>
      </c>
      <c r="D380" t="s">
        <v>1555</v>
      </c>
      <c r="E380" t="s">
        <v>115</v>
      </c>
      <c r="G380" t="s">
        <v>33</v>
      </c>
      <c r="H380" t="s">
        <v>35</v>
      </c>
      <c r="I380">
        <v>37189</v>
      </c>
      <c r="K380">
        <v>0</v>
      </c>
      <c r="S380">
        <v>123215</v>
      </c>
      <c r="W380">
        <v>33077</v>
      </c>
      <c r="X380">
        <v>1006</v>
      </c>
      <c r="Y380" t="s">
        <v>556</v>
      </c>
      <c r="Z380" t="s">
        <v>117</v>
      </c>
      <c r="AA380" t="s">
        <v>583</v>
      </c>
      <c r="AB380" t="s">
        <v>1559</v>
      </c>
      <c r="AC380">
        <v>4</v>
      </c>
      <c r="AD380" t="s">
        <v>1557</v>
      </c>
    </row>
    <row r="381" spans="1:30" ht="15" customHeight="1" x14ac:dyDescent="0.25">
      <c r="A381">
        <v>1</v>
      </c>
      <c r="B381" t="s">
        <v>1560</v>
      </c>
      <c r="C381" t="s">
        <v>1561</v>
      </c>
      <c r="D381" t="s">
        <v>1555</v>
      </c>
      <c r="E381" t="s">
        <v>115</v>
      </c>
      <c r="G381" t="s">
        <v>33</v>
      </c>
      <c r="H381" t="s">
        <v>35</v>
      </c>
      <c r="I381">
        <v>54045</v>
      </c>
      <c r="J381" t="s">
        <v>161</v>
      </c>
      <c r="K381">
        <v>0</v>
      </c>
      <c r="R381" t="s">
        <v>487</v>
      </c>
      <c r="S381">
        <v>123215</v>
      </c>
      <c r="W381">
        <v>33077</v>
      </c>
      <c r="X381">
        <v>1006</v>
      </c>
      <c r="Y381" t="s">
        <v>556</v>
      </c>
      <c r="Z381" t="s">
        <v>117</v>
      </c>
      <c r="AA381" t="s">
        <v>163</v>
      </c>
      <c r="AB381" t="s">
        <v>1562</v>
      </c>
      <c r="AC381">
        <v>1</v>
      </c>
      <c r="AD381" t="s">
        <v>1560</v>
      </c>
    </row>
    <row r="382" spans="1:30" ht="15" customHeight="1" x14ac:dyDescent="0.25">
      <c r="A382">
        <v>326</v>
      </c>
      <c r="B382" t="s">
        <v>1563</v>
      </c>
      <c r="C382" t="s">
        <v>1564</v>
      </c>
      <c r="D382" t="s">
        <v>1565</v>
      </c>
      <c r="E382" t="s">
        <v>115</v>
      </c>
      <c r="G382" t="s">
        <v>33</v>
      </c>
      <c r="H382" t="s">
        <v>35</v>
      </c>
      <c r="I382">
        <v>1637</v>
      </c>
      <c r="J382" t="s">
        <v>161</v>
      </c>
      <c r="R382" t="s">
        <v>487</v>
      </c>
      <c r="S382">
        <v>1637</v>
      </c>
      <c r="W382">
        <v>33077</v>
      </c>
      <c r="X382">
        <v>1006</v>
      </c>
      <c r="Y382" t="s">
        <v>556</v>
      </c>
      <c r="Z382" t="s">
        <v>117</v>
      </c>
      <c r="AA382" t="s">
        <v>163</v>
      </c>
      <c r="AB382" t="s">
        <v>1566</v>
      </c>
      <c r="AC382">
        <v>326</v>
      </c>
      <c r="AD382" t="s">
        <v>1563</v>
      </c>
    </row>
    <row r="383" spans="1:30" ht="15" customHeight="1" x14ac:dyDescent="0.25">
      <c r="A383">
        <v>2</v>
      </c>
      <c r="B383" t="s">
        <v>1567</v>
      </c>
      <c r="C383" t="s">
        <v>1568</v>
      </c>
      <c r="D383" t="s">
        <v>1569</v>
      </c>
      <c r="E383" t="s">
        <v>115</v>
      </c>
      <c r="G383" t="s">
        <v>33</v>
      </c>
      <c r="H383" t="s">
        <v>35</v>
      </c>
      <c r="I383">
        <v>11830</v>
      </c>
      <c r="J383" t="s">
        <v>161</v>
      </c>
      <c r="R383" t="s">
        <v>487</v>
      </c>
      <c r="S383">
        <v>11830</v>
      </c>
      <c r="W383">
        <v>33077</v>
      </c>
      <c r="X383">
        <v>1006</v>
      </c>
      <c r="Y383" t="s">
        <v>556</v>
      </c>
      <c r="Z383" t="s">
        <v>117</v>
      </c>
      <c r="AA383" t="s">
        <v>163</v>
      </c>
      <c r="AB383" t="s">
        <v>1570</v>
      </c>
      <c r="AC383">
        <v>2</v>
      </c>
      <c r="AD383" t="s">
        <v>1567</v>
      </c>
    </row>
    <row r="384" spans="1:30" ht="15" customHeight="1" x14ac:dyDescent="0.25">
      <c r="A384">
        <v>19</v>
      </c>
      <c r="B384" t="s">
        <v>1571</v>
      </c>
      <c r="C384" t="s">
        <v>1572</v>
      </c>
      <c r="D384" t="s">
        <v>1573</v>
      </c>
      <c r="E384" t="s">
        <v>115</v>
      </c>
      <c r="G384" t="s">
        <v>33</v>
      </c>
      <c r="H384" t="s">
        <v>35</v>
      </c>
      <c r="I384">
        <v>3754</v>
      </c>
      <c r="J384" t="s">
        <v>161</v>
      </c>
      <c r="R384" t="s">
        <v>487</v>
      </c>
      <c r="S384">
        <v>3754</v>
      </c>
      <c r="X384">
        <v>1006</v>
      </c>
      <c r="Y384" t="s">
        <v>556</v>
      </c>
      <c r="Z384" t="s">
        <v>117</v>
      </c>
      <c r="AA384" t="s">
        <v>163</v>
      </c>
      <c r="AB384" t="s">
        <v>1574</v>
      </c>
      <c r="AC384">
        <v>19</v>
      </c>
      <c r="AD384" t="s">
        <v>1571</v>
      </c>
    </row>
    <row r="385" spans="1:30" ht="15" customHeight="1" x14ac:dyDescent="0.25">
      <c r="A385">
        <v>14</v>
      </c>
      <c r="B385" t="s">
        <v>1575</v>
      </c>
      <c r="C385" t="s">
        <v>1576</v>
      </c>
      <c r="D385" t="s">
        <v>1577</v>
      </c>
      <c r="E385" t="s">
        <v>115</v>
      </c>
      <c r="G385" t="s">
        <v>33</v>
      </c>
      <c r="H385" t="s">
        <v>35</v>
      </c>
      <c r="I385">
        <v>12117</v>
      </c>
      <c r="K385">
        <v>0</v>
      </c>
      <c r="S385">
        <v>17442</v>
      </c>
      <c r="W385">
        <v>33077</v>
      </c>
      <c r="X385">
        <v>1006</v>
      </c>
      <c r="Y385" t="s">
        <v>556</v>
      </c>
      <c r="Z385" t="s">
        <v>117</v>
      </c>
      <c r="AA385" t="s">
        <v>583</v>
      </c>
      <c r="AB385" t="s">
        <v>1578</v>
      </c>
      <c r="AC385">
        <v>14</v>
      </c>
      <c r="AD385" t="s">
        <v>1575</v>
      </c>
    </row>
    <row r="386" spans="1:30" ht="15" customHeight="1" x14ac:dyDescent="0.25">
      <c r="A386">
        <v>17</v>
      </c>
      <c r="B386" t="s">
        <v>1579</v>
      </c>
      <c r="C386" t="s">
        <v>1580</v>
      </c>
      <c r="D386" t="s">
        <v>1577</v>
      </c>
      <c r="E386" t="s">
        <v>115</v>
      </c>
      <c r="G386" t="s">
        <v>33</v>
      </c>
      <c r="H386" t="s">
        <v>35</v>
      </c>
      <c r="I386">
        <v>5325</v>
      </c>
      <c r="K386">
        <v>0</v>
      </c>
      <c r="R386" t="s">
        <v>487</v>
      </c>
      <c r="S386">
        <v>17442</v>
      </c>
      <c r="W386">
        <v>33077</v>
      </c>
      <c r="X386">
        <v>1006</v>
      </c>
      <c r="Y386" t="s">
        <v>556</v>
      </c>
      <c r="Z386" t="s">
        <v>117</v>
      </c>
      <c r="AA386" t="s">
        <v>163</v>
      </c>
      <c r="AB386" t="s">
        <v>1581</v>
      </c>
      <c r="AC386">
        <v>17</v>
      </c>
      <c r="AD386" t="s">
        <v>1579</v>
      </c>
    </row>
    <row r="387" spans="1:30" ht="15" customHeight="1" x14ac:dyDescent="0.25">
      <c r="A387">
        <v>11</v>
      </c>
      <c r="B387" t="s">
        <v>1582</v>
      </c>
      <c r="C387" t="s">
        <v>1583</v>
      </c>
      <c r="D387" t="s">
        <v>1584</v>
      </c>
      <c r="E387" t="s">
        <v>115</v>
      </c>
      <c r="G387" t="s">
        <v>33</v>
      </c>
      <c r="H387" t="s">
        <v>35</v>
      </c>
      <c r="I387">
        <v>1449</v>
      </c>
      <c r="R387" t="s">
        <v>1585</v>
      </c>
      <c r="S387">
        <v>1449</v>
      </c>
      <c r="W387">
        <v>33077</v>
      </c>
      <c r="X387">
        <v>1006</v>
      </c>
      <c r="Y387" t="s">
        <v>556</v>
      </c>
      <c r="Z387" t="s">
        <v>117</v>
      </c>
      <c r="AA387" t="s">
        <v>583</v>
      </c>
      <c r="AB387" t="s">
        <v>1586</v>
      </c>
      <c r="AC387">
        <v>11</v>
      </c>
      <c r="AD387" t="s">
        <v>1582</v>
      </c>
    </row>
    <row r="388" spans="1:30" ht="15" customHeight="1" x14ac:dyDescent="0.25">
      <c r="A388">
        <v>10</v>
      </c>
      <c r="B388" t="s">
        <v>1587</v>
      </c>
      <c r="C388" t="s">
        <v>1588</v>
      </c>
      <c r="D388" t="s">
        <v>1589</v>
      </c>
      <c r="E388" t="s">
        <v>115</v>
      </c>
      <c r="G388" t="s">
        <v>33</v>
      </c>
      <c r="H388" t="s">
        <v>35</v>
      </c>
      <c r="I388">
        <v>26</v>
      </c>
      <c r="R388" t="s">
        <v>1585</v>
      </c>
      <c r="S388">
        <v>26</v>
      </c>
      <c r="W388">
        <v>33077</v>
      </c>
      <c r="X388">
        <v>1006</v>
      </c>
      <c r="Y388" t="s">
        <v>556</v>
      </c>
      <c r="Z388" t="s">
        <v>173</v>
      </c>
      <c r="AA388" t="s">
        <v>190</v>
      </c>
      <c r="AB388" t="s">
        <v>1590</v>
      </c>
      <c r="AC388">
        <v>10</v>
      </c>
      <c r="AD388" t="s">
        <v>1587</v>
      </c>
    </row>
    <row r="389" spans="1:30" ht="15" customHeight="1" x14ac:dyDescent="0.25">
      <c r="A389">
        <v>6</v>
      </c>
      <c r="B389" t="s">
        <v>1591</v>
      </c>
      <c r="C389" t="s">
        <v>1592</v>
      </c>
      <c r="D389" t="s">
        <v>1593</v>
      </c>
      <c r="E389" t="s">
        <v>115</v>
      </c>
      <c r="G389" t="s">
        <v>33</v>
      </c>
      <c r="H389" t="s">
        <v>35</v>
      </c>
      <c r="I389">
        <v>6323</v>
      </c>
      <c r="R389" t="s">
        <v>1585</v>
      </c>
      <c r="S389">
        <v>6323</v>
      </c>
      <c r="W389">
        <v>33077</v>
      </c>
      <c r="X389">
        <v>1006</v>
      </c>
      <c r="Y389" t="s">
        <v>556</v>
      </c>
      <c r="Z389" t="s">
        <v>117</v>
      </c>
      <c r="AA389" t="s">
        <v>583</v>
      </c>
      <c r="AB389" t="s">
        <v>1594</v>
      </c>
      <c r="AC389">
        <v>6</v>
      </c>
      <c r="AD389" t="s">
        <v>1591</v>
      </c>
    </row>
    <row r="390" spans="1:30" ht="15" customHeight="1" x14ac:dyDescent="0.25">
      <c r="A390">
        <v>187</v>
      </c>
      <c r="B390" t="s">
        <v>1595</v>
      </c>
      <c r="C390" t="s">
        <v>1596</v>
      </c>
      <c r="D390" t="s">
        <v>1597</v>
      </c>
      <c r="E390" t="s">
        <v>115</v>
      </c>
      <c r="G390" t="s">
        <v>9</v>
      </c>
      <c r="H390" t="s">
        <v>24</v>
      </c>
      <c r="I390">
        <v>18297</v>
      </c>
      <c r="J390" t="s">
        <v>172</v>
      </c>
      <c r="K390">
        <v>0</v>
      </c>
      <c r="R390" t="s">
        <v>1598</v>
      </c>
      <c r="S390">
        <v>18297</v>
      </c>
      <c r="V390" t="s">
        <v>1335</v>
      </c>
      <c r="W390">
        <v>40171</v>
      </c>
      <c r="X390">
        <v>1006</v>
      </c>
      <c r="Y390" t="s">
        <v>1335</v>
      </c>
      <c r="Z390" t="s">
        <v>117</v>
      </c>
      <c r="AA390" t="s">
        <v>118</v>
      </c>
      <c r="AB390" t="s">
        <v>1599</v>
      </c>
      <c r="AC390">
        <v>187</v>
      </c>
      <c r="AD390" t="s">
        <v>1595</v>
      </c>
    </row>
    <row r="391" spans="1:30" ht="15" customHeight="1" x14ac:dyDescent="0.25">
      <c r="A391">
        <v>188</v>
      </c>
      <c r="B391" t="s">
        <v>1600</v>
      </c>
      <c r="C391" t="s">
        <v>1601</v>
      </c>
      <c r="D391" t="s">
        <v>1602</v>
      </c>
      <c r="E391" t="s">
        <v>115</v>
      </c>
      <c r="G391" t="s">
        <v>9</v>
      </c>
      <c r="H391" t="s">
        <v>24</v>
      </c>
      <c r="I391">
        <v>16395</v>
      </c>
      <c r="J391" t="s">
        <v>161</v>
      </c>
      <c r="K391">
        <v>0</v>
      </c>
      <c r="R391" t="s">
        <v>116</v>
      </c>
      <c r="S391">
        <v>16395</v>
      </c>
      <c r="W391">
        <v>40171</v>
      </c>
      <c r="X391">
        <v>1006</v>
      </c>
      <c r="Z391" t="s">
        <v>117</v>
      </c>
      <c r="AA391" t="s">
        <v>118</v>
      </c>
      <c r="AB391" t="s">
        <v>1603</v>
      </c>
      <c r="AC391">
        <v>188</v>
      </c>
      <c r="AD391" t="s">
        <v>1600</v>
      </c>
    </row>
    <row r="392" spans="1:30" ht="15" customHeight="1" x14ac:dyDescent="0.25">
      <c r="A392">
        <v>189</v>
      </c>
      <c r="B392" t="s">
        <v>1604</v>
      </c>
      <c r="C392" t="s">
        <v>1605</v>
      </c>
      <c r="D392" t="s">
        <v>1606</v>
      </c>
      <c r="E392" t="s">
        <v>115</v>
      </c>
      <c r="G392" t="s">
        <v>9</v>
      </c>
      <c r="H392" t="s">
        <v>24</v>
      </c>
      <c r="I392">
        <v>18580</v>
      </c>
      <c r="J392" t="s">
        <v>172</v>
      </c>
      <c r="K392">
        <v>0</v>
      </c>
      <c r="R392" t="s">
        <v>1598</v>
      </c>
      <c r="S392">
        <v>18580</v>
      </c>
      <c r="V392" t="s">
        <v>1335</v>
      </c>
      <c r="W392">
        <v>40171</v>
      </c>
      <c r="X392">
        <v>1006</v>
      </c>
      <c r="Y392" t="s">
        <v>1335</v>
      </c>
      <c r="Z392" t="s">
        <v>117</v>
      </c>
      <c r="AA392" t="s">
        <v>118</v>
      </c>
      <c r="AB392" t="s">
        <v>1607</v>
      </c>
      <c r="AC392">
        <v>189</v>
      </c>
      <c r="AD392" t="s">
        <v>1604</v>
      </c>
    </row>
    <row r="393" spans="1:30" ht="15" customHeight="1" x14ac:dyDescent="0.25">
      <c r="A393">
        <v>148</v>
      </c>
      <c r="B393" t="s">
        <v>1608</v>
      </c>
      <c r="C393" t="s">
        <v>1609</v>
      </c>
      <c r="D393" t="s">
        <v>1610</v>
      </c>
      <c r="E393" t="s">
        <v>115</v>
      </c>
      <c r="G393" t="s">
        <v>11</v>
      </c>
      <c r="H393" t="s">
        <v>28</v>
      </c>
      <c r="I393">
        <v>10017</v>
      </c>
      <c r="J393" t="s">
        <v>172</v>
      </c>
      <c r="K393">
        <v>0</v>
      </c>
      <c r="S393">
        <v>10017</v>
      </c>
      <c r="W393">
        <v>40200</v>
      </c>
      <c r="X393" t="s">
        <v>1611</v>
      </c>
      <c r="Y393" s="1" t="s">
        <v>1612</v>
      </c>
      <c r="Z393" t="s">
        <v>173</v>
      </c>
      <c r="AA393" t="s">
        <v>190</v>
      </c>
      <c r="AB393" t="s">
        <v>1613</v>
      </c>
      <c r="AC393">
        <v>148</v>
      </c>
      <c r="AD393" t="s">
        <v>1608</v>
      </c>
    </row>
    <row r="394" spans="1:30" ht="15" customHeight="1" x14ac:dyDescent="0.25">
      <c r="A394">
        <v>157</v>
      </c>
      <c r="B394" t="s">
        <v>1614</v>
      </c>
      <c r="C394" t="s">
        <v>1615</v>
      </c>
      <c r="D394" t="s">
        <v>1616</v>
      </c>
      <c r="E394" t="s">
        <v>115</v>
      </c>
      <c r="G394" t="s">
        <v>11</v>
      </c>
      <c r="H394" t="s">
        <v>28</v>
      </c>
      <c r="I394">
        <v>9435</v>
      </c>
      <c r="J394" t="s">
        <v>161</v>
      </c>
      <c r="K394">
        <v>0</v>
      </c>
      <c r="R394" t="s">
        <v>381</v>
      </c>
      <c r="S394">
        <v>10350</v>
      </c>
      <c r="V394" t="s">
        <v>382</v>
      </c>
      <c r="W394">
        <v>40200</v>
      </c>
      <c r="X394" t="s">
        <v>1611</v>
      </c>
      <c r="Y394" t="s">
        <v>382</v>
      </c>
      <c r="Z394" t="s">
        <v>117</v>
      </c>
      <c r="AA394" t="s">
        <v>118</v>
      </c>
      <c r="AB394" t="s">
        <v>1617</v>
      </c>
      <c r="AC394">
        <v>157</v>
      </c>
      <c r="AD394" t="s">
        <v>1614</v>
      </c>
    </row>
    <row r="395" spans="1:30" ht="15" customHeight="1" x14ac:dyDescent="0.25">
      <c r="A395">
        <v>315</v>
      </c>
      <c r="B395" t="s">
        <v>1618</v>
      </c>
      <c r="C395" t="s">
        <v>1619</v>
      </c>
      <c r="D395" t="s">
        <v>1616</v>
      </c>
      <c r="E395" t="s">
        <v>115</v>
      </c>
      <c r="G395" t="s">
        <v>11</v>
      </c>
      <c r="H395" t="s">
        <v>28</v>
      </c>
      <c r="I395">
        <v>915</v>
      </c>
      <c r="J395" t="s">
        <v>172</v>
      </c>
      <c r="K395">
        <v>0</v>
      </c>
      <c r="R395" t="s">
        <v>1620</v>
      </c>
      <c r="S395">
        <v>10350</v>
      </c>
      <c r="W395">
        <v>40200</v>
      </c>
      <c r="X395">
        <v>1006</v>
      </c>
      <c r="Y395" s="1" t="s">
        <v>1612</v>
      </c>
      <c r="Z395" t="s">
        <v>173</v>
      </c>
      <c r="AA395" t="s">
        <v>1621</v>
      </c>
      <c r="AB395" t="s">
        <v>1622</v>
      </c>
      <c r="AC395">
        <v>315</v>
      </c>
      <c r="AD395" t="s">
        <v>1618</v>
      </c>
    </row>
    <row r="396" spans="1:30" ht="15" customHeight="1" x14ac:dyDescent="0.25">
      <c r="A396">
        <v>153</v>
      </c>
      <c r="B396" t="s">
        <v>1623</v>
      </c>
      <c r="C396" t="s">
        <v>1624</v>
      </c>
      <c r="D396" t="s">
        <v>1625</v>
      </c>
      <c r="E396" t="s">
        <v>115</v>
      </c>
      <c r="G396" t="s">
        <v>11</v>
      </c>
      <c r="H396" t="s">
        <v>28</v>
      </c>
      <c r="I396">
        <v>5940</v>
      </c>
      <c r="J396" t="s">
        <v>161</v>
      </c>
      <c r="K396">
        <v>0</v>
      </c>
      <c r="R396" t="s">
        <v>381</v>
      </c>
      <c r="S396">
        <v>5940</v>
      </c>
      <c r="V396" t="s">
        <v>382</v>
      </c>
      <c r="W396">
        <v>40200</v>
      </c>
      <c r="X396" t="s">
        <v>1611</v>
      </c>
      <c r="Y396" t="s">
        <v>382</v>
      </c>
      <c r="Z396" t="s">
        <v>117</v>
      </c>
      <c r="AA396" t="s">
        <v>118</v>
      </c>
      <c r="AB396" t="s">
        <v>1626</v>
      </c>
      <c r="AC396">
        <v>153</v>
      </c>
      <c r="AD396" t="s">
        <v>1623</v>
      </c>
    </row>
    <row r="397" spans="1:30" ht="15" customHeight="1" x14ac:dyDescent="0.25">
      <c r="A397">
        <v>151</v>
      </c>
      <c r="B397" t="s">
        <v>1627</v>
      </c>
      <c r="C397" t="s">
        <v>1628</v>
      </c>
      <c r="D397" t="s">
        <v>1629</v>
      </c>
      <c r="E397" t="s">
        <v>115</v>
      </c>
      <c r="G397" t="s">
        <v>11</v>
      </c>
      <c r="H397" t="s">
        <v>28</v>
      </c>
      <c r="I397">
        <v>2299</v>
      </c>
      <c r="J397" t="s">
        <v>161</v>
      </c>
      <c r="K397">
        <v>0</v>
      </c>
      <c r="R397" t="s">
        <v>381</v>
      </c>
      <c r="S397">
        <v>2656</v>
      </c>
      <c r="V397" t="s">
        <v>382</v>
      </c>
      <c r="W397">
        <v>40200</v>
      </c>
      <c r="X397" t="s">
        <v>1611</v>
      </c>
      <c r="Y397" t="s">
        <v>382</v>
      </c>
      <c r="Z397" t="s">
        <v>117</v>
      </c>
      <c r="AA397" t="s">
        <v>118</v>
      </c>
      <c r="AB397" t="s">
        <v>1630</v>
      </c>
      <c r="AC397">
        <v>151</v>
      </c>
      <c r="AD397" t="s">
        <v>1627</v>
      </c>
    </row>
    <row r="398" spans="1:30" ht="15" customHeight="1" x14ac:dyDescent="0.25">
      <c r="A398">
        <v>310</v>
      </c>
      <c r="B398" t="s">
        <v>1631</v>
      </c>
      <c r="C398" t="s">
        <v>1632</v>
      </c>
      <c r="D398" t="s">
        <v>1629</v>
      </c>
      <c r="E398" t="s">
        <v>115</v>
      </c>
      <c r="G398" t="s">
        <v>11</v>
      </c>
      <c r="H398" t="s">
        <v>28</v>
      </c>
      <c r="I398">
        <v>357</v>
      </c>
      <c r="J398" t="s">
        <v>172</v>
      </c>
      <c r="K398">
        <v>0</v>
      </c>
      <c r="R398" t="s">
        <v>1620</v>
      </c>
      <c r="S398">
        <v>2656</v>
      </c>
      <c r="W398">
        <v>40200</v>
      </c>
      <c r="X398">
        <v>1006</v>
      </c>
      <c r="Y398" s="1" t="s">
        <v>1612</v>
      </c>
      <c r="Z398" t="s">
        <v>173</v>
      </c>
      <c r="AA398" t="s">
        <v>1621</v>
      </c>
      <c r="AB398" t="s">
        <v>1633</v>
      </c>
      <c r="AC398">
        <v>310</v>
      </c>
      <c r="AD398" t="s">
        <v>1631</v>
      </c>
    </row>
    <row r="399" spans="1:30" ht="15" customHeight="1" x14ac:dyDescent="0.25">
      <c r="A399">
        <v>313</v>
      </c>
      <c r="B399" t="s">
        <v>1634</v>
      </c>
      <c r="C399" t="s">
        <v>1635</v>
      </c>
      <c r="D399" t="s">
        <v>1636</v>
      </c>
      <c r="E399" t="s">
        <v>115</v>
      </c>
      <c r="G399" t="s">
        <v>11</v>
      </c>
      <c r="H399" t="s">
        <v>28</v>
      </c>
      <c r="I399">
        <v>1521</v>
      </c>
      <c r="J399" t="s">
        <v>172</v>
      </c>
      <c r="K399">
        <v>0</v>
      </c>
      <c r="R399" t="s">
        <v>1620</v>
      </c>
      <c r="S399">
        <v>1521</v>
      </c>
      <c r="W399">
        <v>40200</v>
      </c>
      <c r="X399">
        <v>1006</v>
      </c>
      <c r="Y399" s="1" t="s">
        <v>1612</v>
      </c>
      <c r="Z399" t="s">
        <v>173</v>
      </c>
      <c r="AA399" t="s">
        <v>1621</v>
      </c>
      <c r="AB399" t="s">
        <v>1637</v>
      </c>
      <c r="AC399">
        <v>313</v>
      </c>
      <c r="AD399" t="s">
        <v>1634</v>
      </c>
    </row>
    <row r="400" spans="1:30" ht="15" customHeight="1" x14ac:dyDescent="0.25">
      <c r="A400">
        <v>150</v>
      </c>
      <c r="B400" t="s">
        <v>1638</v>
      </c>
      <c r="C400" t="s">
        <v>1639</v>
      </c>
      <c r="D400" t="s">
        <v>1640</v>
      </c>
      <c r="E400" t="s">
        <v>115</v>
      </c>
      <c r="G400" t="s">
        <v>11</v>
      </c>
      <c r="H400" t="s">
        <v>28</v>
      </c>
      <c r="I400">
        <v>11000</v>
      </c>
      <c r="J400" t="s">
        <v>161</v>
      </c>
      <c r="K400">
        <v>0</v>
      </c>
      <c r="R400" t="s">
        <v>381</v>
      </c>
      <c r="S400">
        <v>14580</v>
      </c>
      <c r="V400" t="s">
        <v>382</v>
      </c>
      <c r="W400">
        <v>40200</v>
      </c>
      <c r="X400" t="s">
        <v>1611</v>
      </c>
      <c r="Y400" t="s">
        <v>382</v>
      </c>
      <c r="Z400" t="s">
        <v>117</v>
      </c>
      <c r="AA400" t="s">
        <v>118</v>
      </c>
      <c r="AB400" t="s">
        <v>1641</v>
      </c>
      <c r="AC400">
        <v>150</v>
      </c>
      <c r="AD400" t="s">
        <v>1638</v>
      </c>
    </row>
    <row r="401" spans="1:30" ht="15" customHeight="1" x14ac:dyDescent="0.25">
      <c r="A401">
        <v>309</v>
      </c>
      <c r="B401" t="s">
        <v>1642</v>
      </c>
      <c r="C401" t="s">
        <v>1643</v>
      </c>
      <c r="D401" t="s">
        <v>1640</v>
      </c>
      <c r="E401" t="s">
        <v>115</v>
      </c>
      <c r="G401" t="s">
        <v>11</v>
      </c>
      <c r="H401" t="s">
        <v>28</v>
      </c>
      <c r="I401">
        <v>3580</v>
      </c>
      <c r="J401" t="s">
        <v>172</v>
      </c>
      <c r="K401">
        <v>0</v>
      </c>
      <c r="R401" t="s">
        <v>1620</v>
      </c>
      <c r="S401">
        <v>14580</v>
      </c>
      <c r="W401">
        <v>40200</v>
      </c>
      <c r="X401">
        <v>1006</v>
      </c>
      <c r="Y401" s="1" t="s">
        <v>1612</v>
      </c>
      <c r="Z401" t="s">
        <v>173</v>
      </c>
      <c r="AA401" t="s">
        <v>1621</v>
      </c>
      <c r="AB401" t="s">
        <v>1644</v>
      </c>
      <c r="AC401">
        <v>309</v>
      </c>
      <c r="AD401" t="s">
        <v>1642</v>
      </c>
    </row>
    <row r="402" spans="1:30" ht="15" customHeight="1" x14ac:dyDescent="0.25">
      <c r="A402">
        <v>156</v>
      </c>
      <c r="B402" t="s">
        <v>1645</v>
      </c>
      <c r="C402" t="s">
        <v>1646</v>
      </c>
      <c r="D402" t="s">
        <v>1647</v>
      </c>
      <c r="E402" t="s">
        <v>115</v>
      </c>
      <c r="G402" t="s">
        <v>11</v>
      </c>
      <c r="H402" t="s">
        <v>12</v>
      </c>
      <c r="I402">
        <v>5256</v>
      </c>
      <c r="J402" t="s">
        <v>172</v>
      </c>
      <c r="K402">
        <v>0</v>
      </c>
      <c r="S402">
        <v>179520</v>
      </c>
      <c r="W402">
        <v>40200</v>
      </c>
      <c r="X402" t="s">
        <v>1611</v>
      </c>
      <c r="Y402" s="1" t="s">
        <v>1612</v>
      </c>
      <c r="Z402" t="s">
        <v>117</v>
      </c>
      <c r="AA402" t="s">
        <v>1421</v>
      </c>
      <c r="AB402" t="s">
        <v>1648</v>
      </c>
      <c r="AC402">
        <v>156</v>
      </c>
      <c r="AD402" t="s">
        <v>1645</v>
      </c>
    </row>
    <row r="403" spans="1:30" ht="15" customHeight="1" x14ac:dyDescent="0.25">
      <c r="A403">
        <v>320</v>
      </c>
      <c r="B403" t="s">
        <v>1649</v>
      </c>
      <c r="C403" t="s">
        <v>1650</v>
      </c>
      <c r="D403" t="s">
        <v>1647</v>
      </c>
      <c r="E403" t="s">
        <v>115</v>
      </c>
      <c r="G403" t="s">
        <v>11</v>
      </c>
      <c r="H403" t="s">
        <v>12</v>
      </c>
      <c r="I403">
        <v>31364</v>
      </c>
      <c r="J403" t="s">
        <v>172</v>
      </c>
      <c r="K403">
        <v>0</v>
      </c>
      <c r="R403" t="s">
        <v>1620</v>
      </c>
      <c r="S403">
        <v>179520</v>
      </c>
      <c r="W403">
        <v>40200</v>
      </c>
      <c r="X403">
        <v>1006</v>
      </c>
      <c r="Y403" s="1" t="s">
        <v>1612</v>
      </c>
      <c r="Z403" t="s">
        <v>173</v>
      </c>
      <c r="AA403" t="s">
        <v>1621</v>
      </c>
      <c r="AB403" t="s">
        <v>1651</v>
      </c>
      <c r="AC403">
        <v>320</v>
      </c>
      <c r="AD403" t="s">
        <v>1649</v>
      </c>
    </row>
    <row r="404" spans="1:30" ht="15" customHeight="1" x14ac:dyDescent="0.25">
      <c r="A404">
        <v>149</v>
      </c>
      <c r="B404" t="s">
        <v>1652</v>
      </c>
      <c r="C404" t="s">
        <v>1653</v>
      </c>
      <c r="D404" t="s">
        <v>1647</v>
      </c>
      <c r="E404" t="s">
        <v>115</v>
      </c>
      <c r="G404" t="s">
        <v>11</v>
      </c>
      <c r="H404" t="s">
        <v>12</v>
      </c>
      <c r="I404">
        <v>99834</v>
      </c>
      <c r="K404">
        <v>0</v>
      </c>
      <c r="S404">
        <v>179520</v>
      </c>
      <c r="V404">
        <v>1</v>
      </c>
      <c r="W404">
        <v>40200</v>
      </c>
      <c r="X404" t="s">
        <v>1611</v>
      </c>
      <c r="Y404" s="1" t="s">
        <v>1612</v>
      </c>
      <c r="Z404" t="s">
        <v>117</v>
      </c>
      <c r="AA404" t="s">
        <v>185</v>
      </c>
      <c r="AB404" t="s">
        <v>1654</v>
      </c>
      <c r="AC404">
        <v>149</v>
      </c>
      <c r="AD404" t="s">
        <v>1652</v>
      </c>
    </row>
    <row r="405" spans="1:30" ht="15" customHeight="1" x14ac:dyDescent="0.25">
      <c r="A405">
        <v>161</v>
      </c>
      <c r="B405" t="s">
        <v>1655</v>
      </c>
      <c r="C405" t="s">
        <v>1656</v>
      </c>
      <c r="D405" t="s">
        <v>1647</v>
      </c>
      <c r="E405" t="s">
        <v>115</v>
      </c>
      <c r="G405" t="s">
        <v>11</v>
      </c>
      <c r="H405" t="s">
        <v>12</v>
      </c>
      <c r="I405">
        <v>43066</v>
      </c>
      <c r="J405" t="s">
        <v>161</v>
      </c>
      <c r="K405">
        <v>0</v>
      </c>
      <c r="R405" t="s">
        <v>300</v>
      </c>
      <c r="S405">
        <v>179520</v>
      </c>
      <c r="V405">
        <v>1</v>
      </c>
      <c r="W405">
        <v>40200</v>
      </c>
      <c r="X405" t="s">
        <v>1611</v>
      </c>
      <c r="Y405" s="1" t="s">
        <v>1612</v>
      </c>
      <c r="Z405" t="s">
        <v>117</v>
      </c>
      <c r="AA405" t="s">
        <v>1421</v>
      </c>
      <c r="AB405" t="s">
        <v>1657</v>
      </c>
      <c r="AC405">
        <v>161</v>
      </c>
      <c r="AD405" t="s">
        <v>1655</v>
      </c>
    </row>
    <row r="406" spans="1:30" ht="15" customHeight="1" x14ac:dyDescent="0.25">
      <c r="A406">
        <v>174</v>
      </c>
      <c r="B406" t="s">
        <v>1658</v>
      </c>
      <c r="C406" t="s">
        <v>1659</v>
      </c>
      <c r="D406" t="s">
        <v>1660</v>
      </c>
      <c r="E406" t="s">
        <v>115</v>
      </c>
      <c r="G406" t="s">
        <v>11</v>
      </c>
      <c r="H406" t="s">
        <v>12</v>
      </c>
      <c r="I406">
        <v>140</v>
      </c>
      <c r="J406" t="s">
        <v>161</v>
      </c>
      <c r="K406">
        <v>0</v>
      </c>
      <c r="S406">
        <v>140</v>
      </c>
      <c r="W406">
        <v>40200</v>
      </c>
      <c r="X406">
        <v>1006</v>
      </c>
      <c r="Z406" t="s">
        <v>117</v>
      </c>
      <c r="AA406" t="s">
        <v>1421</v>
      </c>
      <c r="AB406" t="s">
        <v>1661</v>
      </c>
      <c r="AC406">
        <v>174</v>
      </c>
      <c r="AD406" t="s">
        <v>1658</v>
      </c>
    </row>
    <row r="407" spans="1:30" ht="15" customHeight="1" x14ac:dyDescent="0.25">
      <c r="A407">
        <v>167</v>
      </c>
      <c r="B407" t="s">
        <v>1662</v>
      </c>
      <c r="C407" t="s">
        <v>1663</v>
      </c>
      <c r="D407" t="s">
        <v>1664</v>
      </c>
      <c r="E407" t="s">
        <v>115</v>
      </c>
      <c r="G407" t="s">
        <v>11</v>
      </c>
      <c r="H407" t="s">
        <v>12</v>
      </c>
      <c r="I407">
        <v>148</v>
      </c>
      <c r="J407" t="s">
        <v>161</v>
      </c>
      <c r="K407">
        <v>0</v>
      </c>
      <c r="S407">
        <v>148</v>
      </c>
      <c r="W407">
        <v>40200</v>
      </c>
      <c r="X407">
        <v>1006</v>
      </c>
      <c r="Z407" t="s">
        <v>117</v>
      </c>
      <c r="AA407" t="s">
        <v>1421</v>
      </c>
      <c r="AB407" t="s">
        <v>1665</v>
      </c>
      <c r="AC407">
        <v>167</v>
      </c>
      <c r="AD407" t="s">
        <v>1662</v>
      </c>
    </row>
    <row r="408" spans="1:30" ht="15" customHeight="1" x14ac:dyDescent="0.25">
      <c r="A408">
        <v>163</v>
      </c>
      <c r="B408" t="s">
        <v>1666</v>
      </c>
      <c r="C408" t="s">
        <v>1667</v>
      </c>
      <c r="D408" t="s">
        <v>1668</v>
      </c>
      <c r="E408" t="s">
        <v>115</v>
      </c>
      <c r="G408" t="s">
        <v>11</v>
      </c>
      <c r="H408" t="s">
        <v>12</v>
      </c>
      <c r="I408">
        <v>15200</v>
      </c>
      <c r="J408" t="s">
        <v>161</v>
      </c>
      <c r="K408">
        <v>0</v>
      </c>
      <c r="R408" t="s">
        <v>300</v>
      </c>
      <c r="S408">
        <v>15200</v>
      </c>
      <c r="V408">
        <v>1</v>
      </c>
      <c r="W408">
        <v>40200</v>
      </c>
      <c r="X408" t="s">
        <v>1611</v>
      </c>
      <c r="Y408" s="1" t="s">
        <v>1612</v>
      </c>
      <c r="Z408" t="s">
        <v>117</v>
      </c>
      <c r="AA408" t="s">
        <v>1421</v>
      </c>
      <c r="AB408" t="s">
        <v>1669</v>
      </c>
      <c r="AC408">
        <v>163</v>
      </c>
      <c r="AD408" t="s">
        <v>1666</v>
      </c>
    </row>
    <row r="409" spans="1:30" ht="15" customHeight="1" x14ac:dyDescent="0.25">
      <c r="A409">
        <v>186</v>
      </c>
      <c r="B409" t="s">
        <v>1670</v>
      </c>
      <c r="C409" t="s">
        <v>1671</v>
      </c>
      <c r="D409" t="s">
        <v>1672</v>
      </c>
      <c r="E409" t="s">
        <v>115</v>
      </c>
      <c r="G409" t="s">
        <v>11</v>
      </c>
      <c r="H409" t="s">
        <v>21</v>
      </c>
      <c r="I409">
        <v>27200</v>
      </c>
      <c r="J409" t="s">
        <v>161</v>
      </c>
      <c r="K409">
        <v>0</v>
      </c>
      <c r="R409" t="s">
        <v>381</v>
      </c>
      <c r="S409">
        <v>27200</v>
      </c>
      <c r="V409" t="s">
        <v>382</v>
      </c>
      <c r="W409">
        <v>40200</v>
      </c>
      <c r="X409" t="s">
        <v>1611</v>
      </c>
      <c r="Y409" t="s">
        <v>382</v>
      </c>
      <c r="Z409" t="s">
        <v>117</v>
      </c>
      <c r="AA409" t="s">
        <v>118</v>
      </c>
      <c r="AB409" t="s">
        <v>1673</v>
      </c>
      <c r="AC409">
        <v>186</v>
      </c>
      <c r="AD409" t="s">
        <v>1670</v>
      </c>
    </row>
    <row r="410" spans="1:30" ht="15" customHeight="1" x14ac:dyDescent="0.25">
      <c r="A410">
        <v>184</v>
      </c>
      <c r="B410" t="s">
        <v>1674</v>
      </c>
      <c r="C410" t="s">
        <v>1675</v>
      </c>
      <c r="D410" t="s">
        <v>1676</v>
      </c>
      <c r="E410" t="s">
        <v>115</v>
      </c>
      <c r="G410" t="s">
        <v>11</v>
      </c>
      <c r="H410" t="s">
        <v>21</v>
      </c>
      <c r="I410">
        <v>57700</v>
      </c>
      <c r="J410" t="s">
        <v>161</v>
      </c>
      <c r="K410">
        <v>0</v>
      </c>
      <c r="R410" t="s">
        <v>381</v>
      </c>
      <c r="S410">
        <v>58323</v>
      </c>
      <c r="V410" t="s">
        <v>382</v>
      </c>
      <c r="W410">
        <v>40200</v>
      </c>
      <c r="X410" t="s">
        <v>1611</v>
      </c>
      <c r="Y410" t="s">
        <v>382</v>
      </c>
      <c r="Z410" t="s">
        <v>117</v>
      </c>
      <c r="AA410" t="s">
        <v>118</v>
      </c>
      <c r="AB410" t="s">
        <v>1677</v>
      </c>
      <c r="AC410">
        <v>184</v>
      </c>
      <c r="AD410" t="s">
        <v>1674</v>
      </c>
    </row>
    <row r="411" spans="1:30" ht="15" customHeight="1" x14ac:dyDescent="0.25">
      <c r="A411">
        <v>183</v>
      </c>
      <c r="B411" t="s">
        <v>1678</v>
      </c>
      <c r="C411" t="s">
        <v>1679</v>
      </c>
      <c r="D411" t="s">
        <v>1680</v>
      </c>
      <c r="E411" t="s">
        <v>115</v>
      </c>
      <c r="G411" t="s">
        <v>11</v>
      </c>
      <c r="H411" t="s">
        <v>21</v>
      </c>
      <c r="I411">
        <v>5728</v>
      </c>
      <c r="J411" t="s">
        <v>161</v>
      </c>
      <c r="K411">
        <v>0</v>
      </c>
      <c r="R411" t="s">
        <v>300</v>
      </c>
      <c r="S411">
        <v>33916</v>
      </c>
      <c r="W411">
        <v>40200</v>
      </c>
      <c r="X411" t="s">
        <v>1611</v>
      </c>
      <c r="Z411" t="s">
        <v>117</v>
      </c>
      <c r="AA411" t="s">
        <v>1050</v>
      </c>
      <c r="AB411" t="s">
        <v>1681</v>
      </c>
      <c r="AC411">
        <v>183</v>
      </c>
      <c r="AD411" t="s">
        <v>1678</v>
      </c>
    </row>
    <row r="412" spans="1:30" ht="15" customHeight="1" x14ac:dyDescent="0.25">
      <c r="A412">
        <v>180</v>
      </c>
      <c r="B412" t="s">
        <v>1682</v>
      </c>
      <c r="C412" t="s">
        <v>1683</v>
      </c>
      <c r="D412" t="s">
        <v>1680</v>
      </c>
      <c r="E412" t="s">
        <v>115</v>
      </c>
      <c r="G412" t="s">
        <v>11</v>
      </c>
      <c r="H412" t="s">
        <v>21</v>
      </c>
      <c r="I412">
        <v>28188</v>
      </c>
      <c r="J412" t="s">
        <v>161</v>
      </c>
      <c r="K412">
        <v>0</v>
      </c>
      <c r="R412" t="s">
        <v>300</v>
      </c>
      <c r="S412">
        <v>33916</v>
      </c>
      <c r="V412">
        <v>2</v>
      </c>
      <c r="W412">
        <v>40200</v>
      </c>
      <c r="X412" t="s">
        <v>1611</v>
      </c>
      <c r="Z412" t="s">
        <v>117</v>
      </c>
      <c r="AA412" t="s">
        <v>1421</v>
      </c>
      <c r="AB412" t="s">
        <v>1684</v>
      </c>
      <c r="AC412">
        <v>180</v>
      </c>
      <c r="AD412" t="s">
        <v>1682</v>
      </c>
    </row>
    <row r="413" spans="1:30" ht="15" customHeight="1" x14ac:dyDescent="0.25">
      <c r="A413">
        <v>158</v>
      </c>
      <c r="B413" t="s">
        <v>1685</v>
      </c>
      <c r="C413" t="s">
        <v>1686</v>
      </c>
      <c r="D413" t="s">
        <v>1687</v>
      </c>
      <c r="E413" t="s">
        <v>115</v>
      </c>
      <c r="G413" t="s">
        <v>11</v>
      </c>
      <c r="H413" t="s">
        <v>12</v>
      </c>
      <c r="I413">
        <v>19626</v>
      </c>
      <c r="K413">
        <v>0</v>
      </c>
      <c r="S413">
        <v>73614</v>
      </c>
      <c r="V413">
        <v>1</v>
      </c>
      <c r="W413">
        <v>40200</v>
      </c>
      <c r="X413" t="s">
        <v>1611</v>
      </c>
      <c r="Y413" s="1" t="s">
        <v>1612</v>
      </c>
      <c r="Z413" t="s">
        <v>117</v>
      </c>
      <c r="AA413" t="s">
        <v>185</v>
      </c>
      <c r="AB413" t="s">
        <v>1688</v>
      </c>
      <c r="AC413">
        <v>158</v>
      </c>
      <c r="AD413" t="s">
        <v>1685</v>
      </c>
    </row>
    <row r="414" spans="1:30" ht="15" customHeight="1" x14ac:dyDescent="0.25">
      <c r="A414">
        <v>327</v>
      </c>
      <c r="B414" t="s">
        <v>1689</v>
      </c>
      <c r="C414" t="s">
        <v>1690</v>
      </c>
      <c r="D414" t="s">
        <v>1687</v>
      </c>
      <c r="E414" t="s">
        <v>115</v>
      </c>
      <c r="G414" t="s">
        <v>11</v>
      </c>
      <c r="H414" t="s">
        <v>12</v>
      </c>
      <c r="I414">
        <v>15359</v>
      </c>
      <c r="K414">
        <v>0</v>
      </c>
      <c r="S414">
        <v>73614</v>
      </c>
      <c r="V414">
        <v>1</v>
      </c>
      <c r="W414">
        <v>40200</v>
      </c>
      <c r="X414" t="s">
        <v>1611</v>
      </c>
      <c r="Y414" s="1" t="s">
        <v>1691</v>
      </c>
      <c r="Z414" t="s">
        <v>117</v>
      </c>
      <c r="AA414" t="s">
        <v>185</v>
      </c>
      <c r="AB414" t="s">
        <v>1692</v>
      </c>
      <c r="AC414">
        <v>327</v>
      </c>
      <c r="AD414" t="s">
        <v>1689</v>
      </c>
    </row>
    <row r="415" spans="1:30" ht="15" customHeight="1" x14ac:dyDescent="0.25">
      <c r="A415">
        <v>319</v>
      </c>
      <c r="B415" t="s">
        <v>1693</v>
      </c>
      <c r="C415" t="s">
        <v>1694</v>
      </c>
      <c r="D415" t="s">
        <v>1687</v>
      </c>
      <c r="E415" t="s">
        <v>115</v>
      </c>
      <c r="G415" t="s">
        <v>11</v>
      </c>
      <c r="H415" t="s">
        <v>12</v>
      </c>
      <c r="I415">
        <v>4882</v>
      </c>
      <c r="J415" t="s">
        <v>172</v>
      </c>
      <c r="K415">
        <v>0</v>
      </c>
      <c r="R415" t="s">
        <v>1620</v>
      </c>
      <c r="S415">
        <v>73614</v>
      </c>
      <c r="W415">
        <v>40200</v>
      </c>
      <c r="X415">
        <v>1006</v>
      </c>
      <c r="Y415" s="1" t="s">
        <v>1612</v>
      </c>
      <c r="Z415" t="s">
        <v>173</v>
      </c>
      <c r="AA415" t="s">
        <v>1621</v>
      </c>
      <c r="AB415" t="s">
        <v>1695</v>
      </c>
      <c r="AC415">
        <v>319</v>
      </c>
      <c r="AD415" t="s">
        <v>1693</v>
      </c>
    </row>
    <row r="416" spans="1:30" ht="15" customHeight="1" x14ac:dyDescent="0.25">
      <c r="A416">
        <v>162</v>
      </c>
      <c r="B416" t="s">
        <v>1696</v>
      </c>
      <c r="C416" t="s">
        <v>1697</v>
      </c>
      <c r="D416" t="s">
        <v>1687</v>
      </c>
      <c r="E416" t="s">
        <v>115</v>
      </c>
      <c r="G416" t="s">
        <v>11</v>
      </c>
      <c r="H416" t="s">
        <v>12</v>
      </c>
      <c r="I416">
        <v>33747</v>
      </c>
      <c r="J416" t="s">
        <v>161</v>
      </c>
      <c r="K416">
        <v>0</v>
      </c>
      <c r="R416" t="s">
        <v>300</v>
      </c>
      <c r="S416">
        <v>73614</v>
      </c>
      <c r="V416">
        <v>1</v>
      </c>
      <c r="W416">
        <v>40200</v>
      </c>
      <c r="X416" t="s">
        <v>1611</v>
      </c>
      <c r="Z416" t="s">
        <v>117</v>
      </c>
      <c r="AA416" t="s">
        <v>1421</v>
      </c>
      <c r="AB416" t="s">
        <v>1698</v>
      </c>
      <c r="AC416">
        <v>162</v>
      </c>
      <c r="AD416" t="s">
        <v>1696</v>
      </c>
    </row>
    <row r="417" spans="1:30" ht="15" customHeight="1" x14ac:dyDescent="0.25">
      <c r="A417">
        <v>152</v>
      </c>
      <c r="B417" t="s">
        <v>1699</v>
      </c>
      <c r="C417" t="s">
        <v>1700</v>
      </c>
      <c r="D417" t="s">
        <v>1701</v>
      </c>
      <c r="E417" t="s">
        <v>115</v>
      </c>
      <c r="G417" t="s">
        <v>11</v>
      </c>
      <c r="H417" t="s">
        <v>28</v>
      </c>
      <c r="I417">
        <v>8461</v>
      </c>
      <c r="J417" t="s">
        <v>161</v>
      </c>
      <c r="K417">
        <v>0</v>
      </c>
      <c r="R417" t="s">
        <v>381</v>
      </c>
      <c r="S417">
        <v>9425</v>
      </c>
      <c r="V417" t="s">
        <v>382</v>
      </c>
      <c r="W417">
        <v>40200</v>
      </c>
      <c r="X417" t="s">
        <v>1611</v>
      </c>
      <c r="Y417" t="s">
        <v>382</v>
      </c>
      <c r="Z417" t="s">
        <v>117</v>
      </c>
      <c r="AA417" t="s">
        <v>118</v>
      </c>
      <c r="AB417" t="s">
        <v>1702</v>
      </c>
      <c r="AC417">
        <v>152</v>
      </c>
      <c r="AD417" t="s">
        <v>1699</v>
      </c>
    </row>
    <row r="418" spans="1:30" ht="15" customHeight="1" x14ac:dyDescent="0.25">
      <c r="A418">
        <v>312</v>
      </c>
      <c r="B418" t="s">
        <v>1703</v>
      </c>
      <c r="C418" t="s">
        <v>1704</v>
      </c>
      <c r="D418" t="s">
        <v>1701</v>
      </c>
      <c r="E418" t="s">
        <v>115</v>
      </c>
      <c r="G418" t="s">
        <v>11</v>
      </c>
      <c r="H418" t="s">
        <v>28</v>
      </c>
      <c r="I418">
        <v>964</v>
      </c>
      <c r="J418" t="s">
        <v>172</v>
      </c>
      <c r="K418">
        <v>0</v>
      </c>
      <c r="R418" t="s">
        <v>1620</v>
      </c>
      <c r="S418">
        <v>964</v>
      </c>
      <c r="W418">
        <v>40200</v>
      </c>
      <c r="X418">
        <v>1006</v>
      </c>
      <c r="Y418" s="1" t="s">
        <v>1612</v>
      </c>
      <c r="Z418" t="s">
        <v>173</v>
      </c>
      <c r="AA418" t="s">
        <v>1621</v>
      </c>
      <c r="AB418" t="s">
        <v>1705</v>
      </c>
      <c r="AC418">
        <v>312</v>
      </c>
      <c r="AD418" t="s">
        <v>1703</v>
      </c>
    </row>
    <row r="419" spans="1:30" ht="15" customHeight="1" x14ac:dyDescent="0.25">
      <c r="A419">
        <v>317</v>
      </c>
      <c r="B419" t="s">
        <v>1706</v>
      </c>
      <c r="C419" t="s">
        <v>1707</v>
      </c>
      <c r="D419" t="s">
        <v>1708</v>
      </c>
      <c r="E419" t="s">
        <v>115</v>
      </c>
      <c r="G419" t="s">
        <v>11</v>
      </c>
      <c r="H419" t="s">
        <v>12</v>
      </c>
      <c r="I419">
        <v>17396</v>
      </c>
      <c r="J419" t="s">
        <v>172</v>
      </c>
      <c r="R419" t="s">
        <v>1620</v>
      </c>
      <c r="S419">
        <v>544986</v>
      </c>
      <c r="W419">
        <v>40200</v>
      </c>
      <c r="X419">
        <v>1006</v>
      </c>
      <c r="Y419" s="1" t="s">
        <v>1612</v>
      </c>
      <c r="Z419" t="s">
        <v>173</v>
      </c>
      <c r="AA419" t="s">
        <v>1621</v>
      </c>
      <c r="AB419" t="s">
        <v>1709</v>
      </c>
      <c r="AC419">
        <v>317</v>
      </c>
      <c r="AD419" t="s">
        <v>1706</v>
      </c>
    </row>
    <row r="420" spans="1:30" ht="15" customHeight="1" x14ac:dyDescent="0.25">
      <c r="A420">
        <v>170</v>
      </c>
      <c r="B420" t="s">
        <v>1710</v>
      </c>
      <c r="C420" t="s">
        <v>1711</v>
      </c>
      <c r="D420" t="s">
        <v>1708</v>
      </c>
      <c r="E420" t="s">
        <v>115</v>
      </c>
      <c r="G420" t="s">
        <v>11</v>
      </c>
      <c r="H420" t="s">
        <v>12</v>
      </c>
      <c r="I420">
        <v>38868</v>
      </c>
      <c r="J420" t="s">
        <v>581</v>
      </c>
      <c r="R420" t="s">
        <v>1712</v>
      </c>
      <c r="S420">
        <v>544986</v>
      </c>
      <c r="W420">
        <v>40200</v>
      </c>
      <c r="X420">
        <v>1006</v>
      </c>
      <c r="Y420" s="1" t="s">
        <v>1612</v>
      </c>
      <c r="Z420" t="s">
        <v>117</v>
      </c>
      <c r="AA420" t="s">
        <v>1712</v>
      </c>
      <c r="AB420" t="s">
        <v>1713</v>
      </c>
      <c r="AC420">
        <v>170</v>
      </c>
      <c r="AD420" t="s">
        <v>1710</v>
      </c>
    </row>
    <row r="421" spans="1:30" ht="15" customHeight="1" x14ac:dyDescent="0.25">
      <c r="A421">
        <v>171</v>
      </c>
      <c r="B421" t="s">
        <v>1714</v>
      </c>
      <c r="C421" t="s">
        <v>1715</v>
      </c>
      <c r="D421" t="s">
        <v>1708</v>
      </c>
      <c r="E421" t="s">
        <v>115</v>
      </c>
      <c r="G421" t="s">
        <v>11</v>
      </c>
      <c r="H421" t="s">
        <v>12</v>
      </c>
      <c r="I421">
        <v>107025</v>
      </c>
      <c r="J421" t="s">
        <v>161</v>
      </c>
      <c r="K421">
        <v>0</v>
      </c>
      <c r="R421" t="s">
        <v>300</v>
      </c>
      <c r="S421">
        <v>544986</v>
      </c>
      <c r="V421">
        <v>1</v>
      </c>
      <c r="W421">
        <v>40200</v>
      </c>
      <c r="X421">
        <v>1006</v>
      </c>
      <c r="Z421" t="s">
        <v>117</v>
      </c>
      <c r="AA421" t="s">
        <v>1421</v>
      </c>
      <c r="AB421" t="s">
        <v>1716</v>
      </c>
      <c r="AC421">
        <v>171</v>
      </c>
      <c r="AD421" t="s">
        <v>1714</v>
      </c>
    </row>
    <row r="422" spans="1:30" ht="15" customHeight="1" x14ac:dyDescent="0.25">
      <c r="A422">
        <v>178</v>
      </c>
      <c r="B422" t="s">
        <v>1717</v>
      </c>
      <c r="C422" t="s">
        <v>1718</v>
      </c>
      <c r="D422" t="s">
        <v>1708</v>
      </c>
      <c r="E422" t="s">
        <v>115</v>
      </c>
      <c r="G422" t="s">
        <v>11</v>
      </c>
      <c r="H422" t="s">
        <v>12</v>
      </c>
      <c r="I422">
        <v>11144</v>
      </c>
      <c r="J422" t="s">
        <v>172</v>
      </c>
      <c r="K422">
        <v>0</v>
      </c>
      <c r="R422" t="s">
        <v>1712</v>
      </c>
      <c r="S422">
        <v>544986</v>
      </c>
      <c r="W422">
        <v>40200</v>
      </c>
      <c r="X422">
        <v>1006</v>
      </c>
      <c r="Z422" t="s">
        <v>117</v>
      </c>
      <c r="AA422" t="s">
        <v>1712</v>
      </c>
      <c r="AB422" t="s">
        <v>1719</v>
      </c>
      <c r="AC422">
        <v>178</v>
      </c>
      <c r="AD422" t="s">
        <v>1717</v>
      </c>
    </row>
    <row r="423" spans="1:30" ht="15" customHeight="1" x14ac:dyDescent="0.25">
      <c r="A423">
        <v>164</v>
      </c>
      <c r="B423" t="s">
        <v>1720</v>
      </c>
      <c r="C423" t="s">
        <v>1721</v>
      </c>
      <c r="D423" t="s">
        <v>1708</v>
      </c>
      <c r="E423" t="s">
        <v>115</v>
      </c>
      <c r="G423" t="s">
        <v>11</v>
      </c>
      <c r="H423" t="s">
        <v>12</v>
      </c>
      <c r="I423">
        <v>260778</v>
      </c>
      <c r="J423" t="s">
        <v>161</v>
      </c>
      <c r="K423">
        <v>0</v>
      </c>
      <c r="R423" t="s">
        <v>300</v>
      </c>
      <c r="S423">
        <v>544986</v>
      </c>
      <c r="V423">
        <v>1</v>
      </c>
      <c r="W423">
        <v>40200</v>
      </c>
      <c r="X423">
        <v>1006</v>
      </c>
      <c r="Y423" t="s">
        <v>1722</v>
      </c>
      <c r="Z423" t="s">
        <v>117</v>
      </c>
      <c r="AA423" t="s">
        <v>1421</v>
      </c>
      <c r="AB423" t="s">
        <v>1723</v>
      </c>
      <c r="AC423">
        <v>164</v>
      </c>
      <c r="AD423" t="s">
        <v>1720</v>
      </c>
    </row>
    <row r="424" spans="1:30" ht="15" customHeight="1" x14ac:dyDescent="0.25">
      <c r="A424">
        <v>176</v>
      </c>
      <c r="B424" t="s">
        <v>1724</v>
      </c>
      <c r="C424" t="s">
        <v>1725</v>
      </c>
      <c r="D424" t="s">
        <v>1708</v>
      </c>
      <c r="E424" t="s">
        <v>115</v>
      </c>
      <c r="G424" t="s">
        <v>11</v>
      </c>
      <c r="H424" t="s">
        <v>12</v>
      </c>
      <c r="I424">
        <v>94913</v>
      </c>
      <c r="K424">
        <v>0</v>
      </c>
      <c r="S424">
        <v>544986</v>
      </c>
      <c r="W424">
        <v>40200</v>
      </c>
      <c r="X424">
        <v>1006</v>
      </c>
      <c r="Z424" t="s">
        <v>117</v>
      </c>
      <c r="AA424" t="s">
        <v>185</v>
      </c>
      <c r="AB424" t="s">
        <v>1726</v>
      </c>
      <c r="AC424">
        <v>176</v>
      </c>
      <c r="AD424" t="s">
        <v>1724</v>
      </c>
    </row>
    <row r="425" spans="1:30" ht="15" customHeight="1" x14ac:dyDescent="0.25">
      <c r="A425">
        <v>169</v>
      </c>
      <c r="B425" t="s">
        <v>1727</v>
      </c>
      <c r="C425" t="s">
        <v>1728</v>
      </c>
      <c r="D425" t="s">
        <v>1708</v>
      </c>
      <c r="E425" t="s">
        <v>115</v>
      </c>
      <c r="G425" t="s">
        <v>11</v>
      </c>
      <c r="H425" t="s">
        <v>12</v>
      </c>
      <c r="I425">
        <v>12216</v>
      </c>
      <c r="K425">
        <v>0</v>
      </c>
      <c r="S425">
        <v>544986</v>
      </c>
      <c r="W425">
        <v>40200</v>
      </c>
      <c r="X425">
        <v>1006</v>
      </c>
      <c r="Z425" t="s">
        <v>117</v>
      </c>
      <c r="AA425" t="s">
        <v>185</v>
      </c>
      <c r="AB425" t="s">
        <v>1729</v>
      </c>
      <c r="AC425">
        <v>169</v>
      </c>
      <c r="AD425" t="s">
        <v>1727</v>
      </c>
    </row>
    <row r="426" spans="1:30" ht="15" customHeight="1" x14ac:dyDescent="0.25">
      <c r="A426">
        <v>173</v>
      </c>
      <c r="B426" t="s">
        <v>1730</v>
      </c>
      <c r="C426" t="s">
        <v>1731</v>
      </c>
      <c r="D426" t="s">
        <v>1708</v>
      </c>
      <c r="E426" t="s">
        <v>115</v>
      </c>
      <c r="G426" t="s">
        <v>11</v>
      </c>
      <c r="H426" t="s">
        <v>12</v>
      </c>
      <c r="I426">
        <v>2646</v>
      </c>
      <c r="J426" t="s">
        <v>172</v>
      </c>
      <c r="K426">
        <v>0</v>
      </c>
      <c r="S426">
        <v>544986</v>
      </c>
      <c r="W426">
        <v>40200</v>
      </c>
      <c r="X426" t="s">
        <v>1611</v>
      </c>
      <c r="Z426" t="s">
        <v>173</v>
      </c>
      <c r="AA426" t="s">
        <v>1732</v>
      </c>
      <c r="AB426" t="s">
        <v>1733</v>
      </c>
      <c r="AC426">
        <v>173</v>
      </c>
      <c r="AD426" t="s">
        <v>1730</v>
      </c>
    </row>
    <row r="427" spans="1:30" ht="15" customHeight="1" x14ac:dyDescent="0.25">
      <c r="A427">
        <v>154</v>
      </c>
      <c r="B427" t="s">
        <v>1734</v>
      </c>
      <c r="C427" t="s">
        <v>1735</v>
      </c>
      <c r="D427" t="s">
        <v>1736</v>
      </c>
      <c r="E427" t="s">
        <v>115</v>
      </c>
      <c r="G427" t="s">
        <v>11</v>
      </c>
      <c r="H427" t="s">
        <v>28</v>
      </c>
      <c r="I427">
        <v>10283</v>
      </c>
      <c r="J427" t="s">
        <v>161</v>
      </c>
      <c r="K427">
        <v>0</v>
      </c>
      <c r="R427" t="s">
        <v>381</v>
      </c>
      <c r="S427">
        <v>11200</v>
      </c>
      <c r="V427" t="s">
        <v>382</v>
      </c>
      <c r="W427">
        <v>40200</v>
      </c>
      <c r="X427" t="s">
        <v>1611</v>
      </c>
      <c r="Y427" t="s">
        <v>382</v>
      </c>
      <c r="Z427" t="s">
        <v>117</v>
      </c>
      <c r="AA427" t="s">
        <v>118</v>
      </c>
      <c r="AB427" t="s">
        <v>1737</v>
      </c>
      <c r="AC427">
        <v>154</v>
      </c>
      <c r="AD427" t="s">
        <v>1734</v>
      </c>
    </row>
    <row r="428" spans="1:30" ht="15" customHeight="1" x14ac:dyDescent="0.25">
      <c r="A428">
        <v>316</v>
      </c>
      <c r="B428" t="s">
        <v>1738</v>
      </c>
      <c r="C428" t="s">
        <v>1739</v>
      </c>
      <c r="D428" t="s">
        <v>1736</v>
      </c>
      <c r="E428" t="s">
        <v>115</v>
      </c>
      <c r="G428" t="s">
        <v>11</v>
      </c>
      <c r="H428" t="s">
        <v>28</v>
      </c>
      <c r="I428">
        <v>1053</v>
      </c>
      <c r="J428" t="s">
        <v>172</v>
      </c>
      <c r="K428">
        <v>0</v>
      </c>
      <c r="R428" t="s">
        <v>1620</v>
      </c>
      <c r="S428">
        <v>11336</v>
      </c>
      <c r="W428">
        <v>40200</v>
      </c>
      <c r="X428">
        <v>1006</v>
      </c>
      <c r="Y428" s="1" t="s">
        <v>1612</v>
      </c>
      <c r="Z428" t="s">
        <v>173</v>
      </c>
      <c r="AA428" t="s">
        <v>1621</v>
      </c>
      <c r="AB428" t="s">
        <v>1740</v>
      </c>
      <c r="AC428">
        <v>316</v>
      </c>
      <c r="AD428" t="s">
        <v>1738</v>
      </c>
    </row>
    <row r="429" spans="1:30" ht="15" customHeight="1" x14ac:dyDescent="0.25">
      <c r="A429">
        <v>160</v>
      </c>
      <c r="B429" t="s">
        <v>1741</v>
      </c>
      <c r="C429" t="s">
        <v>1742</v>
      </c>
      <c r="D429" t="s">
        <v>1743</v>
      </c>
      <c r="E429" t="s">
        <v>115</v>
      </c>
      <c r="G429" t="s">
        <v>11</v>
      </c>
      <c r="H429" t="s">
        <v>14</v>
      </c>
      <c r="I429">
        <v>465</v>
      </c>
      <c r="J429" t="s">
        <v>161</v>
      </c>
      <c r="K429">
        <v>0</v>
      </c>
      <c r="R429" t="s">
        <v>381</v>
      </c>
      <c r="S429">
        <v>465</v>
      </c>
      <c r="V429" t="s">
        <v>382</v>
      </c>
      <c r="W429">
        <v>40200</v>
      </c>
      <c r="X429" t="s">
        <v>1611</v>
      </c>
      <c r="Y429" t="s">
        <v>382</v>
      </c>
      <c r="Z429" t="s">
        <v>117</v>
      </c>
      <c r="AA429" t="s">
        <v>118</v>
      </c>
      <c r="AB429" t="s">
        <v>1744</v>
      </c>
      <c r="AC429">
        <v>160</v>
      </c>
      <c r="AD429" t="s">
        <v>1741</v>
      </c>
    </row>
    <row r="430" spans="1:30" ht="15" customHeight="1" x14ac:dyDescent="0.25">
      <c r="A430">
        <v>314</v>
      </c>
      <c r="B430" t="s">
        <v>1745</v>
      </c>
      <c r="C430" t="s">
        <v>1746</v>
      </c>
      <c r="D430" t="s">
        <v>1747</v>
      </c>
      <c r="E430" t="s">
        <v>115</v>
      </c>
      <c r="G430" t="s">
        <v>11</v>
      </c>
      <c r="H430" t="s">
        <v>13</v>
      </c>
      <c r="I430">
        <v>1655</v>
      </c>
      <c r="J430" t="s">
        <v>172</v>
      </c>
      <c r="K430">
        <v>0</v>
      </c>
      <c r="R430" t="s">
        <v>1620</v>
      </c>
      <c r="S430">
        <v>1655</v>
      </c>
      <c r="W430">
        <v>40200</v>
      </c>
      <c r="X430">
        <v>1006</v>
      </c>
      <c r="Y430" s="1" t="s">
        <v>1612</v>
      </c>
      <c r="Z430" t="s">
        <v>173</v>
      </c>
      <c r="AA430" t="s">
        <v>1621</v>
      </c>
      <c r="AB430" t="s">
        <v>1748</v>
      </c>
      <c r="AC430">
        <v>314</v>
      </c>
      <c r="AD430" t="s">
        <v>1745</v>
      </c>
    </row>
    <row r="431" spans="1:30" ht="15" customHeight="1" x14ac:dyDescent="0.25">
      <c r="A431">
        <v>159</v>
      </c>
      <c r="B431" t="s">
        <v>1749</v>
      </c>
      <c r="C431" t="s">
        <v>1750</v>
      </c>
      <c r="D431" t="s">
        <v>1751</v>
      </c>
      <c r="E431" t="s">
        <v>115</v>
      </c>
      <c r="G431" t="s">
        <v>11</v>
      </c>
      <c r="H431" t="s">
        <v>13</v>
      </c>
      <c r="I431">
        <v>21000</v>
      </c>
      <c r="J431" t="s">
        <v>172</v>
      </c>
      <c r="K431">
        <v>0</v>
      </c>
      <c r="S431">
        <v>37643</v>
      </c>
      <c r="W431">
        <v>40200</v>
      </c>
      <c r="X431" t="s">
        <v>1611</v>
      </c>
      <c r="Y431" s="1" t="s">
        <v>1612</v>
      </c>
      <c r="Z431" t="s">
        <v>117</v>
      </c>
      <c r="AA431" t="s">
        <v>1752</v>
      </c>
      <c r="AB431" t="s">
        <v>1753</v>
      </c>
      <c r="AC431">
        <v>159</v>
      </c>
      <c r="AD431" t="s">
        <v>1749</v>
      </c>
    </row>
    <row r="432" spans="1:30" ht="15" customHeight="1" x14ac:dyDescent="0.25">
      <c r="A432">
        <v>155</v>
      </c>
      <c r="B432" t="s">
        <v>1754</v>
      </c>
      <c r="C432" t="s">
        <v>1755</v>
      </c>
      <c r="D432" t="s">
        <v>1751</v>
      </c>
      <c r="E432" t="s">
        <v>115</v>
      </c>
      <c r="G432" t="s">
        <v>11</v>
      </c>
      <c r="H432" t="s">
        <v>13</v>
      </c>
      <c r="I432">
        <v>12435</v>
      </c>
      <c r="J432" t="s">
        <v>161</v>
      </c>
      <c r="K432">
        <v>0</v>
      </c>
      <c r="R432" t="s">
        <v>381</v>
      </c>
      <c r="S432">
        <v>37643</v>
      </c>
      <c r="V432" t="s">
        <v>382</v>
      </c>
      <c r="W432">
        <v>40200</v>
      </c>
      <c r="X432" t="s">
        <v>1611</v>
      </c>
      <c r="Y432" t="s">
        <v>382</v>
      </c>
      <c r="Z432" t="s">
        <v>117</v>
      </c>
      <c r="AA432" t="s">
        <v>118</v>
      </c>
      <c r="AB432" t="s">
        <v>1756</v>
      </c>
      <c r="AC432">
        <v>155</v>
      </c>
      <c r="AD432" t="s">
        <v>1754</v>
      </c>
    </row>
    <row r="433" spans="1:30" ht="15" customHeight="1" x14ac:dyDescent="0.25">
      <c r="A433">
        <v>318</v>
      </c>
      <c r="B433" t="s">
        <v>1757</v>
      </c>
      <c r="C433" t="s">
        <v>1758</v>
      </c>
      <c r="D433" t="s">
        <v>1751</v>
      </c>
      <c r="E433" t="s">
        <v>115</v>
      </c>
      <c r="G433" t="s">
        <v>11</v>
      </c>
      <c r="H433" t="s">
        <v>13</v>
      </c>
      <c r="I433">
        <v>4208</v>
      </c>
      <c r="J433" t="s">
        <v>172</v>
      </c>
      <c r="K433">
        <v>0</v>
      </c>
      <c r="R433" t="s">
        <v>1620</v>
      </c>
      <c r="S433">
        <v>37643</v>
      </c>
      <c r="W433">
        <v>40200</v>
      </c>
      <c r="X433">
        <v>1006</v>
      </c>
      <c r="Y433" s="1" t="s">
        <v>1612</v>
      </c>
      <c r="Z433" t="s">
        <v>173</v>
      </c>
      <c r="AA433" t="s">
        <v>1621</v>
      </c>
      <c r="AB433" t="s">
        <v>1759</v>
      </c>
      <c r="AC433">
        <v>318</v>
      </c>
      <c r="AD433" t="s">
        <v>1757</v>
      </c>
    </row>
    <row r="434" spans="1:30" ht="15" customHeight="1" x14ac:dyDescent="0.25">
      <c r="A434">
        <v>172</v>
      </c>
      <c r="B434" t="s">
        <v>1760</v>
      </c>
      <c r="C434" t="s">
        <v>1761</v>
      </c>
      <c r="D434" t="s">
        <v>1762</v>
      </c>
      <c r="E434" t="s">
        <v>115</v>
      </c>
      <c r="G434" t="s">
        <v>11</v>
      </c>
      <c r="H434" t="s">
        <v>13</v>
      </c>
      <c r="I434">
        <v>967</v>
      </c>
      <c r="J434" t="s">
        <v>172</v>
      </c>
      <c r="K434">
        <v>0</v>
      </c>
      <c r="S434">
        <v>967</v>
      </c>
      <c r="W434">
        <v>40200</v>
      </c>
      <c r="X434" t="s">
        <v>1611</v>
      </c>
      <c r="Z434" t="s">
        <v>173</v>
      </c>
      <c r="AA434" t="s">
        <v>1763</v>
      </c>
      <c r="AB434" t="s">
        <v>1764</v>
      </c>
      <c r="AC434">
        <v>172</v>
      </c>
      <c r="AD434" t="s">
        <v>1760</v>
      </c>
    </row>
    <row r="435" spans="1:30" ht="15" customHeight="1" x14ac:dyDescent="0.25">
      <c r="A435">
        <v>175</v>
      </c>
      <c r="B435" t="s">
        <v>1765</v>
      </c>
      <c r="C435" t="s">
        <v>1766</v>
      </c>
      <c r="D435" t="s">
        <v>1767</v>
      </c>
      <c r="E435" t="s">
        <v>115</v>
      </c>
      <c r="G435" t="s">
        <v>11</v>
      </c>
      <c r="H435" t="s">
        <v>13</v>
      </c>
      <c r="I435">
        <v>1440</v>
      </c>
      <c r="J435" t="s">
        <v>161</v>
      </c>
      <c r="K435">
        <v>0</v>
      </c>
      <c r="R435" t="s">
        <v>381</v>
      </c>
      <c r="S435">
        <v>1440</v>
      </c>
      <c r="V435" t="s">
        <v>382</v>
      </c>
      <c r="W435">
        <v>40200</v>
      </c>
      <c r="X435" t="s">
        <v>1611</v>
      </c>
      <c r="Y435" t="s">
        <v>382</v>
      </c>
      <c r="Z435" t="s">
        <v>117</v>
      </c>
      <c r="AA435" t="s">
        <v>118</v>
      </c>
      <c r="AB435" t="s">
        <v>1768</v>
      </c>
      <c r="AC435">
        <v>175</v>
      </c>
      <c r="AD435" t="s">
        <v>1765</v>
      </c>
    </row>
    <row r="436" spans="1:30" ht="15" customHeight="1" x14ac:dyDescent="0.25">
      <c r="A436">
        <v>177</v>
      </c>
      <c r="B436" t="s">
        <v>1769</v>
      </c>
      <c r="C436" t="s">
        <v>1770</v>
      </c>
      <c r="D436" t="s">
        <v>1771</v>
      </c>
      <c r="E436" t="s">
        <v>115</v>
      </c>
      <c r="G436" t="s">
        <v>11</v>
      </c>
      <c r="H436" t="s">
        <v>13</v>
      </c>
      <c r="I436">
        <v>14860</v>
      </c>
      <c r="J436" t="s">
        <v>161</v>
      </c>
      <c r="K436">
        <v>0</v>
      </c>
      <c r="R436" t="s">
        <v>381</v>
      </c>
      <c r="S436">
        <v>14860</v>
      </c>
      <c r="V436" t="s">
        <v>382</v>
      </c>
      <c r="W436">
        <v>40200</v>
      </c>
      <c r="X436" t="s">
        <v>1611</v>
      </c>
      <c r="Y436" t="s">
        <v>382</v>
      </c>
      <c r="Z436" t="s">
        <v>117</v>
      </c>
      <c r="AA436" t="s">
        <v>118</v>
      </c>
      <c r="AB436" t="s">
        <v>1772</v>
      </c>
      <c r="AC436">
        <v>177</v>
      </c>
      <c r="AD436" t="s">
        <v>1769</v>
      </c>
    </row>
    <row r="437" spans="1:30" ht="15" customHeight="1" x14ac:dyDescent="0.25">
      <c r="A437">
        <v>181</v>
      </c>
      <c r="B437" t="s">
        <v>1773</v>
      </c>
      <c r="C437" t="s">
        <v>1774</v>
      </c>
      <c r="D437" t="s">
        <v>1775</v>
      </c>
      <c r="E437" t="s">
        <v>115</v>
      </c>
      <c r="G437" t="s">
        <v>11</v>
      </c>
      <c r="H437" t="s">
        <v>14</v>
      </c>
      <c r="I437">
        <v>3120</v>
      </c>
      <c r="K437">
        <v>0</v>
      </c>
      <c r="S437">
        <v>3120</v>
      </c>
      <c r="V437">
        <v>1</v>
      </c>
      <c r="W437">
        <v>40200</v>
      </c>
      <c r="X437" t="s">
        <v>1611</v>
      </c>
      <c r="Z437" t="s">
        <v>117</v>
      </c>
      <c r="AA437" t="s">
        <v>185</v>
      </c>
      <c r="AB437" t="s">
        <v>1776</v>
      </c>
      <c r="AC437">
        <v>181</v>
      </c>
      <c r="AD437" t="s">
        <v>1773</v>
      </c>
    </row>
    <row r="438" spans="1:30" ht="15" customHeight="1" x14ac:dyDescent="0.25">
      <c r="A438">
        <v>185</v>
      </c>
      <c r="B438" t="s">
        <v>1777</v>
      </c>
      <c r="C438" t="s">
        <v>1778</v>
      </c>
      <c r="D438" t="s">
        <v>1779</v>
      </c>
      <c r="E438" t="s">
        <v>115</v>
      </c>
      <c r="G438" t="s">
        <v>11</v>
      </c>
      <c r="H438" t="s">
        <v>14</v>
      </c>
      <c r="I438">
        <v>32818</v>
      </c>
      <c r="J438" t="s">
        <v>161</v>
      </c>
      <c r="K438">
        <v>0</v>
      </c>
      <c r="R438" t="s">
        <v>381</v>
      </c>
      <c r="S438">
        <v>32818</v>
      </c>
      <c r="V438" t="s">
        <v>382</v>
      </c>
      <c r="W438">
        <v>40200</v>
      </c>
      <c r="X438" t="s">
        <v>1611</v>
      </c>
      <c r="Y438" t="s">
        <v>382</v>
      </c>
      <c r="Z438" t="s">
        <v>117</v>
      </c>
      <c r="AA438" t="s">
        <v>118</v>
      </c>
      <c r="AB438" t="s">
        <v>1780</v>
      </c>
      <c r="AC438">
        <v>185</v>
      </c>
      <c r="AD438" t="s">
        <v>1777</v>
      </c>
    </row>
    <row r="439" spans="1:30" ht="15" customHeight="1" x14ac:dyDescent="0.25">
      <c r="A439">
        <v>168</v>
      </c>
      <c r="B439" t="s">
        <v>1781</v>
      </c>
      <c r="C439" t="s">
        <v>1782</v>
      </c>
      <c r="D439" t="s">
        <v>1783</v>
      </c>
      <c r="E439" t="s">
        <v>115</v>
      </c>
      <c r="G439" t="s">
        <v>11</v>
      </c>
      <c r="H439" t="s">
        <v>14</v>
      </c>
      <c r="I439">
        <v>2310</v>
      </c>
      <c r="J439" t="s">
        <v>172</v>
      </c>
      <c r="K439">
        <v>0</v>
      </c>
      <c r="S439">
        <v>2310</v>
      </c>
      <c r="W439">
        <v>40200</v>
      </c>
      <c r="X439" t="s">
        <v>1611</v>
      </c>
      <c r="Z439" t="s">
        <v>173</v>
      </c>
      <c r="AA439" t="s">
        <v>1763</v>
      </c>
      <c r="AB439" t="s">
        <v>1784</v>
      </c>
      <c r="AC439">
        <v>168</v>
      </c>
      <c r="AD439" t="s">
        <v>1781</v>
      </c>
    </row>
    <row r="440" spans="1:30" ht="15" customHeight="1" x14ac:dyDescent="0.25">
      <c r="A440">
        <v>165</v>
      </c>
      <c r="B440" t="s">
        <v>1785</v>
      </c>
      <c r="C440" t="s">
        <v>1786</v>
      </c>
      <c r="D440" t="s">
        <v>1787</v>
      </c>
      <c r="E440" t="s">
        <v>115</v>
      </c>
      <c r="G440" t="s">
        <v>11</v>
      </c>
      <c r="H440" t="s">
        <v>14</v>
      </c>
      <c r="I440">
        <v>8588</v>
      </c>
      <c r="J440" t="s">
        <v>172</v>
      </c>
      <c r="K440">
        <v>0</v>
      </c>
      <c r="S440">
        <v>8588</v>
      </c>
      <c r="W440">
        <v>40200</v>
      </c>
      <c r="X440" t="s">
        <v>1611</v>
      </c>
      <c r="Z440" t="s">
        <v>117</v>
      </c>
      <c r="AA440" t="s">
        <v>1752</v>
      </c>
      <c r="AB440" t="s">
        <v>1788</v>
      </c>
      <c r="AC440">
        <v>165</v>
      </c>
      <c r="AD440" t="s">
        <v>1785</v>
      </c>
    </row>
    <row r="441" spans="1:30" ht="15" customHeight="1" x14ac:dyDescent="0.25">
      <c r="A441">
        <v>179</v>
      </c>
      <c r="B441" t="s">
        <v>1789</v>
      </c>
      <c r="C441" t="s">
        <v>1790</v>
      </c>
      <c r="D441" t="s">
        <v>1791</v>
      </c>
      <c r="E441" t="s">
        <v>115</v>
      </c>
      <c r="G441" t="s">
        <v>11</v>
      </c>
      <c r="H441" t="s">
        <v>14</v>
      </c>
      <c r="I441">
        <v>49961</v>
      </c>
      <c r="K441">
        <v>0</v>
      </c>
      <c r="S441">
        <v>49961</v>
      </c>
      <c r="V441">
        <v>1</v>
      </c>
      <c r="W441">
        <v>40200</v>
      </c>
      <c r="X441" t="s">
        <v>1611</v>
      </c>
      <c r="Z441" t="s">
        <v>117</v>
      </c>
      <c r="AA441" t="s">
        <v>185</v>
      </c>
      <c r="AB441" t="s">
        <v>1792</v>
      </c>
      <c r="AC441">
        <v>179</v>
      </c>
      <c r="AD441" t="s">
        <v>1789</v>
      </c>
    </row>
    <row r="442" spans="1:30" ht="15" customHeight="1" x14ac:dyDescent="0.25">
      <c r="A442">
        <v>166</v>
      </c>
      <c r="B442" t="s">
        <v>1793</v>
      </c>
      <c r="C442" t="s">
        <v>1794</v>
      </c>
      <c r="D442" t="s">
        <v>1795</v>
      </c>
      <c r="E442" t="s">
        <v>115</v>
      </c>
      <c r="G442" t="s">
        <v>11</v>
      </c>
      <c r="H442" t="s">
        <v>14</v>
      </c>
      <c r="I442">
        <v>10985</v>
      </c>
      <c r="J442" t="s">
        <v>172</v>
      </c>
      <c r="K442">
        <v>0</v>
      </c>
      <c r="S442">
        <v>10985</v>
      </c>
      <c r="W442">
        <v>40200</v>
      </c>
      <c r="X442" t="s">
        <v>1611</v>
      </c>
      <c r="Z442" t="s">
        <v>117</v>
      </c>
      <c r="AA442" t="s">
        <v>1752</v>
      </c>
      <c r="AB442" t="s">
        <v>1796</v>
      </c>
      <c r="AC442">
        <v>166</v>
      </c>
      <c r="AD442" t="s">
        <v>1793</v>
      </c>
    </row>
    <row r="443" spans="1:30" ht="15" customHeight="1" x14ac:dyDescent="0.25">
      <c r="A443">
        <v>311</v>
      </c>
      <c r="B443" t="s">
        <v>1797</v>
      </c>
      <c r="C443" t="s">
        <v>1798</v>
      </c>
      <c r="D443" t="s">
        <v>1799</v>
      </c>
      <c r="E443" t="s">
        <v>115</v>
      </c>
      <c r="G443" t="s">
        <v>11</v>
      </c>
      <c r="H443" t="s">
        <v>50</v>
      </c>
      <c r="I443">
        <v>129</v>
      </c>
      <c r="J443" t="s">
        <v>172</v>
      </c>
      <c r="K443">
        <v>0</v>
      </c>
      <c r="R443" t="s">
        <v>1620</v>
      </c>
      <c r="S443">
        <v>129</v>
      </c>
      <c r="W443">
        <v>40200</v>
      </c>
      <c r="X443">
        <v>1006</v>
      </c>
      <c r="Y443" s="1" t="s">
        <v>1612</v>
      </c>
      <c r="Z443" t="s">
        <v>173</v>
      </c>
      <c r="AA443" t="s">
        <v>1621</v>
      </c>
      <c r="AB443" t="s">
        <v>1800</v>
      </c>
      <c r="AC443">
        <v>311</v>
      </c>
      <c r="AD443" t="s">
        <v>1797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43B2367-3189-4E75-9FCF-F7490AB351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Feuilles de calcul</vt:lpstr>
      </vt:variant>
      <vt:variant>
        <vt:i4>11</vt:i4>
      </vt:variant>
      <vt:variant>
        <vt:lpstr>Graphiques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18" baseType="lpstr">
      <vt:lpstr>Revenu</vt:lpstr>
      <vt:lpstr>PL</vt:lpstr>
      <vt:lpstr>ENT</vt:lpstr>
      <vt:lpstr>CR</vt:lpstr>
      <vt:lpstr>EC</vt:lpstr>
      <vt:lpstr>regle</vt:lpstr>
      <vt:lpstr>modif2</vt:lpstr>
      <vt:lpstr>modif1</vt:lpstr>
      <vt:lpstr>modif0</vt:lpstr>
      <vt:lpstr>inter_graph</vt:lpstr>
      <vt:lpstr>objet</vt:lpstr>
      <vt:lpstr>Graphique1</vt:lpstr>
      <vt:lpstr>Graphique6</vt:lpstr>
      <vt:lpstr>Graphique7</vt:lpstr>
      <vt:lpstr>Graphique5</vt:lpstr>
      <vt:lpstr>Graphique2</vt:lpstr>
      <vt:lpstr>Graphique3</vt:lpstr>
      <vt:lpstr>PL!Zone_d_impression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ylarcade</dc:creator>
  <cp:keywords/>
  <dc:description/>
  <cp:lastModifiedBy>contactargefo contactargefo</cp:lastModifiedBy>
  <cp:revision/>
  <dcterms:created xsi:type="dcterms:W3CDTF">2023-06-17T16:48:26Z</dcterms:created>
  <dcterms:modified xsi:type="dcterms:W3CDTF">2023-10-31T09:32:57Z</dcterms:modified>
  <cp:category/>
  <cp:contentStatus/>
</cp:coreProperties>
</file>